
<file path=[Content_Types].xml><?xml version="1.0" encoding="utf-8"?>
<Types xmlns="http://schemas.openxmlformats.org/package/2006/content-types">
  <Default Extension="bin" ContentType="application/vnd.openxmlformats-officedocument.spreadsheetml.printerSettings"/>
  <Default Extension="vsd" ContentType="application/vnd.visio"/>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omments1.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xml"/>
  <Override PartName="/xl/ctrlProps/ctrlProp9.xml" ContentType="application/vnd.ms-excel.controlproperties+xml"/>
  <Override PartName="/xl/charts/chart2.xml" ContentType="application/vnd.openxmlformats-officedocument.drawingml.chart+xml"/>
  <Override PartName="/xl/charts/chart3.xml" ContentType="application/vnd.openxmlformats-officedocument.drawingml.chart+xml"/>
  <Override PartName="/xl/drawings/drawing3.xml" ContentType="application/vnd.openxmlformats-officedocument.drawing+xml"/>
  <Override PartName="/xl/comments2.xml" ContentType="application/vnd.openxmlformats-officedocument.spreadsheetml.comments+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4.xml" ContentType="application/vnd.openxmlformats-officedocument.drawingml.chartshapes+xml"/>
  <Override PartName="/xl/charts/chart8.xml" ContentType="application/vnd.openxmlformats-officedocument.drawingml.chart+xml"/>
  <Override PartName="/xl/drawings/drawing5.xml" ContentType="application/vnd.openxmlformats-officedocument.drawingml.chartshapes+xml"/>
  <Override PartName="/xl/charts/chart9.xml" ContentType="application/vnd.openxmlformats-officedocument.drawingml.chart+xml"/>
  <Override PartName="/xl/drawings/drawing6.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drawings/drawing7.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drawings/drawing8.xml" ContentType="application/vnd.openxmlformats-officedocument.drawing+xml"/>
  <Override PartName="/xl/charts/chart32.xml" ContentType="application/vnd.openxmlformats-officedocument.drawingml.chart+xml"/>
  <Override PartName="/xl/drawings/drawing9.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drawings/drawing10.xml" ContentType="application/vnd.openxmlformats-officedocument.drawing+xml"/>
  <Override PartName="/xl/drawings/drawing11.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12.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07"/>
  <workbookPr showInkAnnotation="0" codeName="ThisWorkbook" autoCompressPictures="0"/>
  <mc:AlternateContent xmlns:mc="http://schemas.openxmlformats.org/markup-compatibility/2006">
    <mc:Choice Requires="x15">
      <x15ac:absPath xmlns:x15ac="http://schemas.microsoft.com/office/spreadsheetml/2010/11/ac" url="C:\MyWork\Customer Supports\e2e\"/>
    </mc:Choice>
  </mc:AlternateContent>
  <xr:revisionPtr revIDLastSave="0" documentId="8_{011B2DD3-6BA7-4F13-BD2B-72FCFD81339D}" xr6:coauthVersionLast="36" xr6:coauthVersionMax="36" xr10:uidLastSave="{00000000-0000-0000-0000-000000000000}"/>
  <workbookProtection workbookAlgorithmName="SHA-512" workbookHashValue="n0yzHZvQISJz74CnrWWk6kUpK3yF4jmoS+QdSpUoBMzbkZG+araA0F7hLFKKRasJcyr7vPw4ck7YY8Ff2HBQRw==" workbookSaltValue="Gp0ppvo5FVwSzSrtYosn3w==" workbookSpinCount="100000" lockStructure="1"/>
  <bookViews>
    <workbookView xWindow="0" yWindow="0" windowWidth="11150" windowHeight="4190" tabRatio="468" xr2:uid="{00000000-000D-0000-FFFF-FFFF00000000}"/>
  </bookViews>
  <sheets>
    <sheet name="Design Converter" sheetId="1" r:id="rId1"/>
    <sheet name="Stability Calculations" sheetId="29" state="hidden" r:id="rId2"/>
    <sheet name="Variable Mgmt" sheetId="2" state="hidden" r:id="rId3"/>
    <sheet name="Parameters" sheetId="19" state="hidden" r:id="rId4"/>
    <sheet name="Calculations - Single" sheetId="24" state="hidden" r:id="rId5"/>
    <sheet name="Calculations - Dual" sheetId="25" state="hidden" r:id="rId6"/>
    <sheet name="Fsw vs VIN" sheetId="23" state="hidden" r:id="rId7"/>
    <sheet name="BOM &amp; Schematic" sheetId="16" r:id="rId8"/>
    <sheet name="EVMs" sheetId="14" r:id="rId9"/>
    <sheet name="Efficiency Plots" sheetId="22" state="hidden" r:id="rId10"/>
    <sheet name="Fsw Plots" sheetId="28" state="hidden" r:id="rId11"/>
    <sheet name="Schematic Mgmt" sheetId="21" state="hidden" r:id="rId12"/>
    <sheet name="Standard Value Calculator" sheetId="8" state="hidden" r:id="rId13"/>
  </sheets>
  <definedNames>
    <definedName name="_Don1">'Variable Mgmt'!$B$66</definedName>
    <definedName name="Acs">'Stability Calculations'!$L$3</definedName>
    <definedName name="Adc">'Stability Calculations'!$W$3</definedName>
    <definedName name="Aea">'Stability Calculations'!$I$6</definedName>
    <definedName name="Afb">'Stability Calculations'!$I$3</definedName>
    <definedName name="Am">'Stability Calculations'!$L$4</definedName>
    <definedName name="BDserR">Parameters!$D$50</definedName>
    <definedName name="BODE_TYPE">'Variable Mgmt'!$Q$20</definedName>
    <definedName name="Cb">'Variable Mgmt'!$B$170</definedName>
    <definedName name="Ccomp">'Stability Calculations'!$D$38</definedName>
    <definedName name="Chf">'Stability Calculations'!$D$39</definedName>
    <definedName name="Cin" localSheetId="3">Parameters!$D$30</definedName>
    <definedName name="Cin">'Variable Mgmt'!$B$136</definedName>
    <definedName name="CinEsrMax">'Variable Mgmt'!$B$138</definedName>
    <definedName name="Cinmin">'Variable Mgmt'!$B$134</definedName>
    <definedName name="CONFIG">'Variable Mgmt'!$C$58</definedName>
    <definedName name="Coss">Parameters!$D$45</definedName>
    <definedName name="Cout" localSheetId="3">Parameters!$D$32</definedName>
    <definedName name="Cout">'Variable Mgmt'!$B$111</definedName>
    <definedName name="Cout_pri">'Stability Calculations'!$B$27</definedName>
    <definedName name="Cout_sec">'Stability Calculations'!$B$25</definedName>
    <definedName name="Cout_Voltage_Rating">'Variable Mgmt'!$S$60</definedName>
    <definedName name="Cout2">'Variable Mgmt'!$B$121</definedName>
    <definedName name="CoutEsr">'Variable Mgmt'!$B$113</definedName>
    <definedName name="CoutEsr2">'Variable Mgmt'!$B$123</definedName>
    <definedName name="Css">'Variable Mgmt'!$B$150</definedName>
    <definedName name="Css_u">'Variable Mgmt'!$B$151</definedName>
    <definedName name="Csw">Parameters!$D$46</definedName>
    <definedName name="Diode_TC">'Variable Mgmt'!$B$181</definedName>
    <definedName name="Don_Vinmax">'Variable Mgmt'!$B$70</definedName>
    <definedName name="Don_Vinmin">'Variable Mgmt'!$B$67</definedName>
    <definedName name="Don_Vinnom">'Variable Mgmt'!$B$69</definedName>
    <definedName name="EFF_DUAL">'Efficiency Plots'!$B$7</definedName>
    <definedName name="EFF_SINGLE">'Efficiency Plots'!$B$5</definedName>
    <definedName name="Efficiency">'Variable Mgmt'!$B$34</definedName>
    <definedName name="Fco_desire">'Design Converter'!$E$58</definedName>
    <definedName name="Fsw" localSheetId="3">Parameters!$D$20</definedName>
    <definedName name="Fsw_DCM">'Variable Mgmt'!$B$45</definedName>
    <definedName name="Fsw_DUAL">'Fsw Plots'!$B$7</definedName>
    <definedName name="Fsw_max">Parameters!$D$21</definedName>
    <definedName name="Fsw_SINGLE">'Fsw Plots'!$B$5</definedName>
    <definedName name="gmEA">'Stability Calculations'!$D$31</definedName>
    <definedName name="Icinrms">'Variable Mgmt'!$B$133</definedName>
    <definedName name="Icoutrms">'Variable Mgmt'!$B$105</definedName>
    <definedName name="Iin_Vinmax">'Variable Mgmt'!$B$42</definedName>
    <definedName name="Iin_Vinmin">'Variable Mgmt'!$B$38</definedName>
    <definedName name="Iin_Vinnom">'Variable Mgmt'!$B$40</definedName>
    <definedName name="ILIM_delay">Parameters!$D$37</definedName>
    <definedName name="Iout">'Variable Mgmt'!$B$12</definedName>
    <definedName name="Iout_eff">'Stability Calculations'!$B$15</definedName>
    <definedName name="Iout_max">Parameters!$D$10</definedName>
    <definedName name="Iout2">'Variable Mgmt'!$B$18</definedName>
    <definedName name="Iout2_actual">'Variable Mgmt'!$B$19</definedName>
    <definedName name="Ioutmax_Vinmax" localSheetId="5">'Calculations - Dual'!$Q$216</definedName>
    <definedName name="Ioutmax_Vinmax">'Calculations - Single'!$P$216</definedName>
    <definedName name="Ioutmax_Vinmin" localSheetId="5">'Calculations - Dual'!$Q$110</definedName>
    <definedName name="Ioutmax_Vinmin">'Calculations - Single'!$P$110</definedName>
    <definedName name="Ioutmax_Vinnom" localSheetId="5">'Calculations - Dual'!$Q$5</definedName>
    <definedName name="Ioutmax_Vinnom">'Calculations - Single'!$P$5</definedName>
    <definedName name="IpkCAL">'Variable Mgmt'!$B$101</definedName>
    <definedName name="IQ">Parameters!$D$39</definedName>
    <definedName name="Iripple">Parameters!$D$19</definedName>
    <definedName name="Iripple_Vinmax" localSheetId="5">'Variable Mgmt'!#REF!</definedName>
    <definedName name="Iripple_Vinmax" localSheetId="10">'Variable Mgmt'!#REF!</definedName>
    <definedName name="Iripple_Vinmin" localSheetId="5">'Variable Mgmt'!#REF!</definedName>
    <definedName name="Iripple_Vinmin" localSheetId="10">'Variable Mgmt'!#REF!</definedName>
    <definedName name="Iripple_Vinnom" localSheetId="5">'Variable Mgmt'!#REF!</definedName>
    <definedName name="Iripple_Vinnom" localSheetId="10">'Variable Mgmt'!#REF!</definedName>
    <definedName name="Iripple1" localSheetId="5">'Variable Mgmt'!#REF!</definedName>
    <definedName name="Iripple1" localSheetId="10">'Variable Mgmt'!#REF!</definedName>
    <definedName name="Iss">'Variable Mgmt'!$B$149</definedName>
    <definedName name="Isw_max">Parameters!$D$35</definedName>
    <definedName name="Isw_min">Parameters!$D$36</definedName>
    <definedName name="Iuvlo_hys">'Variable Mgmt'!$B$160</definedName>
    <definedName name="Iuvlo1">'Variable Mgmt'!$B$158</definedName>
    <definedName name="Iuvlo2">'Variable Mgmt'!$B$159</definedName>
    <definedName name="k_core">Parameters!$D$29</definedName>
    <definedName name="ktr_rcmd">'Variable Mgmt'!$B$72</definedName>
    <definedName name="L">Parameters!$D$26</definedName>
    <definedName name="Lleak">'Variable Mgmt'!$B$81</definedName>
    <definedName name="Lmag">'Variable Mgmt'!$B$80</definedName>
    <definedName name="Lmin">'Variable Mgmt'!$B$94</definedName>
    <definedName name="Lmin_abs">'Variable Mgmt'!$B$95</definedName>
    <definedName name="Ls1_">'Variable Mgmt'!$B$82</definedName>
    <definedName name="Ls2_">'Variable Mgmt'!$B$83</definedName>
    <definedName name="Ltc">'Variable Mgmt'!$B$192</definedName>
    <definedName name="M">'Stability Calculations'!$B$18</definedName>
    <definedName name="max_I">Parameters!$H$109</definedName>
    <definedName name="min_I">Parameters!$H$108</definedName>
    <definedName name="MODE">'Variable Mgmt'!$C$57</definedName>
    <definedName name="MODE_SS">'Variable Mgmt'!$J$62</definedName>
    <definedName name="MODE_TC">'Variable Mgmt'!$G$56</definedName>
    <definedName name="MODE_TOP">'Variable Mgmt'!$B$57</definedName>
    <definedName name="MODE_UVLO">'Variable Mgmt'!$G$62</definedName>
    <definedName name="Npri_sec">'Stability Calculations'!$B$13</definedName>
    <definedName name="Npri_sec1">'Variable Mgmt'!$R$48</definedName>
    <definedName name="Npri_sec2">'Variable Mgmt'!$R$50</definedName>
    <definedName name="Nps">'Variable Mgmt'!$R$47</definedName>
    <definedName name="Nsec1sec2">'Variable Mgmt'!$R$49</definedName>
    <definedName name="OffTime">Parameters!$D$18</definedName>
    <definedName name="OnTime">Parameters!$D$17</definedName>
    <definedName name="Pi">'Variable Mgmt'!$B$173</definedName>
    <definedName name="PICTURE1">INDIRECT('Schematic Mgmt'!$A$2)</definedName>
    <definedName name="PICTURE2">INDIRECT('Fsw Plots'!$A$2)</definedName>
    <definedName name="PICTURE3">INDIRECT('Efficiency Plots'!$A$2)</definedName>
    <definedName name="Pin">'Variable Mgmt'!$B$36</definedName>
    <definedName name="PLOT_TYPE">'Variable Mgmt'!$M$62</definedName>
    <definedName name="pole1">'Stability Calculations'!$Q$4</definedName>
    <definedName name="Pole2">'Stability Calculations'!$I$5</definedName>
    <definedName name="pole3">'Stability Calculations'!$T$3</definedName>
    <definedName name="pole4">'Stability Calculations'!$I$7</definedName>
    <definedName name="Pomax_allowed">'Variable Mgmt'!$B$43</definedName>
    <definedName name="Pout">'Variable Mgmt'!$B$14</definedName>
    <definedName name="Pout_total">'Variable Mgmt'!$B$22</definedName>
    <definedName name="Pout2">'Variable Mgmt'!$B$21</definedName>
    <definedName name="_xlnm.Print_Area" localSheetId="7">'BOM &amp; Schematic'!$A$1:$I$59</definedName>
    <definedName name="_xlnm.Print_Area" localSheetId="0">'Design Converter'!$A$1:$R$87</definedName>
    <definedName name="pterm1">'Stability Calculations'!$T$4</definedName>
    <definedName name="pterm2">'Stability Calculations'!$T$5</definedName>
    <definedName name="Qg">Parameters!$D$44</definedName>
    <definedName name="radconv">'Stability Calculations'!$W$6</definedName>
    <definedName name="RCinEsr" localSheetId="3">Parameters!$D$31</definedName>
    <definedName name="RCinEsr">'Variable Mgmt'!$B$139</definedName>
    <definedName name="Rcomp">'Stability Calculations'!$D$37</definedName>
    <definedName name="RCoutEsr" localSheetId="3">Parameters!$D$33</definedName>
    <definedName name="RCoutEsr">'Variable Mgmt'!$B$113</definedName>
    <definedName name="RCS">'Design Converter'!$E$17</definedName>
    <definedName name="Rcs_gain">'Stability Calculations'!$B$34</definedName>
    <definedName name="RCSmin">'Variable Mgmt'!$B$102</definedName>
    <definedName name="Rdcr_pri">'Variable Mgmt'!$B$85</definedName>
    <definedName name="Rdcr_sec">'Variable Mgmt'!$B$86</definedName>
    <definedName name="Rdcr_sec2">'Variable Mgmt'!$B$87</definedName>
    <definedName name="Rdson">Parameters!$D$41</definedName>
    <definedName name="RdsonTC">Parameters!$D$42</definedName>
    <definedName name="REAout">'Stability Calculations'!$D$32</definedName>
    <definedName name="Rfb">'Variable Mgmt'!$B$47</definedName>
    <definedName name="Rfb_recommend">'Variable Mgmt'!$B$177</definedName>
    <definedName name="Rfb2_u">'Variable Mgmt'!$B$179</definedName>
    <definedName name="Rload_pri">'Stability Calculations'!$B$22</definedName>
    <definedName name="Rload_sec">'Stability Calculations'!$B$21</definedName>
    <definedName name="RON">'Design Converter'!$L$22</definedName>
    <definedName name="Rout">'Variable Mgmt'!$B$13</definedName>
    <definedName name="Rout2">'Variable Mgmt'!$B$20</definedName>
    <definedName name="Rpg" localSheetId="10">'Variable Mgmt'!#REF!</definedName>
    <definedName name="Rpg">'Variable Mgmt'!#REF!</definedName>
    <definedName name="rr">Parameters!$H$110</definedName>
    <definedName name="RTC">'Variable Mgmt'!$B$183</definedName>
    <definedName name="RTC_1">'Variable Mgmt'!$B$182</definedName>
    <definedName name="Ruvlo1">'Variable Mgmt'!$B$165</definedName>
    <definedName name="Ruvlo2">'Variable Mgmt'!$B$166</definedName>
    <definedName name="SCH_BIPOLAR_UVLOadj_SSadj_TCno">'Schematic Mgmt'!$H$21</definedName>
    <definedName name="SCH_BIPOLAR_UVLOadj_SSadj_TCyes">'Schematic Mgmt'!$H$7</definedName>
    <definedName name="SCH_BIPOLAR_UVLOadj_SSint_TCno">'Schematic Mgmt'!$H$19</definedName>
    <definedName name="SCH_BIPOLAR_UVLOadj_SSint_TCyes">'Schematic Mgmt'!$H$17</definedName>
    <definedName name="SCH_BIPOLAR_UVLOint_SSadj_TCno">'Schematic Mgmt'!$H$15</definedName>
    <definedName name="SCH_BIPOLAR_UVLOint_SSadj_TCyes">'Schematic Mgmt'!$H$9</definedName>
    <definedName name="SCH_BIPOLAR_UVLOint_SSint_TCno">'Schematic Mgmt'!$H$13</definedName>
    <definedName name="SCH_BIPOLAR_UVLOint_SSint_TCyes">'Schematic Mgmt'!$H$11</definedName>
    <definedName name="SCH_DUAL_UVLOadj_SSadj_TCno">'Schematic Mgmt'!$E$21</definedName>
    <definedName name="SCH_DUAL_UVLOadj_SSadj_TCyes">'Schematic Mgmt'!$E$7</definedName>
    <definedName name="SCH_DUAL_UVLOadj_SSint_TCno">'Schematic Mgmt'!$E$19</definedName>
    <definedName name="SCH_DUAL_UVLOadj_SSint_TCyes">'Schematic Mgmt'!$E$17</definedName>
    <definedName name="SCH_DUAL_UVLOint_SSadj_TCno">'Schematic Mgmt'!$E$15</definedName>
    <definedName name="SCH_DUAL_UVLOint_SSadj_TCyes">'Schematic Mgmt'!$E$9</definedName>
    <definedName name="SCH_DUAL_UVLOint_SSint_TCno">'Schematic Mgmt'!$E$13</definedName>
    <definedName name="SCH_DUAL_UVLOint_SSint_TCyes">'Schematic Mgmt'!$E$11</definedName>
    <definedName name="SCH_SINGLE_UVLOadj_SSadj_TCno">'Schematic Mgmt'!$B$21</definedName>
    <definedName name="SCH_SINGLE_UVLOadj_SSadj_TCyes">'Schematic Mgmt'!$B$7</definedName>
    <definedName name="SCH_SINGLE_UVLOadj_SSint_TCno">'Schematic Mgmt'!$B$19</definedName>
    <definedName name="SCH_SINGLE_UVLOadj_SSint_TCyes">'Schematic Mgmt'!$B$17</definedName>
    <definedName name="SCH_SINGLE_UVLOint_SSadj_TCno">'Schematic Mgmt'!$B$15</definedName>
    <definedName name="SCH_SINGLE_UVLOint_SSadj_TCyes">'Schematic Mgmt'!$B$9</definedName>
    <definedName name="SCH_SINGLE_UVLOint_SSint_TCno">'Schematic Mgmt'!$B$13</definedName>
    <definedName name="SCH_SINGLE_UVLOint_SSint_TCyes">'Schematic Mgmt'!$B$11</definedName>
    <definedName name="Ta" localSheetId="3">Parameters!$D$12</definedName>
    <definedName name="Ta">'Variable Mgmt'!$B$190</definedName>
    <definedName name="TC">'Variable Mgmt'!$G$56</definedName>
    <definedName name="Tfall">Parameters!$D$23</definedName>
    <definedName name="ThetaCa">'Variable Mgmt'!$B$193</definedName>
    <definedName name="ThetaJA">Parameters!$D$54</definedName>
    <definedName name="TL">'Variable Mgmt'!$B$101</definedName>
    <definedName name="toff_max">'Variable Mgmt'!$B$93</definedName>
    <definedName name="Toff_Vinmax">'Variable Mgmt'!$B$174</definedName>
    <definedName name="Ton_Vinmin">'Variable Mgmt'!$B$175</definedName>
    <definedName name="Trise">Parameters!$D$22</definedName>
    <definedName name="TrrBot">Parameters!$D$52</definedName>
    <definedName name="Tss">'Variable Mgmt'!$B$148</definedName>
    <definedName name="Tsw">'Stability Calculations'!$B$19</definedName>
    <definedName name="Turns_Ratio">'Variable Mgmt'!$S$45</definedName>
    <definedName name="Turns_Ratio2">'Variable Mgmt'!$W$45</definedName>
    <definedName name="Vdd">Parameters!$D$13</definedName>
    <definedName name="Vds_req">'Design Converter'!$E$24</definedName>
    <definedName name="Vfwd1">Parameters!$D$48</definedName>
    <definedName name="Vfwd2">Parameters!$D$49</definedName>
    <definedName name="Vfwd22">'Variable Mgmt'!$L$90</definedName>
    <definedName name="Vin">'Design Converter'!$E$7</definedName>
    <definedName name="Vin_eff">'Stability Calculations'!$B$16</definedName>
    <definedName name="VIN_max">'Variable Mgmt'!$B$9</definedName>
    <definedName name="VIN_min">'Variable Mgmt'!$B$7</definedName>
    <definedName name="VIN_nom">'Variable Mgmt'!$B$8</definedName>
    <definedName name="Vinripple1">'Variable Mgmt'!$B$131</definedName>
    <definedName name="Vinripple2">'Variable Mgmt'!$B$144</definedName>
    <definedName name="VINuvlo_off">'Variable Mgmt'!$B$163</definedName>
    <definedName name="VINuvlo_on">'Variable Mgmt'!$B$162</definedName>
    <definedName name="Vout">'Variable Mgmt'!$B$11</definedName>
    <definedName name="Vout_eff">'Stability Calculations'!$B$14</definedName>
    <definedName name="Vout_ripple">'Variable Mgmt'!$B$30</definedName>
    <definedName name="Vout_ripple2">'Variable Mgmt'!$B$31</definedName>
    <definedName name="Vout2">'Variable Mgmt'!$B$16</definedName>
    <definedName name="Vout2_actual">'Variable Mgmt'!$B$17</definedName>
    <definedName name="Vref">'Variable Mgmt'!$B$46</definedName>
    <definedName name="Vripple1_actual">'Variable Mgmt'!$B$115</definedName>
    <definedName name="Vripple1_spec">'Variable Mgmt'!$B$109</definedName>
    <definedName name="Vripple2_actual">'Variable Mgmt'!$B$125</definedName>
    <definedName name="Vripple2_spec">'Variable Mgmt'!$B$119</definedName>
    <definedName name="VRRM_DIODE">'Variable Mgmt'!$B$28</definedName>
    <definedName name="Vuvlo_hys">'Variable Mgmt'!$B$157</definedName>
    <definedName name="Vuvlo_off">'Variable Mgmt'!$B$156</definedName>
    <definedName name="Vuvlo_on">'Variable Mgmt'!$B$155</definedName>
    <definedName name="z_RHP">'Stability Calculations'!$Q$5</definedName>
    <definedName name="Zero1">'Stability Calculations'!$Q$3</definedName>
    <definedName name="Zero2">'Stability Calculations'!$I$4</definedName>
  </definedNames>
  <calcPr calcId="191029"/>
</workbook>
</file>

<file path=xl/calcChain.xml><?xml version="1.0" encoding="utf-8"?>
<calcChain xmlns="http://schemas.openxmlformats.org/spreadsheetml/2006/main">
  <c r="I6" i="29" l="1"/>
  <c r="B29" i="19" l="1"/>
  <c r="U80" i="2" l="1"/>
  <c r="U79" i="2"/>
  <c r="K55" i="16"/>
  <c r="K54" i="16"/>
  <c r="J54" i="16"/>
  <c r="K51" i="16" l="1"/>
  <c r="J51" i="16"/>
  <c r="K53" i="16"/>
  <c r="K52" i="16"/>
  <c r="J53" i="16"/>
  <c r="J52" i="16"/>
  <c r="K38" i="16"/>
  <c r="K37" i="16"/>
  <c r="K36" i="16"/>
  <c r="K35" i="16"/>
  <c r="J38" i="16"/>
  <c r="J37" i="16"/>
  <c r="J35" i="16"/>
  <c r="J36" i="16"/>
  <c r="I38" i="16"/>
  <c r="H38" i="16"/>
  <c r="I36" i="16"/>
  <c r="H36" i="16"/>
  <c r="I35" i="16"/>
  <c r="H35" i="16"/>
  <c r="K44" i="16"/>
  <c r="J44" i="16"/>
  <c r="I44" i="16"/>
  <c r="H44" i="16"/>
  <c r="A44" i="16"/>
  <c r="K43" i="16"/>
  <c r="K46" i="16"/>
  <c r="K42" i="16"/>
  <c r="J43" i="16"/>
  <c r="J41" i="16"/>
  <c r="J42" i="16"/>
  <c r="C53" i="16" l="1"/>
  <c r="D53" i="16" s="1"/>
  <c r="C54" i="16"/>
  <c r="C52" i="16"/>
  <c r="D52" i="16" s="1"/>
  <c r="C36" i="16"/>
  <c r="D36" i="16" s="1"/>
  <c r="C35" i="16"/>
  <c r="D35" i="16" s="1"/>
  <c r="K31" i="1" l="1"/>
  <c r="M322" i="25" l="1"/>
  <c r="F322" i="25"/>
  <c r="M77" i="1"/>
  <c r="M74" i="1"/>
  <c r="M73" i="1"/>
  <c r="K77" i="1"/>
  <c r="K75" i="1"/>
  <c r="K74" i="1"/>
  <c r="K73" i="1"/>
  <c r="O325" i="25"/>
  <c r="H325" i="25"/>
  <c r="F322" i="24"/>
  <c r="H325" i="24"/>
  <c r="D75" i="1" l="1"/>
  <c r="D74" i="1"/>
  <c r="D73" i="1"/>
  <c r="D69" i="1"/>
  <c r="D67" i="1"/>
  <c r="N321" i="24" l="1"/>
  <c r="B44" i="19" l="1"/>
  <c r="B23" i="19" s="1"/>
  <c r="B46" i="19"/>
  <c r="L30" i="1"/>
  <c r="S30" i="1"/>
  <c r="L90" i="2"/>
  <c r="E81" i="1"/>
  <c r="K30" i="1"/>
  <c r="K29" i="1"/>
  <c r="B22" i="19" l="1"/>
  <c r="FM5" i="25"/>
  <c r="D48" i="1" l="1"/>
  <c r="D299" i="2" l="1"/>
  <c r="B297" i="2"/>
  <c r="D297" i="2" s="1"/>
  <c r="C51" i="16" s="1"/>
  <c r="B295" i="2"/>
  <c r="D295" i="2" s="1"/>
  <c r="B294" i="2"/>
  <c r="D294" i="2" s="1"/>
  <c r="B293" i="2"/>
  <c r="D293" i="2" s="1"/>
  <c r="B121" i="2"/>
  <c r="L23" i="1" l="1"/>
  <c r="E24" i="1"/>
  <c r="C45" i="16" s="1"/>
  <c r="T44" i="2" l="1"/>
  <c r="T43" i="2"/>
  <c r="T42" i="2"/>
  <c r="T41" i="2"/>
  <c r="T40" i="2"/>
  <c r="T39" i="2"/>
  <c r="T38" i="2"/>
  <c r="T37" i="2"/>
  <c r="T28" i="2"/>
  <c r="K14" i="1" l="1"/>
  <c r="CN5" i="25" l="1"/>
  <c r="DP216" i="25"/>
  <c r="DP110" i="25"/>
  <c r="CN105" i="25"/>
  <c r="EM105" i="25" s="1"/>
  <c r="CN104" i="25"/>
  <c r="CN103" i="25"/>
  <c r="CN102" i="25"/>
  <c r="EM102" i="25" s="1"/>
  <c r="CN101" i="25"/>
  <c r="EM101" i="25" s="1"/>
  <c r="CN100" i="25"/>
  <c r="CN99" i="25"/>
  <c r="EM99" i="25" s="1"/>
  <c r="CN98" i="25"/>
  <c r="EM98" i="25" s="1"/>
  <c r="CN97" i="25"/>
  <c r="EM97" i="25" s="1"/>
  <c r="CN96" i="25"/>
  <c r="EM96" i="25" s="1"/>
  <c r="CN95" i="25"/>
  <c r="CN94" i="25"/>
  <c r="CN93" i="25"/>
  <c r="EM93" i="25" s="1"/>
  <c r="CN92" i="25"/>
  <c r="EM92" i="25" s="1"/>
  <c r="CN91" i="25"/>
  <c r="CN90" i="25"/>
  <c r="CN89" i="25"/>
  <c r="EM89" i="25" s="1"/>
  <c r="CN88" i="25"/>
  <c r="EM88" i="25" s="1"/>
  <c r="CN87" i="25"/>
  <c r="CN86" i="25"/>
  <c r="CN85" i="25"/>
  <c r="EM85" i="25" s="1"/>
  <c r="CN84" i="25"/>
  <c r="EM84" i="25" s="1"/>
  <c r="CN83" i="25"/>
  <c r="CN82" i="25"/>
  <c r="EM82" i="25" s="1"/>
  <c r="CN81" i="25"/>
  <c r="EM81" i="25" s="1"/>
  <c r="CN80" i="25"/>
  <c r="EM80" i="25" s="1"/>
  <c r="CN79" i="25"/>
  <c r="CN78" i="25"/>
  <c r="EM78" i="25" s="1"/>
  <c r="CN77" i="25"/>
  <c r="CN76" i="25"/>
  <c r="EM76" i="25" s="1"/>
  <c r="CN75" i="25"/>
  <c r="EM75" i="25" s="1"/>
  <c r="CN74" i="25"/>
  <c r="CN73" i="25"/>
  <c r="EM73" i="25" s="1"/>
  <c r="CN72" i="25"/>
  <c r="EM72" i="25" s="1"/>
  <c r="CN71" i="25"/>
  <c r="EM71" i="25" s="1"/>
  <c r="CN70" i="25"/>
  <c r="EM70" i="25" s="1"/>
  <c r="CN69" i="25"/>
  <c r="EM69" i="25" s="1"/>
  <c r="CN68" i="25"/>
  <c r="EM68" i="25" s="1"/>
  <c r="CN67" i="25"/>
  <c r="EM67" i="25" s="1"/>
  <c r="CN66" i="25"/>
  <c r="EM66" i="25" s="1"/>
  <c r="CN65" i="25"/>
  <c r="EM65" i="25" s="1"/>
  <c r="CN64" i="25"/>
  <c r="EM64" i="25" s="1"/>
  <c r="CN63" i="25"/>
  <c r="EM63" i="25" s="1"/>
  <c r="CN62" i="25"/>
  <c r="CN61" i="25"/>
  <c r="EM61" i="25" s="1"/>
  <c r="CN60" i="25"/>
  <c r="EM60" i="25" s="1"/>
  <c r="CN59" i="25"/>
  <c r="EM59" i="25" s="1"/>
  <c r="CN58" i="25"/>
  <c r="CN57" i="25"/>
  <c r="EM57" i="25" s="1"/>
  <c r="CN56" i="25"/>
  <c r="EM56" i="25" s="1"/>
  <c r="CN55" i="25"/>
  <c r="EM55" i="25" s="1"/>
  <c r="CN54" i="25"/>
  <c r="CN53" i="25"/>
  <c r="EM53" i="25" s="1"/>
  <c r="CN52" i="25"/>
  <c r="CN51" i="25"/>
  <c r="EM51" i="25" s="1"/>
  <c r="CN50" i="25"/>
  <c r="CN49" i="25"/>
  <c r="EM49" i="25" s="1"/>
  <c r="CN48" i="25"/>
  <c r="CN47" i="25"/>
  <c r="EM47" i="25" s="1"/>
  <c r="CN46" i="25"/>
  <c r="CN45" i="25"/>
  <c r="EM45" i="25" s="1"/>
  <c r="CN44" i="25"/>
  <c r="CN43" i="25"/>
  <c r="EM43" i="25" s="1"/>
  <c r="CN42" i="25"/>
  <c r="CN41" i="25"/>
  <c r="EM41" i="25" s="1"/>
  <c r="CN40" i="25"/>
  <c r="CN39" i="25"/>
  <c r="EM39" i="25" s="1"/>
  <c r="CN38" i="25"/>
  <c r="CN37" i="25"/>
  <c r="EM37" i="25" s="1"/>
  <c r="CN36" i="25"/>
  <c r="CN35" i="25"/>
  <c r="EM35" i="25" s="1"/>
  <c r="CN34" i="25"/>
  <c r="CN33" i="25"/>
  <c r="EM33" i="25" s="1"/>
  <c r="CN32" i="25"/>
  <c r="CN31" i="25"/>
  <c r="EM31" i="25" s="1"/>
  <c r="CN30" i="25"/>
  <c r="CN29" i="25"/>
  <c r="EM29" i="25" s="1"/>
  <c r="CN28" i="25"/>
  <c r="CN27" i="25"/>
  <c r="EM27" i="25" s="1"/>
  <c r="CN26" i="25"/>
  <c r="CN25" i="25"/>
  <c r="EM25" i="25" s="1"/>
  <c r="CN24" i="25"/>
  <c r="CN23" i="25"/>
  <c r="EM23" i="25" s="1"/>
  <c r="CN22" i="25"/>
  <c r="CN21" i="25"/>
  <c r="EM21" i="25" s="1"/>
  <c r="CN20" i="25"/>
  <c r="CN19" i="25"/>
  <c r="EM19" i="25" s="1"/>
  <c r="CN18" i="25"/>
  <c r="EM18" i="25" s="1"/>
  <c r="CN17" i="25"/>
  <c r="EM17" i="25" s="1"/>
  <c r="CN16" i="25"/>
  <c r="CN15" i="25"/>
  <c r="EM15" i="25" s="1"/>
  <c r="CN14" i="25"/>
  <c r="EM14" i="25" s="1"/>
  <c r="CN13" i="25"/>
  <c r="EM13" i="25" s="1"/>
  <c r="CN12" i="25"/>
  <c r="CN11" i="25"/>
  <c r="EM11" i="25" s="1"/>
  <c r="CN10" i="25"/>
  <c r="EM10" i="25" s="1"/>
  <c r="CN9" i="25"/>
  <c r="EM9" i="25" s="1"/>
  <c r="CN8" i="25"/>
  <c r="CN7" i="25"/>
  <c r="EM7" i="25" s="1"/>
  <c r="CN6" i="25"/>
  <c r="EM6" i="25" s="1"/>
  <c r="DP5" i="25"/>
  <c r="EM12" i="25" l="1"/>
  <c r="EM16" i="25"/>
  <c r="EM28" i="25"/>
  <c r="EM32" i="25"/>
  <c r="EM36" i="25"/>
  <c r="EM48" i="25"/>
  <c r="EM20" i="25"/>
  <c r="EM24" i="25"/>
  <c r="EM8" i="25"/>
  <c r="EM40" i="25"/>
  <c r="EM44" i="25"/>
  <c r="EM22" i="25"/>
  <c r="EM26" i="25"/>
  <c r="EM30" i="25"/>
  <c r="EM34" i="25"/>
  <c r="EM38" i="25"/>
  <c r="EM52" i="25"/>
  <c r="EM42" i="25"/>
  <c r="EM46" i="25"/>
  <c r="EM103" i="25"/>
  <c r="EM77" i="25"/>
  <c r="EM74" i="25"/>
  <c r="EM90" i="25"/>
  <c r="EM50" i="25"/>
  <c r="EM54" i="25"/>
  <c r="EM58" i="25"/>
  <c r="EM62" i="25"/>
  <c r="EM86" i="25"/>
  <c r="EM94" i="25"/>
  <c r="EM100" i="25"/>
  <c r="EM104" i="25"/>
  <c r="EM79" i="25"/>
  <c r="EM83" i="25"/>
  <c r="EM87" i="25"/>
  <c r="EM91" i="25"/>
  <c r="EM95" i="25"/>
  <c r="DQ216" i="24" l="1"/>
  <c r="DQ110" i="24"/>
  <c r="CR108" i="24"/>
  <c r="CM105" i="24"/>
  <c r="CM104" i="24"/>
  <c r="EO104" i="24" s="1"/>
  <c r="CM103" i="24"/>
  <c r="CM102" i="24"/>
  <c r="EO102" i="24" s="1"/>
  <c r="CM101" i="24"/>
  <c r="EO101" i="24" s="1"/>
  <c r="CM100" i="24"/>
  <c r="EO100" i="24" s="1"/>
  <c r="CM99" i="24"/>
  <c r="CM98" i="24"/>
  <c r="CM97" i="24"/>
  <c r="CM96" i="24"/>
  <c r="EO96" i="24" s="1"/>
  <c r="CM95" i="24"/>
  <c r="CM94" i="24"/>
  <c r="EO94" i="24" s="1"/>
  <c r="CM93" i="24"/>
  <c r="EO93" i="24" s="1"/>
  <c r="CM92" i="24"/>
  <c r="EO92" i="24" s="1"/>
  <c r="CM91" i="24"/>
  <c r="CM90" i="24"/>
  <c r="CM89" i="24"/>
  <c r="CM88" i="24"/>
  <c r="CM87" i="24"/>
  <c r="CM86" i="24"/>
  <c r="CM85" i="24"/>
  <c r="CM84" i="24"/>
  <c r="CM83" i="24"/>
  <c r="CM82" i="24"/>
  <c r="CM81" i="24"/>
  <c r="CM80" i="24"/>
  <c r="EO80" i="24" s="1"/>
  <c r="CM79" i="24"/>
  <c r="EO79" i="24" s="1"/>
  <c r="CM78" i="24"/>
  <c r="CM77" i="24"/>
  <c r="EO77" i="24" s="1"/>
  <c r="CM76" i="24"/>
  <c r="CM75" i="24"/>
  <c r="CM74" i="24"/>
  <c r="EO74" i="24" s="1"/>
  <c r="CM73" i="24"/>
  <c r="EO73" i="24" s="1"/>
  <c r="CM72" i="24"/>
  <c r="CM71" i="24"/>
  <c r="CM70" i="24"/>
  <c r="EO70" i="24" s="1"/>
  <c r="CM69" i="24"/>
  <c r="EO69" i="24" s="1"/>
  <c r="CM68" i="24"/>
  <c r="CM67" i="24"/>
  <c r="CM66" i="24"/>
  <c r="CM65" i="24"/>
  <c r="CM64" i="24"/>
  <c r="EO64" i="24" s="1"/>
  <c r="CM63" i="24"/>
  <c r="CM62" i="24"/>
  <c r="CM61" i="24"/>
  <c r="CM60" i="24"/>
  <c r="CM59" i="24"/>
  <c r="CM58" i="24"/>
  <c r="CM57" i="24"/>
  <c r="CM56" i="24"/>
  <c r="CM55" i="24"/>
  <c r="CM54" i="24"/>
  <c r="CM53" i="24"/>
  <c r="EO53" i="24" s="1"/>
  <c r="CM52" i="24"/>
  <c r="EO52" i="24" s="1"/>
  <c r="CM51" i="24"/>
  <c r="CM50" i="24"/>
  <c r="EO50" i="24" s="1"/>
  <c r="CM49" i="24"/>
  <c r="CM48" i="24"/>
  <c r="CM47" i="24"/>
  <c r="CM46" i="24"/>
  <c r="CM45" i="24"/>
  <c r="CM44" i="24"/>
  <c r="EO44" i="24" s="1"/>
  <c r="CM43" i="24"/>
  <c r="CM42" i="24"/>
  <c r="EO42" i="24" s="1"/>
  <c r="CM41" i="24"/>
  <c r="CM40" i="24"/>
  <c r="CM39" i="24"/>
  <c r="CM38" i="24"/>
  <c r="EO38" i="24" s="1"/>
  <c r="CM37" i="24"/>
  <c r="CM36" i="24"/>
  <c r="CM35" i="24"/>
  <c r="CM34" i="24"/>
  <c r="CM33" i="24"/>
  <c r="CM32" i="24"/>
  <c r="CM31" i="24"/>
  <c r="CM30" i="24"/>
  <c r="EO30" i="24" s="1"/>
  <c r="CM29" i="24"/>
  <c r="CM28" i="24"/>
  <c r="CM27" i="24"/>
  <c r="CM26" i="24"/>
  <c r="CM25" i="24"/>
  <c r="CM24" i="24"/>
  <c r="CM23" i="24"/>
  <c r="CM22" i="24"/>
  <c r="CM21" i="24"/>
  <c r="EO21" i="24" s="1"/>
  <c r="CM20" i="24"/>
  <c r="CM19" i="24"/>
  <c r="EO19" i="24" s="1"/>
  <c r="CM18" i="24"/>
  <c r="EO18" i="24" s="1"/>
  <c r="CM17" i="24"/>
  <c r="CM16" i="24"/>
  <c r="CM15" i="24"/>
  <c r="CM14" i="24"/>
  <c r="CM13" i="24"/>
  <c r="CM12" i="24"/>
  <c r="CM11" i="24"/>
  <c r="CM10" i="24"/>
  <c r="EO10" i="24" s="1"/>
  <c r="CM9" i="24"/>
  <c r="CM8" i="24"/>
  <c r="CM7" i="24"/>
  <c r="EO7" i="24" s="1"/>
  <c r="CM6" i="24"/>
  <c r="DQ5" i="24"/>
  <c r="CM5" i="24"/>
  <c r="EO5" i="24" s="1"/>
  <c r="EF1" i="24"/>
  <c r="EO88" i="24" l="1"/>
  <c r="EO86" i="24"/>
  <c r="EO45" i="24"/>
  <c r="EO35" i="24"/>
  <c r="EO27" i="24"/>
  <c r="EO40" i="24"/>
  <c r="EO56" i="24"/>
  <c r="EO48" i="24"/>
  <c r="EO37" i="24"/>
  <c r="EO68" i="24"/>
  <c r="EO20" i="24"/>
  <c r="EO11" i="24"/>
  <c r="EO29" i="24"/>
  <c r="EO72" i="24"/>
  <c r="EO78" i="24"/>
  <c r="EO54" i="24"/>
  <c r="EO62" i="24"/>
  <c r="EO36" i="24"/>
  <c r="EO13" i="24"/>
  <c r="EO12" i="24"/>
  <c r="EO28" i="24"/>
  <c r="EO60" i="24"/>
  <c r="EO90" i="24"/>
  <c r="EO55" i="24"/>
  <c r="EO15" i="24"/>
  <c r="EO33" i="24"/>
  <c r="EO34" i="24"/>
  <c r="EO25" i="24"/>
  <c r="EO8" i="24"/>
  <c r="EO9" i="24"/>
  <c r="EO17" i="24"/>
  <c r="EO23" i="24"/>
  <c r="EO26" i="24"/>
  <c r="EO6" i="24"/>
  <c r="EO14" i="24"/>
  <c r="EO22" i="24"/>
  <c r="EO49" i="24"/>
  <c r="EO31" i="24"/>
  <c r="EO16" i="24"/>
  <c r="EO24" i="24"/>
  <c r="EO32" i="24"/>
  <c r="EO57" i="24"/>
  <c r="EO39" i="24"/>
  <c r="EO46" i="24"/>
  <c r="EO61" i="24"/>
  <c r="EO65" i="24"/>
  <c r="EO47" i="24"/>
  <c r="EO71" i="24"/>
  <c r="EO41" i="24"/>
  <c r="EO58" i="24"/>
  <c r="EO82" i="24"/>
  <c r="EO43" i="24"/>
  <c r="EO51" i="24"/>
  <c r="EO59" i="24"/>
  <c r="EO83" i="24"/>
  <c r="EO87" i="24"/>
  <c r="EO67" i="24"/>
  <c r="EO75" i="24"/>
  <c r="EO66" i="24"/>
  <c r="EO76" i="24"/>
  <c r="EO85" i="24"/>
  <c r="EO99" i="24"/>
  <c r="EO63" i="24"/>
  <c r="EO91" i="24"/>
  <c r="EO81" i="24"/>
  <c r="EO89" i="24"/>
  <c r="EO84" i="24"/>
  <c r="EO105" i="24"/>
  <c r="EO97" i="24"/>
  <c r="EO98" i="24"/>
  <c r="EO95" i="24"/>
  <c r="EO103" i="24"/>
  <c r="W63" i="1"/>
  <c r="B39" i="29"/>
  <c r="B38" i="29"/>
  <c r="B37" i="29"/>
  <c r="D49" i="29"/>
  <c r="D13" i="1" l="1"/>
  <c r="F13" i="1"/>
  <c r="B35" i="19"/>
  <c r="B33" i="29" l="1"/>
  <c r="B34" i="29" s="1"/>
  <c r="B30" i="29"/>
  <c r="V43" i="2" l="1"/>
  <c r="R43" i="2"/>
  <c r="V44" i="2"/>
  <c r="V42" i="2"/>
  <c r="V41" i="2"/>
  <c r="V40" i="2"/>
  <c r="V39" i="2"/>
  <c r="V38" i="2"/>
  <c r="V36" i="2"/>
  <c r="V34" i="2"/>
  <c r="V33" i="2"/>
  <c r="V32" i="2"/>
  <c r="V31" i="2"/>
  <c r="V30" i="2"/>
  <c r="V29" i="2"/>
  <c r="V28" i="2"/>
  <c r="W47" i="2"/>
  <c r="R48" i="2"/>
  <c r="R47" i="2"/>
  <c r="Q89" i="2" s="1"/>
  <c r="V45" i="2"/>
  <c r="R45" i="2"/>
  <c r="R44" i="2"/>
  <c r="R41" i="2"/>
  <c r="R39" i="2"/>
  <c r="R37" i="2"/>
  <c r="R35" i="2"/>
  <c r="R33" i="2"/>
  <c r="D37" i="29" l="1"/>
  <c r="C43" i="29" l="1"/>
  <c r="C42" i="29"/>
  <c r="C41" i="29"/>
  <c r="A43" i="29"/>
  <c r="A42" i="29"/>
  <c r="A41" i="29"/>
  <c r="R31" i="2" l="1"/>
  <c r="B13" i="29"/>
  <c r="R32" i="2"/>
  <c r="R34" i="2"/>
  <c r="R36" i="2"/>
  <c r="R38" i="2"/>
  <c r="R40" i="2"/>
  <c r="R42" i="2"/>
  <c r="B45" i="19"/>
  <c r="B41" i="19"/>
  <c r="D12" i="1"/>
  <c r="F12" i="1"/>
  <c r="B36" i="19"/>
  <c r="L3" i="29" l="1"/>
  <c r="D39" i="29"/>
  <c r="D38" i="29"/>
  <c r="D32" i="29"/>
  <c r="D31" i="29"/>
  <c r="O3" i="29" s="1"/>
  <c r="AK687" i="29"/>
  <c r="AB613" i="29"/>
  <c r="H613" i="29"/>
  <c r="AB612" i="29"/>
  <c r="H612" i="29"/>
  <c r="AB611" i="29"/>
  <c r="H611" i="29"/>
  <c r="AB610" i="29"/>
  <c r="H610" i="29"/>
  <c r="AB609" i="29"/>
  <c r="H609" i="29"/>
  <c r="AB608" i="29"/>
  <c r="H608" i="29"/>
  <c r="AB607" i="29"/>
  <c r="H607" i="29"/>
  <c r="AB606" i="29"/>
  <c r="H606" i="29"/>
  <c r="AB605" i="29"/>
  <c r="H605" i="29"/>
  <c r="AB604" i="29"/>
  <c r="H604" i="29"/>
  <c r="AB603" i="29"/>
  <c r="H603" i="29"/>
  <c r="AB602" i="29"/>
  <c r="H602" i="29"/>
  <c r="AB601" i="29"/>
  <c r="H601" i="29"/>
  <c r="AB600" i="29"/>
  <c r="H600" i="29"/>
  <c r="AB599" i="29"/>
  <c r="H599" i="29"/>
  <c r="AB598" i="29"/>
  <c r="H598" i="29"/>
  <c r="AB597" i="29"/>
  <c r="H597" i="29"/>
  <c r="AB596" i="29"/>
  <c r="H596" i="29"/>
  <c r="AB595" i="29"/>
  <c r="H595" i="29"/>
  <c r="AB594" i="29"/>
  <c r="H594" i="29"/>
  <c r="AB593" i="29"/>
  <c r="H593" i="29"/>
  <c r="AB592" i="29"/>
  <c r="H592" i="29"/>
  <c r="AB591" i="29"/>
  <c r="H591" i="29"/>
  <c r="AB590" i="29"/>
  <c r="H590" i="29"/>
  <c r="AB589" i="29"/>
  <c r="H589" i="29"/>
  <c r="AB588" i="29"/>
  <c r="H588" i="29"/>
  <c r="AB587" i="29"/>
  <c r="H587" i="29"/>
  <c r="AB586" i="29"/>
  <c r="H586" i="29"/>
  <c r="AB585" i="29"/>
  <c r="H585" i="29"/>
  <c r="AB584" i="29"/>
  <c r="H584" i="29"/>
  <c r="AB583" i="29"/>
  <c r="H583" i="29"/>
  <c r="AB582" i="29"/>
  <c r="H582" i="29"/>
  <c r="AB581" i="29"/>
  <c r="H581" i="29"/>
  <c r="AB580" i="29"/>
  <c r="H580" i="29"/>
  <c r="AB579" i="29"/>
  <c r="H579" i="29"/>
  <c r="AB578" i="29"/>
  <c r="H578" i="29"/>
  <c r="AB577" i="29"/>
  <c r="H577" i="29"/>
  <c r="AB576" i="29"/>
  <c r="H576" i="29"/>
  <c r="AB575" i="29"/>
  <c r="H575" i="29"/>
  <c r="AB574" i="29"/>
  <c r="H574" i="29"/>
  <c r="AB573" i="29"/>
  <c r="H573" i="29"/>
  <c r="AB572" i="29"/>
  <c r="H572" i="29"/>
  <c r="AB571" i="29"/>
  <c r="H571" i="29"/>
  <c r="AB570" i="29"/>
  <c r="H570" i="29"/>
  <c r="AB569" i="29"/>
  <c r="H569" i="29"/>
  <c r="AB568" i="29"/>
  <c r="H568" i="29"/>
  <c r="AB567" i="29"/>
  <c r="H567" i="29"/>
  <c r="AB566" i="29"/>
  <c r="H566" i="29"/>
  <c r="AB565" i="29"/>
  <c r="H565" i="29"/>
  <c r="AB564" i="29"/>
  <c r="H564" i="29"/>
  <c r="AB563" i="29"/>
  <c r="H563" i="29"/>
  <c r="AB562" i="29"/>
  <c r="H562" i="29"/>
  <c r="AB561" i="29"/>
  <c r="H561" i="29"/>
  <c r="AB560" i="29"/>
  <c r="H560" i="29"/>
  <c r="AB559" i="29"/>
  <c r="H559" i="29"/>
  <c r="AB558" i="29"/>
  <c r="H558" i="29"/>
  <c r="AB557" i="29"/>
  <c r="H557" i="29"/>
  <c r="AB556" i="29"/>
  <c r="H556" i="29"/>
  <c r="AB555" i="29"/>
  <c r="H555" i="29"/>
  <c r="AB554" i="29"/>
  <c r="H554" i="29"/>
  <c r="AB553" i="29"/>
  <c r="H553" i="29"/>
  <c r="AB552" i="29"/>
  <c r="H552" i="29"/>
  <c r="AB551" i="29"/>
  <c r="H551" i="29"/>
  <c r="AB550" i="29"/>
  <c r="H550" i="29"/>
  <c r="AB549" i="29"/>
  <c r="H549" i="29"/>
  <c r="AB548" i="29"/>
  <c r="H548" i="29"/>
  <c r="AB547" i="29"/>
  <c r="H547" i="29"/>
  <c r="AB546" i="29"/>
  <c r="H546" i="29"/>
  <c r="AB545" i="29"/>
  <c r="H545" i="29"/>
  <c r="AB544" i="29"/>
  <c r="H544" i="29"/>
  <c r="AB543" i="29"/>
  <c r="H543" i="29"/>
  <c r="AB542" i="29"/>
  <c r="H542" i="29"/>
  <c r="AB541" i="29"/>
  <c r="H541" i="29"/>
  <c r="AB540" i="29"/>
  <c r="H540" i="29"/>
  <c r="AB539" i="29"/>
  <c r="H539" i="29"/>
  <c r="AB538" i="29"/>
  <c r="H538" i="29"/>
  <c r="AB537" i="29"/>
  <c r="H537" i="29"/>
  <c r="AB536" i="29"/>
  <c r="H536" i="29"/>
  <c r="AB535" i="29"/>
  <c r="H535" i="29"/>
  <c r="AB534" i="29"/>
  <c r="H534" i="29"/>
  <c r="AB533" i="29"/>
  <c r="H533" i="29"/>
  <c r="AB532" i="29"/>
  <c r="H532" i="29"/>
  <c r="AB531" i="29"/>
  <c r="H531" i="29"/>
  <c r="AB530" i="29"/>
  <c r="H530" i="29"/>
  <c r="AB529" i="29"/>
  <c r="H529" i="29"/>
  <c r="AB528" i="29"/>
  <c r="H528" i="29"/>
  <c r="AB527" i="29"/>
  <c r="H527" i="29"/>
  <c r="AB526" i="29"/>
  <c r="H526" i="29"/>
  <c r="AB525" i="29"/>
  <c r="H525" i="29"/>
  <c r="AB524" i="29"/>
  <c r="H524" i="29"/>
  <c r="AB523" i="29"/>
  <c r="H523" i="29"/>
  <c r="AB522" i="29"/>
  <c r="H522" i="29"/>
  <c r="AB521" i="29"/>
  <c r="H521" i="29"/>
  <c r="AB520" i="29"/>
  <c r="H520" i="29"/>
  <c r="AB519" i="29"/>
  <c r="H519" i="29"/>
  <c r="AB518" i="29"/>
  <c r="H518" i="29"/>
  <c r="AB517" i="29"/>
  <c r="H517" i="29"/>
  <c r="AB516" i="29"/>
  <c r="H516" i="29"/>
  <c r="AB515" i="29"/>
  <c r="H515" i="29"/>
  <c r="AB514" i="29"/>
  <c r="H514" i="29"/>
  <c r="AB513" i="29"/>
  <c r="H513" i="29"/>
  <c r="AB512" i="29"/>
  <c r="H512" i="29"/>
  <c r="AB511" i="29"/>
  <c r="H511" i="29"/>
  <c r="AB510" i="29"/>
  <c r="H510" i="29"/>
  <c r="AB509" i="29"/>
  <c r="H509" i="29"/>
  <c r="AB508" i="29"/>
  <c r="H508" i="29"/>
  <c r="AB507" i="29"/>
  <c r="H507" i="29"/>
  <c r="AB506" i="29"/>
  <c r="H506" i="29"/>
  <c r="AB505" i="29"/>
  <c r="H505" i="29"/>
  <c r="AB504" i="29"/>
  <c r="H504" i="29"/>
  <c r="AB503" i="29"/>
  <c r="H503" i="29"/>
  <c r="AB502" i="29"/>
  <c r="H502" i="29"/>
  <c r="AB501" i="29"/>
  <c r="H501" i="29"/>
  <c r="AB500" i="29"/>
  <c r="H500" i="29"/>
  <c r="AB499" i="29"/>
  <c r="H499" i="29"/>
  <c r="AB498" i="29"/>
  <c r="H498" i="29"/>
  <c r="AB497" i="29"/>
  <c r="H497" i="29"/>
  <c r="AB496" i="29"/>
  <c r="H496" i="29"/>
  <c r="AB495" i="29"/>
  <c r="H495" i="29"/>
  <c r="AB494" i="29"/>
  <c r="H494" i="29"/>
  <c r="AB493" i="29"/>
  <c r="H493" i="29"/>
  <c r="AB492" i="29"/>
  <c r="H492" i="29"/>
  <c r="AB491" i="29"/>
  <c r="H491" i="29"/>
  <c r="AB490" i="29"/>
  <c r="H490" i="29"/>
  <c r="AB489" i="29"/>
  <c r="H489" i="29"/>
  <c r="AB488" i="29"/>
  <c r="H488" i="29"/>
  <c r="AB487" i="29"/>
  <c r="H487" i="29"/>
  <c r="AB486" i="29"/>
  <c r="H486" i="29"/>
  <c r="AB485" i="29"/>
  <c r="H485" i="29"/>
  <c r="AB484" i="29"/>
  <c r="H484" i="29"/>
  <c r="AB483" i="29"/>
  <c r="H483" i="29"/>
  <c r="AB482" i="29"/>
  <c r="H482" i="29"/>
  <c r="AB481" i="29"/>
  <c r="H481" i="29"/>
  <c r="AB480" i="29"/>
  <c r="H480" i="29"/>
  <c r="AB479" i="29"/>
  <c r="H479" i="29"/>
  <c r="AB478" i="29"/>
  <c r="H478" i="29"/>
  <c r="AB477" i="29"/>
  <c r="H477" i="29"/>
  <c r="AB476" i="29"/>
  <c r="H476" i="29"/>
  <c r="AB475" i="29"/>
  <c r="H475" i="29"/>
  <c r="AB474" i="29"/>
  <c r="H474" i="29"/>
  <c r="AB473" i="29"/>
  <c r="H473" i="29"/>
  <c r="AB472" i="29"/>
  <c r="H472" i="29"/>
  <c r="AB471" i="29"/>
  <c r="H471" i="29"/>
  <c r="AB470" i="29"/>
  <c r="H470" i="29"/>
  <c r="AB469" i="29"/>
  <c r="H469" i="29"/>
  <c r="AB468" i="29"/>
  <c r="H468" i="29"/>
  <c r="AB467" i="29"/>
  <c r="H467" i="29"/>
  <c r="AB466" i="29"/>
  <c r="H466" i="29"/>
  <c r="AB465" i="29"/>
  <c r="H465" i="29"/>
  <c r="AB464" i="29"/>
  <c r="H464" i="29"/>
  <c r="AB463" i="29"/>
  <c r="H463" i="29"/>
  <c r="AB462" i="29"/>
  <c r="H462" i="29"/>
  <c r="AB461" i="29"/>
  <c r="H461" i="29"/>
  <c r="AB460" i="29"/>
  <c r="H460" i="29"/>
  <c r="AB459" i="29"/>
  <c r="H459" i="29"/>
  <c r="AB458" i="29"/>
  <c r="H458" i="29"/>
  <c r="AB457" i="29"/>
  <c r="H457" i="29"/>
  <c r="AB456" i="29"/>
  <c r="H456" i="29"/>
  <c r="AB455" i="29"/>
  <c r="H455" i="29"/>
  <c r="AB454" i="29"/>
  <c r="H454" i="29"/>
  <c r="AB453" i="29"/>
  <c r="H453" i="29"/>
  <c r="AB452" i="29"/>
  <c r="H452" i="29"/>
  <c r="AB451" i="29"/>
  <c r="H451" i="29"/>
  <c r="AB450" i="29"/>
  <c r="H450" i="29"/>
  <c r="AB449" i="29"/>
  <c r="H449" i="29"/>
  <c r="AB448" i="29"/>
  <c r="H448" i="29"/>
  <c r="AB447" i="29"/>
  <c r="H447" i="29"/>
  <c r="AB446" i="29"/>
  <c r="H446" i="29"/>
  <c r="AB445" i="29"/>
  <c r="H445" i="29"/>
  <c r="AB444" i="29"/>
  <c r="H444" i="29"/>
  <c r="AB443" i="29"/>
  <c r="H443" i="29"/>
  <c r="AB442" i="29"/>
  <c r="H442" i="29"/>
  <c r="AB441" i="29"/>
  <c r="H441" i="29"/>
  <c r="AB440" i="29"/>
  <c r="H440" i="29"/>
  <c r="AB439" i="29"/>
  <c r="H439" i="29"/>
  <c r="AB438" i="29"/>
  <c r="H438" i="29"/>
  <c r="AB437" i="29"/>
  <c r="H437" i="29"/>
  <c r="AB436" i="29"/>
  <c r="H436" i="29"/>
  <c r="AB435" i="29"/>
  <c r="H435" i="29"/>
  <c r="AB434" i="29"/>
  <c r="H434" i="29"/>
  <c r="AB433" i="29"/>
  <c r="H433" i="29"/>
  <c r="AB432" i="29"/>
  <c r="H432" i="29"/>
  <c r="AB431" i="29"/>
  <c r="H431" i="29"/>
  <c r="AB430" i="29"/>
  <c r="H430" i="29"/>
  <c r="AB429" i="29"/>
  <c r="H429" i="29"/>
  <c r="AB428" i="29"/>
  <c r="H428" i="29"/>
  <c r="AB427" i="29"/>
  <c r="H427" i="29"/>
  <c r="AB426" i="29"/>
  <c r="H426" i="29"/>
  <c r="AB425" i="29"/>
  <c r="H425" i="29"/>
  <c r="AB424" i="29"/>
  <c r="H424" i="29"/>
  <c r="AB423" i="29"/>
  <c r="H423" i="29"/>
  <c r="AB422" i="29"/>
  <c r="H422" i="29"/>
  <c r="AB421" i="29"/>
  <c r="H421" i="29"/>
  <c r="AB420" i="29"/>
  <c r="H420" i="29"/>
  <c r="AB419" i="29"/>
  <c r="H419" i="29"/>
  <c r="AB418" i="29"/>
  <c r="H418" i="29"/>
  <c r="AB417" i="29"/>
  <c r="H417" i="29"/>
  <c r="AB416" i="29"/>
  <c r="H416" i="29"/>
  <c r="AB415" i="29"/>
  <c r="H415" i="29"/>
  <c r="AB414" i="29"/>
  <c r="H414" i="29"/>
  <c r="AB413" i="29"/>
  <c r="H413" i="29"/>
  <c r="AB412" i="29"/>
  <c r="H412" i="29"/>
  <c r="AB411" i="29"/>
  <c r="H411" i="29"/>
  <c r="AB410" i="29"/>
  <c r="H410" i="29"/>
  <c r="AB409" i="29"/>
  <c r="H409" i="29"/>
  <c r="AB408" i="29"/>
  <c r="H408" i="29"/>
  <c r="AB407" i="29"/>
  <c r="H407" i="29"/>
  <c r="AB406" i="29"/>
  <c r="H406" i="29"/>
  <c r="AB405" i="29"/>
  <c r="H405" i="29"/>
  <c r="AB404" i="29"/>
  <c r="H404" i="29"/>
  <c r="AB403" i="29"/>
  <c r="H403" i="29"/>
  <c r="AB402" i="29"/>
  <c r="H402" i="29"/>
  <c r="AB401" i="29"/>
  <c r="H401" i="29"/>
  <c r="AB400" i="29"/>
  <c r="H400" i="29"/>
  <c r="AB399" i="29"/>
  <c r="H399" i="29"/>
  <c r="AB398" i="29"/>
  <c r="H398" i="29"/>
  <c r="AB397" i="29"/>
  <c r="H397" i="29"/>
  <c r="AB396" i="29"/>
  <c r="H396" i="29"/>
  <c r="AB395" i="29"/>
  <c r="H395" i="29"/>
  <c r="AB394" i="29"/>
  <c r="H394" i="29"/>
  <c r="AB393" i="29"/>
  <c r="H393" i="29"/>
  <c r="AB392" i="29"/>
  <c r="H392" i="29"/>
  <c r="AB391" i="29"/>
  <c r="H391" i="29"/>
  <c r="AB390" i="29"/>
  <c r="H390" i="29"/>
  <c r="AB389" i="29"/>
  <c r="H389" i="29"/>
  <c r="AB388" i="29"/>
  <c r="H388" i="29"/>
  <c r="AB387" i="29"/>
  <c r="H387" i="29"/>
  <c r="AB386" i="29"/>
  <c r="H386" i="29"/>
  <c r="AB385" i="29"/>
  <c r="H385" i="29"/>
  <c r="AB384" i="29"/>
  <c r="H384" i="29"/>
  <c r="AB383" i="29"/>
  <c r="H383" i="29"/>
  <c r="AB382" i="29"/>
  <c r="H382" i="29"/>
  <c r="AB381" i="29"/>
  <c r="H381" i="29"/>
  <c r="AB380" i="29"/>
  <c r="H380" i="29"/>
  <c r="AB379" i="29"/>
  <c r="H379" i="29"/>
  <c r="AB378" i="29"/>
  <c r="H378" i="29"/>
  <c r="AB377" i="29"/>
  <c r="H377" i="29"/>
  <c r="AB376" i="29"/>
  <c r="H376" i="29"/>
  <c r="AB375" i="29"/>
  <c r="H375" i="29"/>
  <c r="AB374" i="29"/>
  <c r="H374" i="29"/>
  <c r="AB373" i="29"/>
  <c r="H373" i="29"/>
  <c r="AB372" i="29"/>
  <c r="H372" i="29"/>
  <c r="AB371" i="29"/>
  <c r="H371" i="29"/>
  <c r="AB370" i="29"/>
  <c r="H370" i="29"/>
  <c r="AB369" i="29"/>
  <c r="H369" i="29"/>
  <c r="AB368" i="29"/>
  <c r="H368" i="29"/>
  <c r="AB367" i="29"/>
  <c r="H367" i="29"/>
  <c r="AB366" i="29"/>
  <c r="H366" i="29"/>
  <c r="AB365" i="29"/>
  <c r="H365" i="29"/>
  <c r="AB364" i="29"/>
  <c r="H364" i="29"/>
  <c r="AB363" i="29"/>
  <c r="H363" i="29"/>
  <c r="AB362" i="29"/>
  <c r="H362" i="29"/>
  <c r="AB361" i="29"/>
  <c r="H361" i="29"/>
  <c r="AB360" i="29"/>
  <c r="H360" i="29"/>
  <c r="AB359" i="29"/>
  <c r="H359" i="29"/>
  <c r="AB358" i="29"/>
  <c r="H358" i="29"/>
  <c r="AB357" i="29"/>
  <c r="H357" i="29"/>
  <c r="AB356" i="29"/>
  <c r="H356" i="29"/>
  <c r="AB355" i="29"/>
  <c r="H355" i="29"/>
  <c r="AB354" i="29"/>
  <c r="H354" i="29"/>
  <c r="AB353" i="29"/>
  <c r="H353" i="29"/>
  <c r="AB352" i="29"/>
  <c r="H352" i="29"/>
  <c r="AB351" i="29"/>
  <c r="H351" i="29"/>
  <c r="AB350" i="29"/>
  <c r="H350" i="29"/>
  <c r="AB349" i="29"/>
  <c r="H349" i="29"/>
  <c r="AB348" i="29"/>
  <c r="H348" i="29"/>
  <c r="AB347" i="29"/>
  <c r="H347" i="29"/>
  <c r="AB346" i="29"/>
  <c r="H346" i="29"/>
  <c r="AB345" i="29"/>
  <c r="H345" i="29"/>
  <c r="AB344" i="29"/>
  <c r="H344" i="29"/>
  <c r="AB343" i="29"/>
  <c r="H343" i="29"/>
  <c r="AB342" i="29"/>
  <c r="H342" i="29"/>
  <c r="AB341" i="29"/>
  <c r="H341" i="29"/>
  <c r="AB340" i="29"/>
  <c r="H340" i="29"/>
  <c r="AB339" i="29"/>
  <c r="H339" i="29"/>
  <c r="AB338" i="29"/>
  <c r="H338" i="29"/>
  <c r="AB337" i="29"/>
  <c r="H337" i="29"/>
  <c r="AB336" i="29"/>
  <c r="H336" i="29"/>
  <c r="AB335" i="29"/>
  <c r="H335" i="29"/>
  <c r="AB334" i="29"/>
  <c r="H334" i="29"/>
  <c r="AB333" i="29"/>
  <c r="H333" i="29"/>
  <c r="AB332" i="29"/>
  <c r="H332" i="29"/>
  <c r="AB331" i="29"/>
  <c r="H331" i="29"/>
  <c r="AB330" i="29"/>
  <c r="H330" i="29"/>
  <c r="AB329" i="29"/>
  <c r="H329" i="29"/>
  <c r="AB328" i="29"/>
  <c r="H328" i="29"/>
  <c r="AB327" i="29"/>
  <c r="H327" i="29"/>
  <c r="AB326" i="29"/>
  <c r="H326" i="29"/>
  <c r="AB325" i="29"/>
  <c r="H325" i="29"/>
  <c r="AB324" i="29"/>
  <c r="H324" i="29"/>
  <c r="AB323" i="29"/>
  <c r="H323" i="29"/>
  <c r="AB322" i="29"/>
  <c r="H322" i="29"/>
  <c r="AB321" i="29"/>
  <c r="H321" i="29"/>
  <c r="AB320" i="29"/>
  <c r="H320" i="29"/>
  <c r="AB319" i="29"/>
  <c r="H319" i="29"/>
  <c r="AB318" i="29"/>
  <c r="H318" i="29"/>
  <c r="AB317" i="29"/>
  <c r="H317" i="29"/>
  <c r="AB316" i="29"/>
  <c r="H316" i="29"/>
  <c r="AB315" i="29"/>
  <c r="H315" i="29"/>
  <c r="AB314" i="29"/>
  <c r="H314" i="29"/>
  <c r="AB313" i="29"/>
  <c r="H313" i="29"/>
  <c r="AB312" i="29"/>
  <c r="H312" i="29"/>
  <c r="AB311" i="29"/>
  <c r="H311" i="29"/>
  <c r="AB310" i="29"/>
  <c r="H310" i="29"/>
  <c r="AB309" i="29"/>
  <c r="H309" i="29"/>
  <c r="AB308" i="29"/>
  <c r="H308" i="29"/>
  <c r="AB307" i="29"/>
  <c r="H307" i="29"/>
  <c r="AB306" i="29"/>
  <c r="H306" i="29"/>
  <c r="AB305" i="29"/>
  <c r="H305" i="29"/>
  <c r="AB304" i="29"/>
  <c r="H304" i="29"/>
  <c r="AB303" i="29"/>
  <c r="H303" i="29"/>
  <c r="AB302" i="29"/>
  <c r="H302" i="29"/>
  <c r="AB301" i="29"/>
  <c r="H301" i="29"/>
  <c r="AB300" i="29"/>
  <c r="H300" i="29"/>
  <c r="AB299" i="29"/>
  <c r="H299" i="29"/>
  <c r="AB298" i="29"/>
  <c r="H298" i="29"/>
  <c r="AB297" i="29"/>
  <c r="H297" i="29"/>
  <c r="AB296" i="29"/>
  <c r="H296" i="29"/>
  <c r="AB295" i="29"/>
  <c r="H295" i="29"/>
  <c r="AB294" i="29"/>
  <c r="H294" i="29"/>
  <c r="AB293" i="29"/>
  <c r="H293" i="29"/>
  <c r="AB292" i="29"/>
  <c r="H292" i="29"/>
  <c r="AB291" i="29"/>
  <c r="H291" i="29"/>
  <c r="AB290" i="29"/>
  <c r="H290" i="29"/>
  <c r="AB289" i="29"/>
  <c r="H289" i="29"/>
  <c r="AB288" i="29"/>
  <c r="H288" i="29"/>
  <c r="AB287" i="29"/>
  <c r="H287" i="29"/>
  <c r="AB286" i="29"/>
  <c r="H286" i="29"/>
  <c r="AB285" i="29"/>
  <c r="H285" i="29"/>
  <c r="AB284" i="29"/>
  <c r="H284" i="29"/>
  <c r="AB283" i="29"/>
  <c r="H283" i="29"/>
  <c r="AB282" i="29"/>
  <c r="H282" i="29"/>
  <c r="AB281" i="29"/>
  <c r="H281" i="29"/>
  <c r="AB280" i="29"/>
  <c r="H280" i="29"/>
  <c r="AB279" i="29"/>
  <c r="H279" i="29"/>
  <c r="AB278" i="29"/>
  <c r="H278" i="29"/>
  <c r="AB277" i="29"/>
  <c r="H277" i="29"/>
  <c r="AB276" i="29"/>
  <c r="H276" i="29"/>
  <c r="AB275" i="29"/>
  <c r="H275" i="29"/>
  <c r="AB274" i="29"/>
  <c r="H274" i="29"/>
  <c r="AB273" i="29"/>
  <c r="H273" i="29"/>
  <c r="AB272" i="29"/>
  <c r="H272" i="29"/>
  <c r="AB271" i="29"/>
  <c r="H271" i="29"/>
  <c r="AB270" i="29"/>
  <c r="H270" i="29"/>
  <c r="AB269" i="29"/>
  <c r="H269" i="29"/>
  <c r="AB268" i="29"/>
  <c r="H268" i="29"/>
  <c r="AB267" i="29"/>
  <c r="H267" i="29"/>
  <c r="AB266" i="29"/>
  <c r="H266" i="29"/>
  <c r="AB265" i="29"/>
  <c r="H265" i="29"/>
  <c r="AB264" i="29"/>
  <c r="H264" i="29"/>
  <c r="AB263" i="29"/>
  <c r="H263" i="29"/>
  <c r="AB262" i="29"/>
  <c r="H262" i="29"/>
  <c r="AB261" i="29"/>
  <c r="H261" i="29"/>
  <c r="AB260" i="29"/>
  <c r="H260" i="29"/>
  <c r="AB259" i="29"/>
  <c r="H259" i="29"/>
  <c r="AB258" i="29"/>
  <c r="H258" i="29"/>
  <c r="AB257" i="29"/>
  <c r="H257" i="29"/>
  <c r="AB256" i="29"/>
  <c r="H256" i="29"/>
  <c r="AB255" i="29"/>
  <c r="H255" i="29"/>
  <c r="AB254" i="29"/>
  <c r="H254" i="29"/>
  <c r="AB253" i="29"/>
  <c r="H253" i="29"/>
  <c r="AB252" i="29"/>
  <c r="H252" i="29"/>
  <c r="AB251" i="29"/>
  <c r="H251" i="29"/>
  <c r="AB250" i="29"/>
  <c r="H250" i="29"/>
  <c r="AB249" i="29"/>
  <c r="H249" i="29"/>
  <c r="AB248" i="29"/>
  <c r="H248" i="29"/>
  <c r="AB247" i="29"/>
  <c r="H247" i="29"/>
  <c r="AB246" i="29"/>
  <c r="H246" i="29"/>
  <c r="AB245" i="29"/>
  <c r="H245" i="29"/>
  <c r="AB244" i="29"/>
  <c r="H244" i="29"/>
  <c r="AB243" i="29"/>
  <c r="H243" i="29"/>
  <c r="AB242" i="29"/>
  <c r="H242" i="29"/>
  <c r="AB241" i="29"/>
  <c r="H241" i="29"/>
  <c r="AB240" i="29"/>
  <c r="H240" i="29"/>
  <c r="AB239" i="29"/>
  <c r="H239" i="29"/>
  <c r="AB238" i="29"/>
  <c r="H238" i="29"/>
  <c r="AB237" i="29"/>
  <c r="H237" i="29"/>
  <c r="AB236" i="29"/>
  <c r="H236" i="29"/>
  <c r="AB235" i="29"/>
  <c r="H235" i="29"/>
  <c r="AB234" i="29"/>
  <c r="H234" i="29"/>
  <c r="AB233" i="29"/>
  <c r="H233" i="29"/>
  <c r="AB232" i="29"/>
  <c r="H232" i="29"/>
  <c r="AB231" i="29"/>
  <c r="H231" i="29"/>
  <c r="AB230" i="29"/>
  <c r="H230" i="29"/>
  <c r="AB229" i="29"/>
  <c r="H229" i="29"/>
  <c r="AB228" i="29"/>
  <c r="H228" i="29"/>
  <c r="AB227" i="29"/>
  <c r="H227" i="29"/>
  <c r="AB226" i="29"/>
  <c r="H226" i="29"/>
  <c r="AB225" i="29"/>
  <c r="H225" i="29"/>
  <c r="AB224" i="29"/>
  <c r="H224" i="29"/>
  <c r="AB223" i="29"/>
  <c r="H223" i="29"/>
  <c r="AB222" i="29"/>
  <c r="H222" i="29"/>
  <c r="AB221" i="29"/>
  <c r="H221" i="29"/>
  <c r="AB220" i="29"/>
  <c r="H220" i="29"/>
  <c r="AB219" i="29"/>
  <c r="H219" i="29"/>
  <c r="AB218" i="29"/>
  <c r="H218" i="29"/>
  <c r="AB217" i="29"/>
  <c r="H217" i="29"/>
  <c r="AB216" i="29"/>
  <c r="H216" i="29"/>
  <c r="AB215" i="29"/>
  <c r="H215" i="29"/>
  <c r="AB214" i="29"/>
  <c r="H214" i="29"/>
  <c r="AB213" i="29"/>
  <c r="H213" i="29"/>
  <c r="AB212" i="29"/>
  <c r="H212" i="29"/>
  <c r="AB211" i="29"/>
  <c r="H211" i="29"/>
  <c r="AB210" i="29"/>
  <c r="H210" i="29"/>
  <c r="AB209" i="29"/>
  <c r="H209" i="29"/>
  <c r="AB208" i="29"/>
  <c r="H208" i="29"/>
  <c r="AB207" i="29"/>
  <c r="H207" i="29"/>
  <c r="AB206" i="29"/>
  <c r="H206" i="29"/>
  <c r="AB205" i="29"/>
  <c r="H205" i="29"/>
  <c r="AB204" i="29"/>
  <c r="H204" i="29"/>
  <c r="AB203" i="29"/>
  <c r="H203" i="29"/>
  <c r="AB202" i="29"/>
  <c r="H202" i="29"/>
  <c r="AB201" i="29"/>
  <c r="H201" i="29"/>
  <c r="AB200" i="29"/>
  <c r="H200" i="29"/>
  <c r="AB199" i="29"/>
  <c r="H199" i="29"/>
  <c r="AB198" i="29"/>
  <c r="H198" i="29"/>
  <c r="AB197" i="29"/>
  <c r="H197" i="29"/>
  <c r="AB196" i="29"/>
  <c r="H196" i="29"/>
  <c r="AB195" i="29"/>
  <c r="H195" i="29"/>
  <c r="AB194" i="29"/>
  <c r="H194" i="29"/>
  <c r="AB193" i="29"/>
  <c r="H193" i="29"/>
  <c r="AB192" i="29"/>
  <c r="H192" i="29"/>
  <c r="AB191" i="29"/>
  <c r="H191" i="29"/>
  <c r="AB190" i="29"/>
  <c r="H190" i="29"/>
  <c r="AB189" i="29"/>
  <c r="H189" i="29"/>
  <c r="AB188" i="29"/>
  <c r="H188" i="29"/>
  <c r="AB187" i="29"/>
  <c r="H187" i="29"/>
  <c r="AB186" i="29"/>
  <c r="H186" i="29"/>
  <c r="AB185" i="29"/>
  <c r="H185" i="29"/>
  <c r="AB184" i="29"/>
  <c r="H184" i="29"/>
  <c r="AB183" i="29"/>
  <c r="H183" i="29"/>
  <c r="AB182" i="29"/>
  <c r="H182" i="29"/>
  <c r="AB181" i="29"/>
  <c r="H181" i="29"/>
  <c r="AB180" i="29"/>
  <c r="H180" i="29"/>
  <c r="AB179" i="29"/>
  <c r="H179" i="29"/>
  <c r="AB178" i="29"/>
  <c r="H178" i="29"/>
  <c r="AB177" i="29"/>
  <c r="H177" i="29"/>
  <c r="AB176" i="29"/>
  <c r="H176" i="29"/>
  <c r="AB175" i="29"/>
  <c r="H175" i="29"/>
  <c r="AB174" i="29"/>
  <c r="H174" i="29"/>
  <c r="AB173" i="29"/>
  <c r="H173" i="29"/>
  <c r="AB172" i="29"/>
  <c r="H172" i="29"/>
  <c r="AB171" i="29"/>
  <c r="H171" i="29"/>
  <c r="AB170" i="29"/>
  <c r="H170" i="29"/>
  <c r="AB169" i="29"/>
  <c r="H169" i="29"/>
  <c r="AB168" i="29"/>
  <c r="H168" i="29"/>
  <c r="AB167" i="29"/>
  <c r="H167" i="29"/>
  <c r="AB166" i="29"/>
  <c r="H166" i="29"/>
  <c r="AB165" i="29"/>
  <c r="H165" i="29"/>
  <c r="AB164" i="29"/>
  <c r="H164" i="29"/>
  <c r="AB163" i="29"/>
  <c r="H163" i="29"/>
  <c r="AB162" i="29"/>
  <c r="H162" i="29"/>
  <c r="AB161" i="29"/>
  <c r="H161" i="29"/>
  <c r="AB160" i="29"/>
  <c r="H160" i="29"/>
  <c r="AB159" i="29"/>
  <c r="H159" i="29"/>
  <c r="AB158" i="29"/>
  <c r="H158" i="29"/>
  <c r="AB157" i="29"/>
  <c r="H157" i="29"/>
  <c r="AB156" i="29"/>
  <c r="H156" i="29"/>
  <c r="AB155" i="29"/>
  <c r="H155" i="29"/>
  <c r="AB154" i="29"/>
  <c r="H154" i="29"/>
  <c r="AB153" i="29"/>
  <c r="H153" i="29"/>
  <c r="AB152" i="29"/>
  <c r="H152" i="29"/>
  <c r="AB151" i="29"/>
  <c r="H151" i="29"/>
  <c r="AB150" i="29"/>
  <c r="H150" i="29"/>
  <c r="AB149" i="29"/>
  <c r="H149" i="29"/>
  <c r="AB148" i="29"/>
  <c r="H148" i="29"/>
  <c r="AB147" i="29"/>
  <c r="H147" i="29"/>
  <c r="AB146" i="29"/>
  <c r="H146" i="29"/>
  <c r="AB145" i="29"/>
  <c r="H145" i="29"/>
  <c r="AB144" i="29"/>
  <c r="H144" i="29"/>
  <c r="AB143" i="29"/>
  <c r="H143" i="29"/>
  <c r="AB142" i="29"/>
  <c r="H142" i="29"/>
  <c r="AB141" i="29"/>
  <c r="H141" i="29"/>
  <c r="AB140" i="29"/>
  <c r="H140" i="29"/>
  <c r="AB139" i="29"/>
  <c r="H139" i="29"/>
  <c r="AB138" i="29"/>
  <c r="H138" i="29"/>
  <c r="AB137" i="29"/>
  <c r="H137" i="29"/>
  <c r="AB136" i="29"/>
  <c r="H136" i="29"/>
  <c r="AB135" i="29"/>
  <c r="H135" i="29"/>
  <c r="AB134" i="29"/>
  <c r="H134" i="29"/>
  <c r="AB133" i="29"/>
  <c r="H133" i="29"/>
  <c r="AB132" i="29"/>
  <c r="H132" i="29"/>
  <c r="AB131" i="29"/>
  <c r="H131" i="29"/>
  <c r="AB130" i="29"/>
  <c r="H130" i="29"/>
  <c r="AB129" i="29"/>
  <c r="H129" i="29"/>
  <c r="AB128" i="29"/>
  <c r="H128" i="29"/>
  <c r="AB127" i="29"/>
  <c r="H127" i="29"/>
  <c r="AB126" i="29"/>
  <c r="H126" i="29"/>
  <c r="AB125" i="29"/>
  <c r="H125" i="29"/>
  <c r="AB124" i="29"/>
  <c r="H124" i="29"/>
  <c r="AB123" i="29"/>
  <c r="H123" i="29"/>
  <c r="AB122" i="29"/>
  <c r="H122" i="29"/>
  <c r="AB121" i="29"/>
  <c r="H121" i="29"/>
  <c r="AB120" i="29"/>
  <c r="H120" i="29"/>
  <c r="AB119" i="29"/>
  <c r="H119" i="29"/>
  <c r="AB118" i="29"/>
  <c r="H118" i="29"/>
  <c r="AB117" i="29"/>
  <c r="H117" i="29"/>
  <c r="AB116" i="29"/>
  <c r="H116" i="29"/>
  <c r="AB115" i="29"/>
  <c r="H115" i="29"/>
  <c r="AB114" i="29"/>
  <c r="H114" i="29"/>
  <c r="AB113" i="29"/>
  <c r="H113" i="29"/>
  <c r="AB112" i="29"/>
  <c r="H112" i="29"/>
  <c r="AB111" i="29"/>
  <c r="H111" i="29"/>
  <c r="AB110" i="29"/>
  <c r="H110" i="29"/>
  <c r="AB109" i="29"/>
  <c r="H109" i="29"/>
  <c r="AB108" i="29"/>
  <c r="H108" i="29"/>
  <c r="AB107" i="29"/>
  <c r="H107" i="29"/>
  <c r="AB106" i="29"/>
  <c r="H106" i="29"/>
  <c r="AB105" i="29"/>
  <c r="H105" i="29"/>
  <c r="AB104" i="29"/>
  <c r="H104" i="29"/>
  <c r="AB103" i="29"/>
  <c r="H103" i="29"/>
  <c r="AB102" i="29"/>
  <c r="H102" i="29"/>
  <c r="AB101" i="29"/>
  <c r="H101" i="29"/>
  <c r="AB100" i="29"/>
  <c r="H100" i="29"/>
  <c r="AB99" i="29"/>
  <c r="H99" i="29"/>
  <c r="AB98" i="29"/>
  <c r="H98" i="29"/>
  <c r="AB97" i="29"/>
  <c r="H97" i="29"/>
  <c r="AB96" i="29"/>
  <c r="H96" i="29"/>
  <c r="AB95" i="29"/>
  <c r="H95" i="29"/>
  <c r="AB94" i="29"/>
  <c r="H94" i="29"/>
  <c r="AB93" i="29"/>
  <c r="H93" i="29"/>
  <c r="AB92" i="29"/>
  <c r="H92" i="29"/>
  <c r="AB91" i="29"/>
  <c r="H91" i="29"/>
  <c r="AB90" i="29"/>
  <c r="H90" i="29"/>
  <c r="AB89" i="29"/>
  <c r="H89" i="29"/>
  <c r="AB88" i="29"/>
  <c r="H88" i="29"/>
  <c r="AB87" i="29"/>
  <c r="H87" i="29"/>
  <c r="AB86" i="29"/>
  <c r="H86" i="29"/>
  <c r="AB85" i="29"/>
  <c r="H85" i="29"/>
  <c r="AB84" i="29"/>
  <c r="H84" i="29"/>
  <c r="AB83" i="29"/>
  <c r="H83" i="29"/>
  <c r="AB82" i="29"/>
  <c r="H82" i="29"/>
  <c r="AB81" i="29"/>
  <c r="H81" i="29"/>
  <c r="AB80" i="29"/>
  <c r="H80" i="29"/>
  <c r="AB79" i="29"/>
  <c r="H79" i="29"/>
  <c r="AB78" i="29"/>
  <c r="H78" i="29"/>
  <c r="AB77" i="29"/>
  <c r="H77" i="29"/>
  <c r="AB76" i="29"/>
  <c r="H76" i="29"/>
  <c r="AB75" i="29"/>
  <c r="H75" i="29"/>
  <c r="AB74" i="29"/>
  <c r="H74" i="29"/>
  <c r="AB73" i="29"/>
  <c r="H73" i="29"/>
  <c r="AB72" i="29"/>
  <c r="H72" i="29"/>
  <c r="AB71" i="29"/>
  <c r="H71" i="29"/>
  <c r="AB70" i="29"/>
  <c r="H70" i="29"/>
  <c r="AB69" i="29"/>
  <c r="H69" i="29"/>
  <c r="AB68" i="29"/>
  <c r="H68" i="29"/>
  <c r="AB67" i="29"/>
  <c r="H67" i="29"/>
  <c r="AB66" i="29"/>
  <c r="H66" i="29"/>
  <c r="AB65" i="29"/>
  <c r="H65" i="29"/>
  <c r="AB64" i="29"/>
  <c r="H64" i="29"/>
  <c r="AB63" i="29"/>
  <c r="H63" i="29"/>
  <c r="AB62" i="29"/>
  <c r="H62" i="29"/>
  <c r="AB61" i="29"/>
  <c r="H61" i="29"/>
  <c r="AB60" i="29"/>
  <c r="H60" i="29"/>
  <c r="AB59" i="29"/>
  <c r="H59" i="29"/>
  <c r="AB58" i="29"/>
  <c r="H58" i="29"/>
  <c r="AB57" i="29"/>
  <c r="H57" i="29"/>
  <c r="AB56" i="29"/>
  <c r="H56" i="29"/>
  <c r="AB55" i="29"/>
  <c r="H55" i="29"/>
  <c r="AB54" i="29"/>
  <c r="H54" i="29"/>
  <c r="AB53" i="29"/>
  <c r="H53" i="29"/>
  <c r="AB52" i="29"/>
  <c r="H52" i="29"/>
  <c r="AB51" i="29"/>
  <c r="H51" i="29"/>
  <c r="AB50" i="29"/>
  <c r="H50" i="29"/>
  <c r="AB49" i="29"/>
  <c r="H49" i="29"/>
  <c r="AB48" i="29"/>
  <c r="H48" i="29"/>
  <c r="AB47" i="29"/>
  <c r="H47" i="29"/>
  <c r="AB46" i="29"/>
  <c r="H46" i="29"/>
  <c r="AB45" i="29"/>
  <c r="H45" i="29"/>
  <c r="AB44" i="29"/>
  <c r="H44" i="29"/>
  <c r="AB43" i="29"/>
  <c r="H43" i="29"/>
  <c r="AB42" i="29"/>
  <c r="H42" i="29"/>
  <c r="AB41" i="29"/>
  <c r="H41" i="29"/>
  <c r="AB40" i="29"/>
  <c r="H40" i="29"/>
  <c r="AB39" i="29"/>
  <c r="H39" i="29"/>
  <c r="AB38" i="29"/>
  <c r="H38" i="29"/>
  <c r="AB37" i="29"/>
  <c r="H37" i="29"/>
  <c r="AB36" i="29"/>
  <c r="H36" i="29"/>
  <c r="AB35" i="29"/>
  <c r="H35" i="29"/>
  <c r="AB34" i="29"/>
  <c r="H34" i="29"/>
  <c r="AB33" i="29"/>
  <c r="H33" i="29"/>
  <c r="AB32" i="29"/>
  <c r="H32" i="29"/>
  <c r="AB31" i="29"/>
  <c r="H31" i="29"/>
  <c r="AB30" i="29"/>
  <c r="H30" i="29"/>
  <c r="AB29" i="29"/>
  <c r="H29" i="29"/>
  <c r="AB28" i="29"/>
  <c r="H28" i="29"/>
  <c r="AB27" i="29"/>
  <c r="H27" i="29"/>
  <c r="AB26" i="29"/>
  <c r="H26" i="29"/>
  <c r="AB25" i="29"/>
  <c r="H25" i="29"/>
  <c r="AB24" i="29"/>
  <c r="H24" i="29"/>
  <c r="AB23" i="29"/>
  <c r="H23" i="29"/>
  <c r="AB22" i="29"/>
  <c r="H22" i="29"/>
  <c r="AB21" i="29"/>
  <c r="H21" i="29"/>
  <c r="AB20" i="29"/>
  <c r="H20" i="29"/>
  <c r="AB19" i="29"/>
  <c r="H19" i="29"/>
  <c r="AB18" i="29"/>
  <c r="H18" i="29"/>
  <c r="AB17" i="29"/>
  <c r="H17" i="29"/>
  <c r="AB16" i="29"/>
  <c r="H16" i="29"/>
  <c r="AB15" i="29"/>
  <c r="H15" i="29"/>
  <c r="AB14" i="29"/>
  <c r="H14" i="29"/>
  <c r="AB13" i="29"/>
  <c r="H13" i="29"/>
  <c r="I7" i="29" l="1"/>
  <c r="S452" i="29" s="1"/>
  <c r="I4" i="29"/>
  <c r="R18" i="29" s="1"/>
  <c r="I5" i="29"/>
  <c r="O4" i="29"/>
  <c r="G626" i="29"/>
  <c r="I636" i="29"/>
  <c r="P14" i="29" l="1"/>
  <c r="P22" i="29"/>
  <c r="O297" i="29"/>
  <c r="P408" i="29"/>
  <c r="O382" i="29"/>
  <c r="O158" i="29"/>
  <c r="P21" i="29"/>
  <c r="P94" i="29"/>
  <c r="P162" i="29"/>
  <c r="O159" i="29"/>
  <c r="P235" i="29"/>
  <c r="Q90" i="29"/>
  <c r="R38" i="29"/>
  <c r="Q283" i="29"/>
  <c r="Q334" i="29"/>
  <c r="R73" i="29"/>
  <c r="R30" i="29"/>
  <c r="R26" i="29"/>
  <c r="Q525" i="29"/>
  <c r="Q59" i="29"/>
  <c r="R22" i="29"/>
  <c r="Q50" i="29"/>
  <c r="R34" i="29"/>
  <c r="Q394" i="29"/>
  <c r="Q627" i="29"/>
  <c r="R46" i="29"/>
  <c r="Q101" i="29"/>
  <c r="Q103" i="29"/>
  <c r="R42" i="29"/>
  <c r="R186" i="29"/>
  <c r="Q88" i="29"/>
  <c r="R85" i="29"/>
  <c r="R217" i="29"/>
  <c r="P150" i="29"/>
  <c r="O193" i="29"/>
  <c r="P261" i="29"/>
  <c r="O453" i="29"/>
  <c r="P107" i="29"/>
  <c r="P201" i="29"/>
  <c r="P230" i="29"/>
  <c r="P465" i="29"/>
  <c r="P76" i="29"/>
  <c r="O202" i="29"/>
  <c r="O295" i="29"/>
  <c r="P511" i="29"/>
  <c r="O162" i="29"/>
  <c r="P226" i="29"/>
  <c r="O359" i="29"/>
  <c r="O574" i="29"/>
  <c r="O125" i="29"/>
  <c r="O223" i="29"/>
  <c r="P314" i="29"/>
  <c r="P43" i="29"/>
  <c r="P97" i="29"/>
  <c r="P125" i="29"/>
  <c r="P223" i="29"/>
  <c r="O329" i="29"/>
  <c r="P19" i="29"/>
  <c r="P69" i="29"/>
  <c r="O110" i="29"/>
  <c r="P79" i="29"/>
  <c r="O140" i="29"/>
  <c r="P156" i="29"/>
  <c r="P161" i="29"/>
  <c r="O238" i="29"/>
  <c r="P27" i="29"/>
  <c r="P73" i="29"/>
  <c r="P135" i="29"/>
  <c r="O114" i="29"/>
  <c r="O156" i="29"/>
  <c r="P83" i="29"/>
  <c r="P147" i="29"/>
  <c r="P116" i="29"/>
  <c r="P160" i="29"/>
  <c r="O165" i="29"/>
  <c r="P165" i="29"/>
  <c r="O135" i="29"/>
  <c r="P196" i="29"/>
  <c r="P177" i="29"/>
  <c r="O178" i="29"/>
  <c r="P202" i="29"/>
  <c r="O199" i="29"/>
  <c r="P199" i="29"/>
  <c r="O228" i="29"/>
  <c r="P252" i="29"/>
  <c r="P233" i="29"/>
  <c r="P289" i="29"/>
  <c r="O255" i="29"/>
  <c r="P284" i="29"/>
  <c r="O298" i="29"/>
  <c r="P320" i="29"/>
  <c r="P374" i="29"/>
  <c r="P401" i="29"/>
  <c r="P435" i="29"/>
  <c r="O475" i="29"/>
  <c r="O560" i="29"/>
  <c r="P561" i="29"/>
  <c r="P41" i="29"/>
  <c r="P33" i="29"/>
  <c r="O18" i="29"/>
  <c r="O64" i="29"/>
  <c r="O66" i="29"/>
  <c r="O39" i="29"/>
  <c r="O608" i="29"/>
  <c r="O603" i="29"/>
  <c r="P586" i="29"/>
  <c r="O582" i="29"/>
  <c r="O598" i="29"/>
  <c r="P562" i="29"/>
  <c r="P581" i="29"/>
  <c r="O562" i="29"/>
  <c r="P559" i="29"/>
  <c r="O580" i="29"/>
  <c r="P567" i="29"/>
  <c r="O539" i="29"/>
  <c r="O530" i="29"/>
  <c r="P525" i="29"/>
  <c r="P555" i="29"/>
  <c r="P535" i="29"/>
  <c r="O513" i="29"/>
  <c r="P512" i="29"/>
  <c r="O512" i="29"/>
  <c r="P507" i="29"/>
  <c r="P534" i="29"/>
  <c r="P498" i="29"/>
  <c r="P497" i="29"/>
  <c r="O493" i="29"/>
  <c r="P496" i="29"/>
  <c r="O496" i="29"/>
  <c r="P474" i="29"/>
  <c r="P483" i="29"/>
  <c r="P538" i="29"/>
  <c r="O473" i="29"/>
  <c r="P491" i="29"/>
  <c r="P475" i="29"/>
  <c r="O463" i="29"/>
  <c r="O459" i="29"/>
  <c r="O427" i="29"/>
  <c r="P458" i="29"/>
  <c r="O458" i="29"/>
  <c r="O426" i="29"/>
  <c r="P441" i="29"/>
  <c r="P409" i="29"/>
  <c r="O441" i="29"/>
  <c r="O409" i="29"/>
  <c r="P428" i="29"/>
  <c r="O391" i="29"/>
  <c r="O428" i="29"/>
  <c r="P394" i="29"/>
  <c r="O420" i="29"/>
  <c r="O386" i="29"/>
  <c r="P397" i="29"/>
  <c r="P440" i="29"/>
  <c r="O414" i="29"/>
  <c r="O444" i="29"/>
  <c r="P388" i="29"/>
  <c r="P426" i="29"/>
  <c r="O376" i="29"/>
  <c r="P387" i="29"/>
  <c r="P358" i="29"/>
  <c r="O358" i="29"/>
  <c r="O326" i="29"/>
  <c r="P349" i="29"/>
  <c r="O357" i="29"/>
  <c r="O325" i="29"/>
  <c r="P356" i="29"/>
  <c r="P324" i="29"/>
  <c r="P355" i="29"/>
  <c r="P323" i="29"/>
  <c r="O331" i="29"/>
  <c r="P302" i="29"/>
  <c r="P338" i="29"/>
  <c r="O302" i="29"/>
  <c r="O373" i="29"/>
  <c r="P305" i="29"/>
  <c r="O344" i="29"/>
  <c r="O339" i="29"/>
  <c r="O288" i="29"/>
  <c r="O335" i="29"/>
  <c r="P283" i="29"/>
  <c r="P277" i="29"/>
  <c r="O252" i="29"/>
  <c r="P37" i="29"/>
  <c r="O22" i="29"/>
  <c r="O95" i="29"/>
  <c r="P30" i="29"/>
  <c r="O99" i="29"/>
  <c r="O43" i="29"/>
  <c r="O604" i="29"/>
  <c r="O599" i="29"/>
  <c r="P582" i="29"/>
  <c r="P604" i="29"/>
  <c r="O597" i="29"/>
  <c r="P558" i="29"/>
  <c r="O578" i="29"/>
  <c r="O558" i="29"/>
  <c r="P571" i="29"/>
  <c r="O571" i="29"/>
  <c r="O563" i="29"/>
  <c r="O535" i="29"/>
  <c r="O526" i="29"/>
  <c r="O591" i="29"/>
  <c r="O544" i="29"/>
  <c r="P531" i="29"/>
  <c r="O509" i="29"/>
  <c r="P508" i="29"/>
  <c r="O508" i="29"/>
  <c r="O556" i="29"/>
  <c r="O523" i="29"/>
  <c r="P494" i="29"/>
  <c r="P493" i="29"/>
  <c r="O489" i="29"/>
  <c r="P492" i="29"/>
  <c r="O492" i="29"/>
  <c r="P470" i="29"/>
  <c r="O482" i="29"/>
  <c r="P504" i="29"/>
  <c r="O469" i="29"/>
  <c r="O481" i="29"/>
  <c r="P471" i="29"/>
  <c r="O499" i="29"/>
  <c r="O455" i="29"/>
  <c r="O423" i="29"/>
  <c r="P454" i="29"/>
  <c r="O454" i="29"/>
  <c r="O422" i="29"/>
  <c r="P437" i="29"/>
  <c r="P405" i="29"/>
  <c r="P60" i="29"/>
  <c r="O26" i="29"/>
  <c r="O112" i="29"/>
  <c r="P34" i="29"/>
  <c r="O36" i="29"/>
  <c r="O600" i="29"/>
  <c r="P606" i="29"/>
  <c r="P578" i="29"/>
  <c r="P596" i="29"/>
  <c r="P592" i="29"/>
  <c r="P600" i="29"/>
  <c r="O581" i="29"/>
  <c r="P556" i="29"/>
  <c r="O570" i="29"/>
  <c r="P568" i="29"/>
  <c r="P560" i="29"/>
  <c r="O531" i="29"/>
  <c r="P552" i="29"/>
  <c r="P551" i="29"/>
  <c r="O540" i="29"/>
  <c r="P527" i="29"/>
  <c r="O505" i="29"/>
  <c r="P573" i="29"/>
  <c r="O579" i="29"/>
  <c r="P540" i="29"/>
  <c r="P522" i="29"/>
  <c r="P490" i="29"/>
  <c r="P489" i="29"/>
  <c r="O485" i="29"/>
  <c r="P488" i="29"/>
  <c r="O488" i="29"/>
  <c r="P466" i="29"/>
  <c r="P479" i="29"/>
  <c r="P499" i="29"/>
  <c r="O465" i="29"/>
  <c r="O476" i="29"/>
  <c r="P467" i="29"/>
  <c r="P459" i="29"/>
  <c r="O451" i="29"/>
  <c r="O419" i="29"/>
  <c r="P450" i="29"/>
  <c r="O450" i="29"/>
  <c r="P464" i="29"/>
  <c r="P433" i="29"/>
  <c r="P495" i="29"/>
  <c r="O433" i="29"/>
  <c r="P472" i="29"/>
  <c r="P416" i="29"/>
  <c r="O383" i="29"/>
  <c r="O416" i="29"/>
  <c r="P386" i="29"/>
  <c r="P410" i="29"/>
  <c r="O378" i="29"/>
  <c r="P389" i="29"/>
  <c r="P432" i="29"/>
  <c r="O397" i="29"/>
  <c r="O432" i="29"/>
  <c r="P380" i="29"/>
  <c r="O400" i="29"/>
  <c r="P412" i="29"/>
  <c r="P379" i="29"/>
  <c r="P350" i="29"/>
  <c r="O350" i="29"/>
  <c r="O318" i="29"/>
  <c r="P341" i="29"/>
  <c r="O349" i="29"/>
  <c r="O317" i="29"/>
  <c r="P348" i="29"/>
  <c r="P316" i="29"/>
  <c r="P347" i="29"/>
  <c r="P315" i="29"/>
  <c r="O323" i="29"/>
  <c r="P294" i="29"/>
  <c r="P333" i="29"/>
  <c r="O294" i="29"/>
  <c r="O356" i="29"/>
  <c r="P326" i="29"/>
  <c r="O327" i="29"/>
  <c r="P321" i="29"/>
  <c r="O280" i="29"/>
  <c r="P307" i="29"/>
  <c r="P275" i="29"/>
  <c r="O273" i="29"/>
  <c r="O244" i="29"/>
  <c r="O62" i="29"/>
  <c r="O30" i="29"/>
  <c r="O120" i="29"/>
  <c r="P38" i="29"/>
  <c r="P18" i="29"/>
  <c r="O59" i="29"/>
  <c r="O596" i="29"/>
  <c r="P602" i="29"/>
  <c r="O610" i="29"/>
  <c r="O589" i="29"/>
  <c r="P591" i="29"/>
  <c r="P587" i="29"/>
  <c r="P579" i="29"/>
  <c r="O552" i="29"/>
  <c r="P569" i="29"/>
  <c r="P563" i="29"/>
  <c r="O553" i="29"/>
  <c r="O527" i="29"/>
  <c r="P547" i="29"/>
  <c r="O541" i="29"/>
  <c r="O536" i="29"/>
  <c r="P523" i="29"/>
  <c r="O567" i="29"/>
  <c r="P536" i="29"/>
  <c r="P530" i="29"/>
  <c r="O519" i="29"/>
  <c r="P518" i="29"/>
  <c r="P486" i="29"/>
  <c r="P485" i="29"/>
  <c r="P546" i="29"/>
  <c r="P484" i="29"/>
  <c r="O484" i="29"/>
  <c r="O494" i="29"/>
  <c r="O478" i="29"/>
  <c r="O486" i="29"/>
  <c r="O518" i="29"/>
  <c r="O472" i="29"/>
  <c r="P463" i="29"/>
  <c r="P455" i="29"/>
  <c r="O447" i="29"/>
  <c r="O415" i="29"/>
  <c r="P446" i="29"/>
  <c r="O446" i="29"/>
  <c r="P461" i="29"/>
  <c r="P429" i="29"/>
  <c r="O461" i="29"/>
  <c r="O429" i="29"/>
  <c r="P460" i="29"/>
  <c r="O412" i="29"/>
  <c r="O379" i="29"/>
  <c r="P407" i="29"/>
  <c r="P382" i="29"/>
  <c r="O406" i="29"/>
  <c r="O460" i="29"/>
  <c r="P385" i="29"/>
  <c r="P431" i="29"/>
  <c r="O393" i="29"/>
  <c r="O424" i="29"/>
  <c r="P376" i="29"/>
  <c r="O396" i="29"/>
  <c r="O408" i="29"/>
  <c r="P375" i="29"/>
  <c r="P346" i="29"/>
  <c r="O346" i="29"/>
  <c r="P369" i="29"/>
  <c r="P337" i="29"/>
  <c r="O345" i="29"/>
  <c r="O313" i="29"/>
  <c r="P344" i="29"/>
  <c r="P312" i="29"/>
  <c r="P343" i="29"/>
  <c r="O368" i="29"/>
  <c r="O316" i="29"/>
  <c r="P290" i="29"/>
  <c r="P325" i="29"/>
  <c r="O290" i="29"/>
  <c r="O351" i="29"/>
  <c r="P318" i="29"/>
  <c r="O320" i="29"/>
  <c r="O308" i="29"/>
  <c r="O276" i="29"/>
  <c r="P303" i="29"/>
  <c r="O307" i="29"/>
  <c r="O272" i="29"/>
  <c r="O240" i="29"/>
  <c r="O69" i="29"/>
  <c r="O46" i="29"/>
  <c r="P130" i="29"/>
  <c r="P48" i="29"/>
  <c r="P26" i="29"/>
  <c r="P66" i="29"/>
  <c r="P611" i="29"/>
  <c r="P598" i="29"/>
  <c r="O594" i="29"/>
  <c r="O585" i="29"/>
  <c r="P588" i="29"/>
  <c r="P577" i="29"/>
  <c r="O576" i="29"/>
  <c r="O547" i="29"/>
  <c r="P564" i="29"/>
  <c r="P557" i="29"/>
  <c r="O549" i="29"/>
  <c r="O546" i="29"/>
  <c r="P541" i="29"/>
  <c r="O537" i="29"/>
  <c r="O532" i="29"/>
  <c r="O575" i="29"/>
  <c r="P548" i="29"/>
  <c r="P526" i="29"/>
  <c r="O524" i="29"/>
  <c r="O515" i="29"/>
  <c r="P514" i="29"/>
  <c r="P482" i="29"/>
  <c r="O522" i="29"/>
  <c r="P528" i="29"/>
  <c r="P521" i="29"/>
  <c r="P544" i="29"/>
  <c r="O474" i="29"/>
  <c r="P477" i="29"/>
  <c r="O483" i="29"/>
  <c r="P513" i="29"/>
  <c r="O468" i="29"/>
  <c r="O487" i="29"/>
  <c r="P451" i="29"/>
  <c r="O443" i="29"/>
  <c r="O411" i="29"/>
  <c r="P442" i="29"/>
  <c r="O442" i="29"/>
  <c r="P457" i="29"/>
  <c r="P425" i="29"/>
  <c r="O457" i="29"/>
  <c r="O425" i="29"/>
  <c r="P456" i="29"/>
  <c r="P404" i="29"/>
  <c r="O375" i="29"/>
  <c r="P406" i="29"/>
  <c r="P378" i="29"/>
  <c r="O402" i="29"/>
  <c r="P415" i="29"/>
  <c r="P381" i="29"/>
  <c r="P424" i="29"/>
  <c r="O389" i="29"/>
  <c r="O418" i="29"/>
  <c r="P372" i="29"/>
  <c r="O392" i="29"/>
  <c r="P403" i="29"/>
  <c r="P371" i="29"/>
  <c r="P342" i="29"/>
  <c r="O342" i="29"/>
  <c r="P365" i="29"/>
  <c r="P370" i="29"/>
  <c r="O341" i="29"/>
  <c r="O370" i="29"/>
  <c r="P340" i="29"/>
  <c r="O372" i="29"/>
  <c r="P339" i="29"/>
  <c r="O363" i="29"/>
  <c r="O315" i="29"/>
  <c r="P286" i="29"/>
  <c r="P317" i="29"/>
  <c r="O286" i="29"/>
  <c r="O340" i="29"/>
  <c r="O309" i="29"/>
  <c r="O319" i="29"/>
  <c r="O304" i="29"/>
  <c r="O364" i="29"/>
  <c r="P299" i="29"/>
  <c r="P293" i="29"/>
  <c r="O268" i="29"/>
  <c r="O236" i="29"/>
  <c r="P25" i="29"/>
  <c r="O89" i="29"/>
  <c r="O55" i="29"/>
  <c r="O57" i="29"/>
  <c r="O31" i="29"/>
  <c r="O611" i="29"/>
  <c r="G624" i="29"/>
  <c r="R624" i="29" s="1"/>
  <c r="O590" i="29"/>
  <c r="O606" i="29"/>
  <c r="P584" i="29"/>
  <c r="O557" i="29"/>
  <c r="O568" i="29"/>
  <c r="P565" i="29"/>
  <c r="O554" i="29"/>
  <c r="P549" i="29"/>
  <c r="O566" i="29"/>
  <c r="O538" i="29"/>
  <c r="P533" i="29"/>
  <c r="O529" i="29"/>
  <c r="P543" i="29"/>
  <c r="O521" i="29"/>
  <c r="P520" i="29"/>
  <c r="O520" i="29"/>
  <c r="P515" i="29"/>
  <c r="O507" i="29"/>
  <c r="P506" i="29"/>
  <c r="O502" i="29"/>
  <c r="O501" i="29"/>
  <c r="P503" i="29"/>
  <c r="O503" i="29"/>
  <c r="P502" i="29"/>
  <c r="O466" i="29"/>
  <c r="P469" i="29"/>
  <c r="O479" i="29"/>
  <c r="O514" i="29"/>
  <c r="O491" i="29"/>
  <c r="O471" i="29"/>
  <c r="P443" i="29"/>
  <c r="O435" i="29"/>
  <c r="O480" i="29"/>
  <c r="P476" i="29"/>
  <c r="O434" i="29"/>
  <c r="P449" i="29"/>
  <c r="P417" i="29"/>
  <c r="O449" i="29"/>
  <c r="O417" i="29"/>
  <c r="P436" i="29"/>
  <c r="O399" i="29"/>
  <c r="O452" i="29"/>
  <c r="P402" i="29"/>
  <c r="P430" i="29"/>
  <c r="O394" i="29"/>
  <c r="O410" i="29"/>
  <c r="P373" i="29"/>
  <c r="P419" i="29"/>
  <c r="O381" i="29"/>
  <c r="P396" i="29"/>
  <c r="P448" i="29"/>
  <c r="O384" i="29"/>
  <c r="P395" i="29"/>
  <c r="P366" i="29"/>
  <c r="O366" i="29"/>
  <c r="O334" i="29"/>
  <c r="P357" i="29"/>
  <c r="O365" i="29"/>
  <c r="O333" i="29"/>
  <c r="P364" i="29"/>
  <c r="P332" i="29"/>
  <c r="P363" i="29"/>
  <c r="P331" i="29"/>
  <c r="O347" i="29"/>
  <c r="P310" i="29"/>
  <c r="P278" i="29"/>
  <c r="O310" i="29"/>
  <c r="O278" i="29"/>
  <c r="O312" i="29"/>
  <c r="O360" i="29"/>
  <c r="P304" i="29"/>
  <c r="O296" i="29"/>
  <c r="O348" i="29"/>
  <c r="P291" i="29"/>
  <c r="P285" i="29"/>
  <c r="O260" i="29"/>
  <c r="P330" i="29"/>
  <c r="O14" i="29"/>
  <c r="O15" i="29"/>
  <c r="P594" i="29"/>
  <c r="O561" i="29"/>
  <c r="P553" i="29"/>
  <c r="O533" i="29"/>
  <c r="P524" i="29"/>
  <c r="P478" i="29"/>
  <c r="O506" i="29"/>
  <c r="P509" i="29"/>
  <c r="O439" i="29"/>
  <c r="P453" i="29"/>
  <c r="O413" i="29"/>
  <c r="O371" i="29"/>
  <c r="P411" i="29"/>
  <c r="P444" i="29"/>
  <c r="P400" i="29"/>
  <c r="O362" i="29"/>
  <c r="P352" i="29"/>
  <c r="P327" i="29"/>
  <c r="P282" i="29"/>
  <c r="O367" i="29"/>
  <c r="P300" i="29"/>
  <c r="O248" i="29"/>
  <c r="O267" i="29"/>
  <c r="P242" i="29"/>
  <c r="P297" i="29"/>
  <c r="O48" i="29"/>
  <c r="O35" i="29"/>
  <c r="P590" i="29"/>
  <c r="O587" i="29"/>
  <c r="P545" i="29"/>
  <c r="O525" i="29"/>
  <c r="O516" i="29"/>
  <c r="P501" i="29"/>
  <c r="O498" i="29"/>
  <c r="O495" i="29"/>
  <c r="O431" i="29"/>
  <c r="P445" i="29"/>
  <c r="O405" i="29"/>
  <c r="O436" i="29"/>
  <c r="O398" i="29"/>
  <c r="P439" i="29"/>
  <c r="P392" i="29"/>
  <c r="P399" i="29"/>
  <c r="O354" i="29"/>
  <c r="O361" i="29"/>
  <c r="P336" i="29"/>
  <c r="P319" i="29"/>
  <c r="P274" i="29"/>
  <c r="O314" i="29"/>
  <c r="P329" i="29"/>
  <c r="P287" i="29"/>
  <c r="O232" i="29"/>
  <c r="P255" i="29"/>
  <c r="O263" i="29"/>
  <c r="P270" i="29"/>
  <c r="P238" i="29"/>
  <c r="O270" i="29"/>
  <c r="O289" i="29"/>
  <c r="P245" i="29"/>
  <c r="O291" i="29"/>
  <c r="O249" i="29"/>
  <c r="P260" i="29"/>
  <c r="O233" i="29"/>
  <c r="P200" i="29"/>
  <c r="O212" i="29"/>
  <c r="O180" i="29"/>
  <c r="P207" i="29"/>
  <c r="P175" i="29"/>
  <c r="O207" i="29"/>
  <c r="O175" i="29"/>
  <c r="P210" i="29"/>
  <c r="O218" i="29"/>
  <c r="O186" i="29"/>
  <c r="P217" i="29"/>
  <c r="P185" i="29"/>
  <c r="O209" i="29"/>
  <c r="O177" i="29"/>
  <c r="P184" i="29"/>
  <c r="O143" i="29"/>
  <c r="P178" i="29"/>
  <c r="P171" i="29"/>
  <c r="P141" i="29"/>
  <c r="P176" i="29"/>
  <c r="O141" i="29"/>
  <c r="P168" i="29"/>
  <c r="P136" i="29"/>
  <c r="O130" i="29"/>
  <c r="P92" i="29"/>
  <c r="P155" i="29"/>
  <c r="P123" i="29"/>
  <c r="P91" i="29"/>
  <c r="P59" i="29"/>
  <c r="O115" i="29"/>
  <c r="P110" i="29"/>
  <c r="P159" i="29"/>
  <c r="O90" i="29"/>
  <c r="P143" i="29"/>
  <c r="P113" i="29"/>
  <c r="P81" i="29"/>
  <c r="P49" i="29"/>
  <c r="O70" i="29"/>
  <c r="O105" i="29"/>
  <c r="O68" i="29"/>
  <c r="O586" i="29"/>
  <c r="O543" i="29"/>
  <c r="P62" i="29"/>
  <c r="P593" i="29"/>
  <c r="O572" i="29"/>
  <c r="O545" i="29"/>
  <c r="O528" i="29"/>
  <c r="P519" i="29"/>
  <c r="P517" i="29"/>
  <c r="O470" i="29"/>
  <c r="O464" i="29"/>
  <c r="O407" i="29"/>
  <c r="P421" i="29"/>
  <c r="P452" i="29"/>
  <c r="P420" i="29"/>
  <c r="O390" i="29"/>
  <c r="P423" i="29"/>
  <c r="P384" i="29"/>
  <c r="P391" i="29"/>
  <c r="O338" i="29"/>
  <c r="O353" i="29"/>
  <c r="P328" i="29"/>
  <c r="O352" i="29"/>
  <c r="O336" i="29"/>
  <c r="P309" i="29"/>
  <c r="O300" i="29"/>
  <c r="P279" i="29"/>
  <c r="O293" i="29"/>
  <c r="P251" i="29"/>
  <c r="O259" i="29"/>
  <c r="P266" i="29"/>
  <c r="P234" i="29"/>
  <c r="O266" i="29"/>
  <c r="O281" i="29"/>
  <c r="P241" i="29"/>
  <c r="O283" i="29"/>
  <c r="O245" i="29"/>
  <c r="P256" i="29"/>
  <c r="P228" i="29"/>
  <c r="P239" i="29"/>
  <c r="O208" i="29"/>
  <c r="O176" i="29"/>
  <c r="P203" i="29"/>
  <c r="O246" i="29"/>
  <c r="O203" i="29"/>
  <c r="O171" i="29"/>
  <c r="P206" i="29"/>
  <c r="O214" i="29"/>
  <c r="O182" i="29"/>
  <c r="P213" i="29"/>
  <c r="P181" i="29"/>
  <c r="O205" i="29"/>
  <c r="O173" i="29"/>
  <c r="P172" i="29"/>
  <c r="O139" i="29"/>
  <c r="O172" i="29"/>
  <c r="P169" i="29"/>
  <c r="P137" i="29"/>
  <c r="O169" i="29"/>
  <c r="O137" i="29"/>
  <c r="P164" i="29"/>
  <c r="P132" i="29"/>
  <c r="O122" i="29"/>
  <c r="P88" i="29"/>
  <c r="O148" i="29"/>
  <c r="P119" i="29"/>
  <c r="P87" i="29"/>
  <c r="P55" i="29"/>
  <c r="O170" i="29"/>
  <c r="P106" i="29"/>
  <c r="P118" i="29"/>
  <c r="O86" i="29"/>
  <c r="O136" i="29"/>
  <c r="P109" i="29"/>
  <c r="P77" i="29"/>
  <c r="P15" i="29"/>
  <c r="P31" i="29"/>
  <c r="O107" i="29"/>
  <c r="P146" i="29"/>
  <c r="P29" i="29"/>
  <c r="O50" i="29"/>
  <c r="P595" i="29"/>
  <c r="P585" i="29"/>
  <c r="O559" i="29"/>
  <c r="P537" i="29"/>
  <c r="P542" i="29"/>
  <c r="P510" i="29"/>
  <c r="O510" i="29"/>
  <c r="P480" i="29"/>
  <c r="P447" i="29"/>
  <c r="O438" i="29"/>
  <c r="O437" i="29"/>
  <c r="O395" i="29"/>
  <c r="P438" i="29"/>
  <c r="P393" i="29"/>
  <c r="O377" i="29"/>
  <c r="O388" i="29"/>
  <c r="P354" i="29"/>
  <c r="P353" i="29"/>
  <c r="P368" i="29"/>
  <c r="P351" i="29"/>
  <c r="P306" i="29"/>
  <c r="O282" i="29"/>
  <c r="O328" i="29"/>
  <c r="O343" i="29"/>
  <c r="O264" i="29"/>
  <c r="P267" i="29"/>
  <c r="O279" i="29"/>
  <c r="O243" i="29"/>
  <c r="P250" i="29"/>
  <c r="P288" i="29"/>
  <c r="O250" i="29"/>
  <c r="P257" i="29"/>
  <c r="O301" i="29"/>
  <c r="O261" i="29"/>
  <c r="P272" i="29"/>
  <c r="P240" i="29"/>
  <c r="P212" i="29"/>
  <c r="O224" i="29"/>
  <c r="O192" i="29"/>
  <c r="P219" i="29"/>
  <c r="P187" i="29"/>
  <c r="O219" i="29"/>
  <c r="O187" i="29"/>
  <c r="P222" i="29"/>
  <c r="O230" i="29"/>
  <c r="O198" i="29"/>
  <c r="P229" i="29"/>
  <c r="P197" i="29"/>
  <c r="O221" i="29"/>
  <c r="O189" i="29"/>
  <c r="O164" i="29"/>
  <c r="O155" i="29"/>
  <c r="O123" i="29"/>
  <c r="P158" i="29"/>
  <c r="P153" i="29"/>
  <c r="P121" i="29"/>
  <c r="O153" i="29"/>
  <c r="O121" i="29"/>
  <c r="P148" i="29"/>
  <c r="O154" i="29"/>
  <c r="P104" i="29"/>
  <c r="P167" i="29"/>
  <c r="O132" i="29"/>
  <c r="P103" i="29"/>
  <c r="P71" i="29"/>
  <c r="P142" i="29"/>
  <c r="O134" i="29"/>
  <c r="P90" i="29"/>
  <c r="O102" i="29"/>
  <c r="O152" i="29"/>
  <c r="P120" i="29"/>
  <c r="P93" i="29"/>
  <c r="P61" i="29"/>
  <c r="P23" i="29"/>
  <c r="P39" i="29"/>
  <c r="O61" i="29"/>
  <c r="O369" i="29"/>
  <c r="P301" i="29"/>
  <c r="P264" i="29"/>
  <c r="P204" i="29"/>
  <c r="O184" i="29"/>
  <c r="O75" i="29"/>
  <c r="P64" i="29"/>
  <c r="O607" i="29"/>
  <c r="P583" i="29"/>
  <c r="O550" i="29"/>
  <c r="P529" i="29"/>
  <c r="P516" i="29"/>
  <c r="O504" i="29"/>
  <c r="O500" i="29"/>
  <c r="O477" i="29"/>
  <c r="P468" i="29"/>
  <c r="O430" i="29"/>
  <c r="O421" i="29"/>
  <c r="O387" i="29"/>
  <c r="P422" i="29"/>
  <c r="P377" i="29"/>
  <c r="O440" i="29"/>
  <c r="O380" i="29"/>
  <c r="O374" i="29"/>
  <c r="P345" i="29"/>
  <c r="P360" i="29"/>
  <c r="P335" i="29"/>
  <c r="P298" i="29"/>
  <c r="O274" i="29"/>
  <c r="P308" i="29"/>
  <c r="P313" i="29"/>
  <c r="O256" i="29"/>
  <c r="P263" i="29"/>
  <c r="O271" i="29"/>
  <c r="O239" i="29"/>
  <c r="P246" i="29"/>
  <c r="P281" i="29"/>
  <c r="P311" i="29"/>
  <c r="P253" i="29"/>
  <c r="O299" i="29"/>
  <c r="O257" i="29"/>
  <c r="P268" i="29"/>
  <c r="P236" i="29"/>
  <c r="P208" i="29"/>
  <c r="O220" i="29"/>
  <c r="O188" i="29"/>
  <c r="P215" i="29"/>
  <c r="P183" i="29"/>
  <c r="O215" i="29"/>
  <c r="O183" i="29"/>
  <c r="P218" i="29"/>
  <c r="O226" i="29"/>
  <c r="O194" i="29"/>
  <c r="P225" i="29"/>
  <c r="P193" i="29"/>
  <c r="O217" i="29"/>
  <c r="O185" i="29"/>
  <c r="O160" i="29"/>
  <c r="O151" i="29"/>
  <c r="O119" i="29"/>
  <c r="P188" i="29"/>
  <c r="P149" i="29"/>
  <c r="P198" i="29"/>
  <c r="O149" i="29"/>
  <c r="P186" i="29"/>
  <c r="P144" i="29"/>
  <c r="O146" i="29"/>
  <c r="P100" i="29"/>
  <c r="O116" i="29"/>
  <c r="P131" i="29"/>
  <c r="P99" i="29"/>
  <c r="P67" i="29"/>
  <c r="P134" i="29"/>
  <c r="O126" i="29"/>
  <c r="P86" i="29"/>
  <c r="O98" i="29"/>
  <c r="P151" i="29"/>
  <c r="O118" i="29"/>
  <c r="P89" i="29"/>
  <c r="P57" i="29"/>
  <c r="O92" i="29"/>
  <c r="O448" i="29"/>
  <c r="P295" i="29"/>
  <c r="P259" i="29"/>
  <c r="O303" i="29"/>
  <c r="P280" i="29"/>
  <c r="P249" i="29"/>
  <c r="O253" i="29"/>
  <c r="P232" i="29"/>
  <c r="O216" i="29"/>
  <c r="P105" i="29"/>
  <c r="P115" i="29"/>
  <c r="P52" i="29"/>
  <c r="O128" i="29"/>
  <c r="O79" i="29"/>
  <c r="P85" i="29"/>
  <c r="O144" i="29"/>
  <c r="P82" i="29"/>
  <c r="P126" i="29"/>
  <c r="P95" i="29"/>
  <c r="O166" i="29"/>
  <c r="O138" i="29"/>
  <c r="P174" i="29"/>
  <c r="P192" i="29"/>
  <c r="P182" i="29"/>
  <c r="O147" i="29"/>
  <c r="O181" i="29"/>
  <c r="P189" i="29"/>
  <c r="O190" i="29"/>
  <c r="P214" i="29"/>
  <c r="O211" i="29"/>
  <c r="P211" i="29"/>
  <c r="O234" i="29"/>
  <c r="P273" i="29"/>
  <c r="P237" i="29"/>
  <c r="P296" i="29"/>
  <c r="O287" i="29"/>
  <c r="P292" i="29"/>
  <c r="O306" i="29"/>
  <c r="O321" i="29"/>
  <c r="P383" i="29"/>
  <c r="P414" i="29"/>
  <c r="O445" i="29"/>
  <c r="P487" i="29"/>
  <c r="O511" i="29"/>
  <c r="O583" i="29"/>
  <c r="P627" i="29"/>
  <c r="P68" i="29"/>
  <c r="P101" i="29"/>
  <c r="O78" i="29"/>
  <c r="P98" i="29"/>
  <c r="P173" i="29"/>
  <c r="P111" i="29"/>
  <c r="P80" i="29"/>
  <c r="P124" i="29"/>
  <c r="O129" i="29"/>
  <c r="P129" i="29"/>
  <c r="P166" i="29"/>
  <c r="O163" i="29"/>
  <c r="O197" i="29"/>
  <c r="P205" i="29"/>
  <c r="O206" i="29"/>
  <c r="O237" i="29"/>
  <c r="O227" i="29"/>
  <c r="P227" i="29"/>
  <c r="P216" i="29"/>
  <c r="O241" i="29"/>
  <c r="P265" i="29"/>
  <c r="P254" i="29"/>
  <c r="P247" i="29"/>
  <c r="O284" i="29"/>
  <c r="O311" i="29"/>
  <c r="O337" i="29"/>
  <c r="P434" i="29"/>
  <c r="P390" i="29"/>
  <c r="P413" i="29"/>
  <c r="P473" i="29"/>
  <c r="O517" i="29"/>
  <c r="O605" i="29"/>
  <c r="P51" i="29"/>
  <c r="O133" i="29"/>
  <c r="O167" i="29"/>
  <c r="P209" i="29"/>
  <c r="O242" i="29"/>
  <c r="P243" i="29"/>
  <c r="O235" i="29"/>
  <c r="O265" i="29"/>
  <c r="P269" i="29"/>
  <c r="P258" i="29"/>
  <c r="P271" i="29"/>
  <c r="O292" i="29"/>
  <c r="O324" i="29"/>
  <c r="P361" i="29"/>
  <c r="O456" i="29"/>
  <c r="P398" i="29"/>
  <c r="O462" i="29"/>
  <c r="O490" i="29"/>
  <c r="P532" i="29"/>
  <c r="P613" i="29"/>
  <c r="O82" i="29"/>
  <c r="P84" i="29"/>
  <c r="P133" i="29"/>
  <c r="P170" i="29"/>
  <c r="O201" i="29"/>
  <c r="O210" i="29"/>
  <c r="P220" i="29"/>
  <c r="P35" i="29"/>
  <c r="P53" i="29"/>
  <c r="P117" i="29"/>
  <c r="O94" i="29"/>
  <c r="P114" i="29"/>
  <c r="P63" i="29"/>
  <c r="O124" i="29"/>
  <c r="P96" i="29"/>
  <c r="P140" i="29"/>
  <c r="O145" i="29"/>
  <c r="P145" i="29"/>
  <c r="P194" i="29"/>
  <c r="P190" i="29"/>
  <c r="O213" i="29"/>
  <c r="P221" i="29"/>
  <c r="O222" i="29"/>
  <c r="O179" i="29"/>
  <c r="P179" i="29"/>
  <c r="O196" i="29"/>
  <c r="P224" i="29"/>
  <c r="O269" i="29"/>
  <c r="O254" i="29"/>
  <c r="P262" i="29"/>
  <c r="O277" i="29"/>
  <c r="O355" i="29"/>
  <c r="O332" i="29"/>
  <c r="O322" i="29"/>
  <c r="O385" i="29"/>
  <c r="O404" i="29"/>
  <c r="P481" i="29"/>
  <c r="P500" i="29"/>
  <c r="P539" i="29"/>
  <c r="O88" i="29"/>
  <c r="P128" i="29"/>
  <c r="O54" i="29"/>
  <c r="P65" i="29"/>
  <c r="P127" i="29"/>
  <c r="O106" i="29"/>
  <c r="O142" i="29"/>
  <c r="P75" i="29"/>
  <c r="P139" i="29"/>
  <c r="P108" i="29"/>
  <c r="P152" i="29"/>
  <c r="O157" i="29"/>
  <c r="P157" i="29"/>
  <c r="O127" i="29"/>
  <c r="O168" i="29"/>
  <c r="O225" i="29"/>
  <c r="O231" i="29"/>
  <c r="P231" i="29"/>
  <c r="O191" i="29"/>
  <c r="P191" i="29"/>
  <c r="O200" i="29"/>
  <c r="P244" i="29"/>
  <c r="O275" i="29"/>
  <c r="O258" i="29"/>
  <c r="O247" i="29"/>
  <c r="O285" i="29"/>
  <c r="O305" i="29"/>
  <c r="P359" i="29"/>
  <c r="O330" i="29"/>
  <c r="O401" i="29"/>
  <c r="O403" i="29"/>
  <c r="P462" i="29"/>
  <c r="P505" i="29"/>
  <c r="O534" i="29"/>
  <c r="O627" i="29"/>
  <c r="P102" i="29"/>
  <c r="O150" i="29"/>
  <c r="P112" i="29"/>
  <c r="O161" i="29"/>
  <c r="O131" i="29"/>
  <c r="P180" i="29"/>
  <c r="O229" i="29"/>
  <c r="O174" i="29"/>
  <c r="O195" i="29"/>
  <c r="P195" i="29"/>
  <c r="O204" i="29"/>
  <c r="P248" i="29"/>
  <c r="P322" i="29"/>
  <c r="O262" i="29"/>
  <c r="O251" i="29"/>
  <c r="P276" i="29"/>
  <c r="P334" i="29"/>
  <c r="P367" i="29"/>
  <c r="P362" i="29"/>
  <c r="P418" i="29"/>
  <c r="P427" i="29"/>
  <c r="O467" i="29"/>
  <c r="O497" i="29"/>
  <c r="O542" i="29"/>
  <c r="P580" i="29"/>
  <c r="O551" i="29"/>
  <c r="P575" i="29"/>
  <c r="P572" i="29"/>
  <c r="O565" i="29"/>
  <c r="P566" i="29"/>
  <c r="P608" i="29"/>
  <c r="O613" i="29"/>
  <c r="P612" i="29"/>
  <c r="O601" i="29"/>
  <c r="P601" i="29"/>
  <c r="P610" i="29"/>
  <c r="P599" i="29"/>
  <c r="O612" i="29"/>
  <c r="O52" i="29"/>
  <c r="O27" i="29"/>
  <c r="O97" i="29"/>
  <c r="O47" i="29"/>
  <c r="O44" i="29"/>
  <c r="O93" i="29"/>
  <c r="O42" i="29"/>
  <c r="P163" i="29"/>
  <c r="O53" i="29"/>
  <c r="P17" i="29"/>
  <c r="P550" i="29"/>
  <c r="O555" i="29"/>
  <c r="O592" i="29"/>
  <c r="P576" i="29"/>
  <c r="O569" i="29"/>
  <c r="P570" i="29"/>
  <c r="O584" i="29"/>
  <c r="P597" i="29"/>
  <c r="P589" i="29"/>
  <c r="O602" i="29"/>
  <c r="P609" i="29"/>
  <c r="I634" i="29"/>
  <c r="P603" i="29"/>
  <c r="O103" i="29"/>
  <c r="P50" i="29"/>
  <c r="O23" i="29"/>
  <c r="O84" i="29"/>
  <c r="P46" i="29"/>
  <c r="O24" i="29"/>
  <c r="O80" i="29"/>
  <c r="O38" i="29"/>
  <c r="O108" i="29"/>
  <c r="P45" i="29"/>
  <c r="P13" i="29"/>
  <c r="P554" i="29"/>
  <c r="O548" i="29"/>
  <c r="O564" i="29"/>
  <c r="O577" i="29"/>
  <c r="O573" i="29"/>
  <c r="P574" i="29"/>
  <c r="O588" i="29"/>
  <c r="P605" i="29"/>
  <c r="O593" i="29"/>
  <c r="O609" i="29"/>
  <c r="AC624" i="29"/>
  <c r="O595" i="29"/>
  <c r="P607" i="29"/>
  <c r="O101" i="29"/>
  <c r="P47" i="29"/>
  <c r="O19" i="29"/>
  <c r="O73" i="29"/>
  <c r="P42" i="29"/>
  <c r="O71" i="29"/>
  <c r="O34" i="29"/>
  <c r="O91" i="29"/>
  <c r="T35" i="29"/>
  <c r="S109" i="29"/>
  <c r="Q416" i="29"/>
  <c r="Q559" i="29"/>
  <c r="R627" i="29"/>
  <c r="Q66" i="29"/>
  <c r="R57" i="29"/>
  <c r="Q47" i="29"/>
  <c r="R159" i="29"/>
  <c r="R291" i="29"/>
  <c r="Q333" i="29"/>
  <c r="Q468" i="29"/>
  <c r="R161" i="29"/>
  <c r="Q261" i="29"/>
  <c r="Q383" i="29"/>
  <c r="Q492" i="29"/>
  <c r="Q145" i="29"/>
  <c r="Q30" i="29"/>
  <c r="R67" i="29"/>
  <c r="R149" i="29"/>
  <c r="R185" i="29"/>
  <c r="R214" i="29"/>
  <c r="R296" i="29"/>
  <c r="R318" i="29"/>
  <c r="R375" i="29"/>
  <c r="R453" i="29"/>
  <c r="Q518" i="29"/>
  <c r="Q582" i="29"/>
  <c r="R609" i="29"/>
  <c r="R84" i="29"/>
  <c r="R131" i="29"/>
  <c r="Q228" i="29"/>
  <c r="R316" i="29"/>
  <c r="Q323" i="29"/>
  <c r="R346" i="29"/>
  <c r="Q381" i="29"/>
  <c r="R474" i="29"/>
  <c r="R523" i="29"/>
  <c r="I635" i="29"/>
  <c r="S96" i="29"/>
  <c r="S186" i="29"/>
  <c r="S114" i="29"/>
  <c r="S270" i="29"/>
  <c r="T147" i="29"/>
  <c r="T344" i="29"/>
  <c r="T215" i="29"/>
  <c r="T25" i="29"/>
  <c r="T145" i="29"/>
  <c r="T86" i="29"/>
  <c r="S125" i="29"/>
  <c r="S212" i="29"/>
  <c r="T270" i="29"/>
  <c r="S302" i="29"/>
  <c r="T433" i="29"/>
  <c r="T116" i="29"/>
  <c r="T138" i="29"/>
  <c r="S158" i="29"/>
  <c r="S231" i="29"/>
  <c r="S297" i="29"/>
  <c r="S284" i="29"/>
  <c r="S461" i="29"/>
  <c r="T75" i="29"/>
  <c r="T61" i="29"/>
  <c r="S139" i="29"/>
  <c r="S211" i="29"/>
  <c r="T177" i="29"/>
  <c r="S289" i="29"/>
  <c r="T345" i="29"/>
  <c r="T91" i="29"/>
  <c r="S112" i="29"/>
  <c r="S154" i="29"/>
  <c r="T144" i="29"/>
  <c r="T77" i="29"/>
  <c r="S132" i="29"/>
  <c r="T102" i="29"/>
  <c r="T154" i="29"/>
  <c r="S155" i="29"/>
  <c r="T163" i="29"/>
  <c r="S141" i="29"/>
  <c r="T172" i="29"/>
  <c r="S227" i="29"/>
  <c r="S232" i="29"/>
  <c r="S228" i="29"/>
  <c r="S185" i="29"/>
  <c r="T193" i="29"/>
  <c r="S218" i="29"/>
  <c r="S333" i="29"/>
  <c r="S268" i="29"/>
  <c r="S265" i="29"/>
  <c r="T289" i="29"/>
  <c r="T306" i="29"/>
  <c r="S326" i="29"/>
  <c r="T350" i="29"/>
  <c r="S406" i="29"/>
  <c r="T396" i="29"/>
  <c r="T520" i="29"/>
  <c r="T13" i="29"/>
  <c r="T107" i="29"/>
  <c r="S122" i="29"/>
  <c r="T84" i="29"/>
  <c r="S118" i="29"/>
  <c r="T93" i="29"/>
  <c r="T141" i="29"/>
  <c r="T124" i="29"/>
  <c r="T170" i="29"/>
  <c r="T186" i="29"/>
  <c r="T192" i="29"/>
  <c r="S157" i="29"/>
  <c r="S179" i="29"/>
  <c r="T183" i="29"/>
  <c r="S180" i="29"/>
  <c r="T204" i="29"/>
  <c r="S201" i="29"/>
  <c r="T209" i="29"/>
  <c r="T210" i="29"/>
  <c r="S267" i="29"/>
  <c r="S325" i="29"/>
  <c r="T265" i="29"/>
  <c r="T316" i="29"/>
  <c r="S321" i="29"/>
  <c r="T300" i="29"/>
  <c r="S347" i="29"/>
  <c r="S398" i="29"/>
  <c r="S423" i="29"/>
  <c r="T583" i="29"/>
  <c r="S99" i="29"/>
  <c r="S86" i="29"/>
  <c r="S71" i="29"/>
  <c r="S64" i="29"/>
  <c r="T41" i="29"/>
  <c r="T59" i="29"/>
  <c r="S80" i="29"/>
  <c r="S136" i="29"/>
  <c r="T100" i="29"/>
  <c r="T174" i="29"/>
  <c r="T109" i="29"/>
  <c r="S150" i="29"/>
  <c r="T122" i="29"/>
  <c r="S123" i="29"/>
  <c r="T131" i="29"/>
  <c r="T164" i="29"/>
  <c r="T171" i="29"/>
  <c r="S195" i="29"/>
  <c r="T199" i="29"/>
  <c r="S196" i="29"/>
  <c r="T220" i="29"/>
  <c r="S217" i="29"/>
  <c r="T225" i="29"/>
  <c r="T238" i="29"/>
  <c r="T255" i="29"/>
  <c r="T256" i="29"/>
  <c r="S238" i="29"/>
  <c r="S369" i="29"/>
  <c r="T327" i="29"/>
  <c r="S362" i="29"/>
  <c r="S370" i="29"/>
  <c r="T402" i="29"/>
  <c r="S27" i="29"/>
  <c r="S28" i="29"/>
  <c r="S87" i="29"/>
  <c r="S106" i="29"/>
  <c r="T36" i="29"/>
  <c r="S51" i="29"/>
  <c r="S91" i="29"/>
  <c r="S110" i="29"/>
  <c r="S62" i="29"/>
  <c r="S82" i="29"/>
  <c r="S598" i="29"/>
  <c r="T605" i="29"/>
  <c r="S609" i="29"/>
  <c r="S593" i="29"/>
  <c r="T600" i="29"/>
  <c r="S612" i="29"/>
  <c r="S603" i="29"/>
  <c r="T594" i="29"/>
  <c r="S588" i="29"/>
  <c r="T591" i="29"/>
  <c r="S591" i="29"/>
  <c r="T606" i="29"/>
  <c r="T590" i="29"/>
  <c r="S582" i="29"/>
  <c r="T576" i="29"/>
  <c r="T560" i="29"/>
  <c r="S575" i="29"/>
  <c r="S559" i="29"/>
  <c r="S574" i="29"/>
  <c r="S585" i="29"/>
  <c r="T565" i="29"/>
  <c r="S550" i="29"/>
  <c r="T557" i="29"/>
  <c r="S577" i="29"/>
  <c r="S557" i="29"/>
  <c r="T573" i="29"/>
  <c r="T558" i="29"/>
  <c r="S578" i="29"/>
  <c r="T555" i="29"/>
  <c r="T566" i="29"/>
  <c r="S547" i="29"/>
  <c r="S541" i="29"/>
  <c r="S525" i="29"/>
  <c r="S540" i="29"/>
  <c r="S524" i="29"/>
  <c r="T539" i="29"/>
  <c r="T575" i="29"/>
  <c r="S535" i="29"/>
  <c r="T554" i="29"/>
  <c r="S530" i="29"/>
  <c r="T545" i="29"/>
  <c r="T529" i="29"/>
  <c r="T526" i="29"/>
  <c r="S507" i="29"/>
  <c r="T524" i="29"/>
  <c r="T514" i="29"/>
  <c r="S522" i="29"/>
  <c r="T540" i="29"/>
  <c r="T509" i="29"/>
  <c r="S513" i="29"/>
  <c r="T516" i="29"/>
  <c r="S512" i="29"/>
  <c r="T488" i="29"/>
  <c r="S505" i="29"/>
  <c r="T487" i="29"/>
  <c r="S491" i="29"/>
  <c r="S520" i="29"/>
  <c r="T486" i="29"/>
  <c r="T506" i="29"/>
  <c r="S494" i="29"/>
  <c r="T507" i="29"/>
  <c r="T472" i="29"/>
  <c r="T505" i="29"/>
  <c r="T481" i="29"/>
  <c r="S464" i="29"/>
  <c r="S481" i="29"/>
  <c r="T463" i="29"/>
  <c r="S475" i="29"/>
  <c r="T532" i="29"/>
  <c r="S474" i="29"/>
  <c r="T519" i="29"/>
  <c r="T478" i="29"/>
  <c r="T465" i="29"/>
  <c r="S56" i="29"/>
  <c r="T70" i="29"/>
  <c r="S20" i="29"/>
  <c r="S74" i="29"/>
  <c r="S89" i="29"/>
  <c r="S93" i="29"/>
  <c r="S25" i="29"/>
  <c r="S610" i="29"/>
  <c r="S594" i="29"/>
  <c r="T601" i="29"/>
  <c r="S605" i="29"/>
  <c r="T612" i="29"/>
  <c r="T596" i="29"/>
  <c r="S611" i="29"/>
  <c r="T602" i="29"/>
  <c r="T588" i="29"/>
  <c r="S584" i="29"/>
  <c r="T587" i="29"/>
  <c r="S587" i="29"/>
  <c r="S600" i="29"/>
  <c r="S627" i="29"/>
  <c r="T595" i="29"/>
  <c r="T572" i="29"/>
  <c r="T556" i="29"/>
  <c r="S571" i="29"/>
  <c r="T574" i="29"/>
  <c r="S570" i="29"/>
  <c r="T581" i="29"/>
  <c r="T561" i="29"/>
  <c r="S546" i="29"/>
  <c r="S553" i="29"/>
  <c r="T571" i="29"/>
  <c r="T552" i="29"/>
  <c r="S572" i="29"/>
  <c r="S552" i="29"/>
  <c r="S573" i="29"/>
  <c r="T551" i="29"/>
  <c r="S556" i="29"/>
  <c r="T603" i="29"/>
  <c r="S537" i="29"/>
  <c r="T593" i="29"/>
  <c r="S536" i="29"/>
  <c r="S583" i="29"/>
  <c r="T535" i="29"/>
  <c r="T550" i="29"/>
  <c r="S531" i="29"/>
  <c r="S542" i="29"/>
  <c r="S565" i="29"/>
  <c r="T541" i="29"/>
  <c r="T525" i="29"/>
  <c r="S519" i="29"/>
  <c r="S503" i="29"/>
  <c r="T523" i="29"/>
  <c r="T510" i="29"/>
  <c r="S518" i="29"/>
  <c r="T521" i="29"/>
  <c r="T534" i="29"/>
  <c r="S509" i="29"/>
  <c r="T512" i="29"/>
  <c r="T500" i="29"/>
  <c r="T484" i="29"/>
  <c r="T499" i="29"/>
  <c r="T511" i="29"/>
  <c r="S487" i="29"/>
  <c r="T498" i="29"/>
  <c r="T482" i="29"/>
  <c r="S504" i="29"/>
  <c r="S490" i="29"/>
  <c r="S496" i="29"/>
  <c r="T468" i="29"/>
  <c r="T501" i="29"/>
  <c r="S476" i="29"/>
  <c r="S501" i="29"/>
  <c r="T475" i="29"/>
  <c r="S497" i="29"/>
  <c r="S471" i="29"/>
  <c r="T503" i="29"/>
  <c r="S470" i="29"/>
  <c r="S502" i="29"/>
  <c r="T43" i="29"/>
  <c r="S44" i="29"/>
  <c r="T56" i="29"/>
  <c r="S65" i="29"/>
  <c r="T76" i="29"/>
  <c r="S60" i="29"/>
  <c r="T74" i="29"/>
  <c r="S17" i="29"/>
  <c r="S37" i="29"/>
  <c r="S45" i="29"/>
  <c r="S53" i="29"/>
  <c r="S97" i="29"/>
  <c r="S606" i="29"/>
  <c r="T613" i="29"/>
  <c r="T597" i="29"/>
  <c r="S601" i="29"/>
  <c r="T608" i="29"/>
  <c r="T592" i="29"/>
  <c r="T610" i="29"/>
  <c r="S596" i="29"/>
  <c r="T584" i="29"/>
  <c r="S580" i="29"/>
  <c r="T607" i="29"/>
  <c r="S608" i="29"/>
  <c r="S599" i="29"/>
  <c r="S590" i="29"/>
  <c r="T578" i="29"/>
  <c r="T568" i="29"/>
  <c r="S589" i="29"/>
  <c r="S567" i="29"/>
  <c r="T570" i="29"/>
  <c r="S566" i="29"/>
  <c r="S579" i="29"/>
  <c r="T559" i="29"/>
  <c r="S569" i="29"/>
  <c r="S549" i="29"/>
  <c r="S568" i="29"/>
  <c r="T548" i="29"/>
  <c r="T567" i="29"/>
  <c r="S548" i="29"/>
  <c r="T562" i="29"/>
  <c r="T547" i="29"/>
  <c r="S555" i="29"/>
  <c r="T585" i="29"/>
  <c r="S533" i="29"/>
  <c r="T569" i="29"/>
  <c r="S532" i="29"/>
  <c r="S544" i="29"/>
  <c r="T531" i="29"/>
  <c r="S543" i="29"/>
  <c r="S527" i="29"/>
  <c r="S538" i="29"/>
  <c r="T549" i="29"/>
  <c r="T537" i="29"/>
  <c r="S561" i="29"/>
  <c r="S515" i="29"/>
  <c r="T536" i="29"/>
  <c r="T522" i="29"/>
  <c r="T530" i="29"/>
  <c r="S514" i="29"/>
  <c r="T517" i="29"/>
  <c r="S521" i="29"/>
  <c r="T528" i="29"/>
  <c r="T508" i="29"/>
  <c r="T496" i="29"/>
  <c r="T480" i="29"/>
  <c r="T495" i="29"/>
  <c r="S499" i="29"/>
  <c r="S483" i="29"/>
  <c r="T494" i="29"/>
  <c r="T538" i="29"/>
  <c r="T502" i="29"/>
  <c r="S486" i="29"/>
  <c r="S480" i="29"/>
  <c r="T464" i="29"/>
  <c r="S492" i="29"/>
  <c r="S472" i="29"/>
  <c r="T497" i="29"/>
  <c r="T471" i="29"/>
  <c r="T493" i="29"/>
  <c r="S467" i="29"/>
  <c r="S489" i="29"/>
  <c r="S466" i="29"/>
  <c r="S485" i="29"/>
  <c r="T473" i="29"/>
  <c r="S58" i="29"/>
  <c r="S597" i="29"/>
  <c r="S595" i="29"/>
  <c r="S607" i="29"/>
  <c r="T564" i="29"/>
  <c r="S562" i="29"/>
  <c r="S545" i="29"/>
  <c r="T582" i="29"/>
  <c r="T579" i="29"/>
  <c r="T543" i="29"/>
  <c r="S534" i="29"/>
  <c r="S511" i="29"/>
  <c r="S510" i="29"/>
  <c r="T504" i="29"/>
  <c r="S495" i="29"/>
  <c r="S498" i="29"/>
  <c r="T483" i="29"/>
  <c r="S484" i="29"/>
  <c r="T479" i="29"/>
  <c r="S500" i="29"/>
  <c r="S473" i="29"/>
  <c r="S493" i="29"/>
  <c r="T449" i="29"/>
  <c r="T461" i="29"/>
  <c r="S445" i="29"/>
  <c r="S429" i="29"/>
  <c r="S413" i="29"/>
  <c r="T456" i="29"/>
  <c r="T470" i="29"/>
  <c r="S448" i="29"/>
  <c r="S432" i="29"/>
  <c r="T459" i="29"/>
  <c r="T443" i="29"/>
  <c r="T427" i="29"/>
  <c r="T411" i="29"/>
  <c r="S451" i="29"/>
  <c r="S435" i="29"/>
  <c r="S419" i="29"/>
  <c r="T466" i="29"/>
  <c r="S458" i="29"/>
  <c r="S430" i="29"/>
  <c r="S420" i="29"/>
  <c r="S397" i="29"/>
  <c r="S381" i="29"/>
  <c r="T418" i="29"/>
  <c r="T392" i="29"/>
  <c r="T376" i="29"/>
  <c r="S396" i="29"/>
  <c r="S380" i="29"/>
  <c r="T434" i="29"/>
  <c r="T409" i="29"/>
  <c r="T391" i="29"/>
  <c r="T375" i="29"/>
  <c r="S426" i="29"/>
  <c r="S403" i="29"/>
  <c r="S387" i="29"/>
  <c r="T417" i="29"/>
  <c r="T398" i="29"/>
  <c r="T382" i="29"/>
  <c r="S450" i="29"/>
  <c r="T406" i="29"/>
  <c r="S394" i="29"/>
  <c r="S378" i="29"/>
  <c r="T436" i="29"/>
  <c r="T420" i="29"/>
  <c r="S404" i="29"/>
  <c r="T389" i="29"/>
  <c r="T373" i="29"/>
  <c r="T356" i="29"/>
  <c r="T340" i="29"/>
  <c r="S356" i="29"/>
  <c r="S340" i="29"/>
  <c r="S324" i="29"/>
  <c r="T367" i="29"/>
  <c r="T351" i="29"/>
  <c r="T335" i="29"/>
  <c r="S359" i="29"/>
  <c r="S343" i="29"/>
  <c r="S327" i="29"/>
  <c r="S311" i="29"/>
  <c r="T362" i="29"/>
  <c r="T346" i="29"/>
  <c r="T330" i="29"/>
  <c r="T314" i="29"/>
  <c r="T357" i="29"/>
  <c r="T44" i="29"/>
  <c r="S602" i="29"/>
  <c r="T604" i="29"/>
  <c r="T580" i="29"/>
  <c r="T598" i="29"/>
  <c r="S581" i="29"/>
  <c r="S576" i="29"/>
  <c r="T563" i="29"/>
  <c r="S558" i="29"/>
  <c r="S529" i="29"/>
  <c r="T527" i="29"/>
  <c r="T546" i="29"/>
  <c r="S526" i="29"/>
  <c r="T513" i="29"/>
  <c r="T492" i="29"/>
  <c r="T553" i="29"/>
  <c r="S482" i="29"/>
  <c r="S468" i="29"/>
  <c r="S463" i="29"/>
  <c r="T477" i="29"/>
  <c r="S479" i="29"/>
  <c r="S469" i="29"/>
  <c r="T474" i="29"/>
  <c r="T445" i="29"/>
  <c r="S457" i="29"/>
  <c r="S441" i="29"/>
  <c r="S425" i="29"/>
  <c r="S409" i="29"/>
  <c r="T452" i="29"/>
  <c r="S460" i="29"/>
  <c r="S444" i="29"/>
  <c r="S428" i="29"/>
  <c r="T455" i="29"/>
  <c r="T439" i="29"/>
  <c r="T423" i="29"/>
  <c r="T407" i="29"/>
  <c r="S447" i="29"/>
  <c r="S431" i="29"/>
  <c r="S415" i="29"/>
  <c r="T458" i="29"/>
  <c r="T446" i="29"/>
  <c r="T429" i="29"/>
  <c r="T414" i="29"/>
  <c r="S393" i="29"/>
  <c r="S377" i="29"/>
  <c r="S414" i="29"/>
  <c r="T388" i="29"/>
  <c r="S418" i="29"/>
  <c r="S392" i="29"/>
  <c r="S376" i="29"/>
  <c r="T432" i="29"/>
  <c r="T403" i="29"/>
  <c r="T387" i="29"/>
  <c r="T371" i="29"/>
  <c r="S36" i="29"/>
  <c r="T609" i="29"/>
  <c r="T627" i="29"/>
  <c r="S592" i="29"/>
  <c r="S586" i="29"/>
  <c r="S563" i="29"/>
  <c r="S554" i="29"/>
  <c r="T589" i="29"/>
  <c r="T586" i="29"/>
  <c r="T544" i="29"/>
  <c r="S539" i="29"/>
  <c r="T533" i="29"/>
  <c r="T518" i="29"/>
  <c r="S517" i="29"/>
  <c r="S516" i="29"/>
  <c r="T490" i="29"/>
  <c r="T476" i="29"/>
  <c r="S488" i="29"/>
  <c r="T485" i="29"/>
  <c r="T469" i="29"/>
  <c r="S478" i="29"/>
  <c r="S465" i="29"/>
  <c r="T457" i="29"/>
  <c r="T441" i="29"/>
  <c r="S453" i="29"/>
  <c r="S437" i="29"/>
  <c r="S421" i="29"/>
  <c r="S405" i="29"/>
  <c r="T448" i="29"/>
  <c r="S456" i="29"/>
  <c r="S440" i="29"/>
  <c r="S424" i="29"/>
  <c r="T451" i="29"/>
  <c r="T435" i="29"/>
  <c r="T419" i="29"/>
  <c r="S459" i="29"/>
  <c r="S443" i="29"/>
  <c r="S427" i="29"/>
  <c r="S411" i="29"/>
  <c r="T454" i="29"/>
  <c r="S438" i="29"/>
  <c r="S422" i="29"/>
  <c r="S410" i="29"/>
  <c r="S389" i="29"/>
  <c r="S373" i="29"/>
  <c r="T400" i="29"/>
  <c r="T384" i="29"/>
  <c r="T405" i="29"/>
  <c r="S388" i="29"/>
  <c r="S454" i="29"/>
  <c r="T426" i="29"/>
  <c r="T399" i="29"/>
  <c r="T383" i="29"/>
  <c r="S434" i="29"/>
  <c r="T413" i="29"/>
  <c r="S395" i="29"/>
  <c r="S379" i="29"/>
  <c r="S408" i="29"/>
  <c r="T390" i="29"/>
  <c r="T374" i="29"/>
  <c r="T416" i="29"/>
  <c r="S402" i="29"/>
  <c r="S386" i="29"/>
  <c r="S442" i="29"/>
  <c r="T428" i="29"/>
  <c r="T410" i="29"/>
  <c r="T397" i="29"/>
  <c r="T381" i="29"/>
  <c r="T364" i="29"/>
  <c r="T348" i="29"/>
  <c r="S364" i="29"/>
  <c r="S348" i="29"/>
  <c r="S332" i="29"/>
  <c r="S316" i="29"/>
  <c r="T359" i="29"/>
  <c r="T343" i="29"/>
  <c r="S367" i="29"/>
  <c r="S351" i="29"/>
  <c r="S335" i="29"/>
  <c r="S319" i="29"/>
  <c r="S371" i="29"/>
  <c r="T354" i="29"/>
  <c r="T338" i="29"/>
  <c r="T322" i="29"/>
  <c r="T365" i="29"/>
  <c r="T349" i="29"/>
  <c r="T24" i="29"/>
  <c r="T599" i="29"/>
  <c r="S560" i="29"/>
  <c r="T542" i="29"/>
  <c r="T515" i="29"/>
  <c r="S506" i="29"/>
  <c r="T462" i="29"/>
  <c r="T460" i="29"/>
  <c r="T489" i="29"/>
  <c r="S455" i="29"/>
  <c r="T450" i="29"/>
  <c r="S385" i="29"/>
  <c r="S400" i="29"/>
  <c r="T395" i="29"/>
  <c r="T408" i="29"/>
  <c r="S375" i="29"/>
  <c r="T386" i="29"/>
  <c r="S412" i="29"/>
  <c r="S382" i="29"/>
  <c r="T422" i="29"/>
  <c r="T393" i="29"/>
  <c r="T360" i="29"/>
  <c r="S360" i="29"/>
  <c r="S328" i="29"/>
  <c r="T355" i="29"/>
  <c r="S363" i="29"/>
  <c r="S331" i="29"/>
  <c r="T366" i="29"/>
  <c r="T334" i="29"/>
  <c r="T361" i="29"/>
  <c r="T337" i="29"/>
  <c r="T321" i="29"/>
  <c r="S346" i="29"/>
  <c r="T308" i="29"/>
  <c r="T292" i="29"/>
  <c r="T276" i="29"/>
  <c r="S308" i="29"/>
  <c r="S292" i="29"/>
  <c r="S276" i="29"/>
  <c r="S345" i="29"/>
  <c r="T319" i="29"/>
  <c r="S337" i="29"/>
  <c r="S307" i="29"/>
  <c r="S349" i="29"/>
  <c r="T298" i="29"/>
  <c r="S310" i="29"/>
  <c r="S294" i="29"/>
  <c r="S278" i="29"/>
  <c r="S353" i="29"/>
  <c r="T324" i="29"/>
  <c r="S314" i="29"/>
  <c r="T297" i="29"/>
  <c r="T281" i="29"/>
  <c r="S287" i="29"/>
  <c r="S262" i="29"/>
  <c r="S246" i="29"/>
  <c r="S230" i="29"/>
  <c r="T278" i="29"/>
  <c r="T257" i="29"/>
  <c r="S309" i="29"/>
  <c r="S257" i="29"/>
  <c r="S241" i="29"/>
  <c r="S281" i="29"/>
  <c r="T264" i="29"/>
  <c r="T248" i="29"/>
  <c r="T232" i="29"/>
  <c r="T299" i="29"/>
  <c r="S273" i="29"/>
  <c r="S260" i="29"/>
  <c r="S305" i="29"/>
  <c r="T282" i="29"/>
  <c r="T263" i="29"/>
  <c r="T247" i="29"/>
  <c r="T231" i="29"/>
  <c r="S259" i="29"/>
  <c r="S243" i="29"/>
  <c r="T295" i="29"/>
  <c r="T279" i="29"/>
  <c r="T262" i="29"/>
  <c r="T246" i="29"/>
  <c r="T230" i="29"/>
  <c r="T218" i="29"/>
  <c r="T202" i="29"/>
  <c r="S226" i="29"/>
  <c r="S210" i="29"/>
  <c r="S194" i="29"/>
  <c r="S178" i="29"/>
  <c r="T577" i="29"/>
  <c r="S551" i="29"/>
  <c r="S523" i="29"/>
  <c r="S508" i="29"/>
  <c r="S477" i="29"/>
  <c r="S449" i="29"/>
  <c r="T444" i="29"/>
  <c r="T447" i="29"/>
  <c r="S439" i="29"/>
  <c r="T437" i="29"/>
  <c r="S446" i="29"/>
  <c r="S384" i="29"/>
  <c r="T379" i="29"/>
  <c r="S399" i="29"/>
  <c r="T412" i="29"/>
  <c r="T378" i="29"/>
  <c r="T404" i="29"/>
  <c r="S374" i="29"/>
  <c r="S416" i="29"/>
  <c r="T385" i="29"/>
  <c r="T352" i="29"/>
  <c r="S352" i="29"/>
  <c r="S320" i="29"/>
  <c r="T347" i="29"/>
  <c r="S355" i="29"/>
  <c r="S323" i="29"/>
  <c r="T358" i="29"/>
  <c r="T326" i="29"/>
  <c r="T353" i="29"/>
  <c r="T333" i="29"/>
  <c r="T317" i="29"/>
  <c r="S341" i="29"/>
  <c r="T304" i="29"/>
  <c r="T288" i="29"/>
  <c r="S334" i="29"/>
  <c r="S304" i="29"/>
  <c r="S288" i="29"/>
  <c r="S366" i="29"/>
  <c r="T328" i="29"/>
  <c r="T313" i="29"/>
  <c r="S329" i="29"/>
  <c r="S303" i="29"/>
  <c r="T310" i="29"/>
  <c r="S330" i="29"/>
  <c r="S306" i="29"/>
  <c r="S290" i="29"/>
  <c r="S274" i="29"/>
  <c r="S342" i="29"/>
  <c r="T323" i="29"/>
  <c r="T309" i="29"/>
  <c r="T293" i="29"/>
  <c r="T277" i="29"/>
  <c r="S279" i="29"/>
  <c r="S258" i="29"/>
  <c r="S242" i="29"/>
  <c r="S317" i="29"/>
  <c r="T269" i="29"/>
  <c r="T253" i="29"/>
  <c r="S269" i="29"/>
  <c r="S253" i="29"/>
  <c r="T291" i="29"/>
  <c r="T275" i="29"/>
  <c r="T260" i="29"/>
  <c r="T244" i="29"/>
  <c r="S338" i="29"/>
  <c r="S291" i="29"/>
  <c r="S272" i="29"/>
  <c r="S256" i="29"/>
  <c r="S299" i="29"/>
  <c r="T274" i="29"/>
  <c r="T259" i="29"/>
  <c r="T243" i="29"/>
  <c r="S271" i="29"/>
  <c r="S255" i="29"/>
  <c r="S239" i="29"/>
  <c r="S293" i="29"/>
  <c r="S277" i="29"/>
  <c r="T258" i="29"/>
  <c r="T242" i="29"/>
  <c r="S235" i="29"/>
  <c r="T214" i="29"/>
  <c r="T198" i="29"/>
  <c r="S222" i="29"/>
  <c r="S206" i="29"/>
  <c r="S190" i="29"/>
  <c r="T63" i="29"/>
  <c r="T111" i="29"/>
  <c r="S100" i="29"/>
  <c r="S128" i="29"/>
  <c r="S146" i="29"/>
  <c r="S164" i="29"/>
  <c r="T88" i="29"/>
  <c r="T104" i="29"/>
  <c r="T120" i="29"/>
  <c r="S156" i="29"/>
  <c r="T49" i="29"/>
  <c r="T65" i="29"/>
  <c r="T81" i="29"/>
  <c r="T97" i="29"/>
  <c r="T113" i="29"/>
  <c r="S124" i="29"/>
  <c r="T133" i="29"/>
  <c r="S142" i="29"/>
  <c r="T161" i="29"/>
  <c r="T90" i="29"/>
  <c r="T106" i="29"/>
  <c r="T132" i="29"/>
  <c r="T126" i="29"/>
  <c r="T142" i="29"/>
  <c r="T158" i="29"/>
  <c r="T173" i="29"/>
  <c r="S127" i="29"/>
  <c r="S143" i="29"/>
  <c r="S159" i="29"/>
  <c r="T119" i="29"/>
  <c r="T135" i="29"/>
  <c r="T151" i="29"/>
  <c r="T167" i="29"/>
  <c r="T182" i="29"/>
  <c r="S145" i="29"/>
  <c r="T178" i="29"/>
  <c r="S162" i="29"/>
  <c r="T190" i="29"/>
  <c r="S215" i="29"/>
  <c r="T187" i="29"/>
  <c r="T219" i="29"/>
  <c r="T233" i="29"/>
  <c r="S173" i="29"/>
  <c r="S221" i="29"/>
  <c r="T197" i="29"/>
  <c r="S236" i="29"/>
  <c r="T237" i="29"/>
  <c r="T250" i="29"/>
  <c r="S247" i="29"/>
  <c r="T267" i="29"/>
  <c r="T236" i="29"/>
  <c r="S245" i="29"/>
  <c r="S250" i="29"/>
  <c r="T301" i="29"/>
  <c r="S282" i="29"/>
  <c r="S354" i="29"/>
  <c r="S350" i="29"/>
  <c r="T280" i="29"/>
  <c r="T325" i="29"/>
  <c r="T369" i="29"/>
  <c r="T372" i="29"/>
  <c r="S336" i="29"/>
  <c r="T368" i="29"/>
  <c r="T442" i="29"/>
  <c r="S383" i="29"/>
  <c r="T424" i="29"/>
  <c r="S401" i="29"/>
  <c r="T415" i="29"/>
  <c r="S417" i="29"/>
  <c r="S462" i="29"/>
  <c r="S604" i="29"/>
  <c r="S199" i="29"/>
  <c r="S240" i="29"/>
  <c r="S184" i="29"/>
  <c r="T430" i="29"/>
  <c r="S55" i="29"/>
  <c r="S48" i="29"/>
  <c r="T33" i="29"/>
  <c r="T17" i="29"/>
  <c r="T51" i="29"/>
  <c r="T67" i="29"/>
  <c r="T83" i="29"/>
  <c r="T99" i="29"/>
  <c r="T115" i="29"/>
  <c r="S88" i="29"/>
  <c r="S104" i="29"/>
  <c r="S120" i="29"/>
  <c r="T129" i="29"/>
  <c r="S138" i="29"/>
  <c r="S152" i="29"/>
  <c r="T169" i="29"/>
  <c r="T92" i="29"/>
  <c r="T108" i="29"/>
  <c r="T128" i="29"/>
  <c r="S113" i="29"/>
  <c r="S160" i="29"/>
  <c r="T53" i="29"/>
  <c r="T69" i="29"/>
  <c r="T85" i="29"/>
  <c r="T101" i="29"/>
  <c r="T117" i="29"/>
  <c r="T125" i="29"/>
  <c r="S134" i="29"/>
  <c r="S148" i="29"/>
  <c r="T78" i="29"/>
  <c r="T94" i="29"/>
  <c r="T110" i="29"/>
  <c r="T140" i="29"/>
  <c r="T130" i="29"/>
  <c r="T146" i="29"/>
  <c r="T162" i="29"/>
  <c r="T180" i="29"/>
  <c r="S131" i="29"/>
  <c r="S147" i="29"/>
  <c r="S163" i="29"/>
  <c r="T123" i="29"/>
  <c r="T139" i="29"/>
  <c r="T155" i="29"/>
  <c r="S174" i="29"/>
  <c r="T156" i="29"/>
  <c r="T188" i="29"/>
  <c r="S133" i="29"/>
  <c r="S149" i="29"/>
  <c r="S165" i="29"/>
  <c r="T194" i="29"/>
  <c r="S166" i="29"/>
  <c r="S171" i="29"/>
  <c r="S187" i="29"/>
  <c r="S203" i="29"/>
  <c r="S219" i="29"/>
  <c r="T175" i="29"/>
  <c r="T191" i="29"/>
  <c r="T207" i="29"/>
  <c r="T223" i="29"/>
  <c r="S172" i="29"/>
  <c r="S188" i="29"/>
  <c r="S204" i="29"/>
  <c r="S220" i="29"/>
  <c r="T241" i="29"/>
  <c r="T212" i="29"/>
  <c r="T228" i="29"/>
  <c r="S177" i="29"/>
  <c r="S193" i="29"/>
  <c r="S209" i="29"/>
  <c r="S225" i="29"/>
  <c r="T185" i="29"/>
  <c r="T201" i="29"/>
  <c r="T217" i="29"/>
  <c r="S237" i="29"/>
  <c r="S202" i="29"/>
  <c r="S244" i="29"/>
  <c r="T226" i="29"/>
  <c r="T254" i="29"/>
  <c r="T287" i="29"/>
  <c r="S251" i="29"/>
  <c r="T239" i="29"/>
  <c r="T271" i="29"/>
  <c r="S252" i="29"/>
  <c r="S283" i="29"/>
  <c r="T240" i="29"/>
  <c r="T272" i="29"/>
  <c r="S249" i="29"/>
  <c r="T249" i="29"/>
  <c r="T294" i="29"/>
  <c r="S254" i="29"/>
  <c r="T273" i="29"/>
  <c r="T305" i="29"/>
  <c r="T332" i="29"/>
  <c r="S286" i="29"/>
  <c r="S322" i="29"/>
  <c r="S365" i="29"/>
  <c r="T307" i="29"/>
  <c r="S361" i="29"/>
  <c r="S300" i="29"/>
  <c r="T284" i="29"/>
  <c r="T336" i="29"/>
  <c r="T329" i="29"/>
  <c r="T318" i="29"/>
  <c r="S315" i="29"/>
  <c r="T339" i="29"/>
  <c r="S344" i="29"/>
  <c r="T377" i="29"/>
  <c r="T438" i="29"/>
  <c r="T370" i="29"/>
  <c r="S391" i="29"/>
  <c r="T440" i="29"/>
  <c r="T421" i="29"/>
  <c r="T431" i="29"/>
  <c r="S433" i="29"/>
  <c r="T467" i="29"/>
  <c r="S528" i="29"/>
  <c r="S613" i="29"/>
  <c r="T62" i="29"/>
  <c r="T45" i="29"/>
  <c r="T29" i="29"/>
  <c r="T47" i="29"/>
  <c r="T79" i="29"/>
  <c r="T95" i="29"/>
  <c r="S84" i="29"/>
  <c r="S116" i="29"/>
  <c r="T137" i="29"/>
  <c r="T152" i="29"/>
  <c r="T168" i="29"/>
  <c r="S129" i="29"/>
  <c r="S161" i="29"/>
  <c r="S183" i="29"/>
  <c r="T203" i="29"/>
  <c r="S233" i="29"/>
  <c r="S200" i="29"/>
  <c r="S216" i="29"/>
  <c r="T208" i="29"/>
  <c r="T224" i="29"/>
  <c r="S189" i="29"/>
  <c r="S205" i="29"/>
  <c r="T181" i="29"/>
  <c r="T213" i="29"/>
  <c r="S198" i="29"/>
  <c r="T222" i="29"/>
  <c r="S285" i="29"/>
  <c r="T235" i="29"/>
  <c r="S248" i="29"/>
  <c r="S275" i="29"/>
  <c r="T268" i="29"/>
  <c r="T245" i="29"/>
  <c r="T286" i="29"/>
  <c r="S295" i="29"/>
  <c r="T331" i="29"/>
  <c r="T311" i="29"/>
  <c r="T303" i="29"/>
  <c r="S296" i="29"/>
  <c r="S312" i="29"/>
  <c r="S372" i="29"/>
  <c r="T611" i="29"/>
  <c r="S101" i="29"/>
  <c r="T37" i="29"/>
  <c r="T21" i="29"/>
  <c r="T55" i="29"/>
  <c r="T71" i="29"/>
  <c r="T87" i="29"/>
  <c r="T103" i="29"/>
  <c r="S76" i="29"/>
  <c r="S92" i="29"/>
  <c r="S108" i="29"/>
  <c r="T121" i="29"/>
  <c r="S130" i="29"/>
  <c r="S144" i="29"/>
  <c r="T153" i="29"/>
  <c r="T80" i="29"/>
  <c r="T96" i="29"/>
  <c r="T112" i="29"/>
  <c r="T136" i="29"/>
  <c r="S117" i="29"/>
  <c r="T165" i="29"/>
  <c r="T57" i="29"/>
  <c r="T73" i="29"/>
  <c r="T89" i="29"/>
  <c r="T105" i="29"/>
  <c r="T118" i="29"/>
  <c r="S126" i="29"/>
  <c r="S140" i="29"/>
  <c r="T149" i="29"/>
  <c r="T82" i="29"/>
  <c r="T98" i="29"/>
  <c r="T114" i="29"/>
  <c r="T148" i="29"/>
  <c r="T134" i="29"/>
  <c r="T150" i="29"/>
  <c r="T166" i="29"/>
  <c r="T196" i="29"/>
  <c r="S135" i="29"/>
  <c r="S151" i="29"/>
  <c r="S167" i="29"/>
  <c r="T127" i="29"/>
  <c r="T143" i="29"/>
  <c r="T159" i="29"/>
  <c r="T176" i="29"/>
  <c r="T160" i="29"/>
  <c r="S121" i="29"/>
  <c r="S137" i="29"/>
  <c r="S153" i="29"/>
  <c r="S169" i="29"/>
  <c r="T184" i="29"/>
  <c r="S170" i="29"/>
  <c r="S175" i="29"/>
  <c r="S191" i="29"/>
  <c r="S207" i="29"/>
  <c r="S223" i="29"/>
  <c r="T179" i="29"/>
  <c r="T195" i="29"/>
  <c r="T211" i="29"/>
  <c r="T227" i="29"/>
  <c r="S176" i="29"/>
  <c r="S192" i="29"/>
  <c r="S208" i="29"/>
  <c r="S224" i="29"/>
  <c r="T200" i="29"/>
  <c r="T216" i="29"/>
  <c r="S229" i="29"/>
  <c r="S181" i="29"/>
  <c r="S197" i="29"/>
  <c r="S213" i="29"/>
  <c r="T229" i="29"/>
  <c r="T189" i="29"/>
  <c r="T205" i="29"/>
  <c r="T221" i="29"/>
  <c r="S182" i="29"/>
  <c r="S214" i="29"/>
  <c r="T206" i="29"/>
  <c r="T234" i="29"/>
  <c r="T266" i="29"/>
  <c r="T312" i="29"/>
  <c r="S263" i="29"/>
  <c r="T251" i="29"/>
  <c r="T290" i="29"/>
  <c r="S264" i="29"/>
  <c r="S301" i="29"/>
  <c r="T252" i="29"/>
  <c r="T283" i="29"/>
  <c r="S261" i="29"/>
  <c r="T261" i="29"/>
  <c r="S234" i="29"/>
  <c r="S266" i="29"/>
  <c r="T285" i="29"/>
  <c r="T315" i="29"/>
  <c r="S358" i="29"/>
  <c r="S298" i="29"/>
  <c r="T302" i="29"/>
  <c r="S313" i="29"/>
  <c r="T320" i="29"/>
  <c r="S280" i="29"/>
  <c r="S318" i="29"/>
  <c r="T296" i="29"/>
  <c r="S357" i="29"/>
  <c r="T341" i="29"/>
  <c r="T342" i="29"/>
  <c r="S339" i="29"/>
  <c r="T363" i="29"/>
  <c r="S368" i="29"/>
  <c r="T401" i="29"/>
  <c r="S390" i="29"/>
  <c r="T394" i="29"/>
  <c r="T425" i="29"/>
  <c r="T380" i="29"/>
  <c r="S407" i="29"/>
  <c r="S436" i="29"/>
  <c r="T453" i="29"/>
  <c r="T491" i="29"/>
  <c r="S564" i="29"/>
  <c r="S95" i="29"/>
  <c r="S69" i="29"/>
  <c r="T60" i="29"/>
  <c r="S29" i="29"/>
  <c r="S21" i="29"/>
  <c r="S13" i="29"/>
  <c r="S67" i="29"/>
  <c r="T58" i="29"/>
  <c r="T20" i="29"/>
  <c r="T72" i="29"/>
  <c r="S83" i="29"/>
  <c r="S63" i="29"/>
  <c r="T54" i="29"/>
  <c r="T19" i="29"/>
  <c r="T68" i="29"/>
  <c r="S119" i="29"/>
  <c r="S41" i="29"/>
  <c r="S33" i="29"/>
  <c r="T28" i="29"/>
  <c r="T16" i="29"/>
  <c r="S75" i="29"/>
  <c r="T40" i="29"/>
  <c r="T32" i="29"/>
  <c r="S168" i="29"/>
  <c r="S115" i="29"/>
  <c r="S77" i="29"/>
  <c r="S40" i="29"/>
  <c r="S32" i="29"/>
  <c r="S24" i="29"/>
  <c r="S16" i="29"/>
  <c r="S102" i="29"/>
  <c r="T27" i="29"/>
  <c r="R55" i="29"/>
  <c r="Q71" i="29"/>
  <c r="Q76" i="29"/>
  <c r="Q81" i="29"/>
  <c r="R75" i="29"/>
  <c r="R179" i="29"/>
  <c r="Q236" i="29"/>
  <c r="Q290" i="29"/>
  <c r="Q251" i="29"/>
  <c r="R289" i="29"/>
  <c r="R374" i="29"/>
  <c r="R422" i="29"/>
  <c r="Q474" i="29"/>
  <c r="R485" i="29"/>
  <c r="Q577" i="29"/>
  <c r="R21" i="29"/>
  <c r="Q114" i="29"/>
  <c r="Q140" i="29"/>
  <c r="R188" i="29"/>
  <c r="Q219" i="29"/>
  <c r="Q363" i="29"/>
  <c r="Q299" i="29"/>
  <c r="R355" i="29"/>
  <c r="R395" i="29"/>
  <c r="Q460" i="29"/>
  <c r="R512" i="29"/>
  <c r="R519" i="29"/>
  <c r="AC625" i="29"/>
  <c r="Q98" i="29"/>
  <c r="Q14" i="29"/>
  <c r="R54" i="29"/>
  <c r="R128" i="29"/>
  <c r="R224" i="29"/>
  <c r="R207" i="29"/>
  <c r="Q298" i="29"/>
  <c r="Q359" i="29"/>
  <c r="Q324" i="29"/>
  <c r="R372" i="29"/>
  <c r="R428" i="29"/>
  <c r="R465" i="29"/>
  <c r="Q531" i="29"/>
  <c r="Q604" i="29"/>
  <c r="R39" i="29"/>
  <c r="Q112" i="29"/>
  <c r="Q62" i="29"/>
  <c r="R17" i="29"/>
  <c r="R51" i="29"/>
  <c r="R28" i="29"/>
  <c r="R60" i="29"/>
  <c r="R78" i="29"/>
  <c r="R164" i="29"/>
  <c r="Q205" i="29"/>
  <c r="R247" i="29"/>
  <c r="Q258" i="29"/>
  <c r="Q350" i="29"/>
  <c r="Q356" i="29"/>
  <c r="R400" i="29"/>
  <c r="Q461" i="29"/>
  <c r="R482" i="29"/>
  <c r="R524" i="29"/>
  <c r="Q153" i="29"/>
  <c r="Q15" i="29"/>
  <c r="Q94" i="29"/>
  <c r="Q19" i="29"/>
  <c r="R35" i="29"/>
  <c r="Q24" i="29"/>
  <c r="Q56" i="29"/>
  <c r="Q83" i="29"/>
  <c r="Q607" i="29"/>
  <c r="R594" i="29"/>
  <c r="R605" i="29"/>
  <c r="R577" i="29"/>
  <c r="Q585" i="29"/>
  <c r="Q597" i="29"/>
  <c r="R599" i="29"/>
  <c r="Q580" i="29"/>
  <c r="Q578" i="29"/>
  <c r="R575" i="29"/>
  <c r="Q566" i="29"/>
  <c r="Q561" i="29"/>
  <c r="R564" i="29"/>
  <c r="Q549" i="29"/>
  <c r="R548" i="29"/>
  <c r="Q552" i="29"/>
  <c r="Q530" i="29"/>
  <c r="Q586" i="29"/>
  <c r="R556" i="29"/>
  <c r="Q543" i="29"/>
  <c r="R538" i="29"/>
  <c r="Q508" i="29"/>
  <c r="R576" i="29"/>
  <c r="R559" i="29"/>
  <c r="R529" i="29"/>
  <c r="Q39" i="29"/>
  <c r="Q61" i="29"/>
  <c r="Q92" i="29"/>
  <c r="R23" i="29"/>
  <c r="Q63" i="29"/>
  <c r="Q20" i="29"/>
  <c r="Q102" i="29"/>
  <c r="Q595" i="29"/>
  <c r="Q598" i="29"/>
  <c r="R589" i="29"/>
  <c r="R595" i="29"/>
  <c r="Q605" i="29"/>
  <c r="Q591" i="29"/>
  <c r="R569" i="29"/>
  <c r="Q568" i="29"/>
  <c r="Q571" i="29"/>
  <c r="R583" i="29"/>
  <c r="Q570" i="29"/>
  <c r="Q553" i="29"/>
  <c r="Q590" i="29"/>
  <c r="Q544" i="29"/>
  <c r="Q541" i="29"/>
  <c r="R47" i="29"/>
  <c r="Q79" i="29"/>
  <c r="R31" i="29"/>
  <c r="Q78" i="29"/>
  <c r="Q28" i="29"/>
  <c r="Q65" i="29"/>
  <c r="Q121" i="29"/>
  <c r="R606" i="29"/>
  <c r="R613" i="29"/>
  <c r="R581" i="29"/>
  <c r="Q581" i="29"/>
  <c r="Q588" i="29"/>
  <c r="Q583" i="29"/>
  <c r="R561" i="29"/>
  <c r="Q560" i="29"/>
  <c r="Q563" i="29"/>
  <c r="Q565" i="29"/>
  <c r="R553" i="29"/>
  <c r="R590" i="29"/>
  <c r="R578" i="29"/>
  <c r="R545" i="29"/>
  <c r="Q533" i="29"/>
  <c r="R528" i="29"/>
  <c r="Q584" i="29"/>
  <c r="R534" i="29"/>
  <c r="Q558" i="29"/>
  <c r="R541" i="29"/>
  <c r="R518" i="29"/>
  <c r="Q510" i="29"/>
  <c r="R533" i="29"/>
  <c r="R481" i="29"/>
  <c r="R484" i="29"/>
  <c r="Q484" i="29"/>
  <c r="R525" i="29"/>
  <c r="R490" i="29"/>
  <c r="Q490" i="29"/>
  <c r="Q469" i="29"/>
  <c r="R472" i="29"/>
  <c r="Q472" i="29"/>
  <c r="Q463" i="29"/>
  <c r="Q498" i="29"/>
  <c r="R454" i="29"/>
  <c r="Q446" i="29"/>
  <c r="Q414" i="29"/>
  <c r="R445" i="29"/>
  <c r="Q441" i="29"/>
  <c r="R456" i="29"/>
  <c r="R424" i="29"/>
  <c r="Q452" i="29"/>
  <c r="Q420" i="29"/>
  <c r="Q451" i="29"/>
  <c r="Q390" i="29"/>
  <c r="R430" i="29"/>
  <c r="R397" i="29"/>
  <c r="R439" i="29"/>
  <c r="Q393" i="29"/>
  <c r="Q419" i="29"/>
  <c r="R380" i="29"/>
  <c r="Q388" i="29"/>
  <c r="R426" i="29"/>
  <c r="R387" i="29"/>
  <c r="R417" i="29"/>
  <c r="Q379" i="29"/>
  <c r="R398" i="29"/>
  <c r="R369" i="29"/>
  <c r="Q369" i="29"/>
  <c r="Q337" i="29"/>
  <c r="R360" i="29"/>
  <c r="Q364" i="29"/>
  <c r="Q332" i="29"/>
  <c r="R359" i="29"/>
  <c r="R327" i="29"/>
  <c r="R358" i="29"/>
  <c r="R326" i="29"/>
  <c r="Q314" i="29"/>
  <c r="Q43" i="29"/>
  <c r="R13" i="29"/>
  <c r="R14" i="29"/>
  <c r="Q54" i="29"/>
  <c r="Q111" i="29"/>
  <c r="Q44" i="29"/>
  <c r="Q603" i="29"/>
  <c r="Q606" i="29"/>
  <c r="R593" i="29"/>
  <c r="R603" i="29"/>
  <c r="R588" i="29"/>
  <c r="R607" i="29"/>
  <c r="R586" i="29"/>
  <c r="Q576" i="29"/>
  <c r="Q601" i="29"/>
  <c r="Q547" i="29"/>
  <c r="Q546" i="29"/>
  <c r="R563" i="29"/>
  <c r="R560" i="29"/>
  <c r="R558" i="29"/>
  <c r="Q526" i="29"/>
  <c r="R551" i="29"/>
  <c r="Q536" i="29"/>
  <c r="Q527" i="29"/>
  <c r="Q520" i="29"/>
  <c r="R511" i="29"/>
  <c r="Q507" i="29"/>
  <c r="Q523" i="29"/>
  <c r="R517" i="29"/>
  <c r="R497" i="29"/>
  <c r="R500" i="29"/>
  <c r="Q500" i="29"/>
  <c r="R495" i="29"/>
  <c r="Q491" i="29"/>
  <c r="R477" i="29"/>
  <c r="Q479" i="29"/>
  <c r="R504" i="29"/>
  <c r="Q509" i="29"/>
  <c r="Q493" i="29"/>
  <c r="R470" i="29"/>
  <c r="Q470" i="29"/>
  <c r="R475" i="29"/>
  <c r="Q430" i="29"/>
  <c r="R461" i="29"/>
  <c r="Q457" i="29"/>
  <c r="Q425" i="29"/>
  <c r="R440" i="29"/>
  <c r="R408" i="29"/>
  <c r="Q436" i="29"/>
  <c r="Q404" i="29"/>
  <c r="R406" i="29"/>
  <c r="Q374" i="29"/>
  <c r="R415" i="29"/>
  <c r="R381" i="29"/>
  <c r="Q415" i="29"/>
  <c r="Q377" i="29"/>
  <c r="R396" i="29"/>
  <c r="Q405" i="29"/>
  <c r="Q455" i="29"/>
  <c r="R403" i="29"/>
  <c r="R371" i="29"/>
  <c r="Q395" i="29"/>
  <c r="Q427" i="29"/>
  <c r="R382" i="29"/>
  <c r="R353" i="29"/>
  <c r="Q353" i="29"/>
  <c r="Q321" i="29"/>
  <c r="R344" i="29"/>
  <c r="Q348" i="29"/>
  <c r="Q316" i="29"/>
  <c r="R343" i="29"/>
  <c r="R311" i="29"/>
  <c r="R342" i="29"/>
  <c r="Q338" i="29"/>
  <c r="R297" i="29"/>
  <c r="Q367" i="29"/>
  <c r="Q297" i="29"/>
  <c r="Q318" i="29"/>
  <c r="R320" i="29"/>
  <c r="R313" i="29"/>
  <c r="Q313" i="29"/>
  <c r="Q279" i="29"/>
  <c r="R298" i="29"/>
  <c r="Q271" i="29"/>
  <c r="Q239" i="29"/>
  <c r="R279" i="29"/>
  <c r="R324" i="29"/>
  <c r="Q278" i="29"/>
  <c r="Q242" i="29"/>
  <c r="R265" i="29"/>
  <c r="R233" i="29"/>
  <c r="Q257" i="29"/>
  <c r="R273" i="29"/>
  <c r="R244" i="29"/>
  <c r="R276" i="29"/>
  <c r="Q252" i="29"/>
  <c r="Q276" i="29"/>
  <c r="R243" i="29"/>
  <c r="R215" i="29"/>
  <c r="Q215" i="29"/>
  <c r="Q183" i="29"/>
  <c r="R206" i="29"/>
  <c r="R242" i="29"/>
  <c r="Q214" i="29"/>
  <c r="Q182" i="29"/>
  <c r="R213" i="29"/>
  <c r="Q213" i="29"/>
  <c r="Q181" i="29"/>
  <c r="R212" i="29"/>
  <c r="R180" i="29"/>
  <c r="Q216" i="29"/>
  <c r="Q184" i="29"/>
  <c r="Q163" i="29"/>
  <c r="Q158" i="29"/>
  <c r="Q126" i="29"/>
  <c r="R157" i="29"/>
  <c r="R152" i="29"/>
  <c r="R120" i="29"/>
  <c r="Q152" i="29"/>
  <c r="Q120" i="29"/>
  <c r="R143" i="29"/>
  <c r="R115" i="29"/>
  <c r="R83" i="29"/>
  <c r="Q123" i="29"/>
  <c r="R134" i="29"/>
  <c r="R98" i="29"/>
  <c r="R66" i="29"/>
  <c r="Q149" i="29"/>
  <c r="R113" i="29"/>
  <c r="R81" i="29"/>
  <c r="Q109" i="29"/>
  <c r="Q77" i="29"/>
  <c r="R137" i="29"/>
  <c r="R104" i="29"/>
  <c r="R72" i="29"/>
  <c r="R49" i="29"/>
  <c r="Q106" i="29"/>
  <c r="Q60" i="29"/>
  <c r="Q23" i="29"/>
  <c r="Q27" i="29"/>
  <c r="Q35" i="29"/>
  <c r="R19" i="29"/>
  <c r="R61" i="29"/>
  <c r="Q16" i="29"/>
  <c r="Q49" i="29"/>
  <c r="Q100" i="29"/>
  <c r="Q599" i="29"/>
  <c r="Q602" i="29"/>
  <c r="Q593" i="29"/>
  <c r="R596" i="29"/>
  <c r="Q613" i="29"/>
  <c r="R600" i="29"/>
  <c r="R573" i="29"/>
  <c r="Q572" i="29"/>
  <c r="Q575" i="29"/>
  <c r="Q609" i="29"/>
  <c r="R580" i="29"/>
  <c r="Q557" i="29"/>
  <c r="R552" i="29"/>
  <c r="Q548" i="29"/>
  <c r="R547" i="29"/>
  <c r="R540" i="29"/>
  <c r="Q532" i="29"/>
  <c r="R566" i="29"/>
  <c r="Q516" i="29"/>
  <c r="R507" i="29"/>
  <c r="R535" i="29"/>
  <c r="Q522" i="29"/>
  <c r="R513" i="29"/>
  <c r="R493" i="29"/>
  <c r="R496" i="29"/>
  <c r="Q496" i="29"/>
  <c r="R491" i="29"/>
  <c r="Q487" i="29"/>
  <c r="R473" i="29"/>
  <c r="Q478" i="29"/>
  <c r="Q486" i="29"/>
  <c r="Q501" i="29"/>
  <c r="Q475" i="29"/>
  <c r="R466" i="29"/>
  <c r="Q466" i="29"/>
  <c r="Q458" i="29"/>
  <c r="Q426" i="29"/>
  <c r="R457" i="29"/>
  <c r="Q453" i="29"/>
  <c r="Q421" i="29"/>
  <c r="R436" i="29"/>
  <c r="R404" i="29"/>
  <c r="Q432" i="29"/>
  <c r="R459" i="29"/>
  <c r="Q402" i="29"/>
  <c r="Q370" i="29"/>
  <c r="Q411" i="29"/>
  <c r="R377" i="29"/>
  <c r="R414" i="29"/>
  <c r="Q439" i="29"/>
  <c r="R392" i="29"/>
  <c r="Q400" i="29"/>
  <c r="R443" i="29"/>
  <c r="R399" i="29"/>
  <c r="Q443" i="29"/>
  <c r="Q391" i="29"/>
  <c r="Q417" i="29"/>
  <c r="R378" i="29"/>
  <c r="R349" i="29"/>
  <c r="Q349" i="29"/>
  <c r="Q317" i="29"/>
  <c r="R340" i="29"/>
  <c r="Q344" i="29"/>
  <c r="Q312" i="29"/>
  <c r="R339" i="29"/>
  <c r="Q373" i="29"/>
  <c r="R338" i="29"/>
  <c r="R333" i="29"/>
  <c r="R293" i="29"/>
  <c r="Q362" i="29"/>
  <c r="Q293" i="29"/>
  <c r="R308" i="29"/>
  <c r="Q319" i="29"/>
  <c r="R307" i="29"/>
  <c r="Q307" i="29"/>
  <c r="Q275" i="29"/>
  <c r="R294" i="29"/>
  <c r="Q267" i="29"/>
  <c r="Q235" i="29"/>
  <c r="R270" i="29"/>
  <c r="Q302" i="29"/>
  <c r="Q270" i="29"/>
  <c r="Q331" i="29"/>
  <c r="R261" i="29"/>
  <c r="R229" i="29"/>
  <c r="Q253" i="29"/>
  <c r="R272" i="29"/>
  <c r="R240" i="29"/>
  <c r="Q274" i="29"/>
  <c r="Q248" i="29"/>
  <c r="R271" i="29"/>
  <c r="R239" i="29"/>
  <c r="R211" i="29"/>
  <c r="Q211" i="29"/>
  <c r="Q179" i="29"/>
  <c r="R202" i="29"/>
  <c r="R238" i="29"/>
  <c r="Q210" i="29"/>
  <c r="Q178" i="29"/>
  <c r="R209" i="29"/>
  <c r="Q209" i="29"/>
  <c r="Q177" i="29"/>
  <c r="R208" i="29"/>
  <c r="R176" i="29"/>
  <c r="Q212" i="29"/>
  <c r="Q180" i="29"/>
  <c r="Q159" i="29"/>
  <c r="Q154" i="29"/>
  <c r="Q122" i="29"/>
  <c r="R193" i="29"/>
  <c r="R148" i="29"/>
  <c r="R197" i="29"/>
  <c r="Q148" i="29"/>
  <c r="R191" i="29"/>
  <c r="R139" i="29"/>
  <c r="R111" i="29"/>
  <c r="R79" i="29"/>
  <c r="Q119" i="29"/>
  <c r="R133" i="29"/>
  <c r="R94" i="29"/>
  <c r="R62" i="29"/>
  <c r="Q141" i="29"/>
  <c r="R109" i="29"/>
  <c r="R158" i="29"/>
  <c r="Q105" i="29"/>
  <c r="Q175" i="29"/>
  <c r="R130" i="29"/>
  <c r="R100" i="29"/>
  <c r="R68" i="29"/>
  <c r="Q51" i="29"/>
  <c r="Q87" i="29"/>
  <c r="Q17" i="29"/>
  <c r="Q25" i="29"/>
  <c r="Q33" i="29"/>
  <c r="Q41" i="29"/>
  <c r="Q108" i="29"/>
  <c r="R59" i="29"/>
  <c r="Q96" i="29"/>
  <c r="R602" i="29"/>
  <c r="R612" i="29"/>
  <c r="Q592" i="29"/>
  <c r="R557" i="29"/>
  <c r="R584" i="29"/>
  <c r="R549" i="29"/>
  <c r="R574" i="29"/>
  <c r="Q529" i="29"/>
  <c r="Q528" i="29"/>
  <c r="R526" i="29"/>
  <c r="R555" i="29"/>
  <c r="R506" i="29"/>
  <c r="Q513" i="29"/>
  <c r="R492" i="29"/>
  <c r="Q521" i="29"/>
  <c r="Q494" i="29"/>
  <c r="R480" i="29"/>
  <c r="R468" i="29"/>
  <c r="Q471" i="29"/>
  <c r="Q485" i="29"/>
  <c r="Q450" i="29"/>
  <c r="R463" i="29"/>
  <c r="Q437" i="29"/>
  <c r="R432" i="29"/>
  <c r="Q444" i="29"/>
  <c r="R451" i="29"/>
  <c r="Q378" i="29"/>
  <c r="R393" i="29"/>
  <c r="Q401" i="29"/>
  <c r="R405" i="29"/>
  <c r="Q392" i="29"/>
  <c r="Q409" i="29"/>
  <c r="Q413" i="29"/>
  <c r="R407" i="29"/>
  <c r="R361" i="29"/>
  <c r="Q341" i="29"/>
  <c r="R348" i="29"/>
  <c r="Q328" i="29"/>
  <c r="R335" i="29"/>
  <c r="R350" i="29"/>
  <c r="R317" i="29"/>
  <c r="R373" i="29"/>
  <c r="Q289" i="29"/>
  <c r="Q355" i="29"/>
  <c r="R329" i="29"/>
  <c r="Q303" i="29"/>
  <c r="Q311" i="29"/>
  <c r="R274" i="29"/>
  <c r="Q231" i="29"/>
  <c r="R258" i="29"/>
  <c r="Q286" i="29"/>
  <c r="R314" i="29"/>
  <c r="R249" i="29"/>
  <c r="Q265" i="29"/>
  <c r="R268" i="29"/>
  <c r="R292" i="29"/>
  <c r="Q260" i="29"/>
  <c r="R267" i="29"/>
  <c r="Q234" i="29"/>
  <c r="Q223" i="29"/>
  <c r="Q245" i="29"/>
  <c r="R190" i="29"/>
  <c r="Q222" i="29"/>
  <c r="Q174" i="29"/>
  <c r="Q229" i="29"/>
  <c r="Q189" i="29"/>
  <c r="R204" i="29"/>
  <c r="Q232" i="29"/>
  <c r="Q192" i="29"/>
  <c r="R195" i="29"/>
  <c r="Q142" i="29"/>
  <c r="R165" i="29"/>
  <c r="R144" i="29"/>
  <c r="Q168" i="29"/>
  <c r="Q128" i="29"/>
  <c r="R135" i="29"/>
  <c r="R99" i="29"/>
  <c r="Q139" i="29"/>
  <c r="R126" i="29"/>
  <c r="R82" i="29"/>
  <c r="Q171" i="29"/>
  <c r="R105" i="29"/>
  <c r="Q135" i="29"/>
  <c r="Q85" i="29"/>
  <c r="R129" i="29"/>
  <c r="R88" i="29"/>
  <c r="R48" i="29"/>
  <c r="R24" i="29"/>
  <c r="R44" i="29"/>
  <c r="Q37" i="29"/>
  <c r="Q68" i="29"/>
  <c r="R15" i="29"/>
  <c r="Q72" i="29"/>
  <c r="Q610" i="29"/>
  <c r="R604" i="29"/>
  <c r="R608" i="29"/>
  <c r="R579" i="29"/>
  <c r="Q551" i="29"/>
  <c r="R568" i="29"/>
  <c r="R562" i="29"/>
  <c r="Q574" i="29"/>
  <c r="Q539" i="29"/>
  <c r="Q512" i="29"/>
  <c r="Q515" i="29"/>
  <c r="Q514" i="29"/>
  <c r="R501" i="29"/>
  <c r="R516" i="29"/>
  <c r="R487" i="29"/>
  <c r="R479" i="29"/>
  <c r="Q473" i="29"/>
  <c r="Q545" i="29"/>
  <c r="R498" i="29"/>
  <c r="Q462" i="29"/>
  <c r="Q438" i="29"/>
  <c r="R449" i="29"/>
  <c r="Q429" i="29"/>
  <c r="R420" i="29"/>
  <c r="Q428" i="29"/>
  <c r="R411" i="29"/>
  <c r="R437" i="29"/>
  <c r="R385" i="29"/>
  <c r="Q389" i="29"/>
  <c r="R388" i="29"/>
  <c r="Q380" i="29"/>
  <c r="R391" i="29"/>
  <c r="Q399" i="29"/>
  <c r="R394" i="29"/>
  <c r="R345" i="29"/>
  <c r="Q329" i="29"/>
  <c r="Q368" i="29"/>
  <c r="Q320" i="29"/>
  <c r="R323" i="29"/>
  <c r="R334" i="29"/>
  <c r="R305" i="29"/>
  <c r="Q351" i="29"/>
  <c r="Q281" i="29"/>
  <c r="R328" i="29"/>
  <c r="R303" i="29"/>
  <c r="Q295" i="29"/>
  <c r="R306" i="29"/>
  <c r="Q263" i="29"/>
  <c r="Q342" i="29"/>
  <c r="R250" i="29"/>
  <c r="Q266" i="29"/>
  <c r="Q296" i="29"/>
  <c r="R241" i="29"/>
  <c r="Q249" i="29"/>
  <c r="R260" i="29"/>
  <c r="R284" i="29"/>
  <c r="Q244" i="29"/>
  <c r="R259" i="29"/>
  <c r="R223" i="29"/>
  <c r="Q207" i="29"/>
  <c r="R222" i="29"/>
  <c r="R182" i="29"/>
  <c r="Q206" i="29"/>
  <c r="Q230" i="29"/>
  <c r="Q221" i="29"/>
  <c r="Q173" i="29"/>
  <c r="R196" i="29"/>
  <c r="Q224" i="29"/>
  <c r="Q176" i="29"/>
  <c r="R189" i="29"/>
  <c r="Q134" i="29"/>
  <c r="R177" i="29"/>
  <c r="R136" i="29"/>
  <c r="Q160" i="29"/>
  <c r="R167" i="29"/>
  <c r="R127" i="29"/>
  <c r="R91" i="29"/>
  <c r="Q115" i="29"/>
  <c r="R114" i="29"/>
  <c r="R74" i="29"/>
  <c r="Q133" i="29"/>
  <c r="R97" i="29"/>
  <c r="Q117" i="29"/>
  <c r="Q169" i="29"/>
  <c r="R121" i="29"/>
  <c r="R80" i="29"/>
  <c r="R16" i="29"/>
  <c r="R36" i="29"/>
  <c r="R77" i="29"/>
  <c r="Q104" i="29"/>
  <c r="Q29" i="29"/>
  <c r="Q53" i="29"/>
  <c r="Q75" i="29"/>
  <c r="R27" i="29"/>
  <c r="Q116" i="29"/>
  <c r="Q594" i="29"/>
  <c r="Q589" i="29"/>
  <c r="Q587" i="29"/>
  <c r="Q564" i="29"/>
  <c r="R570" i="29"/>
  <c r="G625" i="29"/>
  <c r="R546" i="29"/>
  <c r="R536" i="29"/>
  <c r="Q535" i="29"/>
  <c r="Q504" i="29"/>
  <c r="Q511" i="29"/>
  <c r="Q506" i="29"/>
  <c r="R489" i="29"/>
  <c r="Q505" i="29"/>
  <c r="R483" i="29"/>
  <c r="R478" i="29"/>
  <c r="Q465" i="29"/>
  <c r="Q481" i="29"/>
  <c r="Q489" i="29"/>
  <c r="R458" i="29"/>
  <c r="Q434" i="29"/>
  <c r="R441" i="29"/>
  <c r="R471" i="29"/>
  <c r="R416" i="29"/>
  <c r="Q424" i="29"/>
  <c r="Q407" i="29"/>
  <c r="R429" i="29"/>
  <c r="R467" i="29"/>
  <c r="Q385" i="29"/>
  <c r="R384" i="29"/>
  <c r="Q376" i="29"/>
  <c r="R383" i="29"/>
  <c r="Q387" i="29"/>
  <c r="R390" i="29"/>
  <c r="R341" i="29"/>
  <c r="Q325" i="29"/>
  <c r="Q360" i="29"/>
  <c r="R367" i="29"/>
  <c r="R319" i="29"/>
  <c r="R330" i="29"/>
  <c r="R301" i="29"/>
  <c r="Q346" i="29"/>
  <c r="Q277" i="29"/>
  <c r="Q327" i="29"/>
  <c r="R299" i="29"/>
  <c r="Q291" i="29"/>
  <c r="R302" i="29"/>
  <c r="Q259" i="29"/>
  <c r="R300" i="29"/>
  <c r="R246" i="29"/>
  <c r="Q262" i="29"/>
  <c r="Q288" i="29"/>
  <c r="R237" i="29"/>
  <c r="R332" i="29"/>
  <c r="R256" i="29"/>
  <c r="Q282" i="29"/>
  <c r="Q240" i="29"/>
  <c r="R255" i="29"/>
  <c r="R219" i="29"/>
  <c r="Q203" i="29"/>
  <c r="R218" i="29"/>
  <c r="R178" i="29"/>
  <c r="Q202" i="29"/>
  <c r="R225" i="29"/>
  <c r="Q217" i="29"/>
  <c r="Q241" i="29"/>
  <c r="R192" i="29"/>
  <c r="Q220" i="29"/>
  <c r="Q172" i="29"/>
  <c r="Q170" i="29"/>
  <c r="Q130" i="29"/>
  <c r="R187" i="29"/>
  <c r="R132" i="29"/>
  <c r="Q156" i="29"/>
  <c r="R163" i="29"/>
  <c r="R123" i="29"/>
  <c r="R87" i="29"/>
  <c r="Q161" i="29"/>
  <c r="R110" i="29"/>
  <c r="R70" i="29"/>
  <c r="Q125" i="29"/>
  <c r="R93" i="29"/>
  <c r="Q113" i="29"/>
  <c r="R154" i="29"/>
  <c r="R116" i="29"/>
  <c r="R76" i="29"/>
  <c r="R65" i="29"/>
  <c r="Q13" i="29"/>
  <c r="Q40" i="29"/>
  <c r="Q611" i="29"/>
  <c r="R597" i="29"/>
  <c r="Q596" i="29"/>
  <c r="Q600" i="29"/>
  <c r="R571" i="29"/>
  <c r="Q550" i="29"/>
  <c r="R567" i="29"/>
  <c r="Q534" i="29"/>
  <c r="R544" i="29"/>
  <c r="R542" i="29"/>
  <c r="R515" i="29"/>
  <c r="R514" i="29"/>
  <c r="R509" i="29"/>
  <c r="Q517" i="29"/>
  <c r="Q488" i="29"/>
  <c r="Q495" i="29"/>
  <c r="R486" i="29"/>
  <c r="Q480" i="29"/>
  <c r="Q464" i="29"/>
  <c r="R502" i="29"/>
  <c r="R442" i="29"/>
  <c r="Q410" i="29"/>
  <c r="Q449" i="29"/>
  <c r="R448" i="29"/>
  <c r="Q456" i="29"/>
  <c r="Q408" i="29"/>
  <c r="Q386" i="29"/>
  <c r="R410" i="29"/>
  <c r="R423" i="29"/>
  <c r="Q423" i="29"/>
  <c r="R409" i="29"/>
  <c r="R425" i="29"/>
  <c r="R435" i="29"/>
  <c r="R447" i="29"/>
  <c r="R370" i="29"/>
  <c r="Q357" i="29"/>
  <c r="R356" i="29"/>
  <c r="Q340" i="29"/>
  <c r="R351" i="29"/>
  <c r="R362" i="29"/>
  <c r="Q371" i="29"/>
  <c r="R281" i="29"/>
  <c r="Q305" i="29"/>
  <c r="R304" i="29"/>
  <c r="Q339" i="29"/>
  <c r="Q343" i="29"/>
  <c r="Q330" i="29"/>
  <c r="R282" i="29"/>
  <c r="Q247" i="29"/>
  <c r="R266" i="29"/>
  <c r="Q294" i="29"/>
  <c r="Q250" i="29"/>
  <c r="R257" i="29"/>
  <c r="Q310" i="29"/>
  <c r="R283" i="29"/>
  <c r="R236" i="29"/>
  <c r="Q268" i="29"/>
  <c r="Q292" i="29"/>
  <c r="R235" i="29"/>
  <c r="R199" i="29"/>
  <c r="Q191" i="29"/>
  <c r="R198" i="29"/>
  <c r="R230" i="29"/>
  <c r="Q190" i="29"/>
  <c r="R205" i="29"/>
  <c r="Q197" i="29"/>
  <c r="R220" i="29"/>
  <c r="R234" i="29"/>
  <c r="Q200" i="29"/>
  <c r="R173" i="29"/>
  <c r="Q150" i="29"/>
  <c r="R171" i="29"/>
  <c r="R160" i="29"/>
  <c r="R181" i="29"/>
  <c r="Q136" i="29"/>
  <c r="R151" i="29"/>
  <c r="R107" i="29"/>
  <c r="Q155" i="29"/>
  <c r="R142" i="29"/>
  <c r="R90" i="29"/>
  <c r="R50" i="29"/>
  <c r="R118" i="29"/>
  <c r="Q151" i="29"/>
  <c r="Q93" i="29"/>
  <c r="R145" i="29"/>
  <c r="R96" i="29"/>
  <c r="R56" i="29"/>
  <c r="R20" i="29"/>
  <c r="R32" i="29"/>
  <c r="Q58" i="29"/>
  <c r="Q45" i="29"/>
  <c r="R25" i="29"/>
  <c r="R37" i="29"/>
  <c r="R45" i="29"/>
  <c r="R53" i="29"/>
  <c r="Q18" i="29"/>
  <c r="Q26" i="29"/>
  <c r="Q34" i="29"/>
  <c r="Q42" i="29"/>
  <c r="Q84" i="29"/>
  <c r="Q52" i="29"/>
  <c r="Q70" i="29"/>
  <c r="R63" i="29"/>
  <c r="R610" i="29"/>
  <c r="R585" i="29"/>
  <c r="R592" i="29"/>
  <c r="R565" i="29"/>
  <c r="Q567" i="29"/>
  <c r="Q569" i="29"/>
  <c r="R582" i="29"/>
  <c r="Q537" i="29"/>
  <c r="Q540" i="29"/>
  <c r="R530" i="29"/>
  <c r="Q562" i="29"/>
  <c r="R510" i="29"/>
  <c r="R505" i="29"/>
  <c r="R503" i="29"/>
  <c r="R543" i="29"/>
  <c r="Q483" i="29"/>
  <c r="Q482" i="29"/>
  <c r="R476" i="29"/>
  <c r="R550" i="29"/>
  <c r="R494" i="29"/>
  <c r="Q454" i="29"/>
  <c r="Q406" i="29"/>
  <c r="Q445" i="29"/>
  <c r="R444" i="29"/>
  <c r="Q448" i="29"/>
  <c r="R455" i="29"/>
  <c r="Q382" i="29"/>
  <c r="R401" i="29"/>
  <c r="R419" i="29"/>
  <c r="R418" i="29"/>
  <c r="Q396" i="29"/>
  <c r="R413" i="29"/>
  <c r="R427" i="29"/>
  <c r="Q435" i="29"/>
  <c r="R365" i="29"/>
  <c r="Q345" i="29"/>
  <c r="R352" i="29"/>
  <c r="Q336" i="29"/>
  <c r="R347" i="29"/>
  <c r="R354" i="29"/>
  <c r="R325" i="29"/>
  <c r="R277" i="29"/>
  <c r="Q301" i="29"/>
  <c r="Q366" i="29"/>
  <c r="R337" i="29"/>
  <c r="Q335" i="29"/>
  <c r="Q322" i="29"/>
  <c r="R278" i="29"/>
  <c r="Q243" i="29"/>
  <c r="R262" i="29"/>
  <c r="R288" i="29"/>
  <c r="Q246" i="29"/>
  <c r="R253" i="29"/>
  <c r="Q269" i="29"/>
  <c r="R275" i="29"/>
  <c r="R232" i="29"/>
  <c r="Q264" i="29"/>
  <c r="Q284" i="29"/>
  <c r="R231" i="29"/>
  <c r="Q227" i="29"/>
  <c r="Q187" i="29"/>
  <c r="R194" i="29"/>
  <c r="Q226" i="29"/>
  <c r="Q186" i="29"/>
  <c r="R201" i="29"/>
  <c r="Q193" i="29"/>
  <c r="R216" i="29"/>
  <c r="Q233" i="29"/>
  <c r="Q196" i="29"/>
  <c r="Q167" i="29"/>
  <c r="Q146" i="29"/>
  <c r="R169" i="29"/>
  <c r="R156" i="29"/>
  <c r="R174" i="29"/>
  <c r="Q132" i="29"/>
  <c r="R147" i="29"/>
  <c r="R103" i="29"/>
  <c r="Q147" i="29"/>
  <c r="R141" i="29"/>
  <c r="R86" i="29"/>
  <c r="R172" i="29"/>
  <c r="R117" i="29"/>
  <c r="Q143" i="29"/>
  <c r="Q89" i="29"/>
  <c r="R138" i="29"/>
  <c r="R92" i="29"/>
  <c r="R52" i="29"/>
  <c r="Q74" i="29"/>
  <c r="Q110" i="29"/>
  <c r="R29" i="29"/>
  <c r="Q55" i="29"/>
  <c r="Q80" i="29"/>
  <c r="Q86" i="29"/>
  <c r="Q31" i="29"/>
  <c r="R598" i="29"/>
  <c r="Q608" i="29"/>
  <c r="R587" i="29"/>
  <c r="Q524" i="29"/>
  <c r="R522" i="29"/>
  <c r="Q503" i="29"/>
  <c r="Q477" i="29"/>
  <c r="R462" i="29"/>
  <c r="Q497" i="29"/>
  <c r="Q440" i="29"/>
  <c r="R421" i="29"/>
  <c r="R376" i="29"/>
  <c r="Q403" i="29"/>
  <c r="Q361" i="29"/>
  <c r="R363" i="29"/>
  <c r="R309" i="29"/>
  <c r="Q326" i="29"/>
  <c r="Q287" i="29"/>
  <c r="Q347" i="29"/>
  <c r="Q254" i="29"/>
  <c r="Q315" i="29"/>
  <c r="Q256" i="29"/>
  <c r="R203" i="29"/>
  <c r="Q237" i="29"/>
  <c r="Q225" i="29"/>
  <c r="R184" i="29"/>
  <c r="Q166" i="29"/>
  <c r="R140" i="29"/>
  <c r="R155" i="29"/>
  <c r="R150" i="29"/>
  <c r="R170" i="29"/>
  <c r="Q97" i="29"/>
  <c r="R64" i="29"/>
  <c r="Q91" i="29"/>
  <c r="Q95" i="29"/>
  <c r="Q22" i="29"/>
  <c r="Q48" i="29"/>
  <c r="R71" i="29"/>
  <c r="Q32" i="29"/>
  <c r="R601" i="29"/>
  <c r="Q556" i="29"/>
  <c r="Q573" i="29"/>
  <c r="R554" i="29"/>
  <c r="R539" i="29"/>
  <c r="R499" i="29"/>
  <c r="R508" i="29"/>
  <c r="R450" i="29"/>
  <c r="Q433" i="29"/>
  <c r="Q412" i="29"/>
  <c r="Q459" i="29"/>
  <c r="Q384" i="29"/>
  <c r="Q375" i="29"/>
  <c r="R368" i="29"/>
  <c r="R331" i="29"/>
  <c r="R285" i="29"/>
  <c r="Q308" i="29"/>
  <c r="R310" i="29"/>
  <c r="R287" i="29"/>
  <c r="Q280" i="29"/>
  <c r="R264" i="29"/>
  <c r="Q306" i="29"/>
  <c r="Q199" i="29"/>
  <c r="Q218" i="29"/>
  <c r="Q201" i="29"/>
  <c r="Q208" i="29"/>
  <c r="Q138" i="29"/>
  <c r="R124" i="29"/>
  <c r="Q157" i="29"/>
  <c r="R125" i="29"/>
  <c r="Q165" i="29"/>
  <c r="R153" i="29"/>
  <c r="R41" i="29"/>
  <c r="Q99" i="29"/>
  <c r="R162" i="29"/>
  <c r="Q36" i="29"/>
  <c r="R611" i="29"/>
  <c r="Q579" i="29"/>
  <c r="Q542" i="29"/>
  <c r="R537" i="29"/>
  <c r="R521" i="29"/>
  <c r="R520" i="29"/>
  <c r="R464" i="29"/>
  <c r="R446" i="29"/>
  <c r="R460" i="29"/>
  <c r="Q447" i="29"/>
  <c r="R431" i="29"/>
  <c r="R434" i="29"/>
  <c r="R402" i="29"/>
  <c r="R364" i="29"/>
  <c r="R315" i="29"/>
  <c r="Q372" i="29"/>
  <c r="Q304" i="29"/>
  <c r="R290" i="29"/>
  <c r="R254" i="29"/>
  <c r="R269" i="29"/>
  <c r="R252" i="29"/>
  <c r="R263" i="29"/>
  <c r="Q195" i="29"/>
  <c r="Q198" i="29"/>
  <c r="Q185" i="29"/>
  <c r="Q204" i="29"/>
  <c r="Q118" i="29"/>
  <c r="Q164" i="29"/>
  <c r="R119" i="29"/>
  <c r="R106" i="29"/>
  <c r="R101" i="29"/>
  <c r="R146" i="29"/>
  <c r="Q67" i="29"/>
  <c r="R33" i="29"/>
  <c r="Q82" i="29"/>
  <c r="Q64" i="29"/>
  <c r="Q612" i="29"/>
  <c r="Q555" i="29"/>
  <c r="Q538" i="29"/>
  <c r="R531" i="29"/>
  <c r="Q502" i="29"/>
  <c r="Q499" i="29"/>
  <c r="Q476" i="29"/>
  <c r="Q442" i="29"/>
  <c r="R452" i="29"/>
  <c r="Q398" i="29"/>
  <c r="Q397" i="29"/>
  <c r="R433" i="29"/>
  <c r="R386" i="29"/>
  <c r="R336" i="29"/>
  <c r="R366" i="29"/>
  <c r="R312" i="29"/>
  <c r="R321" i="29"/>
  <c r="R286" i="29"/>
  <c r="Q300" i="29"/>
  <c r="R245" i="29"/>
  <c r="R248" i="29"/>
  <c r="R251" i="29"/>
  <c r="R226" i="29"/>
  <c r="Q194" i="29"/>
  <c r="R228" i="29"/>
  <c r="Q188" i="29"/>
  <c r="R183" i="29"/>
  <c r="Q144" i="29"/>
  <c r="R95" i="29"/>
  <c r="R102" i="29"/>
  <c r="R89" i="29"/>
  <c r="R122" i="29"/>
  <c r="Q21" i="29"/>
  <c r="Q107" i="29"/>
  <c r="R43" i="29"/>
  <c r="Q137" i="29"/>
  <c r="R591" i="29"/>
  <c r="Q554" i="29"/>
  <c r="R532" i="29"/>
  <c r="Q519" i="29"/>
  <c r="R527" i="29"/>
  <c r="R469" i="29"/>
  <c r="Q467" i="29"/>
  <c r="Q418" i="29"/>
  <c r="R412" i="29"/>
  <c r="R438" i="29"/>
  <c r="Q431" i="29"/>
  <c r="R379" i="29"/>
  <c r="R357" i="29"/>
  <c r="Q352" i="29"/>
  <c r="R322" i="29"/>
  <c r="Q285" i="29"/>
  <c r="Q354" i="29"/>
  <c r="Q255" i="29"/>
  <c r="R280" i="29"/>
  <c r="Q358" i="29"/>
  <c r="Q273" i="29"/>
  <c r="R227" i="29"/>
  <c r="R210" i="29"/>
  <c r="R221" i="29"/>
  <c r="R200" i="29"/>
  <c r="R175" i="29"/>
  <c r="R168" i="29"/>
  <c r="Q124" i="29"/>
  <c r="R166" i="29"/>
  <c r="R58" i="29"/>
  <c r="Q127" i="29"/>
  <c r="R108" i="29"/>
  <c r="Q69" i="29"/>
  <c r="R69" i="29"/>
  <c r="Q38" i="29"/>
  <c r="Q46" i="29"/>
  <c r="Q57" i="29"/>
  <c r="Q129" i="29"/>
  <c r="Q73" i="29"/>
  <c r="R40" i="29"/>
  <c r="R112" i="29"/>
  <c r="Q131" i="29"/>
  <c r="Q162" i="29"/>
  <c r="Q238" i="29"/>
  <c r="Q272" i="29"/>
  <c r="R295" i="29"/>
  <c r="Q309" i="29"/>
  <c r="Q365" i="29"/>
  <c r="R389" i="29"/>
  <c r="Q422" i="29"/>
  <c r="R488" i="29"/>
  <c r="R572" i="29"/>
  <c r="S49" i="29"/>
  <c r="S72" i="29"/>
  <c r="O113" i="29"/>
  <c r="O74" i="29"/>
  <c r="S85" i="29"/>
  <c r="T39" i="29"/>
  <c r="T31" i="29"/>
  <c r="T23" i="29"/>
  <c r="T15" i="29"/>
  <c r="O76" i="29"/>
  <c r="S43" i="29"/>
  <c r="T66" i="29"/>
  <c r="P54" i="29"/>
  <c r="O100" i="29"/>
  <c r="O28" i="29"/>
  <c r="P70" i="29"/>
  <c r="S19" i="29"/>
  <c r="S59" i="29"/>
  <c r="T14" i="29"/>
  <c r="S50" i="29"/>
  <c r="S46" i="29"/>
  <c r="T30" i="29"/>
  <c r="S35" i="29"/>
  <c r="T157" i="29"/>
  <c r="T26" i="29"/>
  <c r="S38" i="29"/>
  <c r="S54" i="29"/>
  <c r="T46" i="29"/>
  <c r="S34" i="29"/>
  <c r="S14" i="29"/>
  <c r="P58" i="29"/>
  <c r="O21" i="29"/>
  <c r="O33" i="29"/>
  <c r="O45" i="29"/>
  <c r="O13" i="29"/>
  <c r="O81" i="29"/>
  <c r="O41" i="29"/>
  <c r="O16" i="29"/>
  <c r="O56" i="29"/>
  <c r="O87" i="29"/>
  <c r="O117" i="29"/>
  <c r="P138" i="29"/>
  <c r="O29" i="29"/>
  <c r="O17" i="29"/>
  <c r="O58" i="29"/>
  <c r="P122" i="29"/>
  <c r="P74" i="29"/>
  <c r="O37" i="29"/>
  <c r="O25" i="29"/>
  <c r="O109" i="29"/>
  <c r="S111" i="29"/>
  <c r="S81" i="29"/>
  <c r="T34" i="29"/>
  <c r="S105" i="29"/>
  <c r="S103" i="29"/>
  <c r="S73" i="29"/>
  <c r="S78" i="29"/>
  <c r="T52" i="29"/>
  <c r="S94" i="29"/>
  <c r="S68" i="29"/>
  <c r="T22" i="29"/>
  <c r="S30" i="29"/>
  <c r="S66" i="29"/>
  <c r="T64" i="29"/>
  <c r="S61" i="29"/>
  <c r="S39" i="29"/>
  <c r="S31" i="29"/>
  <c r="S23" i="29"/>
  <c r="S15" i="29"/>
  <c r="S52" i="29"/>
  <c r="T42" i="29"/>
  <c r="S57" i="29"/>
  <c r="S90" i="29"/>
  <c r="T48" i="29"/>
  <c r="S98" i="29"/>
  <c r="S107" i="29"/>
  <c r="S79" i="29"/>
  <c r="T50" i="29"/>
  <c r="T18" i="29"/>
  <c r="AE18" i="29" s="1"/>
  <c r="S42" i="29"/>
  <c r="S26" i="29"/>
  <c r="S18" i="29"/>
  <c r="S70" i="29"/>
  <c r="S47" i="29"/>
  <c r="T38" i="29"/>
  <c r="S22" i="29"/>
  <c r="O40" i="29"/>
  <c r="O104" i="29"/>
  <c r="O60" i="29"/>
  <c r="O65" i="29"/>
  <c r="P44" i="29"/>
  <c r="P36" i="29"/>
  <c r="P28" i="29"/>
  <c r="P20" i="29"/>
  <c r="P78" i="29"/>
  <c r="O67" i="29"/>
  <c r="O72" i="29"/>
  <c r="O83" i="29"/>
  <c r="P72" i="29"/>
  <c r="O32" i="29"/>
  <c r="O77" i="29"/>
  <c r="O63" i="29"/>
  <c r="O49" i="29"/>
  <c r="P40" i="29"/>
  <c r="P32" i="29"/>
  <c r="P24" i="29"/>
  <c r="P16" i="29"/>
  <c r="P154" i="29"/>
  <c r="O96" i="29"/>
  <c r="O85" i="29"/>
  <c r="O51" i="29"/>
  <c r="O20" i="29"/>
  <c r="P56" i="29"/>
  <c r="O111" i="29"/>
  <c r="P626" i="29"/>
  <c r="O626" i="29"/>
  <c r="V626" i="29"/>
  <c r="U626" i="29"/>
  <c r="R626" i="29"/>
  <c r="T626" i="29"/>
  <c r="S626" i="29"/>
  <c r="Q626" i="29"/>
  <c r="AD452" i="29" l="1"/>
  <c r="AD283" i="29"/>
  <c r="AE46" i="29"/>
  <c r="AE183" i="29"/>
  <c r="AE557" i="29"/>
  <c r="AE457" i="29"/>
  <c r="AD547" i="29"/>
  <c r="AE57" i="29"/>
  <c r="P624" i="29"/>
  <c r="S624" i="29"/>
  <c r="AD306" i="29"/>
  <c r="AD408" i="29"/>
  <c r="AE542" i="29"/>
  <c r="AD489" i="29"/>
  <c r="AE250" i="29"/>
  <c r="AD437" i="29"/>
  <c r="AE564" i="29"/>
  <c r="T624" i="29"/>
  <c r="O624" i="29"/>
  <c r="U624" i="29"/>
  <c r="AE297" i="29"/>
  <c r="Q624" i="29"/>
  <c r="V624" i="29"/>
  <c r="AE38" i="29"/>
  <c r="AE22" i="29"/>
  <c r="AE42" i="29"/>
  <c r="AD334" i="29"/>
  <c r="AE186" i="29"/>
  <c r="AE254" i="29"/>
  <c r="AD203" i="29"/>
  <c r="AD210" i="29"/>
  <c r="AD609" i="29"/>
  <c r="AD257" i="29"/>
  <c r="AD114" i="29"/>
  <c r="AD70" i="29"/>
  <c r="AD304" i="29"/>
  <c r="AE277" i="29"/>
  <c r="AE476" i="29"/>
  <c r="AD268" i="29"/>
  <c r="AD371" i="29"/>
  <c r="AD610" i="29"/>
  <c r="AE492" i="29"/>
  <c r="AE521" i="29"/>
  <c r="AE145" i="29"/>
  <c r="AE571" i="29"/>
  <c r="AE451" i="29"/>
  <c r="AD487" i="29"/>
  <c r="AD557" i="29"/>
  <c r="AE98" i="29"/>
  <c r="AE558" i="29"/>
  <c r="AD591" i="29"/>
  <c r="AD193" i="29"/>
  <c r="AD144" i="29"/>
  <c r="AD166" i="29"/>
  <c r="AE132" i="29"/>
  <c r="AE479" i="29"/>
  <c r="AE513" i="29"/>
  <c r="AE396" i="29"/>
  <c r="AE567" i="29"/>
  <c r="AE25" i="29"/>
  <c r="AE73" i="29"/>
  <c r="AE34" i="29"/>
  <c r="AD194" i="29"/>
  <c r="AE328" i="29"/>
  <c r="AD514" i="29"/>
  <c r="AD432" i="29"/>
  <c r="AE134" i="29"/>
  <c r="AE152" i="29"/>
  <c r="AD297" i="29"/>
  <c r="AE424" i="29"/>
  <c r="AE606" i="29"/>
  <c r="AE512" i="29"/>
  <c r="AE527" i="29"/>
  <c r="AE37" i="29"/>
  <c r="AE76" i="29"/>
  <c r="AD170" i="29"/>
  <c r="AD458" i="29"/>
  <c r="AE507" i="29"/>
  <c r="AE244" i="29"/>
  <c r="AD318" i="29"/>
  <c r="AD425" i="29"/>
  <c r="AD102" i="29"/>
  <c r="AE26" i="29"/>
  <c r="AE389" i="29"/>
  <c r="AE217" i="29"/>
  <c r="AE425" i="29"/>
  <c r="AD424" i="29"/>
  <c r="AD414" i="29"/>
  <c r="AE589" i="29"/>
  <c r="AD566" i="29"/>
  <c r="AE428" i="29"/>
  <c r="AD440" i="29"/>
  <c r="AE30" i="29"/>
  <c r="AE241" i="29"/>
  <c r="AE459" i="29"/>
  <c r="AD519" i="29"/>
  <c r="AD593" i="29"/>
  <c r="AD480" i="29"/>
  <c r="AD590" i="29"/>
  <c r="AD129" i="29"/>
  <c r="AE263" i="29"/>
  <c r="AD445" i="29"/>
  <c r="AD155" i="29"/>
  <c r="AD517" i="29"/>
  <c r="AE65" i="29"/>
  <c r="AE483" i="29"/>
  <c r="AE27" i="29"/>
  <c r="AD128" i="29"/>
  <c r="AE294" i="29"/>
  <c r="AE443" i="29"/>
  <c r="AD402" i="29"/>
  <c r="AD427" i="29"/>
  <c r="AD86" i="29"/>
  <c r="AE35" i="29"/>
  <c r="AE305" i="29"/>
  <c r="AE88" i="29"/>
  <c r="AD525" i="29"/>
  <c r="AE230" i="29"/>
  <c r="AD429" i="29"/>
  <c r="AD377" i="29"/>
  <c r="AD88" i="29"/>
  <c r="AD550" i="29"/>
  <c r="AE546" i="29"/>
  <c r="AE146" i="29"/>
  <c r="AD185" i="29"/>
  <c r="AE29" i="29"/>
  <c r="AD284" i="29"/>
  <c r="AE262" i="29"/>
  <c r="AD589" i="29"/>
  <c r="AD342" i="29"/>
  <c r="AE549" i="29"/>
  <c r="AE270" i="29"/>
  <c r="AE243" i="29"/>
  <c r="AD143" i="29"/>
  <c r="AD351" i="29"/>
  <c r="AD521" i="29"/>
  <c r="AD302" i="29"/>
  <c r="AE472" i="29"/>
  <c r="AD55" i="29"/>
  <c r="AD301" i="29"/>
  <c r="AE550" i="29"/>
  <c r="AE116" i="29"/>
  <c r="AD229" i="29"/>
  <c r="AE317" i="29"/>
  <c r="AE462" i="29"/>
  <c r="AE257" i="29"/>
  <c r="AE423" i="29"/>
  <c r="AE509" i="29"/>
  <c r="AD438" i="29"/>
  <c r="AE373" i="29"/>
  <c r="AE612" i="29"/>
  <c r="AD576" i="29"/>
  <c r="AD498" i="29"/>
  <c r="AD565" i="29"/>
  <c r="AD568" i="29"/>
  <c r="AE85" i="29"/>
  <c r="AD50" i="29"/>
  <c r="AD366" i="29"/>
  <c r="AE220" i="29"/>
  <c r="AE515" i="29"/>
  <c r="AE167" i="29"/>
  <c r="AE274" i="29"/>
  <c r="AE359" i="29"/>
  <c r="AD24" i="29"/>
  <c r="AD394" i="29"/>
  <c r="AE522" i="29"/>
  <c r="AD160" i="29"/>
  <c r="AD148" i="29"/>
  <c r="AE238" i="29"/>
  <c r="AE406" i="29"/>
  <c r="AE561" i="29"/>
  <c r="AE422" i="29"/>
  <c r="AE375" i="29"/>
  <c r="AE336" i="29"/>
  <c r="AE592" i="29"/>
  <c r="AD277" i="29"/>
  <c r="AD59" i="29"/>
  <c r="AD157" i="29"/>
  <c r="AD244" i="29"/>
  <c r="AD139" i="29"/>
  <c r="AE202" i="29"/>
  <c r="AD312" i="29"/>
  <c r="AE545" i="29"/>
  <c r="AE301" i="29"/>
  <c r="AD534" i="29"/>
  <c r="AD90" i="29"/>
  <c r="AE413" i="29"/>
  <c r="AE487" i="29"/>
  <c r="AD522" i="29"/>
  <c r="AE247" i="29"/>
  <c r="AD416" i="29"/>
  <c r="AD100" i="29"/>
  <c r="AD272" i="29"/>
  <c r="AD442" i="29"/>
  <c r="AD164" i="29"/>
  <c r="AE502" i="29"/>
  <c r="AE218" i="29"/>
  <c r="AD462" i="29"/>
  <c r="AD413" i="29"/>
  <c r="AE602" i="29"/>
  <c r="AD239" i="29"/>
  <c r="AD348" i="29"/>
  <c r="AE371" i="29"/>
  <c r="AD541" i="29"/>
  <c r="AE599" i="29"/>
  <c r="AD207" i="29"/>
  <c r="AD296" i="29"/>
  <c r="AD183" i="29"/>
  <c r="AE273" i="29"/>
  <c r="AE136" i="29"/>
  <c r="AE430" i="29"/>
  <c r="AD430" i="29"/>
  <c r="AE477" i="29"/>
  <c r="AE417" i="29"/>
  <c r="AE609" i="29"/>
  <c r="AD361" i="29"/>
  <c r="AE510" i="29"/>
  <c r="AD386" i="29"/>
  <c r="AE437" i="29"/>
  <c r="AE165" i="29"/>
  <c r="AD248" i="29"/>
  <c r="AD374" i="29"/>
  <c r="AD479" i="29"/>
  <c r="AE607" i="29"/>
  <c r="AE528" i="29"/>
  <c r="AD597" i="29"/>
  <c r="AD531" i="29"/>
  <c r="AE75" i="29"/>
  <c r="AD197" i="29"/>
  <c r="AE339" i="29"/>
  <c r="AD71" i="29"/>
  <c r="AE296" i="29"/>
  <c r="AD98" i="29"/>
  <c r="AD101" i="29"/>
  <c r="AD103" i="29"/>
  <c r="AD108" i="29"/>
  <c r="AD27" i="29"/>
  <c r="AD518" i="29"/>
  <c r="AD333" i="29"/>
  <c r="AE112" i="29"/>
  <c r="AD280" i="29"/>
  <c r="AD495" i="29"/>
  <c r="AD217" i="29"/>
  <c r="AD182" i="29"/>
  <c r="AD242" i="29"/>
  <c r="AE360" i="29"/>
  <c r="AD570" i="29"/>
  <c r="AD309" i="29"/>
  <c r="AD188" i="29"/>
  <c r="AD226" i="29"/>
  <c r="AE80" i="29"/>
  <c r="AD209" i="29"/>
  <c r="AE552" i="29"/>
  <c r="AD613" i="29"/>
  <c r="AE276" i="29"/>
  <c r="AD369" i="29"/>
  <c r="AE553" i="29"/>
  <c r="AD571" i="29"/>
  <c r="AE529" i="29"/>
  <c r="AD153" i="29"/>
  <c r="AD359" i="29"/>
  <c r="AD381" i="29"/>
  <c r="AD85" i="29"/>
  <c r="AE464" i="29"/>
  <c r="AD138" i="29"/>
  <c r="AE63" i="29"/>
  <c r="AE53" i="29"/>
  <c r="AD449" i="29"/>
  <c r="AD232" i="29"/>
  <c r="AE393" i="29"/>
  <c r="AE506" i="29"/>
  <c r="AE340" i="29"/>
  <c r="AD527" i="29"/>
  <c r="AD323" i="29"/>
  <c r="AE196" i="29"/>
  <c r="AD109" i="29"/>
  <c r="AE215" i="29"/>
  <c r="AE303" i="29"/>
  <c r="AD448" i="29"/>
  <c r="AE171" i="29"/>
  <c r="AD125" i="29"/>
  <c r="AE329" i="29"/>
  <c r="AE139" i="29"/>
  <c r="AD516" i="29"/>
  <c r="AD436" i="29"/>
  <c r="AE67" i="29"/>
  <c r="AD383" i="29"/>
  <c r="AE131" i="29"/>
  <c r="AD387" i="29"/>
  <c r="AE144" i="29"/>
  <c r="AD163" i="29"/>
  <c r="AE518" i="29"/>
  <c r="AD588" i="29"/>
  <c r="AE318" i="29"/>
  <c r="AD468" i="29"/>
  <c r="AD492" i="29"/>
  <c r="AD228" i="29"/>
  <c r="AD47" i="29"/>
  <c r="AD256" i="29"/>
  <c r="AE147" i="29"/>
  <c r="AE169" i="29"/>
  <c r="AD134" i="29"/>
  <c r="AE345" i="29"/>
  <c r="AD223" i="29"/>
  <c r="AE49" i="29"/>
  <c r="AE313" i="29"/>
  <c r="AD500" i="29"/>
  <c r="AD598" i="29"/>
  <c r="AD508" i="29"/>
  <c r="AE149" i="29"/>
  <c r="AD559" i="29"/>
  <c r="AD582" i="29"/>
  <c r="AE156" i="29"/>
  <c r="AD179" i="29"/>
  <c r="AE353" i="29"/>
  <c r="AD186" i="29"/>
  <c r="AE159" i="29"/>
  <c r="AD145" i="29"/>
  <c r="AE161" i="29"/>
  <c r="AE185" i="29"/>
  <c r="AE316" i="29"/>
  <c r="AE70" i="29"/>
  <c r="AD66" i="29"/>
  <c r="AE214" i="29"/>
  <c r="AE291" i="29"/>
  <c r="AE523" i="29"/>
  <c r="AD261" i="29"/>
  <c r="AE84" i="29"/>
  <c r="AD30" i="29"/>
  <c r="AE453" i="29"/>
  <c r="AE474" i="29"/>
  <c r="AD69" i="29"/>
  <c r="AE377" i="29"/>
  <c r="AE223" i="29"/>
  <c r="AD184" i="29"/>
  <c r="AD236" i="29"/>
  <c r="AE260" i="29"/>
  <c r="AE278" i="29"/>
  <c r="AD337" i="29"/>
  <c r="AE405" i="29"/>
  <c r="AD405" i="29"/>
  <c r="AD460" i="29"/>
  <c r="AD469" i="29"/>
  <c r="AE376" i="29"/>
  <c r="AE466" i="29"/>
  <c r="AD485" i="29"/>
  <c r="AD538" i="29"/>
  <c r="AD542" i="29"/>
  <c r="AD553" i="29"/>
  <c r="AE539" i="29"/>
  <c r="AD362" i="29"/>
  <c r="AD123" i="29"/>
  <c r="AE346" i="29"/>
  <c r="AE58" i="29"/>
  <c r="AE143" i="29"/>
  <c r="AE40" i="29"/>
  <c r="AE572" i="29"/>
  <c r="AE210" i="29"/>
  <c r="AE280" i="29"/>
  <c r="AE322" i="29"/>
  <c r="AD431" i="29"/>
  <c r="AD300" i="29"/>
  <c r="AD397" i="29"/>
  <c r="AD82" i="29"/>
  <c r="AD195" i="29"/>
  <c r="AE287" i="29"/>
  <c r="AD459" i="29"/>
  <c r="AE508" i="29"/>
  <c r="AE71" i="29"/>
  <c r="AE184" i="29"/>
  <c r="AD287" i="29"/>
  <c r="AD608" i="29"/>
  <c r="AE232" i="29"/>
  <c r="AE444" i="29"/>
  <c r="AE283" i="29"/>
  <c r="AD305" i="29"/>
  <c r="AE351" i="29"/>
  <c r="AE409" i="29"/>
  <c r="AD596" i="29"/>
  <c r="AD220" i="29"/>
  <c r="AD327" i="29"/>
  <c r="AE330" i="29"/>
  <c r="AE467" i="29"/>
  <c r="AE478" i="29"/>
  <c r="AD506" i="29"/>
  <c r="AE306" i="29"/>
  <c r="AD515" i="29"/>
  <c r="AD494" i="29"/>
  <c r="AD529" i="29"/>
  <c r="AD141" i="29"/>
  <c r="AD180" i="29"/>
  <c r="AD177" i="29"/>
  <c r="AD270" i="29"/>
  <c r="AE399" i="29"/>
  <c r="AD548" i="29"/>
  <c r="AD602" i="29"/>
  <c r="AD252" i="29"/>
  <c r="AE382" i="29"/>
  <c r="AD523" i="29"/>
  <c r="AE439" i="29"/>
  <c r="AD446" i="29"/>
  <c r="AE490" i="29"/>
  <c r="AE481" i="29"/>
  <c r="AD581" i="29"/>
  <c r="AD544" i="29"/>
  <c r="AD549" i="29"/>
  <c r="AE594" i="29"/>
  <c r="AD363" i="29"/>
  <c r="AE69" i="29"/>
  <c r="AE102" i="29"/>
  <c r="AD398" i="29"/>
  <c r="AD499" i="29"/>
  <c r="AE33" i="29"/>
  <c r="AE290" i="29"/>
  <c r="AE125" i="29"/>
  <c r="AD208" i="29"/>
  <c r="AE310" i="29"/>
  <c r="AD412" i="29"/>
  <c r="AE155" i="29"/>
  <c r="AD403" i="29"/>
  <c r="AD497" i="29"/>
  <c r="AE141" i="29"/>
  <c r="AE231" i="29"/>
  <c r="AD322" i="29"/>
  <c r="AE45" i="29"/>
  <c r="AE118" i="29"/>
  <c r="AE173" i="29"/>
  <c r="AD292" i="29"/>
  <c r="AD310" i="29"/>
  <c r="AE266" i="29"/>
  <c r="AE192" i="29"/>
  <c r="AD202" i="29"/>
  <c r="AE256" i="29"/>
  <c r="AE341" i="29"/>
  <c r="AD376" i="29"/>
  <c r="AE429" i="29"/>
  <c r="AD587" i="29"/>
  <c r="AE97" i="29"/>
  <c r="AE182" i="29"/>
  <c r="AE259" i="29"/>
  <c r="AD249" i="29"/>
  <c r="AD295" i="29"/>
  <c r="AD320" i="29"/>
  <c r="AE411" i="29"/>
  <c r="AE449" i="29"/>
  <c r="AD545" i="29"/>
  <c r="AD512" i="29"/>
  <c r="AE568" i="29"/>
  <c r="AD135" i="29"/>
  <c r="AD142" i="29"/>
  <c r="AD222" i="29"/>
  <c r="AD289" i="29"/>
  <c r="AE361" i="29"/>
  <c r="AD378" i="29"/>
  <c r="AD592" i="29"/>
  <c r="AE59" i="29"/>
  <c r="AD122" i="29"/>
  <c r="AD212" i="29"/>
  <c r="AD274" i="29"/>
  <c r="AD319" i="29"/>
  <c r="AE293" i="29"/>
  <c r="AD475" i="29"/>
  <c r="AE61" i="29"/>
  <c r="AE242" i="29"/>
  <c r="AE324" i="29"/>
  <c r="AE343" i="29"/>
  <c r="AD455" i="29"/>
  <c r="AD507" i="29"/>
  <c r="AE560" i="29"/>
  <c r="AD601" i="29"/>
  <c r="AD441" i="29"/>
  <c r="AE454" i="29"/>
  <c r="AE533" i="29"/>
  <c r="AD605" i="29"/>
  <c r="AD595" i="29"/>
  <c r="AD530" i="29"/>
  <c r="AD578" i="29"/>
  <c r="AD585" i="29"/>
  <c r="AD356" i="29"/>
  <c r="AD140" i="29"/>
  <c r="AE142" i="29"/>
  <c r="AE404" i="29"/>
  <c r="AD246" i="29"/>
  <c r="AE349" i="29"/>
  <c r="AD465" i="29"/>
  <c r="AD563" i="29"/>
  <c r="AE573" i="29"/>
  <c r="AD150" i="29"/>
  <c r="AD265" i="29"/>
  <c r="AD461" i="29"/>
  <c r="AE469" i="29"/>
  <c r="AD20" i="29"/>
  <c r="AD18" i="29"/>
  <c r="AD61" i="29"/>
  <c r="AD78" i="29"/>
  <c r="AD87" i="29"/>
  <c r="AE412" i="29"/>
  <c r="AE95" i="29"/>
  <c r="AD502" i="29"/>
  <c r="AE119" i="29"/>
  <c r="AD97" i="29"/>
  <c r="AD147" i="29"/>
  <c r="AE174" i="29"/>
  <c r="AD269" i="29"/>
  <c r="AD336" i="29"/>
  <c r="AE585" i="29"/>
  <c r="AD156" i="29"/>
  <c r="AD241" i="29"/>
  <c r="AE441" i="29"/>
  <c r="AD504" i="29"/>
  <c r="AD133" i="29"/>
  <c r="AE222" i="29"/>
  <c r="AD368" i="29"/>
  <c r="AD389" i="29"/>
  <c r="AE501" i="29"/>
  <c r="AE190" i="29"/>
  <c r="AE267" i="29"/>
  <c r="AE94" i="29"/>
  <c r="AE111" i="29"/>
  <c r="AD154" i="29"/>
  <c r="AD275" i="29"/>
  <c r="AE308" i="29"/>
  <c r="AE493" i="29"/>
  <c r="AE540" i="29"/>
  <c r="AE19" i="29"/>
  <c r="AE279" i="29"/>
  <c r="AD395" i="29"/>
  <c r="AE381" i="29"/>
  <c r="AD491" i="29"/>
  <c r="AE511" i="29"/>
  <c r="AE603" i="29"/>
  <c r="AE358" i="29"/>
  <c r="AD583" i="29"/>
  <c r="AD92" i="29"/>
  <c r="AD552" i="29"/>
  <c r="AD298" i="29"/>
  <c r="AD577" i="29"/>
  <c r="AE374" i="29"/>
  <c r="AE402" i="29"/>
  <c r="AD201" i="29"/>
  <c r="AD481" i="29"/>
  <c r="AE77" i="29"/>
  <c r="AE91" i="29"/>
  <c r="AD221" i="29"/>
  <c r="AE240" i="29"/>
  <c r="AD158" i="29"/>
  <c r="AD279" i="29"/>
  <c r="AD338" i="29"/>
  <c r="AE13" i="29"/>
  <c r="AE445" i="29"/>
  <c r="AE164" i="29"/>
  <c r="AD64" i="29"/>
  <c r="AE170" i="29"/>
  <c r="AD196" i="29"/>
  <c r="AE300" i="29"/>
  <c r="AD118" i="29"/>
  <c r="AE86" i="29"/>
  <c r="AD227" i="29"/>
  <c r="AD136" i="29"/>
  <c r="AD325" i="29"/>
  <c r="AE323" i="29"/>
  <c r="AD380" i="29"/>
  <c r="AE350" i="29"/>
  <c r="AE193" i="29"/>
  <c r="AD211" i="29"/>
  <c r="AE344" i="29"/>
  <c r="AE583" i="29"/>
  <c r="AD324" i="29"/>
  <c r="AD474" i="29"/>
  <c r="AE221" i="29"/>
  <c r="AE127" i="29"/>
  <c r="AE55" i="29"/>
  <c r="AE137" i="29"/>
  <c r="AD344" i="29"/>
  <c r="AE272" i="29"/>
  <c r="AE271" i="29"/>
  <c r="AE130" i="29"/>
  <c r="AE372" i="29"/>
  <c r="AD159" i="29"/>
  <c r="AE133" i="29"/>
  <c r="AD258" i="29"/>
  <c r="AD260" i="29"/>
  <c r="AD353" i="29"/>
  <c r="AE334" i="29"/>
  <c r="AE338" i="29"/>
  <c r="AD364" i="29"/>
  <c r="AE390" i="29"/>
  <c r="AE426" i="29"/>
  <c r="AD421" i="29"/>
  <c r="AE485" i="29"/>
  <c r="AE387" i="29"/>
  <c r="AD482" i="29"/>
  <c r="AD526" i="29"/>
  <c r="AD404" i="29"/>
  <c r="AE398" i="29"/>
  <c r="AE504" i="29"/>
  <c r="AD466" i="29"/>
  <c r="AE578" i="29"/>
  <c r="AE74" i="29"/>
  <c r="AD470" i="29"/>
  <c r="AE554" i="29"/>
  <c r="AD347" i="29"/>
  <c r="AE289" i="29"/>
  <c r="AD112" i="29"/>
  <c r="AE177" i="29"/>
  <c r="AD231" i="29"/>
  <c r="AE56" i="29"/>
  <c r="AD96" i="29"/>
  <c r="AE16" i="29"/>
  <c r="AD77" i="29"/>
  <c r="AD39" i="29"/>
  <c r="AD73" i="29"/>
  <c r="AD117" i="29"/>
  <c r="AD13" i="29"/>
  <c r="AD162" i="29"/>
  <c r="AD255" i="29"/>
  <c r="AD352" i="29"/>
  <c r="AD554" i="29"/>
  <c r="AE251" i="29"/>
  <c r="AE286" i="29"/>
  <c r="AD555" i="29"/>
  <c r="AE106" i="29"/>
  <c r="AD204" i="29"/>
  <c r="AD447" i="29"/>
  <c r="AD99" i="29"/>
  <c r="AE499" i="29"/>
  <c r="AD556" i="29"/>
  <c r="AD48" i="29"/>
  <c r="AE64" i="29"/>
  <c r="AD225" i="29"/>
  <c r="AE598" i="29"/>
  <c r="AD132" i="29"/>
  <c r="AD146" i="29"/>
  <c r="AE216" i="29"/>
  <c r="AE275" i="29"/>
  <c r="AE288" i="29"/>
  <c r="AE543" i="29"/>
  <c r="AD562" i="29"/>
  <c r="AE96" i="29"/>
  <c r="AE198" i="29"/>
  <c r="AD343" i="29"/>
  <c r="AE281" i="29"/>
  <c r="AE36" i="29"/>
  <c r="AD15" i="29"/>
  <c r="AD16" i="29"/>
  <c r="AE31" i="29"/>
  <c r="AE295" i="29"/>
  <c r="AD131" i="29"/>
  <c r="AE228" i="29"/>
  <c r="AE248" i="29"/>
  <c r="AE386" i="29"/>
  <c r="AE452" i="29"/>
  <c r="AE252" i="29"/>
  <c r="AE611" i="29"/>
  <c r="AE41" i="29"/>
  <c r="AD308" i="29"/>
  <c r="AD433" i="29"/>
  <c r="AE601" i="29"/>
  <c r="AD237" i="29"/>
  <c r="AD254" i="29"/>
  <c r="AE309" i="29"/>
  <c r="AD524" i="29"/>
  <c r="AE117" i="29"/>
  <c r="AE194" i="29"/>
  <c r="AD335" i="29"/>
  <c r="AE455" i="29"/>
  <c r="AD406" i="29"/>
  <c r="AE530" i="29"/>
  <c r="AD569" i="29"/>
  <c r="AE107" i="29"/>
  <c r="AE160" i="29"/>
  <c r="AD200" i="29"/>
  <c r="AD191" i="29"/>
  <c r="AD247" i="29"/>
  <c r="AD611" i="29"/>
  <c r="AE93" i="29"/>
  <c r="AD161" i="29"/>
  <c r="AE255" i="29"/>
  <c r="AD291" i="29"/>
  <c r="AD346" i="29"/>
  <c r="AE367" i="29"/>
  <c r="AE384" i="29"/>
  <c r="AD75" i="29"/>
  <c r="AD399" i="29"/>
  <c r="AD539" i="29"/>
  <c r="AD551" i="29"/>
  <c r="AE105" i="29"/>
  <c r="AE195" i="29"/>
  <c r="AE44" i="29"/>
  <c r="AD33" i="29"/>
  <c r="AE157" i="29"/>
  <c r="AE108" i="29"/>
  <c r="AD358" i="29"/>
  <c r="AE433" i="29"/>
  <c r="AD198" i="29"/>
  <c r="AE434" i="29"/>
  <c r="AE446" i="29"/>
  <c r="AD218" i="29"/>
  <c r="AD95" i="29"/>
  <c r="AE363" i="29"/>
  <c r="AE587" i="29"/>
  <c r="AE253" i="29"/>
  <c r="AD410" i="29"/>
  <c r="AE597" i="29"/>
  <c r="AE163" i="29"/>
  <c r="AD130" i="29"/>
  <c r="AE219" i="29"/>
  <c r="AE319" i="29"/>
  <c r="AE471" i="29"/>
  <c r="AD115" i="29"/>
  <c r="AE394" i="29"/>
  <c r="AE516" i="29"/>
  <c r="AD234" i="29"/>
  <c r="AD286" i="29"/>
  <c r="AD392" i="29"/>
  <c r="AE574" i="29"/>
  <c r="AE62" i="29"/>
  <c r="AE79" i="29"/>
  <c r="AD417" i="29"/>
  <c r="AD426" i="29"/>
  <c r="AD532" i="29"/>
  <c r="AD213" i="29"/>
  <c r="AE298" i="29"/>
  <c r="AE320" i="29"/>
  <c r="AD493" i="29"/>
  <c r="AD536" i="29"/>
  <c r="AD603" i="29"/>
  <c r="AE397" i="29"/>
  <c r="AD420" i="29"/>
  <c r="AE525" i="29"/>
  <c r="AD558" i="29"/>
  <c r="AE538" i="29"/>
  <c r="AD290" i="29"/>
  <c r="AD189" i="29"/>
  <c r="AE258" i="29"/>
  <c r="AD303" i="29"/>
  <c r="AE463" i="29"/>
  <c r="AE468" i="29"/>
  <c r="AE526" i="29"/>
  <c r="AE100" i="29"/>
  <c r="AE158" i="29"/>
  <c r="AE197" i="29"/>
  <c r="AE209" i="29"/>
  <c r="AE333" i="29"/>
  <c r="AD391" i="29"/>
  <c r="AD400" i="29"/>
  <c r="AD572" i="29"/>
  <c r="AE81" i="29"/>
  <c r="AE120" i="29"/>
  <c r="AE265" i="29"/>
  <c r="AE475" i="29"/>
  <c r="AD509" i="29"/>
  <c r="AD419" i="29"/>
  <c r="AD484" i="29"/>
  <c r="AE595" i="29"/>
  <c r="AD561" i="29"/>
  <c r="AE482" i="29"/>
  <c r="AD350" i="29"/>
  <c r="AD62" i="29"/>
  <c r="AE519" i="29"/>
  <c r="AE355" i="29"/>
  <c r="AE188" i="29"/>
  <c r="AE491" i="29"/>
  <c r="AD214" i="29"/>
  <c r="AD181" i="29"/>
  <c r="AD528" i="29"/>
  <c r="AD365" i="29"/>
  <c r="AE249" i="29"/>
  <c r="AD251" i="29"/>
  <c r="AD149" i="29"/>
  <c r="AE162" i="29"/>
  <c r="AD120" i="29"/>
  <c r="AD604" i="29"/>
  <c r="AD282" i="29"/>
  <c r="AD215" i="29"/>
  <c r="AE135" i="29"/>
  <c r="AD206" i="29"/>
  <c r="AD253" i="29"/>
  <c r="AD341" i="29"/>
  <c r="AD384" i="29"/>
  <c r="AD178" i="29"/>
  <c r="AD259" i="29"/>
  <c r="AD314" i="29"/>
  <c r="AD307" i="29"/>
  <c r="AE408" i="29"/>
  <c r="AD367" i="29"/>
  <c r="AE416" i="29"/>
  <c r="AE383" i="29"/>
  <c r="AD388" i="29"/>
  <c r="AD443" i="29"/>
  <c r="AE448" i="29"/>
  <c r="AD478" i="29"/>
  <c r="AE586" i="29"/>
  <c r="AD586" i="29"/>
  <c r="AD444" i="29"/>
  <c r="AD463" i="29"/>
  <c r="AE314" i="29"/>
  <c r="AD450" i="29"/>
  <c r="AE391" i="29"/>
  <c r="AD451" i="29"/>
  <c r="AE461" i="29"/>
  <c r="AD483" i="29"/>
  <c r="AE517" i="29"/>
  <c r="AE536" i="29"/>
  <c r="AE562" i="29"/>
  <c r="AD606" i="29"/>
  <c r="AE43" i="29"/>
  <c r="AD490" i="29"/>
  <c r="AD503" i="29"/>
  <c r="AD537" i="29"/>
  <c r="AD573" i="29"/>
  <c r="AE556" i="29"/>
  <c r="AE575" i="29"/>
  <c r="AE590" i="29"/>
  <c r="AE600" i="29"/>
  <c r="AD370" i="29"/>
  <c r="AE225" i="29"/>
  <c r="AD267" i="29"/>
  <c r="AE427" i="29"/>
  <c r="AE419" i="29"/>
  <c r="AE505" i="29"/>
  <c r="AE610" i="29"/>
  <c r="AD93" i="29"/>
  <c r="AE234" i="29"/>
  <c r="AD250" i="29"/>
  <c r="AD357" i="29"/>
  <c r="AD240" i="29"/>
  <c r="AE489" i="29"/>
  <c r="AE570" i="29"/>
  <c r="AD53" i="29"/>
  <c r="AD169" i="29"/>
  <c r="AD230" i="29"/>
  <c r="AD574" i="29"/>
  <c r="AD192" i="29"/>
  <c r="AE148" i="29"/>
  <c r="AE392" i="29"/>
  <c r="AD411" i="29"/>
  <c r="AD457" i="29"/>
  <c r="AE495" i="29"/>
  <c r="AD546" i="29"/>
  <c r="AE327" i="29"/>
  <c r="AE576" i="29"/>
  <c r="AE207" i="29"/>
  <c r="AD14" i="29"/>
  <c r="AD19" i="29"/>
  <c r="AE54" i="29"/>
  <c r="AD285" i="29"/>
  <c r="AD137" i="29"/>
  <c r="AE312" i="29"/>
  <c r="AE531" i="29"/>
  <c r="AD36" i="29"/>
  <c r="AE153" i="29"/>
  <c r="AE124" i="29"/>
  <c r="AD264" i="29"/>
  <c r="AD401" i="29"/>
  <c r="AE28" i="29"/>
  <c r="AD60" i="29"/>
  <c r="AD28" i="29"/>
  <c r="AE203" i="29"/>
  <c r="AE421" i="29"/>
  <c r="AE325" i="29"/>
  <c r="AD84" i="29"/>
  <c r="AE199" i="29"/>
  <c r="AE236" i="29"/>
  <c r="AE282" i="29"/>
  <c r="AD600" i="29"/>
  <c r="AE87" i="29"/>
  <c r="AD172" i="29"/>
  <c r="AE237" i="29"/>
  <c r="AE299" i="29"/>
  <c r="AD360" i="29"/>
  <c r="AD224" i="29"/>
  <c r="AE284" i="29"/>
  <c r="AE385" i="29"/>
  <c r="AD171" i="29"/>
  <c r="AE99" i="29"/>
  <c r="AE584" i="29"/>
  <c r="AE109" i="29"/>
  <c r="AE208" i="29"/>
  <c r="AD331" i="29"/>
  <c r="AD235" i="29"/>
  <c r="AD293" i="29"/>
  <c r="AD453" i="29"/>
  <c r="AD486" i="29"/>
  <c r="AE113" i="29"/>
  <c r="AD276" i="29"/>
  <c r="AE342" i="29"/>
  <c r="AD520" i="29"/>
  <c r="AE285" i="29"/>
  <c r="AE450" i="29"/>
  <c r="AE172" i="29"/>
  <c r="AE201" i="29"/>
  <c r="AE337" i="29"/>
  <c r="AE154" i="29"/>
  <c r="AE50" i="29"/>
  <c r="AD35" i="29"/>
  <c r="AD238" i="29"/>
  <c r="AD127" i="29"/>
  <c r="AE168" i="29"/>
  <c r="AD467" i="29"/>
  <c r="AE532" i="29"/>
  <c r="AD476" i="29"/>
  <c r="AE331" i="29"/>
  <c r="AD91" i="29"/>
  <c r="AE150" i="29"/>
  <c r="AD80" i="29"/>
  <c r="AE401" i="29"/>
  <c r="AE565" i="29"/>
  <c r="AD151" i="29"/>
  <c r="AD294" i="29"/>
  <c r="AD330" i="29"/>
  <c r="AD464" i="29"/>
  <c r="AD266" i="29"/>
  <c r="AD281" i="29"/>
  <c r="AE608" i="29"/>
  <c r="AE82" i="29"/>
  <c r="AD174" i="29"/>
  <c r="AE292" i="29"/>
  <c r="AE432" i="29"/>
  <c r="AE488" i="29"/>
  <c r="AE175" i="29"/>
  <c r="AE227" i="29"/>
  <c r="AE438" i="29"/>
  <c r="AE364" i="29"/>
  <c r="AE520" i="29"/>
  <c r="AD579" i="29"/>
  <c r="AE368" i="29"/>
  <c r="AD315" i="29"/>
  <c r="AD326" i="29"/>
  <c r="AE347" i="29"/>
  <c r="AE365" i="29"/>
  <c r="AD396" i="29"/>
  <c r="AD382" i="29"/>
  <c r="AE582" i="29"/>
  <c r="AE181" i="29"/>
  <c r="AD340" i="29"/>
  <c r="AE447" i="29"/>
  <c r="AD423" i="29"/>
  <c r="AE110" i="29"/>
  <c r="AD262" i="29"/>
  <c r="AE302" i="29"/>
  <c r="AD511" i="29"/>
  <c r="AE189" i="29"/>
  <c r="AD173" i="29"/>
  <c r="AE388" i="29"/>
  <c r="AE604" i="29"/>
  <c r="AE126" i="29"/>
  <c r="AE204" i="29"/>
  <c r="AE268" i="29"/>
  <c r="AD311" i="29"/>
  <c r="AE335" i="29"/>
  <c r="AD471" i="29"/>
  <c r="AE555" i="29"/>
  <c r="AE68" i="29"/>
  <c r="AE211" i="29"/>
  <c r="AE229" i="29"/>
  <c r="AD317" i="29"/>
  <c r="AE414" i="29"/>
  <c r="AE436" i="29"/>
  <c r="AD373" i="29"/>
  <c r="AE378" i="29"/>
  <c r="AD379" i="29"/>
  <c r="AE456" i="29"/>
  <c r="AD472" i="29"/>
  <c r="AD560" i="29"/>
  <c r="AD121" i="29"/>
  <c r="AE60" i="29"/>
  <c r="AE473" i="29"/>
  <c r="AE496" i="29"/>
  <c r="AE535" i="29"/>
  <c r="AD575" i="29"/>
  <c r="AD599" i="29"/>
  <c r="AE72" i="29"/>
  <c r="AE66" i="29"/>
  <c r="AE83" i="29"/>
  <c r="AD152" i="29"/>
  <c r="AD126" i="29"/>
  <c r="AD216" i="29"/>
  <c r="AE233" i="29"/>
  <c r="AD321" i="29"/>
  <c r="AD415" i="29"/>
  <c r="AE440" i="29"/>
  <c r="AE500" i="29"/>
  <c r="AE588" i="29"/>
  <c r="AE326" i="29"/>
  <c r="AD332" i="29"/>
  <c r="AE380" i="29"/>
  <c r="AD533" i="29"/>
  <c r="AE581" i="29"/>
  <c r="AD607" i="29"/>
  <c r="AE524" i="29"/>
  <c r="AD205" i="29"/>
  <c r="AE17" i="29"/>
  <c r="AE465" i="29"/>
  <c r="AE128" i="29"/>
  <c r="AE395" i="29"/>
  <c r="AD219" i="29"/>
  <c r="AD119" i="29"/>
  <c r="AD564" i="29"/>
  <c r="AD407" i="29"/>
  <c r="AD390" i="29"/>
  <c r="AE179" i="29"/>
  <c r="AD175" i="29"/>
  <c r="AE176" i="29"/>
  <c r="AE114" i="29"/>
  <c r="AD372" i="29"/>
  <c r="AE311" i="29"/>
  <c r="AE213" i="29"/>
  <c r="AE224" i="29"/>
  <c r="AD116" i="29"/>
  <c r="AE115" i="29"/>
  <c r="AD354" i="29"/>
  <c r="AD245" i="29"/>
  <c r="AE187" i="29"/>
  <c r="AE90" i="29"/>
  <c r="AD190" i="29"/>
  <c r="AD271" i="29"/>
  <c r="AD355" i="29"/>
  <c r="AE352" i="29"/>
  <c r="AE577" i="29"/>
  <c r="AE246" i="29"/>
  <c r="AD278" i="29"/>
  <c r="AD328" i="29"/>
  <c r="AD375" i="29"/>
  <c r="AE354" i="29"/>
  <c r="AE348" i="29"/>
  <c r="AD434" i="29"/>
  <c r="AE400" i="29"/>
  <c r="AD488" i="29"/>
  <c r="AE544" i="29"/>
  <c r="AE403" i="29"/>
  <c r="AD393" i="29"/>
  <c r="AD428" i="29"/>
  <c r="AE563" i="29"/>
  <c r="AE362" i="29"/>
  <c r="AE356" i="29"/>
  <c r="AD435" i="29"/>
  <c r="AE470" i="29"/>
  <c r="AD473" i="29"/>
  <c r="AD510" i="29"/>
  <c r="AE579" i="29"/>
  <c r="AD543" i="29"/>
  <c r="AE569" i="29"/>
  <c r="AD501" i="29"/>
  <c r="AD496" i="29"/>
  <c r="AE498" i="29"/>
  <c r="AE541" i="29"/>
  <c r="AE593" i="29"/>
  <c r="AD584" i="29"/>
  <c r="AE486" i="29"/>
  <c r="AD540" i="29"/>
  <c r="AE605" i="29"/>
  <c r="AD422" i="29"/>
  <c r="AE166" i="29"/>
  <c r="AE200" i="29"/>
  <c r="AD273" i="29"/>
  <c r="AE357" i="29"/>
  <c r="AE591" i="29"/>
  <c r="AE321" i="29"/>
  <c r="AD612" i="29"/>
  <c r="AE460" i="29"/>
  <c r="AE264" i="29"/>
  <c r="AE140" i="29"/>
  <c r="AE92" i="29"/>
  <c r="AD167" i="29"/>
  <c r="AE418" i="29"/>
  <c r="AE503" i="29"/>
  <c r="AE205" i="29"/>
  <c r="AD339" i="29"/>
  <c r="AE435" i="29"/>
  <c r="AD456" i="29"/>
  <c r="AE442" i="29"/>
  <c r="AE178" i="29"/>
  <c r="AE332" i="29"/>
  <c r="AD505" i="29"/>
  <c r="AE121" i="29"/>
  <c r="AD176" i="29"/>
  <c r="AE407" i="29"/>
  <c r="AE239" i="29"/>
  <c r="AE261" i="29"/>
  <c r="AD349" i="29"/>
  <c r="AE596" i="29"/>
  <c r="AE104" i="29"/>
  <c r="AE180" i="29"/>
  <c r="AE206" i="29"/>
  <c r="AD316" i="29"/>
  <c r="AE497" i="29"/>
  <c r="AE551" i="29"/>
  <c r="AD44" i="29"/>
  <c r="AE369" i="29"/>
  <c r="AE534" i="29"/>
  <c r="AE613" i="29"/>
  <c r="AE47" i="29"/>
  <c r="AE559" i="29"/>
  <c r="AD580" i="29"/>
  <c r="AE21" i="29"/>
  <c r="AD56" i="29"/>
  <c r="AD124" i="29"/>
  <c r="AE379" i="29"/>
  <c r="AD418" i="29"/>
  <c r="AE245" i="29"/>
  <c r="AE269" i="29"/>
  <c r="AE537" i="29"/>
  <c r="AD477" i="29"/>
  <c r="AD110" i="29"/>
  <c r="AE103" i="29"/>
  <c r="AD187" i="29"/>
  <c r="AD243" i="29"/>
  <c r="AD454" i="29"/>
  <c r="AD567" i="29"/>
  <c r="AE151" i="29"/>
  <c r="AE304" i="29"/>
  <c r="AE410" i="29"/>
  <c r="AE514" i="29"/>
  <c r="AD385" i="29"/>
  <c r="AD535" i="29"/>
  <c r="AD594" i="29"/>
  <c r="AD263" i="29"/>
  <c r="AD329" i="29"/>
  <c r="AE420" i="29"/>
  <c r="AE129" i="29"/>
  <c r="AE480" i="29"/>
  <c r="AD513" i="29"/>
  <c r="AE547" i="29"/>
  <c r="AE580" i="29"/>
  <c r="AD106" i="29"/>
  <c r="AE212" i="29"/>
  <c r="AD313" i="29"/>
  <c r="AE415" i="29"/>
  <c r="AE484" i="29"/>
  <c r="AE548" i="29"/>
  <c r="AE51" i="29"/>
  <c r="AD299" i="29"/>
  <c r="AE89" i="29"/>
  <c r="AE226" i="29"/>
  <c r="AE366" i="29"/>
  <c r="AE101" i="29"/>
  <c r="AE315" i="29"/>
  <c r="AE431" i="29"/>
  <c r="AD165" i="29"/>
  <c r="AD199" i="29"/>
  <c r="AD89" i="29"/>
  <c r="AD233" i="29"/>
  <c r="AD345" i="29"/>
  <c r="AE494" i="29"/>
  <c r="AE235" i="29"/>
  <c r="AE370" i="29"/>
  <c r="AE123" i="29"/>
  <c r="AD288" i="29"/>
  <c r="AE458" i="29"/>
  <c r="AD409" i="29"/>
  <c r="AE191" i="29"/>
  <c r="AE307" i="29"/>
  <c r="AD439" i="29"/>
  <c r="AE566" i="29"/>
  <c r="AD168" i="29"/>
  <c r="AD63" i="29"/>
  <c r="AE32" i="29"/>
  <c r="AD26" i="29"/>
  <c r="AD67" i="29"/>
  <c r="AD22" i="29"/>
  <c r="AD79" i="29"/>
  <c r="AE23" i="29"/>
  <c r="AD107" i="29"/>
  <c r="AD68" i="29"/>
  <c r="AD25" i="29"/>
  <c r="AD105" i="29"/>
  <c r="AD74" i="29"/>
  <c r="AD65" i="29"/>
  <c r="AD41" i="29"/>
  <c r="AE39" i="29"/>
  <c r="AE20" i="29"/>
  <c r="AD40" i="29"/>
  <c r="AD21" i="29"/>
  <c r="AD37" i="29"/>
  <c r="AD83" i="29"/>
  <c r="AD46" i="29"/>
  <c r="AE122" i="29"/>
  <c r="AD32" i="29"/>
  <c r="AE78" i="29"/>
  <c r="AD111" i="29"/>
  <c r="AD81" i="29"/>
  <c r="AD72" i="29"/>
  <c r="AD52" i="29"/>
  <c r="AD17" i="29"/>
  <c r="AE138" i="29"/>
  <c r="AD76" i="29"/>
  <c r="AD42" i="29"/>
  <c r="AD45" i="29"/>
  <c r="AD51" i="29"/>
  <c r="AD54" i="29"/>
  <c r="AD94" i="29"/>
  <c r="Q625" i="29"/>
  <c r="AD49" i="29"/>
  <c r="AD43" i="29"/>
  <c r="AD57" i="29"/>
  <c r="AD29" i="29"/>
  <c r="U625" i="29"/>
  <c r="AE24" i="29"/>
  <c r="AE15" i="29"/>
  <c r="AD34" i="29"/>
  <c r="AD58" i="29"/>
  <c r="AD113" i="29"/>
  <c r="AD104" i="29"/>
  <c r="AE48" i="29"/>
  <c r="AD23" i="29"/>
  <c r="AE14" i="29"/>
  <c r="T625" i="29"/>
  <c r="P625" i="29"/>
  <c r="V625" i="29"/>
  <c r="AD31" i="29"/>
  <c r="R625" i="29"/>
  <c r="O625" i="29"/>
  <c r="S625" i="29"/>
  <c r="AD38" i="29"/>
  <c r="AE52" i="29"/>
  <c r="AE626" i="29"/>
  <c r="AD626" i="29"/>
  <c r="AE624" i="29" l="1"/>
  <c r="AD624" i="29"/>
  <c r="AE625" i="29"/>
  <c r="AD625" i="29"/>
  <c r="D37" i="19" l="1"/>
  <c r="N108" i="24" l="1"/>
  <c r="B54" i="19" l="1"/>
  <c r="D54" i="19" s="1"/>
  <c r="D42" i="19"/>
  <c r="B190" i="2"/>
  <c r="EX1" i="24" s="1"/>
  <c r="BT1" i="24" l="1"/>
  <c r="B81" i="2" l="1"/>
  <c r="M10" i="1"/>
  <c r="K10" i="1"/>
  <c r="B18" i="2" l="1"/>
  <c r="CK212" i="25" s="1"/>
  <c r="B28" i="19"/>
  <c r="D28" i="19" s="1"/>
  <c r="B49" i="19"/>
  <c r="D49" i="19" s="1"/>
  <c r="EQ216" i="25" l="1"/>
  <c r="ES216" i="24"/>
  <c r="EV216" i="24" s="1"/>
  <c r="BO216" i="24"/>
  <c r="BR216" i="24" s="1"/>
  <c r="CK112" i="25"/>
  <c r="L89" i="2"/>
  <c r="G67" i="2"/>
  <c r="EQ110" i="25"/>
  <c r="ES110" i="24"/>
  <c r="EV110" i="24" s="1"/>
  <c r="CQ1" i="24"/>
  <c r="CK287" i="25"/>
  <c r="CK201" i="25"/>
  <c r="CK186" i="25"/>
  <c r="CK172" i="25"/>
  <c r="CK147" i="25"/>
  <c r="CK143" i="25"/>
  <c r="CK118" i="25"/>
  <c r="CK94" i="25"/>
  <c r="CK54" i="25"/>
  <c r="CK46" i="25"/>
  <c r="CK302" i="25"/>
  <c r="CK297" i="25"/>
  <c r="CK292" i="25"/>
  <c r="CK289" i="25"/>
  <c r="CK280" i="25"/>
  <c r="CK261" i="25"/>
  <c r="CK249" i="25"/>
  <c r="CK228" i="25"/>
  <c r="CK225" i="25"/>
  <c r="CK222" i="25"/>
  <c r="CK219" i="25"/>
  <c r="CK199" i="25"/>
  <c r="CK197" i="25"/>
  <c r="CK194" i="25"/>
  <c r="CK191" i="25"/>
  <c r="CK161" i="25"/>
  <c r="CK157" i="25"/>
  <c r="CK139" i="25"/>
  <c r="CK127" i="25"/>
  <c r="CK124" i="25"/>
  <c r="CK113" i="25"/>
  <c r="CK104" i="25"/>
  <c r="CK98" i="25"/>
  <c r="CK96" i="25"/>
  <c r="CK92" i="25"/>
  <c r="CK83" i="25"/>
  <c r="CK81" i="25"/>
  <c r="CK79" i="25"/>
  <c r="CK65" i="25"/>
  <c r="CK23" i="25"/>
  <c r="CK17" i="25"/>
  <c r="CK13" i="25"/>
  <c r="CK314" i="25"/>
  <c r="CK282" i="25"/>
  <c r="CK278" i="25"/>
  <c r="CK272" i="25"/>
  <c r="CK267" i="25"/>
  <c r="CK265" i="25"/>
  <c r="CK263" i="25"/>
  <c r="CK253" i="25"/>
  <c r="CK242" i="25"/>
  <c r="CK233" i="25"/>
  <c r="CK206" i="25"/>
  <c r="CK183" i="25"/>
  <c r="CK179" i="25"/>
  <c r="CK177" i="25"/>
  <c r="CK170" i="25"/>
  <c r="CK150" i="25"/>
  <c r="CK137" i="25"/>
  <c r="CK119" i="25"/>
  <c r="CK87" i="25"/>
  <c r="CK85" i="25"/>
  <c r="CK76" i="25"/>
  <c r="CK72" i="25"/>
  <c r="CK269" i="25"/>
  <c r="CK251" i="25"/>
  <c r="CK230" i="25"/>
  <c r="CK181" i="25"/>
  <c r="CK168" i="25"/>
  <c r="CK164" i="25"/>
  <c r="CK130" i="25"/>
  <c r="CK116" i="25"/>
  <c r="CK74" i="25"/>
  <c r="CK316" i="25"/>
  <c r="CK311" i="25"/>
  <c r="CK309" i="25"/>
  <c r="CK301" i="25"/>
  <c r="CK299" i="25"/>
  <c r="CK294" i="25"/>
  <c r="CK291" i="25"/>
  <c r="CK288" i="25"/>
  <c r="CK286" i="25"/>
  <c r="CK284" i="25"/>
  <c r="CK275" i="25"/>
  <c r="CK258" i="25"/>
  <c r="CK256" i="25"/>
  <c r="CK246" i="25"/>
  <c r="CK244" i="25"/>
  <c r="CK237" i="25"/>
  <c r="CK235" i="25"/>
  <c r="CK224" i="25"/>
  <c r="CK216" i="25"/>
  <c r="CK208" i="25"/>
  <c r="CK204" i="25"/>
  <c r="CK195" i="25"/>
  <c r="CK189" i="25"/>
  <c r="CK185" i="25"/>
  <c r="CK175" i="25"/>
  <c r="CK166" i="25"/>
  <c r="CK160" i="25"/>
  <c r="CK156" i="25"/>
  <c r="CK153" i="25"/>
  <c r="CK122" i="25"/>
  <c r="CK111" i="25"/>
  <c r="CK110" i="25"/>
  <c r="CK89" i="25"/>
  <c r="CK38" i="25"/>
  <c r="CK31" i="25"/>
  <c r="CK27" i="25"/>
  <c r="CK25" i="25"/>
  <c r="CK12" i="25"/>
  <c r="CK10" i="25"/>
  <c r="CK290" i="25"/>
  <c r="CK277" i="25"/>
  <c r="CK254" i="25"/>
  <c r="CK227" i="25"/>
  <c r="CK200" i="25"/>
  <c r="CK196" i="25"/>
  <c r="CK159" i="25"/>
  <c r="CK138" i="25"/>
  <c r="CK120" i="25"/>
  <c r="CK97" i="25"/>
  <c r="CK93" i="25"/>
  <c r="CK80" i="25"/>
  <c r="CK62" i="25"/>
  <c r="CK53" i="25"/>
  <c r="CK42" i="25"/>
  <c r="CK33" i="25"/>
  <c r="CK24" i="25"/>
  <c r="CK313" i="25"/>
  <c r="CK306" i="25"/>
  <c r="CK304" i="25"/>
  <c r="CK296" i="25"/>
  <c r="CK248" i="25"/>
  <c r="CK239" i="25"/>
  <c r="CK232" i="25"/>
  <c r="CK221" i="25"/>
  <c r="CK218" i="25"/>
  <c r="CK202" i="25"/>
  <c r="CK192" i="25"/>
  <c r="CK187" i="25"/>
  <c r="CK173" i="25"/>
  <c r="CK163" i="25"/>
  <c r="CK148" i="25"/>
  <c r="CK146" i="25"/>
  <c r="CK144" i="25"/>
  <c r="CK142" i="25"/>
  <c r="CK140" i="25"/>
  <c r="CK135" i="25"/>
  <c r="CK133" i="25"/>
  <c r="CK128" i="25"/>
  <c r="CK125" i="25"/>
  <c r="CK114" i="25"/>
  <c r="CK103" i="25"/>
  <c r="CK101" i="25"/>
  <c r="CK95" i="25"/>
  <c r="CK91" i="25"/>
  <c r="CK68" i="25"/>
  <c r="CK66" i="25"/>
  <c r="CK55" i="25"/>
  <c r="CK51" i="25"/>
  <c r="CK49" i="25"/>
  <c r="CK45" i="25"/>
  <c r="CK40" i="25"/>
  <c r="CK29" i="25"/>
  <c r="CK22" i="25"/>
  <c r="CK20" i="25"/>
  <c r="CK18" i="25"/>
  <c r="CK16" i="25"/>
  <c r="CK14" i="25"/>
  <c r="CK6" i="25"/>
  <c r="CK308" i="25"/>
  <c r="CK279" i="25"/>
  <c r="CK274" i="25"/>
  <c r="CK260" i="25"/>
  <c r="CK250" i="25"/>
  <c r="CK210" i="25"/>
  <c r="CK198" i="25"/>
  <c r="CK171" i="25"/>
  <c r="CK152" i="25"/>
  <c r="CK131" i="25"/>
  <c r="CK117" i="25"/>
  <c r="CK99" i="25"/>
  <c r="CK82" i="25"/>
  <c r="CK78" i="25"/>
  <c r="CK58" i="25"/>
  <c r="CK47" i="25"/>
  <c r="CK35" i="25"/>
  <c r="CK271" i="25"/>
  <c r="CK71" i="25"/>
  <c r="CK298" i="25"/>
  <c r="CK293" i="25"/>
  <c r="CK281" i="25"/>
  <c r="CK268" i="25"/>
  <c r="CK266" i="25"/>
  <c r="CK264" i="25"/>
  <c r="CK252" i="25"/>
  <c r="CK241" i="25"/>
  <c r="CK234" i="25"/>
  <c r="CK229" i="25"/>
  <c r="CK207" i="25"/>
  <c r="CK193" i="25"/>
  <c r="CK190" i="25"/>
  <c r="CK182" i="25"/>
  <c r="CK180" i="25"/>
  <c r="CK178" i="25"/>
  <c r="CK176" i="25"/>
  <c r="CK162" i="25"/>
  <c r="CK315" i="25"/>
  <c r="CK312" i="25"/>
  <c r="CK310" i="25"/>
  <c r="CK303" i="25"/>
  <c r="CK300" i="25"/>
  <c r="CK295" i="25"/>
  <c r="CK283" i="25"/>
  <c r="CK270" i="25"/>
  <c r="CK262" i="25"/>
  <c r="CK259" i="25"/>
  <c r="CK257" i="25"/>
  <c r="CK245" i="25"/>
  <c r="CK243" i="25"/>
  <c r="CK238" i="25"/>
  <c r="CK236" i="25"/>
  <c r="CK226" i="25"/>
  <c r="CK223" i="25"/>
  <c r="CK220" i="25"/>
  <c r="CK217" i="25"/>
  <c r="CK205" i="25"/>
  <c r="CK184" i="25"/>
  <c r="CK165" i="25"/>
  <c r="CK158" i="25"/>
  <c r="CK151" i="25"/>
  <c r="CK136" i="25"/>
  <c r="CK132" i="25"/>
  <c r="CK129" i="25"/>
  <c r="CK126" i="25"/>
  <c r="CK115" i="25"/>
  <c r="CK105" i="25"/>
  <c r="CK100" i="25"/>
  <c r="CK90" i="25"/>
  <c r="CK88" i="25"/>
  <c r="CK77" i="25"/>
  <c r="CK69" i="25"/>
  <c r="CK67" i="25"/>
  <c r="CK60" i="25"/>
  <c r="CK56" i="25"/>
  <c r="CK50" i="25"/>
  <c r="CK32" i="25"/>
  <c r="CK30" i="25"/>
  <c r="CK28" i="25"/>
  <c r="CK11" i="25"/>
  <c r="CK307" i="25"/>
  <c r="CK305" i="25"/>
  <c r="CK285" i="25"/>
  <c r="CK276" i="25"/>
  <c r="CK273" i="25"/>
  <c r="CK255" i="25"/>
  <c r="CK247" i="25"/>
  <c r="CK240" i="25"/>
  <c r="CK231" i="25"/>
  <c r="CK209" i="25"/>
  <c r="CK203" i="25"/>
  <c r="CK188" i="25"/>
  <c r="CK174" i="25"/>
  <c r="CK154" i="25"/>
  <c r="CK149" i="25"/>
  <c r="CK145" i="25"/>
  <c r="CK141" i="25"/>
  <c r="CK134" i="25"/>
  <c r="CK121" i="25"/>
  <c r="CK102" i="25"/>
  <c r="CK52" i="25"/>
  <c r="CK48" i="25"/>
  <c r="CK70" i="25"/>
  <c r="CK61" i="25"/>
  <c r="CK36" i="25"/>
  <c r="CK44" i="25"/>
  <c r="CK9" i="25"/>
  <c r="CK167" i="25"/>
  <c r="CK169" i="25"/>
  <c r="CK155" i="25"/>
  <c r="CK84" i="25"/>
  <c r="CK41" i="25"/>
  <c r="CK21" i="25"/>
  <c r="CK7" i="25"/>
  <c r="CK39" i="25"/>
  <c r="CK19" i="25"/>
  <c r="CK43" i="25"/>
  <c r="CK26" i="25"/>
  <c r="CK15" i="25"/>
  <c r="CK123" i="25"/>
  <c r="CK34" i="25"/>
  <c r="CK63" i="25"/>
  <c r="CK8" i="25"/>
  <c r="CK86" i="25"/>
  <c r="CK73" i="25"/>
  <c r="CK64" i="25"/>
  <c r="CK57" i="25"/>
  <c r="CK37" i="25"/>
  <c r="CK59" i="25"/>
  <c r="CK75" i="25"/>
  <c r="BO110" i="24"/>
  <c r="BR110" i="24" s="1"/>
  <c r="M1" i="24"/>
  <c r="K41" i="16" l="1"/>
  <c r="K40" i="16"/>
  <c r="K39" i="16"/>
  <c r="K33" i="16"/>
  <c r="J33" i="16"/>
  <c r="I33" i="16"/>
  <c r="H33" i="16"/>
  <c r="I34" i="16"/>
  <c r="H34" i="16"/>
  <c r="C41" i="16"/>
  <c r="D40" i="16"/>
  <c r="D39" i="16"/>
  <c r="J40" i="16"/>
  <c r="H40" i="16"/>
  <c r="J39" i="16"/>
  <c r="J50" i="16"/>
  <c r="I50" i="16"/>
  <c r="H50" i="16"/>
  <c r="A50" i="16"/>
  <c r="D42" i="16"/>
  <c r="D41" i="16"/>
  <c r="F229" i="2"/>
  <c r="K47" i="16"/>
  <c r="J47" i="16"/>
  <c r="I40" i="16"/>
  <c r="C40" i="16"/>
  <c r="B34" i="16"/>
  <c r="A40" i="16"/>
  <c r="B235" i="2"/>
  <c r="A33" i="16"/>
  <c r="K50" i="16"/>
  <c r="M14" i="1" l="1"/>
  <c r="A2" i="28"/>
  <c r="A2" i="22"/>
  <c r="B17" i="2"/>
  <c r="B16" i="2"/>
  <c r="C44" i="16" l="1"/>
  <c r="D44" i="16"/>
  <c r="CM212" i="25"/>
  <c r="N322" i="25"/>
  <c r="CM112" i="25"/>
  <c r="CM5" i="25"/>
  <c r="CM273" i="25"/>
  <c r="CM261" i="25"/>
  <c r="CM298" i="25"/>
  <c r="CM305" i="25"/>
  <c r="CM301" i="25"/>
  <c r="CM307" i="25"/>
  <c r="CM309" i="25"/>
  <c r="CM240" i="25"/>
  <c r="CM284" i="25"/>
  <c r="CM220" i="25"/>
  <c r="CM286" i="25"/>
  <c r="CM223" i="25"/>
  <c r="CM269" i="25"/>
  <c r="CM198" i="25"/>
  <c r="CM162" i="25"/>
  <c r="CM102" i="25"/>
  <c r="CM158" i="25"/>
  <c r="CM66" i="25"/>
  <c r="CM159" i="25"/>
  <c r="CM151" i="25"/>
  <c r="CM7" i="25"/>
  <c r="CM71" i="25"/>
  <c r="CM25" i="25"/>
  <c r="CM85" i="25"/>
  <c r="CM34" i="25"/>
  <c r="CM135" i="25"/>
  <c r="CM202" i="25"/>
  <c r="CM35" i="25"/>
  <c r="CM140" i="25"/>
  <c r="CM160" i="25"/>
  <c r="CM97" i="25"/>
  <c r="CM11" i="25"/>
  <c r="CM77" i="25"/>
  <c r="CM30" i="25"/>
  <c r="CM170" i="25"/>
  <c r="CM26" i="25"/>
  <c r="CM218" i="25"/>
  <c r="CM226" i="25"/>
  <c r="CM285" i="25"/>
  <c r="CM260" i="25"/>
  <c r="CM243" i="25"/>
  <c r="CM278" i="25"/>
  <c r="CM245" i="25"/>
  <c r="CM233" i="25"/>
  <c r="CM217" i="25"/>
  <c r="CM311" i="25"/>
  <c r="CM259" i="25"/>
  <c r="CM316" i="25"/>
  <c r="CM262" i="25"/>
  <c r="CM263" i="25"/>
  <c r="CM116" i="25"/>
  <c r="CM130" i="25"/>
  <c r="CM113" i="25"/>
  <c r="CM6" i="25"/>
  <c r="CM72" i="25"/>
  <c r="CM56" i="25"/>
  <c r="CM133" i="25"/>
  <c r="CM199" i="25"/>
  <c r="CM171" i="25"/>
  <c r="CM32" i="25"/>
  <c r="CM177" i="25"/>
  <c r="CM209" i="25"/>
  <c r="CM180" i="25"/>
  <c r="CM27" i="25"/>
  <c r="CM87" i="25"/>
  <c r="CM147" i="25"/>
  <c r="CM144" i="25"/>
  <c r="CM123" i="25"/>
  <c r="CM67" i="25"/>
  <c r="CM83" i="25"/>
  <c r="CM101" i="25"/>
  <c r="CM92" i="25"/>
  <c r="CM45" i="25"/>
  <c r="CM13" i="25"/>
  <c r="CM43" i="25"/>
  <c r="CM78" i="25"/>
  <c r="CM114" i="25"/>
  <c r="CM139" i="25"/>
  <c r="CM146" i="25"/>
  <c r="CM294" i="25"/>
  <c r="CM52" i="25"/>
  <c r="CM194" i="25"/>
  <c r="CM81" i="25"/>
  <c r="CM279" i="25"/>
  <c r="CM118" i="25"/>
  <c r="CM53" i="25"/>
  <c r="CM75" i="25"/>
  <c r="CM208" i="25"/>
  <c r="CM186" i="25"/>
  <c r="CM48" i="25"/>
  <c r="CM191" i="25"/>
  <c r="CM293" i="25"/>
  <c r="CM270" i="25"/>
  <c r="CM239" i="25"/>
  <c r="CM300" i="25"/>
  <c r="CM219" i="25"/>
  <c r="CM303" i="25"/>
  <c r="CM282" i="25"/>
  <c r="CM257" i="25"/>
  <c r="CM230" i="25"/>
  <c r="CM312" i="25"/>
  <c r="CM251" i="25"/>
  <c r="CM315" i="25"/>
  <c r="CM249" i="25"/>
  <c r="CM188" i="25"/>
  <c r="CM76" i="25"/>
  <c r="CM197" i="25"/>
  <c r="CM9" i="25"/>
  <c r="CM105" i="25"/>
  <c r="CM117" i="25"/>
  <c r="CM153" i="25"/>
  <c r="CM183" i="25"/>
  <c r="CM70" i="25"/>
  <c r="CM82" i="25"/>
  <c r="CM187" i="25"/>
  <c r="CM206" i="25"/>
  <c r="CM189" i="25"/>
  <c r="CM152" i="25"/>
  <c r="CM192" i="25"/>
  <c r="CM216" i="25"/>
  <c r="CM38" i="25"/>
  <c r="CM157" i="25"/>
  <c r="CM89" i="25"/>
  <c r="CM190" i="25"/>
  <c r="CM103" i="25"/>
  <c r="CM161" i="25"/>
  <c r="CM155" i="25"/>
  <c r="CM88" i="25"/>
  <c r="CM110" i="25"/>
  <c r="CM17" i="25"/>
  <c r="CM271" i="25"/>
  <c r="CM228" i="25"/>
  <c r="CM39" i="25"/>
  <c r="CM163" i="25"/>
  <c r="CM62" i="25"/>
  <c r="CM80" i="25"/>
  <c r="CM172" i="25"/>
  <c r="CM236" i="25"/>
  <c r="CM304" i="25"/>
  <c r="CM225" i="25"/>
  <c r="CM121" i="25"/>
  <c r="CM166" i="25"/>
  <c r="CM16" i="25"/>
  <c r="CM250" i="25"/>
  <c r="CM229" i="25"/>
  <c r="CM246" i="25"/>
  <c r="CM252" i="25"/>
  <c r="CM292" i="25"/>
  <c r="CM264" i="25"/>
  <c r="CM222" i="25"/>
  <c r="CM310" i="25"/>
  <c r="CM242" i="25"/>
  <c r="CM268" i="25"/>
  <c r="CM253" i="25"/>
  <c r="CM281" i="25"/>
  <c r="CM287" i="25"/>
  <c r="CM86" i="25"/>
  <c r="CM55" i="25"/>
  <c r="CM8" i="25"/>
  <c r="CM176" i="25"/>
  <c r="CM128" i="25"/>
  <c r="CM12" i="25"/>
  <c r="CM14" i="25"/>
  <c r="CM18" i="25"/>
  <c r="CM23" i="25"/>
  <c r="CM173" i="25"/>
  <c r="CM143" i="25"/>
  <c r="CM94" i="25"/>
  <c r="CM21" i="25"/>
  <c r="CM60" i="25"/>
  <c r="CM131" i="25"/>
  <c r="CM156" i="25"/>
  <c r="CM145" i="25"/>
  <c r="CM41" i="25"/>
  <c r="CM126" i="25"/>
  <c r="CM248" i="25"/>
  <c r="CM93" i="25"/>
  <c r="CM204" i="25"/>
  <c r="CM29" i="25"/>
  <c r="CM104" i="25"/>
  <c r="CM205" i="25"/>
  <c r="CM142" i="25"/>
  <c r="CM185" i="25"/>
  <c r="CM244" i="25"/>
  <c r="CM238" i="25"/>
  <c r="CM241" i="25"/>
  <c r="CM148" i="25"/>
  <c r="CM125" i="25"/>
  <c r="CM115" i="25"/>
  <c r="CM28" i="25"/>
  <c r="CM36" i="25"/>
  <c r="CM181" i="25"/>
  <c r="CM132" i="25"/>
  <c r="CM136" i="25"/>
  <c r="CM74" i="25"/>
  <c r="CM79" i="25"/>
  <c r="CM96" i="25"/>
  <c r="CM299" i="25"/>
  <c r="CM99" i="25"/>
  <c r="CM49" i="25"/>
  <c r="CM46" i="25"/>
  <c r="CM291" i="25"/>
  <c r="CM283" i="25"/>
  <c r="CM280" i="25"/>
  <c r="CM296" i="25"/>
  <c r="CM289" i="25"/>
  <c r="CM227" i="25"/>
  <c r="CM274" i="25"/>
  <c r="CM254" i="25"/>
  <c r="CM302" i="25"/>
  <c r="CM277" i="25"/>
  <c r="CM272" i="25"/>
  <c r="CM237" i="25"/>
  <c r="CM90" i="25"/>
  <c r="CM111" i="25"/>
  <c r="CM195" i="25"/>
  <c r="CM65" i="25"/>
  <c r="CM84" i="25"/>
  <c r="CM203" i="25"/>
  <c r="CM178" i="25"/>
  <c r="CM68" i="25"/>
  <c r="CM196" i="25"/>
  <c r="CM164" i="25"/>
  <c r="CM124" i="25"/>
  <c r="CM69" i="25"/>
  <c r="CM193" i="25"/>
  <c r="CM182" i="25"/>
  <c r="CM95" i="25"/>
  <c r="CM61" i="25"/>
  <c r="CM57" i="25"/>
  <c r="CM58" i="25"/>
  <c r="CM73" i="25"/>
  <c r="CM54" i="25"/>
  <c r="CM210" i="25"/>
  <c r="CM98" i="25"/>
  <c r="CM232" i="25"/>
  <c r="CM313" i="25"/>
  <c r="CM165" i="25"/>
  <c r="CM44" i="25"/>
  <c r="CM40" i="25"/>
  <c r="CM265" i="25"/>
  <c r="CM234" i="25"/>
  <c r="CM295" i="25"/>
  <c r="CM258" i="25"/>
  <c r="CM231" i="25"/>
  <c r="CM275" i="25"/>
  <c r="CM256" i="25"/>
  <c r="CM224" i="25"/>
  <c r="CM247" i="25"/>
  <c r="CM235" i="25"/>
  <c r="CM255" i="25"/>
  <c r="CM288" i="25"/>
  <c r="CM149" i="25"/>
  <c r="CM167" i="25"/>
  <c r="CM100" i="25"/>
  <c r="CM20" i="25"/>
  <c r="CM42" i="25"/>
  <c r="CM174" i="25"/>
  <c r="CM10" i="25"/>
  <c r="CM63" i="25"/>
  <c r="CM169" i="25"/>
  <c r="CM138" i="25"/>
  <c r="CM59" i="25"/>
  <c r="CM134" i="25"/>
  <c r="CM184" i="25"/>
  <c r="CM91" i="25"/>
  <c r="CM200" i="25"/>
  <c r="CM168" i="25"/>
  <c r="CM127" i="25"/>
  <c r="CM47" i="25"/>
  <c r="CM37" i="25"/>
  <c r="CM141" i="25"/>
  <c r="CM31" i="25"/>
  <c r="CM119" i="25"/>
  <c r="CM137" i="25"/>
  <c r="CM201" i="25"/>
  <c r="CM64" i="25"/>
  <c r="CM150" i="25"/>
  <c r="CM154" i="25"/>
  <c r="CM207" i="25"/>
  <c r="CM51" i="25"/>
  <c r="CM120" i="25"/>
  <c r="CM276" i="25"/>
  <c r="CM308" i="25"/>
  <c r="CM297" i="25"/>
  <c r="CM266" i="25"/>
  <c r="CM314" i="25"/>
  <c r="CM221" i="25"/>
  <c r="CM122" i="25"/>
  <c r="CM15" i="25"/>
  <c r="CM129" i="25"/>
  <c r="CM267" i="25"/>
  <c r="CM306" i="25"/>
  <c r="CM290" i="25"/>
  <c r="CM33" i="25"/>
  <c r="CM50" i="25"/>
  <c r="CM179" i="25"/>
  <c r="CM19" i="25"/>
  <c r="CM22" i="25"/>
  <c r="CM175" i="25"/>
  <c r="CM24" i="25"/>
  <c r="I5" i="25"/>
  <c r="B57" i="2"/>
  <c r="D229" i="2" s="1"/>
  <c r="B19" i="2"/>
  <c r="BP6" i="19"/>
  <c r="BQ6" i="19"/>
  <c r="BU6" i="19"/>
  <c r="CA6" i="19" s="1"/>
  <c r="BV6" i="19"/>
  <c r="CB6" i="19" s="1"/>
  <c r="BW6" i="19"/>
  <c r="CC6" i="19" s="1"/>
  <c r="BP7" i="19"/>
  <c r="BQ7" i="19"/>
  <c r="BU7" i="19"/>
  <c r="BV7" i="19"/>
  <c r="CB7" i="19" s="1"/>
  <c r="BW7" i="19"/>
  <c r="CA7" i="19"/>
  <c r="CC7" i="19"/>
  <c r="BP8" i="19"/>
  <c r="BQ8" i="19"/>
  <c r="BU8" i="19"/>
  <c r="BV8" i="19"/>
  <c r="CB8" i="19" s="1"/>
  <c r="BW8" i="19"/>
  <c r="CA8" i="19"/>
  <c r="CC8" i="19"/>
  <c r="BP9" i="19"/>
  <c r="BQ9" i="19"/>
  <c r="BU9" i="19"/>
  <c r="BV9" i="19"/>
  <c r="CB9" i="19" s="1"/>
  <c r="BW9" i="19"/>
  <c r="CA9" i="19"/>
  <c r="CC9" i="19"/>
  <c r="D24" i="2"/>
  <c r="A24" i="2"/>
  <c r="AL216" i="25"/>
  <c r="AL110" i="25"/>
  <c r="AL5" i="25"/>
  <c r="K13" i="1"/>
  <c r="K9" i="1"/>
  <c r="B281" i="2" l="1"/>
  <c r="R30" i="2"/>
  <c r="R29" i="2"/>
  <c r="R28" i="2"/>
  <c r="B123" i="2" l="1"/>
  <c r="C33" i="16"/>
  <c r="B87" i="2"/>
  <c r="B92" i="2" l="1"/>
  <c r="K36" i="1"/>
  <c r="K33" i="1"/>
  <c r="D10" i="1"/>
  <c r="D11" i="1"/>
  <c r="D36" i="1"/>
  <c r="D33" i="1"/>
  <c r="D49" i="1"/>
  <c r="B181" i="2" l="1"/>
  <c r="ER212" i="25" s="1"/>
  <c r="BN5" i="25" l="1"/>
  <c r="BM110" i="25"/>
  <c r="BM216" i="25"/>
  <c r="ER237" i="25"/>
  <c r="ER270" i="25"/>
  <c r="ER261" i="25"/>
  <c r="ER246" i="25"/>
  <c r="ER274" i="25"/>
  <c r="ER300" i="25"/>
  <c r="ER219" i="25"/>
  <c r="ER304" i="25"/>
  <c r="ER297" i="25"/>
  <c r="ER224" i="25"/>
  <c r="ER247" i="25"/>
  <c r="ER235" i="25"/>
  <c r="ER238" i="25"/>
  <c r="ER303" i="25"/>
  <c r="ER255" i="25"/>
  <c r="ER288" i="25"/>
  <c r="ER229" i="25"/>
  <c r="ER276" i="25"/>
  <c r="ER294" i="25"/>
  <c r="ER248" i="25"/>
  <c r="ER252" i="25"/>
  <c r="ER292" i="25"/>
  <c r="ER227" i="25"/>
  <c r="ER240" i="25"/>
  <c r="ER284" i="25"/>
  <c r="ER220" i="25"/>
  <c r="ER286" i="25"/>
  <c r="ER298" i="25"/>
  <c r="ER233" i="25"/>
  <c r="ER223" i="25"/>
  <c r="ER269" i="25"/>
  <c r="ER293" i="25"/>
  <c r="ER236" i="25"/>
  <c r="ER267" i="25"/>
  <c r="ER256" i="25"/>
  <c r="ER271" i="25"/>
  <c r="ER231" i="25"/>
  <c r="ER216" i="25"/>
  <c r="EU216" i="25" s="1"/>
  <c r="ER217" i="25"/>
  <c r="ER311" i="25"/>
  <c r="ER259" i="25"/>
  <c r="ER316" i="25"/>
  <c r="ER262" i="25"/>
  <c r="ER263" i="25"/>
  <c r="ER250" i="25"/>
  <c r="ER283" i="25"/>
  <c r="ER280" i="25"/>
  <c r="ER299" i="25"/>
  <c r="ER279" i="25"/>
  <c r="ER307" i="25"/>
  <c r="ER275" i="25"/>
  <c r="ER257" i="25"/>
  <c r="ER230" i="25"/>
  <c r="ER312" i="25"/>
  <c r="ER251" i="25"/>
  <c r="ER281" i="25"/>
  <c r="ER314" i="25"/>
  <c r="ER315" i="25"/>
  <c r="ER249" i="25"/>
  <c r="ER232" i="25"/>
  <c r="ER234" i="25"/>
  <c r="ER285" i="25"/>
  <c r="ER272" i="25"/>
  <c r="ER296" i="25"/>
  <c r="ER245" i="25"/>
  <c r="ER309" i="25"/>
  <c r="ER310" i="25"/>
  <c r="ER242" i="25"/>
  <c r="ER268" i="25"/>
  <c r="ER253" i="25"/>
  <c r="ER287" i="25"/>
  <c r="ER266" i="25"/>
  <c r="ER221" i="25"/>
  <c r="ER273" i="25"/>
  <c r="ER291" i="25"/>
  <c r="ER260" i="25"/>
  <c r="ER295" i="25"/>
  <c r="ER305" i="25"/>
  <c r="ER301" i="25"/>
  <c r="ER264" i="25"/>
  <c r="ER282" i="25"/>
  <c r="ER306" i="25"/>
  <c r="ER225" i="25"/>
  <c r="ER313" i="25"/>
  <c r="ER244" i="25"/>
  <c r="ER218" i="25"/>
  <c r="ER290" i="25"/>
  <c r="ER226" i="25"/>
  <c r="ER265" i="25"/>
  <c r="ER239" i="25"/>
  <c r="ER241" i="25"/>
  <c r="ER243" i="25"/>
  <c r="ER278" i="25"/>
  <c r="ER308" i="25"/>
  <c r="ER222" i="25"/>
  <c r="ER254" i="25"/>
  <c r="ER302" i="25"/>
  <c r="ER277" i="25"/>
  <c r="ER289" i="25"/>
  <c r="ER258" i="25"/>
  <c r="ER228" i="25"/>
  <c r="ER5" i="25"/>
  <c r="ER73" i="25"/>
  <c r="ER162" i="25"/>
  <c r="ER10" i="25"/>
  <c r="ER194" i="25"/>
  <c r="ER100" i="25"/>
  <c r="ER42" i="25"/>
  <c r="ER65" i="25"/>
  <c r="ER203" i="25"/>
  <c r="ER68" i="25"/>
  <c r="ER164" i="25"/>
  <c r="ER63" i="25"/>
  <c r="ER180" i="25"/>
  <c r="ER27" i="25"/>
  <c r="ER147" i="25"/>
  <c r="ER205" i="25"/>
  <c r="ER80" i="25"/>
  <c r="ER37" i="25"/>
  <c r="ER190" i="25"/>
  <c r="ER93" i="25"/>
  <c r="ER15" i="25"/>
  <c r="ER58" i="25"/>
  <c r="ER175" i="25"/>
  <c r="ER26" i="25"/>
  <c r="ER78" i="25"/>
  <c r="ER110" i="25"/>
  <c r="EU110" i="25" s="1"/>
  <c r="ER16" i="25"/>
  <c r="ER43" i="25"/>
  <c r="ER82" i="25"/>
  <c r="ER111" i="25"/>
  <c r="ER94" i="25"/>
  <c r="ER158" i="25"/>
  <c r="ER159" i="25"/>
  <c r="ER113" i="25"/>
  <c r="ER56" i="25"/>
  <c r="ER133" i="25"/>
  <c r="ER85" i="25"/>
  <c r="ER7" i="25"/>
  <c r="ER131" i="25"/>
  <c r="ER156" i="25"/>
  <c r="ER59" i="25"/>
  <c r="ER182" i="25"/>
  <c r="ER31" i="25"/>
  <c r="ER123" i="25"/>
  <c r="ER47" i="25"/>
  <c r="ER38" i="25"/>
  <c r="ER84" i="25"/>
  <c r="ER198" i="25"/>
  <c r="ER150" i="25"/>
  <c r="ER155" i="25"/>
  <c r="ER210" i="25"/>
  <c r="ER185" i="25"/>
  <c r="ER169" i="25"/>
  <c r="ER18" i="25"/>
  <c r="ER189" i="25"/>
  <c r="ER86" i="25"/>
  <c r="ER176" i="25"/>
  <c r="ER12" i="25"/>
  <c r="ER197" i="25"/>
  <c r="ER105" i="25"/>
  <c r="ER173" i="25"/>
  <c r="ER183" i="25"/>
  <c r="ER44" i="25"/>
  <c r="ER29" i="25"/>
  <c r="ER208" i="25"/>
  <c r="ER34" i="25"/>
  <c r="ER35" i="25"/>
  <c r="ER160" i="25"/>
  <c r="ER41" i="25"/>
  <c r="ER171" i="25"/>
  <c r="ER166" i="25"/>
  <c r="ER70" i="25"/>
  <c r="ER14" i="25"/>
  <c r="ER13" i="25"/>
  <c r="ER52" i="25"/>
  <c r="ER55" i="25"/>
  <c r="ER116" i="25"/>
  <c r="ER19" i="25"/>
  <c r="ER99" i="25"/>
  <c r="ER122" i="25"/>
  <c r="ER118" i="25"/>
  <c r="ER165" i="25"/>
  <c r="ER53" i="25"/>
  <c r="ER79" i="25"/>
  <c r="ER134" i="25"/>
  <c r="ER91" i="25"/>
  <c r="ER168" i="25"/>
  <c r="ER21" i="25"/>
  <c r="ER152" i="25"/>
  <c r="ER181" i="25"/>
  <c r="ER61" i="25"/>
  <c r="ER6" i="25"/>
  <c r="ER137" i="25"/>
  <c r="ER149" i="25"/>
  <c r="ER49" i="25"/>
  <c r="ER96" i="25"/>
  <c r="ER154" i="25"/>
  <c r="ER174" i="25"/>
  <c r="ER125" i="25"/>
  <c r="ER72" i="25"/>
  <c r="ER167" i="25"/>
  <c r="ER20" i="25"/>
  <c r="ER195" i="25"/>
  <c r="ER8" i="25"/>
  <c r="ER178" i="25"/>
  <c r="ER196" i="25"/>
  <c r="ER124" i="25"/>
  <c r="ER209" i="25"/>
  <c r="ER135" i="25"/>
  <c r="ER87" i="25"/>
  <c r="ER36" i="25"/>
  <c r="ER40" i="25"/>
  <c r="ER119" i="25"/>
  <c r="ER145" i="25"/>
  <c r="ER45" i="25"/>
  <c r="ER92" i="25"/>
  <c r="ER28" i="25"/>
  <c r="ER103" i="25"/>
  <c r="ER161" i="25"/>
  <c r="ER30" i="25"/>
  <c r="ER114" i="25"/>
  <c r="ER17" i="25"/>
  <c r="ER51" i="25"/>
  <c r="ER32" i="25"/>
  <c r="ER148" i="25"/>
  <c r="ER177" i="25"/>
  <c r="ER102" i="25"/>
  <c r="ER66" i="25"/>
  <c r="ER130" i="25"/>
  <c r="ER39" i="25"/>
  <c r="ER71" i="25"/>
  <c r="ER25" i="25"/>
  <c r="ER199" i="25"/>
  <c r="ER60" i="25"/>
  <c r="ER187" i="25"/>
  <c r="ER206" i="25"/>
  <c r="ER141" i="25"/>
  <c r="ER95" i="25"/>
  <c r="ER83" i="25"/>
  <c r="ER11" i="25"/>
  <c r="ER101" i="25"/>
  <c r="ER157" i="25"/>
  <c r="ER77" i="25"/>
  <c r="ER144" i="25"/>
  <c r="ER46" i="25"/>
  <c r="ER88" i="25"/>
  <c r="ER146" i="25"/>
  <c r="ER98" i="25"/>
  <c r="ER74" i="25"/>
  <c r="ER170" i="25"/>
  <c r="ER90" i="25"/>
  <c r="ER33" i="25"/>
  <c r="ER23" i="25"/>
  <c r="ER188" i="25"/>
  <c r="ER128" i="25"/>
  <c r="ER76" i="25"/>
  <c r="ER9" i="25"/>
  <c r="ER117" i="25"/>
  <c r="ER153" i="25"/>
  <c r="ER143" i="25"/>
  <c r="ER115" i="25"/>
  <c r="ER62" i="25"/>
  <c r="ER81" i="25"/>
  <c r="ER67" i="25"/>
  <c r="ER140" i="25"/>
  <c r="ER139" i="25"/>
  <c r="ER69" i="25"/>
  <c r="ER142" i="25"/>
  <c r="ER186" i="25"/>
  <c r="ER132" i="25"/>
  <c r="ER97" i="25"/>
  <c r="ER201" i="25"/>
  <c r="ER136" i="25"/>
  <c r="ER24" i="25"/>
  <c r="ER191" i="25"/>
  <c r="ER112" i="25"/>
  <c r="ER151" i="25"/>
  <c r="ER138" i="25"/>
  <c r="ER104" i="25"/>
  <c r="ER50" i="25"/>
  <c r="ER163" i="25"/>
  <c r="ER179" i="25"/>
  <c r="ER121" i="25"/>
  <c r="ER22" i="25"/>
  <c r="ER204" i="25"/>
  <c r="ER75" i="25"/>
  <c r="ER184" i="25"/>
  <c r="ER200" i="25"/>
  <c r="ER127" i="25"/>
  <c r="ER126" i="25"/>
  <c r="ER192" i="25"/>
  <c r="ER172" i="25"/>
  <c r="ER129" i="25"/>
  <c r="ER202" i="25"/>
  <c r="ER57" i="25"/>
  <c r="ER193" i="25"/>
  <c r="ER89" i="25"/>
  <c r="ER64" i="25"/>
  <c r="ER207" i="25"/>
  <c r="ER120" i="25"/>
  <c r="ER54" i="25"/>
  <c r="ER48" i="25"/>
  <c r="BO5" i="24"/>
  <c r="EQ5" i="25"/>
  <c r="ES5" i="24"/>
  <c r="EV5" i="24" s="1"/>
  <c r="BM5" i="25"/>
  <c r="I62" i="2"/>
  <c r="B279" i="2"/>
  <c r="B12" i="2"/>
  <c r="CC216" i="25" l="1"/>
  <c r="FG216" i="25"/>
  <c r="EU5" i="25"/>
  <c r="FG110" i="25"/>
  <c r="CJ7" i="25"/>
  <c r="CJ6" i="25"/>
  <c r="CC110" i="25"/>
  <c r="B264" i="2"/>
  <c r="EQ6" i="25" l="1"/>
  <c r="EU6" i="25" s="1"/>
  <c r="DP6" i="25"/>
  <c r="FG6" i="25"/>
  <c r="EQ7" i="25"/>
  <c r="EU7" i="25" s="1"/>
  <c r="DP7" i="25"/>
  <c r="FG7" i="25"/>
  <c r="B228" i="2"/>
  <c r="A226" i="2"/>
  <c r="B58" i="2"/>
  <c r="D225" i="2" l="1"/>
  <c r="A225" i="2"/>
  <c r="D224" i="2" l="1"/>
  <c r="D280" i="2"/>
  <c r="C243" i="2"/>
  <c r="C252" i="2"/>
  <c r="D252" i="2"/>
  <c r="B48" i="19"/>
  <c r="B31" i="2" l="1"/>
  <c r="B20" i="2"/>
  <c r="B21" i="2"/>
  <c r="B24" i="2"/>
  <c r="C229" i="2"/>
  <c r="C58" i="2"/>
  <c r="B86" i="2"/>
  <c r="B91" i="2" l="1"/>
  <c r="B119" i="2"/>
  <c r="B64" i="2"/>
  <c r="C64" i="2"/>
  <c r="B280" i="2"/>
  <c r="C228" i="2"/>
  <c r="F228" i="2"/>
  <c r="D228" i="2"/>
  <c r="B225" i="2"/>
  <c r="B226" i="2"/>
  <c r="B140" i="2"/>
  <c r="B136" i="2"/>
  <c r="B236" i="2" s="1"/>
  <c r="B113" i="2"/>
  <c r="B111" i="2"/>
  <c r="C32" i="16" s="1"/>
  <c r="D45" i="1"/>
  <c r="AM5" i="24"/>
  <c r="AM216" i="24"/>
  <c r="AM110" i="24"/>
  <c r="B231" i="2" l="1"/>
  <c r="B232" i="2"/>
  <c r="B234" i="2"/>
  <c r="C31" i="16"/>
  <c r="D21" i="19"/>
  <c r="D36" i="19"/>
  <c r="F12" i="19"/>
  <c r="D38" i="19"/>
  <c r="D35" i="19"/>
  <c r="B47" i="2"/>
  <c r="C47" i="16" s="1"/>
  <c r="D47" i="16" s="1"/>
  <c r="B33" i="19"/>
  <c r="F62" i="2"/>
  <c r="F56" i="2"/>
  <c r="D42" i="1"/>
  <c r="G253" i="2"/>
  <c r="C248" i="2"/>
  <c r="C249" i="2"/>
  <c r="A257" i="2"/>
  <c r="G57" i="2"/>
  <c r="A215" i="2"/>
  <c r="C261" i="2"/>
  <c r="E18" i="1" l="1"/>
  <c r="CY2" i="24"/>
  <c r="D77" i="2"/>
  <c r="U2" i="24"/>
  <c r="B178" i="2"/>
  <c r="I10" i="8"/>
  <c r="B163" i="2"/>
  <c r="B160" i="2"/>
  <c r="B182" i="2" l="1"/>
  <c r="I9" i="8" s="1"/>
  <c r="B62" i="2"/>
  <c r="K50" i="2"/>
  <c r="K34" i="16" l="1"/>
  <c r="J34" i="16"/>
  <c r="K49" i="16"/>
  <c r="K48" i="16"/>
  <c r="J49" i="16"/>
  <c r="J48" i="16"/>
  <c r="I49" i="16" l="1"/>
  <c r="I48" i="16"/>
  <c r="H49" i="16"/>
  <c r="H48" i="16"/>
  <c r="J46" i="16"/>
  <c r="K32" i="16"/>
  <c r="J32" i="16"/>
  <c r="K31" i="16"/>
  <c r="J31" i="16" l="1"/>
  <c r="T67" i="2"/>
  <c r="R69" i="2"/>
  <c r="B11" i="2" l="1"/>
  <c r="B26" i="19"/>
  <c r="D26" i="19" s="1"/>
  <c r="D20" i="19"/>
  <c r="B27" i="19"/>
  <c r="D27" i="19" s="1"/>
  <c r="B8" i="2"/>
  <c r="B85" i="2"/>
  <c r="B80" i="2"/>
  <c r="B139" i="2"/>
  <c r="BP106" i="19"/>
  <c r="D46" i="19"/>
  <c r="A34" i="16"/>
  <c r="A49" i="16"/>
  <c r="A48" i="16"/>
  <c r="C262" i="2"/>
  <c r="B277" i="2"/>
  <c r="B252" i="2"/>
  <c r="B248" i="2"/>
  <c r="J56" i="2"/>
  <c r="C245" i="2"/>
  <c r="B245" i="2"/>
  <c r="B32" i="19"/>
  <c r="D32" i="19" s="1"/>
  <c r="B31" i="19"/>
  <c r="D31" i="19" s="1"/>
  <c r="B30" i="19"/>
  <c r="D30" i="19" s="1"/>
  <c r="B8" i="19"/>
  <c r="D8" i="19" s="1"/>
  <c r="F91" i="19"/>
  <c r="F90" i="19"/>
  <c r="F89" i="19"/>
  <c r="D53" i="19"/>
  <c r="D52" i="19"/>
  <c r="D51" i="19"/>
  <c r="D50" i="19"/>
  <c r="D48" i="19"/>
  <c r="D45" i="19"/>
  <c r="D44" i="19"/>
  <c r="D41" i="19"/>
  <c r="D39" i="19"/>
  <c r="D33" i="19"/>
  <c r="D29" i="19"/>
  <c r="D23" i="19"/>
  <c r="D22" i="19"/>
  <c r="D13" i="19"/>
  <c r="B197" i="2" s="1"/>
  <c r="D12" i="19"/>
  <c r="A31" i="16"/>
  <c r="B230" i="2"/>
  <c r="A229" i="2"/>
  <c r="B9" i="2"/>
  <c r="I6" i="8"/>
  <c r="J6" i="8" s="1"/>
  <c r="D46" i="16"/>
  <c r="B162" i="2"/>
  <c r="B165" i="2" s="1"/>
  <c r="B157" i="2"/>
  <c r="B215" i="2"/>
  <c r="B229" i="2"/>
  <c r="B7" i="2"/>
  <c r="B148" i="2"/>
  <c r="B150" i="2" s="1"/>
  <c r="B192" i="2"/>
  <c r="BB1" i="24" s="1"/>
  <c r="A34" i="8"/>
  <c r="A35" i="8"/>
  <c r="A36" i="8"/>
  <c r="A37" i="8"/>
  <c r="A38" i="8"/>
  <c r="A50" i="8" s="1"/>
  <c r="A62" i="8" s="1"/>
  <c r="A74" i="8" s="1"/>
  <c r="A86" i="8" s="1"/>
  <c r="A98" i="8" s="1"/>
  <c r="A110" i="8" s="1"/>
  <c r="A122" i="8" s="1"/>
  <c r="A134" i="8" s="1"/>
  <c r="A146" i="8" s="1"/>
  <c r="A158" i="8" s="1"/>
  <c r="A39" i="8"/>
  <c r="A51" i="8" s="1"/>
  <c r="A63" i="8" s="1"/>
  <c r="A75" i="8" s="1"/>
  <c r="A87" i="8" s="1"/>
  <c r="A99" i="8" s="1"/>
  <c r="A111" i="8" s="1"/>
  <c r="A123" i="8" s="1"/>
  <c r="A135" i="8" s="1"/>
  <c r="A147" i="8" s="1"/>
  <c r="A159" i="8" s="1"/>
  <c r="A40" i="8"/>
  <c r="A52" i="8" s="1"/>
  <c r="A64" i="8" s="1"/>
  <c r="A76" i="8" s="1"/>
  <c r="A88" i="8" s="1"/>
  <c r="A100" i="8" s="1"/>
  <c r="A112" i="8" s="1"/>
  <c r="A124" i="8" s="1"/>
  <c r="A136" i="8" s="1"/>
  <c r="A148" i="8" s="1"/>
  <c r="A41" i="8"/>
  <c r="A53" i="8" s="1"/>
  <c r="A65" i="8" s="1"/>
  <c r="A77" i="8" s="1"/>
  <c r="A89" i="8" s="1"/>
  <c r="A101" i="8" s="1"/>
  <c r="A113" i="8" s="1"/>
  <c r="A125" i="8" s="1"/>
  <c r="A137" i="8" s="1"/>
  <c r="A149" i="8" s="1"/>
  <c r="A42" i="8"/>
  <c r="A43" i="8"/>
  <c r="A44" i="8"/>
  <c r="A45" i="8"/>
  <c r="A46" i="8"/>
  <c r="A58" i="8" s="1"/>
  <c r="A70" i="8" s="1"/>
  <c r="A82" i="8" s="1"/>
  <c r="A94" i="8" s="1"/>
  <c r="A106" i="8" s="1"/>
  <c r="A118" i="8" s="1"/>
  <c r="A130" i="8" s="1"/>
  <c r="A142" i="8" s="1"/>
  <c r="A154" i="8" s="1"/>
  <c r="A47" i="8"/>
  <c r="A48" i="8"/>
  <c r="A60" i="8" s="1"/>
  <c r="A72" i="8" s="1"/>
  <c r="A84" i="8" s="1"/>
  <c r="A96" i="8" s="1"/>
  <c r="A108" i="8" s="1"/>
  <c r="A120" i="8" s="1"/>
  <c r="A132" i="8" s="1"/>
  <c r="A144" i="8" s="1"/>
  <c r="A156" i="8" s="1"/>
  <c r="A49" i="8"/>
  <c r="A54" i="8"/>
  <c r="A66" i="8" s="1"/>
  <c r="A78" i="8" s="1"/>
  <c r="A90" i="8" s="1"/>
  <c r="A102" i="8" s="1"/>
  <c r="A114" i="8" s="1"/>
  <c r="A126" i="8" s="1"/>
  <c r="A138" i="8" s="1"/>
  <c r="A150" i="8" s="1"/>
  <c r="A55" i="8"/>
  <c r="A56" i="8"/>
  <c r="A68" i="8" s="1"/>
  <c r="A80" i="8" s="1"/>
  <c r="A92" i="8" s="1"/>
  <c r="A104" i="8" s="1"/>
  <c r="A116" i="8" s="1"/>
  <c r="A128" i="8" s="1"/>
  <c r="A140" i="8" s="1"/>
  <c r="A152" i="8" s="1"/>
  <c r="A57" i="8"/>
  <c r="A69" i="8" s="1"/>
  <c r="A81" i="8" s="1"/>
  <c r="A93" i="8" s="1"/>
  <c r="A105" i="8" s="1"/>
  <c r="A117" i="8" s="1"/>
  <c r="A129" i="8" s="1"/>
  <c r="A141" i="8" s="1"/>
  <c r="A153" i="8" s="1"/>
  <c r="A59" i="8"/>
  <c r="A71" i="8" s="1"/>
  <c r="A83" i="8" s="1"/>
  <c r="A95" i="8" s="1"/>
  <c r="A107" i="8" s="1"/>
  <c r="A119" i="8" s="1"/>
  <c r="A131" i="8" s="1"/>
  <c r="A143" i="8" s="1"/>
  <c r="A155" i="8" s="1"/>
  <c r="A61" i="8"/>
  <c r="A73" i="8" s="1"/>
  <c r="A85" i="8" s="1"/>
  <c r="A97" i="8" s="1"/>
  <c r="A109" i="8" s="1"/>
  <c r="A121" i="8" s="1"/>
  <c r="A133" i="8" s="1"/>
  <c r="A145" i="8" s="1"/>
  <c r="A157" i="8" s="1"/>
  <c r="A67" i="8"/>
  <c r="A79" i="8" s="1"/>
  <c r="A91" i="8" s="1"/>
  <c r="A103" i="8" s="1"/>
  <c r="A115" i="8" s="1"/>
  <c r="A127" i="8" s="1"/>
  <c r="A139" i="8" s="1"/>
  <c r="A151" i="8" s="1"/>
  <c r="E3" i="8"/>
  <c r="A224" i="2"/>
  <c r="B224" i="2"/>
  <c r="I14" i="8"/>
  <c r="J13" i="8"/>
  <c r="J7" i="8"/>
  <c r="J14" i="8"/>
  <c r="B95" i="2" l="1"/>
  <c r="L29" i="1"/>
  <c r="B72" i="2"/>
  <c r="CN212" i="25"/>
  <c r="CR212" i="25" s="1"/>
  <c r="CM212" i="24"/>
  <c r="EO212" i="24" s="1"/>
  <c r="L88" i="2"/>
  <c r="G325" i="25"/>
  <c r="G325" i="24"/>
  <c r="N325" i="25"/>
  <c r="E68" i="1"/>
  <c r="E70" i="1" s="1"/>
  <c r="G322" i="25"/>
  <c r="G322" i="24"/>
  <c r="I325" i="24"/>
  <c r="I325" i="25"/>
  <c r="P325" i="25"/>
  <c r="E26" i="1"/>
  <c r="CN112" i="25"/>
  <c r="CP112" i="25" s="1"/>
  <c r="CP12" i="25"/>
  <c r="CP20" i="25"/>
  <c r="CP28" i="25"/>
  <c r="CP36" i="25"/>
  <c r="CP44" i="25"/>
  <c r="CP52" i="25"/>
  <c r="CP60" i="25"/>
  <c r="CP68" i="25"/>
  <c r="CP76" i="25"/>
  <c r="CP84" i="25"/>
  <c r="CP92" i="25"/>
  <c r="CP100" i="25"/>
  <c r="CP19" i="25"/>
  <c r="CP75" i="25"/>
  <c r="CP13" i="25"/>
  <c r="CP21" i="25"/>
  <c r="CP29" i="25"/>
  <c r="CP37" i="25"/>
  <c r="CP45" i="25"/>
  <c r="CP53" i="25"/>
  <c r="CP61" i="25"/>
  <c r="CP69" i="25"/>
  <c r="CP77" i="25"/>
  <c r="CP85" i="25"/>
  <c r="CP93" i="25"/>
  <c r="CP101" i="25"/>
  <c r="CP11" i="25"/>
  <c r="CP59" i="25"/>
  <c r="CP5" i="25"/>
  <c r="CP6" i="25"/>
  <c r="CP14" i="25"/>
  <c r="CP22" i="25"/>
  <c r="CP30" i="25"/>
  <c r="CP38" i="25"/>
  <c r="CP46" i="25"/>
  <c r="CP54" i="25"/>
  <c r="CP62" i="25"/>
  <c r="CP70" i="25"/>
  <c r="CP78" i="25"/>
  <c r="CP86" i="25"/>
  <c r="CP94" i="25"/>
  <c r="CP102" i="25"/>
  <c r="CP35" i="25"/>
  <c r="CP83" i="25"/>
  <c r="CP7" i="25"/>
  <c r="CP15" i="25"/>
  <c r="CP23" i="25"/>
  <c r="CP31" i="25"/>
  <c r="CP39" i="25"/>
  <c r="CP47" i="25"/>
  <c r="CP55" i="25"/>
  <c r="CP63" i="25"/>
  <c r="CP71" i="25"/>
  <c r="CP79" i="25"/>
  <c r="CP87" i="25"/>
  <c r="CP95" i="25"/>
  <c r="CP103" i="25"/>
  <c r="CP51" i="25"/>
  <c r="CP8" i="25"/>
  <c r="CP16" i="25"/>
  <c r="CP24" i="25"/>
  <c r="CP32" i="25"/>
  <c r="CP40" i="25"/>
  <c r="CP48" i="25"/>
  <c r="CP56" i="25"/>
  <c r="CP64" i="25"/>
  <c r="CP72" i="25"/>
  <c r="CP80" i="25"/>
  <c r="CP88" i="25"/>
  <c r="CP96" i="25"/>
  <c r="CP104" i="25"/>
  <c r="CP43" i="25"/>
  <c r="CP99" i="25"/>
  <c r="CP9" i="25"/>
  <c r="CP17" i="25"/>
  <c r="CP25" i="25"/>
  <c r="CP33" i="25"/>
  <c r="CP41" i="25"/>
  <c r="CP49" i="25"/>
  <c r="CP57" i="25"/>
  <c r="CP65" i="25"/>
  <c r="CP73" i="25"/>
  <c r="CP81" i="25"/>
  <c r="CP89" i="25"/>
  <c r="CP97" i="25"/>
  <c r="CP105" i="25"/>
  <c r="CP27" i="25"/>
  <c r="CP91" i="25"/>
  <c r="CP10" i="25"/>
  <c r="CP18" i="25"/>
  <c r="CP26" i="25"/>
  <c r="CP34" i="25"/>
  <c r="CP42" i="25"/>
  <c r="CP50" i="25"/>
  <c r="CP58" i="25"/>
  <c r="CP66" i="25"/>
  <c r="CP74" i="25"/>
  <c r="CP82" i="25"/>
  <c r="CP90" i="25"/>
  <c r="CP98" i="25"/>
  <c r="CR5" i="25"/>
  <c r="CP67" i="25"/>
  <c r="R49" i="2"/>
  <c r="B76" i="2"/>
  <c r="B99" i="2"/>
  <c r="B69" i="2"/>
  <c r="CQ2" i="24"/>
  <c r="CW5" i="24"/>
  <c r="CX5" i="24" s="1"/>
  <c r="FL106" i="24"/>
  <c r="FL107" i="24"/>
  <c r="FL108" i="24"/>
  <c r="Y13" i="2"/>
  <c r="B82" i="2"/>
  <c r="CN207" i="25"/>
  <c r="EM207" i="25" s="1"/>
  <c r="CN203" i="25"/>
  <c r="EM203" i="25" s="1"/>
  <c r="CN199" i="25"/>
  <c r="EM199" i="25" s="1"/>
  <c r="CN195" i="25"/>
  <c r="EM195" i="25" s="1"/>
  <c r="CN191" i="25"/>
  <c r="EM191" i="25" s="1"/>
  <c r="CN187" i="25"/>
  <c r="EM187" i="25" s="1"/>
  <c r="CN179" i="25"/>
  <c r="EM179" i="25" s="1"/>
  <c r="CN171" i="25"/>
  <c r="EM171" i="25" s="1"/>
  <c r="CN164" i="25"/>
  <c r="EM164" i="25" s="1"/>
  <c r="CN156" i="25"/>
  <c r="EM156" i="25" s="1"/>
  <c r="CN144" i="25"/>
  <c r="EM144" i="25" s="1"/>
  <c r="CN136" i="25"/>
  <c r="EM136" i="25" s="1"/>
  <c r="CN130" i="25"/>
  <c r="EM130" i="25" s="1"/>
  <c r="CN126" i="25"/>
  <c r="EM126" i="25" s="1"/>
  <c r="CN122" i="25"/>
  <c r="EM122" i="25" s="1"/>
  <c r="CN118" i="25"/>
  <c r="EM118" i="25" s="1"/>
  <c r="CN114" i="25"/>
  <c r="EM114" i="25" s="1"/>
  <c r="CN186" i="25"/>
  <c r="EM186" i="25" s="1"/>
  <c r="CN178" i="25"/>
  <c r="EM178" i="25" s="1"/>
  <c r="CN170" i="25"/>
  <c r="EM170" i="25" s="1"/>
  <c r="CN163" i="25"/>
  <c r="EM163" i="25" s="1"/>
  <c r="CN150" i="25"/>
  <c r="EM150" i="25" s="1"/>
  <c r="CN143" i="25"/>
  <c r="EM143" i="25" s="1"/>
  <c r="CN135" i="25"/>
  <c r="EM135" i="25" s="1"/>
  <c r="CN210" i="25"/>
  <c r="EM210" i="25" s="1"/>
  <c r="CN206" i="25"/>
  <c r="EM206" i="25" s="1"/>
  <c r="CN202" i="25"/>
  <c r="EM202" i="25" s="1"/>
  <c r="CN198" i="25"/>
  <c r="EM198" i="25" s="1"/>
  <c r="CN194" i="25"/>
  <c r="EM194" i="25" s="1"/>
  <c r="CN190" i="25"/>
  <c r="EM190" i="25" s="1"/>
  <c r="CN185" i="25"/>
  <c r="EM185" i="25" s="1"/>
  <c r="CN177" i="25"/>
  <c r="EM177" i="25" s="1"/>
  <c r="CN169" i="25"/>
  <c r="EM169" i="25" s="1"/>
  <c r="CN162" i="25"/>
  <c r="EM162" i="25" s="1"/>
  <c r="CN155" i="25"/>
  <c r="EM155" i="25" s="1"/>
  <c r="CN142" i="25"/>
  <c r="EM142" i="25" s="1"/>
  <c r="CN134" i="25"/>
  <c r="EM134" i="25" s="1"/>
  <c r="CN129" i="25"/>
  <c r="EM129" i="25" s="1"/>
  <c r="CN125" i="25"/>
  <c r="EM125" i="25" s="1"/>
  <c r="CN121" i="25"/>
  <c r="EM121" i="25" s="1"/>
  <c r="CN117" i="25"/>
  <c r="EM117" i="25" s="1"/>
  <c r="CN113" i="25"/>
  <c r="EM113" i="25" s="1"/>
  <c r="CN110" i="25"/>
  <c r="EM110" i="25" s="1"/>
  <c r="CN184" i="25"/>
  <c r="EM184" i="25" s="1"/>
  <c r="CN176" i="25"/>
  <c r="EM176" i="25" s="1"/>
  <c r="CN168" i="25"/>
  <c r="EM168" i="25" s="1"/>
  <c r="CN161" i="25"/>
  <c r="EM161" i="25" s="1"/>
  <c r="CN154" i="25"/>
  <c r="EM154" i="25" s="1"/>
  <c r="CN149" i="25"/>
  <c r="EM149" i="25" s="1"/>
  <c r="CN141" i="25"/>
  <c r="EM141" i="25" s="1"/>
  <c r="CN133" i="25"/>
  <c r="EM133" i="25" s="1"/>
  <c r="CN209" i="25"/>
  <c r="EM209" i="25" s="1"/>
  <c r="CN205" i="25"/>
  <c r="EM205" i="25" s="1"/>
  <c r="CN201" i="25"/>
  <c r="EM201" i="25" s="1"/>
  <c r="CN197" i="25"/>
  <c r="EM197" i="25" s="1"/>
  <c r="CN193" i="25"/>
  <c r="EM193" i="25" s="1"/>
  <c r="CN189" i="25"/>
  <c r="EM189" i="25" s="1"/>
  <c r="CN183" i="25"/>
  <c r="EM183" i="25" s="1"/>
  <c r="CN175" i="25"/>
  <c r="EM175" i="25" s="1"/>
  <c r="CN167" i="25"/>
  <c r="EM167" i="25" s="1"/>
  <c r="CN160" i="25"/>
  <c r="EM160" i="25" s="1"/>
  <c r="CN148" i="25"/>
  <c r="EM148" i="25" s="1"/>
  <c r="CN140" i="25"/>
  <c r="EM140" i="25" s="1"/>
  <c r="CN132" i="25"/>
  <c r="EM132" i="25" s="1"/>
  <c r="CN128" i="25"/>
  <c r="EM128" i="25" s="1"/>
  <c r="CN124" i="25"/>
  <c r="EM124" i="25" s="1"/>
  <c r="CN120" i="25"/>
  <c r="EM120" i="25" s="1"/>
  <c r="CN116" i="25"/>
  <c r="EM116" i="25" s="1"/>
  <c r="CN182" i="25"/>
  <c r="EM182" i="25" s="1"/>
  <c r="CN174" i="25"/>
  <c r="EM174" i="25" s="1"/>
  <c r="CN166" i="25"/>
  <c r="EM166" i="25" s="1"/>
  <c r="CN159" i="25"/>
  <c r="EM159" i="25" s="1"/>
  <c r="CN153" i="25"/>
  <c r="EM153" i="25" s="1"/>
  <c r="CN147" i="25"/>
  <c r="EM147" i="25" s="1"/>
  <c r="CN139" i="25"/>
  <c r="EM139" i="25" s="1"/>
  <c r="CN208" i="25"/>
  <c r="EM208" i="25" s="1"/>
  <c r="CN204" i="25"/>
  <c r="EM204" i="25" s="1"/>
  <c r="CN200" i="25"/>
  <c r="EM200" i="25" s="1"/>
  <c r="CN196" i="25"/>
  <c r="EM196" i="25" s="1"/>
  <c r="CN192" i="25"/>
  <c r="EM192" i="25" s="1"/>
  <c r="CN188" i="25"/>
  <c r="EM188" i="25" s="1"/>
  <c r="CN181" i="25"/>
  <c r="EM181" i="25" s="1"/>
  <c r="CN173" i="25"/>
  <c r="EM173" i="25" s="1"/>
  <c r="CN165" i="25"/>
  <c r="EM165" i="25" s="1"/>
  <c r="CN158" i="25"/>
  <c r="EM158" i="25" s="1"/>
  <c r="CN152" i="25"/>
  <c r="EM152" i="25" s="1"/>
  <c r="CN146" i="25"/>
  <c r="EM146" i="25" s="1"/>
  <c r="CN138" i="25"/>
  <c r="EM138" i="25" s="1"/>
  <c r="CN131" i="25"/>
  <c r="EM131" i="25" s="1"/>
  <c r="CN127" i="25"/>
  <c r="EM127" i="25" s="1"/>
  <c r="CN123" i="25"/>
  <c r="EM123" i="25" s="1"/>
  <c r="CN119" i="25"/>
  <c r="EM119" i="25" s="1"/>
  <c r="CN115" i="25"/>
  <c r="EM115" i="25" s="1"/>
  <c r="CN111" i="25"/>
  <c r="EM111" i="25" s="1"/>
  <c r="CN180" i="25"/>
  <c r="EM180" i="25" s="1"/>
  <c r="CN172" i="25"/>
  <c r="EM172" i="25" s="1"/>
  <c r="CN157" i="25"/>
  <c r="EM157" i="25" s="1"/>
  <c r="CN151" i="25"/>
  <c r="EM151" i="25" s="1"/>
  <c r="CN145" i="25"/>
  <c r="EM145" i="25" s="1"/>
  <c r="CN137" i="25"/>
  <c r="EM137" i="25" s="1"/>
  <c r="CM209" i="24"/>
  <c r="EO209" i="24" s="1"/>
  <c r="CM204" i="24"/>
  <c r="EO204" i="24" s="1"/>
  <c r="CM197" i="24"/>
  <c r="EO197" i="24" s="1"/>
  <c r="CM192" i="24"/>
  <c r="EO192" i="24" s="1"/>
  <c r="CM181" i="24"/>
  <c r="EO181" i="24" s="1"/>
  <c r="CM176" i="24"/>
  <c r="EO176" i="24" s="1"/>
  <c r="CM170" i="24"/>
  <c r="EO170" i="24" s="1"/>
  <c r="CM159" i="24"/>
  <c r="EO159" i="24" s="1"/>
  <c r="CM154" i="24"/>
  <c r="EO154" i="24" s="1"/>
  <c r="CM149" i="24"/>
  <c r="EO149" i="24" s="1"/>
  <c r="CM144" i="24"/>
  <c r="EO144" i="24" s="1"/>
  <c r="CM138" i="24"/>
  <c r="EO138" i="24" s="1"/>
  <c r="CM121" i="24"/>
  <c r="EO121" i="24" s="1"/>
  <c r="CM115" i="24"/>
  <c r="EO115" i="24" s="1"/>
  <c r="CM208" i="24"/>
  <c r="EO208" i="24" s="1"/>
  <c r="CM203" i="24"/>
  <c r="EO203" i="24" s="1"/>
  <c r="CM187" i="24"/>
  <c r="EO187" i="24" s="1"/>
  <c r="CM175" i="24"/>
  <c r="EO175" i="24" s="1"/>
  <c r="CM169" i="24"/>
  <c r="EO169" i="24" s="1"/>
  <c r="CM164" i="24"/>
  <c r="EO164" i="24" s="1"/>
  <c r="CM158" i="24"/>
  <c r="EO158" i="24" s="1"/>
  <c r="CM153" i="24"/>
  <c r="EO153" i="24" s="1"/>
  <c r="CM148" i="24"/>
  <c r="EO148" i="24" s="1"/>
  <c r="CM143" i="24"/>
  <c r="EO143" i="24" s="1"/>
  <c r="CM137" i="24"/>
  <c r="EO137" i="24" s="1"/>
  <c r="CM131" i="24"/>
  <c r="EO131" i="24" s="1"/>
  <c r="CM126" i="24"/>
  <c r="EO126" i="24" s="1"/>
  <c r="CM120" i="24"/>
  <c r="EO120" i="24" s="1"/>
  <c r="CM202" i="24"/>
  <c r="EO202" i="24" s="1"/>
  <c r="CM196" i="24"/>
  <c r="EO196" i="24" s="1"/>
  <c r="CM191" i="24"/>
  <c r="EO191" i="24" s="1"/>
  <c r="CM186" i="24"/>
  <c r="EO186" i="24" s="1"/>
  <c r="CM180" i="24"/>
  <c r="EO180" i="24" s="1"/>
  <c r="CM174" i="24"/>
  <c r="EO174" i="24" s="1"/>
  <c r="CM163" i="24"/>
  <c r="EO163" i="24" s="1"/>
  <c r="CM142" i="24"/>
  <c r="EO142" i="24" s="1"/>
  <c r="CM125" i="24"/>
  <c r="EO125" i="24" s="1"/>
  <c r="CM119" i="24"/>
  <c r="EO119" i="24" s="1"/>
  <c r="CM114" i="24"/>
  <c r="EO114" i="24" s="1"/>
  <c r="CM207" i="24"/>
  <c r="EO207" i="24" s="1"/>
  <c r="CM201" i="24"/>
  <c r="EO201" i="24" s="1"/>
  <c r="CM185" i="24"/>
  <c r="EO185" i="24" s="1"/>
  <c r="CM179" i="24"/>
  <c r="EO179" i="24" s="1"/>
  <c r="CM173" i="24"/>
  <c r="EO173" i="24" s="1"/>
  <c r="CM168" i="24"/>
  <c r="EO168" i="24" s="1"/>
  <c r="CM157" i="24"/>
  <c r="EO157" i="24" s="1"/>
  <c r="CM152" i="24"/>
  <c r="EO152" i="24" s="1"/>
  <c r="CM147" i="24"/>
  <c r="EO147" i="24" s="1"/>
  <c r="CM141" i="24"/>
  <c r="EO141" i="24" s="1"/>
  <c r="CM136" i="24"/>
  <c r="EO136" i="24" s="1"/>
  <c r="CM130" i="24"/>
  <c r="EO130" i="24" s="1"/>
  <c r="CM124" i="24"/>
  <c r="EO124" i="24" s="1"/>
  <c r="CM110" i="24"/>
  <c r="CO110" i="24" s="1"/>
  <c r="CM206" i="24"/>
  <c r="EO206" i="24" s="1"/>
  <c r="CM195" i="24"/>
  <c r="EO195" i="24" s="1"/>
  <c r="CM190" i="24"/>
  <c r="EO190" i="24" s="1"/>
  <c r="CM162" i="24"/>
  <c r="EO162" i="24" s="1"/>
  <c r="CM140" i="24"/>
  <c r="EO140" i="24" s="1"/>
  <c r="CM135" i="24"/>
  <c r="EO135" i="24" s="1"/>
  <c r="CM129" i="24"/>
  <c r="EO129" i="24" s="1"/>
  <c r="CM118" i="24"/>
  <c r="EO118" i="24" s="1"/>
  <c r="CM113" i="24"/>
  <c r="EO113" i="24" s="1"/>
  <c r="CM200" i="24"/>
  <c r="EO200" i="24" s="1"/>
  <c r="CM184" i="24"/>
  <c r="EO184" i="24" s="1"/>
  <c r="CM178" i="24"/>
  <c r="EO178" i="24" s="1"/>
  <c r="CM172" i="24"/>
  <c r="EO172" i="24" s="1"/>
  <c r="CM167" i="24"/>
  <c r="EO167" i="24" s="1"/>
  <c r="CM161" i="24"/>
  <c r="EO161" i="24" s="1"/>
  <c r="CM156" i="24"/>
  <c r="EO156" i="24" s="1"/>
  <c r="CM151" i="24"/>
  <c r="EO151" i="24" s="1"/>
  <c r="CM146" i="24"/>
  <c r="EO146" i="24" s="1"/>
  <c r="CM134" i="24"/>
  <c r="EO134" i="24" s="1"/>
  <c r="CM128" i="24"/>
  <c r="EO128" i="24" s="1"/>
  <c r="CM123" i="24"/>
  <c r="EO123" i="24" s="1"/>
  <c r="CM117" i="24"/>
  <c r="EO117" i="24" s="1"/>
  <c r="CM205" i="24"/>
  <c r="EO205" i="24" s="1"/>
  <c r="CM199" i="24"/>
  <c r="EO199" i="24" s="1"/>
  <c r="CM194" i="24"/>
  <c r="EO194" i="24" s="1"/>
  <c r="CM189" i="24"/>
  <c r="EO189" i="24" s="1"/>
  <c r="CM183" i="24"/>
  <c r="EO183" i="24" s="1"/>
  <c r="CM177" i="24"/>
  <c r="EO177" i="24" s="1"/>
  <c r="CM171" i="24"/>
  <c r="EO171" i="24" s="1"/>
  <c r="CM166" i="24"/>
  <c r="EO166" i="24" s="1"/>
  <c r="CM155" i="24"/>
  <c r="EO155" i="24" s="1"/>
  <c r="CM150" i="24"/>
  <c r="EO150" i="24" s="1"/>
  <c r="CM145" i="24"/>
  <c r="EO145" i="24" s="1"/>
  <c r="CM139" i="24"/>
  <c r="EO139" i="24" s="1"/>
  <c r="CM133" i="24"/>
  <c r="EO133" i="24" s="1"/>
  <c r="CM122" i="24"/>
  <c r="EO122" i="24" s="1"/>
  <c r="CM116" i="24"/>
  <c r="EO116" i="24" s="1"/>
  <c r="CM112" i="24"/>
  <c r="EO112" i="24" s="1"/>
  <c r="CM210" i="24"/>
  <c r="EO210" i="24" s="1"/>
  <c r="CM198" i="24"/>
  <c r="EO198" i="24" s="1"/>
  <c r="CM193" i="24"/>
  <c r="EO193" i="24" s="1"/>
  <c r="CM188" i="24"/>
  <c r="EO188" i="24" s="1"/>
  <c r="CM182" i="24"/>
  <c r="EO182" i="24" s="1"/>
  <c r="CM165" i="24"/>
  <c r="EO165" i="24" s="1"/>
  <c r="CM160" i="24"/>
  <c r="EO160" i="24" s="1"/>
  <c r="CM132" i="24"/>
  <c r="EO132" i="24" s="1"/>
  <c r="CM127" i="24"/>
  <c r="EO127" i="24" s="1"/>
  <c r="CM111" i="24"/>
  <c r="EO111" i="24" s="1"/>
  <c r="CL216" i="25"/>
  <c r="DL216" i="25" s="1"/>
  <c r="CL110" i="25"/>
  <c r="DL110" i="25" s="1"/>
  <c r="CL5" i="25"/>
  <c r="DL5" i="25" s="1"/>
  <c r="CL5" i="24"/>
  <c r="CL216" i="24"/>
  <c r="CL110" i="24"/>
  <c r="CR81" i="25"/>
  <c r="CR16" i="25"/>
  <c r="CR84" i="25"/>
  <c r="CR13" i="25"/>
  <c r="CR34" i="25"/>
  <c r="CR46" i="25"/>
  <c r="CR54" i="25"/>
  <c r="CR122" i="25"/>
  <c r="CR53" i="25"/>
  <c r="CR15" i="25"/>
  <c r="CR19" i="25"/>
  <c r="CR77" i="25"/>
  <c r="CR27" i="25"/>
  <c r="CR40" i="25"/>
  <c r="CR100" i="25"/>
  <c r="CO37" i="24"/>
  <c r="CQ78" i="24"/>
  <c r="CR78" i="24" s="1"/>
  <c r="CT78" i="24" s="1"/>
  <c r="CQ62" i="24"/>
  <c r="CR62" i="24" s="1"/>
  <c r="CT62" i="24" s="1"/>
  <c r="CQ38" i="24"/>
  <c r="CR38" i="24" s="1"/>
  <c r="CT38" i="24" s="1"/>
  <c r="CQ12" i="24"/>
  <c r="CR12" i="24" s="1"/>
  <c r="CT12" i="24" s="1"/>
  <c r="CO79" i="24"/>
  <c r="CQ87" i="24"/>
  <c r="CR87" i="24" s="1"/>
  <c r="CT87" i="24" s="1"/>
  <c r="CO23" i="24"/>
  <c r="CQ57" i="24"/>
  <c r="CR57" i="24" s="1"/>
  <c r="CT57" i="24" s="1"/>
  <c r="CQ33" i="24"/>
  <c r="CR33" i="24" s="1"/>
  <c r="CT33" i="24" s="1"/>
  <c r="CO52" i="24"/>
  <c r="CO25" i="24"/>
  <c r="CR66" i="25"/>
  <c r="CR10" i="25"/>
  <c r="CR21" i="25"/>
  <c r="CR26" i="25"/>
  <c r="CR44" i="25"/>
  <c r="CR79" i="25"/>
  <c r="CR85" i="25"/>
  <c r="CR91" i="25"/>
  <c r="CR52" i="25"/>
  <c r="CR31" i="25"/>
  <c r="CR51" i="25"/>
  <c r="CR48" i="25"/>
  <c r="CO24" i="24"/>
  <c r="CO5" i="24"/>
  <c r="CQ20" i="24"/>
  <c r="CR20" i="24" s="1"/>
  <c r="CT20" i="24" s="1"/>
  <c r="CQ46" i="24"/>
  <c r="CR46" i="24" s="1"/>
  <c r="CT46" i="24" s="1"/>
  <c r="CQ92" i="24"/>
  <c r="CR92" i="24" s="1"/>
  <c r="CT92" i="24" s="1"/>
  <c r="CQ85" i="24"/>
  <c r="CR85" i="24" s="1"/>
  <c r="CT85" i="24" s="1"/>
  <c r="CO28" i="24"/>
  <c r="CO51" i="24"/>
  <c r="CQ70" i="24"/>
  <c r="CR70" i="24" s="1"/>
  <c r="CT70" i="24" s="1"/>
  <c r="CQ71" i="24"/>
  <c r="CR71" i="24" s="1"/>
  <c r="CT71" i="24" s="1"/>
  <c r="CQ65" i="24"/>
  <c r="CR65" i="24" s="1"/>
  <c r="CT65" i="24" s="1"/>
  <c r="CQ49" i="24"/>
  <c r="CR49" i="24" s="1"/>
  <c r="CT49" i="24" s="1"/>
  <c r="CQ35" i="24"/>
  <c r="CR35" i="24" s="1"/>
  <c r="CT35" i="24" s="1"/>
  <c r="CQ22" i="24"/>
  <c r="CR22" i="24" s="1"/>
  <c r="CT22" i="24" s="1"/>
  <c r="CO39" i="24"/>
  <c r="CO93" i="24"/>
  <c r="CR64" i="25"/>
  <c r="CR96" i="25"/>
  <c r="CR18" i="25"/>
  <c r="CR80" i="25"/>
  <c r="CR65" i="25"/>
  <c r="CR73" i="25"/>
  <c r="CR30" i="25"/>
  <c r="CR62" i="25"/>
  <c r="CR75" i="25"/>
  <c r="CR17" i="25"/>
  <c r="CR76" i="25"/>
  <c r="CR67" i="25"/>
  <c r="CR23" i="25"/>
  <c r="CR43" i="25"/>
  <c r="CR11" i="25"/>
  <c r="CQ103" i="24"/>
  <c r="CR103" i="24" s="1"/>
  <c r="CT103" i="24" s="1"/>
  <c r="CQ14" i="24"/>
  <c r="CR14" i="24" s="1"/>
  <c r="CT14" i="24" s="1"/>
  <c r="CO77" i="24"/>
  <c r="CO34" i="24"/>
  <c r="CQ91" i="24"/>
  <c r="CR91" i="24" s="1"/>
  <c r="CT91" i="24" s="1"/>
  <c r="CO68" i="24"/>
  <c r="CO102" i="24"/>
  <c r="CO67" i="24"/>
  <c r="CO14" i="24"/>
  <c r="CO59" i="24"/>
  <c r="CO21" i="24"/>
  <c r="CO71" i="24"/>
  <c r="CQ17" i="24"/>
  <c r="CR17" i="24" s="1"/>
  <c r="CT17" i="24" s="1"/>
  <c r="CO41" i="24"/>
  <c r="CO94" i="24"/>
  <c r="CO10" i="24"/>
  <c r="CR49" i="25"/>
  <c r="CR102" i="25"/>
  <c r="CR70" i="25"/>
  <c r="CR9" i="25"/>
  <c r="CR72" i="25"/>
  <c r="CR14" i="25"/>
  <c r="CR63" i="25"/>
  <c r="CR45" i="25"/>
  <c r="CR28" i="25"/>
  <c r="CR37" i="25"/>
  <c r="CO96" i="24"/>
  <c r="CO81" i="24"/>
  <c r="CQ42" i="24"/>
  <c r="CR42" i="24" s="1"/>
  <c r="CT42" i="24" s="1"/>
  <c r="CQ27" i="24"/>
  <c r="CR27" i="24" s="1"/>
  <c r="CT27" i="24" s="1"/>
  <c r="CO62" i="24"/>
  <c r="CO55" i="24"/>
  <c r="CO84" i="24"/>
  <c r="CQ86" i="24"/>
  <c r="CR86" i="24" s="1"/>
  <c r="CT86" i="24" s="1"/>
  <c r="CO60" i="24"/>
  <c r="CQ73" i="24"/>
  <c r="CR73" i="24" s="1"/>
  <c r="CT73" i="24" s="1"/>
  <c r="CQ82" i="24"/>
  <c r="CR82" i="24" s="1"/>
  <c r="CT82" i="24" s="1"/>
  <c r="CR42" i="25"/>
  <c r="CR38" i="25"/>
  <c r="CR61" i="25"/>
  <c r="CR105" i="25"/>
  <c r="CR68" i="25"/>
  <c r="CR6" i="25"/>
  <c r="CX6" i="25" s="1"/>
  <c r="CY6" i="25" s="1"/>
  <c r="CR41" i="25"/>
  <c r="CR59" i="25"/>
  <c r="CR94" i="25"/>
  <c r="CR78" i="25"/>
  <c r="CR47" i="25"/>
  <c r="CR83" i="25"/>
  <c r="CO89" i="24"/>
  <c r="CQ5" i="24"/>
  <c r="CY5" i="24" s="1"/>
  <c r="CO15" i="24"/>
  <c r="CO88" i="24"/>
  <c r="CQ45" i="24"/>
  <c r="CR45" i="24" s="1"/>
  <c r="CT45" i="24" s="1"/>
  <c r="CQ105" i="24"/>
  <c r="CR105" i="24" s="1"/>
  <c r="CT105" i="24" s="1"/>
  <c r="CQ40" i="24"/>
  <c r="CR40" i="24" s="1"/>
  <c r="CT40" i="24" s="1"/>
  <c r="CQ68" i="24"/>
  <c r="CR68" i="24" s="1"/>
  <c r="CT68" i="24" s="1"/>
  <c r="CO33" i="24"/>
  <c r="CR35" i="25"/>
  <c r="CR101" i="25"/>
  <c r="CR57" i="25"/>
  <c r="CR60" i="25"/>
  <c r="CR97" i="25"/>
  <c r="CR92" i="25"/>
  <c r="CR25" i="25"/>
  <c r="CR88" i="25"/>
  <c r="CR58" i="25"/>
  <c r="CR56" i="25"/>
  <c r="CR32" i="25"/>
  <c r="CR12" i="25"/>
  <c r="CR71" i="25"/>
  <c r="CR87" i="25"/>
  <c r="CR36" i="25"/>
  <c r="CR24" i="25"/>
  <c r="CR39" i="25"/>
  <c r="CR95" i="25"/>
  <c r="CR55" i="25"/>
  <c r="CQ74" i="24"/>
  <c r="CR74" i="24" s="1"/>
  <c r="CT74" i="24" s="1"/>
  <c r="CO30" i="24"/>
  <c r="CQ37" i="24"/>
  <c r="CR37" i="24" s="1"/>
  <c r="CT37" i="24" s="1"/>
  <c r="CO100" i="24"/>
  <c r="CO58" i="24"/>
  <c r="CO29" i="24"/>
  <c r="CO19" i="24"/>
  <c r="CO17" i="24"/>
  <c r="CQ96" i="24"/>
  <c r="CR96" i="24" s="1"/>
  <c r="CT96" i="24" s="1"/>
  <c r="CQ48" i="24"/>
  <c r="CR48" i="24" s="1"/>
  <c r="CT48" i="24" s="1"/>
  <c r="CO80" i="24"/>
  <c r="CO104" i="24"/>
  <c r="CO99" i="24"/>
  <c r="CO54" i="24"/>
  <c r="CQ81" i="24"/>
  <c r="CR81" i="24" s="1"/>
  <c r="CT81" i="24" s="1"/>
  <c r="CO50" i="24"/>
  <c r="CO87" i="24"/>
  <c r="CR50" i="25"/>
  <c r="CR69" i="25"/>
  <c r="CQ11" i="24"/>
  <c r="CR11" i="24" s="1"/>
  <c r="CT11" i="24" s="1"/>
  <c r="CO82" i="24"/>
  <c r="CQ39" i="24"/>
  <c r="CR39" i="24" s="1"/>
  <c r="CT39" i="24" s="1"/>
  <c r="CQ60" i="24"/>
  <c r="CR60" i="24" s="1"/>
  <c r="CT60" i="24" s="1"/>
  <c r="CO11" i="24"/>
  <c r="CQ56" i="24"/>
  <c r="CR56" i="24" s="1"/>
  <c r="CT56" i="24" s="1"/>
  <c r="CQ13" i="24"/>
  <c r="CR13" i="24" s="1"/>
  <c r="CT13" i="24" s="1"/>
  <c r="CO66" i="24"/>
  <c r="CO91" i="24"/>
  <c r="CQ94" i="24"/>
  <c r="CR94" i="24" s="1"/>
  <c r="CT94" i="24" s="1"/>
  <c r="CQ10" i="24"/>
  <c r="CR10" i="24" s="1"/>
  <c r="CT10" i="24" s="1"/>
  <c r="CO78" i="24"/>
  <c r="CQ30" i="24"/>
  <c r="CR30" i="24" s="1"/>
  <c r="CT30" i="24" s="1"/>
  <c r="CQ26" i="24"/>
  <c r="CR26" i="24" s="1"/>
  <c r="CT26" i="24" s="1"/>
  <c r="CO98" i="24"/>
  <c r="CQ34" i="24"/>
  <c r="CR34" i="24" s="1"/>
  <c r="CT34" i="24" s="1"/>
  <c r="CO76" i="24"/>
  <c r="CO13" i="24"/>
  <c r="CR89" i="25"/>
  <c r="CO6" i="24"/>
  <c r="CO43" i="24"/>
  <c r="CQ51" i="24"/>
  <c r="CR51" i="24" s="1"/>
  <c r="CT51" i="24" s="1"/>
  <c r="CO72" i="24"/>
  <c r="CQ24" i="24"/>
  <c r="CR24" i="24" s="1"/>
  <c r="CT24" i="24" s="1"/>
  <c r="CQ61" i="24"/>
  <c r="CR61" i="24" s="1"/>
  <c r="CT61" i="24" s="1"/>
  <c r="CO9" i="24"/>
  <c r="CR20" i="25"/>
  <c r="CQ104" i="24"/>
  <c r="CR104" i="24" s="1"/>
  <c r="CT104" i="24" s="1"/>
  <c r="CO44" i="24"/>
  <c r="CQ23" i="24"/>
  <c r="CR23" i="24" s="1"/>
  <c r="CT23" i="24" s="1"/>
  <c r="CQ53" i="24"/>
  <c r="CR53" i="24" s="1"/>
  <c r="CT53" i="24" s="1"/>
  <c r="CO69" i="24"/>
  <c r="CQ44" i="24"/>
  <c r="CR44" i="24" s="1"/>
  <c r="CT44" i="24" s="1"/>
  <c r="CO26" i="24"/>
  <c r="CQ31" i="24"/>
  <c r="CR31" i="24" s="1"/>
  <c r="CT31" i="24" s="1"/>
  <c r="CQ7" i="24"/>
  <c r="CR7" i="24" s="1"/>
  <c r="CT7" i="24" s="1"/>
  <c r="CR22" i="25"/>
  <c r="CR82" i="25"/>
  <c r="CR33" i="25"/>
  <c r="CR98" i="25"/>
  <c r="CO57" i="24"/>
  <c r="CO40" i="24"/>
  <c r="CO45" i="24"/>
  <c r="CQ76" i="24"/>
  <c r="CR76" i="24" s="1"/>
  <c r="CT76" i="24" s="1"/>
  <c r="CQ66" i="24"/>
  <c r="CR66" i="24" s="1"/>
  <c r="CT66" i="24" s="1"/>
  <c r="CQ88" i="24"/>
  <c r="CR88" i="24" s="1"/>
  <c r="CT88" i="24" s="1"/>
  <c r="CO42" i="24"/>
  <c r="CO16" i="24"/>
  <c r="CQ90" i="24"/>
  <c r="CR90" i="24" s="1"/>
  <c r="CT90" i="24" s="1"/>
  <c r="CO65" i="24"/>
  <c r="CO64" i="24"/>
  <c r="CQ47" i="24"/>
  <c r="CR47" i="24" s="1"/>
  <c r="CT47" i="24" s="1"/>
  <c r="CO8" i="24"/>
  <c r="CQ95" i="24"/>
  <c r="CR95" i="24" s="1"/>
  <c r="CT95" i="24" s="1"/>
  <c r="CQ32" i="24"/>
  <c r="CR32" i="24" s="1"/>
  <c r="CT32" i="24" s="1"/>
  <c r="CR7" i="25"/>
  <c r="CX7" i="25" s="1"/>
  <c r="CY7" i="25" s="1"/>
  <c r="CQ25" i="24"/>
  <c r="CR25" i="24" s="1"/>
  <c r="CT25" i="24" s="1"/>
  <c r="CO31" i="24"/>
  <c r="CQ15" i="24"/>
  <c r="CR15" i="24" s="1"/>
  <c r="CT15" i="24" s="1"/>
  <c r="CQ99" i="24"/>
  <c r="CR99" i="24" s="1"/>
  <c r="CT99" i="24" s="1"/>
  <c r="CQ100" i="24"/>
  <c r="CR100" i="24" s="1"/>
  <c r="CT100" i="24" s="1"/>
  <c r="CO12" i="24"/>
  <c r="CO85" i="24"/>
  <c r="CO7" i="24"/>
  <c r="CO105" i="24"/>
  <c r="CR104" i="25"/>
  <c r="CQ75" i="24"/>
  <c r="CR75" i="24" s="1"/>
  <c r="CT75" i="24" s="1"/>
  <c r="CQ16" i="24"/>
  <c r="CR16" i="24" s="1"/>
  <c r="CT16" i="24" s="1"/>
  <c r="CO74" i="24"/>
  <c r="CO97" i="24"/>
  <c r="CQ102" i="24"/>
  <c r="CR102" i="24" s="1"/>
  <c r="CT102" i="24" s="1"/>
  <c r="CR99" i="25"/>
  <c r="CR103" i="25"/>
  <c r="CO32" i="24"/>
  <c r="CQ36" i="24"/>
  <c r="CR36" i="24" s="1"/>
  <c r="CT36" i="24" s="1"/>
  <c r="CQ19" i="24"/>
  <c r="CR19" i="24" s="1"/>
  <c r="CT19" i="24" s="1"/>
  <c r="CO27" i="24"/>
  <c r="CQ55" i="24"/>
  <c r="CR55" i="24" s="1"/>
  <c r="CT55" i="24" s="1"/>
  <c r="CO95" i="24"/>
  <c r="CQ54" i="24"/>
  <c r="CR54" i="24" s="1"/>
  <c r="CT54" i="24" s="1"/>
  <c r="CO75" i="24"/>
  <c r="CO103" i="24"/>
  <c r="CQ64" i="24"/>
  <c r="CR64" i="24" s="1"/>
  <c r="CT64" i="24" s="1"/>
  <c r="CQ77" i="24"/>
  <c r="CR77" i="24" s="1"/>
  <c r="CT77" i="24" s="1"/>
  <c r="CO86" i="24"/>
  <c r="CO70" i="24"/>
  <c r="CO46" i="24"/>
  <c r="CQ97" i="24"/>
  <c r="CR97" i="24" s="1"/>
  <c r="CT97" i="24" s="1"/>
  <c r="CQ21" i="24"/>
  <c r="CR21" i="24" s="1"/>
  <c r="CT21" i="24" s="1"/>
  <c r="CO83" i="24"/>
  <c r="CQ89" i="24"/>
  <c r="CR89" i="24" s="1"/>
  <c r="CT89" i="24" s="1"/>
  <c r="CO22" i="24"/>
  <c r="CQ50" i="24"/>
  <c r="CR50" i="24" s="1"/>
  <c r="CT50" i="24" s="1"/>
  <c r="CO36" i="24"/>
  <c r="CO47" i="24"/>
  <c r="CR93" i="25"/>
  <c r="CR74" i="25"/>
  <c r="CQ6" i="24"/>
  <c r="CR6" i="24" s="1"/>
  <c r="CT6" i="24" s="1"/>
  <c r="CQ83" i="24"/>
  <c r="CR83" i="24" s="1"/>
  <c r="CT83" i="24" s="1"/>
  <c r="CQ80" i="24"/>
  <c r="CR80" i="24" s="1"/>
  <c r="CT80" i="24" s="1"/>
  <c r="CQ52" i="24"/>
  <c r="CR52" i="24" s="1"/>
  <c r="CT52" i="24" s="1"/>
  <c r="CQ98" i="24"/>
  <c r="CR98" i="24" s="1"/>
  <c r="CT98" i="24" s="1"/>
  <c r="CQ59" i="24"/>
  <c r="CR59" i="24" s="1"/>
  <c r="CT59" i="24" s="1"/>
  <c r="CO38" i="24"/>
  <c r="CO90" i="24"/>
  <c r="CO53" i="24"/>
  <c r="CR8" i="25"/>
  <c r="CR86" i="25"/>
  <c r="CQ58" i="24"/>
  <c r="CR58" i="24" s="1"/>
  <c r="CT58" i="24" s="1"/>
  <c r="CO61" i="24"/>
  <c r="CQ43" i="24"/>
  <c r="CR43" i="24" s="1"/>
  <c r="CT43" i="24" s="1"/>
  <c r="CQ84" i="24"/>
  <c r="CR84" i="24" s="1"/>
  <c r="CT84" i="24" s="1"/>
  <c r="CO35" i="24"/>
  <c r="CQ41" i="24"/>
  <c r="CR41" i="24" s="1"/>
  <c r="CT41" i="24" s="1"/>
  <c r="CQ29" i="24"/>
  <c r="CR29" i="24" s="1"/>
  <c r="CT29" i="24" s="1"/>
  <c r="CO48" i="24"/>
  <c r="CQ93" i="24"/>
  <c r="CR93" i="24" s="1"/>
  <c r="CT93" i="24" s="1"/>
  <c r="CO56" i="24"/>
  <c r="CQ18" i="24"/>
  <c r="CR18" i="24" s="1"/>
  <c r="CT18" i="24" s="1"/>
  <c r="CO101" i="24"/>
  <c r="CO20" i="24"/>
  <c r="CO18" i="24"/>
  <c r="CQ67" i="24"/>
  <c r="CR67" i="24" s="1"/>
  <c r="CT67" i="24" s="1"/>
  <c r="CR29" i="25"/>
  <c r="CR90" i="25"/>
  <c r="CQ101" i="24"/>
  <c r="CR101" i="24" s="1"/>
  <c r="CT101" i="24" s="1"/>
  <c r="CQ69" i="24"/>
  <c r="CR69" i="24" s="1"/>
  <c r="CT69" i="24" s="1"/>
  <c r="CQ9" i="24"/>
  <c r="CR9" i="24" s="1"/>
  <c r="CT9" i="24" s="1"/>
  <c r="CO73" i="24"/>
  <c r="CO63" i="24"/>
  <c r="CQ8" i="24"/>
  <c r="CR8" i="24" s="1"/>
  <c r="CT8" i="24" s="1"/>
  <c r="CQ63" i="24"/>
  <c r="CR63" i="24" s="1"/>
  <c r="CT63" i="24" s="1"/>
  <c r="CQ72" i="24"/>
  <c r="CR72" i="24" s="1"/>
  <c r="CT72" i="24" s="1"/>
  <c r="CQ28" i="24"/>
  <c r="CR28" i="24" s="1"/>
  <c r="CT28" i="24" s="1"/>
  <c r="CO92" i="24"/>
  <c r="CO49" i="24"/>
  <c r="CQ79" i="24"/>
  <c r="CR79" i="24" s="1"/>
  <c r="CT79" i="24" s="1"/>
  <c r="CL6" i="25"/>
  <c r="DL6" i="25" s="1"/>
  <c r="CL7" i="25"/>
  <c r="DL7" i="25" s="1"/>
  <c r="CN309" i="25"/>
  <c r="CN301" i="25"/>
  <c r="CN293" i="25"/>
  <c r="CN285" i="25"/>
  <c r="CN277" i="25"/>
  <c r="CN269" i="25"/>
  <c r="CN261" i="25"/>
  <c r="CN253" i="25"/>
  <c r="CN245" i="25"/>
  <c r="CN237" i="25"/>
  <c r="CN229" i="25"/>
  <c r="CN221" i="25"/>
  <c r="CN262" i="25"/>
  <c r="CN246" i="25"/>
  <c r="CN222" i="25"/>
  <c r="CN316" i="25"/>
  <c r="CN308" i="25"/>
  <c r="CN300" i="25"/>
  <c r="CN292" i="25"/>
  <c r="CN284" i="25"/>
  <c r="CN276" i="25"/>
  <c r="CN268" i="25"/>
  <c r="CN260" i="25"/>
  <c r="CN252" i="25"/>
  <c r="CN244" i="25"/>
  <c r="CN236" i="25"/>
  <c r="CN228" i="25"/>
  <c r="CN220" i="25"/>
  <c r="CN278" i="25"/>
  <c r="CN254" i="25"/>
  <c r="CN315" i="25"/>
  <c r="CN307" i="25"/>
  <c r="CN299" i="25"/>
  <c r="CN291" i="25"/>
  <c r="CN283" i="25"/>
  <c r="CN275" i="25"/>
  <c r="CN267" i="25"/>
  <c r="CN259" i="25"/>
  <c r="CN251" i="25"/>
  <c r="CN243" i="25"/>
  <c r="CN235" i="25"/>
  <c r="CN227" i="25"/>
  <c r="CN219" i="25"/>
  <c r="CN270" i="25"/>
  <c r="CN238" i="25"/>
  <c r="CN314" i="25"/>
  <c r="CN306" i="25"/>
  <c r="CN298" i="25"/>
  <c r="CN290" i="25"/>
  <c r="CN282" i="25"/>
  <c r="CN274" i="25"/>
  <c r="CN266" i="25"/>
  <c r="CN258" i="25"/>
  <c r="CN250" i="25"/>
  <c r="CN242" i="25"/>
  <c r="CN234" i="25"/>
  <c r="CN226" i="25"/>
  <c r="CN218" i="25"/>
  <c r="CN294" i="25"/>
  <c r="CN313" i="25"/>
  <c r="CN305" i="25"/>
  <c r="CN297" i="25"/>
  <c r="CN289" i="25"/>
  <c r="CN281" i="25"/>
  <c r="CN273" i="25"/>
  <c r="CN265" i="25"/>
  <c r="CN257" i="25"/>
  <c r="CN249" i="25"/>
  <c r="CN241" i="25"/>
  <c r="CN233" i="25"/>
  <c r="CN225" i="25"/>
  <c r="CN217" i="25"/>
  <c r="CN286" i="25"/>
  <c r="CN312" i="25"/>
  <c r="CN304" i="25"/>
  <c r="CN296" i="25"/>
  <c r="CN288" i="25"/>
  <c r="CN280" i="25"/>
  <c r="CN272" i="25"/>
  <c r="CN264" i="25"/>
  <c r="CN256" i="25"/>
  <c r="CN248" i="25"/>
  <c r="CN240" i="25"/>
  <c r="CN232" i="25"/>
  <c r="CN224" i="25"/>
  <c r="CN302" i="25"/>
  <c r="CN230" i="25"/>
  <c r="CN311" i="25"/>
  <c r="CN303" i="25"/>
  <c r="CN295" i="25"/>
  <c r="CN287" i="25"/>
  <c r="CN279" i="25"/>
  <c r="CN271" i="25"/>
  <c r="CN263" i="25"/>
  <c r="CN255" i="25"/>
  <c r="CN247" i="25"/>
  <c r="CN239" i="25"/>
  <c r="CN231" i="25"/>
  <c r="CN223" i="25"/>
  <c r="CN216" i="25"/>
  <c r="CN310" i="25"/>
  <c r="CM312" i="24"/>
  <c r="EO312" i="24" s="1"/>
  <c r="CM304" i="24"/>
  <c r="EO304" i="24" s="1"/>
  <c r="CM296" i="24"/>
  <c r="EO296" i="24" s="1"/>
  <c r="CM288" i="24"/>
  <c r="EO288" i="24" s="1"/>
  <c r="CM280" i="24"/>
  <c r="EO280" i="24" s="1"/>
  <c r="CM272" i="24"/>
  <c r="EO272" i="24" s="1"/>
  <c r="CM264" i="24"/>
  <c r="EO264" i="24" s="1"/>
  <c r="CM256" i="24"/>
  <c r="EO256" i="24" s="1"/>
  <c r="CM248" i="24"/>
  <c r="EO248" i="24" s="1"/>
  <c r="CM240" i="24"/>
  <c r="EO240" i="24" s="1"/>
  <c r="CM232" i="24"/>
  <c r="EO232" i="24" s="1"/>
  <c r="CM224" i="24"/>
  <c r="EO224" i="24" s="1"/>
  <c r="CM281" i="24"/>
  <c r="EO281" i="24" s="1"/>
  <c r="CM311" i="24"/>
  <c r="EO311" i="24" s="1"/>
  <c r="CM303" i="24"/>
  <c r="EO303" i="24" s="1"/>
  <c r="CM295" i="24"/>
  <c r="EO295" i="24" s="1"/>
  <c r="CM287" i="24"/>
  <c r="EO287" i="24" s="1"/>
  <c r="CM279" i="24"/>
  <c r="EO279" i="24" s="1"/>
  <c r="CM271" i="24"/>
  <c r="EO271" i="24" s="1"/>
  <c r="CM263" i="24"/>
  <c r="EO263" i="24" s="1"/>
  <c r="CM255" i="24"/>
  <c r="EO255" i="24" s="1"/>
  <c r="CM247" i="24"/>
  <c r="EO247" i="24" s="1"/>
  <c r="CM239" i="24"/>
  <c r="EO239" i="24" s="1"/>
  <c r="CM231" i="24"/>
  <c r="EO231" i="24" s="1"/>
  <c r="CM223" i="24"/>
  <c r="EO223" i="24" s="1"/>
  <c r="CM216" i="24"/>
  <c r="EO216" i="24" s="1"/>
  <c r="CM305" i="24"/>
  <c r="EO305" i="24" s="1"/>
  <c r="CM241" i="24"/>
  <c r="EO241" i="24" s="1"/>
  <c r="CM310" i="24"/>
  <c r="EO310" i="24" s="1"/>
  <c r="CM302" i="24"/>
  <c r="EO302" i="24" s="1"/>
  <c r="CM294" i="24"/>
  <c r="EO294" i="24" s="1"/>
  <c r="CM286" i="24"/>
  <c r="EO286" i="24" s="1"/>
  <c r="CM278" i="24"/>
  <c r="EO278" i="24" s="1"/>
  <c r="CM270" i="24"/>
  <c r="EO270" i="24" s="1"/>
  <c r="CM262" i="24"/>
  <c r="EO262" i="24" s="1"/>
  <c r="CM254" i="24"/>
  <c r="EO254" i="24" s="1"/>
  <c r="CM246" i="24"/>
  <c r="EO246" i="24" s="1"/>
  <c r="CM238" i="24"/>
  <c r="EO238" i="24" s="1"/>
  <c r="CM230" i="24"/>
  <c r="EO230" i="24" s="1"/>
  <c r="CM222" i="24"/>
  <c r="EO222" i="24" s="1"/>
  <c r="CM313" i="24"/>
  <c r="EO313" i="24" s="1"/>
  <c r="CM233" i="24"/>
  <c r="EO233" i="24" s="1"/>
  <c r="CM309" i="24"/>
  <c r="EO309" i="24" s="1"/>
  <c r="CM301" i="24"/>
  <c r="EO301" i="24" s="1"/>
  <c r="CM293" i="24"/>
  <c r="EO293" i="24" s="1"/>
  <c r="CM285" i="24"/>
  <c r="EO285" i="24" s="1"/>
  <c r="CM277" i="24"/>
  <c r="EO277" i="24" s="1"/>
  <c r="CM269" i="24"/>
  <c r="EO269" i="24" s="1"/>
  <c r="CM261" i="24"/>
  <c r="EO261" i="24" s="1"/>
  <c r="CM253" i="24"/>
  <c r="EO253" i="24" s="1"/>
  <c r="CM245" i="24"/>
  <c r="EO245" i="24" s="1"/>
  <c r="CM237" i="24"/>
  <c r="EO237" i="24" s="1"/>
  <c r="CM229" i="24"/>
  <c r="EO229" i="24" s="1"/>
  <c r="CM221" i="24"/>
  <c r="EO221" i="24" s="1"/>
  <c r="CM289" i="24"/>
  <c r="EO289" i="24" s="1"/>
  <c r="CM249" i="24"/>
  <c r="EO249" i="24" s="1"/>
  <c r="CM316" i="24"/>
  <c r="EO316" i="24" s="1"/>
  <c r="CM308" i="24"/>
  <c r="EO308" i="24" s="1"/>
  <c r="CM300" i="24"/>
  <c r="EO300" i="24" s="1"/>
  <c r="CM292" i="24"/>
  <c r="EO292" i="24" s="1"/>
  <c r="CM284" i="24"/>
  <c r="EO284" i="24" s="1"/>
  <c r="CM276" i="24"/>
  <c r="EO276" i="24" s="1"/>
  <c r="CM268" i="24"/>
  <c r="EO268" i="24" s="1"/>
  <c r="CM260" i="24"/>
  <c r="EO260" i="24" s="1"/>
  <c r="CM252" i="24"/>
  <c r="EO252" i="24" s="1"/>
  <c r="CM244" i="24"/>
  <c r="EO244" i="24" s="1"/>
  <c r="CM236" i="24"/>
  <c r="EO236" i="24" s="1"/>
  <c r="CM228" i="24"/>
  <c r="EO228" i="24" s="1"/>
  <c r="CM220" i="24"/>
  <c r="EO220" i="24" s="1"/>
  <c r="CM226" i="24"/>
  <c r="EO226" i="24" s="1"/>
  <c r="CM297" i="24"/>
  <c r="EO297" i="24" s="1"/>
  <c r="CM265" i="24"/>
  <c r="EO265" i="24" s="1"/>
  <c r="CM225" i="24"/>
  <c r="EO225" i="24" s="1"/>
  <c r="CM315" i="24"/>
  <c r="EO315" i="24" s="1"/>
  <c r="CM307" i="24"/>
  <c r="EO307" i="24" s="1"/>
  <c r="CM299" i="24"/>
  <c r="EO299" i="24" s="1"/>
  <c r="CM291" i="24"/>
  <c r="EO291" i="24" s="1"/>
  <c r="CM283" i="24"/>
  <c r="EO283" i="24" s="1"/>
  <c r="CM275" i="24"/>
  <c r="EO275" i="24" s="1"/>
  <c r="CM267" i="24"/>
  <c r="EO267" i="24" s="1"/>
  <c r="CM259" i="24"/>
  <c r="EO259" i="24" s="1"/>
  <c r="CM251" i="24"/>
  <c r="EO251" i="24" s="1"/>
  <c r="CM243" i="24"/>
  <c r="EO243" i="24" s="1"/>
  <c r="CM235" i="24"/>
  <c r="EO235" i="24" s="1"/>
  <c r="CM227" i="24"/>
  <c r="EO227" i="24" s="1"/>
  <c r="CM219" i="24"/>
  <c r="EO219" i="24" s="1"/>
  <c r="CM234" i="24"/>
  <c r="EO234" i="24" s="1"/>
  <c r="CM257" i="24"/>
  <c r="EO257" i="24" s="1"/>
  <c r="CM314" i="24"/>
  <c r="EO314" i="24" s="1"/>
  <c r="CM306" i="24"/>
  <c r="EO306" i="24" s="1"/>
  <c r="CM298" i="24"/>
  <c r="EO298" i="24" s="1"/>
  <c r="CM290" i="24"/>
  <c r="EO290" i="24" s="1"/>
  <c r="CM282" i="24"/>
  <c r="EO282" i="24" s="1"/>
  <c r="CM274" i="24"/>
  <c r="EO274" i="24" s="1"/>
  <c r="CM266" i="24"/>
  <c r="EO266" i="24" s="1"/>
  <c r="CM258" i="24"/>
  <c r="EO258" i="24" s="1"/>
  <c r="CM250" i="24"/>
  <c r="EO250" i="24" s="1"/>
  <c r="CM242" i="24"/>
  <c r="EO242" i="24" s="1"/>
  <c r="CM218" i="24"/>
  <c r="EO218" i="24" s="1"/>
  <c r="CM273" i="24"/>
  <c r="EO273" i="24" s="1"/>
  <c r="CM217" i="24"/>
  <c r="EO217" i="24" s="1"/>
  <c r="B16" i="29"/>
  <c r="B90" i="2"/>
  <c r="G11" i="2"/>
  <c r="Y14" i="2" s="1"/>
  <c r="Y19" i="2"/>
  <c r="B14" i="29"/>
  <c r="B131" i="2"/>
  <c r="M2" i="24"/>
  <c r="D43" i="16"/>
  <c r="K12" i="2"/>
  <c r="K11" i="2"/>
  <c r="BR5" i="24"/>
  <c r="B28" i="2"/>
  <c r="C43" i="16"/>
  <c r="B14" i="2"/>
  <c r="H110" i="25"/>
  <c r="H5" i="25"/>
  <c r="AH5" i="25" s="1"/>
  <c r="H216" i="25"/>
  <c r="B177" i="2"/>
  <c r="E39" i="1" s="1"/>
  <c r="B198" i="2"/>
  <c r="B194" i="2"/>
  <c r="B30" i="2"/>
  <c r="B141" i="2"/>
  <c r="H216" i="24"/>
  <c r="H110" i="24"/>
  <c r="E15" i="23"/>
  <c r="R15" i="23" s="1"/>
  <c r="E23" i="23"/>
  <c r="R23" i="23" s="1"/>
  <c r="E31" i="23"/>
  <c r="R31" i="23" s="1"/>
  <c r="E39" i="23"/>
  <c r="R39" i="23" s="1"/>
  <c r="E47" i="23"/>
  <c r="R47" i="23" s="1"/>
  <c r="E55" i="23"/>
  <c r="R55" i="23" s="1"/>
  <c r="E63" i="23"/>
  <c r="R63" i="23" s="1"/>
  <c r="E71" i="23"/>
  <c r="R71" i="23" s="1"/>
  <c r="E79" i="23"/>
  <c r="R79" i="23" s="1"/>
  <c r="E87" i="23"/>
  <c r="R87" i="23" s="1"/>
  <c r="E95" i="23"/>
  <c r="R95" i="23" s="1"/>
  <c r="E103" i="23"/>
  <c r="R103" i="23" s="1"/>
  <c r="E20" i="23"/>
  <c r="R20" i="23" s="1"/>
  <c r="E44" i="23"/>
  <c r="R44" i="23" s="1"/>
  <c r="E68" i="23"/>
  <c r="R68" i="23" s="1"/>
  <c r="E84" i="23"/>
  <c r="R84" i="23" s="1"/>
  <c r="E7" i="23"/>
  <c r="R7" i="23" s="1"/>
  <c r="E16" i="23"/>
  <c r="R16" i="23" s="1"/>
  <c r="E24" i="23"/>
  <c r="R24" i="23" s="1"/>
  <c r="E32" i="23"/>
  <c r="R32" i="23" s="1"/>
  <c r="E40" i="23"/>
  <c r="R40" i="23" s="1"/>
  <c r="E48" i="23"/>
  <c r="R48" i="23" s="1"/>
  <c r="E56" i="23"/>
  <c r="R56" i="23" s="1"/>
  <c r="E64" i="23"/>
  <c r="R64" i="23" s="1"/>
  <c r="E72" i="23"/>
  <c r="R72" i="23" s="1"/>
  <c r="E80" i="23"/>
  <c r="R80" i="23" s="1"/>
  <c r="E88" i="23"/>
  <c r="R88" i="23" s="1"/>
  <c r="E96" i="23"/>
  <c r="R96" i="23" s="1"/>
  <c r="E104" i="23"/>
  <c r="R104" i="23" s="1"/>
  <c r="E28" i="23"/>
  <c r="R28" i="23" s="1"/>
  <c r="E60" i="23"/>
  <c r="R60" i="23" s="1"/>
  <c r="E92" i="23"/>
  <c r="R92" i="23" s="1"/>
  <c r="E11" i="23"/>
  <c r="R11" i="23" s="1"/>
  <c r="E19" i="23"/>
  <c r="R19" i="23" s="1"/>
  <c r="E27" i="23"/>
  <c r="R27" i="23" s="1"/>
  <c r="E35" i="23"/>
  <c r="R35" i="23" s="1"/>
  <c r="E43" i="23"/>
  <c r="R43" i="23" s="1"/>
  <c r="E51" i="23"/>
  <c r="R51" i="23" s="1"/>
  <c r="E59" i="23"/>
  <c r="R59" i="23" s="1"/>
  <c r="E67" i="23"/>
  <c r="R67" i="23" s="1"/>
  <c r="E75" i="23"/>
  <c r="R75" i="23" s="1"/>
  <c r="E83" i="23"/>
  <c r="R83" i="23" s="1"/>
  <c r="E91" i="23"/>
  <c r="R91" i="23" s="1"/>
  <c r="E99" i="23"/>
  <c r="R99" i="23" s="1"/>
  <c r="E6" i="23"/>
  <c r="R6" i="23" s="1"/>
  <c r="E12" i="23"/>
  <c r="R12" i="23" s="1"/>
  <c r="E36" i="23"/>
  <c r="R36" i="23" s="1"/>
  <c r="E52" i="23"/>
  <c r="R52" i="23" s="1"/>
  <c r="E76" i="23"/>
  <c r="R76" i="23" s="1"/>
  <c r="E100" i="23"/>
  <c r="R100" i="23" s="1"/>
  <c r="E94" i="23"/>
  <c r="R94" i="23" s="1"/>
  <c r="E78" i="23"/>
  <c r="R78" i="23" s="1"/>
  <c r="E62" i="23"/>
  <c r="R62" i="23" s="1"/>
  <c r="E46" i="23"/>
  <c r="R46" i="23" s="1"/>
  <c r="E30" i="23"/>
  <c r="R30" i="23" s="1"/>
  <c r="E14" i="23"/>
  <c r="R14" i="23" s="1"/>
  <c r="E106" i="23"/>
  <c r="R106" i="23" s="1"/>
  <c r="E90" i="23"/>
  <c r="R90" i="23" s="1"/>
  <c r="E74" i="23"/>
  <c r="R74" i="23" s="1"/>
  <c r="E58" i="23"/>
  <c r="R58" i="23" s="1"/>
  <c r="E42" i="23"/>
  <c r="R42" i="23" s="1"/>
  <c r="E26" i="23"/>
  <c r="R26" i="23" s="1"/>
  <c r="E9" i="23"/>
  <c r="R9" i="23" s="1"/>
  <c r="E102" i="23"/>
  <c r="R102" i="23" s="1"/>
  <c r="E70" i="23"/>
  <c r="R70" i="23" s="1"/>
  <c r="E38" i="23"/>
  <c r="R38" i="23" s="1"/>
  <c r="E101" i="23"/>
  <c r="R101" i="23" s="1"/>
  <c r="E85" i="23"/>
  <c r="R85" i="23" s="1"/>
  <c r="E69" i="23"/>
  <c r="R69" i="23" s="1"/>
  <c r="E53" i="23"/>
  <c r="R53" i="23" s="1"/>
  <c r="E37" i="23"/>
  <c r="R37" i="23" s="1"/>
  <c r="E21" i="23"/>
  <c r="R21" i="23" s="1"/>
  <c r="E86" i="23"/>
  <c r="R86" i="23" s="1"/>
  <c r="E22" i="23"/>
  <c r="R22" i="23" s="1"/>
  <c r="E93" i="23"/>
  <c r="R93" i="23" s="1"/>
  <c r="E77" i="23"/>
  <c r="R77" i="23" s="1"/>
  <c r="E45" i="23"/>
  <c r="R45" i="23" s="1"/>
  <c r="E13" i="23"/>
  <c r="R13" i="23" s="1"/>
  <c r="E82" i="23"/>
  <c r="R82" i="23" s="1"/>
  <c r="E50" i="23"/>
  <c r="R50" i="23" s="1"/>
  <c r="E89" i="23"/>
  <c r="R89" i="23" s="1"/>
  <c r="E57" i="23"/>
  <c r="R57" i="23" s="1"/>
  <c r="E25" i="23"/>
  <c r="R25" i="23" s="1"/>
  <c r="E98" i="23"/>
  <c r="R98" i="23" s="1"/>
  <c r="E66" i="23"/>
  <c r="R66" i="23" s="1"/>
  <c r="E34" i="23"/>
  <c r="R34" i="23" s="1"/>
  <c r="E97" i="23"/>
  <c r="R97" i="23" s="1"/>
  <c r="E81" i="23"/>
  <c r="R81" i="23" s="1"/>
  <c r="E65" i="23"/>
  <c r="R65" i="23" s="1"/>
  <c r="E49" i="23"/>
  <c r="R49" i="23" s="1"/>
  <c r="E33" i="23"/>
  <c r="R33" i="23" s="1"/>
  <c r="E17" i="23"/>
  <c r="R17" i="23" s="1"/>
  <c r="E54" i="23"/>
  <c r="R54" i="23" s="1"/>
  <c r="E10" i="23"/>
  <c r="R10" i="23" s="1"/>
  <c r="E61" i="23"/>
  <c r="R61" i="23" s="1"/>
  <c r="E29" i="23"/>
  <c r="R29" i="23" s="1"/>
  <c r="E18" i="23"/>
  <c r="R18" i="23" s="1"/>
  <c r="E105" i="23"/>
  <c r="R105" i="23" s="1"/>
  <c r="E73" i="23"/>
  <c r="R73" i="23" s="1"/>
  <c r="E41" i="23"/>
  <c r="R41" i="23" s="1"/>
  <c r="E8" i="23"/>
  <c r="R8" i="23" s="1"/>
  <c r="D9" i="23"/>
  <c r="F9" i="23" s="1"/>
  <c r="D13" i="23"/>
  <c r="I13" i="23" s="1"/>
  <c r="D17" i="23"/>
  <c r="I17" i="23" s="1"/>
  <c r="D21" i="23"/>
  <c r="D25" i="23"/>
  <c r="I25" i="23" s="1"/>
  <c r="D29" i="23"/>
  <c r="D33" i="23"/>
  <c r="F33" i="23" s="1"/>
  <c r="D37" i="23"/>
  <c r="D41" i="23"/>
  <c r="F41" i="23" s="1"/>
  <c r="D45" i="23"/>
  <c r="D49" i="23"/>
  <c r="I49" i="23" s="1"/>
  <c r="D10" i="23"/>
  <c r="I10" i="23" s="1"/>
  <c r="D14" i="23"/>
  <c r="I14" i="23" s="1"/>
  <c r="D18" i="23"/>
  <c r="D22" i="23"/>
  <c r="I22" i="23" s="1"/>
  <c r="D26" i="23"/>
  <c r="D30" i="23"/>
  <c r="I30" i="23" s="1"/>
  <c r="D34" i="23"/>
  <c r="D38" i="23"/>
  <c r="F38" i="23" s="1"/>
  <c r="D42" i="23"/>
  <c r="D46" i="23"/>
  <c r="I46" i="23" s="1"/>
  <c r="D50" i="23"/>
  <c r="D54" i="23"/>
  <c r="I54" i="23" s="1"/>
  <c r="D58" i="23"/>
  <c r="D62" i="23"/>
  <c r="F62" i="23" s="1"/>
  <c r="D66" i="23"/>
  <c r="D70" i="23"/>
  <c r="F70" i="23" s="1"/>
  <c r="D74" i="23"/>
  <c r="D78" i="23"/>
  <c r="F78" i="23" s="1"/>
  <c r="D82" i="23"/>
  <c r="D86" i="23"/>
  <c r="F86" i="23" s="1"/>
  <c r="D90" i="23"/>
  <c r="D94" i="23"/>
  <c r="I94" i="23" s="1"/>
  <c r="D98" i="23"/>
  <c r="F98" i="23" s="1"/>
  <c r="D102" i="23"/>
  <c r="I102" i="23" s="1"/>
  <c r="D106" i="23"/>
  <c r="F106" i="23" s="1"/>
  <c r="D16" i="23"/>
  <c r="F16" i="23" s="1"/>
  <c r="D24" i="23"/>
  <c r="D32" i="23"/>
  <c r="I32" i="23" s="1"/>
  <c r="D40" i="23"/>
  <c r="D48" i="23"/>
  <c r="F48" i="23" s="1"/>
  <c r="D55" i="23"/>
  <c r="D60" i="23"/>
  <c r="I60" i="23" s="1"/>
  <c r="D65" i="23"/>
  <c r="I65" i="23" s="1"/>
  <c r="D71" i="23"/>
  <c r="I71" i="23" s="1"/>
  <c r="D76" i="23"/>
  <c r="F76" i="23" s="1"/>
  <c r="D81" i="23"/>
  <c r="I81" i="23" s="1"/>
  <c r="D87" i="23"/>
  <c r="D92" i="23"/>
  <c r="I92" i="23" s="1"/>
  <c r="D97" i="23"/>
  <c r="D103" i="23"/>
  <c r="I103" i="23" s="1"/>
  <c r="D7" i="23"/>
  <c r="F7" i="23" s="1"/>
  <c r="D23" i="23"/>
  <c r="F23" i="23" s="1"/>
  <c r="D39" i="23"/>
  <c r="F39" i="23" s="1"/>
  <c r="D53" i="23"/>
  <c r="I53" i="23" s="1"/>
  <c r="D64" i="23"/>
  <c r="D75" i="23"/>
  <c r="F75" i="23" s="1"/>
  <c r="D85" i="23"/>
  <c r="D96" i="23"/>
  <c r="F96" i="23" s="1"/>
  <c r="D8" i="23"/>
  <c r="D11" i="23"/>
  <c r="F11" i="23" s="1"/>
  <c r="D19" i="23"/>
  <c r="D27" i="23"/>
  <c r="F27" i="23" s="1"/>
  <c r="D35" i="23"/>
  <c r="D43" i="23"/>
  <c r="F43" i="23" s="1"/>
  <c r="D51" i="23"/>
  <c r="D56" i="23"/>
  <c r="F56" i="23" s="1"/>
  <c r="D61" i="23"/>
  <c r="I61" i="23" s="1"/>
  <c r="D67" i="23"/>
  <c r="I67" i="23" s="1"/>
  <c r="D72" i="23"/>
  <c r="D77" i="23"/>
  <c r="I77" i="23" s="1"/>
  <c r="D83" i="23"/>
  <c r="D88" i="23"/>
  <c r="I88" i="23" s="1"/>
  <c r="D93" i="23"/>
  <c r="D99" i="23"/>
  <c r="F99" i="23" s="1"/>
  <c r="D104" i="23"/>
  <c r="D6" i="23"/>
  <c r="I6" i="23" s="1"/>
  <c r="D12" i="23"/>
  <c r="I12" i="23" s="1"/>
  <c r="D20" i="23"/>
  <c r="I20" i="23" s="1"/>
  <c r="D28" i="23"/>
  <c r="D36" i="23"/>
  <c r="F36" i="23" s="1"/>
  <c r="D44" i="23"/>
  <c r="F44" i="23" s="1"/>
  <c r="D52" i="23"/>
  <c r="I52" i="23" s="1"/>
  <c r="D57" i="23"/>
  <c r="D63" i="23"/>
  <c r="I63" i="23" s="1"/>
  <c r="D68" i="23"/>
  <c r="D73" i="23"/>
  <c r="I73" i="23" s="1"/>
  <c r="D79" i="23"/>
  <c r="F79" i="23" s="1"/>
  <c r="D84" i="23"/>
  <c r="I84" i="23" s="1"/>
  <c r="D89" i="23"/>
  <c r="F89" i="23" s="1"/>
  <c r="D95" i="23"/>
  <c r="I95" i="23" s="1"/>
  <c r="D100" i="23"/>
  <c r="D105" i="23"/>
  <c r="I105" i="23" s="1"/>
  <c r="D15" i="23"/>
  <c r="D31" i="23"/>
  <c r="F31" i="23" s="1"/>
  <c r="D47" i="23"/>
  <c r="D59" i="23"/>
  <c r="F59" i="23" s="1"/>
  <c r="D69" i="23"/>
  <c r="F69" i="23" s="1"/>
  <c r="D80" i="23"/>
  <c r="I80" i="23" s="1"/>
  <c r="D91" i="23"/>
  <c r="D101" i="23"/>
  <c r="I101" i="23" s="1"/>
  <c r="B10" i="19"/>
  <c r="D10" i="19" s="1"/>
  <c r="CJ212" i="25" s="1"/>
  <c r="I16" i="8"/>
  <c r="J16" i="8" s="1"/>
  <c r="D165" i="2" s="1"/>
  <c r="B166" i="2" s="1"/>
  <c r="B11" i="19"/>
  <c r="D11" i="19" s="1"/>
  <c r="I4" i="8" s="1"/>
  <c r="J4" i="8" s="1"/>
  <c r="B221" i="2"/>
  <c r="B3" i="8"/>
  <c r="B159" i="8" s="1"/>
  <c r="B158" i="8" s="1"/>
  <c r="B157" i="8" s="1"/>
  <c r="B156" i="8" s="1"/>
  <c r="B155" i="8" s="1"/>
  <c r="B154" i="8" s="1"/>
  <c r="B153" i="8" s="1"/>
  <c r="B152" i="8" s="1"/>
  <c r="B151" i="8" s="1"/>
  <c r="B150" i="8" s="1"/>
  <c r="B149" i="8" s="1"/>
  <c r="B148" i="8" s="1"/>
  <c r="B147" i="8" s="1"/>
  <c r="B146" i="8" s="1"/>
  <c r="B145" i="8" s="1"/>
  <c r="B144" i="8" s="1"/>
  <c r="B143" i="8" s="1"/>
  <c r="B142" i="8" s="1"/>
  <c r="B141" i="8" s="1"/>
  <c r="B140" i="8" s="1"/>
  <c r="B139" i="8" s="1"/>
  <c r="B138" i="8" s="1"/>
  <c r="B137" i="8" s="1"/>
  <c r="B136" i="8" s="1"/>
  <c r="B135" i="8" s="1"/>
  <c r="B134" i="8" s="1"/>
  <c r="B133" i="8" s="1"/>
  <c r="B132" i="8" s="1"/>
  <c r="B131" i="8" s="1"/>
  <c r="B130" i="8" s="1"/>
  <c r="B129" i="8" s="1"/>
  <c r="B128" i="8" s="1"/>
  <c r="B127" i="8" s="1"/>
  <c r="B126" i="8" s="1"/>
  <c r="B125" i="8" s="1"/>
  <c r="B124" i="8" s="1"/>
  <c r="B123" i="8" s="1"/>
  <c r="B122" i="8" s="1"/>
  <c r="B121" i="8" s="1"/>
  <c r="B120" i="8" s="1"/>
  <c r="B119" i="8" s="1"/>
  <c r="B118" i="8" s="1"/>
  <c r="B117" i="8" s="1"/>
  <c r="B116" i="8" s="1"/>
  <c r="B115" i="8" s="1"/>
  <c r="B114" i="8" s="1"/>
  <c r="B113" i="8" s="1"/>
  <c r="B112" i="8" s="1"/>
  <c r="B111" i="8" s="1"/>
  <c r="B110" i="8" s="1"/>
  <c r="B109" i="8" s="1"/>
  <c r="B108" i="8" s="1"/>
  <c r="B107" i="8" s="1"/>
  <c r="B106" i="8" s="1"/>
  <c r="B105" i="8" s="1"/>
  <c r="B104" i="8" s="1"/>
  <c r="B103" i="8" s="1"/>
  <c r="B102" i="8" s="1"/>
  <c r="B101" i="8" s="1"/>
  <c r="B100" i="8" s="1"/>
  <c r="B99" i="8" s="1"/>
  <c r="B98" i="8" s="1"/>
  <c r="B97" i="8" s="1"/>
  <c r="B96" i="8" s="1"/>
  <c r="B95" i="8" s="1"/>
  <c r="B94" i="8" s="1"/>
  <c r="B93" i="8" s="1"/>
  <c r="B92" i="8" s="1"/>
  <c r="B91" i="8" s="1"/>
  <c r="B90" i="8" s="1"/>
  <c r="B89" i="8" s="1"/>
  <c r="B88" i="8" s="1"/>
  <c r="B87" i="8" s="1"/>
  <c r="B86" i="8" s="1"/>
  <c r="B85" i="8" s="1"/>
  <c r="B84" i="8" s="1"/>
  <c r="B83" i="8" s="1"/>
  <c r="B82" i="8" s="1"/>
  <c r="B81" i="8" s="1"/>
  <c r="B80" i="8" s="1"/>
  <c r="B79" i="8" s="1"/>
  <c r="B78" i="8" s="1"/>
  <c r="B77" i="8" s="1"/>
  <c r="B76" i="8" s="1"/>
  <c r="B75" i="8" s="1"/>
  <c r="B74" i="8" s="1"/>
  <c r="B73" i="8" s="1"/>
  <c r="B72" i="8" s="1"/>
  <c r="B71" i="8" s="1"/>
  <c r="B70" i="8" s="1"/>
  <c r="B69" i="8" s="1"/>
  <c r="B68" i="8" s="1"/>
  <c r="B67" i="8" s="1"/>
  <c r="B66" i="8" s="1"/>
  <c r="B65" i="8" s="1"/>
  <c r="B64" i="8" s="1"/>
  <c r="B63" i="8" s="1"/>
  <c r="B62" i="8" s="1"/>
  <c r="B61" i="8" s="1"/>
  <c r="B60" i="8" s="1"/>
  <c r="B59" i="8" s="1"/>
  <c r="B58" i="8" s="1"/>
  <c r="B57" i="8" s="1"/>
  <c r="B56" i="8" s="1"/>
  <c r="B55" i="8" s="1"/>
  <c r="B54" i="8" s="1"/>
  <c r="B53" i="8" s="1"/>
  <c r="B52" i="8" s="1"/>
  <c r="B51" i="8" s="1"/>
  <c r="B50" i="8" s="1"/>
  <c r="B49" i="8" s="1"/>
  <c r="B48" i="8" s="1"/>
  <c r="B47" i="8" s="1"/>
  <c r="B46" i="8" s="1"/>
  <c r="B45" i="8" s="1"/>
  <c r="B44" i="8" s="1"/>
  <c r="B43" i="8" s="1"/>
  <c r="B42" i="8" s="1"/>
  <c r="B41" i="8" s="1"/>
  <c r="B40" i="8" s="1"/>
  <c r="B39" i="8" s="1"/>
  <c r="B38" i="8" s="1"/>
  <c r="B37" i="8" s="1"/>
  <c r="B36" i="8" s="1"/>
  <c r="B35" i="8" s="1"/>
  <c r="B34" i="8" s="1"/>
  <c r="B33" i="8" s="1"/>
  <c r="B32" i="8" s="1"/>
  <c r="B31" i="8" s="1"/>
  <c r="B30" i="8" s="1"/>
  <c r="B29" i="8" s="1"/>
  <c r="B28" i="8" s="1"/>
  <c r="B27" i="8" s="1"/>
  <c r="B26" i="8" s="1"/>
  <c r="B25" i="8" s="1"/>
  <c r="B24" i="8" s="1"/>
  <c r="B23" i="8" s="1"/>
  <c r="B22" i="8" s="1"/>
  <c r="B21" i="8" s="1"/>
  <c r="B20" i="8" s="1"/>
  <c r="B19" i="8" s="1"/>
  <c r="B18" i="8" s="1"/>
  <c r="B17" i="8" s="1"/>
  <c r="B16" i="8" s="1"/>
  <c r="B15" i="8" s="1"/>
  <c r="B14" i="8" s="1"/>
  <c r="B13" i="8" s="1"/>
  <c r="B12" i="8" s="1"/>
  <c r="B11" i="8" s="1"/>
  <c r="B10" i="8" s="1"/>
  <c r="B9" i="8" s="1"/>
  <c r="B8" i="8" s="1"/>
  <c r="B7" i="8" s="1"/>
  <c r="B6" i="8" s="1"/>
  <c r="B4" i="8" s="1"/>
  <c r="D31" i="16"/>
  <c r="D3" i="8"/>
  <c r="D159" i="8" s="1"/>
  <c r="D158" i="8" s="1"/>
  <c r="D157" i="8" s="1"/>
  <c r="D156" i="8" s="1"/>
  <c r="D155" i="8" s="1"/>
  <c r="D154" i="8" s="1"/>
  <c r="D153" i="8" s="1"/>
  <c r="D152" i="8" s="1"/>
  <c r="D151" i="8" s="1"/>
  <c r="D150" i="8" s="1"/>
  <c r="D149" i="8" s="1"/>
  <c r="D148" i="8" s="1"/>
  <c r="D147" i="8" s="1"/>
  <c r="D146" i="8" s="1"/>
  <c r="D145" i="8" s="1"/>
  <c r="D144" i="8" s="1"/>
  <c r="D143" i="8" s="1"/>
  <c r="D142" i="8" s="1"/>
  <c r="D141" i="8" s="1"/>
  <c r="D140" i="8" s="1"/>
  <c r="D139" i="8" s="1"/>
  <c r="D138" i="8" s="1"/>
  <c r="D137" i="8" s="1"/>
  <c r="D136" i="8" s="1"/>
  <c r="D135" i="8" s="1"/>
  <c r="D134" i="8" s="1"/>
  <c r="D133" i="8" s="1"/>
  <c r="D132" i="8" s="1"/>
  <c r="D131" i="8" s="1"/>
  <c r="D130" i="8" s="1"/>
  <c r="D129" i="8" s="1"/>
  <c r="D128" i="8" s="1"/>
  <c r="D127" i="8" s="1"/>
  <c r="D126" i="8" s="1"/>
  <c r="D125" i="8" s="1"/>
  <c r="D124" i="8" s="1"/>
  <c r="D123" i="8" s="1"/>
  <c r="D122" i="8" s="1"/>
  <c r="D121" i="8" s="1"/>
  <c r="D120" i="8" s="1"/>
  <c r="D119" i="8" s="1"/>
  <c r="D118" i="8" s="1"/>
  <c r="D117" i="8" s="1"/>
  <c r="D116" i="8" s="1"/>
  <c r="D115" i="8" s="1"/>
  <c r="D114" i="8" s="1"/>
  <c r="D113" i="8" s="1"/>
  <c r="D112" i="8" s="1"/>
  <c r="D111" i="8" s="1"/>
  <c r="D110" i="8" s="1"/>
  <c r="D109" i="8" s="1"/>
  <c r="D108" i="8" s="1"/>
  <c r="D107" i="8" s="1"/>
  <c r="D106" i="8" s="1"/>
  <c r="D105" i="8" s="1"/>
  <c r="D104" i="8" s="1"/>
  <c r="D103" i="8" s="1"/>
  <c r="D102" i="8" s="1"/>
  <c r="D101" i="8" s="1"/>
  <c r="D100" i="8" s="1"/>
  <c r="D99" i="8" s="1"/>
  <c r="D98" i="8" s="1"/>
  <c r="D97" i="8" s="1"/>
  <c r="D96" i="8" s="1"/>
  <c r="D95" i="8" s="1"/>
  <c r="D94" i="8" s="1"/>
  <c r="D93" i="8" s="1"/>
  <c r="D92" i="8" s="1"/>
  <c r="D91" i="8" s="1"/>
  <c r="D90" i="8" s="1"/>
  <c r="D89" i="8" s="1"/>
  <c r="D88" i="8" s="1"/>
  <c r="D87" i="8" s="1"/>
  <c r="D86" i="8" s="1"/>
  <c r="D85" i="8" s="1"/>
  <c r="D84" i="8" s="1"/>
  <c r="D83" i="8" s="1"/>
  <c r="D82" i="8" s="1"/>
  <c r="D81" i="8" s="1"/>
  <c r="D80" i="8" s="1"/>
  <c r="D79" i="8" s="1"/>
  <c r="D78" i="8" s="1"/>
  <c r="D77" i="8" s="1"/>
  <c r="D76" i="8" s="1"/>
  <c r="D75" i="8" s="1"/>
  <c r="D74" i="8" s="1"/>
  <c r="D73" i="8" s="1"/>
  <c r="D72" i="8" s="1"/>
  <c r="D71" i="8" s="1"/>
  <c r="D70" i="8" s="1"/>
  <c r="D69" i="8" s="1"/>
  <c r="D68" i="8" s="1"/>
  <c r="D67" i="8" s="1"/>
  <c r="D66" i="8" s="1"/>
  <c r="D65" i="8" s="1"/>
  <c r="D64" i="8" s="1"/>
  <c r="D63" i="8" s="1"/>
  <c r="D62" i="8" s="1"/>
  <c r="D61" i="8" s="1"/>
  <c r="D60" i="8" s="1"/>
  <c r="D59" i="8" s="1"/>
  <c r="D58" i="8" s="1"/>
  <c r="D57" i="8" s="1"/>
  <c r="D56" i="8" s="1"/>
  <c r="D55" i="8" s="1"/>
  <c r="D54" i="8" s="1"/>
  <c r="D53" i="8" s="1"/>
  <c r="D52" i="8" s="1"/>
  <c r="D51" i="8" s="1"/>
  <c r="D50" i="8" s="1"/>
  <c r="D49" i="8" s="1"/>
  <c r="D48" i="8" s="1"/>
  <c r="D47" i="8" s="1"/>
  <c r="D46" i="8" s="1"/>
  <c r="D45" i="8" s="1"/>
  <c r="D44" i="8" s="1"/>
  <c r="D43" i="8" s="1"/>
  <c r="D42" i="8" s="1"/>
  <c r="D41" i="8" s="1"/>
  <c r="D40" i="8" s="1"/>
  <c r="D39" i="8" s="1"/>
  <c r="D38" i="8" s="1"/>
  <c r="D37" i="8" s="1"/>
  <c r="D36" i="8" s="1"/>
  <c r="D35" i="8" s="1"/>
  <c r="D34" i="8" s="1"/>
  <c r="D33" i="8" s="1"/>
  <c r="D32" i="8" s="1"/>
  <c r="D31" i="8" s="1"/>
  <c r="D30" i="8" s="1"/>
  <c r="D29" i="8" s="1"/>
  <c r="D28" i="8" s="1"/>
  <c r="D27" i="8" s="1"/>
  <c r="D26" i="8" s="1"/>
  <c r="D25" i="8" s="1"/>
  <c r="D24" i="8" s="1"/>
  <c r="D23" i="8" s="1"/>
  <c r="D22" i="8" s="1"/>
  <c r="D21" i="8" s="1"/>
  <c r="D20" i="8" s="1"/>
  <c r="D19" i="8" s="1"/>
  <c r="D18" i="8" s="1"/>
  <c r="D17" i="8" s="1"/>
  <c r="D16" i="8" s="1"/>
  <c r="D15" i="8" s="1"/>
  <c r="D14" i="8" s="1"/>
  <c r="D13" i="8" s="1"/>
  <c r="D12" i="8" s="1"/>
  <c r="D11" i="8" s="1"/>
  <c r="D10" i="8" s="1"/>
  <c r="D9" i="8" s="1"/>
  <c r="D8" i="8" s="1"/>
  <c r="D7" i="8" s="1"/>
  <c r="D6" i="8" s="1"/>
  <c r="D4" i="8" s="1"/>
  <c r="E159" i="8"/>
  <c r="E158" i="8" s="1"/>
  <c r="E157" i="8" s="1"/>
  <c r="E156" i="8" s="1"/>
  <c r="E155" i="8" s="1"/>
  <c r="E154" i="8" s="1"/>
  <c r="E153" i="8" s="1"/>
  <c r="E152" i="8" s="1"/>
  <c r="E151" i="8" s="1"/>
  <c r="E150" i="8" s="1"/>
  <c r="E149" i="8" s="1"/>
  <c r="E148" i="8" s="1"/>
  <c r="E147" i="8" s="1"/>
  <c r="E146" i="8" s="1"/>
  <c r="E145" i="8" s="1"/>
  <c r="E144" i="8" s="1"/>
  <c r="E143" i="8" s="1"/>
  <c r="E142" i="8" s="1"/>
  <c r="E141" i="8" s="1"/>
  <c r="E140" i="8" s="1"/>
  <c r="E139" i="8" s="1"/>
  <c r="E138" i="8" s="1"/>
  <c r="E137" i="8" s="1"/>
  <c r="E136" i="8" s="1"/>
  <c r="E135" i="8" s="1"/>
  <c r="E134" i="8" s="1"/>
  <c r="E133" i="8" s="1"/>
  <c r="E132" i="8" s="1"/>
  <c r="E131" i="8" s="1"/>
  <c r="E130" i="8" s="1"/>
  <c r="E129" i="8" s="1"/>
  <c r="E128" i="8" s="1"/>
  <c r="E127" i="8" s="1"/>
  <c r="E126" i="8" s="1"/>
  <c r="E125" i="8" s="1"/>
  <c r="E124" i="8" s="1"/>
  <c r="E123" i="8" s="1"/>
  <c r="E122" i="8" s="1"/>
  <c r="E121" i="8" s="1"/>
  <c r="E120" i="8" s="1"/>
  <c r="E119" i="8" s="1"/>
  <c r="E118" i="8" s="1"/>
  <c r="E117" i="8" s="1"/>
  <c r="E116" i="8" s="1"/>
  <c r="E115" i="8" s="1"/>
  <c r="E114" i="8" s="1"/>
  <c r="E113" i="8" s="1"/>
  <c r="E112" i="8" s="1"/>
  <c r="E111" i="8" s="1"/>
  <c r="E110" i="8" s="1"/>
  <c r="E109" i="8" s="1"/>
  <c r="E108" i="8" s="1"/>
  <c r="E107" i="8" s="1"/>
  <c r="E106" i="8" s="1"/>
  <c r="E105" i="8" s="1"/>
  <c r="E104" i="8" s="1"/>
  <c r="E103" i="8" s="1"/>
  <c r="E102" i="8" s="1"/>
  <c r="E101" i="8" s="1"/>
  <c r="E100" i="8" s="1"/>
  <c r="E99" i="8" s="1"/>
  <c r="E98" i="8" s="1"/>
  <c r="E97" i="8" s="1"/>
  <c r="E96" i="8" s="1"/>
  <c r="E95" i="8" s="1"/>
  <c r="E94" i="8" s="1"/>
  <c r="E93" i="8" s="1"/>
  <c r="E92" i="8" s="1"/>
  <c r="E91" i="8" s="1"/>
  <c r="E90" i="8" s="1"/>
  <c r="E89" i="8" s="1"/>
  <c r="E88" i="8" s="1"/>
  <c r="E87" i="8" s="1"/>
  <c r="E86" i="8" s="1"/>
  <c r="E85" i="8" s="1"/>
  <c r="E84" i="8" s="1"/>
  <c r="E83" i="8" s="1"/>
  <c r="E82" i="8" s="1"/>
  <c r="E81" i="8" s="1"/>
  <c r="E80" i="8" s="1"/>
  <c r="E79" i="8" s="1"/>
  <c r="E78" i="8" s="1"/>
  <c r="E77" i="8" s="1"/>
  <c r="E76" i="8" s="1"/>
  <c r="E75" i="8" s="1"/>
  <c r="E74" i="8" s="1"/>
  <c r="E73" i="8" s="1"/>
  <c r="E72" i="8" s="1"/>
  <c r="E71" i="8" s="1"/>
  <c r="E70" i="8" s="1"/>
  <c r="E69" i="8" s="1"/>
  <c r="E68" i="8" s="1"/>
  <c r="E67" i="8" s="1"/>
  <c r="E66" i="8" s="1"/>
  <c r="E65" i="8" s="1"/>
  <c r="E64" i="8" s="1"/>
  <c r="E63" i="8" s="1"/>
  <c r="E62" i="8" s="1"/>
  <c r="E61" i="8" s="1"/>
  <c r="E60" i="8" s="1"/>
  <c r="E59" i="8" s="1"/>
  <c r="E58" i="8" s="1"/>
  <c r="E57" i="8" s="1"/>
  <c r="E56" i="8" s="1"/>
  <c r="E55" i="8" s="1"/>
  <c r="E54" i="8" s="1"/>
  <c r="E53" i="8" s="1"/>
  <c r="E52" i="8" s="1"/>
  <c r="E51" i="8" s="1"/>
  <c r="E50" i="8" s="1"/>
  <c r="E49" i="8" s="1"/>
  <c r="E48" i="8" s="1"/>
  <c r="E47" i="8" s="1"/>
  <c r="E46" i="8" s="1"/>
  <c r="E45" i="8" s="1"/>
  <c r="E44" i="8" s="1"/>
  <c r="E43" i="8" s="1"/>
  <c r="E42" i="8" s="1"/>
  <c r="E41" i="8" s="1"/>
  <c r="E40" i="8" s="1"/>
  <c r="E39" i="8" s="1"/>
  <c r="E38" i="8" s="1"/>
  <c r="E37" i="8" s="1"/>
  <c r="E36" i="8" s="1"/>
  <c r="E35" i="8" s="1"/>
  <c r="E34" i="8" s="1"/>
  <c r="E33" i="8" s="1"/>
  <c r="E32" i="8" s="1"/>
  <c r="E31" i="8" s="1"/>
  <c r="E30" i="8" s="1"/>
  <c r="E29" i="8" s="1"/>
  <c r="E28" i="8" s="1"/>
  <c r="E27" i="8" s="1"/>
  <c r="E26" i="8" s="1"/>
  <c r="E25" i="8" s="1"/>
  <c r="E24" i="8" s="1"/>
  <c r="E23" i="8" s="1"/>
  <c r="E22" i="8" s="1"/>
  <c r="E21" i="8" s="1"/>
  <c r="E20" i="8" s="1"/>
  <c r="E19" i="8" s="1"/>
  <c r="E18" i="8" s="1"/>
  <c r="E17" i="8" s="1"/>
  <c r="E16" i="8" s="1"/>
  <c r="E15" i="8" s="1"/>
  <c r="E14" i="8" s="1"/>
  <c r="E13" i="8" s="1"/>
  <c r="E12" i="8" s="1"/>
  <c r="E11" i="8" s="1"/>
  <c r="E10" i="8" s="1"/>
  <c r="E9" i="8" s="1"/>
  <c r="E8" i="8" s="1"/>
  <c r="E7" i="8" s="1"/>
  <c r="E6" i="8" s="1"/>
  <c r="E4" i="8" s="1"/>
  <c r="B222" i="2"/>
  <c r="S60" i="2"/>
  <c r="B216" i="2"/>
  <c r="I56" i="2"/>
  <c r="C3" i="8"/>
  <c r="C159" i="8" s="1"/>
  <c r="C158" i="8" s="1"/>
  <c r="A216" i="2"/>
  <c r="F40" i="1"/>
  <c r="B9" i="19"/>
  <c r="D9" i="19" s="1"/>
  <c r="B17" i="19"/>
  <c r="D17" i="19" s="1"/>
  <c r="B205" i="2"/>
  <c r="B13" i="2"/>
  <c r="CR195" i="25" l="1"/>
  <c r="L12" i="1"/>
  <c r="Q88" i="2"/>
  <c r="CQ136" i="24"/>
  <c r="CR136" i="24" s="1"/>
  <c r="CT136" i="24" s="1"/>
  <c r="CQ204" i="24"/>
  <c r="CR204" i="24" s="1"/>
  <c r="CT204" i="24" s="1"/>
  <c r="CQ140" i="24"/>
  <c r="CR140" i="24" s="1"/>
  <c r="CT140" i="24" s="1"/>
  <c r="CQ149" i="24"/>
  <c r="CR149" i="24" s="1"/>
  <c r="CT149" i="24" s="1"/>
  <c r="CO140" i="24"/>
  <c r="CR197" i="25"/>
  <c r="CS197" i="25" s="1"/>
  <c r="CR111" i="25"/>
  <c r="CQ175" i="24"/>
  <c r="CR175" i="24" s="1"/>
  <c r="CT175" i="24" s="1"/>
  <c r="CR200" i="25"/>
  <c r="CO136" i="24"/>
  <c r="CO174" i="24"/>
  <c r="CQ131" i="24"/>
  <c r="CR131" i="24" s="1"/>
  <c r="CT131" i="24" s="1"/>
  <c r="CQ185" i="24"/>
  <c r="CR185" i="24" s="1"/>
  <c r="CT185" i="24" s="1"/>
  <c r="CQ174" i="24"/>
  <c r="CR174" i="24" s="1"/>
  <c r="CT174" i="24" s="1"/>
  <c r="CO185" i="24"/>
  <c r="CO175" i="24"/>
  <c r="CR152" i="25"/>
  <c r="CR126" i="25"/>
  <c r="CS126" i="25" s="1"/>
  <c r="CO204" i="24"/>
  <c r="CR116" i="25"/>
  <c r="CS116" i="25" s="1"/>
  <c r="CR185" i="25"/>
  <c r="CS185" i="25" s="1"/>
  <c r="CR143" i="25"/>
  <c r="CS143" i="25" s="1"/>
  <c r="CR125" i="25"/>
  <c r="CS125" i="25" s="1"/>
  <c r="CR179" i="25"/>
  <c r="CS179" i="25" s="1"/>
  <c r="CR140" i="25"/>
  <c r="CS140" i="25" s="1"/>
  <c r="CQ212" i="24"/>
  <c r="CR212" i="24" s="1"/>
  <c r="CT212" i="24" s="1"/>
  <c r="CO212" i="24"/>
  <c r="CR205" i="25"/>
  <c r="CS205" i="25" s="1"/>
  <c r="D33" i="16"/>
  <c r="D32" i="16"/>
  <c r="CQ114" i="24"/>
  <c r="CR114" i="24" s="1"/>
  <c r="CT114" i="24" s="1"/>
  <c r="CO177" i="24"/>
  <c r="CO165" i="24"/>
  <c r="CQ177" i="24"/>
  <c r="CR177" i="24" s="1"/>
  <c r="CT177" i="24" s="1"/>
  <c r="G327" i="24"/>
  <c r="I27" i="8" s="1"/>
  <c r="CQ128" i="24"/>
  <c r="CR128" i="24" s="1"/>
  <c r="CT128" i="24" s="1"/>
  <c r="CQ178" i="24"/>
  <c r="CR178" i="24" s="1"/>
  <c r="CT178" i="24" s="1"/>
  <c r="CR123" i="25"/>
  <c r="CS123" i="25" s="1"/>
  <c r="CQ122" i="24"/>
  <c r="CR122" i="24" s="1"/>
  <c r="CT122" i="24" s="1"/>
  <c r="CO178" i="24"/>
  <c r="CO128" i="24"/>
  <c r="FG212" i="25"/>
  <c r="CL212" i="25"/>
  <c r="DL212" i="25" s="1"/>
  <c r="DP212" i="25"/>
  <c r="EQ212" i="25"/>
  <c r="EU212" i="25" s="1"/>
  <c r="CP212" i="25"/>
  <c r="EM212" i="25"/>
  <c r="B18" i="29"/>
  <c r="CX212" i="25"/>
  <c r="CS212" i="25"/>
  <c r="L68" i="1"/>
  <c r="L70" i="1" s="1"/>
  <c r="E22" i="1"/>
  <c r="CJ212" i="24"/>
  <c r="N327" i="25"/>
  <c r="I29" i="8" s="1"/>
  <c r="CP223" i="25"/>
  <c r="EM223" i="25"/>
  <c r="CP287" i="25"/>
  <c r="EM287" i="25"/>
  <c r="CP240" i="25"/>
  <c r="EM240" i="25"/>
  <c r="CP304" i="25"/>
  <c r="EM304" i="25"/>
  <c r="CP257" i="25"/>
  <c r="EM257" i="25"/>
  <c r="CP294" i="25"/>
  <c r="EM294" i="25"/>
  <c r="CP274" i="25"/>
  <c r="EM274" i="25"/>
  <c r="CP219" i="25"/>
  <c r="EM219" i="25"/>
  <c r="CP283" i="25"/>
  <c r="EM283" i="25"/>
  <c r="CP228" i="25"/>
  <c r="EM228" i="25"/>
  <c r="CP292" i="25"/>
  <c r="EM292" i="25"/>
  <c r="CP229" i="25"/>
  <c r="EM229" i="25"/>
  <c r="CP293" i="25"/>
  <c r="EM293" i="25"/>
  <c r="CP231" i="25"/>
  <c r="EM231" i="25"/>
  <c r="CP295" i="25"/>
  <c r="EM295" i="25"/>
  <c r="CP248" i="25"/>
  <c r="EM248" i="25"/>
  <c r="CP312" i="25"/>
  <c r="EM312" i="25"/>
  <c r="CP265" i="25"/>
  <c r="EM265" i="25"/>
  <c r="CP218" i="25"/>
  <c r="EM218" i="25"/>
  <c r="CP282" i="25"/>
  <c r="EM282" i="25"/>
  <c r="CP227" i="25"/>
  <c r="EM227" i="25"/>
  <c r="CP291" i="25"/>
  <c r="EM291" i="25"/>
  <c r="CP236" i="25"/>
  <c r="EM236" i="25"/>
  <c r="CP300" i="25"/>
  <c r="EM300" i="25"/>
  <c r="CP237" i="25"/>
  <c r="EM237" i="25"/>
  <c r="CP301" i="25"/>
  <c r="EM301" i="25"/>
  <c r="CP239" i="25"/>
  <c r="EM239" i="25"/>
  <c r="CP303" i="25"/>
  <c r="EM303" i="25"/>
  <c r="CP256" i="25"/>
  <c r="EM256" i="25"/>
  <c r="CP286" i="25"/>
  <c r="EM286" i="25"/>
  <c r="CP273" i="25"/>
  <c r="EM273" i="25"/>
  <c r="CP226" i="25"/>
  <c r="EM226" i="25"/>
  <c r="CP290" i="25"/>
  <c r="EM290" i="25"/>
  <c r="CP235" i="25"/>
  <c r="EM235" i="25"/>
  <c r="CP299" i="25"/>
  <c r="EM299" i="25"/>
  <c r="CP244" i="25"/>
  <c r="EM244" i="25"/>
  <c r="CP308" i="25"/>
  <c r="EM308" i="25"/>
  <c r="CP245" i="25"/>
  <c r="EM245" i="25"/>
  <c r="CP309" i="25"/>
  <c r="EM309" i="25"/>
  <c r="CP247" i="25"/>
  <c r="EM247" i="25"/>
  <c r="CP311" i="25"/>
  <c r="EM311" i="25"/>
  <c r="CP264" i="25"/>
  <c r="EM264" i="25"/>
  <c r="CP217" i="25"/>
  <c r="EM217" i="25"/>
  <c r="CP281" i="25"/>
  <c r="EM281" i="25"/>
  <c r="CP234" i="25"/>
  <c r="EM234" i="25"/>
  <c r="CP298" i="25"/>
  <c r="EM298" i="25"/>
  <c r="CP243" i="25"/>
  <c r="EM243" i="25"/>
  <c r="CP307" i="25"/>
  <c r="EM307" i="25"/>
  <c r="CP252" i="25"/>
  <c r="EM252" i="25"/>
  <c r="CP316" i="25"/>
  <c r="EM316" i="25"/>
  <c r="CP253" i="25"/>
  <c r="EM253" i="25"/>
  <c r="CP255" i="25"/>
  <c r="EM255" i="25"/>
  <c r="CP230" i="25"/>
  <c r="EM230" i="25"/>
  <c r="CP272" i="25"/>
  <c r="EM272" i="25"/>
  <c r="CP225" i="25"/>
  <c r="EM225" i="25"/>
  <c r="CP289" i="25"/>
  <c r="EM289" i="25"/>
  <c r="CP242" i="25"/>
  <c r="EM242" i="25"/>
  <c r="CP306" i="25"/>
  <c r="EM306" i="25"/>
  <c r="CP251" i="25"/>
  <c r="EM251" i="25"/>
  <c r="CP315" i="25"/>
  <c r="EM315" i="25"/>
  <c r="CP260" i="25"/>
  <c r="EM260" i="25"/>
  <c r="CP222" i="25"/>
  <c r="EM222" i="25"/>
  <c r="CP261" i="25"/>
  <c r="EM261" i="25"/>
  <c r="CP263" i="25"/>
  <c r="EM263" i="25"/>
  <c r="CP302" i="25"/>
  <c r="EM302" i="25"/>
  <c r="CP280" i="25"/>
  <c r="EM280" i="25"/>
  <c r="CP233" i="25"/>
  <c r="EM233" i="25"/>
  <c r="CP297" i="25"/>
  <c r="EM297" i="25"/>
  <c r="CP250" i="25"/>
  <c r="EM250" i="25"/>
  <c r="CP314" i="25"/>
  <c r="EM314" i="25"/>
  <c r="CP259" i="25"/>
  <c r="EM259" i="25"/>
  <c r="CP254" i="25"/>
  <c r="EM254" i="25"/>
  <c r="CP268" i="25"/>
  <c r="EM268" i="25"/>
  <c r="CP246" i="25"/>
  <c r="EM246" i="25"/>
  <c r="CP269" i="25"/>
  <c r="EM269" i="25"/>
  <c r="CP310" i="25"/>
  <c r="EM310" i="25"/>
  <c r="CP271" i="25"/>
  <c r="EM271" i="25"/>
  <c r="CP224" i="25"/>
  <c r="EM224" i="25"/>
  <c r="CP288" i="25"/>
  <c r="EM288" i="25"/>
  <c r="CP241" i="25"/>
  <c r="EM241" i="25"/>
  <c r="CP305" i="25"/>
  <c r="EM305" i="25"/>
  <c r="CP258" i="25"/>
  <c r="EM258" i="25"/>
  <c r="CP238" i="25"/>
  <c r="EM238" i="25"/>
  <c r="CP267" i="25"/>
  <c r="EM267" i="25"/>
  <c r="CP278" i="25"/>
  <c r="EM278" i="25"/>
  <c r="CP276" i="25"/>
  <c r="EM276" i="25"/>
  <c r="CP262" i="25"/>
  <c r="EM262" i="25"/>
  <c r="CP277" i="25"/>
  <c r="EM277" i="25"/>
  <c r="CP216" i="25"/>
  <c r="EM216" i="25"/>
  <c r="CP279" i="25"/>
  <c r="EM279" i="25"/>
  <c r="CP232" i="25"/>
  <c r="EM232" i="25"/>
  <c r="CP296" i="25"/>
  <c r="EM296" i="25"/>
  <c r="CP249" i="25"/>
  <c r="EM249" i="25"/>
  <c r="CP313" i="25"/>
  <c r="EM313" i="25"/>
  <c r="CP266" i="25"/>
  <c r="EM266" i="25"/>
  <c r="CP270" i="25"/>
  <c r="EM270" i="25"/>
  <c r="CP275" i="25"/>
  <c r="EM275" i="25"/>
  <c r="CP220" i="25"/>
  <c r="EM220" i="25"/>
  <c r="CP284" i="25"/>
  <c r="EM284" i="25"/>
  <c r="CP221" i="25"/>
  <c r="EM221" i="25"/>
  <c r="CP285" i="25"/>
  <c r="EM285" i="25"/>
  <c r="G327" i="25"/>
  <c r="H329" i="25" s="1"/>
  <c r="I24" i="8" s="1"/>
  <c r="J24" i="8" s="1"/>
  <c r="CP113" i="25"/>
  <c r="CP170" i="25"/>
  <c r="CP139" i="25"/>
  <c r="CP203" i="25"/>
  <c r="CP121" i="25"/>
  <c r="CP172" i="25"/>
  <c r="CP165" i="25"/>
  <c r="CP142" i="25"/>
  <c r="CP206" i="25"/>
  <c r="CP167" i="25"/>
  <c r="CP136" i="25"/>
  <c r="CP200" i="25"/>
  <c r="CP169" i="25"/>
  <c r="CP114" i="25"/>
  <c r="CP178" i="25"/>
  <c r="CP147" i="25"/>
  <c r="CP177" i="25"/>
  <c r="CP116" i="25"/>
  <c r="CP180" i="25"/>
  <c r="CP173" i="25"/>
  <c r="CP150" i="25"/>
  <c r="CP161" i="25"/>
  <c r="CP110" i="25"/>
  <c r="CP175" i="25"/>
  <c r="CP144" i="25"/>
  <c r="CP208" i="25"/>
  <c r="CP122" i="25"/>
  <c r="CP186" i="25"/>
  <c r="CP155" i="25"/>
  <c r="CP124" i="25"/>
  <c r="CP188" i="25"/>
  <c r="CP117" i="25"/>
  <c r="CP181" i="25"/>
  <c r="CP158" i="25"/>
  <c r="CP201" i="25"/>
  <c r="CP119" i="25"/>
  <c r="CP183" i="25"/>
  <c r="CP152" i="25"/>
  <c r="CP130" i="25"/>
  <c r="CP194" i="25"/>
  <c r="CP163" i="25"/>
  <c r="CP132" i="25"/>
  <c r="CP196" i="25"/>
  <c r="CP153" i="25"/>
  <c r="CP125" i="25"/>
  <c r="CP189" i="25"/>
  <c r="CP166" i="25"/>
  <c r="CP127" i="25"/>
  <c r="CP191" i="25"/>
  <c r="CP160" i="25"/>
  <c r="CP138" i="25"/>
  <c r="CP202" i="25"/>
  <c r="CP137" i="25"/>
  <c r="CP171" i="25"/>
  <c r="CP140" i="25"/>
  <c r="CP204" i="25"/>
  <c r="CP133" i="25"/>
  <c r="CP197" i="25"/>
  <c r="CP174" i="25"/>
  <c r="CP135" i="25"/>
  <c r="CP199" i="25"/>
  <c r="CP168" i="25"/>
  <c r="CP146" i="25"/>
  <c r="CP210" i="25"/>
  <c r="CP185" i="25"/>
  <c r="CP115" i="25"/>
  <c r="CP179" i="25"/>
  <c r="CP148" i="25"/>
  <c r="CP141" i="25"/>
  <c r="CP205" i="25"/>
  <c r="CP129" i="25"/>
  <c r="CP118" i="25"/>
  <c r="CP182" i="25"/>
  <c r="CP143" i="25"/>
  <c r="CP207" i="25"/>
  <c r="CP145" i="25"/>
  <c r="CP111" i="25"/>
  <c r="CP176" i="25"/>
  <c r="CP154" i="25"/>
  <c r="CP123" i="25"/>
  <c r="CP187" i="25"/>
  <c r="CP156" i="25"/>
  <c r="CP149" i="25"/>
  <c r="CP193" i="25"/>
  <c r="CP126" i="25"/>
  <c r="CP190" i="25"/>
  <c r="CP151" i="25"/>
  <c r="CP209" i="25"/>
  <c r="CP120" i="25"/>
  <c r="CP184" i="25"/>
  <c r="CR112" i="25"/>
  <c r="CS112" i="25" s="1"/>
  <c r="EM112" i="25"/>
  <c r="CP162" i="25"/>
  <c r="CP131" i="25"/>
  <c r="CP195" i="25"/>
  <c r="CP164" i="25"/>
  <c r="CP157" i="25"/>
  <c r="CP134" i="25"/>
  <c r="CP198" i="25"/>
  <c r="CP159" i="25"/>
  <c r="CP128" i="25"/>
  <c r="CP192" i="25"/>
  <c r="CJ112" i="25"/>
  <c r="CR174" i="25"/>
  <c r="CS174" i="25" s="1"/>
  <c r="CO131" i="24"/>
  <c r="CO149" i="24"/>
  <c r="CQ165" i="24"/>
  <c r="CR165" i="24" s="1"/>
  <c r="CT165" i="24" s="1"/>
  <c r="CR161" i="25"/>
  <c r="CS161" i="25" s="1"/>
  <c r="CQ163" i="24"/>
  <c r="CR163" i="24" s="1"/>
  <c r="CT163" i="24" s="1"/>
  <c r="CO122" i="24"/>
  <c r="CO164" i="24"/>
  <c r="CO132" i="24"/>
  <c r="CO129" i="24"/>
  <c r="CQ167" i="24"/>
  <c r="CR167" i="24" s="1"/>
  <c r="CT167" i="24" s="1"/>
  <c r="CQ164" i="24"/>
  <c r="CR164" i="24" s="1"/>
  <c r="CT164" i="24" s="1"/>
  <c r="CQ192" i="24"/>
  <c r="CR192" i="24" s="1"/>
  <c r="CT192" i="24" s="1"/>
  <c r="CO112" i="24"/>
  <c r="CO124" i="24"/>
  <c r="CR169" i="25"/>
  <c r="CS169" i="25" s="1"/>
  <c r="CR138" i="25"/>
  <c r="CS138" i="25" s="1"/>
  <c r="CR189" i="25"/>
  <c r="CS189" i="25" s="1"/>
  <c r="CR207" i="25"/>
  <c r="CS207" i="25" s="1"/>
  <c r="CO117" i="24"/>
  <c r="CQ142" i="24"/>
  <c r="CR142" i="24" s="1"/>
  <c r="CT142" i="24" s="1"/>
  <c r="CO142" i="24"/>
  <c r="CQ120" i="24"/>
  <c r="CR120" i="24" s="1"/>
  <c r="CT120" i="24" s="1"/>
  <c r="CO138" i="24"/>
  <c r="CO192" i="24"/>
  <c r="CQ129" i="24"/>
  <c r="CR129" i="24" s="1"/>
  <c r="CT129" i="24" s="1"/>
  <c r="CQ132" i="24"/>
  <c r="CR132" i="24" s="1"/>
  <c r="CT132" i="24" s="1"/>
  <c r="CO166" i="24"/>
  <c r="CR164" i="25"/>
  <c r="CS164" i="25" s="1"/>
  <c r="CQ173" i="24"/>
  <c r="CR173" i="24" s="1"/>
  <c r="CT173" i="24" s="1"/>
  <c r="CQ112" i="24"/>
  <c r="CR112" i="24" s="1"/>
  <c r="CT112" i="24" s="1"/>
  <c r="CQ116" i="24"/>
  <c r="CR116" i="24" s="1"/>
  <c r="CT116" i="24" s="1"/>
  <c r="CQ124" i="24"/>
  <c r="CR124" i="24" s="1"/>
  <c r="CT124" i="24" s="1"/>
  <c r="CQ117" i="24"/>
  <c r="CR117" i="24" s="1"/>
  <c r="CT117" i="24" s="1"/>
  <c r="CR132" i="25"/>
  <c r="CS132" i="25" s="1"/>
  <c r="CR192" i="25"/>
  <c r="CS192" i="25" s="1"/>
  <c r="CO167" i="24"/>
  <c r="CR128" i="25"/>
  <c r="CS128" i="25" s="1"/>
  <c r="CQ166" i="24"/>
  <c r="CR166" i="24" s="1"/>
  <c r="CT166" i="24" s="1"/>
  <c r="CR114" i="25"/>
  <c r="CS114" i="25" s="1"/>
  <c r="CO171" i="24"/>
  <c r="CO173" i="24"/>
  <c r="CR172" i="25"/>
  <c r="CS172" i="25" s="1"/>
  <c r="CR159" i="25"/>
  <c r="CS159" i="25" s="1"/>
  <c r="CR201" i="25"/>
  <c r="CS201" i="25" s="1"/>
  <c r="CR115" i="25"/>
  <c r="CS115" i="25" s="1"/>
  <c r="CQ138" i="24"/>
  <c r="CR138" i="24" s="1"/>
  <c r="CT138" i="24" s="1"/>
  <c r="CO116" i="24"/>
  <c r="CQ115" i="24"/>
  <c r="CR115" i="24" s="1"/>
  <c r="CT115" i="24" s="1"/>
  <c r="CO176" i="24"/>
  <c r="CR141" i="25"/>
  <c r="CS141" i="25" s="1"/>
  <c r="CR131" i="25"/>
  <c r="CS131" i="25" s="1"/>
  <c r="CO125" i="24"/>
  <c r="CQ155" i="24"/>
  <c r="CR155" i="24" s="1"/>
  <c r="CT155" i="24" s="1"/>
  <c r="CR183" i="25"/>
  <c r="CS183" i="25" s="1"/>
  <c r="CQ118" i="24"/>
  <c r="CR118" i="24" s="1"/>
  <c r="CT118" i="24" s="1"/>
  <c r="CO118" i="24"/>
  <c r="CO111" i="24"/>
  <c r="CQ113" i="24"/>
  <c r="CR113" i="24" s="1"/>
  <c r="CT113" i="24" s="1"/>
  <c r="CQ119" i="24"/>
  <c r="CR119" i="24" s="1"/>
  <c r="CT119" i="24" s="1"/>
  <c r="CQ156" i="24"/>
  <c r="CR156" i="24" s="1"/>
  <c r="CT156" i="24" s="1"/>
  <c r="CO199" i="24"/>
  <c r="CR147" i="25"/>
  <c r="CS147" i="25" s="1"/>
  <c r="CR199" i="25"/>
  <c r="CS199" i="25" s="1"/>
  <c r="CQ176" i="24"/>
  <c r="CR176" i="24" s="1"/>
  <c r="CT176" i="24" s="1"/>
  <c r="CQ196" i="24"/>
  <c r="CR196" i="24" s="1"/>
  <c r="CT196" i="24" s="1"/>
  <c r="CQ153" i="24"/>
  <c r="CR153" i="24" s="1"/>
  <c r="CT153" i="24" s="1"/>
  <c r="CQ206" i="24"/>
  <c r="CR206" i="24" s="1"/>
  <c r="CT206" i="24" s="1"/>
  <c r="CR110" i="25"/>
  <c r="CX110" i="25" s="1"/>
  <c r="CY110" i="25" s="1"/>
  <c r="CO113" i="24"/>
  <c r="CO150" i="24"/>
  <c r="CQ111" i="24"/>
  <c r="CR111" i="24" s="1"/>
  <c r="CT111" i="24" s="1"/>
  <c r="CO119" i="24"/>
  <c r="CO196" i="24"/>
  <c r="CO198" i="24"/>
  <c r="CQ199" i="24"/>
  <c r="CR199" i="24" s="1"/>
  <c r="CT199" i="24" s="1"/>
  <c r="CR181" i="25"/>
  <c r="CS181" i="25" s="1"/>
  <c r="CO115" i="24"/>
  <c r="CR133" i="25"/>
  <c r="CS133" i="25" s="1"/>
  <c r="CR127" i="25"/>
  <c r="CS127" i="25" s="1"/>
  <c r="CO156" i="24"/>
  <c r="CO157" i="24"/>
  <c r="CQ198" i="24"/>
  <c r="CR198" i="24" s="1"/>
  <c r="CT198" i="24" s="1"/>
  <c r="CR155" i="25"/>
  <c r="CS155" i="25" s="1"/>
  <c r="CR120" i="25"/>
  <c r="CS120" i="25" s="1"/>
  <c r="CQ157" i="24"/>
  <c r="CR157" i="24" s="1"/>
  <c r="CT157" i="24" s="1"/>
  <c r="CR178" i="25"/>
  <c r="CS178" i="25" s="1"/>
  <c r="CR144" i="25"/>
  <c r="CS144" i="25" s="1"/>
  <c r="CQ158" i="24"/>
  <c r="CR158" i="24" s="1"/>
  <c r="CT158" i="24" s="1"/>
  <c r="CO168" i="24"/>
  <c r="CR153" i="25"/>
  <c r="CS153" i="25" s="1"/>
  <c r="CQ181" i="24"/>
  <c r="CR181" i="24" s="1"/>
  <c r="CT181" i="24" s="1"/>
  <c r="CQ110" i="24"/>
  <c r="CR110" i="24" s="1"/>
  <c r="DT110" i="24" s="1"/>
  <c r="CQ127" i="24"/>
  <c r="CR127" i="24" s="1"/>
  <c r="CT127" i="24" s="1"/>
  <c r="CQ205" i="24"/>
  <c r="CR205" i="24" s="1"/>
  <c r="CT205" i="24" s="1"/>
  <c r="CR124" i="25"/>
  <c r="CS124" i="25" s="1"/>
  <c r="CR156" i="25"/>
  <c r="CS156" i="25" s="1"/>
  <c r="CR162" i="25"/>
  <c r="CS162" i="25" s="1"/>
  <c r="CQ125" i="24"/>
  <c r="CR125" i="24" s="1"/>
  <c r="CT125" i="24" s="1"/>
  <c r="CO161" i="24"/>
  <c r="CO210" i="24"/>
  <c r="CR186" i="25"/>
  <c r="CS186" i="25" s="1"/>
  <c r="CR206" i="25"/>
  <c r="CS206" i="25" s="1"/>
  <c r="CO121" i="24"/>
  <c r="CO158" i="24"/>
  <c r="CR113" i="25"/>
  <c r="CS113" i="25" s="1"/>
  <c r="CQ161" i="24"/>
  <c r="CR161" i="24" s="1"/>
  <c r="CT161" i="24" s="1"/>
  <c r="CQ121" i="24"/>
  <c r="CR121" i="24" s="1"/>
  <c r="CT121" i="24" s="1"/>
  <c r="CR157" i="25"/>
  <c r="CS157" i="25" s="1"/>
  <c r="CO154" i="24"/>
  <c r="CQ210" i="24"/>
  <c r="CR210" i="24" s="1"/>
  <c r="CT210" i="24" s="1"/>
  <c r="CO127" i="24"/>
  <c r="CQ195" i="24"/>
  <c r="CR195" i="24" s="1"/>
  <c r="CT195" i="24" s="1"/>
  <c r="CO152" i="24"/>
  <c r="CQ170" i="24"/>
  <c r="CR170" i="24" s="1"/>
  <c r="CT170" i="24" s="1"/>
  <c r="CQ194" i="24"/>
  <c r="CR194" i="24" s="1"/>
  <c r="CT194" i="24" s="1"/>
  <c r="CR145" i="25"/>
  <c r="CS145" i="25" s="1"/>
  <c r="CR170" i="25"/>
  <c r="CS170" i="25" s="1"/>
  <c r="CO194" i="24"/>
  <c r="CR167" i="25"/>
  <c r="CS167" i="25" s="1"/>
  <c r="CR210" i="25"/>
  <c r="CS210" i="25" s="1"/>
  <c r="CR139" i="25"/>
  <c r="CS139" i="25" s="1"/>
  <c r="CQ151" i="24"/>
  <c r="CR151" i="24" s="1"/>
  <c r="CT151" i="24" s="1"/>
  <c r="CO191" i="24"/>
  <c r="CO170" i="24"/>
  <c r="CO151" i="24"/>
  <c r="CO195" i="24"/>
  <c r="CR142" i="25"/>
  <c r="CS142" i="25" s="1"/>
  <c r="CO208" i="24"/>
  <c r="CR173" i="25"/>
  <c r="CS173" i="25" s="1"/>
  <c r="CQ193" i="24"/>
  <c r="CR193" i="24" s="1"/>
  <c r="CT193" i="24" s="1"/>
  <c r="CR184" i="25"/>
  <c r="CS184" i="25" s="1"/>
  <c r="CO145" i="24"/>
  <c r="CQ208" i="24"/>
  <c r="CR208" i="24" s="1"/>
  <c r="CT208" i="24" s="1"/>
  <c r="CQ145" i="24"/>
  <c r="CR145" i="24" s="1"/>
  <c r="CT145" i="24" s="1"/>
  <c r="CR209" i="25"/>
  <c r="CS209" i="25" s="1"/>
  <c r="CO114" i="24"/>
  <c r="CO193" i="24"/>
  <c r="CQ191" i="24"/>
  <c r="CR191" i="24" s="1"/>
  <c r="CT191" i="24" s="1"/>
  <c r="CR136" i="25"/>
  <c r="CS136" i="25" s="1"/>
  <c r="CR117" i="25"/>
  <c r="CS117" i="25" s="1"/>
  <c r="CO148" i="24"/>
  <c r="CO120" i="24"/>
  <c r="CQ148" i="24"/>
  <c r="CR148" i="24" s="1"/>
  <c r="CT148" i="24" s="1"/>
  <c r="CQ152" i="24"/>
  <c r="CR152" i="24" s="1"/>
  <c r="CT152" i="24" s="1"/>
  <c r="CR198" i="25"/>
  <c r="CS198" i="25" s="1"/>
  <c r="CO155" i="24"/>
  <c r="CR188" i="25"/>
  <c r="CS188" i="25" s="1"/>
  <c r="CO205" i="24"/>
  <c r="CO202" i="24"/>
  <c r="CR203" i="25"/>
  <c r="CS203" i="25" s="1"/>
  <c r="CQ202" i="24"/>
  <c r="CR202" i="24" s="1"/>
  <c r="CT202" i="24" s="1"/>
  <c r="CO181" i="24"/>
  <c r="CQ168" i="24"/>
  <c r="CR168" i="24" s="1"/>
  <c r="CT168" i="24" s="1"/>
  <c r="CQ143" i="24"/>
  <c r="CR143" i="24" s="1"/>
  <c r="CT143" i="24" s="1"/>
  <c r="CQ146" i="24"/>
  <c r="CR146" i="24" s="1"/>
  <c r="CT146" i="24" s="1"/>
  <c r="CR191" i="25"/>
  <c r="CS191" i="25" s="1"/>
  <c r="CQ189" i="24"/>
  <c r="CR189" i="24" s="1"/>
  <c r="CT189" i="24" s="1"/>
  <c r="CR151" i="25"/>
  <c r="CS151" i="25" s="1"/>
  <c r="CR175" i="25"/>
  <c r="CS175" i="25" s="1"/>
  <c r="CO206" i="24"/>
  <c r="CQ150" i="24"/>
  <c r="CR150" i="24" s="1"/>
  <c r="CT150" i="24" s="1"/>
  <c r="CR202" i="25"/>
  <c r="CS202" i="25" s="1"/>
  <c r="CO153" i="24"/>
  <c r="CO209" i="24"/>
  <c r="CR204" i="25"/>
  <c r="CS204" i="25" s="1"/>
  <c r="CQ201" i="24"/>
  <c r="CR201" i="24" s="1"/>
  <c r="CT201" i="24" s="1"/>
  <c r="CO133" i="24"/>
  <c r="CR150" i="25"/>
  <c r="CS150" i="25" s="1"/>
  <c r="CO137" i="24"/>
  <c r="CQ137" i="24"/>
  <c r="CR137" i="24" s="1"/>
  <c r="CT137" i="24" s="1"/>
  <c r="CQ180" i="24"/>
  <c r="CR180" i="24" s="1"/>
  <c r="CT180" i="24" s="1"/>
  <c r="CQ141" i="24"/>
  <c r="CR141" i="24" s="1"/>
  <c r="CT141" i="24" s="1"/>
  <c r="CR148" i="25"/>
  <c r="CS148" i="25" s="1"/>
  <c r="CO201" i="24"/>
  <c r="CO182" i="24"/>
  <c r="CR187" i="25"/>
  <c r="CS187" i="25" s="1"/>
  <c r="CR190" i="25"/>
  <c r="CS190" i="25" s="1"/>
  <c r="CO183" i="24"/>
  <c r="CQ154" i="24"/>
  <c r="CR154" i="24" s="1"/>
  <c r="CT154" i="24" s="1"/>
  <c r="CQ182" i="24"/>
  <c r="CR182" i="24" s="1"/>
  <c r="CT182" i="24" s="1"/>
  <c r="CR129" i="25"/>
  <c r="CS129" i="25" s="1"/>
  <c r="CR182" i="25"/>
  <c r="CS182" i="25" s="1"/>
  <c r="CO187" i="24"/>
  <c r="CO141" i="24"/>
  <c r="CO180" i="24"/>
  <c r="CQ133" i="24"/>
  <c r="CR133" i="24" s="1"/>
  <c r="CT133" i="24" s="1"/>
  <c r="CQ187" i="24"/>
  <c r="CR187" i="24" s="1"/>
  <c r="CT187" i="24" s="1"/>
  <c r="CR158" i="25"/>
  <c r="CS158" i="25" s="1"/>
  <c r="CO184" i="24"/>
  <c r="CO162" i="24"/>
  <c r="CQ209" i="24"/>
  <c r="CR209" i="24" s="1"/>
  <c r="CT209" i="24" s="1"/>
  <c r="CQ162" i="24"/>
  <c r="CR162" i="24" s="1"/>
  <c r="CT162" i="24" s="1"/>
  <c r="CR168" i="25"/>
  <c r="CS168" i="25" s="1"/>
  <c r="CO134" i="24"/>
  <c r="CQ183" i="24"/>
  <c r="CR183" i="24" s="1"/>
  <c r="CT183" i="24" s="1"/>
  <c r="CQ134" i="24"/>
  <c r="CR134" i="24" s="1"/>
  <c r="CT134" i="24" s="1"/>
  <c r="CQ184" i="24"/>
  <c r="CR184" i="24" s="1"/>
  <c r="CT184" i="24" s="1"/>
  <c r="CO163" i="24"/>
  <c r="CQ197" i="24"/>
  <c r="CR197" i="24" s="1"/>
  <c r="CT197" i="24" s="1"/>
  <c r="CR146" i="25"/>
  <c r="CS146" i="25" s="1"/>
  <c r="CO130" i="24"/>
  <c r="CR5" i="24"/>
  <c r="DT5" i="24" s="1"/>
  <c r="CO179" i="24"/>
  <c r="CR171" i="25"/>
  <c r="CS171" i="25" s="1"/>
  <c r="CQ172" i="24"/>
  <c r="CR172" i="24" s="1"/>
  <c r="CT172" i="24" s="1"/>
  <c r="CR193" i="25"/>
  <c r="CS193" i="25" s="1"/>
  <c r="CR118" i="25"/>
  <c r="CS118" i="25" s="1"/>
  <c r="CR177" i="25"/>
  <c r="CS177" i="25" s="1"/>
  <c r="CQ171" i="24"/>
  <c r="CR171" i="24" s="1"/>
  <c r="CT171" i="24" s="1"/>
  <c r="CQ126" i="24"/>
  <c r="CR126" i="24" s="1"/>
  <c r="CT126" i="24" s="1"/>
  <c r="CO126" i="24"/>
  <c r="CO160" i="24"/>
  <c r="CO169" i="24"/>
  <c r="CQ160" i="24"/>
  <c r="CR160" i="24" s="1"/>
  <c r="CT160" i="24" s="1"/>
  <c r="CR196" i="25"/>
  <c r="CS196" i="25" s="1"/>
  <c r="CR121" i="25"/>
  <c r="CS121" i="25" s="1"/>
  <c r="CO123" i="24"/>
  <c r="CO197" i="24"/>
  <c r="CR135" i="25"/>
  <c r="CS135" i="25" s="1"/>
  <c r="CQ130" i="24"/>
  <c r="CR130" i="24" s="1"/>
  <c r="CT130" i="24" s="1"/>
  <c r="CR149" i="25"/>
  <c r="CS149" i="25" s="1"/>
  <c r="CO135" i="24"/>
  <c r="CO172" i="24"/>
  <c r="CQ169" i="24"/>
  <c r="CR169" i="24" s="1"/>
  <c r="CT169" i="24" s="1"/>
  <c r="CR166" i="25"/>
  <c r="CS166" i="25" s="1"/>
  <c r="CQ179" i="24"/>
  <c r="CR179" i="24" s="1"/>
  <c r="CT179" i="24" s="1"/>
  <c r="CQ144" i="24"/>
  <c r="CR144" i="24" s="1"/>
  <c r="CT144" i="24" s="1"/>
  <c r="CQ135" i="24"/>
  <c r="CR135" i="24" s="1"/>
  <c r="CT135" i="24" s="1"/>
  <c r="CR180" i="25"/>
  <c r="CS180" i="25" s="1"/>
  <c r="CO144" i="24"/>
  <c r="CQ123" i="24"/>
  <c r="CR123" i="24" s="1"/>
  <c r="CT123" i="24" s="1"/>
  <c r="CR154" i="25"/>
  <c r="CS154" i="25" s="1"/>
  <c r="L14" i="1"/>
  <c r="B83" i="2"/>
  <c r="CO139" i="24"/>
  <c r="CO203" i="24"/>
  <c r="CO190" i="24"/>
  <c r="CO159" i="24"/>
  <c r="CR208" i="25"/>
  <c r="CS208" i="25" s="1"/>
  <c r="CR119" i="25"/>
  <c r="CS119" i="25" s="1"/>
  <c r="CQ188" i="24"/>
  <c r="CR188" i="24" s="1"/>
  <c r="CT188" i="24" s="1"/>
  <c r="CR134" i="25"/>
  <c r="CS134" i="25" s="1"/>
  <c r="CR194" i="25"/>
  <c r="CS194" i="25" s="1"/>
  <c r="CO143" i="24"/>
  <c r="CR160" i="25"/>
  <c r="CS160" i="25" s="1"/>
  <c r="CO189" i="24"/>
  <c r="CQ207" i="24"/>
  <c r="CR207" i="24" s="1"/>
  <c r="CT207" i="24" s="1"/>
  <c r="CR130" i="25"/>
  <c r="CS130" i="25" s="1"/>
  <c r="CO200" i="24"/>
  <c r="CQ203" i="24"/>
  <c r="CR203" i="24" s="1"/>
  <c r="CT203" i="24" s="1"/>
  <c r="CO188" i="24"/>
  <c r="CR176" i="25"/>
  <c r="CS176" i="25" s="1"/>
  <c r="CQ147" i="24"/>
  <c r="CR147" i="24" s="1"/>
  <c r="CT147" i="24" s="1"/>
  <c r="CR165" i="25"/>
  <c r="CS165" i="25" s="1"/>
  <c r="CO146" i="24"/>
  <c r="CO186" i="24"/>
  <c r="CQ190" i="24"/>
  <c r="CR190" i="24" s="1"/>
  <c r="CT190" i="24" s="1"/>
  <c r="CO207" i="24"/>
  <c r="CQ139" i="24"/>
  <c r="CR139" i="24" s="1"/>
  <c r="CT139" i="24" s="1"/>
  <c r="CR163" i="25"/>
  <c r="CS163" i="25" s="1"/>
  <c r="CO147" i="24"/>
  <c r="CQ159" i="24"/>
  <c r="CR159" i="24" s="1"/>
  <c r="CT159" i="24" s="1"/>
  <c r="CR137" i="25"/>
  <c r="CS137" i="25" s="1"/>
  <c r="CQ186" i="24"/>
  <c r="CR186" i="24" s="1"/>
  <c r="CT186" i="24" s="1"/>
  <c r="CQ200" i="24"/>
  <c r="CR200" i="24" s="1"/>
  <c r="CT200" i="24" s="1"/>
  <c r="EO110" i="24"/>
  <c r="CW110" i="24"/>
  <c r="CX110" i="24" s="1"/>
  <c r="CN110" i="24" s="1"/>
  <c r="CN5" i="24"/>
  <c r="DA5" i="24" s="1"/>
  <c r="CS5" i="24"/>
  <c r="FD5" i="24" s="1"/>
  <c r="AW2" i="25"/>
  <c r="EA2" i="25"/>
  <c r="CZ5" i="24"/>
  <c r="CQ298" i="24"/>
  <c r="CR298" i="24" s="1"/>
  <c r="CT298" i="24" s="1"/>
  <c r="CO298" i="24"/>
  <c r="CO307" i="24"/>
  <c r="CQ307" i="24"/>
  <c r="CR307" i="24" s="1"/>
  <c r="CT307" i="24" s="1"/>
  <c r="CO236" i="24"/>
  <c r="CQ236" i="24"/>
  <c r="CR236" i="24" s="1"/>
  <c r="CT236" i="24" s="1"/>
  <c r="CO300" i="24"/>
  <c r="CQ300" i="24"/>
  <c r="CR300" i="24" s="1"/>
  <c r="CT300" i="24" s="1"/>
  <c r="CO309" i="24"/>
  <c r="CQ309" i="24"/>
  <c r="CR309" i="24" s="1"/>
  <c r="CT309" i="24" s="1"/>
  <c r="CQ262" i="24"/>
  <c r="CR262" i="24" s="1"/>
  <c r="CT262" i="24" s="1"/>
  <c r="CO262" i="24"/>
  <c r="CQ232" i="24"/>
  <c r="CR232" i="24" s="1"/>
  <c r="CT232" i="24" s="1"/>
  <c r="CO232" i="24"/>
  <c r="CO296" i="24"/>
  <c r="CQ296" i="24"/>
  <c r="CR296" i="24" s="1"/>
  <c r="CT296" i="24" s="1"/>
  <c r="CR247" i="25"/>
  <c r="CS247" i="25" s="1"/>
  <c r="CR311" i="25"/>
  <c r="CS311" i="25" s="1"/>
  <c r="CR264" i="25"/>
  <c r="CS264" i="25" s="1"/>
  <c r="CR217" i="25"/>
  <c r="CS217" i="25" s="1"/>
  <c r="CR281" i="25"/>
  <c r="CS281" i="25" s="1"/>
  <c r="CR234" i="25"/>
  <c r="CS234" i="25" s="1"/>
  <c r="CR298" i="25"/>
  <c r="CS298" i="25" s="1"/>
  <c r="CR243" i="25"/>
  <c r="CS243" i="25" s="1"/>
  <c r="CR307" i="25"/>
  <c r="CS307" i="25" s="1"/>
  <c r="CR252" i="25"/>
  <c r="CS252" i="25" s="1"/>
  <c r="CR316" i="25"/>
  <c r="CS316" i="25" s="1"/>
  <c r="CR253" i="25"/>
  <c r="CS253" i="25" s="1"/>
  <c r="CQ242" i="24"/>
  <c r="CR242" i="24" s="1"/>
  <c r="CT242" i="24" s="1"/>
  <c r="CO242" i="24"/>
  <c r="CO306" i="24"/>
  <c r="CQ306" i="24"/>
  <c r="CR306" i="24" s="1"/>
  <c r="CT306" i="24" s="1"/>
  <c r="CO251" i="24"/>
  <c r="CQ251" i="24"/>
  <c r="CR251" i="24" s="1"/>
  <c r="CT251" i="24" s="1"/>
  <c r="CO315" i="24"/>
  <c r="CQ315" i="24"/>
  <c r="CR315" i="24" s="1"/>
  <c r="CT315" i="24" s="1"/>
  <c r="CO244" i="24"/>
  <c r="CQ244" i="24"/>
  <c r="CR244" i="24" s="1"/>
  <c r="CT244" i="24" s="1"/>
  <c r="CQ308" i="24"/>
  <c r="CR308" i="24" s="1"/>
  <c r="CT308" i="24" s="1"/>
  <c r="CO308" i="24"/>
  <c r="CQ253" i="24"/>
  <c r="CR253" i="24" s="1"/>
  <c r="CT253" i="24" s="1"/>
  <c r="CO253" i="24"/>
  <c r="CO233" i="24"/>
  <c r="CQ233" i="24"/>
  <c r="CR233" i="24" s="1"/>
  <c r="CT233" i="24" s="1"/>
  <c r="CQ270" i="24"/>
  <c r="CR270" i="24" s="1"/>
  <c r="CT270" i="24" s="1"/>
  <c r="CO270" i="24"/>
  <c r="CW216" i="24"/>
  <c r="CX216" i="24" s="1"/>
  <c r="CO216" i="24"/>
  <c r="CQ216" i="24"/>
  <c r="CR216" i="24" s="1"/>
  <c r="CO279" i="24"/>
  <c r="CQ279" i="24"/>
  <c r="CR279" i="24" s="1"/>
  <c r="CT279" i="24" s="1"/>
  <c r="CQ240" i="24"/>
  <c r="CR240" i="24" s="1"/>
  <c r="CT240" i="24" s="1"/>
  <c r="CO240" i="24"/>
  <c r="CO304" i="24"/>
  <c r="CQ304" i="24"/>
  <c r="CR304" i="24" s="1"/>
  <c r="CT304" i="24" s="1"/>
  <c r="CR255" i="25"/>
  <c r="CS255" i="25" s="1"/>
  <c r="CR230" i="25"/>
  <c r="CS230" i="25" s="1"/>
  <c r="CR272" i="25"/>
  <c r="CS272" i="25" s="1"/>
  <c r="CR225" i="25"/>
  <c r="CS225" i="25" s="1"/>
  <c r="CR289" i="25"/>
  <c r="CS289" i="25" s="1"/>
  <c r="CR242" i="25"/>
  <c r="CS242" i="25" s="1"/>
  <c r="CR306" i="25"/>
  <c r="CS306" i="25" s="1"/>
  <c r="CR251" i="25"/>
  <c r="CS251" i="25" s="1"/>
  <c r="CR315" i="25"/>
  <c r="CS315" i="25" s="1"/>
  <c r="CR260" i="25"/>
  <c r="CS260" i="25" s="1"/>
  <c r="CR222" i="25"/>
  <c r="CS222" i="25" s="1"/>
  <c r="CR261" i="25"/>
  <c r="CS261" i="25" s="1"/>
  <c r="CQ218" i="24"/>
  <c r="CR218" i="24" s="1"/>
  <c r="CT218" i="24" s="1"/>
  <c r="CO218" i="24"/>
  <c r="CQ250" i="24"/>
  <c r="CR250" i="24" s="1"/>
  <c r="CT250" i="24" s="1"/>
  <c r="CO250" i="24"/>
  <c r="CO314" i="24"/>
  <c r="CQ314" i="24"/>
  <c r="CR314" i="24" s="1"/>
  <c r="CT314" i="24" s="1"/>
  <c r="CQ259" i="24"/>
  <c r="CR259" i="24" s="1"/>
  <c r="CT259" i="24" s="1"/>
  <c r="CO259" i="24"/>
  <c r="CO225" i="24"/>
  <c r="CQ225" i="24"/>
  <c r="CR225" i="24" s="1"/>
  <c r="CT225" i="24" s="1"/>
  <c r="CQ252" i="24"/>
  <c r="CR252" i="24" s="1"/>
  <c r="CT252" i="24" s="1"/>
  <c r="CO252" i="24"/>
  <c r="CO316" i="24"/>
  <c r="CQ316" i="24"/>
  <c r="CR316" i="24" s="1"/>
  <c r="CT316" i="24" s="1"/>
  <c r="CQ261" i="24"/>
  <c r="CR261" i="24" s="1"/>
  <c r="CT261" i="24" s="1"/>
  <c r="CO261" i="24"/>
  <c r="CO313" i="24"/>
  <c r="CQ313" i="24"/>
  <c r="CR313" i="24" s="1"/>
  <c r="CT313" i="24" s="1"/>
  <c r="CQ278" i="24"/>
  <c r="CR278" i="24" s="1"/>
  <c r="CT278" i="24" s="1"/>
  <c r="CO278" i="24"/>
  <c r="CQ223" i="24"/>
  <c r="CR223" i="24" s="1"/>
  <c r="CT223" i="24" s="1"/>
  <c r="CO223" i="24"/>
  <c r="CQ287" i="24"/>
  <c r="CR287" i="24" s="1"/>
  <c r="CT287" i="24" s="1"/>
  <c r="CO287" i="24"/>
  <c r="CQ248" i="24"/>
  <c r="CR248" i="24" s="1"/>
  <c r="CT248" i="24" s="1"/>
  <c r="CO248" i="24"/>
  <c r="CO312" i="24"/>
  <c r="CQ312" i="24"/>
  <c r="CR312" i="24" s="1"/>
  <c r="CT312" i="24" s="1"/>
  <c r="CR263" i="25"/>
  <c r="CS263" i="25" s="1"/>
  <c r="CR302" i="25"/>
  <c r="CS302" i="25" s="1"/>
  <c r="CR280" i="25"/>
  <c r="CS280" i="25" s="1"/>
  <c r="CR233" i="25"/>
  <c r="CS233" i="25" s="1"/>
  <c r="CR297" i="25"/>
  <c r="CS297" i="25" s="1"/>
  <c r="CR250" i="25"/>
  <c r="CS250" i="25" s="1"/>
  <c r="CR314" i="25"/>
  <c r="CS314" i="25" s="1"/>
  <c r="CR259" i="25"/>
  <c r="CS259" i="25" s="1"/>
  <c r="CR254" i="25"/>
  <c r="CS254" i="25" s="1"/>
  <c r="CR268" i="25"/>
  <c r="CS268" i="25" s="1"/>
  <c r="CR246" i="25"/>
  <c r="CS246" i="25" s="1"/>
  <c r="CR269" i="25"/>
  <c r="CS269" i="25" s="1"/>
  <c r="CO243" i="24"/>
  <c r="CQ243" i="24"/>
  <c r="CR243" i="24" s="1"/>
  <c r="CT243" i="24" s="1"/>
  <c r="CQ258" i="24"/>
  <c r="CR258" i="24" s="1"/>
  <c r="CT258" i="24" s="1"/>
  <c r="CO258" i="24"/>
  <c r="CO257" i="24"/>
  <c r="CQ257" i="24"/>
  <c r="CR257" i="24" s="1"/>
  <c r="CT257" i="24" s="1"/>
  <c r="CO267" i="24"/>
  <c r="CQ267" i="24"/>
  <c r="CR267" i="24" s="1"/>
  <c r="CT267" i="24" s="1"/>
  <c r="CO265" i="24"/>
  <c r="CQ265" i="24"/>
  <c r="CR265" i="24" s="1"/>
  <c r="CT265" i="24" s="1"/>
  <c r="CO260" i="24"/>
  <c r="CQ260" i="24"/>
  <c r="CR260" i="24" s="1"/>
  <c r="CT260" i="24" s="1"/>
  <c r="CQ249" i="24"/>
  <c r="CR249" i="24" s="1"/>
  <c r="CT249" i="24" s="1"/>
  <c r="CO249" i="24"/>
  <c r="CO269" i="24"/>
  <c r="CQ269" i="24"/>
  <c r="CR269" i="24" s="1"/>
  <c r="CT269" i="24" s="1"/>
  <c r="CO222" i="24"/>
  <c r="CQ222" i="24"/>
  <c r="CR222" i="24" s="1"/>
  <c r="CT222" i="24" s="1"/>
  <c r="CO286" i="24"/>
  <c r="CQ286" i="24"/>
  <c r="CR286" i="24" s="1"/>
  <c r="CT286" i="24" s="1"/>
  <c r="CQ231" i="24"/>
  <c r="CR231" i="24" s="1"/>
  <c r="CT231" i="24" s="1"/>
  <c r="CO231" i="24"/>
  <c r="CQ295" i="24"/>
  <c r="CR295" i="24" s="1"/>
  <c r="CT295" i="24" s="1"/>
  <c r="CO295" i="24"/>
  <c r="CO256" i="24"/>
  <c r="CQ256" i="24"/>
  <c r="CR256" i="24" s="1"/>
  <c r="CT256" i="24" s="1"/>
  <c r="CR310" i="25"/>
  <c r="CS310" i="25" s="1"/>
  <c r="CR271" i="25"/>
  <c r="CS271" i="25" s="1"/>
  <c r="CR224" i="25"/>
  <c r="CS224" i="25" s="1"/>
  <c r="CR288" i="25"/>
  <c r="CS288" i="25" s="1"/>
  <c r="CR241" i="25"/>
  <c r="CS241" i="25" s="1"/>
  <c r="CR305" i="25"/>
  <c r="CS305" i="25" s="1"/>
  <c r="CR258" i="25"/>
  <c r="CS258" i="25" s="1"/>
  <c r="CR238" i="25"/>
  <c r="CS238" i="25" s="1"/>
  <c r="CR267" i="25"/>
  <c r="CS267" i="25" s="1"/>
  <c r="CR278" i="25"/>
  <c r="CS278" i="25" s="1"/>
  <c r="CR276" i="25"/>
  <c r="CS276" i="25" s="1"/>
  <c r="CR262" i="25"/>
  <c r="CS262" i="25" s="1"/>
  <c r="CR277" i="25"/>
  <c r="CS277" i="25" s="1"/>
  <c r="CO245" i="24"/>
  <c r="CQ245" i="24"/>
  <c r="CR245" i="24" s="1"/>
  <c r="CT245" i="24" s="1"/>
  <c r="CO266" i="24"/>
  <c r="CQ266" i="24"/>
  <c r="CR266" i="24" s="1"/>
  <c r="CT266" i="24" s="1"/>
  <c r="CQ234" i="24"/>
  <c r="CR234" i="24" s="1"/>
  <c r="CT234" i="24" s="1"/>
  <c r="CO234" i="24"/>
  <c r="CQ275" i="24"/>
  <c r="CR275" i="24" s="1"/>
  <c r="CT275" i="24" s="1"/>
  <c r="CO275" i="24"/>
  <c r="CQ297" i="24"/>
  <c r="CR297" i="24" s="1"/>
  <c r="CT297" i="24" s="1"/>
  <c r="CO297" i="24"/>
  <c r="CO268" i="24"/>
  <c r="CQ268" i="24"/>
  <c r="CR268" i="24" s="1"/>
  <c r="CT268" i="24" s="1"/>
  <c r="CQ289" i="24"/>
  <c r="CR289" i="24" s="1"/>
  <c r="CT289" i="24" s="1"/>
  <c r="CO289" i="24"/>
  <c r="CQ277" i="24"/>
  <c r="CR277" i="24" s="1"/>
  <c r="CT277" i="24" s="1"/>
  <c r="CO277" i="24"/>
  <c r="CQ230" i="24"/>
  <c r="CR230" i="24" s="1"/>
  <c r="CT230" i="24" s="1"/>
  <c r="CO230" i="24"/>
  <c r="CQ294" i="24"/>
  <c r="CR294" i="24" s="1"/>
  <c r="CT294" i="24" s="1"/>
  <c r="CO294" i="24"/>
  <c r="CO239" i="24"/>
  <c r="CQ239" i="24"/>
  <c r="CR239" i="24" s="1"/>
  <c r="CT239" i="24" s="1"/>
  <c r="CQ303" i="24"/>
  <c r="CR303" i="24" s="1"/>
  <c r="CT303" i="24" s="1"/>
  <c r="CO303" i="24"/>
  <c r="CQ264" i="24"/>
  <c r="CR264" i="24" s="1"/>
  <c r="CT264" i="24" s="1"/>
  <c r="CO264" i="24"/>
  <c r="CR216" i="25"/>
  <c r="CX216" i="25" s="1"/>
  <c r="CY216" i="25" s="1"/>
  <c r="CR279" i="25"/>
  <c r="CS279" i="25" s="1"/>
  <c r="CR232" i="25"/>
  <c r="CS232" i="25" s="1"/>
  <c r="CR296" i="25"/>
  <c r="CS296" i="25" s="1"/>
  <c r="CR249" i="25"/>
  <c r="CS249" i="25" s="1"/>
  <c r="CR313" i="25"/>
  <c r="CS313" i="25" s="1"/>
  <c r="CR266" i="25"/>
  <c r="CS266" i="25" s="1"/>
  <c r="CR270" i="25"/>
  <c r="CS270" i="25" s="1"/>
  <c r="CR275" i="25"/>
  <c r="CS275" i="25" s="1"/>
  <c r="CR220" i="25"/>
  <c r="CS220" i="25" s="1"/>
  <c r="CR284" i="25"/>
  <c r="CS284" i="25" s="1"/>
  <c r="CR221" i="25"/>
  <c r="CS221" i="25" s="1"/>
  <c r="CR285" i="25"/>
  <c r="CS285" i="25" s="1"/>
  <c r="CQ305" i="24"/>
  <c r="CR305" i="24" s="1"/>
  <c r="CT305" i="24" s="1"/>
  <c r="CO305" i="24"/>
  <c r="CQ274" i="24"/>
  <c r="CR274" i="24" s="1"/>
  <c r="CT274" i="24" s="1"/>
  <c r="CO274" i="24"/>
  <c r="CO219" i="24"/>
  <c r="CQ219" i="24"/>
  <c r="CR219" i="24" s="1"/>
  <c r="CT219" i="24" s="1"/>
  <c r="CO283" i="24"/>
  <c r="CQ283" i="24"/>
  <c r="CR283" i="24" s="1"/>
  <c r="CT283" i="24" s="1"/>
  <c r="CQ226" i="24"/>
  <c r="CR226" i="24" s="1"/>
  <c r="CT226" i="24" s="1"/>
  <c r="CO226" i="24"/>
  <c r="CQ276" i="24"/>
  <c r="CR276" i="24" s="1"/>
  <c r="CT276" i="24" s="1"/>
  <c r="CO276" i="24"/>
  <c r="CQ221" i="24"/>
  <c r="CR221" i="24" s="1"/>
  <c r="CT221" i="24" s="1"/>
  <c r="CO221" i="24"/>
  <c r="CO285" i="24"/>
  <c r="CQ285" i="24"/>
  <c r="CR285" i="24" s="1"/>
  <c r="CT285" i="24" s="1"/>
  <c r="CO238" i="24"/>
  <c r="CQ238" i="24"/>
  <c r="CR238" i="24" s="1"/>
  <c r="CT238" i="24" s="1"/>
  <c r="CQ302" i="24"/>
  <c r="CR302" i="24" s="1"/>
  <c r="CT302" i="24" s="1"/>
  <c r="CO302" i="24"/>
  <c r="CQ247" i="24"/>
  <c r="CR247" i="24" s="1"/>
  <c r="CT247" i="24" s="1"/>
  <c r="CO247" i="24"/>
  <c r="CQ311" i="24"/>
  <c r="CR311" i="24" s="1"/>
  <c r="CT311" i="24" s="1"/>
  <c r="CO311" i="24"/>
  <c r="CQ272" i="24"/>
  <c r="CR272" i="24" s="1"/>
  <c r="CT272" i="24" s="1"/>
  <c r="CO272" i="24"/>
  <c r="CR223" i="25"/>
  <c r="CS223" i="25" s="1"/>
  <c r="CR287" i="25"/>
  <c r="CS287" i="25" s="1"/>
  <c r="CR240" i="25"/>
  <c r="CS240" i="25" s="1"/>
  <c r="CR304" i="25"/>
  <c r="CS304" i="25" s="1"/>
  <c r="CR257" i="25"/>
  <c r="CS257" i="25" s="1"/>
  <c r="CR294" i="25"/>
  <c r="CS294" i="25" s="1"/>
  <c r="CR274" i="25"/>
  <c r="CS274" i="25" s="1"/>
  <c r="CR219" i="25"/>
  <c r="CS219" i="25" s="1"/>
  <c r="CR283" i="25"/>
  <c r="CS283" i="25" s="1"/>
  <c r="CR228" i="25"/>
  <c r="CS228" i="25" s="1"/>
  <c r="CR292" i="25"/>
  <c r="CS292" i="25" s="1"/>
  <c r="CR229" i="25"/>
  <c r="CS229" i="25" s="1"/>
  <c r="CR293" i="25"/>
  <c r="CS293" i="25" s="1"/>
  <c r="CO217" i="24"/>
  <c r="CQ217" i="24"/>
  <c r="CR217" i="24" s="1"/>
  <c r="CT217" i="24" s="1"/>
  <c r="CQ282" i="24"/>
  <c r="CR282" i="24" s="1"/>
  <c r="CT282" i="24" s="1"/>
  <c r="CO282" i="24"/>
  <c r="CO227" i="24"/>
  <c r="CQ227" i="24"/>
  <c r="CR227" i="24" s="1"/>
  <c r="CT227" i="24" s="1"/>
  <c r="CQ291" i="24"/>
  <c r="CR291" i="24" s="1"/>
  <c r="CT291" i="24" s="1"/>
  <c r="CO291" i="24"/>
  <c r="CO220" i="24"/>
  <c r="CQ220" i="24"/>
  <c r="CR220" i="24" s="1"/>
  <c r="CT220" i="24" s="1"/>
  <c r="CQ284" i="24"/>
  <c r="CR284" i="24" s="1"/>
  <c r="CT284" i="24" s="1"/>
  <c r="CO284" i="24"/>
  <c r="CQ229" i="24"/>
  <c r="CR229" i="24" s="1"/>
  <c r="CT229" i="24" s="1"/>
  <c r="CO229" i="24"/>
  <c r="CO293" i="24"/>
  <c r="CQ293" i="24"/>
  <c r="CR293" i="24" s="1"/>
  <c r="CT293" i="24" s="1"/>
  <c r="CQ246" i="24"/>
  <c r="CR246" i="24" s="1"/>
  <c r="CT246" i="24" s="1"/>
  <c r="CO246" i="24"/>
  <c r="CO310" i="24"/>
  <c r="CQ310" i="24"/>
  <c r="CR310" i="24" s="1"/>
  <c r="CT310" i="24" s="1"/>
  <c r="CQ255" i="24"/>
  <c r="CR255" i="24" s="1"/>
  <c r="CT255" i="24" s="1"/>
  <c r="CO255" i="24"/>
  <c r="CO281" i="24"/>
  <c r="CQ281" i="24"/>
  <c r="CR281" i="24" s="1"/>
  <c r="CT281" i="24" s="1"/>
  <c r="CO280" i="24"/>
  <c r="CQ280" i="24"/>
  <c r="CR280" i="24" s="1"/>
  <c r="CT280" i="24" s="1"/>
  <c r="CR231" i="25"/>
  <c r="CS231" i="25" s="1"/>
  <c r="CR295" i="25"/>
  <c r="CS295" i="25" s="1"/>
  <c r="CR248" i="25"/>
  <c r="CS248" i="25" s="1"/>
  <c r="CR312" i="25"/>
  <c r="CS312" i="25" s="1"/>
  <c r="CR265" i="25"/>
  <c r="CS265" i="25" s="1"/>
  <c r="CR218" i="25"/>
  <c r="CS218" i="25" s="1"/>
  <c r="CR282" i="25"/>
  <c r="CS282" i="25" s="1"/>
  <c r="CR227" i="25"/>
  <c r="CS227" i="25" s="1"/>
  <c r="CR291" i="25"/>
  <c r="CS291" i="25" s="1"/>
  <c r="CR236" i="25"/>
  <c r="CS236" i="25" s="1"/>
  <c r="CR300" i="25"/>
  <c r="CS300" i="25" s="1"/>
  <c r="CR237" i="25"/>
  <c r="CS237" i="25" s="1"/>
  <c r="CR301" i="25"/>
  <c r="CS301" i="25" s="1"/>
  <c r="CQ271" i="24"/>
  <c r="CR271" i="24" s="1"/>
  <c r="CT271" i="24" s="1"/>
  <c r="CO271" i="24"/>
  <c r="CQ273" i="24"/>
  <c r="CR273" i="24" s="1"/>
  <c r="CT273" i="24" s="1"/>
  <c r="CO273" i="24"/>
  <c r="CQ290" i="24"/>
  <c r="CR290" i="24" s="1"/>
  <c r="CT290" i="24" s="1"/>
  <c r="CO290" i="24"/>
  <c r="CQ235" i="24"/>
  <c r="CR235" i="24" s="1"/>
  <c r="CT235" i="24" s="1"/>
  <c r="CO235" i="24"/>
  <c r="CQ299" i="24"/>
  <c r="CR299" i="24" s="1"/>
  <c r="CT299" i="24" s="1"/>
  <c r="CO299" i="24"/>
  <c r="CO228" i="24"/>
  <c r="CQ228" i="24"/>
  <c r="CR228" i="24" s="1"/>
  <c r="CT228" i="24" s="1"/>
  <c r="CO292" i="24"/>
  <c r="CQ292" i="24"/>
  <c r="CR292" i="24" s="1"/>
  <c r="CT292" i="24" s="1"/>
  <c r="CQ237" i="24"/>
  <c r="CR237" i="24" s="1"/>
  <c r="CT237" i="24" s="1"/>
  <c r="CO237" i="24"/>
  <c r="CO301" i="24"/>
  <c r="CQ301" i="24"/>
  <c r="CR301" i="24" s="1"/>
  <c r="CT301" i="24" s="1"/>
  <c r="CO254" i="24"/>
  <c r="CQ254" i="24"/>
  <c r="CR254" i="24" s="1"/>
  <c r="CT254" i="24" s="1"/>
  <c r="CO241" i="24"/>
  <c r="CQ241" i="24"/>
  <c r="CR241" i="24" s="1"/>
  <c r="CT241" i="24" s="1"/>
  <c r="CQ263" i="24"/>
  <c r="CR263" i="24" s="1"/>
  <c r="CT263" i="24" s="1"/>
  <c r="CO263" i="24"/>
  <c r="CO224" i="24"/>
  <c r="CQ224" i="24"/>
  <c r="CR224" i="24" s="1"/>
  <c r="CT224" i="24" s="1"/>
  <c r="CQ288" i="24"/>
  <c r="CR288" i="24" s="1"/>
  <c r="CT288" i="24" s="1"/>
  <c r="CO288" i="24"/>
  <c r="CR239" i="25"/>
  <c r="CS239" i="25" s="1"/>
  <c r="CR303" i="25"/>
  <c r="CS303" i="25" s="1"/>
  <c r="CR256" i="25"/>
  <c r="CS256" i="25" s="1"/>
  <c r="CR286" i="25"/>
  <c r="CS286" i="25" s="1"/>
  <c r="CR273" i="25"/>
  <c r="CS273" i="25" s="1"/>
  <c r="CR226" i="25"/>
  <c r="CS226" i="25" s="1"/>
  <c r="CR290" i="25"/>
  <c r="CS290" i="25" s="1"/>
  <c r="CR235" i="25"/>
  <c r="CS235" i="25" s="1"/>
  <c r="CR299" i="25"/>
  <c r="CS299" i="25" s="1"/>
  <c r="CR244" i="25"/>
  <c r="CS244" i="25" s="1"/>
  <c r="CR308" i="25"/>
  <c r="CS308" i="25" s="1"/>
  <c r="CR245" i="25"/>
  <c r="CS245" i="25" s="1"/>
  <c r="CR309" i="25"/>
  <c r="CS309" i="25" s="1"/>
  <c r="CS195" i="25"/>
  <c r="CS96" i="25"/>
  <c r="CS49" i="25"/>
  <c r="CS30" i="25"/>
  <c r="CS83" i="25"/>
  <c r="CS60" i="25"/>
  <c r="CS111" i="25"/>
  <c r="CS84" i="25"/>
  <c r="CS38" i="25"/>
  <c r="CS69" i="25"/>
  <c r="CS65" i="25"/>
  <c r="CS57" i="25"/>
  <c r="CS102" i="25"/>
  <c r="CS64" i="25"/>
  <c r="CS56" i="25"/>
  <c r="CS53" i="25"/>
  <c r="CS75" i="25"/>
  <c r="CS22" i="25"/>
  <c r="CS101" i="25"/>
  <c r="CS73" i="25"/>
  <c r="CS122" i="25"/>
  <c r="CS34" i="25"/>
  <c r="CS26" i="25"/>
  <c r="CS18" i="25"/>
  <c r="CS61" i="25"/>
  <c r="CS105" i="25"/>
  <c r="CS14" i="25"/>
  <c r="CS6" i="25"/>
  <c r="CS13" i="25"/>
  <c r="CS97" i="25"/>
  <c r="CS72" i="25"/>
  <c r="CS21" i="25"/>
  <c r="CS87" i="25"/>
  <c r="CS10" i="25"/>
  <c r="CS46" i="25"/>
  <c r="CS54" i="25"/>
  <c r="CS62" i="25"/>
  <c r="CS70" i="25"/>
  <c r="CS80" i="25"/>
  <c r="CS81" i="25"/>
  <c r="CS25" i="25"/>
  <c r="CS17" i="25"/>
  <c r="CS95" i="25"/>
  <c r="CS91" i="25"/>
  <c r="CS92" i="25"/>
  <c r="CS68" i="25"/>
  <c r="CS88" i="25"/>
  <c r="CS98" i="25"/>
  <c r="CS16" i="25"/>
  <c r="CS9" i="25"/>
  <c r="CS50" i="25"/>
  <c r="CS35" i="25"/>
  <c r="CS42" i="25"/>
  <c r="CS29" i="25"/>
  <c r="CS66" i="25"/>
  <c r="CS200" i="25"/>
  <c r="CS58" i="25"/>
  <c r="CS79" i="25"/>
  <c r="CS32" i="25"/>
  <c r="CS15" i="25"/>
  <c r="CS103" i="25"/>
  <c r="CS7" i="25"/>
  <c r="CS48" i="25"/>
  <c r="CS55" i="25"/>
  <c r="CS86" i="25"/>
  <c r="CS20" i="25"/>
  <c r="CS33" i="25"/>
  <c r="CS89" i="25"/>
  <c r="CS90" i="25"/>
  <c r="CS74" i="25"/>
  <c r="CS76" i="25"/>
  <c r="CS51" i="25"/>
  <c r="CS28" i="25"/>
  <c r="CS41" i="25"/>
  <c r="CS44" i="25"/>
  <c r="CS27" i="25"/>
  <c r="CS11" i="25"/>
  <c r="CS36" i="25"/>
  <c r="CS67" i="25"/>
  <c r="CS31" i="25"/>
  <c r="CS47" i="25"/>
  <c r="CS59" i="25"/>
  <c r="CS71" i="25"/>
  <c r="CS94" i="25"/>
  <c r="CS45" i="25"/>
  <c r="CS40" i="25"/>
  <c r="CS43" i="25"/>
  <c r="CS78" i="25"/>
  <c r="CS85" i="25"/>
  <c r="CS77" i="25"/>
  <c r="CS63" i="25"/>
  <c r="CS23" i="25"/>
  <c r="CS37" i="25"/>
  <c r="CS104" i="25"/>
  <c r="CS82" i="25"/>
  <c r="CS8" i="25"/>
  <c r="CS99" i="25"/>
  <c r="CS93" i="25"/>
  <c r="CS39" i="25"/>
  <c r="CS152" i="25"/>
  <c r="CS12" i="25"/>
  <c r="CS100" i="25"/>
  <c r="CS24" i="25"/>
  <c r="CS19" i="25"/>
  <c r="CS52" i="25"/>
  <c r="CJ306" i="25"/>
  <c r="CJ300" i="25"/>
  <c r="CJ299" i="25"/>
  <c r="CJ278" i="25"/>
  <c r="CJ263" i="25"/>
  <c r="CJ259" i="25"/>
  <c r="CJ256" i="25"/>
  <c r="CJ250" i="25"/>
  <c r="CJ235" i="25"/>
  <c r="CJ225" i="25"/>
  <c r="CJ220" i="25"/>
  <c r="CJ210" i="25"/>
  <c r="CJ207" i="25"/>
  <c r="CJ200" i="25"/>
  <c r="CJ197" i="25"/>
  <c r="CJ195" i="25"/>
  <c r="CJ194" i="25"/>
  <c r="CJ192" i="25"/>
  <c r="CJ186" i="25"/>
  <c r="CJ178" i="25"/>
  <c r="CJ167" i="25"/>
  <c r="CJ147" i="25"/>
  <c r="CJ309" i="25"/>
  <c r="CJ307" i="25"/>
  <c r="CJ275" i="25"/>
  <c r="CJ272" i="25"/>
  <c r="CJ271" i="25"/>
  <c r="CJ267" i="25"/>
  <c r="CJ255" i="25"/>
  <c r="CJ254" i="25"/>
  <c r="CJ251" i="25"/>
  <c r="CJ242" i="25"/>
  <c r="CJ241" i="25"/>
  <c r="CJ236" i="25"/>
  <c r="CJ231" i="25"/>
  <c r="CJ218" i="25"/>
  <c r="CJ205" i="25"/>
  <c r="CJ198" i="25"/>
  <c r="CJ182" i="25"/>
  <c r="CJ181" i="25"/>
  <c r="CJ180" i="25"/>
  <c r="CJ179" i="25"/>
  <c r="CJ166" i="25"/>
  <c r="CJ158" i="25"/>
  <c r="CJ155" i="25"/>
  <c r="CJ149" i="25"/>
  <c r="CJ314" i="25"/>
  <c r="CJ295" i="25"/>
  <c r="CJ294" i="25"/>
  <c r="CJ289" i="25"/>
  <c r="CJ279" i="25"/>
  <c r="CJ268" i="25"/>
  <c r="CJ260" i="25"/>
  <c r="CJ253" i="25"/>
  <c r="CJ252" i="25"/>
  <c r="CJ244" i="25"/>
  <c r="CJ237" i="25"/>
  <c r="CJ228" i="25"/>
  <c r="CJ204" i="25"/>
  <c r="CJ203" i="25"/>
  <c r="CJ187" i="25"/>
  <c r="CJ183" i="25"/>
  <c r="CJ168" i="25"/>
  <c r="CJ164" i="25"/>
  <c r="CJ161" i="25"/>
  <c r="CJ152" i="25"/>
  <c r="CJ310" i="25"/>
  <c r="CJ303" i="25"/>
  <c r="CJ301" i="25"/>
  <c r="CJ246" i="25"/>
  <c r="CJ245" i="25"/>
  <c r="CJ243" i="25"/>
  <c r="CJ238" i="25"/>
  <c r="CJ232" i="25"/>
  <c r="CJ223" i="25"/>
  <c r="CJ221" i="25"/>
  <c r="CJ191" i="25"/>
  <c r="CJ170" i="25"/>
  <c r="CJ169" i="25"/>
  <c r="CJ156" i="25"/>
  <c r="CJ146" i="25"/>
  <c r="CJ315" i="25"/>
  <c r="CJ311" i="25"/>
  <c r="CJ297" i="25"/>
  <c r="CJ296" i="25"/>
  <c r="CJ292" i="25"/>
  <c r="CJ290" i="25"/>
  <c r="CJ280" i="25"/>
  <c r="CJ276" i="25"/>
  <c r="CJ269" i="25"/>
  <c r="CJ261" i="25"/>
  <c r="CJ248" i="25"/>
  <c r="CJ229" i="25"/>
  <c r="CJ190" i="25"/>
  <c r="CJ189" i="25"/>
  <c r="CJ188" i="25"/>
  <c r="CJ185" i="25"/>
  <c r="CJ184" i="25"/>
  <c r="CJ165" i="25"/>
  <c r="CJ162" i="25"/>
  <c r="CJ159" i="25"/>
  <c r="CJ308" i="25"/>
  <c r="CJ287" i="25"/>
  <c r="CJ285" i="25"/>
  <c r="CJ283" i="25"/>
  <c r="CJ281" i="25"/>
  <c r="CJ274" i="25"/>
  <c r="CJ273" i="25"/>
  <c r="CJ270" i="25"/>
  <c r="CJ247" i="25"/>
  <c r="CJ239" i="25"/>
  <c r="CJ233" i="25"/>
  <c r="CJ226" i="25"/>
  <c r="CJ219" i="25"/>
  <c r="CJ217" i="25"/>
  <c r="CJ206" i="25"/>
  <c r="CJ202" i="25"/>
  <c r="CJ172" i="25"/>
  <c r="CJ171" i="25"/>
  <c r="CJ153" i="25"/>
  <c r="CJ148" i="25"/>
  <c r="CJ302" i="25"/>
  <c r="CJ291" i="25"/>
  <c r="CJ249" i="25"/>
  <c r="CJ222" i="25"/>
  <c r="CJ193" i="25"/>
  <c r="CJ173" i="25"/>
  <c r="CJ151" i="25"/>
  <c r="CJ143" i="25"/>
  <c r="CJ288" i="25"/>
  <c r="CJ282" i="25"/>
  <c r="CJ264" i="25"/>
  <c r="CJ224" i="25"/>
  <c r="CJ209" i="25"/>
  <c r="CJ140" i="25"/>
  <c r="CJ130" i="25"/>
  <c r="CJ129" i="25"/>
  <c r="CJ128" i="25"/>
  <c r="CJ124" i="25"/>
  <c r="CJ120" i="25"/>
  <c r="CJ118" i="25"/>
  <c r="CJ78" i="25"/>
  <c r="CJ69" i="25"/>
  <c r="CJ65" i="25"/>
  <c r="CJ57" i="25"/>
  <c r="CJ44" i="25"/>
  <c r="CJ32" i="25"/>
  <c r="CJ304" i="25"/>
  <c r="CJ293" i="25"/>
  <c r="CJ257" i="25"/>
  <c r="CJ227" i="25"/>
  <c r="CJ177" i="25"/>
  <c r="CJ145" i="25"/>
  <c r="CJ137" i="25"/>
  <c r="CJ134" i="25"/>
  <c r="CJ127" i="25"/>
  <c r="CJ123" i="25"/>
  <c r="CJ122" i="25"/>
  <c r="CJ121" i="25"/>
  <c r="CJ100" i="25"/>
  <c r="CJ85" i="25"/>
  <c r="CJ39" i="25"/>
  <c r="CJ312" i="25"/>
  <c r="CJ201" i="25"/>
  <c r="CJ174" i="25"/>
  <c r="CJ142" i="25"/>
  <c r="CJ139" i="25"/>
  <c r="CJ126" i="25"/>
  <c r="CJ125" i="25"/>
  <c r="CJ102" i="25"/>
  <c r="CJ101" i="25"/>
  <c r="CJ99" i="25"/>
  <c r="CJ94" i="25"/>
  <c r="CJ93" i="25"/>
  <c r="CJ88" i="25"/>
  <c r="CJ86" i="25"/>
  <c r="CJ79" i="25"/>
  <c r="CJ64" i="25"/>
  <c r="CJ56" i="25"/>
  <c r="CJ54" i="25"/>
  <c r="CJ50" i="25"/>
  <c r="CJ45" i="25"/>
  <c r="CJ40" i="25"/>
  <c r="CJ34" i="25"/>
  <c r="CJ33" i="25"/>
  <c r="CJ316" i="25"/>
  <c r="CJ286" i="25"/>
  <c r="CJ265" i="25"/>
  <c r="CJ150" i="25"/>
  <c r="CJ136" i="25"/>
  <c r="CJ95" i="25"/>
  <c r="CJ87" i="25"/>
  <c r="CJ74" i="25"/>
  <c r="CJ73" i="25"/>
  <c r="CJ63" i="25"/>
  <c r="CJ62" i="25"/>
  <c r="CJ52" i="25"/>
  <c r="CJ46" i="25"/>
  <c r="CJ298" i="25"/>
  <c r="CJ277" i="25"/>
  <c r="CJ262" i="25"/>
  <c r="CJ234" i="25"/>
  <c r="CJ196" i="25"/>
  <c r="CJ144" i="25"/>
  <c r="CJ138" i="25"/>
  <c r="CJ104" i="25"/>
  <c r="CJ96" i="25"/>
  <c r="CJ90" i="25"/>
  <c r="CJ89" i="25"/>
  <c r="CJ68" i="25"/>
  <c r="CJ67" i="25"/>
  <c r="CJ53" i="25"/>
  <c r="CJ51" i="25"/>
  <c r="CJ313" i="25"/>
  <c r="CJ284" i="25"/>
  <c r="CJ266" i="25"/>
  <c r="CJ119" i="25"/>
  <c r="CJ91" i="25"/>
  <c r="CJ84" i="25"/>
  <c r="CJ80" i="25"/>
  <c r="CJ75" i="25"/>
  <c r="CJ70" i="25"/>
  <c r="CJ48" i="25"/>
  <c r="CJ47" i="25"/>
  <c r="CJ22" i="25"/>
  <c r="CJ12" i="25"/>
  <c r="CJ11" i="25"/>
  <c r="CJ10" i="25"/>
  <c r="CJ258" i="25"/>
  <c r="CJ115" i="25"/>
  <c r="CJ71" i="25"/>
  <c r="CJ55" i="25"/>
  <c r="CJ43" i="25"/>
  <c r="CJ305" i="25"/>
  <c r="CJ135" i="25"/>
  <c r="CJ116" i="25"/>
  <c r="CJ111" i="25"/>
  <c r="CJ105" i="25"/>
  <c r="CJ92" i="25"/>
  <c r="CJ82" i="25"/>
  <c r="CJ59" i="25"/>
  <c r="CJ49" i="25"/>
  <c r="CJ36" i="25"/>
  <c r="CJ35" i="25"/>
  <c r="CJ41" i="25"/>
  <c r="CJ30" i="25"/>
  <c r="CJ28" i="25"/>
  <c r="CJ27" i="25"/>
  <c r="CJ25" i="25"/>
  <c r="CJ16" i="25"/>
  <c r="CJ61" i="25"/>
  <c r="CJ31" i="25"/>
  <c r="CJ141" i="25"/>
  <c r="CJ13" i="25"/>
  <c r="CJ9" i="25"/>
  <c r="CJ175" i="25"/>
  <c r="CJ117" i="25"/>
  <c r="CJ103" i="25"/>
  <c r="CJ97" i="25"/>
  <c r="CJ77" i="25"/>
  <c r="CJ21" i="25"/>
  <c r="CJ42" i="25"/>
  <c r="CJ17" i="25"/>
  <c r="CJ15" i="25"/>
  <c r="CJ230" i="25"/>
  <c r="CJ131" i="25"/>
  <c r="CJ83" i="25"/>
  <c r="CJ72" i="25"/>
  <c r="CJ66" i="25"/>
  <c r="CJ81" i="25"/>
  <c r="CJ176" i="25"/>
  <c r="CJ157" i="25"/>
  <c r="CJ154" i="25"/>
  <c r="CJ132" i="25"/>
  <c r="CJ113" i="25"/>
  <c r="CJ98" i="25"/>
  <c r="CJ60" i="25"/>
  <c r="CJ29" i="25"/>
  <c r="CJ14" i="25"/>
  <c r="CJ208" i="25"/>
  <c r="CJ199" i="25"/>
  <c r="CJ163" i="25"/>
  <c r="CJ160" i="25"/>
  <c r="CJ133" i="25"/>
  <c r="CJ114" i="25"/>
  <c r="CJ58" i="25"/>
  <c r="CJ37" i="25"/>
  <c r="CJ8" i="25"/>
  <c r="CJ240" i="25"/>
  <c r="CJ76" i="25"/>
  <c r="CJ26" i="25"/>
  <c r="CJ19" i="25"/>
  <c r="CJ23" i="25"/>
  <c r="CJ24" i="25"/>
  <c r="CJ38" i="25"/>
  <c r="CJ20" i="25"/>
  <c r="CJ18" i="25"/>
  <c r="CJ300" i="24"/>
  <c r="ES300" i="24" s="1"/>
  <c r="EV300" i="24" s="1"/>
  <c r="CJ296" i="24"/>
  <c r="ES296" i="24" s="1"/>
  <c r="EV296" i="24" s="1"/>
  <c r="CJ289" i="24"/>
  <c r="ES289" i="24" s="1"/>
  <c r="EV289" i="24" s="1"/>
  <c r="CJ280" i="24"/>
  <c r="ES280" i="24" s="1"/>
  <c r="EV280" i="24" s="1"/>
  <c r="CJ274" i="24"/>
  <c r="ES274" i="24" s="1"/>
  <c r="EV274" i="24" s="1"/>
  <c r="CJ269" i="24"/>
  <c r="ES269" i="24" s="1"/>
  <c r="EV269" i="24" s="1"/>
  <c r="CJ316" i="24"/>
  <c r="ES316" i="24" s="1"/>
  <c r="EV316" i="24" s="1"/>
  <c r="CJ313" i="24"/>
  <c r="ES313" i="24" s="1"/>
  <c r="EV313" i="24" s="1"/>
  <c r="CJ302" i="24"/>
  <c r="ES302" i="24" s="1"/>
  <c r="EV302" i="24" s="1"/>
  <c r="CJ283" i="24"/>
  <c r="ES283" i="24" s="1"/>
  <c r="EV283" i="24" s="1"/>
  <c r="CJ281" i="24"/>
  <c r="ES281" i="24" s="1"/>
  <c r="EV281" i="24" s="1"/>
  <c r="CJ278" i="24"/>
  <c r="ES278" i="24" s="1"/>
  <c r="EV278" i="24" s="1"/>
  <c r="CJ254" i="24"/>
  <c r="ES254" i="24" s="1"/>
  <c r="EV254" i="24" s="1"/>
  <c r="CJ252" i="24"/>
  <c r="ES252" i="24" s="1"/>
  <c r="EV252" i="24" s="1"/>
  <c r="CJ251" i="24"/>
  <c r="ES251" i="24" s="1"/>
  <c r="EV251" i="24" s="1"/>
  <c r="CJ246" i="24"/>
  <c r="ES246" i="24" s="1"/>
  <c r="EV246" i="24" s="1"/>
  <c r="CJ238" i="24"/>
  <c r="ES238" i="24" s="1"/>
  <c r="EV238" i="24" s="1"/>
  <c r="CJ236" i="24"/>
  <c r="ES236" i="24" s="1"/>
  <c r="EV236" i="24" s="1"/>
  <c r="CJ205" i="24"/>
  <c r="CJ204" i="24"/>
  <c r="CJ202" i="24"/>
  <c r="CJ199" i="24"/>
  <c r="CJ198" i="24"/>
  <c r="CJ196" i="24"/>
  <c r="CJ190" i="24"/>
  <c r="CJ189" i="24"/>
  <c r="CJ314" i="24"/>
  <c r="ES314" i="24" s="1"/>
  <c r="EV314" i="24" s="1"/>
  <c r="CJ311" i="24"/>
  <c r="ES311" i="24" s="1"/>
  <c r="EV311" i="24" s="1"/>
  <c r="CJ308" i="24"/>
  <c r="ES308" i="24" s="1"/>
  <c r="EV308" i="24" s="1"/>
  <c r="CJ304" i="24"/>
  <c r="ES304" i="24" s="1"/>
  <c r="EV304" i="24" s="1"/>
  <c r="CJ295" i="24"/>
  <c r="ES295" i="24" s="1"/>
  <c r="EV295" i="24" s="1"/>
  <c r="CJ290" i="24"/>
  <c r="ES290" i="24" s="1"/>
  <c r="EV290" i="24" s="1"/>
  <c r="CJ287" i="24"/>
  <c r="ES287" i="24" s="1"/>
  <c r="EV287" i="24" s="1"/>
  <c r="CJ284" i="24"/>
  <c r="ES284" i="24" s="1"/>
  <c r="EV284" i="24" s="1"/>
  <c r="CJ282" i="24"/>
  <c r="ES282" i="24" s="1"/>
  <c r="EV282" i="24" s="1"/>
  <c r="CJ262" i="24"/>
  <c r="ES262" i="24" s="1"/>
  <c r="EV262" i="24" s="1"/>
  <c r="CJ248" i="24"/>
  <c r="ES248" i="24" s="1"/>
  <c r="EV248" i="24" s="1"/>
  <c r="CJ247" i="24"/>
  <c r="ES247" i="24" s="1"/>
  <c r="EV247" i="24" s="1"/>
  <c r="CJ227" i="24"/>
  <c r="ES227" i="24" s="1"/>
  <c r="EV227" i="24" s="1"/>
  <c r="CJ223" i="24"/>
  <c r="ES223" i="24" s="1"/>
  <c r="EV223" i="24" s="1"/>
  <c r="CJ219" i="24"/>
  <c r="ES219" i="24" s="1"/>
  <c r="EV219" i="24" s="1"/>
  <c r="CJ206" i="24"/>
  <c r="CJ200" i="24"/>
  <c r="CJ293" i="24"/>
  <c r="ES293" i="24" s="1"/>
  <c r="EV293" i="24" s="1"/>
  <c r="CJ292" i="24"/>
  <c r="ES292" i="24" s="1"/>
  <c r="EV292" i="24" s="1"/>
  <c r="CJ273" i="24"/>
  <c r="ES273" i="24" s="1"/>
  <c r="EV273" i="24" s="1"/>
  <c r="CJ268" i="24"/>
  <c r="ES268" i="24" s="1"/>
  <c r="EV268" i="24" s="1"/>
  <c r="CJ260" i="24"/>
  <c r="ES260" i="24" s="1"/>
  <c r="EV260" i="24" s="1"/>
  <c r="CJ259" i="24"/>
  <c r="ES259" i="24" s="1"/>
  <c r="EV259" i="24" s="1"/>
  <c r="CJ255" i="24"/>
  <c r="ES255" i="24" s="1"/>
  <c r="EV255" i="24" s="1"/>
  <c r="CJ253" i="24"/>
  <c r="ES253" i="24" s="1"/>
  <c r="EV253" i="24" s="1"/>
  <c r="CJ245" i="24"/>
  <c r="ES245" i="24" s="1"/>
  <c r="EV245" i="24" s="1"/>
  <c r="CJ241" i="24"/>
  <c r="ES241" i="24" s="1"/>
  <c r="EV241" i="24" s="1"/>
  <c r="CJ231" i="24"/>
  <c r="ES231" i="24" s="1"/>
  <c r="EV231" i="24" s="1"/>
  <c r="CJ229" i="24"/>
  <c r="ES229" i="24" s="1"/>
  <c r="EV229" i="24" s="1"/>
  <c r="CJ225" i="24"/>
  <c r="ES225" i="24" s="1"/>
  <c r="EV225" i="24" s="1"/>
  <c r="CJ208" i="24"/>
  <c r="CJ203" i="24"/>
  <c r="CJ187" i="24"/>
  <c r="CJ185" i="24"/>
  <c r="CJ305" i="24"/>
  <c r="ES305" i="24" s="1"/>
  <c r="EV305" i="24" s="1"/>
  <c r="CJ303" i="24"/>
  <c r="ES303" i="24" s="1"/>
  <c r="EV303" i="24" s="1"/>
  <c r="CJ301" i="24"/>
  <c r="ES301" i="24" s="1"/>
  <c r="EV301" i="24" s="1"/>
  <c r="CJ299" i="24"/>
  <c r="ES299" i="24" s="1"/>
  <c r="EV299" i="24" s="1"/>
  <c r="CJ297" i="24"/>
  <c r="ES297" i="24" s="1"/>
  <c r="EV297" i="24" s="1"/>
  <c r="CJ285" i="24"/>
  <c r="ES285" i="24" s="1"/>
  <c r="EV285" i="24" s="1"/>
  <c r="CJ277" i="24"/>
  <c r="ES277" i="24" s="1"/>
  <c r="EV277" i="24" s="1"/>
  <c r="CJ276" i="24"/>
  <c r="ES276" i="24" s="1"/>
  <c r="EV276" i="24" s="1"/>
  <c r="CJ265" i="24"/>
  <c r="ES265" i="24" s="1"/>
  <c r="EV265" i="24" s="1"/>
  <c r="CJ261" i="24"/>
  <c r="ES261" i="24" s="1"/>
  <c r="EV261" i="24" s="1"/>
  <c r="CJ257" i="24"/>
  <c r="ES257" i="24" s="1"/>
  <c r="EV257" i="24" s="1"/>
  <c r="CJ239" i="24"/>
  <c r="ES239" i="24" s="1"/>
  <c r="EV239" i="24" s="1"/>
  <c r="CJ232" i="24"/>
  <c r="ES232" i="24" s="1"/>
  <c r="EV232" i="24" s="1"/>
  <c r="CJ226" i="24"/>
  <c r="ES226" i="24" s="1"/>
  <c r="EV226" i="24" s="1"/>
  <c r="CJ224" i="24"/>
  <c r="ES224" i="24" s="1"/>
  <c r="EV224" i="24" s="1"/>
  <c r="CJ222" i="24"/>
  <c r="ES222" i="24" s="1"/>
  <c r="EV222" i="24" s="1"/>
  <c r="CJ210" i="24"/>
  <c r="CJ197" i="24"/>
  <c r="CJ195" i="24"/>
  <c r="CJ315" i="24"/>
  <c r="ES315" i="24" s="1"/>
  <c r="EV315" i="24" s="1"/>
  <c r="CJ309" i="24"/>
  <c r="ES309" i="24" s="1"/>
  <c r="EV309" i="24" s="1"/>
  <c r="CJ294" i="24"/>
  <c r="ES294" i="24" s="1"/>
  <c r="EV294" i="24" s="1"/>
  <c r="CJ286" i="24"/>
  <c r="ES286" i="24" s="1"/>
  <c r="EV286" i="24" s="1"/>
  <c r="CJ279" i="24"/>
  <c r="ES279" i="24" s="1"/>
  <c r="EV279" i="24" s="1"/>
  <c r="CJ275" i="24"/>
  <c r="ES275" i="24" s="1"/>
  <c r="EV275" i="24" s="1"/>
  <c r="CJ270" i="24"/>
  <c r="ES270" i="24" s="1"/>
  <c r="EV270" i="24" s="1"/>
  <c r="CJ249" i="24"/>
  <c r="ES249" i="24" s="1"/>
  <c r="EV249" i="24" s="1"/>
  <c r="CJ237" i="24"/>
  <c r="ES237" i="24" s="1"/>
  <c r="EV237" i="24" s="1"/>
  <c r="CJ233" i="24"/>
  <c r="ES233" i="24" s="1"/>
  <c r="EV233" i="24" s="1"/>
  <c r="CJ221" i="24"/>
  <c r="ES221" i="24" s="1"/>
  <c r="EV221" i="24" s="1"/>
  <c r="CJ192" i="24"/>
  <c r="CJ191" i="24"/>
  <c r="CJ312" i="24"/>
  <c r="ES312" i="24" s="1"/>
  <c r="EV312" i="24" s="1"/>
  <c r="CJ288" i="24"/>
  <c r="ES288" i="24" s="1"/>
  <c r="EV288" i="24" s="1"/>
  <c r="CJ272" i="24"/>
  <c r="ES272" i="24" s="1"/>
  <c r="EV272" i="24" s="1"/>
  <c r="CJ271" i="24"/>
  <c r="ES271" i="24" s="1"/>
  <c r="EV271" i="24" s="1"/>
  <c r="CJ267" i="24"/>
  <c r="ES267" i="24" s="1"/>
  <c r="EV267" i="24" s="1"/>
  <c r="CJ263" i="24"/>
  <c r="ES263" i="24" s="1"/>
  <c r="EV263" i="24" s="1"/>
  <c r="CJ240" i="24"/>
  <c r="ES240" i="24" s="1"/>
  <c r="EV240" i="24" s="1"/>
  <c r="CJ235" i="24"/>
  <c r="ES235" i="24" s="1"/>
  <c r="EV235" i="24" s="1"/>
  <c r="CJ230" i="24"/>
  <c r="ES230" i="24" s="1"/>
  <c r="EV230" i="24" s="1"/>
  <c r="CJ220" i="24"/>
  <c r="ES220" i="24" s="1"/>
  <c r="EV220" i="24" s="1"/>
  <c r="CJ207" i="24"/>
  <c r="CJ201" i="24"/>
  <c r="CJ306" i="24"/>
  <c r="ES306" i="24" s="1"/>
  <c r="EV306" i="24" s="1"/>
  <c r="CJ298" i="24"/>
  <c r="ES298" i="24" s="1"/>
  <c r="EV298" i="24" s="1"/>
  <c r="CJ291" i="24"/>
  <c r="ES291" i="24" s="1"/>
  <c r="EV291" i="24" s="1"/>
  <c r="CJ243" i="24"/>
  <c r="ES243" i="24" s="1"/>
  <c r="EV243" i="24" s="1"/>
  <c r="CJ183" i="24"/>
  <c r="CJ181" i="24"/>
  <c r="CJ180" i="24"/>
  <c r="CJ176" i="24"/>
  <c r="CJ171" i="24"/>
  <c r="CJ157" i="24"/>
  <c r="CJ150" i="24"/>
  <c r="CJ143" i="24"/>
  <c r="CJ134" i="24"/>
  <c r="CJ131" i="24"/>
  <c r="CJ125" i="24"/>
  <c r="CJ114" i="24"/>
  <c r="CJ98" i="24"/>
  <c r="CJ83" i="24"/>
  <c r="CJ250" i="24"/>
  <c r="ES250" i="24" s="1"/>
  <c r="EV250" i="24" s="1"/>
  <c r="CJ228" i="24"/>
  <c r="ES228" i="24" s="1"/>
  <c r="EV228" i="24" s="1"/>
  <c r="CJ186" i="24"/>
  <c r="CJ184" i="24"/>
  <c r="CJ178" i="24"/>
  <c r="CJ174" i="24"/>
  <c r="CJ161" i="24"/>
  <c r="CJ153" i="24"/>
  <c r="CJ115" i="24"/>
  <c r="CJ112" i="24"/>
  <c r="CJ105" i="24"/>
  <c r="CJ101" i="24"/>
  <c r="CJ95" i="24"/>
  <c r="CJ310" i="24"/>
  <c r="ES310" i="24" s="1"/>
  <c r="EV310" i="24" s="1"/>
  <c r="CJ307" i="24"/>
  <c r="ES307" i="24" s="1"/>
  <c r="EV307" i="24" s="1"/>
  <c r="CJ209" i="24"/>
  <c r="CJ194" i="24"/>
  <c r="CJ175" i="24"/>
  <c r="CJ169" i="24"/>
  <c r="CJ160" i="24"/>
  <c r="CJ141" i="24"/>
  <c r="CJ138" i="24"/>
  <c r="CJ132" i="24"/>
  <c r="CJ123" i="24"/>
  <c r="CJ116" i="24"/>
  <c r="CJ104" i="24"/>
  <c r="CJ102" i="24"/>
  <c r="CJ100" i="24"/>
  <c r="CJ256" i="24"/>
  <c r="ES256" i="24" s="1"/>
  <c r="EV256" i="24" s="1"/>
  <c r="CJ188" i="24"/>
  <c r="CJ179" i="24"/>
  <c r="CJ177" i="24"/>
  <c r="CJ164" i="24"/>
  <c r="CJ154" i="24"/>
  <c r="CJ147" i="24"/>
  <c r="CJ135" i="24"/>
  <c r="CJ128" i="24"/>
  <c r="CJ124" i="24"/>
  <c r="CJ81" i="24"/>
  <c r="CJ244" i="24"/>
  <c r="ES244" i="24" s="1"/>
  <c r="EV244" i="24" s="1"/>
  <c r="CJ242" i="24"/>
  <c r="ES242" i="24" s="1"/>
  <c r="EV242" i="24" s="1"/>
  <c r="CJ182" i="24"/>
  <c r="CJ173" i="24"/>
  <c r="CJ165" i="24"/>
  <c r="CJ158" i="24"/>
  <c r="CJ151" i="24"/>
  <c r="CJ148" i="24"/>
  <c r="CJ146" i="24"/>
  <c r="CJ133" i="24"/>
  <c r="CJ129" i="24"/>
  <c r="CJ126" i="24"/>
  <c r="CJ121" i="24"/>
  <c r="CJ117" i="24"/>
  <c r="CJ99" i="24"/>
  <c r="CJ264" i="24"/>
  <c r="ES264" i="24" s="1"/>
  <c r="EV264" i="24" s="1"/>
  <c r="CJ217" i="24"/>
  <c r="ES217" i="24" s="1"/>
  <c r="EV217" i="24" s="1"/>
  <c r="CJ172" i="24"/>
  <c r="CJ166" i="24"/>
  <c r="CJ155" i="24"/>
  <c r="CJ144" i="24"/>
  <c r="CJ142" i="24"/>
  <c r="CJ140" i="24"/>
  <c r="CJ139" i="24"/>
  <c r="CJ136" i="24"/>
  <c r="CJ111" i="24"/>
  <c r="CJ82" i="24"/>
  <c r="CJ80" i="24"/>
  <c r="CJ78" i="24"/>
  <c r="CJ74" i="24"/>
  <c r="CJ69" i="24"/>
  <c r="CJ47" i="24"/>
  <c r="CJ40" i="24"/>
  <c r="CJ38" i="24"/>
  <c r="CJ37" i="24"/>
  <c r="CJ33" i="24"/>
  <c r="CJ32" i="24"/>
  <c r="CJ31" i="24"/>
  <c r="CJ266" i="24"/>
  <c r="ES266" i="24" s="1"/>
  <c r="EV266" i="24" s="1"/>
  <c r="CJ258" i="24"/>
  <c r="ES258" i="24" s="1"/>
  <c r="EV258" i="24" s="1"/>
  <c r="CJ234" i="24"/>
  <c r="ES234" i="24" s="1"/>
  <c r="EV234" i="24" s="1"/>
  <c r="CJ193" i="24"/>
  <c r="CJ170" i="24"/>
  <c r="CJ163" i="24"/>
  <c r="CJ159" i="24"/>
  <c r="CJ145" i="24"/>
  <c r="CJ127" i="24"/>
  <c r="CJ120" i="24"/>
  <c r="CJ113" i="24"/>
  <c r="CJ89" i="24"/>
  <c r="CJ88" i="24"/>
  <c r="CJ76" i="24"/>
  <c r="CJ68" i="24"/>
  <c r="CJ218" i="24"/>
  <c r="ES218" i="24" s="1"/>
  <c r="EV218" i="24" s="1"/>
  <c r="CJ168" i="24"/>
  <c r="CJ167" i="24"/>
  <c r="CJ162" i="24"/>
  <c r="CJ156" i="24"/>
  <c r="CJ152" i="24"/>
  <c r="CJ149" i="24"/>
  <c r="CJ137" i="24"/>
  <c r="CJ130" i="24"/>
  <c r="CJ122" i="24"/>
  <c r="CJ119" i="24"/>
  <c r="CJ118" i="24"/>
  <c r="CJ103" i="24"/>
  <c r="CJ97" i="24"/>
  <c r="CJ93" i="24"/>
  <c r="CJ63" i="24"/>
  <c r="CJ44" i="24"/>
  <c r="CJ43" i="24"/>
  <c r="CJ41" i="24"/>
  <c r="CJ70" i="24"/>
  <c r="CJ20" i="24"/>
  <c r="CJ7" i="24"/>
  <c r="CJ90" i="24"/>
  <c r="CJ85" i="24"/>
  <c r="CJ79" i="24"/>
  <c r="CJ71" i="24"/>
  <c r="CJ66" i="24"/>
  <c r="CJ64" i="24"/>
  <c r="CJ60" i="24"/>
  <c r="CJ56" i="24"/>
  <c r="CJ54" i="24"/>
  <c r="CJ51" i="24"/>
  <c r="CJ49" i="24"/>
  <c r="CJ39" i="24"/>
  <c r="CJ36" i="24"/>
  <c r="CJ14" i="24"/>
  <c r="CJ29" i="24"/>
  <c r="CJ19" i="24"/>
  <c r="CJ8" i="24"/>
  <c r="CJ13" i="24"/>
  <c r="CJ96" i="24"/>
  <c r="CJ91" i="24"/>
  <c r="CJ75" i="24"/>
  <c r="CJ73" i="24"/>
  <c r="CJ62" i="24"/>
  <c r="CJ55" i="24"/>
  <c r="CJ25" i="24"/>
  <c r="CJ23" i="24"/>
  <c r="CJ12" i="24"/>
  <c r="CJ11" i="24"/>
  <c r="CJ9" i="24"/>
  <c r="CJ6" i="24"/>
  <c r="CJ58" i="24"/>
  <c r="CJ27" i="24"/>
  <c r="CJ24" i="24"/>
  <c r="CJ35" i="24"/>
  <c r="CJ77" i="24"/>
  <c r="CJ42" i="24"/>
  <c r="CJ21" i="24"/>
  <c r="CJ52" i="24"/>
  <c r="CJ84" i="24"/>
  <c r="CJ67" i="24"/>
  <c r="CJ65" i="24"/>
  <c r="CJ61" i="24"/>
  <c r="CJ59" i="24"/>
  <c r="CJ53" i="24"/>
  <c r="CJ45" i="24"/>
  <c r="CJ18" i="24"/>
  <c r="CJ10" i="24"/>
  <c r="CJ48" i="24"/>
  <c r="CJ16" i="24"/>
  <c r="CJ94" i="24"/>
  <c r="CJ92" i="24"/>
  <c r="CJ87" i="24"/>
  <c r="CJ86" i="24"/>
  <c r="CJ72" i="24"/>
  <c r="CJ57" i="24"/>
  <c r="CJ50" i="24"/>
  <c r="CJ46" i="24"/>
  <c r="CJ28" i="24"/>
  <c r="CJ26" i="24"/>
  <c r="CJ34" i="24"/>
  <c r="CJ15" i="24"/>
  <c r="CJ30" i="24"/>
  <c r="CJ17" i="24"/>
  <c r="CJ22" i="24"/>
  <c r="I3" i="29"/>
  <c r="B206" i="2"/>
  <c r="B265" i="2"/>
  <c r="A28" i="16"/>
  <c r="BQ5" i="25"/>
  <c r="B261" i="2"/>
  <c r="D261" i="2" s="1"/>
  <c r="D34" i="16"/>
  <c r="W48" i="2"/>
  <c r="W49" i="2" s="1"/>
  <c r="W50" i="2" s="1"/>
  <c r="D54" i="16" s="1"/>
  <c r="R50" i="2"/>
  <c r="S29" i="1" s="1"/>
  <c r="R51" i="2"/>
  <c r="B26" i="2"/>
  <c r="I9" i="19"/>
  <c r="I8" i="19"/>
  <c r="I7" i="19"/>
  <c r="I6" i="19"/>
  <c r="B109" i="2"/>
  <c r="B22" i="2"/>
  <c r="F17" i="23"/>
  <c r="J17" i="23" s="1"/>
  <c r="I33" i="23"/>
  <c r="F54" i="23"/>
  <c r="J54" i="23" s="1"/>
  <c r="I9" i="23"/>
  <c r="I70" i="23"/>
  <c r="F32" i="23"/>
  <c r="J32" i="23" s="1"/>
  <c r="F49" i="23"/>
  <c r="G49" i="23" s="1"/>
  <c r="H49" i="23" s="1"/>
  <c r="F103" i="23"/>
  <c r="G103" i="23" s="1"/>
  <c r="H103" i="23" s="1"/>
  <c r="F53" i="23"/>
  <c r="J53" i="23" s="1"/>
  <c r="I16" i="23"/>
  <c r="F46" i="23"/>
  <c r="J46" i="23" s="1"/>
  <c r="I43" i="23"/>
  <c r="I36" i="23"/>
  <c r="F67" i="23"/>
  <c r="G67" i="23" s="1"/>
  <c r="H67" i="23" s="1"/>
  <c r="I59" i="23"/>
  <c r="F30" i="23"/>
  <c r="J30" i="23" s="1"/>
  <c r="F88" i="23"/>
  <c r="G88" i="23" s="1"/>
  <c r="H88" i="23" s="1"/>
  <c r="I78" i="23"/>
  <c r="I27" i="23"/>
  <c r="I75" i="23"/>
  <c r="F73" i="23"/>
  <c r="J73" i="23" s="1"/>
  <c r="F71" i="23"/>
  <c r="J71" i="23" s="1"/>
  <c r="I48" i="23"/>
  <c r="F84" i="23"/>
  <c r="G84" i="23" s="1"/>
  <c r="H84" i="23" s="1"/>
  <c r="F6" i="23"/>
  <c r="J6" i="23" s="1"/>
  <c r="F25" i="23"/>
  <c r="J25" i="23" s="1"/>
  <c r="I23" i="23"/>
  <c r="F60" i="23"/>
  <c r="G60" i="23" s="1"/>
  <c r="H60" i="23" s="1"/>
  <c r="I38" i="23"/>
  <c r="I62" i="23"/>
  <c r="F105" i="23"/>
  <c r="J105" i="23" s="1"/>
  <c r="F94" i="23"/>
  <c r="J94" i="23" s="1"/>
  <c r="I41" i="23"/>
  <c r="F92" i="23"/>
  <c r="J92" i="23" s="1"/>
  <c r="A242" i="2"/>
  <c r="C242" i="2"/>
  <c r="I11" i="23"/>
  <c r="F101" i="23"/>
  <c r="J101" i="23" s="1"/>
  <c r="F20" i="23"/>
  <c r="G20" i="23" s="1"/>
  <c r="H20" i="23" s="1"/>
  <c r="F81" i="23"/>
  <c r="J81" i="23" s="1"/>
  <c r="F14" i="23"/>
  <c r="J14" i="23" s="1"/>
  <c r="F22" i="23"/>
  <c r="J22" i="23" s="1"/>
  <c r="F63" i="23"/>
  <c r="G63" i="23" s="1"/>
  <c r="H63" i="23" s="1"/>
  <c r="I99" i="23"/>
  <c r="F80" i="23"/>
  <c r="J80" i="23" s="1"/>
  <c r="I31" i="23"/>
  <c r="I96" i="23"/>
  <c r="F77" i="23"/>
  <c r="G77" i="23" s="1"/>
  <c r="H77" i="23" s="1"/>
  <c r="I56" i="23"/>
  <c r="I86" i="23"/>
  <c r="I98" i="23"/>
  <c r="H109" i="19"/>
  <c r="H110" i="19" s="1"/>
  <c r="F52" i="23"/>
  <c r="J52" i="23" s="1"/>
  <c r="F102" i="23"/>
  <c r="J102" i="23" s="1"/>
  <c r="J79" i="23"/>
  <c r="J7" i="23"/>
  <c r="J106" i="23"/>
  <c r="I87" i="23"/>
  <c r="I8" i="23"/>
  <c r="I106" i="23"/>
  <c r="J31" i="23"/>
  <c r="J99" i="23"/>
  <c r="J56" i="23"/>
  <c r="J27" i="23"/>
  <c r="J96" i="23"/>
  <c r="J86" i="23"/>
  <c r="J70" i="23"/>
  <c r="J38" i="23"/>
  <c r="J33" i="23"/>
  <c r="J69" i="23"/>
  <c r="J89" i="23"/>
  <c r="J44" i="23"/>
  <c r="F12" i="23"/>
  <c r="J12" i="23" s="1"/>
  <c r="J39" i="23"/>
  <c r="I76" i="23"/>
  <c r="J76" i="23"/>
  <c r="F24" i="23"/>
  <c r="G24" i="23" s="1"/>
  <c r="H24" i="23" s="1"/>
  <c r="J98" i="23"/>
  <c r="I50" i="23"/>
  <c r="F34" i="23"/>
  <c r="J34" i="23" s="1"/>
  <c r="F13" i="23"/>
  <c r="J13" i="23" s="1"/>
  <c r="F85" i="23"/>
  <c r="J85" i="23" s="1"/>
  <c r="F87" i="23"/>
  <c r="J87" i="23" s="1"/>
  <c r="I55" i="23"/>
  <c r="F26" i="23"/>
  <c r="J26" i="23" s="1"/>
  <c r="F61" i="23"/>
  <c r="J61" i="23" s="1"/>
  <c r="I90" i="23"/>
  <c r="J59" i="23"/>
  <c r="J36" i="23"/>
  <c r="J43" i="23"/>
  <c r="J11" i="23"/>
  <c r="J75" i="23"/>
  <c r="J23" i="23"/>
  <c r="J48" i="23"/>
  <c r="J16" i="23"/>
  <c r="J78" i="23"/>
  <c r="J62" i="23"/>
  <c r="J41" i="23"/>
  <c r="J9" i="23"/>
  <c r="N91" i="23"/>
  <c r="O91" i="23" s="1"/>
  <c r="P91" i="23" s="1"/>
  <c r="N47" i="23"/>
  <c r="O47" i="23" s="1"/>
  <c r="P47" i="23" s="1"/>
  <c r="N100" i="23"/>
  <c r="O100" i="23" s="1"/>
  <c r="P100" i="23" s="1"/>
  <c r="N79" i="23"/>
  <c r="O79" i="23" s="1"/>
  <c r="P79" i="23" s="1"/>
  <c r="N57" i="23"/>
  <c r="O57" i="23" s="1"/>
  <c r="P57" i="23" s="1"/>
  <c r="N28" i="23"/>
  <c r="O28" i="23" s="1"/>
  <c r="P28" i="23" s="1"/>
  <c r="N104" i="23"/>
  <c r="O104" i="23" s="1"/>
  <c r="P104" i="23" s="1"/>
  <c r="N83" i="23"/>
  <c r="O83" i="23" s="1"/>
  <c r="P83" i="23" s="1"/>
  <c r="N61" i="23"/>
  <c r="O61" i="23" s="1"/>
  <c r="P61" i="23" s="1"/>
  <c r="N35" i="23"/>
  <c r="O35" i="23" s="1"/>
  <c r="P35" i="23" s="1"/>
  <c r="N8" i="23"/>
  <c r="O8" i="23" s="1"/>
  <c r="P8" i="23" s="1"/>
  <c r="N64" i="23"/>
  <c r="O64" i="23" s="1"/>
  <c r="P64" i="23" s="1"/>
  <c r="N7" i="23"/>
  <c r="O7" i="23" s="1"/>
  <c r="P7" i="23" s="1"/>
  <c r="N87" i="23"/>
  <c r="O87" i="23" s="1"/>
  <c r="P87" i="23" s="1"/>
  <c r="N65" i="23"/>
  <c r="O65" i="23" s="1"/>
  <c r="P65" i="23" s="1"/>
  <c r="N40" i="23"/>
  <c r="O40" i="23" s="1"/>
  <c r="P40" i="23" s="1"/>
  <c r="N106" i="23"/>
  <c r="O106" i="23" s="1"/>
  <c r="P106" i="23" s="1"/>
  <c r="N90" i="23"/>
  <c r="O90" i="23" s="1"/>
  <c r="P90" i="23" s="1"/>
  <c r="N74" i="23"/>
  <c r="O74" i="23" s="1"/>
  <c r="P74" i="23" s="1"/>
  <c r="N58" i="23"/>
  <c r="O58" i="23" s="1"/>
  <c r="P58" i="23" s="1"/>
  <c r="N42" i="23"/>
  <c r="O42" i="23" s="1"/>
  <c r="P42" i="23" s="1"/>
  <c r="N26" i="23"/>
  <c r="O26" i="23" s="1"/>
  <c r="P26" i="23" s="1"/>
  <c r="N10" i="23"/>
  <c r="O10" i="23" s="1"/>
  <c r="P10" i="23" s="1"/>
  <c r="N37" i="23"/>
  <c r="O37" i="23" s="1"/>
  <c r="P37" i="23" s="1"/>
  <c r="N21" i="23"/>
  <c r="O21" i="23" s="1"/>
  <c r="P21" i="23" s="1"/>
  <c r="I57" i="23"/>
  <c r="F91" i="23"/>
  <c r="J91" i="23" s="1"/>
  <c r="I21" i="23"/>
  <c r="F21" i="23"/>
  <c r="J21" i="23" s="1"/>
  <c r="I40" i="23"/>
  <c r="I104" i="23"/>
  <c r="I42" i="23"/>
  <c r="N80" i="23"/>
  <c r="O80" i="23" s="1"/>
  <c r="P80" i="23" s="1"/>
  <c r="N31" i="23"/>
  <c r="O31" i="23" s="1"/>
  <c r="P31" i="23" s="1"/>
  <c r="N95" i="23"/>
  <c r="O95" i="23" s="1"/>
  <c r="P95" i="23" s="1"/>
  <c r="N73" i="23"/>
  <c r="O73" i="23" s="1"/>
  <c r="P73" i="23" s="1"/>
  <c r="N52" i="23"/>
  <c r="O52" i="23" s="1"/>
  <c r="P52" i="23" s="1"/>
  <c r="N20" i="23"/>
  <c r="O20" i="23" s="1"/>
  <c r="P20" i="23" s="1"/>
  <c r="N99" i="23"/>
  <c r="O99" i="23" s="1"/>
  <c r="P99" i="23" s="1"/>
  <c r="N77" i="23"/>
  <c r="O77" i="23" s="1"/>
  <c r="P77" i="23" s="1"/>
  <c r="N56" i="23"/>
  <c r="O56" i="23" s="1"/>
  <c r="P56" i="23" s="1"/>
  <c r="N27" i="23"/>
  <c r="O27" i="23" s="1"/>
  <c r="P27" i="23" s="1"/>
  <c r="N96" i="23"/>
  <c r="O96" i="23" s="1"/>
  <c r="P96" i="23" s="1"/>
  <c r="N53" i="23"/>
  <c r="O53" i="23" s="1"/>
  <c r="P53" i="23" s="1"/>
  <c r="N103" i="23"/>
  <c r="O103" i="23" s="1"/>
  <c r="P103" i="23" s="1"/>
  <c r="N81" i="23"/>
  <c r="O81" i="23" s="1"/>
  <c r="P81" i="23" s="1"/>
  <c r="N60" i="23"/>
  <c r="O60" i="23" s="1"/>
  <c r="P60" i="23" s="1"/>
  <c r="N32" i="23"/>
  <c r="O32" i="23" s="1"/>
  <c r="P32" i="23" s="1"/>
  <c r="N102" i="23"/>
  <c r="O102" i="23" s="1"/>
  <c r="P102" i="23" s="1"/>
  <c r="N86" i="23"/>
  <c r="O86" i="23" s="1"/>
  <c r="P86" i="23" s="1"/>
  <c r="N70" i="23"/>
  <c r="O70" i="23" s="1"/>
  <c r="P70" i="23" s="1"/>
  <c r="N54" i="23"/>
  <c r="O54" i="23" s="1"/>
  <c r="P54" i="23" s="1"/>
  <c r="N38" i="23"/>
  <c r="O38" i="23" s="1"/>
  <c r="P38" i="23" s="1"/>
  <c r="N22" i="23"/>
  <c r="O22" i="23" s="1"/>
  <c r="P22" i="23" s="1"/>
  <c r="N49" i="23"/>
  <c r="O49" i="23" s="1"/>
  <c r="P49" i="23" s="1"/>
  <c r="N33" i="23"/>
  <c r="O33" i="23" s="1"/>
  <c r="P33" i="23" s="1"/>
  <c r="N17" i="23"/>
  <c r="O17" i="23" s="1"/>
  <c r="P17" i="23" s="1"/>
  <c r="N69" i="23"/>
  <c r="O69" i="23" s="1"/>
  <c r="P69" i="23" s="1"/>
  <c r="N15" i="23"/>
  <c r="O15" i="23" s="1"/>
  <c r="P15" i="23" s="1"/>
  <c r="N89" i="23"/>
  <c r="O89" i="23" s="1"/>
  <c r="P89" i="23" s="1"/>
  <c r="N68" i="23"/>
  <c r="O68" i="23" s="1"/>
  <c r="P68" i="23" s="1"/>
  <c r="N44" i="23"/>
  <c r="O44" i="23" s="1"/>
  <c r="P44" i="23" s="1"/>
  <c r="N12" i="23"/>
  <c r="O12" i="23" s="1"/>
  <c r="P12" i="23" s="1"/>
  <c r="N93" i="23"/>
  <c r="O93" i="23" s="1"/>
  <c r="P93" i="23" s="1"/>
  <c r="N72" i="23"/>
  <c r="O72" i="23" s="1"/>
  <c r="P72" i="23" s="1"/>
  <c r="N51" i="23"/>
  <c r="O51" i="23" s="1"/>
  <c r="P51" i="23" s="1"/>
  <c r="N19" i="23"/>
  <c r="O19" i="23" s="1"/>
  <c r="P19" i="23" s="1"/>
  <c r="N85" i="23"/>
  <c r="O85" i="23" s="1"/>
  <c r="P85" i="23" s="1"/>
  <c r="N39" i="23"/>
  <c r="O39" i="23" s="1"/>
  <c r="P39" i="23" s="1"/>
  <c r="N97" i="23"/>
  <c r="O97" i="23" s="1"/>
  <c r="P97" i="23" s="1"/>
  <c r="N76" i="23"/>
  <c r="O76" i="23" s="1"/>
  <c r="P76" i="23" s="1"/>
  <c r="N55" i="23"/>
  <c r="O55" i="23" s="1"/>
  <c r="P55" i="23" s="1"/>
  <c r="N24" i="23"/>
  <c r="O24" i="23" s="1"/>
  <c r="P24" i="23" s="1"/>
  <c r="N98" i="23"/>
  <c r="O98" i="23" s="1"/>
  <c r="P98" i="23" s="1"/>
  <c r="N82" i="23"/>
  <c r="O82" i="23" s="1"/>
  <c r="P82" i="23" s="1"/>
  <c r="N66" i="23"/>
  <c r="O66" i="23" s="1"/>
  <c r="P66" i="23" s="1"/>
  <c r="N50" i="23"/>
  <c r="O50" i="23" s="1"/>
  <c r="P50" i="23" s="1"/>
  <c r="N34" i="23"/>
  <c r="O34" i="23" s="1"/>
  <c r="P34" i="23" s="1"/>
  <c r="N18" i="23"/>
  <c r="O18" i="23" s="1"/>
  <c r="P18" i="23" s="1"/>
  <c r="N45" i="23"/>
  <c r="O45" i="23" s="1"/>
  <c r="P45" i="23" s="1"/>
  <c r="N29" i="23"/>
  <c r="O29" i="23" s="1"/>
  <c r="P29" i="23" s="1"/>
  <c r="N13" i="23"/>
  <c r="O13" i="23" s="1"/>
  <c r="P13" i="23" s="1"/>
  <c r="I51" i="23"/>
  <c r="I83" i="23"/>
  <c r="I91" i="23"/>
  <c r="I44" i="23"/>
  <c r="F90" i="23"/>
  <c r="J90" i="23" s="1"/>
  <c r="F83" i="23"/>
  <c r="G83" i="23" s="1"/>
  <c r="H83" i="23" s="1"/>
  <c r="F42" i="23"/>
  <c r="G42" i="23" s="1"/>
  <c r="H42" i="23" s="1"/>
  <c r="F35" i="23"/>
  <c r="J35" i="23" s="1"/>
  <c r="I69" i="23"/>
  <c r="F50" i="23"/>
  <c r="J50" i="23" s="1"/>
  <c r="I72" i="23"/>
  <c r="I45" i="23"/>
  <c r="F65" i="23"/>
  <c r="G65" i="23" s="1"/>
  <c r="H65" i="23" s="1"/>
  <c r="F82" i="23"/>
  <c r="J82" i="23" s="1"/>
  <c r="N101" i="23"/>
  <c r="O101" i="23" s="1"/>
  <c r="P101" i="23" s="1"/>
  <c r="N59" i="23"/>
  <c r="O59" i="23" s="1"/>
  <c r="P59" i="23" s="1"/>
  <c r="N105" i="23"/>
  <c r="O105" i="23" s="1"/>
  <c r="P105" i="23" s="1"/>
  <c r="N84" i="23"/>
  <c r="O84" i="23" s="1"/>
  <c r="P84" i="23" s="1"/>
  <c r="N63" i="23"/>
  <c r="O63" i="23" s="1"/>
  <c r="P63" i="23" s="1"/>
  <c r="N36" i="23"/>
  <c r="O36" i="23" s="1"/>
  <c r="P36" i="23" s="1"/>
  <c r="N6" i="23"/>
  <c r="O6" i="23" s="1"/>
  <c r="P6" i="23" s="1"/>
  <c r="N88" i="23"/>
  <c r="O88" i="23" s="1"/>
  <c r="P88" i="23" s="1"/>
  <c r="N67" i="23"/>
  <c r="O67" i="23" s="1"/>
  <c r="P67" i="23" s="1"/>
  <c r="N43" i="23"/>
  <c r="O43" i="23" s="1"/>
  <c r="P43" i="23" s="1"/>
  <c r="N11" i="23"/>
  <c r="O11" i="23" s="1"/>
  <c r="P11" i="23" s="1"/>
  <c r="N75" i="23"/>
  <c r="O75" i="23" s="1"/>
  <c r="P75" i="23" s="1"/>
  <c r="N23" i="23"/>
  <c r="O23" i="23" s="1"/>
  <c r="P23" i="23" s="1"/>
  <c r="N92" i="23"/>
  <c r="O92" i="23" s="1"/>
  <c r="P92" i="23" s="1"/>
  <c r="N71" i="23"/>
  <c r="O71" i="23" s="1"/>
  <c r="P71" i="23" s="1"/>
  <c r="N48" i="23"/>
  <c r="O48" i="23" s="1"/>
  <c r="P48" i="23" s="1"/>
  <c r="N16" i="23"/>
  <c r="O16" i="23" s="1"/>
  <c r="P16" i="23" s="1"/>
  <c r="N94" i="23"/>
  <c r="O94" i="23" s="1"/>
  <c r="P94" i="23" s="1"/>
  <c r="N78" i="23"/>
  <c r="O78" i="23" s="1"/>
  <c r="P78" i="23" s="1"/>
  <c r="N62" i="23"/>
  <c r="O62" i="23" s="1"/>
  <c r="P62" i="23" s="1"/>
  <c r="N46" i="23"/>
  <c r="O46" i="23" s="1"/>
  <c r="P46" i="23" s="1"/>
  <c r="N30" i="23"/>
  <c r="O30" i="23" s="1"/>
  <c r="P30" i="23" s="1"/>
  <c r="N14" i="23"/>
  <c r="O14" i="23" s="1"/>
  <c r="P14" i="23" s="1"/>
  <c r="N41" i="23"/>
  <c r="O41" i="23" s="1"/>
  <c r="P41" i="23" s="1"/>
  <c r="N25" i="23"/>
  <c r="O25" i="23" s="1"/>
  <c r="P25" i="23" s="1"/>
  <c r="N9" i="23"/>
  <c r="O9" i="23" s="1"/>
  <c r="P9" i="23" s="1"/>
  <c r="I19" i="23"/>
  <c r="I28" i="23"/>
  <c r="I89" i="23"/>
  <c r="F64" i="23"/>
  <c r="J64" i="23" s="1"/>
  <c r="F37" i="23"/>
  <c r="J37" i="23" s="1"/>
  <c r="F74" i="23"/>
  <c r="G74" i="23" s="1"/>
  <c r="H74" i="23" s="1"/>
  <c r="F15" i="23"/>
  <c r="J15" i="23" s="1"/>
  <c r="I47" i="23"/>
  <c r="I97" i="23"/>
  <c r="F68" i="23"/>
  <c r="J68" i="23" s="1"/>
  <c r="F45" i="23"/>
  <c r="J45" i="23" s="1"/>
  <c r="F19" i="23"/>
  <c r="J19" i="23" s="1"/>
  <c r="F47" i="23"/>
  <c r="J47" i="23" s="1"/>
  <c r="I68" i="23"/>
  <c r="F40" i="23"/>
  <c r="J40" i="23" s="1"/>
  <c r="F104" i="23"/>
  <c r="J104" i="23" s="1"/>
  <c r="F18" i="23"/>
  <c r="J18" i="23" s="1"/>
  <c r="F57" i="23"/>
  <c r="G57" i="23" s="1"/>
  <c r="H57" i="23" s="1"/>
  <c r="I7" i="23"/>
  <c r="F28" i="23"/>
  <c r="J28" i="23" s="1"/>
  <c r="F97" i="23"/>
  <c r="G97" i="23" s="1"/>
  <c r="H97" i="23" s="1"/>
  <c r="F8" i="23"/>
  <c r="J8" i="23" s="1"/>
  <c r="I58" i="23"/>
  <c r="I82" i="23"/>
  <c r="I74" i="23"/>
  <c r="I37" i="23"/>
  <c r="I35" i="23"/>
  <c r="I85" i="23"/>
  <c r="I29" i="23"/>
  <c r="F58" i="23"/>
  <c r="G58" i="23" s="1"/>
  <c r="H58" i="23" s="1"/>
  <c r="F51" i="23"/>
  <c r="J51" i="23" s="1"/>
  <c r="I15" i="23"/>
  <c r="I79" i="23"/>
  <c r="I93" i="23"/>
  <c r="I64" i="23"/>
  <c r="F100" i="23"/>
  <c r="G100" i="23" s="1"/>
  <c r="H100" i="23" s="1"/>
  <c r="F10" i="23"/>
  <c r="J10" i="23" s="1"/>
  <c r="F66" i="23"/>
  <c r="G66" i="23" s="1"/>
  <c r="H66" i="23" s="1"/>
  <c r="F55" i="23"/>
  <c r="J55" i="23" s="1"/>
  <c r="I100" i="23"/>
  <c r="F72" i="23"/>
  <c r="G72" i="23" s="1"/>
  <c r="H72" i="23" s="1"/>
  <c r="I39" i="23"/>
  <c r="I24" i="23"/>
  <c r="F29" i="23"/>
  <c r="J29" i="23" s="1"/>
  <c r="F93" i="23"/>
  <c r="G93" i="23" s="1"/>
  <c r="H93" i="23" s="1"/>
  <c r="F95" i="23"/>
  <c r="G95" i="23" s="1"/>
  <c r="H95" i="23" s="1"/>
  <c r="I26" i="23"/>
  <c r="I66" i="23"/>
  <c r="I18" i="23"/>
  <c r="I34" i="23"/>
  <c r="G96" i="23"/>
  <c r="H96" i="23" s="1"/>
  <c r="G41" i="23"/>
  <c r="H41" i="23" s="1"/>
  <c r="G36" i="23"/>
  <c r="H36" i="23" s="1"/>
  <c r="G86" i="23"/>
  <c r="H86" i="23" s="1"/>
  <c r="G23" i="23"/>
  <c r="H23" i="23" s="1"/>
  <c r="G62" i="23"/>
  <c r="H62" i="23" s="1"/>
  <c r="G11" i="23"/>
  <c r="H11" i="23" s="1"/>
  <c r="G48" i="23"/>
  <c r="H48" i="23" s="1"/>
  <c r="G9" i="23"/>
  <c r="H9" i="23" s="1"/>
  <c r="G69" i="23"/>
  <c r="H69" i="23" s="1"/>
  <c r="G75" i="23"/>
  <c r="H75" i="23" s="1"/>
  <c r="G89" i="23"/>
  <c r="H89" i="23" s="1"/>
  <c r="G39" i="23"/>
  <c r="H39" i="23" s="1"/>
  <c r="G99" i="23"/>
  <c r="H99" i="23" s="1"/>
  <c r="G76" i="23"/>
  <c r="H76" i="23" s="1"/>
  <c r="G98" i="23"/>
  <c r="H98" i="23" s="1"/>
  <c r="G27" i="23"/>
  <c r="H27" i="23" s="1"/>
  <c r="G79" i="23"/>
  <c r="H79" i="23" s="1"/>
  <c r="G78" i="23"/>
  <c r="H78" i="23" s="1"/>
  <c r="G70" i="23"/>
  <c r="H70" i="23" s="1"/>
  <c r="G59" i="23"/>
  <c r="H59" i="23" s="1"/>
  <c r="G33" i="23"/>
  <c r="H33" i="23" s="1"/>
  <c r="G43" i="23"/>
  <c r="H43" i="23" s="1"/>
  <c r="G16" i="23"/>
  <c r="H16" i="23" s="1"/>
  <c r="G106" i="23"/>
  <c r="H106" i="23" s="1"/>
  <c r="G31" i="23"/>
  <c r="H31" i="23" s="1"/>
  <c r="G38" i="23"/>
  <c r="H38" i="23" s="1"/>
  <c r="G56" i="23"/>
  <c r="H56" i="23" s="1"/>
  <c r="G44" i="23"/>
  <c r="H44" i="23" s="1"/>
  <c r="G7" i="23"/>
  <c r="H7" i="23" s="1"/>
  <c r="B19" i="19"/>
  <c r="D19" i="19" s="1"/>
  <c r="I17" i="8"/>
  <c r="J17" i="8" s="1"/>
  <c r="D166" i="2" s="1"/>
  <c r="F254" i="2" s="1"/>
  <c r="G165" i="2"/>
  <c r="F165" i="2"/>
  <c r="E50" i="1" s="1"/>
  <c r="H253" i="2" s="1"/>
  <c r="C48" i="16" s="1"/>
  <c r="I18" i="8"/>
  <c r="J18" i="8" s="1"/>
  <c r="G257" i="2" s="1"/>
  <c r="A260" i="2"/>
  <c r="B260" i="2"/>
  <c r="B241" i="2"/>
  <c r="R60" i="2"/>
  <c r="C34" i="16"/>
  <c r="B151" i="2"/>
  <c r="K55" i="2"/>
  <c r="K56" i="2"/>
  <c r="D241" i="2"/>
  <c r="C157" i="8"/>
  <c r="C156" i="8" s="1"/>
  <c r="C155" i="8" s="1"/>
  <c r="C154" i="8" s="1"/>
  <c r="C153" i="8" s="1"/>
  <c r="C152" i="8" s="1"/>
  <c r="C151" i="8" s="1"/>
  <c r="C150" i="8" s="1"/>
  <c r="C149" i="8" s="1"/>
  <c r="C148" i="8" s="1"/>
  <c r="C147" i="8" s="1"/>
  <c r="C146" i="8" s="1"/>
  <c r="C145" i="8" s="1"/>
  <c r="C144" i="8" s="1"/>
  <c r="C143" i="8" s="1"/>
  <c r="C142" i="8" s="1"/>
  <c r="C141" i="8" s="1"/>
  <c r="C140" i="8" s="1"/>
  <c r="C139" i="8" s="1"/>
  <c r="C138" i="8" s="1"/>
  <c r="C137" i="8" s="1"/>
  <c r="C136" i="8" s="1"/>
  <c r="C135" i="8" s="1"/>
  <c r="C134" i="8" s="1"/>
  <c r="C133" i="8" s="1"/>
  <c r="C132" i="8" s="1"/>
  <c r="C131" i="8" s="1"/>
  <c r="C130" i="8" s="1"/>
  <c r="C129" i="8" s="1"/>
  <c r="C128" i="8" s="1"/>
  <c r="C127" i="8" s="1"/>
  <c r="C126" i="8" s="1"/>
  <c r="C125" i="8" s="1"/>
  <c r="C124" i="8" s="1"/>
  <c r="C123" i="8" s="1"/>
  <c r="C122" i="8" s="1"/>
  <c r="C121" i="8" s="1"/>
  <c r="C120" i="8" s="1"/>
  <c r="C119" i="8" s="1"/>
  <c r="C118" i="8" s="1"/>
  <c r="C117" i="8" s="1"/>
  <c r="C116" i="8" s="1"/>
  <c r="C115" i="8" s="1"/>
  <c r="C114" i="8" s="1"/>
  <c r="C113" i="8" s="1"/>
  <c r="C112" i="8" s="1"/>
  <c r="C111" i="8" s="1"/>
  <c r="C110" i="8" s="1"/>
  <c r="C109" i="8" s="1"/>
  <c r="C108" i="8" s="1"/>
  <c r="C107" i="8" s="1"/>
  <c r="C106" i="8" s="1"/>
  <c r="C105" i="8" s="1"/>
  <c r="C104" i="8" s="1"/>
  <c r="C103" i="8" s="1"/>
  <c r="C102" i="8" s="1"/>
  <c r="C101" i="8" s="1"/>
  <c r="C100" i="8" s="1"/>
  <c r="C99" i="8" s="1"/>
  <c r="C98" i="8" s="1"/>
  <c r="C97" i="8" s="1"/>
  <c r="C96" i="8" s="1"/>
  <c r="C95" i="8" s="1"/>
  <c r="C94" i="8" s="1"/>
  <c r="C93" i="8" s="1"/>
  <c r="C92" i="8" s="1"/>
  <c r="C91" i="8" s="1"/>
  <c r="C90" i="8" s="1"/>
  <c r="C89" i="8" s="1"/>
  <c r="C88" i="8" s="1"/>
  <c r="C87" i="8" s="1"/>
  <c r="C86" i="8" s="1"/>
  <c r="C85" i="8" s="1"/>
  <c r="C84" i="8" s="1"/>
  <c r="C83" i="8" s="1"/>
  <c r="C82" i="8" s="1"/>
  <c r="C81" i="8" s="1"/>
  <c r="C80" i="8" s="1"/>
  <c r="C79" i="8" s="1"/>
  <c r="C78" i="8" s="1"/>
  <c r="C77" i="8" s="1"/>
  <c r="C76" i="8" s="1"/>
  <c r="C75" i="8" s="1"/>
  <c r="C74" i="8" s="1"/>
  <c r="C73" i="8" s="1"/>
  <c r="C72" i="8" s="1"/>
  <c r="C71" i="8" s="1"/>
  <c r="C70" i="8" s="1"/>
  <c r="C69" i="8" s="1"/>
  <c r="C68" i="8" s="1"/>
  <c r="C67" i="8" s="1"/>
  <c r="C66" i="8" s="1"/>
  <c r="C65" i="8" s="1"/>
  <c r="C64" i="8" s="1"/>
  <c r="C63" i="8" s="1"/>
  <c r="C62" i="8" s="1"/>
  <c r="C61" i="8" s="1"/>
  <c r="C60" i="8" s="1"/>
  <c r="C59" i="8" s="1"/>
  <c r="C58" i="8" s="1"/>
  <c r="C57" i="8" s="1"/>
  <c r="C56" i="8" s="1"/>
  <c r="C55" i="8" s="1"/>
  <c r="C54" i="8" s="1"/>
  <c r="C53" i="8" s="1"/>
  <c r="C52" i="8" s="1"/>
  <c r="C51" i="8" s="1"/>
  <c r="C50" i="8" s="1"/>
  <c r="C49" i="8" s="1"/>
  <c r="C48" i="8" s="1"/>
  <c r="C47" i="8" s="1"/>
  <c r="C46" i="8" s="1"/>
  <c r="C45" i="8" s="1"/>
  <c r="C44" i="8" s="1"/>
  <c r="C43" i="8" s="1"/>
  <c r="C42" i="8" s="1"/>
  <c r="C41" i="8" s="1"/>
  <c r="C40" i="8" s="1"/>
  <c r="C39" i="8" s="1"/>
  <c r="C38" i="8" s="1"/>
  <c r="C37" i="8" s="1"/>
  <c r="C36" i="8" s="1"/>
  <c r="C35" i="8" s="1"/>
  <c r="C34" i="8" s="1"/>
  <c r="C33" i="8" s="1"/>
  <c r="C32" i="8" s="1"/>
  <c r="C31" i="8" s="1"/>
  <c r="C30" i="8" s="1"/>
  <c r="C29" i="8" s="1"/>
  <c r="C28" i="8" s="1"/>
  <c r="C27" i="8" s="1"/>
  <c r="C26" i="8" s="1"/>
  <c r="C25" i="8" s="1"/>
  <c r="C24" i="8" s="1"/>
  <c r="C23" i="8" s="1"/>
  <c r="C22" i="8" s="1"/>
  <c r="C21" i="8" s="1"/>
  <c r="C20" i="8" s="1"/>
  <c r="C19" i="8" s="1"/>
  <c r="C18" i="8" s="1"/>
  <c r="C17" i="8" s="1"/>
  <c r="C16" i="8" s="1"/>
  <c r="C15" i="8" s="1"/>
  <c r="C14" i="8" s="1"/>
  <c r="C13" i="8" s="1"/>
  <c r="C12" i="8" s="1"/>
  <c r="C11" i="8" s="1"/>
  <c r="C10" i="8" s="1"/>
  <c r="C9" i="8" s="1"/>
  <c r="C8" i="8" s="1"/>
  <c r="C7" i="8" s="1"/>
  <c r="C6" i="8" s="1"/>
  <c r="C4" i="8" s="1"/>
  <c r="B240" i="2"/>
  <c r="C241" i="2"/>
  <c r="B242" i="2"/>
  <c r="A243" i="2"/>
  <c r="B246" i="2"/>
  <c r="I11" i="19"/>
  <c r="I15" i="19"/>
  <c r="I19" i="19"/>
  <c r="I23" i="19"/>
  <c r="I27" i="19"/>
  <c r="I31" i="19"/>
  <c r="I35" i="19"/>
  <c r="I39" i="19"/>
  <c r="I43" i="19"/>
  <c r="I47" i="19"/>
  <c r="I51" i="19"/>
  <c r="I55" i="19"/>
  <c r="I59" i="19"/>
  <c r="I63" i="19"/>
  <c r="I67" i="19"/>
  <c r="I71" i="19"/>
  <c r="I75" i="19"/>
  <c r="I79" i="19"/>
  <c r="I83" i="19"/>
  <c r="I87" i="19"/>
  <c r="I91" i="19"/>
  <c r="I95" i="19"/>
  <c r="I99" i="19"/>
  <c r="I103" i="19"/>
  <c r="I13" i="19"/>
  <c r="I17" i="19"/>
  <c r="I21" i="19"/>
  <c r="I25" i="19"/>
  <c r="I29" i="19"/>
  <c r="I33" i="19"/>
  <c r="I37" i="19"/>
  <c r="I41" i="19"/>
  <c r="I45" i="19"/>
  <c r="I49" i="19"/>
  <c r="I53" i="19"/>
  <c r="I57" i="19"/>
  <c r="I61" i="19"/>
  <c r="I65" i="19"/>
  <c r="I69" i="19"/>
  <c r="I73" i="19"/>
  <c r="I77" i="19"/>
  <c r="I81" i="19"/>
  <c r="I85" i="19"/>
  <c r="I89" i="19"/>
  <c r="I93" i="19"/>
  <c r="I97" i="19"/>
  <c r="I101" i="19"/>
  <c r="I105" i="19"/>
  <c r="I10" i="19"/>
  <c r="I18" i="19"/>
  <c r="I26" i="19"/>
  <c r="I34" i="19"/>
  <c r="I42" i="19"/>
  <c r="I50" i="19"/>
  <c r="I58" i="19"/>
  <c r="I66" i="19"/>
  <c r="I74" i="19"/>
  <c r="I82" i="19"/>
  <c r="I90" i="19"/>
  <c r="I98" i="19"/>
  <c r="I106" i="19"/>
  <c r="I14" i="19"/>
  <c r="I22" i="19"/>
  <c r="I30" i="19"/>
  <c r="I38" i="19"/>
  <c r="I46" i="19"/>
  <c r="I54" i="19"/>
  <c r="I62" i="19"/>
  <c r="I70" i="19"/>
  <c r="I78" i="19"/>
  <c r="I86" i="19"/>
  <c r="I94" i="19"/>
  <c r="I102" i="19"/>
  <c r="I20" i="19"/>
  <c r="I36" i="19"/>
  <c r="I52" i="19"/>
  <c r="I68" i="19"/>
  <c r="I84" i="19"/>
  <c r="I100" i="19"/>
  <c r="I24" i="19"/>
  <c r="I40" i="19"/>
  <c r="I56" i="19"/>
  <c r="I72" i="19"/>
  <c r="I88" i="19"/>
  <c r="I104" i="19"/>
  <c r="I12" i="19"/>
  <c r="I28" i="19"/>
  <c r="I44" i="19"/>
  <c r="I60" i="19"/>
  <c r="I76" i="19"/>
  <c r="I92" i="19"/>
  <c r="I16" i="19"/>
  <c r="I32" i="19"/>
  <c r="I48" i="19"/>
  <c r="I64" i="19"/>
  <c r="I80" i="19"/>
  <c r="I96" i="19"/>
  <c r="D18" i="19"/>
  <c r="B25" i="29" l="1"/>
  <c r="B26" i="29" s="1"/>
  <c r="D26" i="29" s="1"/>
  <c r="DC5" i="24"/>
  <c r="N329" i="25"/>
  <c r="L75" i="1" s="1"/>
  <c r="K76" i="1" s="1"/>
  <c r="O329" i="25"/>
  <c r="I25" i="8" s="1"/>
  <c r="J25" i="8" s="1"/>
  <c r="G329" i="24"/>
  <c r="H329" i="24"/>
  <c r="I23" i="8" s="1"/>
  <c r="J23" i="8" s="1"/>
  <c r="CS110" i="25"/>
  <c r="DS110" i="25" s="1"/>
  <c r="B15" i="29"/>
  <c r="B21" i="29" s="1"/>
  <c r="B22" i="29" s="1"/>
  <c r="CU212" i="25"/>
  <c r="CW212" i="25"/>
  <c r="CO212" i="25" s="1"/>
  <c r="CZ212" i="25" s="1"/>
  <c r="CV212" i="25"/>
  <c r="DS212" i="25"/>
  <c r="CY212" i="25"/>
  <c r="CT212" i="25"/>
  <c r="FD212" i="25" s="1"/>
  <c r="G329" i="25"/>
  <c r="I28" i="8"/>
  <c r="EQ266" i="25"/>
  <c r="EU266" i="25" s="1"/>
  <c r="FG266" i="25"/>
  <c r="EQ277" i="25"/>
  <c r="EU277" i="25" s="1"/>
  <c r="FG277" i="25"/>
  <c r="FG233" i="25"/>
  <c r="EQ233" i="25"/>
  <c r="EU233" i="25" s="1"/>
  <c r="EQ285" i="25"/>
  <c r="EU285" i="25" s="1"/>
  <c r="FG285" i="25"/>
  <c r="FG280" i="25"/>
  <c r="EQ280" i="25"/>
  <c r="EU280" i="25" s="1"/>
  <c r="FG243" i="25"/>
  <c r="EQ243" i="25"/>
  <c r="EU243" i="25" s="1"/>
  <c r="EQ244" i="25"/>
  <c r="EU244" i="25" s="1"/>
  <c r="FG244" i="25"/>
  <c r="FG295" i="25"/>
  <c r="EQ295" i="25"/>
  <c r="EU295" i="25" s="1"/>
  <c r="FG242" i="25"/>
  <c r="EQ242" i="25"/>
  <c r="EU242" i="25" s="1"/>
  <c r="EQ307" i="25"/>
  <c r="EU307" i="25" s="1"/>
  <c r="FG307" i="25"/>
  <c r="EQ250" i="25"/>
  <c r="EU250" i="25" s="1"/>
  <c r="FG250" i="25"/>
  <c r="FG284" i="25"/>
  <c r="EQ284" i="25"/>
  <c r="EU284" i="25" s="1"/>
  <c r="EQ298" i="25"/>
  <c r="EU298" i="25" s="1"/>
  <c r="FG298" i="25"/>
  <c r="EQ227" i="25"/>
  <c r="EU227" i="25" s="1"/>
  <c r="FG227" i="25"/>
  <c r="EQ239" i="25"/>
  <c r="EU239" i="25" s="1"/>
  <c r="FG239" i="25"/>
  <c r="EQ287" i="25"/>
  <c r="EU287" i="25" s="1"/>
  <c r="FG287" i="25"/>
  <c r="FG290" i="25"/>
  <c r="EQ290" i="25"/>
  <c r="EU290" i="25" s="1"/>
  <c r="EQ245" i="25"/>
  <c r="EU245" i="25" s="1"/>
  <c r="FG245" i="25"/>
  <c r="EQ252" i="25"/>
  <c r="EU252" i="25" s="1"/>
  <c r="FG252" i="25"/>
  <c r="FG314" i="25"/>
  <c r="EQ314" i="25"/>
  <c r="EU314" i="25" s="1"/>
  <c r="EQ251" i="25"/>
  <c r="EU251" i="25" s="1"/>
  <c r="FG251" i="25"/>
  <c r="FG309" i="25"/>
  <c r="EQ309" i="25"/>
  <c r="EU309" i="25" s="1"/>
  <c r="EQ256" i="25"/>
  <c r="EU256" i="25" s="1"/>
  <c r="FG256" i="25"/>
  <c r="FG313" i="25"/>
  <c r="EQ313" i="25"/>
  <c r="EU313" i="25" s="1"/>
  <c r="FG257" i="25"/>
  <c r="EQ257" i="25"/>
  <c r="EU257" i="25" s="1"/>
  <c r="FG247" i="25"/>
  <c r="EQ247" i="25"/>
  <c r="EU247" i="25" s="1"/>
  <c r="FG308" i="25"/>
  <c r="EQ308" i="25"/>
  <c r="EU308" i="25" s="1"/>
  <c r="EQ292" i="25"/>
  <c r="EU292" i="25" s="1"/>
  <c r="FG292" i="25"/>
  <c r="EQ246" i="25"/>
  <c r="EU246" i="25" s="1"/>
  <c r="FG246" i="25"/>
  <c r="FG253" i="25"/>
  <c r="EQ253" i="25"/>
  <c r="EU253" i="25" s="1"/>
  <c r="EQ254" i="25"/>
  <c r="EU254" i="25" s="1"/>
  <c r="FG254" i="25"/>
  <c r="FG259" i="25"/>
  <c r="EQ259" i="25"/>
  <c r="EU259" i="25" s="1"/>
  <c r="FG258" i="25"/>
  <c r="EQ258" i="25"/>
  <c r="EU258" i="25" s="1"/>
  <c r="EQ293" i="25"/>
  <c r="EU293" i="25" s="1"/>
  <c r="FG293" i="25"/>
  <c r="EQ224" i="25"/>
  <c r="EU224" i="25" s="1"/>
  <c r="FG224" i="25"/>
  <c r="FG222" i="25"/>
  <c r="EQ222" i="25"/>
  <c r="EU222" i="25" s="1"/>
  <c r="EQ270" i="25"/>
  <c r="EU270" i="25" s="1"/>
  <c r="FG270" i="25"/>
  <c r="FG229" i="25"/>
  <c r="EQ229" i="25"/>
  <c r="EU229" i="25" s="1"/>
  <c r="EQ296" i="25"/>
  <c r="EU296" i="25" s="1"/>
  <c r="FG296" i="25"/>
  <c r="EQ301" i="25"/>
  <c r="EU301" i="25" s="1"/>
  <c r="FG301" i="25"/>
  <c r="EQ260" i="25"/>
  <c r="EU260" i="25" s="1"/>
  <c r="FG260" i="25"/>
  <c r="EQ255" i="25"/>
  <c r="EU255" i="25" s="1"/>
  <c r="FG255" i="25"/>
  <c r="EQ263" i="25"/>
  <c r="EU263" i="25" s="1"/>
  <c r="FG263" i="25"/>
  <c r="EQ265" i="25"/>
  <c r="EU265" i="25" s="1"/>
  <c r="FG265" i="25"/>
  <c r="FG304" i="25"/>
  <c r="EQ304" i="25"/>
  <c r="EU304" i="25" s="1"/>
  <c r="FG264" i="25"/>
  <c r="EQ264" i="25"/>
  <c r="EU264" i="25" s="1"/>
  <c r="EQ249" i="25"/>
  <c r="EU249" i="25" s="1"/>
  <c r="FG249" i="25"/>
  <c r="FG273" i="25"/>
  <c r="EQ273" i="25"/>
  <c r="EU273" i="25" s="1"/>
  <c r="FG248" i="25"/>
  <c r="EQ248" i="25"/>
  <c r="EU248" i="25" s="1"/>
  <c r="EQ297" i="25"/>
  <c r="EU297" i="25" s="1"/>
  <c r="FG297" i="25"/>
  <c r="EQ221" i="25"/>
  <c r="EU221" i="25" s="1"/>
  <c r="FG221" i="25"/>
  <c r="EQ303" i="25"/>
  <c r="EU303" i="25" s="1"/>
  <c r="FG303" i="25"/>
  <c r="EQ268" i="25"/>
  <c r="EU268" i="25" s="1"/>
  <c r="FG268" i="25"/>
  <c r="FG218" i="25"/>
  <c r="EQ218" i="25"/>
  <c r="EU218" i="25" s="1"/>
  <c r="EQ267" i="25"/>
  <c r="EU267" i="25" s="1"/>
  <c r="FG267" i="25"/>
  <c r="EQ278" i="25"/>
  <c r="EU278" i="25" s="1"/>
  <c r="FG278" i="25"/>
  <c r="EQ286" i="25"/>
  <c r="EU286" i="25" s="1"/>
  <c r="FG286" i="25"/>
  <c r="EQ312" i="25"/>
  <c r="EU312" i="25" s="1"/>
  <c r="FG312" i="25"/>
  <c r="EQ282" i="25"/>
  <c r="EU282" i="25" s="1"/>
  <c r="FG282" i="25"/>
  <c r="EQ291" i="25"/>
  <c r="EU291" i="25" s="1"/>
  <c r="FG291" i="25"/>
  <c r="EQ217" i="25"/>
  <c r="EU217" i="25" s="1"/>
  <c r="FG217" i="25"/>
  <c r="FG274" i="25"/>
  <c r="EQ274" i="25"/>
  <c r="EU274" i="25" s="1"/>
  <c r="EQ261" i="25"/>
  <c r="EU261" i="25" s="1"/>
  <c r="FG261" i="25"/>
  <c r="EQ311" i="25"/>
  <c r="EU311" i="25" s="1"/>
  <c r="FG311" i="25"/>
  <c r="FG223" i="25"/>
  <c r="EQ223" i="25"/>
  <c r="EU223" i="25" s="1"/>
  <c r="EQ310" i="25"/>
  <c r="EU310" i="25" s="1"/>
  <c r="FG310" i="25"/>
  <c r="FG279" i="25"/>
  <c r="EQ279" i="25"/>
  <c r="EU279" i="25" s="1"/>
  <c r="EQ231" i="25"/>
  <c r="EU231" i="25" s="1"/>
  <c r="FG231" i="25"/>
  <c r="EQ271" i="25"/>
  <c r="EU271" i="25" s="1"/>
  <c r="FG271" i="25"/>
  <c r="EQ220" i="25"/>
  <c r="EU220" i="25" s="1"/>
  <c r="FG220" i="25"/>
  <c r="FG299" i="25"/>
  <c r="EQ299" i="25"/>
  <c r="EU299" i="25" s="1"/>
  <c r="FG305" i="25"/>
  <c r="EQ305" i="25"/>
  <c r="EU305" i="25" s="1"/>
  <c r="EQ234" i="25"/>
  <c r="EU234" i="25" s="1"/>
  <c r="FG234" i="25"/>
  <c r="EQ316" i="25"/>
  <c r="EU316" i="25" s="1"/>
  <c r="FG316" i="25"/>
  <c r="EQ288" i="25"/>
  <c r="EU288" i="25" s="1"/>
  <c r="FG288" i="25"/>
  <c r="EQ302" i="25"/>
  <c r="EU302" i="25" s="1"/>
  <c r="FG302" i="25"/>
  <c r="FG219" i="25"/>
  <c r="EQ219" i="25"/>
  <c r="EU219" i="25" s="1"/>
  <c r="FG281" i="25"/>
  <c r="EQ281" i="25"/>
  <c r="EU281" i="25" s="1"/>
  <c r="FG269" i="25"/>
  <c r="EQ269" i="25"/>
  <c r="EU269" i="25" s="1"/>
  <c r="EQ315" i="25"/>
  <c r="EU315" i="25" s="1"/>
  <c r="FG315" i="25"/>
  <c r="EQ232" i="25"/>
  <c r="EU232" i="25" s="1"/>
  <c r="FG232" i="25"/>
  <c r="FG228" i="25"/>
  <c r="EQ228" i="25"/>
  <c r="EU228" i="25" s="1"/>
  <c r="FG289" i="25"/>
  <c r="EQ289" i="25"/>
  <c r="EU289" i="25" s="1"/>
  <c r="EQ236" i="25"/>
  <c r="EU236" i="25" s="1"/>
  <c r="FG236" i="25"/>
  <c r="EQ272" i="25"/>
  <c r="EU272" i="25" s="1"/>
  <c r="FG272" i="25"/>
  <c r="EQ225" i="25"/>
  <c r="EU225" i="25" s="1"/>
  <c r="FG225" i="25"/>
  <c r="FG300" i="25"/>
  <c r="EQ300" i="25"/>
  <c r="EU300" i="25" s="1"/>
  <c r="EQ240" i="25"/>
  <c r="EU240" i="25" s="1"/>
  <c r="FG240" i="25"/>
  <c r="EQ230" i="25"/>
  <c r="EU230" i="25" s="1"/>
  <c r="FG230" i="25"/>
  <c r="EQ262" i="25"/>
  <c r="EU262" i="25" s="1"/>
  <c r="FG262" i="25"/>
  <c r="EQ226" i="25"/>
  <c r="EU226" i="25" s="1"/>
  <c r="FG226" i="25"/>
  <c r="EQ283" i="25"/>
  <c r="EU283" i="25" s="1"/>
  <c r="FG283" i="25"/>
  <c r="EQ276" i="25"/>
  <c r="EU276" i="25" s="1"/>
  <c r="FG276" i="25"/>
  <c r="FG238" i="25"/>
  <c r="EQ238" i="25"/>
  <c r="EU238" i="25" s="1"/>
  <c r="FG237" i="25"/>
  <c r="EQ237" i="25"/>
  <c r="EU237" i="25" s="1"/>
  <c r="FG294" i="25"/>
  <c r="EQ294" i="25"/>
  <c r="EU294" i="25" s="1"/>
  <c r="EQ241" i="25"/>
  <c r="EU241" i="25" s="1"/>
  <c r="FG241" i="25"/>
  <c r="FG275" i="25"/>
  <c r="EQ275" i="25"/>
  <c r="EU275" i="25" s="1"/>
  <c r="EQ235" i="25"/>
  <c r="EU235" i="25" s="1"/>
  <c r="FG235" i="25"/>
  <c r="EQ306" i="25"/>
  <c r="EU306" i="25" s="1"/>
  <c r="FG306" i="25"/>
  <c r="CU112" i="25"/>
  <c r="CV112" i="25"/>
  <c r="CL112" i="25"/>
  <c r="DP112" i="25"/>
  <c r="EQ112" i="25"/>
  <c r="EU112" i="25" s="1"/>
  <c r="FG112" i="25"/>
  <c r="CX112" i="25"/>
  <c r="CW112" i="25"/>
  <c r="CO112" i="25" s="1"/>
  <c r="B36" i="2"/>
  <c r="B94" i="2" s="1"/>
  <c r="CT112" i="25"/>
  <c r="CY110" i="24"/>
  <c r="DA110" i="24" s="1"/>
  <c r="CT110" i="24"/>
  <c r="CU110" i="24"/>
  <c r="CU5" i="24"/>
  <c r="CV5" i="24" s="1"/>
  <c r="CT5" i="24"/>
  <c r="CS216" i="25"/>
  <c r="DS216" i="25" s="1"/>
  <c r="CS110" i="24"/>
  <c r="FD110" i="24" s="1"/>
  <c r="DM110" i="24"/>
  <c r="DB110" i="24"/>
  <c r="DE110" i="24" s="1"/>
  <c r="DF110" i="24" s="1"/>
  <c r="DG110" i="24" s="1"/>
  <c r="DI110" i="24"/>
  <c r="DB5" i="24"/>
  <c r="DE5" i="24" s="1"/>
  <c r="DF5" i="24" s="1"/>
  <c r="DG5" i="24" s="1"/>
  <c r="DM5" i="24"/>
  <c r="DI5" i="24"/>
  <c r="CY216" i="24"/>
  <c r="CT216" i="24"/>
  <c r="DT216" i="24"/>
  <c r="CU216" i="24"/>
  <c r="CS216" i="24"/>
  <c r="FD216" i="24" s="1"/>
  <c r="CN216" i="24"/>
  <c r="CW113" i="25"/>
  <c r="CO113" i="25" s="1"/>
  <c r="CU113" i="25"/>
  <c r="CV113" i="25"/>
  <c r="FG20" i="25"/>
  <c r="DP20" i="25"/>
  <c r="EQ20" i="25"/>
  <c r="EU20" i="25" s="1"/>
  <c r="CL20" i="25"/>
  <c r="CX20" i="25"/>
  <c r="EQ8" i="25"/>
  <c r="EU8" i="25" s="1"/>
  <c r="DP8" i="25"/>
  <c r="FG8" i="25"/>
  <c r="CX8" i="25"/>
  <c r="CL8" i="25"/>
  <c r="EQ208" i="25"/>
  <c r="EU208" i="25" s="1"/>
  <c r="CL208" i="25"/>
  <c r="CX208" i="25"/>
  <c r="DP208" i="25"/>
  <c r="FG208" i="25"/>
  <c r="FG157" i="25"/>
  <c r="CL157" i="25"/>
  <c r="EQ157" i="25"/>
  <c r="EU157" i="25" s="1"/>
  <c r="DP157" i="25"/>
  <c r="CX157" i="25"/>
  <c r="CY157" i="25" s="1"/>
  <c r="DP15" i="25"/>
  <c r="CL15" i="25"/>
  <c r="EQ15" i="25"/>
  <c r="EU15" i="25" s="1"/>
  <c r="FG15" i="25"/>
  <c r="CX15" i="25"/>
  <c r="EQ117" i="25"/>
  <c r="EU117" i="25" s="1"/>
  <c r="CX117" i="25"/>
  <c r="DP117" i="25"/>
  <c r="CL117" i="25"/>
  <c r="FG117" i="25"/>
  <c r="EQ25" i="25"/>
  <c r="EU25" i="25" s="1"/>
  <c r="CL25" i="25"/>
  <c r="CX25" i="25"/>
  <c r="FG25" i="25"/>
  <c r="DP25" i="25"/>
  <c r="EQ59" i="25"/>
  <c r="EU59" i="25" s="1"/>
  <c r="DP59" i="25"/>
  <c r="CL59" i="25"/>
  <c r="FG59" i="25"/>
  <c r="CX59" i="25"/>
  <c r="EQ43" i="25"/>
  <c r="EU43" i="25" s="1"/>
  <c r="CL43" i="25"/>
  <c r="FG43" i="25"/>
  <c r="DP43" i="25"/>
  <c r="CX43" i="25"/>
  <c r="FG22" i="25"/>
  <c r="CX22" i="25"/>
  <c r="DP22" i="25"/>
  <c r="EQ22" i="25"/>
  <c r="EU22" i="25" s="1"/>
  <c r="CL22" i="25"/>
  <c r="EQ119" i="25"/>
  <c r="EU119" i="25" s="1"/>
  <c r="FG119" i="25"/>
  <c r="CX119" i="25"/>
  <c r="DP119" i="25"/>
  <c r="CL119" i="25"/>
  <c r="CL89" i="25"/>
  <c r="FG89" i="25"/>
  <c r="EQ89" i="25"/>
  <c r="EU89" i="25" s="1"/>
  <c r="DP89" i="25"/>
  <c r="CX89" i="25"/>
  <c r="DP262" i="25"/>
  <c r="CL262" i="25"/>
  <c r="CX262" i="25"/>
  <c r="CL74" i="25"/>
  <c r="DP74" i="25"/>
  <c r="EQ74" i="25"/>
  <c r="EU74" i="25" s="1"/>
  <c r="FG74" i="25"/>
  <c r="CX74" i="25"/>
  <c r="CL33" i="25"/>
  <c r="EQ33" i="25"/>
  <c r="EU33" i="25" s="1"/>
  <c r="FG33" i="25"/>
  <c r="DP33" i="25"/>
  <c r="CX33" i="25"/>
  <c r="DP79" i="25"/>
  <c r="EQ79" i="25"/>
  <c r="EU79" i="25" s="1"/>
  <c r="CX79" i="25"/>
  <c r="FG79" i="25"/>
  <c r="CL79" i="25"/>
  <c r="CX125" i="25"/>
  <c r="DP125" i="25"/>
  <c r="CL125" i="25"/>
  <c r="EQ125" i="25"/>
  <c r="EU125" i="25" s="1"/>
  <c r="FG125" i="25"/>
  <c r="FG85" i="25"/>
  <c r="CL85" i="25"/>
  <c r="DP85" i="25"/>
  <c r="EQ85" i="25"/>
  <c r="EU85" i="25" s="1"/>
  <c r="CX85" i="25"/>
  <c r="EQ145" i="25"/>
  <c r="EU145" i="25" s="1"/>
  <c r="FG145" i="25"/>
  <c r="CL145" i="25"/>
  <c r="DP145" i="25"/>
  <c r="CX145" i="25"/>
  <c r="EQ57" i="25"/>
  <c r="EU57" i="25" s="1"/>
  <c r="DP57" i="25"/>
  <c r="CX57" i="25"/>
  <c r="CL57" i="25"/>
  <c r="FG57" i="25"/>
  <c r="EQ129" i="25"/>
  <c r="EU129" i="25" s="1"/>
  <c r="FG129" i="25"/>
  <c r="CL129" i="25"/>
  <c r="DP129" i="25"/>
  <c r="CX129" i="25"/>
  <c r="FG143" i="25"/>
  <c r="CL143" i="25"/>
  <c r="DP143" i="25"/>
  <c r="CX143" i="25"/>
  <c r="EQ143" i="25"/>
  <c r="EU143" i="25" s="1"/>
  <c r="EQ148" i="25"/>
  <c r="EU148" i="25" s="1"/>
  <c r="FG148" i="25"/>
  <c r="DP148" i="25"/>
  <c r="CL148" i="25"/>
  <c r="CX148" i="25"/>
  <c r="DP226" i="25"/>
  <c r="CL226" i="25"/>
  <c r="CX226" i="25"/>
  <c r="CY226" i="25" s="1"/>
  <c r="DP283" i="25"/>
  <c r="CL283" i="25"/>
  <c r="CX283" i="25"/>
  <c r="EQ185" i="25"/>
  <c r="EU185" i="25" s="1"/>
  <c r="FG185" i="25"/>
  <c r="CL185" i="25"/>
  <c r="DP185" i="25"/>
  <c r="CX185" i="25"/>
  <c r="CL276" i="25"/>
  <c r="CX276" i="25"/>
  <c r="DP276" i="25"/>
  <c r="EQ146" i="25"/>
  <c r="EU146" i="25" s="1"/>
  <c r="FG146" i="25"/>
  <c r="CL146" i="25"/>
  <c r="DP146" i="25"/>
  <c r="CX146" i="25"/>
  <c r="CL238" i="25"/>
  <c r="DP238" i="25"/>
  <c r="CX238" i="25"/>
  <c r="CY238" i="25" s="1"/>
  <c r="CL161" i="25"/>
  <c r="FG161" i="25"/>
  <c r="DP161" i="25"/>
  <c r="EQ161" i="25"/>
  <c r="EU161" i="25" s="1"/>
  <c r="CX161" i="25"/>
  <c r="CL237" i="25"/>
  <c r="CX237" i="25"/>
  <c r="DP237" i="25"/>
  <c r="DP294" i="25"/>
  <c r="CX294" i="25"/>
  <c r="CL294" i="25"/>
  <c r="EQ180" i="25"/>
  <c r="EU180" i="25" s="1"/>
  <c r="DP180" i="25"/>
  <c r="CX180" i="25"/>
  <c r="FG180" i="25"/>
  <c r="CL180" i="25"/>
  <c r="CL241" i="25"/>
  <c r="CX241" i="25"/>
  <c r="DP241" i="25"/>
  <c r="CL275" i="25"/>
  <c r="DP275" i="25"/>
  <c r="CX275" i="25"/>
  <c r="FG194" i="25"/>
  <c r="CX194" i="25"/>
  <c r="DP194" i="25"/>
  <c r="CL194" i="25"/>
  <c r="EQ194" i="25"/>
  <c r="EU194" i="25" s="1"/>
  <c r="CX235" i="25"/>
  <c r="CL235" i="25"/>
  <c r="DP235" i="25"/>
  <c r="DP306" i="25"/>
  <c r="CL306" i="25"/>
  <c r="CX306" i="25"/>
  <c r="CU12" i="25"/>
  <c r="CW12" i="25"/>
  <c r="CO12" i="25" s="1"/>
  <c r="CV12" i="25"/>
  <c r="CV8" i="25"/>
  <c r="CW8" i="25"/>
  <c r="CO8" i="25" s="1"/>
  <c r="CU8" i="25"/>
  <c r="CW63" i="25"/>
  <c r="CO63" i="25" s="1"/>
  <c r="CU63" i="25"/>
  <c r="CV63" i="25"/>
  <c r="CV225" i="25"/>
  <c r="CU225" i="25"/>
  <c r="CW225" i="25"/>
  <c r="CO225" i="25" s="1"/>
  <c r="CV230" i="25"/>
  <c r="CU230" i="25"/>
  <c r="CW230" i="25"/>
  <c r="CO230" i="25" s="1"/>
  <c r="CW222" i="25"/>
  <c r="CO222" i="25" s="1"/>
  <c r="CU222" i="25"/>
  <c r="CV222" i="25"/>
  <c r="CU261" i="25"/>
  <c r="CV261" i="25"/>
  <c r="CW261" i="25"/>
  <c r="CO261" i="25" s="1"/>
  <c r="CW74" i="25"/>
  <c r="CO74" i="25" s="1"/>
  <c r="CV74" i="25"/>
  <c r="CU74" i="25"/>
  <c r="CV33" i="25"/>
  <c r="CU33" i="25"/>
  <c r="CW33" i="25"/>
  <c r="CO33" i="25" s="1"/>
  <c r="CU291" i="25"/>
  <c r="CV291" i="25"/>
  <c r="CW291" i="25"/>
  <c r="CO291" i="25" s="1"/>
  <c r="CW238" i="25"/>
  <c r="CO238" i="25" s="1"/>
  <c r="CV238" i="25"/>
  <c r="CU238" i="25"/>
  <c r="CU285" i="25"/>
  <c r="CW285" i="25"/>
  <c r="CO285" i="25" s="1"/>
  <c r="CV285" i="25"/>
  <c r="CU309" i="25"/>
  <c r="CW309" i="25"/>
  <c r="CO309" i="25" s="1"/>
  <c r="CV309" i="25"/>
  <c r="CV273" i="25"/>
  <c r="CW273" i="25"/>
  <c r="CO273" i="25" s="1"/>
  <c r="CU273" i="25"/>
  <c r="CW253" i="25"/>
  <c r="CO253" i="25" s="1"/>
  <c r="CU253" i="25"/>
  <c r="CV253" i="25"/>
  <c r="CV223" i="25"/>
  <c r="CU223" i="25"/>
  <c r="CW223" i="25"/>
  <c r="CO223" i="25" s="1"/>
  <c r="CU197" i="25"/>
  <c r="CW197" i="25"/>
  <c r="CO197" i="25" s="1"/>
  <c r="CV197" i="25"/>
  <c r="CW189" i="25"/>
  <c r="CO189" i="25" s="1"/>
  <c r="CV189" i="25"/>
  <c r="CU189" i="25"/>
  <c r="CU297" i="25"/>
  <c r="CW297" i="25"/>
  <c r="CO297" i="25" s="1"/>
  <c r="CV297" i="25"/>
  <c r="CV296" i="25"/>
  <c r="CU296" i="25"/>
  <c r="CW296" i="25"/>
  <c r="CO296" i="25" s="1"/>
  <c r="CW219" i="25"/>
  <c r="CO219" i="25" s="1"/>
  <c r="CV219" i="25"/>
  <c r="CU219" i="25"/>
  <c r="CW140" i="25"/>
  <c r="CO140" i="25" s="1"/>
  <c r="CV140" i="25"/>
  <c r="CU140" i="25"/>
  <c r="CU54" i="25"/>
  <c r="CW54" i="25"/>
  <c r="CO54" i="25" s="1"/>
  <c r="CV54" i="25"/>
  <c r="CV245" i="25"/>
  <c r="CU245" i="25"/>
  <c r="CW245" i="25"/>
  <c r="CO245" i="25" s="1"/>
  <c r="CW133" i="25"/>
  <c r="CO133" i="25" s="1"/>
  <c r="CU133" i="25"/>
  <c r="CV133" i="25"/>
  <c r="CW123" i="25"/>
  <c r="CO123" i="25" s="1"/>
  <c r="CV123" i="25"/>
  <c r="CU123" i="25"/>
  <c r="CW73" i="25"/>
  <c r="CO73" i="25" s="1"/>
  <c r="CV73" i="25"/>
  <c r="CU73" i="25"/>
  <c r="CW125" i="25"/>
  <c r="CO125" i="25" s="1"/>
  <c r="CV125" i="25"/>
  <c r="CU125" i="25"/>
  <c r="CU118" i="25"/>
  <c r="CW118" i="25"/>
  <c r="CO118" i="25" s="1"/>
  <c r="CV118" i="25"/>
  <c r="CW115" i="25"/>
  <c r="CO115" i="25" s="1"/>
  <c r="CV115" i="25"/>
  <c r="CU115" i="25"/>
  <c r="CW49" i="25"/>
  <c r="CO49" i="25" s="1"/>
  <c r="CU49" i="25"/>
  <c r="CV49" i="25"/>
  <c r="CV204" i="25"/>
  <c r="CU204" i="25"/>
  <c r="CW204" i="25"/>
  <c r="CO204" i="25" s="1"/>
  <c r="CW182" i="25"/>
  <c r="CO182" i="25" s="1"/>
  <c r="CU182" i="25"/>
  <c r="CV182" i="25"/>
  <c r="CW178" i="25"/>
  <c r="CO178" i="25" s="1"/>
  <c r="CU178" i="25"/>
  <c r="CV178" i="25"/>
  <c r="CV192" i="25"/>
  <c r="CW192" i="25"/>
  <c r="CO192" i="25" s="1"/>
  <c r="CU192" i="25"/>
  <c r="CW258" i="25"/>
  <c r="CO258" i="25" s="1"/>
  <c r="CV258" i="25"/>
  <c r="CU258" i="25"/>
  <c r="FG154" i="25"/>
  <c r="CL154" i="25"/>
  <c r="EQ154" i="25"/>
  <c r="EU154" i="25" s="1"/>
  <c r="DP154" i="25"/>
  <c r="CX154" i="25"/>
  <c r="CY154" i="25" s="1"/>
  <c r="DP305" i="25"/>
  <c r="CX305" i="25"/>
  <c r="CL305" i="25"/>
  <c r="FG68" i="25"/>
  <c r="CL68" i="25"/>
  <c r="DP68" i="25"/>
  <c r="EQ68" i="25"/>
  <c r="EU68" i="25" s="1"/>
  <c r="CX68" i="25"/>
  <c r="DP64" i="25"/>
  <c r="EQ64" i="25"/>
  <c r="EU64" i="25" s="1"/>
  <c r="FG64" i="25"/>
  <c r="CL64" i="25"/>
  <c r="CX64" i="25"/>
  <c r="EQ128" i="25"/>
  <c r="EU128" i="25" s="1"/>
  <c r="FG128" i="25"/>
  <c r="CL128" i="25"/>
  <c r="DP128" i="25"/>
  <c r="CX128" i="25"/>
  <c r="CL232" i="25"/>
  <c r="DP232" i="25"/>
  <c r="CX232" i="25"/>
  <c r="EQ179" i="25"/>
  <c r="EU179" i="25" s="1"/>
  <c r="DP179" i="25"/>
  <c r="CX179" i="25"/>
  <c r="FG179" i="25"/>
  <c r="CL179" i="25"/>
  <c r="CU250" i="25"/>
  <c r="CW250" i="25"/>
  <c r="CO250" i="25" s="1"/>
  <c r="CV250" i="25"/>
  <c r="CU94" i="25"/>
  <c r="CW94" i="25"/>
  <c r="CO94" i="25" s="1"/>
  <c r="CV94" i="25"/>
  <c r="CW55" i="25"/>
  <c r="CO55" i="25" s="1"/>
  <c r="CV55" i="25"/>
  <c r="CU55" i="25"/>
  <c r="CU260" i="25"/>
  <c r="CV260" i="25"/>
  <c r="CW260" i="25"/>
  <c r="CO260" i="25" s="1"/>
  <c r="CU124" i="25"/>
  <c r="CW124" i="25"/>
  <c r="CO124" i="25" s="1"/>
  <c r="CV124" i="25"/>
  <c r="CW145" i="25"/>
  <c r="CO145" i="25" s="1"/>
  <c r="CV145" i="25"/>
  <c r="CU145" i="25"/>
  <c r="CW62" i="25"/>
  <c r="CO62" i="25" s="1"/>
  <c r="CU62" i="25"/>
  <c r="CV62" i="25"/>
  <c r="CW139" i="25"/>
  <c r="CO139" i="25" s="1"/>
  <c r="CV139" i="25"/>
  <c r="CU139" i="25"/>
  <c r="CU315" i="25"/>
  <c r="CV315" i="25"/>
  <c r="CW315" i="25"/>
  <c r="CO315" i="25" s="1"/>
  <c r="CW69" i="25"/>
  <c r="CO69" i="25" s="1"/>
  <c r="CV69" i="25"/>
  <c r="CU69" i="25"/>
  <c r="CW177" i="25"/>
  <c r="CO177" i="25" s="1"/>
  <c r="CU177" i="25"/>
  <c r="CV177" i="25"/>
  <c r="FG38" i="25"/>
  <c r="CX38" i="25"/>
  <c r="DP38" i="25"/>
  <c r="EQ38" i="25"/>
  <c r="EU38" i="25" s="1"/>
  <c r="CL38" i="25"/>
  <c r="EQ37" i="25"/>
  <c r="EU37" i="25" s="1"/>
  <c r="CL37" i="25"/>
  <c r="CX37" i="25"/>
  <c r="DP37" i="25"/>
  <c r="FG37" i="25"/>
  <c r="FG14" i="25"/>
  <c r="CX14" i="25"/>
  <c r="CL14" i="25"/>
  <c r="EQ14" i="25"/>
  <c r="EU14" i="25" s="1"/>
  <c r="DP14" i="25"/>
  <c r="EQ176" i="25"/>
  <c r="EU176" i="25" s="1"/>
  <c r="DP176" i="25"/>
  <c r="FG176" i="25"/>
  <c r="CX176" i="25"/>
  <c r="CL176" i="25"/>
  <c r="FG17" i="25"/>
  <c r="CL17" i="25"/>
  <c r="EQ17" i="25"/>
  <c r="EU17" i="25" s="1"/>
  <c r="CX17" i="25"/>
  <c r="DP17" i="25"/>
  <c r="FG175" i="25"/>
  <c r="CX175" i="25"/>
  <c r="DP175" i="25"/>
  <c r="CL175" i="25"/>
  <c r="EQ175" i="25"/>
  <c r="EU175" i="25" s="1"/>
  <c r="EQ27" i="25"/>
  <c r="EU27" i="25" s="1"/>
  <c r="DP27" i="25"/>
  <c r="CL27" i="25"/>
  <c r="FG27" i="25"/>
  <c r="CX27" i="25"/>
  <c r="DP82" i="25"/>
  <c r="CL82" i="25"/>
  <c r="FG82" i="25"/>
  <c r="EQ82" i="25"/>
  <c r="EU82" i="25" s="1"/>
  <c r="CX82" i="25"/>
  <c r="CY82" i="25" s="1"/>
  <c r="CL55" i="25"/>
  <c r="FG55" i="25"/>
  <c r="EQ55" i="25"/>
  <c r="EU55" i="25" s="1"/>
  <c r="DP55" i="25"/>
  <c r="CX55" i="25"/>
  <c r="DP47" i="25"/>
  <c r="FG47" i="25"/>
  <c r="EQ47" i="25"/>
  <c r="EU47" i="25" s="1"/>
  <c r="CL47" i="25"/>
  <c r="CX47" i="25"/>
  <c r="CX266" i="25"/>
  <c r="DP266" i="25"/>
  <c r="CL266" i="25"/>
  <c r="DP90" i="25"/>
  <c r="CL90" i="25"/>
  <c r="CX90" i="25"/>
  <c r="EQ90" i="25"/>
  <c r="EU90" i="25" s="1"/>
  <c r="FG90" i="25"/>
  <c r="CX277" i="25"/>
  <c r="CL277" i="25"/>
  <c r="DP277" i="25"/>
  <c r="CL87" i="25"/>
  <c r="EQ87" i="25"/>
  <c r="EU87" i="25" s="1"/>
  <c r="CX87" i="25"/>
  <c r="FG87" i="25"/>
  <c r="DP87" i="25"/>
  <c r="EQ34" i="25"/>
  <c r="EU34" i="25" s="1"/>
  <c r="CX34" i="25"/>
  <c r="DP34" i="25"/>
  <c r="CL34" i="25"/>
  <c r="FG34" i="25"/>
  <c r="CL86" i="25"/>
  <c r="DP86" i="25"/>
  <c r="CX86" i="25"/>
  <c r="FG86" i="25"/>
  <c r="EQ86" i="25"/>
  <c r="EU86" i="25" s="1"/>
  <c r="DP126" i="25"/>
  <c r="CL126" i="25"/>
  <c r="EQ126" i="25"/>
  <c r="EU126" i="25" s="1"/>
  <c r="FG126" i="25"/>
  <c r="CX126" i="25"/>
  <c r="EQ100" i="25"/>
  <c r="EU100" i="25" s="1"/>
  <c r="DP100" i="25"/>
  <c r="CL100" i="25"/>
  <c r="CX100" i="25"/>
  <c r="FG100" i="25"/>
  <c r="EQ177" i="25"/>
  <c r="EU177" i="25" s="1"/>
  <c r="CL177" i="25"/>
  <c r="CX177" i="25"/>
  <c r="FG177" i="25"/>
  <c r="DP177" i="25"/>
  <c r="EQ65" i="25"/>
  <c r="EU65" i="25" s="1"/>
  <c r="DP65" i="25"/>
  <c r="CL65" i="25"/>
  <c r="CX65" i="25"/>
  <c r="FG65" i="25"/>
  <c r="EQ130" i="25"/>
  <c r="EU130" i="25" s="1"/>
  <c r="DP130" i="25"/>
  <c r="CX130" i="25"/>
  <c r="FG130" i="25"/>
  <c r="CL130" i="25"/>
  <c r="FG151" i="25"/>
  <c r="CL151" i="25"/>
  <c r="CX151" i="25"/>
  <c r="DP151" i="25"/>
  <c r="EQ151" i="25"/>
  <c r="EU151" i="25" s="1"/>
  <c r="FG153" i="25"/>
  <c r="CL153" i="25"/>
  <c r="EQ153" i="25"/>
  <c r="EU153" i="25" s="1"/>
  <c r="DP153" i="25"/>
  <c r="CX153" i="25"/>
  <c r="CX233" i="25"/>
  <c r="DP233" i="25"/>
  <c r="CL233" i="25"/>
  <c r="CL285" i="25"/>
  <c r="CX285" i="25"/>
  <c r="DP285" i="25"/>
  <c r="FG188" i="25"/>
  <c r="DP188" i="25"/>
  <c r="EQ188" i="25"/>
  <c r="EU188" i="25" s="1"/>
  <c r="CL188" i="25"/>
  <c r="CX188" i="25"/>
  <c r="CL280" i="25"/>
  <c r="DP280" i="25"/>
  <c r="CX280" i="25"/>
  <c r="CL156" i="25"/>
  <c r="FG156" i="25"/>
  <c r="DP156" i="25"/>
  <c r="EQ156" i="25"/>
  <c r="EU156" i="25" s="1"/>
  <c r="CX156" i="25"/>
  <c r="CL243" i="25"/>
  <c r="DP243" i="25"/>
  <c r="CX243" i="25"/>
  <c r="FG164" i="25"/>
  <c r="CL164" i="25"/>
  <c r="EQ164" i="25"/>
  <c r="EU164" i="25" s="1"/>
  <c r="DP164" i="25"/>
  <c r="CX164" i="25"/>
  <c r="CY164" i="25" s="1"/>
  <c r="CL244" i="25"/>
  <c r="DP244" i="25"/>
  <c r="CX244" i="25"/>
  <c r="CL295" i="25"/>
  <c r="CX295" i="25"/>
  <c r="DP295" i="25"/>
  <c r="EQ181" i="25"/>
  <c r="EU181" i="25" s="1"/>
  <c r="DP181" i="25"/>
  <c r="CL181" i="25"/>
  <c r="CX181" i="25"/>
  <c r="FG181" i="25"/>
  <c r="DP242" i="25"/>
  <c r="CL242" i="25"/>
  <c r="CX242" i="25"/>
  <c r="CL307" i="25"/>
  <c r="DP307" i="25"/>
  <c r="CX307" i="25"/>
  <c r="DP195" i="25"/>
  <c r="CX195" i="25"/>
  <c r="CL195" i="25"/>
  <c r="EQ195" i="25"/>
  <c r="EU195" i="25" s="1"/>
  <c r="FG195" i="25"/>
  <c r="DP250" i="25"/>
  <c r="CL250" i="25"/>
  <c r="CX250" i="25"/>
  <c r="CU159" i="25"/>
  <c r="CW159" i="25"/>
  <c r="CO159" i="25" s="1"/>
  <c r="CV159" i="25"/>
  <c r="CV152" i="25"/>
  <c r="CW152" i="25"/>
  <c r="CO152" i="25" s="1"/>
  <c r="CU152" i="25"/>
  <c r="CW82" i="25"/>
  <c r="CO82" i="25" s="1"/>
  <c r="CU82" i="25"/>
  <c r="CV82" i="25"/>
  <c r="CV154" i="25"/>
  <c r="CW154" i="25"/>
  <c r="CO154" i="25" s="1"/>
  <c r="CU154" i="25"/>
  <c r="CU288" i="25"/>
  <c r="CW288" i="25"/>
  <c r="CO288" i="25" s="1"/>
  <c r="CV288" i="25"/>
  <c r="CU236" i="25"/>
  <c r="CW236" i="25"/>
  <c r="CO236" i="25" s="1"/>
  <c r="CV236" i="25"/>
  <c r="CU36" i="25"/>
  <c r="CW36" i="25"/>
  <c r="CO36" i="25" s="1"/>
  <c r="CV36" i="25"/>
  <c r="CU313" i="25"/>
  <c r="CW313" i="25"/>
  <c r="CO313" i="25" s="1"/>
  <c r="CV313" i="25"/>
  <c r="CV163" i="25"/>
  <c r="CW163" i="25"/>
  <c r="CO163" i="25" s="1"/>
  <c r="CU163" i="25"/>
  <c r="CU90" i="25"/>
  <c r="CW90" i="25"/>
  <c r="CO90" i="25" s="1"/>
  <c r="CV90" i="25"/>
  <c r="CW221" i="25"/>
  <c r="CO221" i="25" s="1"/>
  <c r="CU221" i="25"/>
  <c r="CV221" i="25"/>
  <c r="CV224" i="25"/>
  <c r="CU224" i="25"/>
  <c r="CW224" i="25"/>
  <c r="CO224" i="25" s="1"/>
  <c r="CW155" i="25"/>
  <c r="CO155" i="25" s="1"/>
  <c r="CU155" i="25"/>
  <c r="CV155" i="25"/>
  <c r="CW281" i="25"/>
  <c r="CO281" i="25" s="1"/>
  <c r="CU281" i="25"/>
  <c r="CV281" i="25"/>
  <c r="CW310" i="25"/>
  <c r="CO310" i="25" s="1"/>
  <c r="CU310" i="25"/>
  <c r="CV310" i="25"/>
  <c r="CV278" i="25"/>
  <c r="CU278" i="25"/>
  <c r="CW278" i="25"/>
  <c r="CO278" i="25" s="1"/>
  <c r="CU263" i="25"/>
  <c r="CV263" i="25"/>
  <c r="CW263" i="25"/>
  <c r="CO263" i="25" s="1"/>
  <c r="CV194" i="25"/>
  <c r="CW194" i="25"/>
  <c r="CO194" i="25" s="1"/>
  <c r="CU194" i="25"/>
  <c r="CW142" i="25"/>
  <c r="CO142" i="25" s="1"/>
  <c r="CV142" i="25"/>
  <c r="CU142" i="25"/>
  <c r="CV170" i="25"/>
  <c r="CU170" i="25"/>
  <c r="CW170" i="25"/>
  <c r="CO170" i="25" s="1"/>
  <c r="CW167" i="25"/>
  <c r="CO167" i="25" s="1"/>
  <c r="CU167" i="25"/>
  <c r="CV167" i="25"/>
  <c r="CV293" i="25"/>
  <c r="CW293" i="25"/>
  <c r="CO293" i="25" s="1"/>
  <c r="CU293" i="25"/>
  <c r="CW135" i="25"/>
  <c r="CO135" i="25" s="1"/>
  <c r="CV135" i="25"/>
  <c r="CU135" i="25"/>
  <c r="CU17" i="25"/>
  <c r="CV17" i="25"/>
  <c r="CW17" i="25"/>
  <c r="CO17" i="25" s="1"/>
  <c r="CV46" i="25"/>
  <c r="CU46" i="25"/>
  <c r="CW46" i="25"/>
  <c r="CO46" i="25" s="1"/>
  <c r="CU21" i="25"/>
  <c r="CW21" i="25"/>
  <c r="CO21" i="25" s="1"/>
  <c r="CV21" i="25"/>
  <c r="CU13" i="25"/>
  <c r="CW13" i="25"/>
  <c r="CO13" i="25" s="1"/>
  <c r="CV13" i="25"/>
  <c r="CW127" i="25"/>
  <c r="CO127" i="25" s="1"/>
  <c r="CV127" i="25"/>
  <c r="CU127" i="25"/>
  <c r="CU101" i="25"/>
  <c r="CW101" i="25"/>
  <c r="CO101" i="25" s="1"/>
  <c r="CV101" i="25"/>
  <c r="CW126" i="25"/>
  <c r="CO126" i="25" s="1"/>
  <c r="CU126" i="25"/>
  <c r="CV126" i="25"/>
  <c r="CW128" i="25"/>
  <c r="CO128" i="25" s="1"/>
  <c r="CU128" i="25"/>
  <c r="CV128" i="25"/>
  <c r="CW117" i="25"/>
  <c r="CO117" i="25" s="1"/>
  <c r="CV117" i="25"/>
  <c r="CU117" i="25"/>
  <c r="CU96" i="25"/>
  <c r="CW96" i="25"/>
  <c r="CO96" i="25" s="1"/>
  <c r="CV96" i="25"/>
  <c r="CU243" i="25"/>
  <c r="CV243" i="25"/>
  <c r="CW243" i="25"/>
  <c r="CO243" i="25" s="1"/>
  <c r="CW198" i="25"/>
  <c r="CO198" i="25" s="1"/>
  <c r="CU198" i="25"/>
  <c r="CV198" i="25"/>
  <c r="CV208" i="25"/>
  <c r="CU208" i="25"/>
  <c r="CW208" i="25"/>
  <c r="CO208" i="25" s="1"/>
  <c r="CU195" i="25"/>
  <c r="CV195" i="25"/>
  <c r="CW195" i="25"/>
  <c r="CO195" i="25" s="1"/>
  <c r="CW171" i="25"/>
  <c r="CO171" i="25" s="1"/>
  <c r="CU171" i="25"/>
  <c r="CV171" i="25"/>
  <c r="EQ12" i="25"/>
  <c r="EU12" i="25" s="1"/>
  <c r="DP12" i="25"/>
  <c r="FG12" i="25"/>
  <c r="CL12" i="25"/>
  <c r="CX12" i="25"/>
  <c r="CX269" i="25"/>
  <c r="CL269" i="25"/>
  <c r="DP269" i="25"/>
  <c r="CL225" i="25"/>
  <c r="DP225" i="25"/>
  <c r="CX225" i="25"/>
  <c r="CW185" i="25"/>
  <c r="CO185" i="25" s="1"/>
  <c r="CV185" i="25"/>
  <c r="CU185" i="25"/>
  <c r="CU176" i="25"/>
  <c r="CW176" i="25"/>
  <c r="CO176" i="25" s="1"/>
  <c r="CV176" i="25"/>
  <c r="CT176" i="25"/>
  <c r="CT175" i="25"/>
  <c r="CT173" i="25"/>
  <c r="CT286" i="25"/>
  <c r="CT284" i="25"/>
  <c r="CT282" i="25"/>
  <c r="CT277" i="25"/>
  <c r="CT264" i="25"/>
  <c r="CT249" i="25"/>
  <c r="CT201" i="25"/>
  <c r="CT177" i="25"/>
  <c r="CT174" i="25"/>
  <c r="CT256" i="25"/>
  <c r="CT235" i="25"/>
  <c r="CT208" i="25"/>
  <c r="CT199" i="25"/>
  <c r="CT178" i="25"/>
  <c r="CT251" i="25"/>
  <c r="CT241" i="25"/>
  <c r="CT209" i="25"/>
  <c r="CT205" i="25"/>
  <c r="CT198" i="25"/>
  <c r="CT182" i="25"/>
  <c r="CT181" i="25"/>
  <c r="CT180" i="25"/>
  <c r="CT179" i="25"/>
  <c r="CT271" i="25"/>
  <c r="CT252" i="25"/>
  <c r="CT243" i="25"/>
  <c r="FD243" i="25" s="1"/>
  <c r="CT231" i="25"/>
  <c r="CT207" i="25"/>
  <c r="CT204" i="25"/>
  <c r="CT203" i="25"/>
  <c r="CT197" i="25"/>
  <c r="CT146" i="25"/>
  <c r="CT295" i="25"/>
  <c r="CT294" i="25"/>
  <c r="CT245" i="25"/>
  <c r="CT183" i="25"/>
  <c r="CT169" i="25"/>
  <c r="CT168" i="25"/>
  <c r="CT165" i="25"/>
  <c r="CT184" i="25"/>
  <c r="CT141" i="25"/>
  <c r="CT202" i="25"/>
  <c r="CT172" i="25"/>
  <c r="CT143" i="25"/>
  <c r="CT97" i="25"/>
  <c r="CT83" i="25"/>
  <c r="CT140" i="25"/>
  <c r="CT132" i="25"/>
  <c r="CT131" i="25"/>
  <c r="CT115" i="25"/>
  <c r="CT113" i="25"/>
  <c r="CT111" i="25"/>
  <c r="CT137" i="25"/>
  <c r="CT130" i="25"/>
  <c r="CT129" i="25"/>
  <c r="CT128" i="25"/>
  <c r="CT118" i="25"/>
  <c r="CT69" i="25"/>
  <c r="CT65" i="25"/>
  <c r="CT57" i="25"/>
  <c r="CT296" i="25"/>
  <c r="CT145" i="25"/>
  <c r="CT139" i="25"/>
  <c r="CT134" i="25"/>
  <c r="CT127" i="25"/>
  <c r="CT123" i="25"/>
  <c r="CT122" i="25"/>
  <c r="CT120" i="25"/>
  <c r="CT229" i="25"/>
  <c r="CT148" i="25"/>
  <c r="CT110" i="25"/>
  <c r="CT297" i="25"/>
  <c r="CT233" i="25"/>
  <c r="FD233" i="25" s="1"/>
  <c r="CT73" i="25"/>
  <c r="CT29" i="25"/>
  <c r="CT144" i="25"/>
  <c r="CT133" i="25"/>
  <c r="CT269" i="25"/>
  <c r="CT247" i="25"/>
  <c r="CT171" i="25"/>
  <c r="CT125" i="25"/>
  <c r="CT13" i="25"/>
  <c r="CT17" i="25"/>
  <c r="CT206" i="25"/>
  <c r="CT136" i="25"/>
  <c r="CT135" i="25"/>
  <c r="CT53" i="25"/>
  <c r="CT142" i="25"/>
  <c r="CT126" i="25"/>
  <c r="CT49" i="25"/>
  <c r="CT35" i="25"/>
  <c r="CT25" i="25"/>
  <c r="CT21" i="25"/>
  <c r="CT138" i="25"/>
  <c r="CT87" i="25"/>
  <c r="CT61" i="25"/>
  <c r="CT75" i="25"/>
  <c r="CT170" i="25"/>
  <c r="CT14" i="25"/>
  <c r="CT84" i="25"/>
  <c r="CT119" i="25"/>
  <c r="CT192" i="25"/>
  <c r="CT6" i="25"/>
  <c r="CT46" i="25"/>
  <c r="CT62" i="25"/>
  <c r="CT70" i="25"/>
  <c r="CT81" i="25"/>
  <c r="CT88" i="25"/>
  <c r="CT18" i="25"/>
  <c r="CT10" i="25"/>
  <c r="CT22" i="25"/>
  <c r="CT79" i="25"/>
  <c r="CT92" i="25"/>
  <c r="CT60" i="25"/>
  <c r="CT188" i="25"/>
  <c r="CT195" i="25"/>
  <c r="CT217" i="25"/>
  <c r="CT292" i="25"/>
  <c r="CT42" i="25"/>
  <c r="CT56" i="25"/>
  <c r="CT54" i="25"/>
  <c r="CT101" i="25"/>
  <c r="CT117" i="25"/>
  <c r="CT223" i="25"/>
  <c r="CT299" i="25"/>
  <c r="CT262" i="25"/>
  <c r="CT9" i="25"/>
  <c r="CT105" i="25"/>
  <c r="CT26" i="25"/>
  <c r="CT64" i="25"/>
  <c r="CT72" i="25"/>
  <c r="CT289" i="25"/>
  <c r="CT279" i="25"/>
  <c r="CT191" i="25"/>
  <c r="CT166" i="25"/>
  <c r="CT258" i="25"/>
  <c r="CT316" i="25"/>
  <c r="CT283" i="25"/>
  <c r="CT34" i="25"/>
  <c r="CT287" i="25"/>
  <c r="CT66" i="25"/>
  <c r="CT16" i="25"/>
  <c r="CT124" i="25"/>
  <c r="CT116" i="25"/>
  <c r="CT80" i="25"/>
  <c r="CT266" i="25"/>
  <c r="CT285" i="25"/>
  <c r="CT98" i="25"/>
  <c r="CT147" i="25"/>
  <c r="CT38" i="25"/>
  <c r="CT30" i="25"/>
  <c r="CT200" i="25"/>
  <c r="CT102" i="25"/>
  <c r="CT303" i="25"/>
  <c r="CT95" i="25"/>
  <c r="CT312" i="25"/>
  <c r="CT190" i="25"/>
  <c r="CT114" i="25"/>
  <c r="CT315" i="25"/>
  <c r="CT167" i="25"/>
  <c r="CT196" i="25"/>
  <c r="CT278" i="25"/>
  <c r="CT227" i="25"/>
  <c r="CT121" i="25"/>
  <c r="CT68" i="25"/>
  <c r="CT50" i="25"/>
  <c r="CT306" i="25"/>
  <c r="CT265" i="25"/>
  <c r="CT263" i="25"/>
  <c r="CT253" i="25"/>
  <c r="CT58" i="25"/>
  <c r="CT189" i="25"/>
  <c r="CT237" i="25"/>
  <c r="CT300" i="25"/>
  <c r="CT193" i="25"/>
  <c r="CT257" i="25"/>
  <c r="CT293" i="25"/>
  <c r="CT310" i="25"/>
  <c r="CT254" i="25"/>
  <c r="CT219" i="25"/>
  <c r="CT280" i="25"/>
  <c r="CT305" i="25"/>
  <c r="CT309" i="25"/>
  <c r="CT311" i="25"/>
  <c r="CT239" i="25"/>
  <c r="CT268" i="25"/>
  <c r="CT194" i="25"/>
  <c r="CT255" i="25"/>
  <c r="CT91" i="25"/>
  <c r="CT149" i="25"/>
  <c r="CT260" i="25"/>
  <c r="CT273" i="25"/>
  <c r="CT275" i="25"/>
  <c r="CT304" i="25"/>
  <c r="CT96" i="25"/>
  <c r="CT276" i="25"/>
  <c r="CT281" i="25"/>
  <c r="CT41" i="25"/>
  <c r="CT298" i="25"/>
  <c r="CT224" i="25"/>
  <c r="CT240" i="25"/>
  <c r="CT155" i="25"/>
  <c r="CT55" i="25"/>
  <c r="CT47" i="25"/>
  <c r="CT225" i="25"/>
  <c r="FD225" i="25" s="1"/>
  <c r="CT59" i="25"/>
  <c r="CT44" i="25"/>
  <c r="CT154" i="25"/>
  <c r="CT267" i="25"/>
  <c r="CT238" i="25"/>
  <c r="CT33" i="25"/>
  <c r="CT15" i="25"/>
  <c r="CT291" i="25"/>
  <c r="CT77" i="25"/>
  <c r="CT7" i="25"/>
  <c r="FD7" i="25" s="1"/>
  <c r="CT36" i="25"/>
  <c r="CT301" i="25"/>
  <c r="CT19" i="25"/>
  <c r="CT162" i="25"/>
  <c r="CT187" i="25"/>
  <c r="CT100" i="25"/>
  <c r="CT156" i="25"/>
  <c r="CT220" i="25"/>
  <c r="CT27" i="25"/>
  <c r="CT185" i="25"/>
  <c r="CT288" i="25"/>
  <c r="CT157" i="25"/>
  <c r="CT163" i="25"/>
  <c r="CT222" i="25"/>
  <c r="CT259" i="25"/>
  <c r="CT218" i="25"/>
  <c r="CT232" i="25"/>
  <c r="CT32" i="25"/>
  <c r="CT103" i="25"/>
  <c r="CT290" i="25"/>
  <c r="CT270" i="25"/>
  <c r="CT20" i="25"/>
  <c r="CT76" i="25"/>
  <c r="CT28" i="25"/>
  <c r="CT242" i="25"/>
  <c r="CT313" i="25"/>
  <c r="CT86" i="25"/>
  <c r="CT48" i="25"/>
  <c r="CT67" i="25"/>
  <c r="CT159" i="25"/>
  <c r="CT99" i="25"/>
  <c r="CT37" i="25"/>
  <c r="CT8" i="25"/>
  <c r="CT228" i="25"/>
  <c r="CT11" i="25"/>
  <c r="CT307" i="25"/>
  <c r="CT161" i="25"/>
  <c r="CT248" i="25"/>
  <c r="CT31" i="25"/>
  <c r="CT90" i="25"/>
  <c r="CT160" i="25"/>
  <c r="CT158" i="25"/>
  <c r="CT82" i="25"/>
  <c r="CT226" i="25"/>
  <c r="CT150" i="25"/>
  <c r="CT71" i="25"/>
  <c r="CT230" i="25"/>
  <c r="CT94" i="25"/>
  <c r="CT164" i="25"/>
  <c r="CT216" i="25"/>
  <c r="CT74" i="25"/>
  <c r="CT78" i="25"/>
  <c r="CT85" i="25"/>
  <c r="CT186" i="25"/>
  <c r="CT274" i="25"/>
  <c r="CT236" i="25"/>
  <c r="CT89" i="25"/>
  <c r="CT151" i="25"/>
  <c r="CT45" i="25"/>
  <c r="CT244" i="25"/>
  <c r="CT210" i="25"/>
  <c r="CT153" i="25"/>
  <c r="CT234" i="25"/>
  <c r="CT152" i="25"/>
  <c r="CT246" i="25"/>
  <c r="CT51" i="25"/>
  <c r="CT43" i="25"/>
  <c r="CT12" i="25"/>
  <c r="CT63" i="25"/>
  <c r="CT314" i="25"/>
  <c r="CT93" i="25"/>
  <c r="CT104" i="25"/>
  <c r="CT23" i="25"/>
  <c r="CT308" i="25"/>
  <c r="CT261" i="25"/>
  <c r="CT302" i="25"/>
  <c r="CT272" i="25"/>
  <c r="CT24" i="25"/>
  <c r="CT40" i="25"/>
  <c r="CT250" i="25"/>
  <c r="CT39" i="25"/>
  <c r="CT221" i="25"/>
  <c r="CT52" i="25"/>
  <c r="FG24" i="25"/>
  <c r="DP24" i="25"/>
  <c r="CX24" i="25"/>
  <c r="CL24" i="25"/>
  <c r="EQ24" i="25"/>
  <c r="EU24" i="25" s="1"/>
  <c r="FG58" i="25"/>
  <c r="EQ58" i="25"/>
  <c r="EU58" i="25" s="1"/>
  <c r="DP58" i="25"/>
  <c r="CL58" i="25"/>
  <c r="CX58" i="25"/>
  <c r="CL29" i="25"/>
  <c r="EQ29" i="25"/>
  <c r="EU29" i="25" s="1"/>
  <c r="CX29" i="25"/>
  <c r="FG29" i="25"/>
  <c r="DP29" i="25"/>
  <c r="CL81" i="25"/>
  <c r="FG81" i="25"/>
  <c r="DP81" i="25"/>
  <c r="EQ81" i="25"/>
  <c r="EU81" i="25" s="1"/>
  <c r="CX81" i="25"/>
  <c r="DP42" i="25"/>
  <c r="FG42" i="25"/>
  <c r="CX42" i="25"/>
  <c r="EQ42" i="25"/>
  <c r="EU42" i="25" s="1"/>
  <c r="CL42" i="25"/>
  <c r="CL9" i="25"/>
  <c r="FG9" i="25"/>
  <c r="EQ9" i="25"/>
  <c r="EU9" i="25" s="1"/>
  <c r="DP9" i="25"/>
  <c r="CX9" i="25"/>
  <c r="DP28" i="25"/>
  <c r="FG28" i="25"/>
  <c r="CX28" i="25"/>
  <c r="CL28" i="25"/>
  <c r="EQ28" i="25"/>
  <c r="EU28" i="25" s="1"/>
  <c r="CX92" i="25"/>
  <c r="DP92" i="25"/>
  <c r="CL92" i="25"/>
  <c r="EQ92" i="25"/>
  <c r="EU92" i="25" s="1"/>
  <c r="FG92" i="25"/>
  <c r="FG71" i="25"/>
  <c r="EQ71" i="25"/>
  <c r="EU71" i="25" s="1"/>
  <c r="DP71" i="25"/>
  <c r="CL71" i="25"/>
  <c r="CX71" i="25"/>
  <c r="DP48" i="25"/>
  <c r="CX48" i="25"/>
  <c r="CL48" i="25"/>
  <c r="EQ48" i="25"/>
  <c r="EU48" i="25" s="1"/>
  <c r="FG48" i="25"/>
  <c r="CL284" i="25"/>
  <c r="DP284" i="25"/>
  <c r="CX284" i="25"/>
  <c r="EQ96" i="25"/>
  <c r="EU96" i="25" s="1"/>
  <c r="FG96" i="25"/>
  <c r="CX96" i="25"/>
  <c r="DP96" i="25"/>
  <c r="CL96" i="25"/>
  <c r="DP298" i="25"/>
  <c r="CL298" i="25"/>
  <c r="CX298" i="25"/>
  <c r="CL95" i="25"/>
  <c r="EQ95" i="25"/>
  <c r="EU95" i="25" s="1"/>
  <c r="CX95" i="25"/>
  <c r="FG95" i="25"/>
  <c r="DP95" i="25"/>
  <c r="FG40" i="25"/>
  <c r="DP40" i="25"/>
  <c r="CX40" i="25"/>
  <c r="CL40" i="25"/>
  <c r="EQ40" i="25"/>
  <c r="EU40" i="25" s="1"/>
  <c r="DP88" i="25"/>
  <c r="CL88" i="25"/>
  <c r="FG88" i="25"/>
  <c r="CX88" i="25"/>
  <c r="EQ88" i="25"/>
  <c r="EU88" i="25" s="1"/>
  <c r="FG139" i="25"/>
  <c r="CL139" i="25"/>
  <c r="DP139" i="25"/>
  <c r="EQ139" i="25"/>
  <c r="EU139" i="25" s="1"/>
  <c r="CX139" i="25"/>
  <c r="EQ121" i="25"/>
  <c r="EU121" i="25" s="1"/>
  <c r="CL121" i="25"/>
  <c r="FG121" i="25"/>
  <c r="CX121" i="25"/>
  <c r="DP121" i="25"/>
  <c r="DP227" i="25"/>
  <c r="CX227" i="25"/>
  <c r="CL227" i="25"/>
  <c r="EQ69" i="25"/>
  <c r="EU69" i="25" s="1"/>
  <c r="CX69" i="25"/>
  <c r="DP69" i="25"/>
  <c r="FG69" i="25"/>
  <c r="CL69" i="25"/>
  <c r="FG140" i="25"/>
  <c r="DP140" i="25"/>
  <c r="CL140" i="25"/>
  <c r="EQ140" i="25"/>
  <c r="EU140" i="25" s="1"/>
  <c r="CX140" i="25"/>
  <c r="EQ173" i="25"/>
  <c r="EU173" i="25" s="1"/>
  <c r="DP173" i="25"/>
  <c r="CX173" i="25"/>
  <c r="CL173" i="25"/>
  <c r="FG173" i="25"/>
  <c r="EQ171" i="25"/>
  <c r="EU171" i="25" s="1"/>
  <c r="CL171" i="25"/>
  <c r="CX171" i="25"/>
  <c r="DP171" i="25"/>
  <c r="FG171" i="25"/>
  <c r="CL239" i="25"/>
  <c r="CX239" i="25"/>
  <c r="DP239" i="25"/>
  <c r="CL287" i="25"/>
  <c r="CX287" i="25"/>
  <c r="DP287" i="25"/>
  <c r="EQ189" i="25"/>
  <c r="EU189" i="25" s="1"/>
  <c r="CL189" i="25"/>
  <c r="CX189" i="25"/>
  <c r="FG189" i="25"/>
  <c r="DP189" i="25"/>
  <c r="DP290" i="25"/>
  <c r="CL290" i="25"/>
  <c r="CX290" i="25"/>
  <c r="EQ169" i="25"/>
  <c r="EU169" i="25" s="1"/>
  <c r="CL169" i="25"/>
  <c r="FG169" i="25"/>
  <c r="CX169" i="25"/>
  <c r="DP169" i="25"/>
  <c r="CL245" i="25"/>
  <c r="CX245" i="25"/>
  <c r="DP245" i="25"/>
  <c r="DP168" i="25"/>
  <c r="EQ168" i="25"/>
  <c r="EU168" i="25" s="1"/>
  <c r="FG168" i="25"/>
  <c r="CX168" i="25"/>
  <c r="CL168" i="25"/>
  <c r="DP252" i="25"/>
  <c r="CX252" i="25"/>
  <c r="CL252" i="25"/>
  <c r="CL314" i="25"/>
  <c r="DP314" i="25"/>
  <c r="CX314" i="25"/>
  <c r="EQ182" i="25"/>
  <c r="EU182" i="25" s="1"/>
  <c r="CL182" i="25"/>
  <c r="FG182" i="25"/>
  <c r="DP182" i="25"/>
  <c r="CX182" i="25"/>
  <c r="DP251" i="25"/>
  <c r="CL251" i="25"/>
  <c r="CX251" i="25"/>
  <c r="DP309" i="25"/>
  <c r="CL309" i="25"/>
  <c r="CX309" i="25"/>
  <c r="FG197" i="25"/>
  <c r="DP197" i="25"/>
  <c r="EQ197" i="25"/>
  <c r="EU197" i="25" s="1"/>
  <c r="CL197" i="25"/>
  <c r="CX197" i="25"/>
  <c r="DP256" i="25"/>
  <c r="CL256" i="25"/>
  <c r="CX256" i="25"/>
  <c r="CU52" i="25"/>
  <c r="CV52" i="25"/>
  <c r="CW52" i="25"/>
  <c r="CO52" i="25" s="1"/>
  <c r="CW39" i="25"/>
  <c r="CO39" i="25" s="1"/>
  <c r="CU39" i="25"/>
  <c r="CV39" i="25"/>
  <c r="CU246" i="25"/>
  <c r="CW246" i="25"/>
  <c r="CO246" i="25" s="1"/>
  <c r="CV246" i="25"/>
  <c r="CW77" i="25"/>
  <c r="CO77" i="25" s="1"/>
  <c r="CU77" i="25"/>
  <c r="CV77" i="25"/>
  <c r="CV153" i="25"/>
  <c r="CW153" i="25"/>
  <c r="CO153" i="25" s="1"/>
  <c r="CU153" i="25"/>
  <c r="CV71" i="25"/>
  <c r="CU71" i="25"/>
  <c r="CW71" i="25"/>
  <c r="CO71" i="25" s="1"/>
  <c r="CV150" i="25"/>
  <c r="CU150" i="25"/>
  <c r="CW150" i="25"/>
  <c r="CO150" i="25" s="1"/>
  <c r="CV162" i="25"/>
  <c r="CU162" i="25"/>
  <c r="CW162" i="25"/>
  <c r="CO162" i="25" s="1"/>
  <c r="CU242" i="25"/>
  <c r="CW242" i="25"/>
  <c r="CO242" i="25" s="1"/>
  <c r="CV242" i="25"/>
  <c r="CV89" i="25"/>
  <c r="CU89" i="25"/>
  <c r="CW89" i="25"/>
  <c r="CO89" i="25" s="1"/>
  <c r="CU20" i="25"/>
  <c r="CW20" i="25"/>
  <c r="CO20" i="25" s="1"/>
  <c r="CV20" i="25"/>
  <c r="CU48" i="25"/>
  <c r="CW48" i="25"/>
  <c r="CO48" i="25" s="1"/>
  <c r="CV48" i="25"/>
  <c r="CW240" i="25"/>
  <c r="CO240" i="25" s="1"/>
  <c r="CV240" i="25"/>
  <c r="CU240" i="25"/>
  <c r="CW303" i="25"/>
  <c r="CO303" i="25" s="1"/>
  <c r="CU303" i="25"/>
  <c r="CV303" i="25"/>
  <c r="CV300" i="25"/>
  <c r="CW300" i="25"/>
  <c r="CO300" i="25" s="1"/>
  <c r="CU300" i="25"/>
  <c r="CV316" i="25"/>
  <c r="CW316" i="25"/>
  <c r="CO316" i="25" s="1"/>
  <c r="CU316" i="25"/>
  <c r="CV265" i="25"/>
  <c r="CW265" i="25"/>
  <c r="CO265" i="25" s="1"/>
  <c r="CU265" i="25"/>
  <c r="CV193" i="25"/>
  <c r="CW193" i="25"/>
  <c r="CO193" i="25" s="1"/>
  <c r="CU193" i="25"/>
  <c r="CV114" i="25"/>
  <c r="CW114" i="25"/>
  <c r="CO114" i="25" s="1"/>
  <c r="CU114" i="25"/>
  <c r="CW116" i="25"/>
  <c r="CO116" i="25" s="1"/>
  <c r="CV116" i="25"/>
  <c r="CU116" i="25"/>
  <c r="CV119" i="25"/>
  <c r="CW119" i="25"/>
  <c r="CO119" i="25" s="1"/>
  <c r="CU119" i="25"/>
  <c r="CW146" i="25"/>
  <c r="CO146" i="25" s="1"/>
  <c r="CU146" i="25"/>
  <c r="CV146" i="25"/>
  <c r="CW137" i="25"/>
  <c r="CO137" i="25" s="1"/>
  <c r="CV137" i="25"/>
  <c r="CU137" i="25"/>
  <c r="CU25" i="25"/>
  <c r="CV25" i="25"/>
  <c r="CW25" i="25"/>
  <c r="CO25" i="25" s="1"/>
  <c r="CW10" i="25"/>
  <c r="CO10" i="25" s="1"/>
  <c r="CU10" i="25"/>
  <c r="CV10" i="25"/>
  <c r="CV72" i="25"/>
  <c r="CW72" i="25"/>
  <c r="CO72" i="25" s="1"/>
  <c r="CU72" i="25"/>
  <c r="CW134" i="25"/>
  <c r="CO134" i="25" s="1"/>
  <c r="CV134" i="25"/>
  <c r="CU134" i="25"/>
  <c r="CW61" i="25"/>
  <c r="CO61" i="25" s="1"/>
  <c r="CU61" i="25"/>
  <c r="CV61" i="25"/>
  <c r="CW22" i="25"/>
  <c r="CO22" i="25" s="1"/>
  <c r="CV22" i="25"/>
  <c r="CU22" i="25"/>
  <c r="CW183" i="25"/>
  <c r="CO183" i="25" s="1"/>
  <c r="CU183" i="25"/>
  <c r="CV183" i="25"/>
  <c r="CW129" i="25"/>
  <c r="CO129" i="25" s="1"/>
  <c r="CU129" i="25"/>
  <c r="CV129" i="25"/>
  <c r="CW131" i="25"/>
  <c r="CO131" i="25" s="1"/>
  <c r="CV131" i="25"/>
  <c r="CU131" i="25"/>
  <c r="CU169" i="25"/>
  <c r="CW169" i="25"/>
  <c r="CO169" i="25" s="1"/>
  <c r="CV169" i="25"/>
  <c r="CU271" i="25"/>
  <c r="CW271" i="25"/>
  <c r="CO271" i="25" s="1"/>
  <c r="CV271" i="25"/>
  <c r="CU205" i="25"/>
  <c r="CV205" i="25"/>
  <c r="CW205" i="25"/>
  <c r="CO205" i="25" s="1"/>
  <c r="CV235" i="25"/>
  <c r="CU235" i="25"/>
  <c r="CW235" i="25"/>
  <c r="CO235" i="25" s="1"/>
  <c r="CU201" i="25"/>
  <c r="CW201" i="25"/>
  <c r="CO201" i="25" s="1"/>
  <c r="CV201" i="25"/>
  <c r="CW172" i="25"/>
  <c r="CO172" i="25" s="1"/>
  <c r="CV172" i="25"/>
  <c r="CU172" i="25"/>
  <c r="EQ199" i="25"/>
  <c r="EU199" i="25" s="1"/>
  <c r="CX199" i="25"/>
  <c r="CL199" i="25"/>
  <c r="DP199" i="25"/>
  <c r="FG199" i="25"/>
  <c r="CL49" i="25"/>
  <c r="EQ49" i="25"/>
  <c r="EU49" i="25" s="1"/>
  <c r="DP49" i="25"/>
  <c r="FG49" i="25"/>
  <c r="CX49" i="25"/>
  <c r="EQ73" i="25"/>
  <c r="EU73" i="25" s="1"/>
  <c r="CL73" i="25"/>
  <c r="DP73" i="25"/>
  <c r="CX73" i="25"/>
  <c r="FG73" i="25"/>
  <c r="EQ39" i="25"/>
  <c r="EU39" i="25" s="1"/>
  <c r="CL39" i="25"/>
  <c r="FG39" i="25"/>
  <c r="DP39" i="25"/>
  <c r="CX39" i="25"/>
  <c r="DP302" i="25"/>
  <c r="CL302" i="25"/>
  <c r="CX302" i="25"/>
  <c r="EQ184" i="25"/>
  <c r="EU184" i="25" s="1"/>
  <c r="CX184" i="25"/>
  <c r="FG184" i="25"/>
  <c r="DP184" i="25"/>
  <c r="CL184" i="25"/>
  <c r="CX289" i="25"/>
  <c r="CL289" i="25"/>
  <c r="DP289" i="25"/>
  <c r="CL272" i="25"/>
  <c r="DP272" i="25"/>
  <c r="CX272" i="25"/>
  <c r="CW43" i="25"/>
  <c r="CO43" i="25" s="1"/>
  <c r="CV43" i="25"/>
  <c r="CU43" i="25"/>
  <c r="CV160" i="25"/>
  <c r="CU160" i="25"/>
  <c r="CW160" i="25"/>
  <c r="CO160" i="25" s="1"/>
  <c r="CV268" i="25"/>
  <c r="CU268" i="25"/>
  <c r="CW268" i="25"/>
  <c r="CO268" i="25" s="1"/>
  <c r="CW88" i="25"/>
  <c r="CO88" i="25" s="1"/>
  <c r="CV88" i="25"/>
  <c r="CU88" i="25"/>
  <c r="CW181" i="25"/>
  <c r="CO181" i="25" s="1"/>
  <c r="CU181" i="25"/>
  <c r="CV181" i="25"/>
  <c r="CL23" i="25"/>
  <c r="EQ23" i="25"/>
  <c r="EU23" i="25" s="1"/>
  <c r="DP23" i="25"/>
  <c r="FG23" i="25"/>
  <c r="CX23" i="25"/>
  <c r="EQ114" i="25"/>
  <c r="EU114" i="25" s="1"/>
  <c r="CL114" i="25"/>
  <c r="FG114" i="25"/>
  <c r="CX114" i="25"/>
  <c r="DP114" i="25"/>
  <c r="DP60" i="25"/>
  <c r="FG60" i="25"/>
  <c r="EQ60" i="25"/>
  <c r="EU60" i="25" s="1"/>
  <c r="CX60" i="25"/>
  <c r="CL60" i="25"/>
  <c r="DP66" i="25"/>
  <c r="EQ66" i="25"/>
  <c r="EU66" i="25" s="1"/>
  <c r="FG66" i="25"/>
  <c r="CL66" i="25"/>
  <c r="CX66" i="25"/>
  <c r="CY66" i="25" s="1"/>
  <c r="EQ21" i="25"/>
  <c r="EU21" i="25" s="1"/>
  <c r="FG21" i="25"/>
  <c r="CL21" i="25"/>
  <c r="DP21" i="25"/>
  <c r="CX21" i="25"/>
  <c r="EQ13" i="25"/>
  <c r="EU13" i="25" s="1"/>
  <c r="FG13" i="25"/>
  <c r="CL13" i="25"/>
  <c r="DP13" i="25"/>
  <c r="CX13" i="25"/>
  <c r="FG30" i="25"/>
  <c r="CX30" i="25"/>
  <c r="DP30" i="25"/>
  <c r="EQ30" i="25"/>
  <c r="EU30" i="25" s="1"/>
  <c r="CL30" i="25"/>
  <c r="CL105" i="25"/>
  <c r="FG105" i="25"/>
  <c r="EQ105" i="25"/>
  <c r="EU105" i="25" s="1"/>
  <c r="CX105" i="25"/>
  <c r="DP105" i="25"/>
  <c r="CX115" i="25"/>
  <c r="DP115" i="25"/>
  <c r="CL115" i="25"/>
  <c r="FG115" i="25"/>
  <c r="EQ115" i="25"/>
  <c r="EU115" i="25" s="1"/>
  <c r="EQ70" i="25"/>
  <c r="EU70" i="25" s="1"/>
  <c r="DP70" i="25"/>
  <c r="FG70" i="25"/>
  <c r="CX70" i="25"/>
  <c r="CL70" i="25"/>
  <c r="DP313" i="25"/>
  <c r="CL313" i="25"/>
  <c r="CX313" i="25"/>
  <c r="DP104" i="25"/>
  <c r="CL104" i="25"/>
  <c r="EQ104" i="25"/>
  <c r="EU104" i="25" s="1"/>
  <c r="FG104" i="25"/>
  <c r="CX104" i="25"/>
  <c r="CL46" i="25"/>
  <c r="CX46" i="25"/>
  <c r="DP46" i="25"/>
  <c r="EQ46" i="25"/>
  <c r="EU46" i="25" s="1"/>
  <c r="FG46" i="25"/>
  <c r="FG136" i="25"/>
  <c r="CL136" i="25"/>
  <c r="DP136" i="25"/>
  <c r="CX136" i="25"/>
  <c r="EQ136" i="25"/>
  <c r="EU136" i="25" s="1"/>
  <c r="CL45" i="25"/>
  <c r="EQ45" i="25"/>
  <c r="EU45" i="25" s="1"/>
  <c r="FG45" i="25"/>
  <c r="DP45" i="25"/>
  <c r="CX45" i="25"/>
  <c r="CL93" i="25"/>
  <c r="FG93" i="25"/>
  <c r="EQ93" i="25"/>
  <c r="EU93" i="25" s="1"/>
  <c r="DP93" i="25"/>
  <c r="CX93" i="25"/>
  <c r="FG142" i="25"/>
  <c r="DP142" i="25"/>
  <c r="CL142" i="25"/>
  <c r="EQ142" i="25"/>
  <c r="EU142" i="25" s="1"/>
  <c r="CX142" i="25"/>
  <c r="EQ122" i="25"/>
  <c r="EU122" i="25" s="1"/>
  <c r="DP122" i="25"/>
  <c r="CL122" i="25"/>
  <c r="FG122" i="25"/>
  <c r="CX122" i="25"/>
  <c r="DP257" i="25"/>
  <c r="CL257" i="25"/>
  <c r="CX257" i="25"/>
  <c r="EQ78" i="25"/>
  <c r="EU78" i="25" s="1"/>
  <c r="DP78" i="25"/>
  <c r="CL78" i="25"/>
  <c r="FG78" i="25"/>
  <c r="CX78" i="25"/>
  <c r="EQ209" i="25"/>
  <c r="EU209" i="25" s="1"/>
  <c r="FG209" i="25"/>
  <c r="DP209" i="25"/>
  <c r="CX209" i="25"/>
  <c r="CL209" i="25"/>
  <c r="EQ193" i="25"/>
  <c r="EU193" i="25" s="1"/>
  <c r="CL193" i="25"/>
  <c r="DP193" i="25"/>
  <c r="CX193" i="25"/>
  <c r="FG193" i="25"/>
  <c r="EQ172" i="25"/>
  <c r="EU172" i="25" s="1"/>
  <c r="CL172" i="25"/>
  <c r="FG172" i="25"/>
  <c r="CX172" i="25"/>
  <c r="DP172" i="25"/>
  <c r="CL247" i="25"/>
  <c r="DP247" i="25"/>
  <c r="CX247" i="25"/>
  <c r="CL308" i="25"/>
  <c r="CX308" i="25"/>
  <c r="DP308" i="25"/>
  <c r="FG190" i="25"/>
  <c r="CL190" i="25"/>
  <c r="EQ190" i="25"/>
  <c r="EU190" i="25" s="1"/>
  <c r="CX190" i="25"/>
  <c r="DP190" i="25"/>
  <c r="CL292" i="25"/>
  <c r="CX292" i="25"/>
  <c r="DP292" i="25"/>
  <c r="CL170" i="25"/>
  <c r="EQ170" i="25"/>
  <c r="EU170" i="25" s="1"/>
  <c r="CX170" i="25"/>
  <c r="DP170" i="25"/>
  <c r="FG170" i="25"/>
  <c r="CL246" i="25"/>
  <c r="DP246" i="25"/>
  <c r="CX246" i="25"/>
  <c r="EQ183" i="25"/>
  <c r="EU183" i="25" s="1"/>
  <c r="DP183" i="25"/>
  <c r="CX183" i="25"/>
  <c r="CL183" i="25"/>
  <c r="FG183" i="25"/>
  <c r="CL253" i="25"/>
  <c r="DP253" i="25"/>
  <c r="CX253" i="25"/>
  <c r="DP149" i="25"/>
  <c r="CL149" i="25"/>
  <c r="FG149" i="25"/>
  <c r="CX149" i="25"/>
  <c r="EQ149" i="25"/>
  <c r="EU149" i="25" s="1"/>
  <c r="CL198" i="25"/>
  <c r="FG198" i="25"/>
  <c r="DP198" i="25"/>
  <c r="CX198" i="25"/>
  <c r="EQ198" i="25"/>
  <c r="EU198" i="25" s="1"/>
  <c r="DP254" i="25"/>
  <c r="CL254" i="25"/>
  <c r="CX254" i="25"/>
  <c r="EQ147" i="25"/>
  <c r="EU147" i="25" s="1"/>
  <c r="CL147" i="25"/>
  <c r="FG147" i="25"/>
  <c r="DP147" i="25"/>
  <c r="CX147" i="25"/>
  <c r="EQ200" i="25"/>
  <c r="EU200" i="25" s="1"/>
  <c r="DP200" i="25"/>
  <c r="CL200" i="25"/>
  <c r="FG200" i="25"/>
  <c r="CX200" i="25"/>
  <c r="DP259" i="25"/>
  <c r="CL259" i="25"/>
  <c r="CX259" i="25"/>
  <c r="CY259" i="25" s="1"/>
  <c r="CU19" i="25"/>
  <c r="CV19" i="25"/>
  <c r="CW19" i="25"/>
  <c r="CO19" i="25" s="1"/>
  <c r="CU272" i="25"/>
  <c r="CW272" i="25"/>
  <c r="CO272" i="25" s="1"/>
  <c r="CV272" i="25"/>
  <c r="CU307" i="25"/>
  <c r="CV307" i="25"/>
  <c r="CW307" i="25"/>
  <c r="CO307" i="25" s="1"/>
  <c r="CV186" i="25"/>
  <c r="CU186" i="25"/>
  <c r="CW186" i="25"/>
  <c r="CO186" i="25" s="1"/>
  <c r="CW218" i="25"/>
  <c r="CO218" i="25" s="1"/>
  <c r="CV218" i="25"/>
  <c r="CU218" i="25"/>
  <c r="CV274" i="25"/>
  <c r="CU274" i="25"/>
  <c r="CW274" i="25"/>
  <c r="CO274" i="25" s="1"/>
  <c r="CV161" i="25"/>
  <c r="CU161" i="25"/>
  <c r="CW161" i="25"/>
  <c r="CO161" i="25" s="1"/>
  <c r="CU301" i="25"/>
  <c r="CW301" i="25"/>
  <c r="CO301" i="25" s="1"/>
  <c r="CV301" i="25"/>
  <c r="CV28" i="25"/>
  <c r="CU28" i="25"/>
  <c r="CW28" i="25"/>
  <c r="CO28" i="25" s="1"/>
  <c r="CV270" i="25"/>
  <c r="CU270" i="25"/>
  <c r="CW270" i="25"/>
  <c r="CO270" i="25" s="1"/>
  <c r="CW86" i="25"/>
  <c r="CO86" i="25" s="1"/>
  <c r="CV86" i="25"/>
  <c r="CU86" i="25"/>
  <c r="CV151" i="25"/>
  <c r="CU151" i="25"/>
  <c r="CW151" i="25"/>
  <c r="CO151" i="25" s="1"/>
  <c r="CU298" i="25"/>
  <c r="CW298" i="25"/>
  <c r="CO298" i="25" s="1"/>
  <c r="CV298" i="25"/>
  <c r="CW305" i="25"/>
  <c r="CO305" i="25" s="1"/>
  <c r="CU305" i="25"/>
  <c r="CV305" i="25"/>
  <c r="CW255" i="25"/>
  <c r="CO255" i="25" s="1"/>
  <c r="CU255" i="25"/>
  <c r="CV255" i="25"/>
  <c r="CW312" i="25"/>
  <c r="CO312" i="25" s="1"/>
  <c r="CV312" i="25"/>
  <c r="CU312" i="25"/>
  <c r="CU287" i="25"/>
  <c r="CV287" i="25"/>
  <c r="CW287" i="25"/>
  <c r="CO287" i="25" s="1"/>
  <c r="CV66" i="25"/>
  <c r="CU66" i="25"/>
  <c r="CW66" i="25"/>
  <c r="CO66" i="25" s="1"/>
  <c r="CW121" i="25"/>
  <c r="CO121" i="25" s="1"/>
  <c r="CU121" i="25"/>
  <c r="CV121" i="25"/>
  <c r="CW16" i="25"/>
  <c r="CO16" i="25" s="1"/>
  <c r="CU16" i="25"/>
  <c r="CV16" i="25"/>
  <c r="CW68" i="25"/>
  <c r="CO68" i="25" s="1"/>
  <c r="CU68" i="25"/>
  <c r="CV68" i="25"/>
  <c r="CW141" i="25"/>
  <c r="CO141" i="25" s="1"/>
  <c r="CV141" i="25"/>
  <c r="CU141" i="25"/>
  <c r="CW136" i="25"/>
  <c r="CO136" i="25" s="1"/>
  <c r="CV136" i="25"/>
  <c r="CU136" i="25"/>
  <c r="CW149" i="25"/>
  <c r="CO149" i="25" s="1"/>
  <c r="CU149" i="25"/>
  <c r="CV149" i="25"/>
  <c r="CV229" i="25"/>
  <c r="CU229" i="25"/>
  <c r="CW229" i="25"/>
  <c r="CO229" i="25" s="1"/>
  <c r="CW148" i="25"/>
  <c r="CO148" i="25" s="1"/>
  <c r="CV148" i="25"/>
  <c r="CU148" i="25"/>
  <c r="CW6" i="25"/>
  <c r="CO6" i="25" s="1"/>
  <c r="CV6" i="25"/>
  <c r="CU6" i="25"/>
  <c r="FD6" i="25"/>
  <c r="DS6" i="25"/>
  <c r="CW18" i="25"/>
  <c r="CO18" i="25" s="1"/>
  <c r="CV18" i="25"/>
  <c r="CU18" i="25"/>
  <c r="CV75" i="25"/>
  <c r="CU75" i="25"/>
  <c r="CW75" i="25"/>
  <c r="CO75" i="25" s="1"/>
  <c r="CU247" i="25"/>
  <c r="CV247" i="25"/>
  <c r="CW247" i="25"/>
  <c r="CO247" i="25" s="1"/>
  <c r="CW130" i="25"/>
  <c r="CO130" i="25" s="1"/>
  <c r="CV130" i="25"/>
  <c r="CU130" i="25"/>
  <c r="CV165" i="25"/>
  <c r="CW165" i="25"/>
  <c r="CO165" i="25" s="1"/>
  <c r="CU165" i="25"/>
  <c r="CW184" i="25"/>
  <c r="CO184" i="25" s="1"/>
  <c r="CV184" i="25"/>
  <c r="CU184" i="25"/>
  <c r="CW279" i="25"/>
  <c r="CO279" i="25" s="1"/>
  <c r="CU279" i="25"/>
  <c r="CV279" i="25"/>
  <c r="CV209" i="25"/>
  <c r="CU209" i="25"/>
  <c r="CW209" i="25"/>
  <c r="CO209" i="25" s="1"/>
  <c r="CV256" i="25"/>
  <c r="CU256" i="25"/>
  <c r="CW256" i="25"/>
  <c r="CO256" i="25" s="1"/>
  <c r="CV264" i="25"/>
  <c r="CU264" i="25"/>
  <c r="CW264" i="25"/>
  <c r="CO264" i="25" s="1"/>
  <c r="CW196" i="25"/>
  <c r="CO196" i="25" s="1"/>
  <c r="CV196" i="25"/>
  <c r="CU196" i="25"/>
  <c r="DP230" i="25"/>
  <c r="CL230" i="25"/>
  <c r="CX230" i="25"/>
  <c r="FG137" i="25"/>
  <c r="CL137" i="25"/>
  <c r="DP137" i="25"/>
  <c r="EQ137" i="25"/>
  <c r="EU137" i="25" s="1"/>
  <c r="CX137" i="25"/>
  <c r="CL228" i="25"/>
  <c r="DP228" i="25"/>
  <c r="CX228" i="25"/>
  <c r="DP300" i="25"/>
  <c r="CL300" i="25"/>
  <c r="CX300" i="25"/>
  <c r="CY300" i="25" s="1"/>
  <c r="CW11" i="25"/>
  <c r="CO11" i="25" s="1"/>
  <c r="CV11" i="25"/>
  <c r="CU11" i="25"/>
  <c r="CV227" i="25"/>
  <c r="CU227" i="25"/>
  <c r="CW227" i="25"/>
  <c r="CO227" i="25" s="1"/>
  <c r="CV30" i="25"/>
  <c r="CW30" i="25"/>
  <c r="CO30" i="25" s="1"/>
  <c r="CU30" i="25"/>
  <c r="CL19" i="25"/>
  <c r="EQ19" i="25"/>
  <c r="EU19" i="25" s="1"/>
  <c r="DP19" i="25"/>
  <c r="FG19" i="25"/>
  <c r="CX19" i="25"/>
  <c r="CY19" i="25" s="1"/>
  <c r="FG133" i="25"/>
  <c r="DP133" i="25"/>
  <c r="CL133" i="25"/>
  <c r="EQ133" i="25"/>
  <c r="EU133" i="25" s="1"/>
  <c r="CX133" i="25"/>
  <c r="CX98" i="25"/>
  <c r="FG98" i="25"/>
  <c r="CL98" i="25"/>
  <c r="EQ98" i="25"/>
  <c r="EU98" i="25" s="1"/>
  <c r="DP98" i="25"/>
  <c r="DP72" i="25"/>
  <c r="CL72" i="25"/>
  <c r="EQ72" i="25"/>
  <c r="EU72" i="25" s="1"/>
  <c r="FG72" i="25"/>
  <c r="CX72" i="25"/>
  <c r="FG77" i="25"/>
  <c r="CL77" i="25"/>
  <c r="EQ77" i="25"/>
  <c r="EU77" i="25" s="1"/>
  <c r="DP77" i="25"/>
  <c r="CX77" i="25"/>
  <c r="FG141" i="25"/>
  <c r="DP141" i="25"/>
  <c r="CL141" i="25"/>
  <c r="EQ141" i="25"/>
  <c r="EU141" i="25" s="1"/>
  <c r="CX141" i="25"/>
  <c r="CL41" i="25"/>
  <c r="EQ41" i="25"/>
  <c r="EU41" i="25" s="1"/>
  <c r="FG41" i="25"/>
  <c r="DP41" i="25"/>
  <c r="CX41" i="25"/>
  <c r="EQ111" i="25"/>
  <c r="EU111" i="25" s="1"/>
  <c r="DP111" i="25"/>
  <c r="CL111" i="25"/>
  <c r="FG111" i="25"/>
  <c r="CX111" i="25"/>
  <c r="DP258" i="25"/>
  <c r="CL258" i="25"/>
  <c r="CX258" i="25"/>
  <c r="EQ75" i="25"/>
  <c r="EU75" i="25" s="1"/>
  <c r="FG75" i="25"/>
  <c r="CX75" i="25"/>
  <c r="CL75" i="25"/>
  <c r="DP75" i="25"/>
  <c r="DP51" i="25"/>
  <c r="CL51" i="25"/>
  <c r="FG51" i="25"/>
  <c r="EQ51" i="25"/>
  <c r="EU51" i="25" s="1"/>
  <c r="CX51" i="25"/>
  <c r="CY51" i="25" s="1"/>
  <c r="FG138" i="25"/>
  <c r="DP138" i="25"/>
  <c r="CL138" i="25"/>
  <c r="EQ138" i="25"/>
  <c r="EU138" i="25" s="1"/>
  <c r="CX138" i="25"/>
  <c r="DP52" i="25"/>
  <c r="CL52" i="25"/>
  <c r="EQ52" i="25"/>
  <c r="EU52" i="25" s="1"/>
  <c r="FG52" i="25"/>
  <c r="CX52" i="25"/>
  <c r="FG150" i="25"/>
  <c r="CL150" i="25"/>
  <c r="EQ150" i="25"/>
  <c r="EU150" i="25" s="1"/>
  <c r="DP150" i="25"/>
  <c r="CX150" i="25"/>
  <c r="FG50" i="25"/>
  <c r="CX50" i="25"/>
  <c r="DP50" i="25"/>
  <c r="EQ50" i="25"/>
  <c r="EU50" i="25" s="1"/>
  <c r="CL50" i="25"/>
  <c r="CL94" i="25"/>
  <c r="DP94" i="25"/>
  <c r="FG94" i="25"/>
  <c r="EQ94" i="25"/>
  <c r="EU94" i="25" s="1"/>
  <c r="CX94" i="25"/>
  <c r="EQ174" i="25"/>
  <c r="EU174" i="25" s="1"/>
  <c r="DP174" i="25"/>
  <c r="CX174" i="25"/>
  <c r="FG174" i="25"/>
  <c r="CL174" i="25"/>
  <c r="DP123" i="25"/>
  <c r="CL123" i="25"/>
  <c r="EQ123" i="25"/>
  <c r="EU123" i="25" s="1"/>
  <c r="CX123" i="25"/>
  <c r="FG123" i="25"/>
  <c r="CL293" i="25"/>
  <c r="CX293" i="25"/>
  <c r="DP293" i="25"/>
  <c r="EQ118" i="25"/>
  <c r="EU118" i="25" s="1"/>
  <c r="DP118" i="25"/>
  <c r="CX118" i="25"/>
  <c r="CL118" i="25"/>
  <c r="FG118" i="25"/>
  <c r="DP224" i="25"/>
  <c r="CL224" i="25"/>
  <c r="CX224" i="25"/>
  <c r="CL222" i="25"/>
  <c r="DP222" i="25"/>
  <c r="CX222" i="25"/>
  <c r="DP202" i="25"/>
  <c r="CL202" i="25"/>
  <c r="CX202" i="25"/>
  <c r="FG202" i="25"/>
  <c r="EQ202" i="25"/>
  <c r="EU202" i="25" s="1"/>
  <c r="CL270" i="25"/>
  <c r="DP270" i="25"/>
  <c r="CX270" i="25"/>
  <c r="CY270" i="25" s="1"/>
  <c r="FG159" i="25"/>
  <c r="CL159" i="25"/>
  <c r="DP159" i="25"/>
  <c r="EQ159" i="25"/>
  <c r="EU159" i="25" s="1"/>
  <c r="CX159" i="25"/>
  <c r="CL229" i="25"/>
  <c r="CX229" i="25"/>
  <c r="DP229" i="25"/>
  <c r="DP296" i="25"/>
  <c r="CX296" i="25"/>
  <c r="CL296" i="25"/>
  <c r="FG191" i="25"/>
  <c r="DP191" i="25"/>
  <c r="CX191" i="25"/>
  <c r="EQ191" i="25"/>
  <c r="EU191" i="25" s="1"/>
  <c r="CL191" i="25"/>
  <c r="CL301" i="25"/>
  <c r="DP301" i="25"/>
  <c r="CX301" i="25"/>
  <c r="DP187" i="25"/>
  <c r="FG187" i="25"/>
  <c r="EQ187" i="25"/>
  <c r="EU187" i="25" s="1"/>
  <c r="CL187" i="25"/>
  <c r="CX187" i="25"/>
  <c r="DP260" i="25"/>
  <c r="CX260" i="25"/>
  <c r="CL260" i="25"/>
  <c r="FG155" i="25"/>
  <c r="CL155" i="25"/>
  <c r="DP155" i="25"/>
  <c r="EQ155" i="25"/>
  <c r="EU155" i="25" s="1"/>
  <c r="CX155" i="25"/>
  <c r="CY155" i="25" s="1"/>
  <c r="DP205" i="25"/>
  <c r="CX205" i="25"/>
  <c r="FG205" i="25"/>
  <c r="CL205" i="25"/>
  <c r="EQ205" i="25"/>
  <c r="EU205" i="25" s="1"/>
  <c r="DP255" i="25"/>
  <c r="CX255" i="25"/>
  <c r="CL255" i="25"/>
  <c r="DP167" i="25"/>
  <c r="CL167" i="25"/>
  <c r="CX167" i="25"/>
  <c r="FG167" i="25"/>
  <c r="EQ167" i="25"/>
  <c r="EU167" i="25" s="1"/>
  <c r="EQ207" i="25"/>
  <c r="EU207" i="25" s="1"/>
  <c r="CX207" i="25"/>
  <c r="CY207" i="25" s="1"/>
  <c r="CL207" i="25"/>
  <c r="FG207" i="25"/>
  <c r="DP207" i="25"/>
  <c r="DP263" i="25"/>
  <c r="CX263" i="25"/>
  <c r="CL263" i="25"/>
  <c r="CV24" i="25"/>
  <c r="CU24" i="25"/>
  <c r="CW24" i="25"/>
  <c r="CO24" i="25" s="1"/>
  <c r="CW93" i="25"/>
  <c r="CO93" i="25" s="1"/>
  <c r="CV93" i="25"/>
  <c r="CU93" i="25"/>
  <c r="CV104" i="25"/>
  <c r="CU104" i="25"/>
  <c r="CW104" i="25"/>
  <c r="CO104" i="25" s="1"/>
  <c r="CV85" i="25"/>
  <c r="CU85" i="25"/>
  <c r="CW85" i="25"/>
  <c r="CO85" i="25" s="1"/>
  <c r="CU244" i="25"/>
  <c r="CW244" i="25"/>
  <c r="CO244" i="25" s="1"/>
  <c r="CV244" i="25"/>
  <c r="CW59" i="25"/>
  <c r="CO59" i="25" s="1"/>
  <c r="CV59" i="25"/>
  <c r="CU59" i="25"/>
  <c r="CV232" i="25"/>
  <c r="CU232" i="25"/>
  <c r="CW232" i="25"/>
  <c r="CO232" i="25" s="1"/>
  <c r="CU248" i="25"/>
  <c r="CW248" i="25"/>
  <c r="CO248" i="25" s="1"/>
  <c r="CV248" i="25"/>
  <c r="CV51" i="25"/>
  <c r="CU51" i="25"/>
  <c r="CW51" i="25"/>
  <c r="CO51" i="25" s="1"/>
  <c r="CW234" i="25"/>
  <c r="CO234" i="25" s="1"/>
  <c r="CV234" i="25"/>
  <c r="CU234" i="25"/>
  <c r="CU157" i="25"/>
  <c r="CV157" i="25"/>
  <c r="CW157" i="25"/>
  <c r="CO157" i="25" s="1"/>
  <c r="CU290" i="25"/>
  <c r="CW290" i="25"/>
  <c r="CO290" i="25" s="1"/>
  <c r="CV290" i="25"/>
  <c r="CV226" i="25"/>
  <c r="CU226" i="25"/>
  <c r="CW226" i="25"/>
  <c r="CO226" i="25" s="1"/>
  <c r="CV266" i="25"/>
  <c r="CW266" i="25"/>
  <c r="CO266" i="25" s="1"/>
  <c r="CU266" i="25"/>
  <c r="CV257" i="25"/>
  <c r="CU257" i="25"/>
  <c r="CW257" i="25"/>
  <c r="CO257" i="25" s="1"/>
  <c r="CW304" i="25"/>
  <c r="CO304" i="25" s="1"/>
  <c r="CV304" i="25"/>
  <c r="CU304" i="25"/>
  <c r="CU217" i="25"/>
  <c r="CV217" i="25"/>
  <c r="CW217" i="25"/>
  <c r="CO217" i="25" s="1"/>
  <c r="CU29" i="25"/>
  <c r="CW29" i="25"/>
  <c r="CO29" i="25" s="1"/>
  <c r="CV29" i="25"/>
  <c r="CW50" i="25"/>
  <c r="CO50" i="25" s="1"/>
  <c r="CU50" i="25"/>
  <c r="CV50" i="25"/>
  <c r="CW282" i="25"/>
  <c r="CO282" i="25" s="1"/>
  <c r="CU282" i="25"/>
  <c r="CV282" i="25"/>
  <c r="CV207" i="25"/>
  <c r="CU207" i="25"/>
  <c r="CW207" i="25"/>
  <c r="CO207" i="25" s="1"/>
  <c r="CW249" i="25"/>
  <c r="CO249" i="25" s="1"/>
  <c r="CU249" i="25"/>
  <c r="CV249" i="25"/>
  <c r="CV81" i="25"/>
  <c r="CW81" i="25"/>
  <c r="CO81" i="25" s="1"/>
  <c r="CU81" i="25"/>
  <c r="CW252" i="25"/>
  <c r="CO252" i="25" s="1"/>
  <c r="CV252" i="25"/>
  <c r="CU252" i="25"/>
  <c r="CW286" i="25"/>
  <c r="CO286" i="25" s="1"/>
  <c r="CU286" i="25"/>
  <c r="CV286" i="25"/>
  <c r="CV14" i="25"/>
  <c r="CW14" i="25"/>
  <c r="CO14" i="25" s="1"/>
  <c r="CU14" i="25"/>
  <c r="CW26" i="25"/>
  <c r="CO26" i="25" s="1"/>
  <c r="CV26" i="25"/>
  <c r="CU26" i="25"/>
  <c r="CW53" i="25"/>
  <c r="CO53" i="25" s="1"/>
  <c r="CU53" i="25"/>
  <c r="CV53" i="25"/>
  <c r="CW269" i="25"/>
  <c r="CO269" i="25" s="1"/>
  <c r="CU269" i="25"/>
  <c r="CV269" i="25"/>
  <c r="CV38" i="25"/>
  <c r="CU38" i="25"/>
  <c r="CW38" i="25"/>
  <c r="CO38" i="25" s="1"/>
  <c r="CU60" i="25"/>
  <c r="CV60" i="25"/>
  <c r="CW60" i="25"/>
  <c r="CO60" i="25" s="1"/>
  <c r="CW188" i="25"/>
  <c r="CO188" i="25" s="1"/>
  <c r="CV188" i="25"/>
  <c r="CU188" i="25"/>
  <c r="CW289" i="25"/>
  <c r="CO289" i="25" s="1"/>
  <c r="CV289" i="25"/>
  <c r="CU289" i="25"/>
  <c r="CV237" i="25"/>
  <c r="CU237" i="25"/>
  <c r="CW237" i="25"/>
  <c r="CO237" i="25" s="1"/>
  <c r="CV299" i="25"/>
  <c r="CU299" i="25"/>
  <c r="CW299" i="25"/>
  <c r="CO299" i="25" s="1"/>
  <c r="CU277" i="25"/>
  <c r="CW277" i="25"/>
  <c r="CO277" i="25" s="1"/>
  <c r="CV277" i="25"/>
  <c r="CW206" i="25"/>
  <c r="CO206" i="25" s="1"/>
  <c r="CV206" i="25"/>
  <c r="CU206" i="25"/>
  <c r="DP240" i="25"/>
  <c r="CL240" i="25"/>
  <c r="CX240" i="25"/>
  <c r="DP16" i="25"/>
  <c r="FG16" i="25"/>
  <c r="EQ16" i="25"/>
  <c r="EU16" i="25" s="1"/>
  <c r="CX16" i="25"/>
  <c r="CL16" i="25"/>
  <c r="EQ91" i="25"/>
  <c r="EU91" i="25" s="1"/>
  <c r="CL91" i="25"/>
  <c r="FG91" i="25"/>
  <c r="CX91" i="25"/>
  <c r="DP91" i="25"/>
  <c r="CL102" i="25"/>
  <c r="DP102" i="25"/>
  <c r="EQ102" i="25"/>
  <c r="EU102" i="25" s="1"/>
  <c r="FG102" i="25"/>
  <c r="CX102" i="25"/>
  <c r="DP288" i="25"/>
  <c r="CL288" i="25"/>
  <c r="CX288" i="25"/>
  <c r="CX219" i="25"/>
  <c r="DP219" i="25"/>
  <c r="CL219" i="25"/>
  <c r="CL152" i="25"/>
  <c r="FG152" i="25"/>
  <c r="EQ152" i="25"/>
  <c r="EU152" i="25" s="1"/>
  <c r="DP152" i="25"/>
  <c r="CX152" i="25"/>
  <c r="EQ192" i="25"/>
  <c r="EU192" i="25" s="1"/>
  <c r="FG192" i="25"/>
  <c r="CX192" i="25"/>
  <c r="CL192" i="25"/>
  <c r="DP192" i="25"/>
  <c r="CW23" i="25"/>
  <c r="CO23" i="25" s="1"/>
  <c r="CV23" i="25"/>
  <c r="CU23" i="25"/>
  <c r="CV41" i="25"/>
  <c r="CW41" i="25"/>
  <c r="CO41" i="25" s="1"/>
  <c r="CU41" i="25"/>
  <c r="CW15" i="25"/>
  <c r="CO15" i="25" s="1"/>
  <c r="CV15" i="25"/>
  <c r="CU15" i="25"/>
  <c r="CV58" i="25"/>
  <c r="CU58" i="25"/>
  <c r="CW58" i="25"/>
  <c r="CO58" i="25" s="1"/>
  <c r="CW91" i="25"/>
  <c r="CO91" i="25" s="1"/>
  <c r="CU91" i="25"/>
  <c r="CV91" i="25"/>
  <c r="CU95" i="25"/>
  <c r="CW95" i="25"/>
  <c r="CO95" i="25" s="1"/>
  <c r="CV95" i="25"/>
  <c r="CU132" i="25"/>
  <c r="CW132" i="25"/>
  <c r="CO132" i="25" s="1"/>
  <c r="CV132" i="25"/>
  <c r="CU105" i="25"/>
  <c r="CW105" i="25"/>
  <c r="CO105" i="25" s="1"/>
  <c r="CV105" i="25"/>
  <c r="CU102" i="25"/>
  <c r="CV102" i="25"/>
  <c r="CW102" i="25"/>
  <c r="CO102" i="25" s="1"/>
  <c r="CW166" i="25"/>
  <c r="CO166" i="25" s="1"/>
  <c r="CU166" i="25"/>
  <c r="CV166" i="25"/>
  <c r="FG26" i="25"/>
  <c r="CX26" i="25"/>
  <c r="DP26" i="25"/>
  <c r="CL26" i="25"/>
  <c r="EQ26" i="25"/>
  <c r="EU26" i="25" s="1"/>
  <c r="FG160" i="25"/>
  <c r="CL160" i="25"/>
  <c r="CX160" i="25"/>
  <c r="DP160" i="25"/>
  <c r="EQ160" i="25"/>
  <c r="EU160" i="25" s="1"/>
  <c r="EQ113" i="25"/>
  <c r="EU113" i="25" s="1"/>
  <c r="CL113" i="25"/>
  <c r="FG113" i="25"/>
  <c r="CX113" i="25"/>
  <c r="DP113" i="25"/>
  <c r="EQ83" i="25"/>
  <c r="EU83" i="25" s="1"/>
  <c r="CL83" i="25"/>
  <c r="DP83" i="25"/>
  <c r="FG83" i="25"/>
  <c r="CX83" i="25"/>
  <c r="CL97" i="25"/>
  <c r="DP97" i="25"/>
  <c r="EQ97" i="25"/>
  <c r="EU97" i="25" s="1"/>
  <c r="FG97" i="25"/>
  <c r="CX97" i="25"/>
  <c r="EQ31" i="25"/>
  <c r="EU31" i="25" s="1"/>
  <c r="CL31" i="25"/>
  <c r="FG31" i="25"/>
  <c r="DP31" i="25"/>
  <c r="CX31" i="25"/>
  <c r="EQ35" i="25"/>
  <c r="EU35" i="25" s="1"/>
  <c r="CL35" i="25"/>
  <c r="DP35" i="25"/>
  <c r="CX35" i="25"/>
  <c r="FG35" i="25"/>
  <c r="EQ116" i="25"/>
  <c r="EU116" i="25" s="1"/>
  <c r="DP116" i="25"/>
  <c r="CL116" i="25"/>
  <c r="FG116" i="25"/>
  <c r="CX116" i="25"/>
  <c r="DP10" i="25"/>
  <c r="FG10" i="25"/>
  <c r="CL10" i="25"/>
  <c r="CX10" i="25"/>
  <c r="EQ10" i="25"/>
  <c r="EU10" i="25" s="1"/>
  <c r="EQ80" i="25"/>
  <c r="EU80" i="25" s="1"/>
  <c r="DP80" i="25"/>
  <c r="CL80" i="25"/>
  <c r="FG80" i="25"/>
  <c r="CX80" i="25"/>
  <c r="EQ53" i="25"/>
  <c r="EU53" i="25" s="1"/>
  <c r="CL53" i="25"/>
  <c r="DP53" i="25"/>
  <c r="CX53" i="25"/>
  <c r="FG53" i="25"/>
  <c r="EQ144" i="25"/>
  <c r="EU144" i="25" s="1"/>
  <c r="FG144" i="25"/>
  <c r="DP144" i="25"/>
  <c r="CL144" i="25"/>
  <c r="CX144" i="25"/>
  <c r="EQ62" i="25"/>
  <c r="EU62" i="25" s="1"/>
  <c r="DP62" i="25"/>
  <c r="FG62" i="25"/>
  <c r="CX62" i="25"/>
  <c r="CL62" i="25"/>
  <c r="DP265" i="25"/>
  <c r="CL265" i="25"/>
  <c r="CX265" i="25"/>
  <c r="CY265" i="25" s="1"/>
  <c r="FG54" i="25"/>
  <c r="CX54" i="25"/>
  <c r="DP54" i="25"/>
  <c r="CL54" i="25"/>
  <c r="EQ54" i="25"/>
  <c r="EU54" i="25" s="1"/>
  <c r="CL99" i="25"/>
  <c r="DP99" i="25"/>
  <c r="FG99" i="25"/>
  <c r="EQ99" i="25"/>
  <c r="EU99" i="25" s="1"/>
  <c r="CX99" i="25"/>
  <c r="DP201" i="25"/>
  <c r="CL201" i="25"/>
  <c r="FG201" i="25"/>
  <c r="CX201" i="25"/>
  <c r="EQ201" i="25"/>
  <c r="EU201" i="25" s="1"/>
  <c r="EQ127" i="25"/>
  <c r="EU127" i="25" s="1"/>
  <c r="CL127" i="25"/>
  <c r="FG127" i="25"/>
  <c r="DP127" i="25"/>
  <c r="CX127" i="25"/>
  <c r="DP304" i="25"/>
  <c r="CL304" i="25"/>
  <c r="CX304" i="25"/>
  <c r="CX120" i="25"/>
  <c r="CL120" i="25"/>
  <c r="FG120" i="25"/>
  <c r="DP120" i="25"/>
  <c r="EQ120" i="25"/>
  <c r="EU120" i="25" s="1"/>
  <c r="CX264" i="25"/>
  <c r="DP264" i="25"/>
  <c r="CL264" i="25"/>
  <c r="CX249" i="25"/>
  <c r="CL249" i="25"/>
  <c r="DP249" i="25"/>
  <c r="FG206" i="25"/>
  <c r="DP206" i="25"/>
  <c r="CL206" i="25"/>
  <c r="EQ206" i="25"/>
  <c r="EU206" i="25" s="1"/>
  <c r="CX206" i="25"/>
  <c r="CL273" i="25"/>
  <c r="DP273" i="25"/>
  <c r="CX273" i="25"/>
  <c r="FG162" i="25"/>
  <c r="CL162" i="25"/>
  <c r="DP162" i="25"/>
  <c r="EQ162" i="25"/>
  <c r="EU162" i="25" s="1"/>
  <c r="CX162" i="25"/>
  <c r="CY162" i="25" s="1"/>
  <c r="CL248" i="25"/>
  <c r="DP248" i="25"/>
  <c r="CX248" i="25"/>
  <c r="CL297" i="25"/>
  <c r="CX297" i="25"/>
  <c r="DP297" i="25"/>
  <c r="DP221" i="25"/>
  <c r="CL221" i="25"/>
  <c r="CX221" i="25"/>
  <c r="CX303" i="25"/>
  <c r="DP303" i="25"/>
  <c r="CL303" i="25"/>
  <c r="CX203" i="25"/>
  <c r="FG203" i="25"/>
  <c r="CL203" i="25"/>
  <c r="EQ203" i="25"/>
  <c r="EU203" i="25" s="1"/>
  <c r="DP203" i="25"/>
  <c r="DP268" i="25"/>
  <c r="CX268" i="25"/>
  <c r="CL268" i="25"/>
  <c r="FG158" i="25"/>
  <c r="CL158" i="25"/>
  <c r="EQ158" i="25"/>
  <c r="EU158" i="25" s="1"/>
  <c r="DP158" i="25"/>
  <c r="CX158" i="25"/>
  <c r="CX218" i="25"/>
  <c r="DP218" i="25"/>
  <c r="CL218" i="25"/>
  <c r="DP267" i="25"/>
  <c r="CL267" i="25"/>
  <c r="CX267" i="25"/>
  <c r="EQ178" i="25"/>
  <c r="EU178" i="25" s="1"/>
  <c r="FG178" i="25"/>
  <c r="CL178" i="25"/>
  <c r="DP178" i="25"/>
  <c r="CX178" i="25"/>
  <c r="FG210" i="25"/>
  <c r="EQ210" i="25"/>
  <c r="EU210" i="25" s="1"/>
  <c r="DP210" i="25"/>
  <c r="CL210" i="25"/>
  <c r="CX210" i="25"/>
  <c r="CX278" i="25"/>
  <c r="DP278" i="25"/>
  <c r="CL278" i="25"/>
  <c r="CW302" i="25"/>
  <c r="CO302" i="25" s="1"/>
  <c r="CU302" i="25"/>
  <c r="CV302" i="25"/>
  <c r="CU228" i="25"/>
  <c r="CW228" i="25"/>
  <c r="CO228" i="25" s="1"/>
  <c r="CV228" i="25"/>
  <c r="CU314" i="25"/>
  <c r="CW314" i="25"/>
  <c r="CO314" i="25" s="1"/>
  <c r="CV314" i="25"/>
  <c r="CW78" i="25"/>
  <c r="CO78" i="25" s="1"/>
  <c r="CV78" i="25"/>
  <c r="CU78" i="25"/>
  <c r="CW40" i="25"/>
  <c r="CO40" i="25" s="1"/>
  <c r="CV40" i="25"/>
  <c r="CU40" i="25"/>
  <c r="CW47" i="25"/>
  <c r="CO47" i="25" s="1"/>
  <c r="CV47" i="25"/>
  <c r="CU47" i="25"/>
  <c r="CV308" i="25"/>
  <c r="CW308" i="25"/>
  <c r="CO308" i="25" s="1"/>
  <c r="CU308" i="25"/>
  <c r="CW27" i="25"/>
  <c r="CO27" i="25" s="1"/>
  <c r="CV27" i="25"/>
  <c r="CU27" i="25"/>
  <c r="CU210" i="25"/>
  <c r="CW210" i="25"/>
  <c r="CO210" i="25" s="1"/>
  <c r="CV210" i="25"/>
  <c r="CV220" i="25"/>
  <c r="CW220" i="25"/>
  <c r="CO220" i="25" s="1"/>
  <c r="CU220" i="25"/>
  <c r="CV267" i="25"/>
  <c r="CW267" i="25"/>
  <c r="CO267" i="25" s="1"/>
  <c r="CU267" i="25"/>
  <c r="CU7" i="25"/>
  <c r="CW7" i="25"/>
  <c r="CO7" i="25" s="1"/>
  <c r="CV7" i="25"/>
  <c r="DS7" i="25"/>
  <c r="CV32" i="25"/>
  <c r="CU32" i="25"/>
  <c r="CW32" i="25"/>
  <c r="CO32" i="25" s="1"/>
  <c r="CV254" i="25"/>
  <c r="CW254" i="25"/>
  <c r="CO254" i="25" s="1"/>
  <c r="CU254" i="25"/>
  <c r="CU79" i="25"/>
  <c r="CW79" i="25"/>
  <c r="CO79" i="25" s="1"/>
  <c r="CV79" i="25"/>
  <c r="CV276" i="25"/>
  <c r="CU276" i="25"/>
  <c r="CW276" i="25"/>
  <c r="CO276" i="25" s="1"/>
  <c r="CV200" i="25"/>
  <c r="CW200" i="25"/>
  <c r="CO200" i="25" s="1"/>
  <c r="CU200" i="25"/>
  <c r="CU42" i="25"/>
  <c r="CV42" i="25"/>
  <c r="CW42" i="25"/>
  <c r="CO42" i="25" s="1"/>
  <c r="CW147" i="25"/>
  <c r="CO147" i="25" s="1"/>
  <c r="CV147" i="25"/>
  <c r="CU147" i="25"/>
  <c r="CW138" i="25"/>
  <c r="CO138" i="25" s="1"/>
  <c r="CV138" i="25"/>
  <c r="CU138" i="25"/>
  <c r="CW120" i="25"/>
  <c r="CO120" i="25" s="1"/>
  <c r="CV120" i="25"/>
  <c r="CU120" i="25"/>
  <c r="CV294" i="25"/>
  <c r="CW294" i="25"/>
  <c r="CO294" i="25" s="1"/>
  <c r="CU294" i="25"/>
  <c r="CW199" i="25"/>
  <c r="CO199" i="25" s="1"/>
  <c r="CV199" i="25"/>
  <c r="CU199" i="25"/>
  <c r="CW80" i="25"/>
  <c r="CO80" i="25" s="1"/>
  <c r="CU80" i="25"/>
  <c r="CV80" i="25"/>
  <c r="CU87" i="25"/>
  <c r="CW87" i="25"/>
  <c r="CO87" i="25" s="1"/>
  <c r="CV87" i="25"/>
  <c r="CU231" i="25"/>
  <c r="CW231" i="25"/>
  <c r="CO231" i="25" s="1"/>
  <c r="CV231" i="25"/>
  <c r="CW190" i="25"/>
  <c r="CO190" i="25" s="1"/>
  <c r="CV190" i="25"/>
  <c r="CU190" i="25"/>
  <c r="CU34" i="25"/>
  <c r="CW34" i="25"/>
  <c r="CO34" i="25" s="1"/>
  <c r="CV34" i="25"/>
  <c r="CU56" i="25"/>
  <c r="CV56" i="25"/>
  <c r="CW56" i="25"/>
  <c r="CO56" i="25" s="1"/>
  <c r="CW57" i="25"/>
  <c r="CO57" i="25" s="1"/>
  <c r="CV57" i="25"/>
  <c r="CU57" i="25"/>
  <c r="CV84" i="25"/>
  <c r="CW84" i="25"/>
  <c r="CO84" i="25" s="1"/>
  <c r="CU84" i="25"/>
  <c r="CW83" i="25"/>
  <c r="CO83" i="25" s="1"/>
  <c r="CU83" i="25"/>
  <c r="CV83" i="25"/>
  <c r="CW262" i="25"/>
  <c r="CO262" i="25" s="1"/>
  <c r="CV262" i="25"/>
  <c r="CU262" i="25"/>
  <c r="CW179" i="25"/>
  <c r="CO179" i="25" s="1"/>
  <c r="CU179" i="25"/>
  <c r="CV179" i="25"/>
  <c r="CU241" i="25"/>
  <c r="CW241" i="25"/>
  <c r="CO241" i="25" s="1"/>
  <c r="CV241" i="25"/>
  <c r="CV306" i="25"/>
  <c r="CW306" i="25"/>
  <c r="CO306" i="25" s="1"/>
  <c r="CU306" i="25"/>
  <c r="CW173" i="25"/>
  <c r="CO173" i="25" s="1"/>
  <c r="CU173" i="25"/>
  <c r="CV173" i="25"/>
  <c r="CW233" i="25"/>
  <c r="CO233" i="25" s="1"/>
  <c r="CV233" i="25"/>
  <c r="CU233" i="25"/>
  <c r="FG18" i="25"/>
  <c r="CX18" i="25"/>
  <c r="DP18" i="25"/>
  <c r="CL18" i="25"/>
  <c r="EQ18" i="25"/>
  <c r="EU18" i="25" s="1"/>
  <c r="DP234" i="25"/>
  <c r="CL234" i="25"/>
  <c r="CX234" i="25"/>
  <c r="CX316" i="25"/>
  <c r="CL316" i="25"/>
  <c r="DP316" i="25"/>
  <c r="DP44" i="25"/>
  <c r="EQ44" i="25"/>
  <c r="EU44" i="25" s="1"/>
  <c r="FG44" i="25"/>
  <c r="CL44" i="25"/>
  <c r="CX44" i="25"/>
  <c r="DP281" i="25"/>
  <c r="CX281" i="25"/>
  <c r="CL281" i="25"/>
  <c r="DP315" i="25"/>
  <c r="CX315" i="25"/>
  <c r="CL315" i="25"/>
  <c r="DP236" i="25"/>
  <c r="CL236" i="25"/>
  <c r="CX236" i="25"/>
  <c r="CY236" i="25" s="1"/>
  <c r="CU259" i="25"/>
  <c r="CV259" i="25"/>
  <c r="CW259" i="25"/>
  <c r="CO259" i="25" s="1"/>
  <c r="CW67" i="25"/>
  <c r="CO67" i="25" s="1"/>
  <c r="CV67" i="25"/>
  <c r="CU67" i="25"/>
  <c r="CU311" i="25"/>
  <c r="CW311" i="25"/>
  <c r="CO311" i="25" s="1"/>
  <c r="CV311" i="25"/>
  <c r="CW9" i="25"/>
  <c r="CO9" i="25" s="1"/>
  <c r="CV9" i="25"/>
  <c r="CU9" i="25"/>
  <c r="CV203" i="25"/>
  <c r="CW203" i="25"/>
  <c r="CO203" i="25" s="1"/>
  <c r="CU203" i="25"/>
  <c r="EQ76" i="25"/>
  <c r="EU76" i="25" s="1"/>
  <c r="FG76" i="25"/>
  <c r="CX76" i="25"/>
  <c r="DP76" i="25"/>
  <c r="CL76" i="25"/>
  <c r="FG163" i="25"/>
  <c r="CL163" i="25"/>
  <c r="DP163" i="25"/>
  <c r="EQ163" i="25"/>
  <c r="EU163" i="25" s="1"/>
  <c r="CX163" i="25"/>
  <c r="FG132" i="25"/>
  <c r="DP132" i="25"/>
  <c r="CL132" i="25"/>
  <c r="CX132" i="25"/>
  <c r="EQ132" i="25"/>
  <c r="EU132" i="25" s="1"/>
  <c r="FG131" i="25"/>
  <c r="DP131" i="25"/>
  <c r="CX131" i="25"/>
  <c r="CL131" i="25"/>
  <c r="EQ131" i="25"/>
  <c r="EU131" i="25" s="1"/>
  <c r="CL103" i="25"/>
  <c r="DP103" i="25"/>
  <c r="CX103" i="25"/>
  <c r="EQ103" i="25"/>
  <c r="EU103" i="25" s="1"/>
  <c r="FG103" i="25"/>
  <c r="EQ61" i="25"/>
  <c r="EU61" i="25" s="1"/>
  <c r="DP61" i="25"/>
  <c r="CX61" i="25"/>
  <c r="FG61" i="25"/>
  <c r="CL61" i="25"/>
  <c r="DP36" i="25"/>
  <c r="FG36" i="25"/>
  <c r="CL36" i="25"/>
  <c r="CX36" i="25"/>
  <c r="EQ36" i="25"/>
  <c r="EU36" i="25" s="1"/>
  <c r="FG135" i="25"/>
  <c r="DP135" i="25"/>
  <c r="CL135" i="25"/>
  <c r="EQ135" i="25"/>
  <c r="EU135" i="25" s="1"/>
  <c r="CX135" i="25"/>
  <c r="DP11" i="25"/>
  <c r="EQ11" i="25"/>
  <c r="EU11" i="25" s="1"/>
  <c r="CL11" i="25"/>
  <c r="FG11" i="25"/>
  <c r="CX11" i="25"/>
  <c r="EQ84" i="25"/>
  <c r="EU84" i="25" s="1"/>
  <c r="FG84" i="25"/>
  <c r="CL84" i="25"/>
  <c r="CX84" i="25"/>
  <c r="DP84" i="25"/>
  <c r="DP67" i="25"/>
  <c r="CL67" i="25"/>
  <c r="FG67" i="25"/>
  <c r="EQ67" i="25"/>
  <c r="EU67" i="25" s="1"/>
  <c r="CX67" i="25"/>
  <c r="FG196" i="25"/>
  <c r="EQ196" i="25"/>
  <c r="EU196" i="25" s="1"/>
  <c r="DP196" i="25"/>
  <c r="CL196" i="25"/>
  <c r="CX196" i="25"/>
  <c r="CL63" i="25"/>
  <c r="FG63" i="25"/>
  <c r="EQ63" i="25"/>
  <c r="EU63" i="25" s="1"/>
  <c r="DP63" i="25"/>
  <c r="CX63" i="25"/>
  <c r="CY63" i="25" s="1"/>
  <c r="CX286" i="25"/>
  <c r="CL286" i="25"/>
  <c r="DP286" i="25"/>
  <c r="DP56" i="25"/>
  <c r="EQ56" i="25"/>
  <c r="EU56" i="25" s="1"/>
  <c r="CX56" i="25"/>
  <c r="CL56" i="25"/>
  <c r="FG56" i="25"/>
  <c r="CL101" i="25"/>
  <c r="FG101" i="25"/>
  <c r="DP101" i="25"/>
  <c r="EQ101" i="25"/>
  <c r="EU101" i="25" s="1"/>
  <c r="CX101" i="25"/>
  <c r="DP312" i="25"/>
  <c r="CL312" i="25"/>
  <c r="CX312" i="25"/>
  <c r="FG134" i="25"/>
  <c r="DP134" i="25"/>
  <c r="CL134" i="25"/>
  <c r="CX134" i="25"/>
  <c r="EQ134" i="25"/>
  <c r="EU134" i="25" s="1"/>
  <c r="FG32" i="25"/>
  <c r="DP32" i="25"/>
  <c r="CL32" i="25"/>
  <c r="EQ32" i="25"/>
  <c r="EU32" i="25" s="1"/>
  <c r="CX32" i="25"/>
  <c r="DP124" i="25"/>
  <c r="CL124" i="25"/>
  <c r="EQ124" i="25"/>
  <c r="EU124" i="25" s="1"/>
  <c r="FG124" i="25"/>
  <c r="CX124" i="25"/>
  <c r="CL282" i="25"/>
  <c r="DP282" i="25"/>
  <c r="CX282" i="25"/>
  <c r="DP291" i="25"/>
  <c r="CX291" i="25"/>
  <c r="CL291" i="25"/>
  <c r="CL217" i="25"/>
  <c r="CX217" i="25"/>
  <c r="DP217" i="25"/>
  <c r="CL274" i="25"/>
  <c r="DP274" i="25"/>
  <c r="CX274" i="25"/>
  <c r="EQ165" i="25"/>
  <c r="EU165" i="25" s="1"/>
  <c r="DP165" i="25"/>
  <c r="CX165" i="25"/>
  <c r="CL165" i="25"/>
  <c r="FG165" i="25"/>
  <c r="CL261" i="25"/>
  <c r="DP261" i="25"/>
  <c r="CX261" i="25"/>
  <c r="CX311" i="25"/>
  <c r="DP311" i="25"/>
  <c r="CL311" i="25"/>
  <c r="CX223" i="25"/>
  <c r="CL223" i="25"/>
  <c r="DP223" i="25"/>
  <c r="CL310" i="25"/>
  <c r="DP310" i="25"/>
  <c r="CX310" i="25"/>
  <c r="DP204" i="25"/>
  <c r="CX204" i="25"/>
  <c r="CL204" i="25"/>
  <c r="FG204" i="25"/>
  <c r="EQ204" i="25"/>
  <c r="EU204" i="25" s="1"/>
  <c r="CL279" i="25"/>
  <c r="DP279" i="25"/>
  <c r="CX279" i="25"/>
  <c r="EQ166" i="25"/>
  <c r="EU166" i="25" s="1"/>
  <c r="DP166" i="25"/>
  <c r="CL166" i="25"/>
  <c r="CX166" i="25"/>
  <c r="FG166" i="25"/>
  <c r="DP231" i="25"/>
  <c r="CL231" i="25"/>
  <c r="CX231" i="25"/>
  <c r="DP271" i="25"/>
  <c r="CX271" i="25"/>
  <c r="CL271" i="25"/>
  <c r="FG186" i="25"/>
  <c r="EQ186" i="25"/>
  <c r="EU186" i="25" s="1"/>
  <c r="CX186" i="25"/>
  <c r="DP186" i="25"/>
  <c r="CL186" i="25"/>
  <c r="DP220" i="25"/>
  <c r="CL220" i="25"/>
  <c r="CX220" i="25"/>
  <c r="CY220" i="25" s="1"/>
  <c r="DP299" i="25"/>
  <c r="CX299" i="25"/>
  <c r="CL299" i="25"/>
  <c r="CW100" i="25"/>
  <c r="CO100" i="25" s="1"/>
  <c r="CV100" i="25"/>
  <c r="CU100" i="25"/>
  <c r="CW99" i="25"/>
  <c r="CO99" i="25" s="1"/>
  <c r="CV99" i="25"/>
  <c r="CU99" i="25"/>
  <c r="CV37" i="25"/>
  <c r="CU37" i="25"/>
  <c r="CW37" i="25"/>
  <c r="CO37" i="25" s="1"/>
  <c r="CV187" i="25"/>
  <c r="CU187" i="25"/>
  <c r="CW187" i="25"/>
  <c r="CO187" i="25" s="1"/>
  <c r="CU45" i="25"/>
  <c r="CW45" i="25"/>
  <c r="CO45" i="25" s="1"/>
  <c r="CV45" i="25"/>
  <c r="CV31" i="25"/>
  <c r="CU31" i="25"/>
  <c r="CW31" i="25"/>
  <c r="CO31" i="25" s="1"/>
  <c r="CU158" i="25"/>
  <c r="CW158" i="25"/>
  <c r="CO158" i="25" s="1"/>
  <c r="CV158" i="25"/>
  <c r="CU44" i="25"/>
  <c r="CV44" i="25"/>
  <c r="CW44" i="25"/>
  <c r="CO44" i="25" s="1"/>
  <c r="CV76" i="25"/>
  <c r="CW76" i="25"/>
  <c r="CO76" i="25" s="1"/>
  <c r="CU76" i="25"/>
  <c r="CV164" i="25"/>
  <c r="CU164" i="25"/>
  <c r="CW164" i="25"/>
  <c r="CO164" i="25" s="1"/>
  <c r="CV156" i="25"/>
  <c r="CU156" i="25"/>
  <c r="CW156" i="25"/>
  <c r="CO156" i="25" s="1"/>
  <c r="CV103" i="25"/>
  <c r="CW103" i="25"/>
  <c r="CO103" i="25" s="1"/>
  <c r="CU103" i="25"/>
  <c r="CW275" i="25"/>
  <c r="CO275" i="25" s="1"/>
  <c r="CV275" i="25"/>
  <c r="CU275" i="25"/>
  <c r="CU283" i="25"/>
  <c r="CV283" i="25"/>
  <c r="CW283" i="25"/>
  <c r="CO283" i="25" s="1"/>
  <c r="CW280" i="25"/>
  <c r="CO280" i="25" s="1"/>
  <c r="CU280" i="25"/>
  <c r="CV280" i="25"/>
  <c r="CW239" i="25"/>
  <c r="CO239" i="25" s="1"/>
  <c r="CV239" i="25"/>
  <c r="CU239" i="25"/>
  <c r="CW284" i="25"/>
  <c r="CO284" i="25" s="1"/>
  <c r="CU284" i="25"/>
  <c r="CV284" i="25"/>
  <c r="CW35" i="25"/>
  <c r="CO35" i="25" s="1"/>
  <c r="CV35" i="25"/>
  <c r="CU35" i="25"/>
  <c r="CU295" i="25"/>
  <c r="CW295" i="25"/>
  <c r="CO295" i="25" s="1"/>
  <c r="CV295" i="25"/>
  <c r="CV98" i="25"/>
  <c r="CU98" i="25"/>
  <c r="CW98" i="25"/>
  <c r="CO98" i="25" s="1"/>
  <c r="CU92" i="25"/>
  <c r="CW92" i="25"/>
  <c r="CO92" i="25" s="1"/>
  <c r="CV92" i="25"/>
  <c r="CV168" i="25"/>
  <c r="CW168" i="25"/>
  <c r="CO168" i="25" s="1"/>
  <c r="CU168" i="25"/>
  <c r="CW144" i="25"/>
  <c r="CO144" i="25" s="1"/>
  <c r="CV144" i="25"/>
  <c r="CU144" i="25"/>
  <c r="CV70" i="25"/>
  <c r="CU70" i="25"/>
  <c r="CW70" i="25"/>
  <c r="CO70" i="25" s="1"/>
  <c r="CW143" i="25"/>
  <c r="CO143" i="25" s="1"/>
  <c r="CU143" i="25"/>
  <c r="CV143" i="25"/>
  <c r="CW97" i="25"/>
  <c r="CO97" i="25" s="1"/>
  <c r="CV97" i="25"/>
  <c r="CU97" i="25"/>
  <c r="CV122" i="25"/>
  <c r="CU122" i="25"/>
  <c r="CW122" i="25"/>
  <c r="CO122" i="25" s="1"/>
  <c r="CU64" i="25"/>
  <c r="CV64" i="25"/>
  <c r="CW64" i="25"/>
  <c r="CO64" i="25" s="1"/>
  <c r="CW65" i="25"/>
  <c r="CO65" i="25" s="1"/>
  <c r="CV65" i="25"/>
  <c r="CU65" i="25"/>
  <c r="CV111" i="25"/>
  <c r="CU111" i="25"/>
  <c r="CW111" i="25"/>
  <c r="CO111" i="25" s="1"/>
  <c r="CV202" i="25"/>
  <c r="CU202" i="25"/>
  <c r="CW202" i="25"/>
  <c r="CO202" i="25" s="1"/>
  <c r="CV191" i="25"/>
  <c r="CW191" i="25"/>
  <c r="CO191" i="25" s="1"/>
  <c r="CU191" i="25"/>
  <c r="CW180" i="25"/>
  <c r="CO180" i="25" s="1"/>
  <c r="CV180" i="25"/>
  <c r="CU180" i="25"/>
  <c r="CU251" i="25"/>
  <c r="CW251" i="25"/>
  <c r="CO251" i="25" s="1"/>
  <c r="CV251" i="25"/>
  <c r="CU174" i="25"/>
  <c r="CW174" i="25"/>
  <c r="CO174" i="25" s="1"/>
  <c r="CV174" i="25"/>
  <c r="CU175" i="25"/>
  <c r="CV175" i="25"/>
  <c r="CW175" i="25"/>
  <c r="CO175" i="25" s="1"/>
  <c r="CW292" i="25"/>
  <c r="CO292" i="25" s="1"/>
  <c r="CU292" i="25"/>
  <c r="CV292" i="25"/>
  <c r="CL34" i="24"/>
  <c r="CW34" i="24"/>
  <c r="CX34" i="24" s="1"/>
  <c r="DQ34" i="24"/>
  <c r="ES34" i="24"/>
  <c r="EV34" i="24" s="1"/>
  <c r="CY34" i="24"/>
  <c r="CU34" i="24"/>
  <c r="CV34" i="24" s="1"/>
  <c r="CY87" i="24"/>
  <c r="CL87" i="24"/>
  <c r="ES87" i="24"/>
  <c r="EV87" i="24" s="1"/>
  <c r="CW87" i="24"/>
  <c r="CX87" i="24" s="1"/>
  <c r="DQ87" i="24"/>
  <c r="CU87" i="24"/>
  <c r="CV87" i="24" s="1"/>
  <c r="ES53" i="24"/>
  <c r="EV53" i="24" s="1"/>
  <c r="CL53" i="24"/>
  <c r="DQ53" i="24"/>
  <c r="CW53" i="24"/>
  <c r="CX53" i="24" s="1"/>
  <c r="CY53" i="24"/>
  <c r="CU53" i="24"/>
  <c r="CV53" i="24" s="1"/>
  <c r="ES42" i="24"/>
  <c r="EV42" i="24" s="1"/>
  <c r="CL42" i="24"/>
  <c r="CW42" i="24"/>
  <c r="CX42" i="24" s="1"/>
  <c r="CY42" i="24"/>
  <c r="DQ42" i="24"/>
  <c r="CU42" i="24"/>
  <c r="CV42" i="24" s="1"/>
  <c r="CU11" i="24"/>
  <c r="CV11" i="24" s="1"/>
  <c r="CL11" i="24"/>
  <c r="DQ11" i="24"/>
  <c r="ES11" i="24"/>
  <c r="EV11" i="24" s="1"/>
  <c r="CW11" i="24"/>
  <c r="CX11" i="24" s="1"/>
  <c r="CY11" i="24"/>
  <c r="CZ11" i="24" s="1"/>
  <c r="CL91" i="24"/>
  <c r="DQ91" i="24"/>
  <c r="ES91" i="24"/>
  <c r="EV91" i="24" s="1"/>
  <c r="CW91" i="24"/>
  <c r="CX91" i="24" s="1"/>
  <c r="CY91" i="24"/>
  <c r="CZ91" i="24" s="1"/>
  <c r="CU91" i="24"/>
  <c r="CV91" i="24" s="1"/>
  <c r="CL39" i="24"/>
  <c r="CU39" i="24"/>
  <c r="CV39" i="24" s="1"/>
  <c r="ES39" i="24"/>
  <c r="EV39" i="24" s="1"/>
  <c r="CY39" i="24"/>
  <c r="CW39" i="24"/>
  <c r="CX39" i="24" s="1"/>
  <c r="DQ39" i="24"/>
  <c r="CW71" i="24"/>
  <c r="CX71" i="24" s="1"/>
  <c r="DQ71" i="24"/>
  <c r="ES71" i="24"/>
  <c r="EV71" i="24" s="1"/>
  <c r="CL71" i="24"/>
  <c r="CY71" i="24"/>
  <c r="CU71" i="24"/>
  <c r="CV71" i="24" s="1"/>
  <c r="CW43" i="24"/>
  <c r="CX43" i="24" s="1"/>
  <c r="CL43" i="24"/>
  <c r="ES43" i="24"/>
  <c r="EV43" i="24" s="1"/>
  <c r="CU43" i="24"/>
  <c r="CV43" i="24" s="1"/>
  <c r="DQ43" i="24"/>
  <c r="CY43" i="24"/>
  <c r="DQ122" i="24"/>
  <c r="CY122" i="24"/>
  <c r="CZ122" i="24" s="1"/>
  <c r="CU122" i="24"/>
  <c r="ES122" i="24"/>
  <c r="EV122" i="24" s="1"/>
  <c r="CW122" i="24"/>
  <c r="CX122" i="24" s="1"/>
  <c r="CL122" i="24"/>
  <c r="ES168" i="24"/>
  <c r="EV168" i="24" s="1"/>
  <c r="CL168" i="24"/>
  <c r="CU168" i="24"/>
  <c r="CW168" i="24"/>
  <c r="CX168" i="24" s="1"/>
  <c r="DQ168" i="24"/>
  <c r="CY168" i="24"/>
  <c r="CZ168" i="24" s="1"/>
  <c r="ES127" i="24"/>
  <c r="EV127" i="24" s="1"/>
  <c r="DQ127" i="24"/>
  <c r="CW127" i="24"/>
  <c r="CX127" i="24" s="1"/>
  <c r="CL127" i="24"/>
  <c r="CY127" i="24"/>
  <c r="CU127" i="24"/>
  <c r="CW266" i="24"/>
  <c r="CX266" i="24" s="1"/>
  <c r="CU266" i="24"/>
  <c r="CL266" i="24"/>
  <c r="DQ266" i="24"/>
  <c r="CY266" i="24"/>
  <c r="ES69" i="24"/>
  <c r="EV69" i="24" s="1"/>
  <c r="CW69" i="24"/>
  <c r="CX69" i="24" s="1"/>
  <c r="CL69" i="24"/>
  <c r="DQ69" i="24"/>
  <c r="CU69" i="24"/>
  <c r="CV69" i="24" s="1"/>
  <c r="CY69" i="24"/>
  <c r="CL140" i="24"/>
  <c r="ES140" i="24"/>
  <c r="EV140" i="24" s="1"/>
  <c r="DQ140" i="24"/>
  <c r="CW140" i="24"/>
  <c r="CX140" i="24" s="1"/>
  <c r="CY140" i="24"/>
  <c r="CU140" i="24"/>
  <c r="ES99" i="24"/>
  <c r="EV99" i="24" s="1"/>
  <c r="CW99" i="24"/>
  <c r="CX99" i="24" s="1"/>
  <c r="CY99" i="24"/>
  <c r="DQ99" i="24"/>
  <c r="CL99" i="24"/>
  <c r="CU99" i="24"/>
  <c r="CV99" i="24" s="1"/>
  <c r="DQ151" i="24"/>
  <c r="CL151" i="24"/>
  <c r="CW151" i="24"/>
  <c r="CX151" i="24" s="1"/>
  <c r="ES151" i="24"/>
  <c r="EV151" i="24" s="1"/>
  <c r="CY151" i="24"/>
  <c r="CU151" i="24"/>
  <c r="CY124" i="24"/>
  <c r="DQ124" i="24"/>
  <c r="ES124" i="24"/>
  <c r="EV124" i="24" s="1"/>
  <c r="CL124" i="24"/>
  <c r="CW124" i="24"/>
  <c r="CX124" i="24" s="1"/>
  <c r="CU124" i="24"/>
  <c r="DQ188" i="24"/>
  <c r="CY188" i="24"/>
  <c r="ES188" i="24"/>
  <c r="EV188" i="24" s="1"/>
  <c r="CU188" i="24"/>
  <c r="CL188" i="24"/>
  <c r="CW188" i="24"/>
  <c r="CX188" i="24" s="1"/>
  <c r="ES138" i="24"/>
  <c r="EV138" i="24" s="1"/>
  <c r="CL138" i="24"/>
  <c r="DQ138" i="24"/>
  <c r="CY138" i="24"/>
  <c r="CW138" i="24"/>
  <c r="CX138" i="24" s="1"/>
  <c r="CU138" i="24"/>
  <c r="CL310" i="24"/>
  <c r="CW310" i="24"/>
  <c r="CX310" i="24" s="1"/>
  <c r="CU310" i="24"/>
  <c r="CY310" i="24"/>
  <c r="DQ310" i="24"/>
  <c r="CL174" i="24"/>
  <c r="ES174" i="24"/>
  <c r="EV174" i="24" s="1"/>
  <c r="DQ174" i="24"/>
  <c r="CU174" i="24"/>
  <c r="CW174" i="24"/>
  <c r="CX174" i="24" s="1"/>
  <c r="CY174" i="24"/>
  <c r="ES114" i="24"/>
  <c r="EV114" i="24" s="1"/>
  <c r="CW114" i="24"/>
  <c r="CX114" i="24" s="1"/>
  <c r="DQ114" i="24"/>
  <c r="CL114" i="24"/>
  <c r="CY114" i="24"/>
  <c r="CU114" i="24"/>
  <c r="CL176" i="24"/>
  <c r="CU176" i="24"/>
  <c r="ES176" i="24"/>
  <c r="EV176" i="24" s="1"/>
  <c r="CW176" i="24"/>
  <c r="CX176" i="24" s="1"/>
  <c r="DQ176" i="24"/>
  <c r="CY176" i="24"/>
  <c r="ES201" i="24"/>
  <c r="EV201" i="24" s="1"/>
  <c r="DQ201" i="24"/>
  <c r="CW201" i="24"/>
  <c r="CX201" i="24" s="1"/>
  <c r="CU201" i="24"/>
  <c r="CL201" i="24"/>
  <c r="CY201" i="24"/>
  <c r="CZ201" i="24" s="1"/>
  <c r="CW271" i="24"/>
  <c r="CX271" i="24" s="1"/>
  <c r="CL271" i="24"/>
  <c r="DQ271" i="24"/>
  <c r="CY271" i="24"/>
  <c r="CU271" i="24"/>
  <c r="DQ237" i="24"/>
  <c r="CL237" i="24"/>
  <c r="CW237" i="24"/>
  <c r="CX237" i="24" s="1"/>
  <c r="CU237" i="24"/>
  <c r="CY237" i="24"/>
  <c r="DQ315" i="24"/>
  <c r="CL315" i="24"/>
  <c r="CW315" i="24"/>
  <c r="CX315" i="24" s="1"/>
  <c r="CY315" i="24"/>
  <c r="CU315" i="24"/>
  <c r="DQ239" i="24"/>
  <c r="CW239" i="24"/>
  <c r="CX239" i="24" s="1"/>
  <c r="CL239" i="24"/>
  <c r="CY239" i="24"/>
  <c r="CU239" i="24"/>
  <c r="DQ299" i="24"/>
  <c r="CL299" i="24"/>
  <c r="CY299" i="24"/>
  <c r="CZ299" i="24" s="1"/>
  <c r="CW299" i="24"/>
  <c r="CX299" i="24" s="1"/>
  <c r="CU299" i="24"/>
  <c r="CY225" i="24"/>
  <c r="CW225" i="24"/>
  <c r="CX225" i="24" s="1"/>
  <c r="CU225" i="24"/>
  <c r="DQ225" i="24"/>
  <c r="CL225" i="24"/>
  <c r="CW260" i="24"/>
  <c r="CX260" i="24" s="1"/>
  <c r="CU260" i="24"/>
  <c r="CL260" i="24"/>
  <c r="DQ260" i="24"/>
  <c r="CY260" i="24"/>
  <c r="CU223" i="24"/>
  <c r="CW223" i="24"/>
  <c r="CX223" i="24" s="1"/>
  <c r="CY223" i="24"/>
  <c r="DQ223" i="24"/>
  <c r="CL223" i="24"/>
  <c r="DQ290" i="24"/>
  <c r="CL290" i="24"/>
  <c r="CW290" i="24"/>
  <c r="CX290" i="24" s="1"/>
  <c r="CY290" i="24"/>
  <c r="CU290" i="24"/>
  <c r="ES196" i="24"/>
  <c r="EV196" i="24" s="1"/>
  <c r="CU196" i="24"/>
  <c r="CY196" i="24"/>
  <c r="DQ196" i="24"/>
  <c r="CW196" i="24"/>
  <c r="CX196" i="24" s="1"/>
  <c r="CL196" i="24"/>
  <c r="DQ246" i="24"/>
  <c r="CU246" i="24"/>
  <c r="CL246" i="24"/>
  <c r="CW246" i="24"/>
  <c r="CX246" i="24" s="1"/>
  <c r="CY246" i="24"/>
  <c r="CL313" i="24"/>
  <c r="DQ313" i="24"/>
  <c r="CY313" i="24"/>
  <c r="CW313" i="24"/>
  <c r="CX313" i="24" s="1"/>
  <c r="CU313" i="24"/>
  <c r="CL26" i="24"/>
  <c r="CW26" i="24"/>
  <c r="CX26" i="24" s="1"/>
  <c r="CY26" i="24"/>
  <c r="ES26" i="24"/>
  <c r="EV26" i="24" s="1"/>
  <c r="DQ26" i="24"/>
  <c r="CU26" i="24"/>
  <c r="CV26" i="24" s="1"/>
  <c r="DQ92" i="24"/>
  <c r="CL92" i="24"/>
  <c r="CW92" i="24"/>
  <c r="CX92" i="24" s="1"/>
  <c r="CY92" i="24"/>
  <c r="CU92" i="24"/>
  <c r="CV92" i="24" s="1"/>
  <c r="ES92" i="24"/>
  <c r="EV92" i="24" s="1"/>
  <c r="DQ59" i="24"/>
  <c r="ES59" i="24"/>
  <c r="EV59" i="24" s="1"/>
  <c r="CL59" i="24"/>
  <c r="CW59" i="24"/>
  <c r="CX59" i="24" s="1"/>
  <c r="CY59" i="24"/>
  <c r="CU59" i="24"/>
  <c r="CV59" i="24" s="1"/>
  <c r="CW77" i="24"/>
  <c r="CX77" i="24" s="1"/>
  <c r="ES77" i="24"/>
  <c r="EV77" i="24" s="1"/>
  <c r="CL77" i="24"/>
  <c r="CY77" i="24"/>
  <c r="DQ77" i="24"/>
  <c r="CU77" i="24"/>
  <c r="CV77" i="24" s="1"/>
  <c r="CY12" i="24"/>
  <c r="ES12" i="24"/>
  <c r="EV12" i="24" s="1"/>
  <c r="CW12" i="24"/>
  <c r="CX12" i="24" s="1"/>
  <c r="CU12" i="24"/>
  <c r="CV12" i="24" s="1"/>
  <c r="DQ12" i="24"/>
  <c r="CL12" i="24"/>
  <c r="ES96" i="24"/>
  <c r="EV96" i="24" s="1"/>
  <c r="CL96" i="24"/>
  <c r="DQ96" i="24"/>
  <c r="CW96" i="24"/>
  <c r="CX96" i="24" s="1"/>
  <c r="CU96" i="24"/>
  <c r="CV96" i="24" s="1"/>
  <c r="CY96" i="24"/>
  <c r="ES49" i="24"/>
  <c r="EV49" i="24" s="1"/>
  <c r="CL49" i="24"/>
  <c r="CW49" i="24"/>
  <c r="CX49" i="24" s="1"/>
  <c r="CY49" i="24"/>
  <c r="DQ49" i="24"/>
  <c r="CU49" i="24"/>
  <c r="CV49" i="24" s="1"/>
  <c r="ES79" i="24"/>
  <c r="EV79" i="24" s="1"/>
  <c r="CW79" i="24"/>
  <c r="CX79" i="24" s="1"/>
  <c r="CY79" i="24"/>
  <c r="DQ79" i="24"/>
  <c r="CU79" i="24"/>
  <c r="CV79" i="24" s="1"/>
  <c r="CL79" i="24"/>
  <c r="CW44" i="24"/>
  <c r="CX44" i="24" s="1"/>
  <c r="CL44" i="24"/>
  <c r="DQ44" i="24"/>
  <c r="ES44" i="24"/>
  <c r="EV44" i="24" s="1"/>
  <c r="CY44" i="24"/>
  <c r="CU44" i="24"/>
  <c r="CV44" i="24" s="1"/>
  <c r="ES130" i="24"/>
  <c r="EV130" i="24" s="1"/>
  <c r="DQ130" i="24"/>
  <c r="CL130" i="24"/>
  <c r="CU130" i="24"/>
  <c r="CW130" i="24"/>
  <c r="CX130" i="24" s="1"/>
  <c r="CY130" i="24"/>
  <c r="CU218" i="24"/>
  <c r="CW218" i="24"/>
  <c r="CX218" i="24" s="1"/>
  <c r="CL218" i="24"/>
  <c r="CY218" i="24"/>
  <c r="DQ218" i="24"/>
  <c r="ES145" i="24"/>
  <c r="EV145" i="24" s="1"/>
  <c r="CW145" i="24"/>
  <c r="CX145" i="24" s="1"/>
  <c r="DQ145" i="24"/>
  <c r="CL145" i="24"/>
  <c r="CU145" i="24"/>
  <c r="CY145" i="24"/>
  <c r="ES31" i="24"/>
  <c r="EV31" i="24" s="1"/>
  <c r="DQ31" i="24"/>
  <c r="CY31" i="24"/>
  <c r="CW31" i="24"/>
  <c r="CX31" i="24" s="1"/>
  <c r="CU31" i="24"/>
  <c r="CV31" i="24" s="1"/>
  <c r="CL31" i="24"/>
  <c r="DQ74" i="24"/>
  <c r="ES74" i="24"/>
  <c r="EV74" i="24" s="1"/>
  <c r="CL74" i="24"/>
  <c r="CW74" i="24"/>
  <c r="CX74" i="24" s="1"/>
  <c r="CU74" i="24"/>
  <c r="CV74" i="24" s="1"/>
  <c r="CY74" i="24"/>
  <c r="DQ142" i="24"/>
  <c r="CW142" i="24"/>
  <c r="CX142" i="24" s="1"/>
  <c r="CL142" i="24"/>
  <c r="ES142" i="24"/>
  <c r="EV142" i="24" s="1"/>
  <c r="CU142" i="24"/>
  <c r="CY142" i="24"/>
  <c r="ES117" i="24"/>
  <c r="EV117" i="24" s="1"/>
  <c r="DQ117" i="24"/>
  <c r="CL117" i="24"/>
  <c r="CW117" i="24"/>
  <c r="CX117" i="24" s="1"/>
  <c r="CU117" i="24"/>
  <c r="CY117" i="24"/>
  <c r="DQ158" i="24"/>
  <c r="CL158" i="24"/>
  <c r="ES158" i="24"/>
  <c r="EV158" i="24" s="1"/>
  <c r="CY158" i="24"/>
  <c r="CW158" i="24"/>
  <c r="CX158" i="24" s="1"/>
  <c r="CU158" i="24"/>
  <c r="CW128" i="24"/>
  <c r="CX128" i="24" s="1"/>
  <c r="ES128" i="24"/>
  <c r="EV128" i="24" s="1"/>
  <c r="DQ128" i="24"/>
  <c r="CU128" i="24"/>
  <c r="CY128" i="24"/>
  <c r="CL128" i="24"/>
  <c r="CW256" i="24"/>
  <c r="CX256" i="24" s="1"/>
  <c r="CU256" i="24"/>
  <c r="CY256" i="24"/>
  <c r="DQ256" i="24"/>
  <c r="CL256" i="24"/>
  <c r="ES141" i="24"/>
  <c r="EV141" i="24" s="1"/>
  <c r="CL141" i="24"/>
  <c r="DQ141" i="24"/>
  <c r="CW141" i="24"/>
  <c r="CX141" i="24" s="1"/>
  <c r="CY141" i="24"/>
  <c r="CU141" i="24"/>
  <c r="ES95" i="24"/>
  <c r="EV95" i="24" s="1"/>
  <c r="DQ95" i="24"/>
  <c r="CL95" i="24"/>
  <c r="CU95" i="24"/>
  <c r="CV95" i="24" s="1"/>
  <c r="CW95" i="24"/>
  <c r="CX95" i="24" s="1"/>
  <c r="CY95" i="24"/>
  <c r="DQ178" i="24"/>
  <c r="CL178" i="24"/>
  <c r="CW178" i="24"/>
  <c r="CX178" i="24" s="1"/>
  <c r="CY178" i="24"/>
  <c r="ES178" i="24"/>
  <c r="EV178" i="24" s="1"/>
  <c r="CU178" i="24"/>
  <c r="ES125" i="24"/>
  <c r="EV125" i="24" s="1"/>
  <c r="DQ125" i="24"/>
  <c r="CL125" i="24"/>
  <c r="CW125" i="24"/>
  <c r="CX125" i="24" s="1"/>
  <c r="CY125" i="24"/>
  <c r="CU125" i="24"/>
  <c r="ES180" i="24"/>
  <c r="EV180" i="24" s="1"/>
  <c r="DQ180" i="24"/>
  <c r="CU180" i="24"/>
  <c r="CL180" i="24"/>
  <c r="CY180" i="24"/>
  <c r="CW180" i="24"/>
  <c r="CX180" i="24" s="1"/>
  <c r="ES207" i="24"/>
  <c r="EV207" i="24" s="1"/>
  <c r="CL207" i="24"/>
  <c r="DQ207" i="24"/>
  <c r="CY207" i="24"/>
  <c r="CW207" i="24"/>
  <c r="CX207" i="24" s="1"/>
  <c r="CU207" i="24"/>
  <c r="DQ272" i="24"/>
  <c r="CW272" i="24"/>
  <c r="CX272" i="24" s="1"/>
  <c r="CL272" i="24"/>
  <c r="CY272" i="24"/>
  <c r="CU272" i="24"/>
  <c r="DQ249" i="24"/>
  <c r="CL249" i="24"/>
  <c r="CW249" i="24"/>
  <c r="CX249" i="24" s="1"/>
  <c r="CU249" i="24"/>
  <c r="CY249" i="24"/>
  <c r="DQ195" i="24"/>
  <c r="CW195" i="24"/>
  <c r="CX195" i="24" s="1"/>
  <c r="ES195" i="24"/>
  <c r="EV195" i="24" s="1"/>
  <c r="CY195" i="24"/>
  <c r="CL195" i="24"/>
  <c r="CU195" i="24"/>
  <c r="DQ257" i="24"/>
  <c r="CL257" i="24"/>
  <c r="CW257" i="24"/>
  <c r="CX257" i="24" s="1"/>
  <c r="CY257" i="24"/>
  <c r="CU257" i="24"/>
  <c r="DQ301" i="24"/>
  <c r="CL301" i="24"/>
  <c r="CW301" i="24"/>
  <c r="CX301" i="24" s="1"/>
  <c r="CY301" i="24"/>
  <c r="CU301" i="24"/>
  <c r="DQ229" i="24"/>
  <c r="CY229" i="24"/>
  <c r="CZ229" i="24" s="1"/>
  <c r="CL229" i="24"/>
  <c r="CW229" i="24"/>
  <c r="CX229" i="24" s="1"/>
  <c r="CU229" i="24"/>
  <c r="DQ268" i="24"/>
  <c r="CL268" i="24"/>
  <c r="CW268" i="24"/>
  <c r="CX268" i="24" s="1"/>
  <c r="CY268" i="24"/>
  <c r="CU268" i="24"/>
  <c r="CY227" i="24"/>
  <c r="CZ227" i="24" s="1"/>
  <c r="CL227" i="24"/>
  <c r="DQ227" i="24"/>
  <c r="CW227" i="24"/>
  <c r="CX227" i="24" s="1"/>
  <c r="CU227" i="24"/>
  <c r="CY295" i="24"/>
  <c r="CW295" i="24"/>
  <c r="CX295" i="24" s="1"/>
  <c r="CL295" i="24"/>
  <c r="DQ295" i="24"/>
  <c r="CU295" i="24"/>
  <c r="ES198" i="24"/>
  <c r="EV198" i="24" s="1"/>
  <c r="CL198" i="24"/>
  <c r="CY198" i="24"/>
  <c r="DQ198" i="24"/>
  <c r="CW198" i="24"/>
  <c r="CX198" i="24" s="1"/>
  <c r="CU198" i="24"/>
  <c r="DQ251" i="24"/>
  <c r="CY251" i="24"/>
  <c r="CL251" i="24"/>
  <c r="CW251" i="24"/>
  <c r="CX251" i="24" s="1"/>
  <c r="CU251" i="24"/>
  <c r="DQ316" i="24"/>
  <c r="CY316" i="24"/>
  <c r="CL316" i="24"/>
  <c r="CW316" i="24"/>
  <c r="CX316" i="24" s="1"/>
  <c r="CU316" i="24"/>
  <c r="CL28" i="24"/>
  <c r="CU28" i="24"/>
  <c r="CV28" i="24" s="1"/>
  <c r="DQ28" i="24"/>
  <c r="CW28" i="24"/>
  <c r="CX28" i="24" s="1"/>
  <c r="CY28" i="24"/>
  <c r="CZ28" i="24" s="1"/>
  <c r="ES28" i="24"/>
  <c r="EV28" i="24" s="1"/>
  <c r="CL94" i="24"/>
  <c r="CY94" i="24"/>
  <c r="CW94" i="24"/>
  <c r="CX94" i="24" s="1"/>
  <c r="ES94" i="24"/>
  <c r="EV94" i="24" s="1"/>
  <c r="DQ94" i="24"/>
  <c r="CU94" i="24"/>
  <c r="CV94" i="24" s="1"/>
  <c r="CL61" i="24"/>
  <c r="CY61" i="24"/>
  <c r="CW61" i="24"/>
  <c r="CX61" i="24" s="1"/>
  <c r="DQ61" i="24"/>
  <c r="ES61" i="24"/>
  <c r="EV61" i="24" s="1"/>
  <c r="CU61" i="24"/>
  <c r="CV61" i="24" s="1"/>
  <c r="CL35" i="24"/>
  <c r="ES35" i="24"/>
  <c r="EV35" i="24" s="1"/>
  <c r="DQ35" i="24"/>
  <c r="CU35" i="24"/>
  <c r="CV35" i="24" s="1"/>
  <c r="CY35" i="24"/>
  <c r="CW35" i="24"/>
  <c r="CX35" i="24" s="1"/>
  <c r="ES23" i="24"/>
  <c r="EV23" i="24" s="1"/>
  <c r="DQ23" i="24"/>
  <c r="CY23" i="24"/>
  <c r="CW23" i="24"/>
  <c r="CX23" i="24" s="1"/>
  <c r="CL23" i="24"/>
  <c r="CU23" i="24"/>
  <c r="CV23" i="24" s="1"/>
  <c r="ES13" i="24"/>
  <c r="EV13" i="24" s="1"/>
  <c r="CL13" i="24"/>
  <c r="CW13" i="24"/>
  <c r="CX13" i="24" s="1"/>
  <c r="CY13" i="24"/>
  <c r="CU13" i="24"/>
  <c r="CV13" i="24" s="1"/>
  <c r="DQ13" i="24"/>
  <c r="CU51" i="24"/>
  <c r="CV51" i="24" s="1"/>
  <c r="CY51" i="24"/>
  <c r="CW51" i="24"/>
  <c r="CX51" i="24" s="1"/>
  <c r="CL51" i="24"/>
  <c r="ES51" i="24"/>
  <c r="EV51" i="24" s="1"/>
  <c r="DQ51" i="24"/>
  <c r="CL85" i="24"/>
  <c r="CW85" i="24"/>
  <c r="CX85" i="24" s="1"/>
  <c r="ES85" i="24"/>
  <c r="EV85" i="24" s="1"/>
  <c r="DQ85" i="24"/>
  <c r="CY85" i="24"/>
  <c r="CU85" i="24"/>
  <c r="CV85" i="24" s="1"/>
  <c r="CU63" i="24"/>
  <c r="CV63" i="24" s="1"/>
  <c r="DQ63" i="24"/>
  <c r="CW63" i="24"/>
  <c r="CX63" i="24" s="1"/>
  <c r="CL63" i="24"/>
  <c r="ES63" i="24"/>
  <c r="EV63" i="24" s="1"/>
  <c r="CY63" i="24"/>
  <c r="ES137" i="24"/>
  <c r="EV137" i="24" s="1"/>
  <c r="CW137" i="24"/>
  <c r="CX137" i="24" s="1"/>
  <c r="CL137" i="24"/>
  <c r="DQ137" i="24"/>
  <c r="CY137" i="24"/>
  <c r="CU137" i="24"/>
  <c r="DQ68" i="24"/>
  <c r="CL68" i="24"/>
  <c r="CW68" i="24"/>
  <c r="CX68" i="24" s="1"/>
  <c r="CU68" i="24"/>
  <c r="CV68" i="24" s="1"/>
  <c r="ES68" i="24"/>
  <c r="EV68" i="24" s="1"/>
  <c r="CY68" i="24"/>
  <c r="DQ159" i="24"/>
  <c r="CW159" i="24"/>
  <c r="CX159" i="24" s="1"/>
  <c r="CY159" i="24"/>
  <c r="CU159" i="24"/>
  <c r="ES159" i="24"/>
  <c r="EV159" i="24" s="1"/>
  <c r="CL159" i="24"/>
  <c r="ES32" i="24"/>
  <c r="EV32" i="24" s="1"/>
  <c r="CL32" i="24"/>
  <c r="DQ32" i="24"/>
  <c r="CW32" i="24"/>
  <c r="CX32" i="24" s="1"/>
  <c r="CY32" i="24"/>
  <c r="CU32" i="24"/>
  <c r="CV32" i="24" s="1"/>
  <c r="DQ78" i="24"/>
  <c r="CW78" i="24"/>
  <c r="CX78" i="24" s="1"/>
  <c r="CU78" i="24"/>
  <c r="CV78" i="24" s="1"/>
  <c r="CL78" i="24"/>
  <c r="ES78" i="24"/>
  <c r="EV78" i="24" s="1"/>
  <c r="CY78" i="24"/>
  <c r="ES144" i="24"/>
  <c r="EV144" i="24" s="1"/>
  <c r="CW144" i="24"/>
  <c r="CX144" i="24" s="1"/>
  <c r="CL144" i="24"/>
  <c r="CU144" i="24"/>
  <c r="DQ144" i="24"/>
  <c r="CY144" i="24"/>
  <c r="DQ121" i="24"/>
  <c r="ES121" i="24"/>
  <c r="EV121" i="24" s="1"/>
  <c r="CU121" i="24"/>
  <c r="CY121" i="24"/>
  <c r="CW121" i="24"/>
  <c r="CX121" i="24" s="1"/>
  <c r="CL121" i="24"/>
  <c r="ES165" i="24"/>
  <c r="EV165" i="24" s="1"/>
  <c r="CU165" i="24"/>
  <c r="CY165" i="24"/>
  <c r="CL165" i="24"/>
  <c r="CW165" i="24"/>
  <c r="CX165" i="24" s="1"/>
  <c r="DQ165" i="24"/>
  <c r="CL135" i="24"/>
  <c r="ES135" i="24"/>
  <c r="EV135" i="24" s="1"/>
  <c r="DQ135" i="24"/>
  <c r="CY135" i="24"/>
  <c r="CW135" i="24"/>
  <c r="CX135" i="24" s="1"/>
  <c r="CU135" i="24"/>
  <c r="DQ100" i="24"/>
  <c r="CL100" i="24"/>
  <c r="ES100" i="24"/>
  <c r="EV100" i="24" s="1"/>
  <c r="CU100" i="24"/>
  <c r="CV100" i="24" s="1"/>
  <c r="CY100" i="24"/>
  <c r="CW100" i="24"/>
  <c r="CX100" i="24" s="1"/>
  <c r="CL160" i="24"/>
  <c r="ES160" i="24"/>
  <c r="EV160" i="24" s="1"/>
  <c r="CU160" i="24"/>
  <c r="DQ160" i="24"/>
  <c r="CW160" i="24"/>
  <c r="CX160" i="24" s="1"/>
  <c r="CY160" i="24"/>
  <c r="CY101" i="24"/>
  <c r="CU101" i="24"/>
  <c r="CV101" i="24" s="1"/>
  <c r="DQ101" i="24"/>
  <c r="ES101" i="24"/>
  <c r="EV101" i="24" s="1"/>
  <c r="CL101" i="24"/>
  <c r="CW101" i="24"/>
  <c r="CX101" i="24" s="1"/>
  <c r="DQ184" i="24"/>
  <c r="ES184" i="24"/>
  <c r="EV184" i="24" s="1"/>
  <c r="CL184" i="24"/>
  <c r="CU184" i="24"/>
  <c r="CW184" i="24"/>
  <c r="CX184" i="24" s="1"/>
  <c r="CY184" i="24"/>
  <c r="CZ184" i="24" s="1"/>
  <c r="CU131" i="24"/>
  <c r="CL131" i="24"/>
  <c r="CY131" i="24"/>
  <c r="DQ131" i="24"/>
  <c r="ES131" i="24"/>
  <c r="EV131" i="24" s="1"/>
  <c r="CW131" i="24"/>
  <c r="CX131" i="24" s="1"/>
  <c r="DQ181" i="24"/>
  <c r="CW181" i="24"/>
  <c r="CX181" i="24" s="1"/>
  <c r="CY181" i="24"/>
  <c r="ES181" i="24"/>
  <c r="EV181" i="24" s="1"/>
  <c r="CL181" i="24"/>
  <c r="CU181" i="24"/>
  <c r="CL220" i="24"/>
  <c r="DQ220" i="24"/>
  <c r="CY220" i="24"/>
  <c r="CW220" i="24"/>
  <c r="CX220" i="24" s="1"/>
  <c r="CU220" i="24"/>
  <c r="DQ288" i="24"/>
  <c r="CY288" i="24"/>
  <c r="CL288" i="24"/>
  <c r="CU288" i="24"/>
  <c r="CW288" i="24"/>
  <c r="CX288" i="24" s="1"/>
  <c r="CY270" i="24"/>
  <c r="DQ270" i="24"/>
  <c r="CL270" i="24"/>
  <c r="CU270" i="24"/>
  <c r="CW270" i="24"/>
  <c r="CX270" i="24" s="1"/>
  <c r="CL197" i="24"/>
  <c r="CW197" i="24"/>
  <c r="CX197" i="24" s="1"/>
  <c r="ES197" i="24"/>
  <c r="EV197" i="24" s="1"/>
  <c r="DQ197" i="24"/>
  <c r="CY197" i="24"/>
  <c r="CU197" i="24"/>
  <c r="CW261" i="24"/>
  <c r="CX261" i="24" s="1"/>
  <c r="CY261" i="24"/>
  <c r="CZ261" i="24" s="1"/>
  <c r="DQ261" i="24"/>
  <c r="CL261" i="24"/>
  <c r="CU261" i="24"/>
  <c r="CW303" i="24"/>
  <c r="CX303" i="24" s="1"/>
  <c r="DQ303" i="24"/>
  <c r="CL303" i="24"/>
  <c r="CY303" i="24"/>
  <c r="CU303" i="24"/>
  <c r="CL231" i="24"/>
  <c r="CU231" i="24"/>
  <c r="CY231" i="24"/>
  <c r="DQ231" i="24"/>
  <c r="CW231" i="24"/>
  <c r="CX231" i="24" s="1"/>
  <c r="CL273" i="24"/>
  <c r="CW273" i="24"/>
  <c r="CX273" i="24" s="1"/>
  <c r="DQ273" i="24"/>
  <c r="CY273" i="24"/>
  <c r="CU273" i="24"/>
  <c r="CL247" i="24"/>
  <c r="DQ247" i="24"/>
  <c r="CW247" i="24"/>
  <c r="CX247" i="24" s="1"/>
  <c r="CY247" i="24"/>
  <c r="CU247" i="24"/>
  <c r="CL304" i="24"/>
  <c r="DQ304" i="24"/>
  <c r="CW304" i="24"/>
  <c r="CX304" i="24" s="1"/>
  <c r="CY304" i="24"/>
  <c r="CU304" i="24"/>
  <c r="DQ199" i="24"/>
  <c r="CW199" i="24"/>
  <c r="CX199" i="24" s="1"/>
  <c r="CL199" i="24"/>
  <c r="ES199" i="24"/>
  <c r="EV199" i="24" s="1"/>
  <c r="CY199" i="24"/>
  <c r="CU199" i="24"/>
  <c r="CW252" i="24"/>
  <c r="CX252" i="24" s="1"/>
  <c r="CL252" i="24"/>
  <c r="CU252" i="24"/>
  <c r="DQ252" i="24"/>
  <c r="CY252" i="24"/>
  <c r="CL269" i="24"/>
  <c r="DQ269" i="24"/>
  <c r="CW269" i="24"/>
  <c r="CX269" i="24" s="1"/>
  <c r="CU269" i="24"/>
  <c r="CY269" i="24"/>
  <c r="ES46" i="24"/>
  <c r="EV46" i="24" s="1"/>
  <c r="DQ46" i="24"/>
  <c r="CU46" i="24"/>
  <c r="CV46" i="24" s="1"/>
  <c r="CW46" i="24"/>
  <c r="CX46" i="24" s="1"/>
  <c r="CL46" i="24"/>
  <c r="CY46" i="24"/>
  <c r="CL16" i="24"/>
  <c r="ES16" i="24"/>
  <c r="EV16" i="24" s="1"/>
  <c r="DQ16" i="24"/>
  <c r="CW16" i="24"/>
  <c r="CX16" i="24" s="1"/>
  <c r="CY16" i="24"/>
  <c r="CU16" i="24"/>
  <c r="CV16" i="24" s="1"/>
  <c r="ES65" i="24"/>
  <c r="EV65" i="24" s="1"/>
  <c r="DQ65" i="24"/>
  <c r="CY65" i="24"/>
  <c r="CZ65" i="24" s="1"/>
  <c r="CL65" i="24"/>
  <c r="CW65" i="24"/>
  <c r="CX65" i="24" s="1"/>
  <c r="CU65" i="24"/>
  <c r="CV65" i="24" s="1"/>
  <c r="CL24" i="24"/>
  <c r="ES24" i="24"/>
  <c r="EV24" i="24" s="1"/>
  <c r="DQ24" i="24"/>
  <c r="CW24" i="24"/>
  <c r="CX24" i="24" s="1"/>
  <c r="CY24" i="24"/>
  <c r="CU24" i="24"/>
  <c r="CV24" i="24" s="1"/>
  <c r="DQ25" i="24"/>
  <c r="ES25" i="24"/>
  <c r="EV25" i="24" s="1"/>
  <c r="CW25" i="24"/>
  <c r="CX25" i="24" s="1"/>
  <c r="CL25" i="24"/>
  <c r="CY25" i="24"/>
  <c r="CU25" i="24"/>
  <c r="CV25" i="24" s="1"/>
  <c r="CL8" i="24"/>
  <c r="ES8" i="24"/>
  <c r="EV8" i="24" s="1"/>
  <c r="DQ8" i="24"/>
  <c r="CW8" i="24"/>
  <c r="CX8" i="24" s="1"/>
  <c r="CY8" i="24"/>
  <c r="CU8" i="24"/>
  <c r="CV8" i="24" s="1"/>
  <c r="DQ54" i="24"/>
  <c r="CY54" i="24"/>
  <c r="CL54" i="24"/>
  <c r="CU54" i="24"/>
  <c r="CV54" i="24" s="1"/>
  <c r="ES54" i="24"/>
  <c r="EV54" i="24" s="1"/>
  <c r="CW54" i="24"/>
  <c r="CX54" i="24" s="1"/>
  <c r="CL90" i="24"/>
  <c r="CW90" i="24"/>
  <c r="CX90" i="24" s="1"/>
  <c r="ES90" i="24"/>
  <c r="EV90" i="24" s="1"/>
  <c r="DQ90" i="24"/>
  <c r="CU90" i="24"/>
  <c r="CV90" i="24" s="1"/>
  <c r="CY90" i="24"/>
  <c r="DQ93" i="24"/>
  <c r="ES93" i="24"/>
  <c r="EV93" i="24" s="1"/>
  <c r="CY93" i="24"/>
  <c r="CL93" i="24"/>
  <c r="CW93" i="24"/>
  <c r="CX93" i="24" s="1"/>
  <c r="CU93" i="24"/>
  <c r="CV93" i="24" s="1"/>
  <c r="DQ149" i="24"/>
  <c r="CY149" i="24"/>
  <c r="CU149" i="24"/>
  <c r="CW149" i="24"/>
  <c r="CX149" i="24" s="1"/>
  <c r="ES149" i="24"/>
  <c r="EV149" i="24" s="1"/>
  <c r="CL149" i="24"/>
  <c r="CL76" i="24"/>
  <c r="ES76" i="24"/>
  <c r="EV76" i="24" s="1"/>
  <c r="CY76" i="24"/>
  <c r="CZ76" i="24" s="1"/>
  <c r="CW76" i="24"/>
  <c r="CX76" i="24" s="1"/>
  <c r="DQ76" i="24"/>
  <c r="CU76" i="24"/>
  <c r="CV76" i="24" s="1"/>
  <c r="DQ163" i="24"/>
  <c r="ES163" i="24"/>
  <c r="EV163" i="24" s="1"/>
  <c r="CL163" i="24"/>
  <c r="CW163" i="24"/>
  <c r="CX163" i="24" s="1"/>
  <c r="CY163" i="24"/>
  <c r="CZ163" i="24" s="1"/>
  <c r="CU163" i="24"/>
  <c r="ES33" i="24"/>
  <c r="EV33" i="24" s="1"/>
  <c r="DQ33" i="24"/>
  <c r="CY33" i="24"/>
  <c r="CL33" i="24"/>
  <c r="CW33" i="24"/>
  <c r="CX33" i="24" s="1"/>
  <c r="CU33" i="24"/>
  <c r="CV33" i="24" s="1"/>
  <c r="DQ80" i="24"/>
  <c r="CW80" i="24"/>
  <c r="CX80" i="24" s="1"/>
  <c r="ES80" i="24"/>
  <c r="EV80" i="24" s="1"/>
  <c r="CU80" i="24"/>
  <c r="CV80" i="24" s="1"/>
  <c r="CL80" i="24"/>
  <c r="CY80" i="24"/>
  <c r="ES155" i="24"/>
  <c r="EV155" i="24" s="1"/>
  <c r="DQ155" i="24"/>
  <c r="CL155" i="24"/>
  <c r="CW155" i="24"/>
  <c r="CX155" i="24" s="1"/>
  <c r="CY155" i="24"/>
  <c r="CU155" i="24"/>
  <c r="DQ126" i="24"/>
  <c r="CW126" i="24"/>
  <c r="CX126" i="24" s="1"/>
  <c r="CL126" i="24"/>
  <c r="ES126" i="24"/>
  <c r="EV126" i="24" s="1"/>
  <c r="CU126" i="24"/>
  <c r="CY126" i="24"/>
  <c r="CW173" i="24"/>
  <c r="CX173" i="24" s="1"/>
  <c r="CL173" i="24"/>
  <c r="ES173" i="24"/>
  <c r="EV173" i="24" s="1"/>
  <c r="DQ173" i="24"/>
  <c r="CY173" i="24"/>
  <c r="CU173" i="24"/>
  <c r="CY147" i="24"/>
  <c r="CU147" i="24"/>
  <c r="DQ147" i="24"/>
  <c r="CW147" i="24"/>
  <c r="CX147" i="24" s="1"/>
  <c r="ES147" i="24"/>
  <c r="EV147" i="24" s="1"/>
  <c r="CL147" i="24"/>
  <c r="ES102" i="24"/>
  <c r="EV102" i="24" s="1"/>
  <c r="CL102" i="24"/>
  <c r="DQ102" i="24"/>
  <c r="CW102" i="24"/>
  <c r="CX102" i="24" s="1"/>
  <c r="CY102" i="24"/>
  <c r="CU102" i="24"/>
  <c r="CV102" i="24" s="1"/>
  <c r="DQ169" i="24"/>
  <c r="CW169" i="24"/>
  <c r="CX169" i="24" s="1"/>
  <c r="CL169" i="24"/>
  <c r="ES169" i="24"/>
  <c r="EV169" i="24" s="1"/>
  <c r="CY169" i="24"/>
  <c r="CU169" i="24"/>
  <c r="CL105" i="24"/>
  <c r="ES105" i="24"/>
  <c r="EV105" i="24" s="1"/>
  <c r="DQ105" i="24"/>
  <c r="CW105" i="24"/>
  <c r="CX105" i="24" s="1"/>
  <c r="CY105" i="24"/>
  <c r="CU105" i="24"/>
  <c r="CV105" i="24" s="1"/>
  <c r="DQ186" i="24"/>
  <c r="CW186" i="24"/>
  <c r="CX186" i="24" s="1"/>
  <c r="CL186" i="24"/>
  <c r="ES186" i="24"/>
  <c r="EV186" i="24" s="1"/>
  <c r="CY186" i="24"/>
  <c r="CU186" i="24"/>
  <c r="DQ134" i="24"/>
  <c r="CL134" i="24"/>
  <c r="CW134" i="24"/>
  <c r="CX134" i="24" s="1"/>
  <c r="CY134" i="24"/>
  <c r="ES134" i="24"/>
  <c r="EV134" i="24" s="1"/>
  <c r="CU134" i="24"/>
  <c r="ES183" i="24"/>
  <c r="EV183" i="24" s="1"/>
  <c r="DQ183" i="24"/>
  <c r="CY183" i="24"/>
  <c r="CL183" i="24"/>
  <c r="CW183" i="24"/>
  <c r="CX183" i="24" s="1"/>
  <c r="CU183" i="24"/>
  <c r="DQ230" i="24"/>
  <c r="CW230" i="24"/>
  <c r="CX230" i="24" s="1"/>
  <c r="CL230" i="24"/>
  <c r="CY230" i="24"/>
  <c r="CU230" i="24"/>
  <c r="DQ312" i="24"/>
  <c r="CL312" i="24"/>
  <c r="CY312" i="24"/>
  <c r="CW312" i="24"/>
  <c r="CX312" i="24" s="1"/>
  <c r="CU312" i="24"/>
  <c r="CL275" i="24"/>
  <c r="DQ275" i="24"/>
  <c r="CW275" i="24"/>
  <c r="CX275" i="24" s="1"/>
  <c r="CU275" i="24"/>
  <c r="CY275" i="24"/>
  <c r="ES210" i="24"/>
  <c r="EV210" i="24" s="1"/>
  <c r="CW210" i="24"/>
  <c r="CX210" i="24" s="1"/>
  <c r="CY210" i="24"/>
  <c r="CU210" i="24"/>
  <c r="CL210" i="24"/>
  <c r="DQ210" i="24"/>
  <c r="DQ265" i="24"/>
  <c r="CL265" i="24"/>
  <c r="CU265" i="24"/>
  <c r="CW265" i="24"/>
  <c r="CX265" i="24" s="1"/>
  <c r="CY265" i="24"/>
  <c r="DQ305" i="24"/>
  <c r="CW305" i="24"/>
  <c r="CX305" i="24" s="1"/>
  <c r="CY305" i="24"/>
  <c r="CZ305" i="24" s="1"/>
  <c r="CL305" i="24"/>
  <c r="CU305" i="24"/>
  <c r="DQ241" i="24"/>
  <c r="CW241" i="24"/>
  <c r="CX241" i="24" s="1"/>
  <c r="CL241" i="24"/>
  <c r="CU241" i="24"/>
  <c r="CY241" i="24"/>
  <c r="CL292" i="24"/>
  <c r="DQ292" i="24"/>
  <c r="CY292" i="24"/>
  <c r="CW292" i="24"/>
  <c r="CX292" i="24" s="1"/>
  <c r="CU292" i="24"/>
  <c r="CY248" i="24"/>
  <c r="CZ248" i="24" s="1"/>
  <c r="DQ248" i="24"/>
  <c r="CU248" i="24"/>
  <c r="CW248" i="24"/>
  <c r="CX248" i="24" s="1"/>
  <c r="CL248" i="24"/>
  <c r="CL308" i="24"/>
  <c r="DQ308" i="24"/>
  <c r="CU308" i="24"/>
  <c r="CY308" i="24"/>
  <c r="CW308" i="24"/>
  <c r="CX308" i="24" s="1"/>
  <c r="ES202" i="24"/>
  <c r="EV202" i="24" s="1"/>
  <c r="DQ202" i="24"/>
  <c r="CW202" i="24"/>
  <c r="CX202" i="24" s="1"/>
  <c r="CL202" i="24"/>
  <c r="CU202" i="24"/>
  <c r="CY202" i="24"/>
  <c r="CZ202" i="24" s="1"/>
  <c r="DQ254" i="24"/>
  <c r="CW254" i="24"/>
  <c r="CX254" i="24" s="1"/>
  <c r="CL254" i="24"/>
  <c r="CY254" i="24"/>
  <c r="CU254" i="24"/>
  <c r="CU274" i="24"/>
  <c r="CL274" i="24"/>
  <c r="CW274" i="24"/>
  <c r="CX274" i="24" s="1"/>
  <c r="DQ274" i="24"/>
  <c r="CY274" i="24"/>
  <c r="ES22" i="24"/>
  <c r="EV22" i="24" s="1"/>
  <c r="DQ22" i="24"/>
  <c r="CW22" i="24"/>
  <c r="CX22" i="24" s="1"/>
  <c r="CY22" i="24"/>
  <c r="CU22" i="24"/>
  <c r="CV22" i="24" s="1"/>
  <c r="CL22" i="24"/>
  <c r="ES50" i="24"/>
  <c r="EV50" i="24" s="1"/>
  <c r="CL50" i="24"/>
  <c r="CU50" i="24"/>
  <c r="CV50" i="24" s="1"/>
  <c r="CW50" i="24"/>
  <c r="CX50" i="24" s="1"/>
  <c r="DQ50" i="24"/>
  <c r="CY50" i="24"/>
  <c r="CZ50" i="24" s="1"/>
  <c r="CW48" i="24"/>
  <c r="CX48" i="24" s="1"/>
  <c r="DQ48" i="24"/>
  <c r="ES48" i="24"/>
  <c r="EV48" i="24" s="1"/>
  <c r="CL48" i="24"/>
  <c r="CY48" i="24"/>
  <c r="CU48" i="24"/>
  <c r="CV48" i="24" s="1"/>
  <c r="DQ67" i="24"/>
  <c r="ES67" i="24"/>
  <c r="EV67" i="24" s="1"/>
  <c r="CL67" i="24"/>
  <c r="CW67" i="24"/>
  <c r="CX67" i="24" s="1"/>
  <c r="CY67" i="24"/>
  <c r="CU67" i="24"/>
  <c r="CV67" i="24" s="1"/>
  <c r="CL27" i="24"/>
  <c r="CU27" i="24"/>
  <c r="CV27" i="24" s="1"/>
  <c r="CW27" i="24"/>
  <c r="CX27" i="24" s="1"/>
  <c r="DQ27" i="24"/>
  <c r="ES27" i="24"/>
  <c r="EV27" i="24" s="1"/>
  <c r="CY27" i="24"/>
  <c r="CL55" i="24"/>
  <c r="CW55" i="24"/>
  <c r="CX55" i="24" s="1"/>
  <c r="ES55" i="24"/>
  <c r="EV55" i="24" s="1"/>
  <c r="CY55" i="24"/>
  <c r="DQ55" i="24"/>
  <c r="CU55" i="24"/>
  <c r="CV55" i="24" s="1"/>
  <c r="CU19" i="24"/>
  <c r="CV19" i="24" s="1"/>
  <c r="CL19" i="24"/>
  <c r="CY19" i="24"/>
  <c r="ES19" i="24"/>
  <c r="EV19" i="24" s="1"/>
  <c r="DQ19" i="24"/>
  <c r="CW19" i="24"/>
  <c r="CX19" i="24" s="1"/>
  <c r="CL56" i="24"/>
  <c r="ES56" i="24"/>
  <c r="EV56" i="24" s="1"/>
  <c r="CY56" i="24"/>
  <c r="CW56" i="24"/>
  <c r="CX56" i="24" s="1"/>
  <c r="DQ56" i="24"/>
  <c r="CU56" i="24"/>
  <c r="CV56" i="24" s="1"/>
  <c r="ES7" i="24"/>
  <c r="EV7" i="24" s="1"/>
  <c r="CL7" i="24"/>
  <c r="DQ7" i="24"/>
  <c r="CW7" i="24"/>
  <c r="CX7" i="24" s="1"/>
  <c r="CY7" i="24"/>
  <c r="CU7" i="24"/>
  <c r="CV7" i="24" s="1"/>
  <c r="DQ97" i="24"/>
  <c r="CL97" i="24"/>
  <c r="ES97" i="24"/>
  <c r="EV97" i="24" s="1"/>
  <c r="CW97" i="24"/>
  <c r="CX97" i="24" s="1"/>
  <c r="CY97" i="24"/>
  <c r="CU97" i="24"/>
  <c r="CV97" i="24" s="1"/>
  <c r="ES152" i="24"/>
  <c r="EV152" i="24" s="1"/>
  <c r="CU152" i="24"/>
  <c r="CY152" i="24"/>
  <c r="CW152" i="24"/>
  <c r="CX152" i="24" s="1"/>
  <c r="CL152" i="24"/>
  <c r="DQ152" i="24"/>
  <c r="ES88" i="24"/>
  <c r="EV88" i="24" s="1"/>
  <c r="CU88" i="24"/>
  <c r="CV88" i="24" s="1"/>
  <c r="CL88" i="24"/>
  <c r="CW88" i="24"/>
  <c r="CX88" i="24" s="1"/>
  <c r="DQ88" i="24"/>
  <c r="CY88" i="24"/>
  <c r="DQ170" i="24"/>
  <c r="CL170" i="24"/>
  <c r="CW170" i="24"/>
  <c r="CX170" i="24" s="1"/>
  <c r="CU170" i="24"/>
  <c r="ES170" i="24"/>
  <c r="EV170" i="24" s="1"/>
  <c r="CY170" i="24"/>
  <c r="ES37" i="24"/>
  <c r="EV37" i="24" s="1"/>
  <c r="CL37" i="24"/>
  <c r="CY37" i="24"/>
  <c r="CW37" i="24"/>
  <c r="CX37" i="24" s="1"/>
  <c r="DQ37" i="24"/>
  <c r="CU37" i="24"/>
  <c r="CV37" i="24" s="1"/>
  <c r="ES82" i="24"/>
  <c r="EV82" i="24" s="1"/>
  <c r="DQ82" i="24"/>
  <c r="CL82" i="24"/>
  <c r="CY82" i="24"/>
  <c r="CW82" i="24"/>
  <c r="CX82" i="24" s="1"/>
  <c r="CU82" i="24"/>
  <c r="CV82" i="24" s="1"/>
  <c r="ES166" i="24"/>
  <c r="EV166" i="24" s="1"/>
  <c r="DQ166" i="24"/>
  <c r="CL166" i="24"/>
  <c r="CW166" i="24"/>
  <c r="CX166" i="24" s="1"/>
  <c r="CY166" i="24"/>
  <c r="CU166" i="24"/>
  <c r="DQ129" i="24"/>
  <c r="CW129" i="24"/>
  <c r="CX129" i="24" s="1"/>
  <c r="CL129" i="24"/>
  <c r="ES129" i="24"/>
  <c r="EV129" i="24" s="1"/>
  <c r="CU129" i="24"/>
  <c r="CY129" i="24"/>
  <c r="ES182" i="24"/>
  <c r="EV182" i="24" s="1"/>
  <c r="DQ182" i="24"/>
  <c r="CL182" i="24"/>
  <c r="CW182" i="24"/>
  <c r="CX182" i="24" s="1"/>
  <c r="CU182" i="24"/>
  <c r="CY182" i="24"/>
  <c r="DQ154" i="24"/>
  <c r="CL154" i="24"/>
  <c r="CW154" i="24"/>
  <c r="CX154" i="24" s="1"/>
  <c r="CY154" i="24"/>
  <c r="ES154" i="24"/>
  <c r="EV154" i="24" s="1"/>
  <c r="CU154" i="24"/>
  <c r="ES104" i="24"/>
  <c r="EV104" i="24" s="1"/>
  <c r="DQ104" i="24"/>
  <c r="CW104" i="24"/>
  <c r="CX104" i="24" s="1"/>
  <c r="CY104" i="24"/>
  <c r="CL104" i="24"/>
  <c r="CU104" i="24"/>
  <c r="CV104" i="24" s="1"/>
  <c r="CY175" i="24"/>
  <c r="DQ175" i="24"/>
  <c r="CW175" i="24"/>
  <c r="CX175" i="24" s="1"/>
  <c r="ES175" i="24"/>
  <c r="EV175" i="24" s="1"/>
  <c r="CL175" i="24"/>
  <c r="CU175" i="24"/>
  <c r="DQ112" i="24"/>
  <c r="CW112" i="24"/>
  <c r="CX112" i="24" s="1"/>
  <c r="ES112" i="24"/>
  <c r="EV112" i="24" s="1"/>
  <c r="CL112" i="24"/>
  <c r="CY112" i="24"/>
  <c r="CU112" i="24"/>
  <c r="DQ228" i="24"/>
  <c r="CL228" i="24"/>
  <c r="CW228" i="24"/>
  <c r="CX228" i="24" s="1"/>
  <c r="CY228" i="24"/>
  <c r="CU228" i="24"/>
  <c r="DQ143" i="24"/>
  <c r="CL143" i="24"/>
  <c r="CW143" i="24"/>
  <c r="CX143" i="24" s="1"/>
  <c r="ES143" i="24"/>
  <c r="EV143" i="24" s="1"/>
  <c r="CU143" i="24"/>
  <c r="CY143" i="24"/>
  <c r="DQ243" i="24"/>
  <c r="CW243" i="24"/>
  <c r="CX243" i="24" s="1"/>
  <c r="CL243" i="24"/>
  <c r="CU243" i="24"/>
  <c r="CY243" i="24"/>
  <c r="DQ235" i="24"/>
  <c r="CL235" i="24"/>
  <c r="CY235" i="24"/>
  <c r="CW235" i="24"/>
  <c r="CX235" i="24" s="1"/>
  <c r="CU235" i="24"/>
  <c r="CL191" i="24"/>
  <c r="CU191" i="24"/>
  <c r="CY191" i="24"/>
  <c r="ES191" i="24"/>
  <c r="EV191" i="24" s="1"/>
  <c r="CW191" i="24"/>
  <c r="CX191" i="24" s="1"/>
  <c r="DQ191" i="24"/>
  <c r="DQ279" i="24"/>
  <c r="CL279" i="24"/>
  <c r="CW279" i="24"/>
  <c r="CX279" i="24" s="1"/>
  <c r="CU279" i="24"/>
  <c r="CY279" i="24"/>
  <c r="DQ222" i="24"/>
  <c r="CW222" i="24"/>
  <c r="CX222" i="24" s="1"/>
  <c r="CL222" i="24"/>
  <c r="CY222" i="24"/>
  <c r="CU222" i="24"/>
  <c r="CL276" i="24"/>
  <c r="CY276" i="24"/>
  <c r="CZ276" i="24" s="1"/>
  <c r="CW276" i="24"/>
  <c r="CX276" i="24" s="1"/>
  <c r="DQ276" i="24"/>
  <c r="CU276" i="24"/>
  <c r="ES185" i="24"/>
  <c r="EV185" i="24" s="1"/>
  <c r="CL185" i="24"/>
  <c r="CW185" i="24"/>
  <c r="CX185" i="24" s="1"/>
  <c r="DQ185" i="24"/>
  <c r="CU185" i="24"/>
  <c r="CY185" i="24"/>
  <c r="CL245" i="24"/>
  <c r="CY245" i="24"/>
  <c r="CZ245" i="24" s="1"/>
  <c r="DQ245" i="24"/>
  <c r="CW245" i="24"/>
  <c r="CX245" i="24" s="1"/>
  <c r="CU245" i="24"/>
  <c r="CU293" i="24"/>
  <c r="CW293" i="24"/>
  <c r="CX293" i="24" s="1"/>
  <c r="DQ293" i="24"/>
  <c r="CL293" i="24"/>
  <c r="CY293" i="24"/>
  <c r="CL262" i="24"/>
  <c r="DQ262" i="24"/>
  <c r="CW262" i="24"/>
  <c r="CX262" i="24" s="1"/>
  <c r="CU262" i="24"/>
  <c r="CY262" i="24"/>
  <c r="CL311" i="24"/>
  <c r="DQ311" i="24"/>
  <c r="CY311" i="24"/>
  <c r="CW311" i="24"/>
  <c r="CX311" i="24" s="1"/>
  <c r="CU311" i="24"/>
  <c r="ES204" i="24"/>
  <c r="EV204" i="24" s="1"/>
  <c r="CW204" i="24"/>
  <c r="CX204" i="24" s="1"/>
  <c r="CY204" i="24"/>
  <c r="CL204" i="24"/>
  <c r="DQ204" i="24"/>
  <c r="CU204" i="24"/>
  <c r="CL278" i="24"/>
  <c r="DQ278" i="24"/>
  <c r="CW278" i="24"/>
  <c r="CX278" i="24" s="1"/>
  <c r="CY278" i="24"/>
  <c r="CU278" i="24"/>
  <c r="CY280" i="24"/>
  <c r="CL280" i="24"/>
  <c r="CW280" i="24"/>
  <c r="CX280" i="24" s="1"/>
  <c r="CU280" i="24"/>
  <c r="DQ280" i="24"/>
  <c r="ES17" i="24"/>
  <c r="EV17" i="24" s="1"/>
  <c r="CW17" i="24"/>
  <c r="CX17" i="24" s="1"/>
  <c r="DQ17" i="24"/>
  <c r="CL17" i="24"/>
  <c r="CU17" i="24"/>
  <c r="CV17" i="24" s="1"/>
  <c r="CY17" i="24"/>
  <c r="ES57" i="24"/>
  <c r="EV57" i="24" s="1"/>
  <c r="DQ57" i="24"/>
  <c r="CW57" i="24"/>
  <c r="CX57" i="24" s="1"/>
  <c r="CL57" i="24"/>
  <c r="CY57" i="24"/>
  <c r="CU57" i="24"/>
  <c r="CV57" i="24" s="1"/>
  <c r="CL10" i="24"/>
  <c r="ES10" i="24"/>
  <c r="EV10" i="24" s="1"/>
  <c r="CW10" i="24"/>
  <c r="CX10" i="24" s="1"/>
  <c r="DQ10" i="24"/>
  <c r="CU10" i="24"/>
  <c r="CV10" i="24" s="1"/>
  <c r="CY10" i="24"/>
  <c r="DQ84" i="24"/>
  <c r="ES84" i="24"/>
  <c r="EV84" i="24" s="1"/>
  <c r="CU84" i="24"/>
  <c r="CV84" i="24" s="1"/>
  <c r="CW84" i="24"/>
  <c r="CX84" i="24" s="1"/>
  <c r="CL84" i="24"/>
  <c r="CY84" i="24"/>
  <c r="DQ58" i="24"/>
  <c r="ES58" i="24"/>
  <c r="EV58" i="24" s="1"/>
  <c r="CL58" i="24"/>
  <c r="CY58" i="24"/>
  <c r="CU58" i="24"/>
  <c r="CV58" i="24" s="1"/>
  <c r="CW58" i="24"/>
  <c r="CX58" i="24" s="1"/>
  <c r="ES62" i="24"/>
  <c r="EV62" i="24" s="1"/>
  <c r="CL62" i="24"/>
  <c r="CW62" i="24"/>
  <c r="CX62" i="24" s="1"/>
  <c r="CU62" i="24"/>
  <c r="CV62" i="24" s="1"/>
  <c r="CY62" i="24"/>
  <c r="DQ62" i="24"/>
  <c r="ES29" i="24"/>
  <c r="EV29" i="24" s="1"/>
  <c r="CL29" i="24"/>
  <c r="CW29" i="24"/>
  <c r="CX29" i="24" s="1"/>
  <c r="CY29" i="24"/>
  <c r="CU29" i="24"/>
  <c r="CV29" i="24" s="1"/>
  <c r="DQ29" i="24"/>
  <c r="CY60" i="24"/>
  <c r="CW60" i="24"/>
  <c r="CX60" i="24" s="1"/>
  <c r="ES60" i="24"/>
  <c r="EV60" i="24" s="1"/>
  <c r="DQ60" i="24"/>
  <c r="CL60" i="24"/>
  <c r="CU60" i="24"/>
  <c r="CV60" i="24" s="1"/>
  <c r="CY20" i="24"/>
  <c r="CU20" i="24"/>
  <c r="CV20" i="24" s="1"/>
  <c r="CL20" i="24"/>
  <c r="CW20" i="24"/>
  <c r="CX20" i="24" s="1"/>
  <c r="ES20" i="24"/>
  <c r="EV20" i="24" s="1"/>
  <c r="DQ20" i="24"/>
  <c r="DQ103" i="24"/>
  <c r="ES103" i="24"/>
  <c r="EV103" i="24" s="1"/>
  <c r="CL103" i="24"/>
  <c r="CW103" i="24"/>
  <c r="CX103" i="24" s="1"/>
  <c r="CY103" i="24"/>
  <c r="CU103" i="24"/>
  <c r="CV103" i="24" s="1"/>
  <c r="ES156" i="24"/>
  <c r="EV156" i="24" s="1"/>
  <c r="DQ156" i="24"/>
  <c r="CW156" i="24"/>
  <c r="CX156" i="24" s="1"/>
  <c r="CL156" i="24"/>
  <c r="CY156" i="24"/>
  <c r="CU156" i="24"/>
  <c r="CU89" i="24"/>
  <c r="CV89" i="24" s="1"/>
  <c r="DQ89" i="24"/>
  <c r="CL89" i="24"/>
  <c r="ES89" i="24"/>
  <c r="EV89" i="24" s="1"/>
  <c r="CW89" i="24"/>
  <c r="CX89" i="24" s="1"/>
  <c r="CY89" i="24"/>
  <c r="CZ89" i="24" s="1"/>
  <c r="ES193" i="24"/>
  <c r="EV193" i="24" s="1"/>
  <c r="DQ193" i="24"/>
  <c r="CW193" i="24"/>
  <c r="CX193" i="24" s="1"/>
  <c r="CL193" i="24"/>
  <c r="CY193" i="24"/>
  <c r="CU193" i="24"/>
  <c r="ES38" i="24"/>
  <c r="EV38" i="24" s="1"/>
  <c r="DQ38" i="24"/>
  <c r="CW38" i="24"/>
  <c r="CX38" i="24" s="1"/>
  <c r="CU38" i="24"/>
  <c r="CV38" i="24" s="1"/>
  <c r="CY38" i="24"/>
  <c r="CL38" i="24"/>
  <c r="DQ111" i="24"/>
  <c r="CW111" i="24"/>
  <c r="CX111" i="24" s="1"/>
  <c r="ES111" i="24"/>
  <c r="EV111" i="24" s="1"/>
  <c r="CY111" i="24"/>
  <c r="CL111" i="24"/>
  <c r="CU111" i="24"/>
  <c r="ES172" i="24"/>
  <c r="EV172" i="24" s="1"/>
  <c r="CW172" i="24"/>
  <c r="CX172" i="24" s="1"/>
  <c r="CU172" i="24"/>
  <c r="CL172" i="24"/>
  <c r="DQ172" i="24"/>
  <c r="CY172" i="24"/>
  <c r="ES133" i="24"/>
  <c r="EV133" i="24" s="1"/>
  <c r="DQ133" i="24"/>
  <c r="CL133" i="24"/>
  <c r="CW133" i="24"/>
  <c r="CX133" i="24" s="1"/>
  <c r="CY133" i="24"/>
  <c r="CU133" i="24"/>
  <c r="CW242" i="24"/>
  <c r="CX242" i="24" s="1"/>
  <c r="DQ242" i="24"/>
  <c r="CL242" i="24"/>
  <c r="CY242" i="24"/>
  <c r="CU242" i="24"/>
  <c r="ES164" i="24"/>
  <c r="EV164" i="24" s="1"/>
  <c r="CL164" i="24"/>
  <c r="DQ164" i="24"/>
  <c r="CW164" i="24"/>
  <c r="CX164" i="24" s="1"/>
  <c r="CU164" i="24"/>
  <c r="CY164" i="24"/>
  <c r="CL116" i="24"/>
  <c r="ES116" i="24"/>
  <c r="EV116" i="24" s="1"/>
  <c r="CW116" i="24"/>
  <c r="CX116" i="24" s="1"/>
  <c r="DQ116" i="24"/>
  <c r="CY116" i="24"/>
  <c r="CU116" i="24"/>
  <c r="CW194" i="24"/>
  <c r="CX194" i="24" s="1"/>
  <c r="CY194" i="24"/>
  <c r="CZ194" i="24" s="1"/>
  <c r="DQ194" i="24"/>
  <c r="CU194" i="24"/>
  <c r="ES194" i="24"/>
  <c r="EV194" i="24" s="1"/>
  <c r="CL194" i="24"/>
  <c r="CY115" i="24"/>
  <c r="CZ115" i="24" s="1"/>
  <c r="CW115" i="24"/>
  <c r="CX115" i="24" s="1"/>
  <c r="CU115" i="24"/>
  <c r="DQ115" i="24"/>
  <c r="ES115" i="24"/>
  <c r="EV115" i="24" s="1"/>
  <c r="CL115" i="24"/>
  <c r="DQ250" i="24"/>
  <c r="CY250" i="24"/>
  <c r="CZ250" i="24" s="1"/>
  <c r="CW250" i="24"/>
  <c r="CX250" i="24" s="1"/>
  <c r="CL250" i="24"/>
  <c r="CU250" i="24"/>
  <c r="ES150" i="24"/>
  <c r="EV150" i="24" s="1"/>
  <c r="CL150" i="24"/>
  <c r="DQ150" i="24"/>
  <c r="CU150" i="24"/>
  <c r="CW150" i="24"/>
  <c r="CX150" i="24" s="1"/>
  <c r="CY150" i="24"/>
  <c r="DQ291" i="24"/>
  <c r="CL291" i="24"/>
  <c r="CW291" i="24"/>
  <c r="CX291" i="24" s="1"/>
  <c r="CY291" i="24"/>
  <c r="CU291" i="24"/>
  <c r="CL240" i="24"/>
  <c r="CW240" i="24"/>
  <c r="CX240" i="24" s="1"/>
  <c r="DQ240" i="24"/>
  <c r="CY240" i="24"/>
  <c r="CU240" i="24"/>
  <c r="ES192" i="24"/>
  <c r="EV192" i="24" s="1"/>
  <c r="CW192" i="24"/>
  <c r="CX192" i="24" s="1"/>
  <c r="CL192" i="24"/>
  <c r="DQ192" i="24"/>
  <c r="CY192" i="24"/>
  <c r="CU192" i="24"/>
  <c r="DQ286" i="24"/>
  <c r="CY286" i="24"/>
  <c r="CL286" i="24"/>
  <c r="CW286" i="24"/>
  <c r="CX286" i="24" s="1"/>
  <c r="CU286" i="24"/>
  <c r="CL224" i="24"/>
  <c r="DQ224" i="24"/>
  <c r="CW224" i="24"/>
  <c r="CX224" i="24" s="1"/>
  <c r="CU224" i="24"/>
  <c r="CY224" i="24"/>
  <c r="DQ277" i="24"/>
  <c r="CY277" i="24"/>
  <c r="CL277" i="24"/>
  <c r="CW277" i="24"/>
  <c r="CX277" i="24" s="1"/>
  <c r="CU277" i="24"/>
  <c r="CL187" i="24"/>
  <c r="CY187" i="24"/>
  <c r="ES187" i="24"/>
  <c r="EV187" i="24" s="1"/>
  <c r="CU187" i="24"/>
  <c r="CW187" i="24"/>
  <c r="CX187" i="24" s="1"/>
  <c r="DQ187" i="24"/>
  <c r="CY253" i="24"/>
  <c r="DQ253" i="24"/>
  <c r="CW253" i="24"/>
  <c r="CX253" i="24" s="1"/>
  <c r="CL253" i="24"/>
  <c r="CU253" i="24"/>
  <c r="CL200" i="24"/>
  <c r="CW200" i="24"/>
  <c r="CX200" i="24" s="1"/>
  <c r="DQ200" i="24"/>
  <c r="ES200" i="24"/>
  <c r="EV200" i="24" s="1"/>
  <c r="CY200" i="24"/>
  <c r="CU200" i="24"/>
  <c r="CL282" i="24"/>
  <c r="CY282" i="24"/>
  <c r="CU282" i="24"/>
  <c r="CW282" i="24"/>
  <c r="CX282" i="24" s="1"/>
  <c r="DQ282" i="24"/>
  <c r="CW314" i="24"/>
  <c r="CX314" i="24" s="1"/>
  <c r="CU314" i="24"/>
  <c r="CL314" i="24"/>
  <c r="CY314" i="24"/>
  <c r="DQ314" i="24"/>
  <c r="CW205" i="24"/>
  <c r="CX205" i="24" s="1"/>
  <c r="CY205" i="24"/>
  <c r="DQ205" i="24"/>
  <c r="CU205" i="24"/>
  <c r="CL205" i="24"/>
  <c r="ES205" i="24"/>
  <c r="EV205" i="24" s="1"/>
  <c r="CL281" i="24"/>
  <c r="DQ281" i="24"/>
  <c r="CW281" i="24"/>
  <c r="CX281" i="24" s="1"/>
  <c r="CU281" i="24"/>
  <c r="CY281" i="24"/>
  <c r="CU289" i="24"/>
  <c r="CL289" i="24"/>
  <c r="CY289" i="24"/>
  <c r="DQ289" i="24"/>
  <c r="CW289" i="24"/>
  <c r="CX289" i="24" s="1"/>
  <c r="ES30" i="24"/>
  <c r="EV30" i="24" s="1"/>
  <c r="DQ30" i="24"/>
  <c r="CY30" i="24"/>
  <c r="CW30" i="24"/>
  <c r="CX30" i="24" s="1"/>
  <c r="CL30" i="24"/>
  <c r="CU30" i="24"/>
  <c r="CV30" i="24" s="1"/>
  <c r="CY72" i="24"/>
  <c r="ES72" i="24"/>
  <c r="EV72" i="24" s="1"/>
  <c r="DQ72" i="24"/>
  <c r="CW72" i="24"/>
  <c r="CX72" i="24" s="1"/>
  <c r="CL72" i="24"/>
  <c r="CU72" i="24"/>
  <c r="CV72" i="24" s="1"/>
  <c r="CL18" i="24"/>
  <c r="ES18" i="24"/>
  <c r="EV18" i="24" s="1"/>
  <c r="CW18" i="24"/>
  <c r="CX18" i="24" s="1"/>
  <c r="DQ18" i="24"/>
  <c r="CY18" i="24"/>
  <c r="CZ18" i="24" s="1"/>
  <c r="CU18" i="24"/>
  <c r="CV18" i="24" s="1"/>
  <c r="ES52" i="24"/>
  <c r="EV52" i="24" s="1"/>
  <c r="DQ52" i="24"/>
  <c r="CW52" i="24"/>
  <c r="CX52" i="24" s="1"/>
  <c r="CU52" i="24"/>
  <c r="CV52" i="24" s="1"/>
  <c r="CL52" i="24"/>
  <c r="CY52" i="24"/>
  <c r="CZ52" i="24" s="1"/>
  <c r="DQ6" i="24"/>
  <c r="CY6" i="24"/>
  <c r="CU6" i="24"/>
  <c r="CV6" i="24" s="1"/>
  <c r="CL6" i="24"/>
  <c r="CW6" i="24"/>
  <c r="CX6" i="24" s="1"/>
  <c r="ES6" i="24"/>
  <c r="EV6" i="24" s="1"/>
  <c r="ES73" i="24"/>
  <c r="EV73" i="24" s="1"/>
  <c r="DQ73" i="24"/>
  <c r="CU73" i="24"/>
  <c r="CV73" i="24" s="1"/>
  <c r="CW73" i="24"/>
  <c r="CX73" i="24" s="1"/>
  <c r="CY73" i="24"/>
  <c r="CL73" i="24"/>
  <c r="ES14" i="24"/>
  <c r="EV14" i="24" s="1"/>
  <c r="DQ14" i="24"/>
  <c r="CY14" i="24"/>
  <c r="CZ14" i="24" s="1"/>
  <c r="CW14" i="24"/>
  <c r="CX14" i="24" s="1"/>
  <c r="CL14" i="24"/>
  <c r="CU14" i="24"/>
  <c r="CV14" i="24" s="1"/>
  <c r="CL64" i="24"/>
  <c r="DQ64" i="24"/>
  <c r="CY64" i="24"/>
  <c r="CW64" i="24"/>
  <c r="CX64" i="24" s="1"/>
  <c r="ES64" i="24"/>
  <c r="EV64" i="24" s="1"/>
  <c r="CU64" i="24"/>
  <c r="CV64" i="24" s="1"/>
  <c r="CL70" i="24"/>
  <c r="DQ70" i="24"/>
  <c r="CY70" i="24"/>
  <c r="CZ70" i="24" s="1"/>
  <c r="CW70" i="24"/>
  <c r="CX70" i="24" s="1"/>
  <c r="CU70" i="24"/>
  <c r="CV70" i="24" s="1"/>
  <c r="ES70" i="24"/>
  <c r="EV70" i="24" s="1"/>
  <c r="DQ118" i="24"/>
  <c r="CU118" i="24"/>
  <c r="CL118" i="24"/>
  <c r="CY118" i="24"/>
  <c r="CW118" i="24"/>
  <c r="CX118" i="24" s="1"/>
  <c r="ES118" i="24"/>
  <c r="EV118" i="24" s="1"/>
  <c r="DQ162" i="24"/>
  <c r="CL162" i="24"/>
  <c r="CW162" i="24"/>
  <c r="CX162" i="24" s="1"/>
  <c r="CY162" i="24"/>
  <c r="CU162" i="24"/>
  <c r="ES162" i="24"/>
  <c r="EV162" i="24" s="1"/>
  <c r="ES113" i="24"/>
  <c r="EV113" i="24" s="1"/>
  <c r="CU113" i="24"/>
  <c r="CW113" i="24"/>
  <c r="CX113" i="24" s="1"/>
  <c r="DQ113" i="24"/>
  <c r="CL113" i="24"/>
  <c r="CY113" i="24"/>
  <c r="DQ234" i="24"/>
  <c r="CL234" i="24"/>
  <c r="CY234" i="24"/>
  <c r="CW234" i="24"/>
  <c r="CX234" i="24" s="1"/>
  <c r="CU234" i="24"/>
  <c r="ES40" i="24"/>
  <c r="EV40" i="24" s="1"/>
  <c r="DQ40" i="24"/>
  <c r="CY40" i="24"/>
  <c r="CU40" i="24"/>
  <c r="CV40" i="24" s="1"/>
  <c r="CL40" i="24"/>
  <c r="CW40" i="24"/>
  <c r="CX40" i="24" s="1"/>
  <c r="ES136" i="24"/>
  <c r="EV136" i="24" s="1"/>
  <c r="CU136" i="24"/>
  <c r="CL136" i="24"/>
  <c r="DQ136" i="24"/>
  <c r="CW136" i="24"/>
  <c r="CX136" i="24" s="1"/>
  <c r="CY136" i="24"/>
  <c r="CY217" i="24"/>
  <c r="CW217" i="24"/>
  <c r="CX217" i="24" s="1"/>
  <c r="CU217" i="24"/>
  <c r="CL217" i="24"/>
  <c r="DQ217" i="24"/>
  <c r="ES146" i="24"/>
  <c r="EV146" i="24" s="1"/>
  <c r="CL146" i="24"/>
  <c r="DQ146" i="24"/>
  <c r="CW146" i="24"/>
  <c r="CX146" i="24" s="1"/>
  <c r="CU146" i="24"/>
  <c r="CY146" i="24"/>
  <c r="DQ244" i="24"/>
  <c r="CY244" i="24"/>
  <c r="CW244" i="24"/>
  <c r="CX244" i="24" s="1"/>
  <c r="CU244" i="24"/>
  <c r="CL244" i="24"/>
  <c r="DQ177" i="24"/>
  <c r="CW177" i="24"/>
  <c r="CX177" i="24" s="1"/>
  <c r="CY177" i="24"/>
  <c r="CL177" i="24"/>
  <c r="ES177" i="24"/>
  <c r="EV177" i="24" s="1"/>
  <c r="CU177" i="24"/>
  <c r="CY123" i="24"/>
  <c r="CU123" i="24"/>
  <c r="CL123" i="24"/>
  <c r="DQ123" i="24"/>
  <c r="ES123" i="24"/>
  <c r="EV123" i="24" s="1"/>
  <c r="CW123" i="24"/>
  <c r="CX123" i="24" s="1"/>
  <c r="DQ209" i="24"/>
  <c r="CL209" i="24"/>
  <c r="ES209" i="24"/>
  <c r="EV209" i="24" s="1"/>
  <c r="CW209" i="24"/>
  <c r="CX209" i="24" s="1"/>
  <c r="CY209" i="24"/>
  <c r="CU209" i="24"/>
  <c r="CL153" i="24"/>
  <c r="ES153" i="24"/>
  <c r="EV153" i="24" s="1"/>
  <c r="DQ153" i="24"/>
  <c r="CW153" i="24"/>
  <c r="CX153" i="24" s="1"/>
  <c r="CU153" i="24"/>
  <c r="CY153" i="24"/>
  <c r="ES83" i="24"/>
  <c r="EV83" i="24" s="1"/>
  <c r="CL83" i="24"/>
  <c r="DQ83" i="24"/>
  <c r="CW83" i="24"/>
  <c r="CX83" i="24" s="1"/>
  <c r="CY83" i="24"/>
  <c r="CZ83" i="24" s="1"/>
  <c r="CU83" i="24"/>
  <c r="CV83" i="24" s="1"/>
  <c r="ES157" i="24"/>
  <c r="EV157" i="24" s="1"/>
  <c r="CY157" i="24"/>
  <c r="CW157" i="24"/>
  <c r="CX157" i="24" s="1"/>
  <c r="DQ157" i="24"/>
  <c r="CL157" i="24"/>
  <c r="CU157" i="24"/>
  <c r="DQ298" i="24"/>
  <c r="CW298" i="24"/>
  <c r="CX298" i="24" s="1"/>
  <c r="CL298" i="24"/>
  <c r="CU298" i="24"/>
  <c r="CY298" i="24"/>
  <c r="DQ263" i="24"/>
  <c r="CL263" i="24"/>
  <c r="CW263" i="24"/>
  <c r="CX263" i="24" s="1"/>
  <c r="CU263" i="24"/>
  <c r="CY263" i="24"/>
  <c r="CL221" i="24"/>
  <c r="CY221" i="24"/>
  <c r="CU221" i="24"/>
  <c r="CW221" i="24"/>
  <c r="CX221" i="24" s="1"/>
  <c r="DQ221" i="24"/>
  <c r="CW294" i="24"/>
  <c r="CX294" i="24" s="1"/>
  <c r="DQ294" i="24"/>
  <c r="CY294" i="24"/>
  <c r="CL294" i="24"/>
  <c r="CU294" i="24"/>
  <c r="CL226" i="24"/>
  <c r="CW226" i="24"/>
  <c r="CX226" i="24" s="1"/>
  <c r="DQ226" i="24"/>
  <c r="CU226" i="24"/>
  <c r="CY226" i="24"/>
  <c r="CL285" i="24"/>
  <c r="DQ285" i="24"/>
  <c r="CW285" i="24"/>
  <c r="CX285" i="24" s="1"/>
  <c r="CY285" i="24"/>
  <c r="CU285" i="24"/>
  <c r="ES203" i="24"/>
  <c r="EV203" i="24" s="1"/>
  <c r="DQ203" i="24"/>
  <c r="CL203" i="24"/>
  <c r="CW203" i="24"/>
  <c r="CX203" i="24" s="1"/>
  <c r="CY203" i="24"/>
  <c r="CU203" i="24"/>
  <c r="DQ255" i="24"/>
  <c r="CL255" i="24"/>
  <c r="CY255" i="24"/>
  <c r="CU255" i="24"/>
  <c r="CW255" i="24"/>
  <c r="CX255" i="24" s="1"/>
  <c r="ES206" i="24"/>
  <c r="EV206" i="24" s="1"/>
  <c r="CL206" i="24"/>
  <c r="DQ206" i="24"/>
  <c r="CW206" i="24"/>
  <c r="CX206" i="24" s="1"/>
  <c r="CY206" i="24"/>
  <c r="CU206" i="24"/>
  <c r="CL284" i="24"/>
  <c r="CW284" i="24"/>
  <c r="CX284" i="24" s="1"/>
  <c r="CY284" i="24"/>
  <c r="DQ284" i="24"/>
  <c r="CU284" i="24"/>
  <c r="DQ189" i="24"/>
  <c r="CU189" i="24"/>
  <c r="CL189" i="24"/>
  <c r="CY189" i="24"/>
  <c r="CZ189" i="24" s="1"/>
  <c r="CW189" i="24"/>
  <c r="CX189" i="24" s="1"/>
  <c r="ES189" i="24"/>
  <c r="EV189" i="24" s="1"/>
  <c r="DQ236" i="24"/>
  <c r="CL236" i="24"/>
  <c r="CW236" i="24"/>
  <c r="CX236" i="24" s="1"/>
  <c r="CY236" i="24"/>
  <c r="CU236" i="24"/>
  <c r="CL283" i="24"/>
  <c r="DQ283" i="24"/>
  <c r="CW283" i="24"/>
  <c r="CX283" i="24" s="1"/>
  <c r="CY283" i="24"/>
  <c r="CU283" i="24"/>
  <c r="DQ296" i="24"/>
  <c r="CL296" i="24"/>
  <c r="CY296" i="24"/>
  <c r="CW296" i="24"/>
  <c r="CX296" i="24" s="1"/>
  <c r="CU296" i="24"/>
  <c r="DQ15" i="24"/>
  <c r="ES15" i="24"/>
  <c r="EV15" i="24" s="1"/>
  <c r="CL15" i="24"/>
  <c r="CW15" i="24"/>
  <c r="CX15" i="24" s="1"/>
  <c r="CY15" i="24"/>
  <c r="CU15" i="24"/>
  <c r="CV15" i="24" s="1"/>
  <c r="CW86" i="24"/>
  <c r="CX86" i="24" s="1"/>
  <c r="ES86" i="24"/>
  <c r="EV86" i="24" s="1"/>
  <c r="DQ86" i="24"/>
  <c r="CL86" i="24"/>
  <c r="CU86" i="24"/>
  <c r="CV86" i="24" s="1"/>
  <c r="CY86" i="24"/>
  <c r="CW45" i="24"/>
  <c r="CX45" i="24" s="1"/>
  <c r="DQ45" i="24"/>
  <c r="CL45" i="24"/>
  <c r="ES45" i="24"/>
  <c r="EV45" i="24" s="1"/>
  <c r="CY45" i="24"/>
  <c r="CU45" i="24"/>
  <c r="CV45" i="24" s="1"/>
  <c r="ES21" i="24"/>
  <c r="EV21" i="24" s="1"/>
  <c r="CL21" i="24"/>
  <c r="CY21" i="24"/>
  <c r="CW21" i="24"/>
  <c r="CX21" i="24" s="1"/>
  <c r="CU21" i="24"/>
  <c r="CV21" i="24" s="1"/>
  <c r="DQ21" i="24"/>
  <c r="DQ9" i="24"/>
  <c r="CL9" i="24"/>
  <c r="CU9" i="24"/>
  <c r="CV9" i="24" s="1"/>
  <c r="CW9" i="24"/>
  <c r="CX9" i="24" s="1"/>
  <c r="ES9" i="24"/>
  <c r="EV9" i="24" s="1"/>
  <c r="CY9" i="24"/>
  <c r="ES75" i="24"/>
  <c r="EV75" i="24" s="1"/>
  <c r="CL75" i="24"/>
  <c r="DQ75" i="24"/>
  <c r="CW75" i="24"/>
  <c r="CX75" i="24" s="1"/>
  <c r="CY75" i="24"/>
  <c r="CU75" i="24"/>
  <c r="CV75" i="24" s="1"/>
  <c r="DQ36" i="24"/>
  <c r="CU36" i="24"/>
  <c r="CV36" i="24" s="1"/>
  <c r="ES36" i="24"/>
  <c r="EV36" i="24" s="1"/>
  <c r="CW36" i="24"/>
  <c r="CX36" i="24" s="1"/>
  <c r="CL36" i="24"/>
  <c r="CY36" i="24"/>
  <c r="CL66" i="24"/>
  <c r="ES66" i="24"/>
  <c r="EV66" i="24" s="1"/>
  <c r="DQ66" i="24"/>
  <c r="CW66" i="24"/>
  <c r="CX66" i="24" s="1"/>
  <c r="CY66" i="24"/>
  <c r="CU66" i="24"/>
  <c r="CV66" i="24" s="1"/>
  <c r="DQ41" i="24"/>
  <c r="ES41" i="24"/>
  <c r="EV41" i="24" s="1"/>
  <c r="CL41" i="24"/>
  <c r="CW41" i="24"/>
  <c r="CX41" i="24" s="1"/>
  <c r="CY41" i="24"/>
  <c r="CU41" i="24"/>
  <c r="CV41" i="24" s="1"/>
  <c r="DQ119" i="24"/>
  <c r="CY119" i="24"/>
  <c r="CU119" i="24"/>
  <c r="CL119" i="24"/>
  <c r="ES119" i="24"/>
  <c r="EV119" i="24" s="1"/>
  <c r="CW119" i="24"/>
  <c r="CX119" i="24" s="1"/>
  <c r="DQ167" i="24"/>
  <c r="CY167" i="24"/>
  <c r="CW167" i="24"/>
  <c r="CX167" i="24" s="1"/>
  <c r="CU167" i="24"/>
  <c r="ES167" i="24"/>
  <c r="EV167" i="24" s="1"/>
  <c r="CL167" i="24"/>
  <c r="DQ120" i="24"/>
  <c r="ES120" i="24"/>
  <c r="EV120" i="24" s="1"/>
  <c r="CW120" i="24"/>
  <c r="CX120" i="24" s="1"/>
  <c r="CL120" i="24"/>
  <c r="CY120" i="24"/>
  <c r="CU120" i="24"/>
  <c r="DQ258" i="24"/>
  <c r="CW258" i="24"/>
  <c r="CX258" i="24" s="1"/>
  <c r="CL258" i="24"/>
  <c r="CY258" i="24"/>
  <c r="CU258" i="24"/>
  <c r="CW47" i="24"/>
  <c r="CX47" i="24" s="1"/>
  <c r="DQ47" i="24"/>
  <c r="CL47" i="24"/>
  <c r="CY47" i="24"/>
  <c r="ES47" i="24"/>
  <c r="EV47" i="24" s="1"/>
  <c r="CU47" i="24"/>
  <c r="CV47" i="24" s="1"/>
  <c r="CU139" i="24"/>
  <c r="CL139" i="24"/>
  <c r="ES139" i="24"/>
  <c r="EV139" i="24" s="1"/>
  <c r="CY139" i="24"/>
  <c r="CW139" i="24"/>
  <c r="CX139" i="24" s="1"/>
  <c r="DQ139" i="24"/>
  <c r="CU264" i="24"/>
  <c r="CL264" i="24"/>
  <c r="CW264" i="24"/>
  <c r="CX264" i="24" s="1"/>
  <c r="CY264" i="24"/>
  <c r="DQ264" i="24"/>
  <c r="ES148" i="24"/>
  <c r="EV148" i="24" s="1"/>
  <c r="CL148" i="24"/>
  <c r="CW148" i="24"/>
  <c r="CX148" i="24" s="1"/>
  <c r="DQ148" i="24"/>
  <c r="CY148" i="24"/>
  <c r="CU148" i="24"/>
  <c r="DQ81" i="24"/>
  <c r="ES81" i="24"/>
  <c r="EV81" i="24" s="1"/>
  <c r="CY81" i="24"/>
  <c r="CZ81" i="24" s="1"/>
  <c r="CU81" i="24"/>
  <c r="CV81" i="24" s="1"/>
  <c r="CL81" i="24"/>
  <c r="CW81" i="24"/>
  <c r="CX81" i="24" s="1"/>
  <c r="ES179" i="24"/>
  <c r="EV179" i="24" s="1"/>
  <c r="CL179" i="24"/>
  <c r="CY179" i="24"/>
  <c r="DQ179" i="24"/>
  <c r="CW179" i="24"/>
  <c r="CX179" i="24" s="1"/>
  <c r="CU179" i="24"/>
  <c r="CL132" i="24"/>
  <c r="ES132" i="24"/>
  <c r="EV132" i="24" s="1"/>
  <c r="CW132" i="24"/>
  <c r="CX132" i="24" s="1"/>
  <c r="DQ132" i="24"/>
  <c r="CY132" i="24"/>
  <c r="CU132" i="24"/>
  <c r="DQ307" i="24"/>
  <c r="CW307" i="24"/>
  <c r="CX307" i="24" s="1"/>
  <c r="CL307" i="24"/>
  <c r="CY307" i="24"/>
  <c r="CU307" i="24"/>
  <c r="ES161" i="24"/>
  <c r="EV161" i="24" s="1"/>
  <c r="CY161" i="24"/>
  <c r="DQ161" i="24"/>
  <c r="CL161" i="24"/>
  <c r="CW161" i="24"/>
  <c r="CX161" i="24" s="1"/>
  <c r="CU161" i="24"/>
  <c r="ES98" i="24"/>
  <c r="EV98" i="24" s="1"/>
  <c r="CL98" i="24"/>
  <c r="DQ98" i="24"/>
  <c r="CW98" i="24"/>
  <c r="CX98" i="24" s="1"/>
  <c r="CY98" i="24"/>
  <c r="CU98" i="24"/>
  <c r="CV98" i="24" s="1"/>
  <c r="DQ171" i="24"/>
  <c r="CL171" i="24"/>
  <c r="ES171" i="24"/>
  <c r="EV171" i="24" s="1"/>
  <c r="CY171" i="24"/>
  <c r="CZ171" i="24" s="1"/>
  <c r="CW171" i="24"/>
  <c r="CX171" i="24" s="1"/>
  <c r="CU171" i="24"/>
  <c r="CW306" i="24"/>
  <c r="CX306" i="24" s="1"/>
  <c r="CL306" i="24"/>
  <c r="CU306" i="24"/>
  <c r="CY306" i="24"/>
  <c r="DQ306" i="24"/>
  <c r="DQ267" i="24"/>
  <c r="CL267" i="24"/>
  <c r="CY267" i="24"/>
  <c r="CU267" i="24"/>
  <c r="CW267" i="24"/>
  <c r="CX267" i="24" s="1"/>
  <c r="CW233" i="24"/>
  <c r="CX233" i="24" s="1"/>
  <c r="CU233" i="24"/>
  <c r="CL233" i="24"/>
  <c r="DQ233" i="24"/>
  <c r="CY233" i="24"/>
  <c r="DQ309" i="24"/>
  <c r="CY309" i="24"/>
  <c r="CL309" i="24"/>
  <c r="CW309" i="24"/>
  <c r="CX309" i="24" s="1"/>
  <c r="CU309" i="24"/>
  <c r="CL232" i="24"/>
  <c r="DQ232" i="24"/>
  <c r="CY232" i="24"/>
  <c r="CZ232" i="24" s="1"/>
  <c r="CW232" i="24"/>
  <c r="CX232" i="24" s="1"/>
  <c r="CU232" i="24"/>
  <c r="CL297" i="24"/>
  <c r="CU297" i="24"/>
  <c r="DQ297" i="24"/>
  <c r="CY297" i="24"/>
  <c r="CW297" i="24"/>
  <c r="CX297" i="24" s="1"/>
  <c r="CL208" i="24"/>
  <c r="CW208" i="24"/>
  <c r="CX208" i="24" s="1"/>
  <c r="DQ208" i="24"/>
  <c r="ES208" i="24"/>
  <c r="EV208" i="24" s="1"/>
  <c r="CY208" i="24"/>
  <c r="CU208" i="24"/>
  <c r="CL259" i="24"/>
  <c r="DQ259" i="24"/>
  <c r="CY259" i="24"/>
  <c r="CW259" i="24"/>
  <c r="CX259" i="24" s="1"/>
  <c r="CU259" i="24"/>
  <c r="DQ219" i="24"/>
  <c r="CU219" i="24"/>
  <c r="CL219" i="24"/>
  <c r="CW219" i="24"/>
  <c r="CX219" i="24" s="1"/>
  <c r="CY219" i="24"/>
  <c r="CL287" i="24"/>
  <c r="CW287" i="24"/>
  <c r="CX287" i="24" s="1"/>
  <c r="DQ287" i="24"/>
  <c r="CY287" i="24"/>
  <c r="CU287" i="24"/>
  <c r="CW190" i="24"/>
  <c r="CX190" i="24" s="1"/>
  <c r="CL190" i="24"/>
  <c r="DQ190" i="24"/>
  <c r="ES190" i="24"/>
  <c r="EV190" i="24" s="1"/>
  <c r="CU190" i="24"/>
  <c r="CY190" i="24"/>
  <c r="CW238" i="24"/>
  <c r="CX238" i="24" s="1"/>
  <c r="CL238" i="24"/>
  <c r="DQ238" i="24"/>
  <c r="CU238" i="24"/>
  <c r="CY238" i="24"/>
  <c r="CU302" i="24"/>
  <c r="DQ302" i="24"/>
  <c r="CW302" i="24"/>
  <c r="CX302" i="24" s="1"/>
  <c r="CL302" i="24"/>
  <c r="CY302" i="24"/>
  <c r="DQ300" i="24"/>
  <c r="CL300" i="24"/>
  <c r="CW300" i="24"/>
  <c r="CX300" i="24" s="1"/>
  <c r="CY300" i="24"/>
  <c r="CU300" i="24"/>
  <c r="J77" i="23"/>
  <c r="L77" i="23" s="1"/>
  <c r="B25" i="2"/>
  <c r="AY7" i="19"/>
  <c r="BD7" i="19" s="1"/>
  <c r="BN7" i="19"/>
  <c r="AY8" i="19"/>
  <c r="BC8" i="19" s="1"/>
  <c r="BN8" i="19"/>
  <c r="AY6" i="19"/>
  <c r="BJ6" i="19" s="1"/>
  <c r="BN6" i="19"/>
  <c r="AY9" i="19"/>
  <c r="BN9" i="19"/>
  <c r="J67" i="23"/>
  <c r="L67" i="23" s="1"/>
  <c r="G71" i="23"/>
  <c r="H71" i="23" s="1"/>
  <c r="G17" i="23"/>
  <c r="H17" i="23" s="1"/>
  <c r="G32" i="23"/>
  <c r="H32" i="23" s="1"/>
  <c r="G54" i="23"/>
  <c r="H54" i="23" s="1"/>
  <c r="G101" i="23"/>
  <c r="H101" i="23" s="1"/>
  <c r="G30" i="23"/>
  <c r="H30" i="23" s="1"/>
  <c r="G51" i="23"/>
  <c r="H51" i="23" s="1"/>
  <c r="J103" i="23"/>
  <c r="K103" i="23" s="1"/>
  <c r="G25" i="23"/>
  <c r="H25" i="23" s="1"/>
  <c r="G80" i="23"/>
  <c r="H80" i="23" s="1"/>
  <c r="G21" i="23"/>
  <c r="H21" i="23" s="1"/>
  <c r="G105" i="23"/>
  <c r="H105" i="23" s="1"/>
  <c r="J63" i="23"/>
  <c r="L63" i="23" s="1"/>
  <c r="J88" i="23"/>
  <c r="K88" i="23" s="1"/>
  <c r="J49" i="23"/>
  <c r="K49" i="23" s="1"/>
  <c r="G92" i="23"/>
  <c r="H92" i="23" s="1"/>
  <c r="G22" i="23"/>
  <c r="H22" i="23" s="1"/>
  <c r="J20" i="23"/>
  <c r="L20" i="23" s="1"/>
  <c r="G53" i="23"/>
  <c r="H53" i="23" s="1"/>
  <c r="G73" i="23"/>
  <c r="H73" i="23" s="1"/>
  <c r="G46" i="23"/>
  <c r="H46" i="23" s="1"/>
  <c r="G6" i="23"/>
  <c r="H6" i="23" s="1"/>
  <c r="G94" i="23"/>
  <c r="H94" i="23" s="1"/>
  <c r="G90" i="23"/>
  <c r="H90" i="23" s="1"/>
  <c r="G14" i="23"/>
  <c r="H14" i="23" s="1"/>
  <c r="J60" i="23"/>
  <c r="K60" i="23" s="1"/>
  <c r="J10" i="8"/>
  <c r="B179" i="2" s="1"/>
  <c r="B243" i="2" s="1"/>
  <c r="J84" i="23"/>
  <c r="L84" i="23" s="1"/>
  <c r="G81" i="23"/>
  <c r="H81" i="23" s="1"/>
  <c r="G52" i="23"/>
  <c r="H52" i="23" s="1"/>
  <c r="G87" i="23"/>
  <c r="H87" i="23" s="1"/>
  <c r="G47" i="23"/>
  <c r="H47" i="23" s="1"/>
  <c r="G15" i="23"/>
  <c r="H15" i="23" s="1"/>
  <c r="G34" i="23"/>
  <c r="H34" i="23" s="1"/>
  <c r="Q34" i="23"/>
  <c r="Q44" i="23"/>
  <c r="Q106" i="23"/>
  <c r="Q14" i="23"/>
  <c r="Q81" i="23"/>
  <c r="Q91" i="23"/>
  <c r="Q6" i="23"/>
  <c r="Q48" i="23"/>
  <c r="Q82" i="23"/>
  <c r="Q93" i="23"/>
  <c r="Q22" i="23"/>
  <c r="Q99" i="23"/>
  <c r="Q42" i="23"/>
  <c r="Q35" i="23"/>
  <c r="Q9" i="23"/>
  <c r="Q78" i="23"/>
  <c r="Q75" i="23"/>
  <c r="Q88" i="23"/>
  <c r="Q63" i="23"/>
  <c r="Q101" i="23"/>
  <c r="Q29" i="23"/>
  <c r="Q98" i="23"/>
  <c r="Q19" i="23"/>
  <c r="Q12" i="23"/>
  <c r="Q89" i="23"/>
  <c r="Q33" i="23"/>
  <c r="Q38" i="23"/>
  <c r="Q102" i="23"/>
  <c r="Q27" i="23"/>
  <c r="Q95" i="23"/>
  <c r="Q37" i="23"/>
  <c r="Q58" i="23"/>
  <c r="Q7" i="23"/>
  <c r="Q28" i="23"/>
  <c r="Q47" i="23"/>
  <c r="J24" i="23"/>
  <c r="K24" i="23" s="1"/>
  <c r="J97" i="23"/>
  <c r="K97" i="23" s="1"/>
  <c r="H5" i="24"/>
  <c r="Q23" i="23"/>
  <c r="Q59" i="23"/>
  <c r="Q13" i="23"/>
  <c r="Q76" i="23"/>
  <c r="Q17" i="23"/>
  <c r="Q96" i="23"/>
  <c r="Q21" i="23"/>
  <c r="Q87" i="23"/>
  <c r="Q94" i="23"/>
  <c r="Q71" i="23"/>
  <c r="Q84" i="23"/>
  <c r="Q24" i="23"/>
  <c r="Q97" i="23"/>
  <c r="Q54" i="23"/>
  <c r="Q103" i="23"/>
  <c r="Q20" i="23"/>
  <c r="Q31" i="23"/>
  <c r="Q10" i="23"/>
  <c r="Q40" i="23"/>
  <c r="Q64" i="23"/>
  <c r="Q61" i="23"/>
  <c r="Q57" i="23"/>
  <c r="Q62" i="23"/>
  <c r="Q67" i="23"/>
  <c r="Q36" i="23"/>
  <c r="Q85" i="23"/>
  <c r="Q68" i="23"/>
  <c r="Q86" i="23"/>
  <c r="Q73" i="23"/>
  <c r="Q104" i="23"/>
  <c r="Q100" i="23"/>
  <c r="Q25" i="23"/>
  <c r="Q30" i="23"/>
  <c r="Q11" i="23"/>
  <c r="Q45" i="23"/>
  <c r="Q50" i="23"/>
  <c r="Q51" i="23"/>
  <c r="Q15" i="23"/>
  <c r="Q49" i="23"/>
  <c r="Q32" i="23"/>
  <c r="Q56" i="23"/>
  <c r="Q74" i="23"/>
  <c r="G82" i="23"/>
  <c r="H82" i="23" s="1"/>
  <c r="G102" i="23"/>
  <c r="H102" i="23" s="1"/>
  <c r="G13" i="23"/>
  <c r="H13" i="23" s="1"/>
  <c r="G104" i="23"/>
  <c r="H104" i="23" s="1"/>
  <c r="Q41" i="23"/>
  <c r="Q46" i="23"/>
  <c r="Q16" i="23"/>
  <c r="Q92" i="23"/>
  <c r="Q43" i="23"/>
  <c r="Q105" i="23"/>
  <c r="Q18" i="23"/>
  <c r="Q66" i="23"/>
  <c r="Q55" i="23"/>
  <c r="Q39" i="23"/>
  <c r="Q72" i="23"/>
  <c r="Q69" i="23"/>
  <c r="Q70" i="23"/>
  <c r="Q60" i="23"/>
  <c r="Q53" i="23"/>
  <c r="Q77" i="23"/>
  <c r="Q52" i="23"/>
  <c r="Q80" i="23"/>
  <c r="Q26" i="23"/>
  <c r="Q90" i="23"/>
  <c r="Q65" i="23"/>
  <c r="Q8" i="23"/>
  <c r="Q83" i="23"/>
  <c r="Q79" i="23"/>
  <c r="G85" i="23"/>
  <c r="H85" i="23" s="1"/>
  <c r="J83" i="23"/>
  <c r="L83" i="23" s="1"/>
  <c r="G12" i="23"/>
  <c r="H12" i="23" s="1"/>
  <c r="J65" i="23"/>
  <c r="L65" i="23" s="1"/>
  <c r="G61" i="23"/>
  <c r="H61" i="23" s="1"/>
  <c r="J58" i="23"/>
  <c r="L58" i="23" s="1"/>
  <c r="J100" i="23"/>
  <c r="K100" i="23" s="1"/>
  <c r="G26" i="23"/>
  <c r="H26" i="23" s="1"/>
  <c r="G91" i="23"/>
  <c r="H91" i="23" s="1"/>
  <c r="G40" i="23"/>
  <c r="H40" i="23" s="1"/>
  <c r="G55" i="23"/>
  <c r="H55" i="23" s="1"/>
  <c r="J74" i="23"/>
  <c r="L74" i="23" s="1"/>
  <c r="G35" i="23"/>
  <c r="H35" i="23" s="1"/>
  <c r="G68" i="23"/>
  <c r="H68" i="23" s="1"/>
  <c r="G29" i="23"/>
  <c r="H29" i="23" s="1"/>
  <c r="J72" i="23"/>
  <c r="K72" i="23" s="1"/>
  <c r="G45" i="23"/>
  <c r="H45" i="23" s="1"/>
  <c r="J66" i="23"/>
  <c r="L66" i="23" s="1"/>
  <c r="J95" i="23"/>
  <c r="K95" i="23" s="1"/>
  <c r="J93" i="23"/>
  <c r="L93" i="23" s="1"/>
  <c r="J42" i="23"/>
  <c r="L42" i="23" s="1"/>
  <c r="J57" i="23"/>
  <c r="K57" i="23" s="1"/>
  <c r="G37" i="23"/>
  <c r="H37" i="23" s="1"/>
  <c r="G50" i="23"/>
  <c r="H50" i="23" s="1"/>
  <c r="G64" i="23"/>
  <c r="H64" i="23" s="1"/>
  <c r="G18" i="23"/>
  <c r="H18" i="23" s="1"/>
  <c r="G10" i="23"/>
  <c r="H10" i="23" s="1"/>
  <c r="G28" i="23"/>
  <c r="H28" i="23" s="1"/>
  <c r="G8" i="23"/>
  <c r="H8" i="23" s="1"/>
  <c r="G19" i="23"/>
  <c r="H19" i="23" s="1"/>
  <c r="K26" i="23"/>
  <c r="L26" i="23"/>
  <c r="K44" i="23"/>
  <c r="L44" i="23"/>
  <c r="K102" i="23"/>
  <c r="L102" i="23"/>
  <c r="L56" i="23"/>
  <c r="K56" i="23"/>
  <c r="L35" i="23"/>
  <c r="K35" i="23"/>
  <c r="K13" i="23"/>
  <c r="L13" i="23"/>
  <c r="K30" i="23"/>
  <c r="L30" i="23"/>
  <c r="K73" i="23"/>
  <c r="L73" i="23"/>
  <c r="L16" i="23"/>
  <c r="K16" i="23"/>
  <c r="L43" i="23"/>
  <c r="K43" i="23"/>
  <c r="K33" i="23"/>
  <c r="L33" i="23"/>
  <c r="K92" i="23"/>
  <c r="L92" i="23"/>
  <c r="L59" i="23"/>
  <c r="K59" i="23"/>
  <c r="L104" i="23"/>
  <c r="K104" i="23"/>
  <c r="L47" i="23"/>
  <c r="K47" i="23"/>
  <c r="K45" i="23"/>
  <c r="L45" i="23"/>
  <c r="K101" i="23"/>
  <c r="L101" i="23"/>
  <c r="K37" i="23"/>
  <c r="L37" i="23"/>
  <c r="L79" i="23"/>
  <c r="K79" i="23"/>
  <c r="K22" i="23"/>
  <c r="L22" i="23"/>
  <c r="L12" i="23"/>
  <c r="K12" i="23"/>
  <c r="L39" i="23"/>
  <c r="K39" i="23"/>
  <c r="K21" i="23"/>
  <c r="L21" i="23"/>
  <c r="L75" i="23"/>
  <c r="K75" i="23"/>
  <c r="K17" i="23"/>
  <c r="L17" i="23"/>
  <c r="L71" i="23"/>
  <c r="K71" i="23"/>
  <c r="K69" i="23"/>
  <c r="L69" i="23"/>
  <c r="K9" i="23"/>
  <c r="L9" i="23"/>
  <c r="K29" i="23"/>
  <c r="L29" i="23"/>
  <c r="K14" i="23"/>
  <c r="L14" i="23"/>
  <c r="K53" i="23"/>
  <c r="L53" i="23"/>
  <c r="L55" i="23"/>
  <c r="K55" i="23"/>
  <c r="L51" i="23"/>
  <c r="K51" i="23"/>
  <c r="K41" i="23"/>
  <c r="L41" i="23"/>
  <c r="L96" i="23"/>
  <c r="K96" i="23"/>
  <c r="K82" i="23"/>
  <c r="L82" i="23"/>
  <c r="K50" i="23"/>
  <c r="L50" i="23"/>
  <c r="L6" i="23"/>
  <c r="K6" i="23"/>
  <c r="K61" i="23"/>
  <c r="L61" i="23"/>
  <c r="L7" i="23"/>
  <c r="K7" i="23"/>
  <c r="L87" i="23"/>
  <c r="K87" i="23"/>
  <c r="K85" i="23"/>
  <c r="L85" i="23"/>
  <c r="K25" i="23"/>
  <c r="L25" i="23"/>
  <c r="L91" i="23"/>
  <c r="K91" i="23"/>
  <c r="K38" i="23"/>
  <c r="L38" i="23"/>
  <c r="K81" i="23"/>
  <c r="L81" i="23"/>
  <c r="L31" i="23"/>
  <c r="K31" i="23"/>
  <c r="K106" i="23"/>
  <c r="L106" i="23"/>
  <c r="L80" i="23"/>
  <c r="K80" i="23"/>
  <c r="L8" i="23"/>
  <c r="K8" i="23"/>
  <c r="K54" i="23"/>
  <c r="L54" i="23"/>
  <c r="K28" i="23"/>
  <c r="L28" i="23"/>
  <c r="K70" i="23"/>
  <c r="L70" i="23"/>
  <c r="L40" i="23"/>
  <c r="K40" i="23"/>
  <c r="L19" i="23"/>
  <c r="K19" i="23"/>
  <c r="K78" i="23"/>
  <c r="L78" i="23"/>
  <c r="K68" i="23"/>
  <c r="L68" i="23"/>
  <c r="L15" i="23"/>
  <c r="K15" i="23"/>
  <c r="L64" i="23"/>
  <c r="K64" i="23"/>
  <c r="L27" i="23"/>
  <c r="K27" i="23"/>
  <c r="K76" i="23"/>
  <c r="L76" i="23"/>
  <c r="L99" i="23"/>
  <c r="K99" i="23"/>
  <c r="K46" i="23"/>
  <c r="L46" i="23"/>
  <c r="K89" i="23"/>
  <c r="L89" i="23"/>
  <c r="K94" i="23"/>
  <c r="L94" i="23"/>
  <c r="K52" i="23"/>
  <c r="L52" i="23"/>
  <c r="L48" i="23"/>
  <c r="K48" i="23"/>
  <c r="L11" i="23"/>
  <c r="K11" i="23"/>
  <c r="K62" i="23"/>
  <c r="L62" i="23"/>
  <c r="L23" i="23"/>
  <c r="K23" i="23"/>
  <c r="K86" i="23"/>
  <c r="L86" i="23"/>
  <c r="K10" i="23"/>
  <c r="L10" i="23"/>
  <c r="K36" i="23"/>
  <c r="L36" i="23"/>
  <c r="K105" i="23"/>
  <c r="L105" i="23"/>
  <c r="L32" i="23"/>
  <c r="K32" i="23"/>
  <c r="K18" i="23"/>
  <c r="L18" i="23"/>
  <c r="K98" i="23"/>
  <c r="L98" i="23"/>
  <c r="K90" i="23"/>
  <c r="L90" i="23"/>
  <c r="K34" i="23"/>
  <c r="L34" i="23"/>
  <c r="C253" i="2"/>
  <c r="B253" i="2"/>
  <c r="B169" i="2"/>
  <c r="A212" i="2"/>
  <c r="F253" i="2"/>
  <c r="B254" i="2"/>
  <c r="H254" i="2"/>
  <c r="C49" i="16" s="1"/>
  <c r="F166" i="2"/>
  <c r="E51" i="1" s="1"/>
  <c r="A213" i="2" s="1"/>
  <c r="G166" i="2"/>
  <c r="G254" i="2"/>
  <c r="C254" i="2"/>
  <c r="A254" i="2" s="1"/>
  <c r="B168" i="2"/>
  <c r="AO2" i="19"/>
  <c r="H257" i="2"/>
  <c r="F257" i="2"/>
  <c r="K57" i="16"/>
  <c r="M57" i="16" s="1"/>
  <c r="B219" i="2"/>
  <c r="A219" i="2"/>
  <c r="E43" i="1"/>
  <c r="A2" i="21"/>
  <c r="K54" i="2"/>
  <c r="G89" i="19"/>
  <c r="G64" i="19"/>
  <c r="G65" i="19"/>
  <c r="G90" i="19"/>
  <c r="G91" i="19"/>
  <c r="AY106" i="19"/>
  <c r="G66" i="19"/>
  <c r="BN106" i="19"/>
  <c r="DB212" i="25" l="1"/>
  <c r="CV110" i="25"/>
  <c r="B42" i="2"/>
  <c r="CW110" i="25"/>
  <c r="CO110" i="25" s="1"/>
  <c r="DH110" i="25" s="1"/>
  <c r="CU110" i="25"/>
  <c r="FD110" i="25"/>
  <c r="B96" i="2"/>
  <c r="B97" i="2" s="1"/>
  <c r="L6" i="1"/>
  <c r="M76" i="1"/>
  <c r="L76" i="1"/>
  <c r="L77" i="1" s="1"/>
  <c r="E75" i="1"/>
  <c r="B38" i="2"/>
  <c r="D25" i="29"/>
  <c r="Q3" i="29" s="1"/>
  <c r="B27" i="29"/>
  <c r="D27" i="29" s="1"/>
  <c r="DH212" i="25"/>
  <c r="DA212" i="25"/>
  <c r="DD212" i="25" s="1"/>
  <c r="DE212" i="25" s="1"/>
  <c r="DF212" i="25" s="1"/>
  <c r="DM212" i="25" s="1"/>
  <c r="DW212" i="25" s="1"/>
  <c r="DS193" i="25"/>
  <c r="DS204" i="25"/>
  <c r="DS203" i="25"/>
  <c r="DS99" i="25"/>
  <c r="DS96" i="25"/>
  <c r="DS194" i="25"/>
  <c r="DS206" i="25"/>
  <c r="DS209" i="25"/>
  <c r="DS100" i="25"/>
  <c r="DS201" i="25"/>
  <c r="DS205" i="25"/>
  <c r="DS105" i="25"/>
  <c r="DS103" i="25"/>
  <c r="DS198" i="25"/>
  <c r="DS102" i="25"/>
  <c r="DS202" i="25"/>
  <c r="DS200" i="25"/>
  <c r="DS199" i="25"/>
  <c r="DS196" i="25"/>
  <c r="DS97" i="25"/>
  <c r="DS197" i="25"/>
  <c r="DS208" i="25"/>
  <c r="DS101" i="25"/>
  <c r="DS207" i="25"/>
  <c r="DS210" i="25"/>
  <c r="DS98" i="25"/>
  <c r="DS104" i="25"/>
  <c r="DS195" i="25"/>
  <c r="DS91" i="25"/>
  <c r="DS94" i="25"/>
  <c r="DS93" i="25"/>
  <c r="DS95" i="25"/>
  <c r="DS92" i="25"/>
  <c r="DT120" i="24"/>
  <c r="DT189" i="24"/>
  <c r="DT157" i="24"/>
  <c r="DT153" i="24"/>
  <c r="DT193" i="24"/>
  <c r="DT204" i="24"/>
  <c r="DT202" i="24"/>
  <c r="DT155" i="24"/>
  <c r="DT198" i="24"/>
  <c r="DT180" i="24"/>
  <c r="DT117" i="24"/>
  <c r="DT174" i="24"/>
  <c r="DT139" i="24"/>
  <c r="DT192" i="24"/>
  <c r="DT115" i="24"/>
  <c r="DT133" i="24"/>
  <c r="DT143" i="24"/>
  <c r="DT129" i="24"/>
  <c r="DT183" i="24"/>
  <c r="DT134" i="24"/>
  <c r="DT184" i="24"/>
  <c r="DT137" i="24"/>
  <c r="DT195" i="24"/>
  <c r="DT128" i="24"/>
  <c r="DT140" i="24"/>
  <c r="DT122" i="24"/>
  <c r="DT208" i="24"/>
  <c r="DT179" i="24"/>
  <c r="DT123" i="24"/>
  <c r="DT150" i="24"/>
  <c r="DT116" i="24"/>
  <c r="DT191" i="24"/>
  <c r="DT112" i="24"/>
  <c r="DT170" i="24"/>
  <c r="DT169" i="24"/>
  <c r="DT126" i="24"/>
  <c r="DT163" i="24"/>
  <c r="DT197" i="24"/>
  <c r="DT121" i="24"/>
  <c r="DT159" i="24"/>
  <c r="DT141" i="24"/>
  <c r="DT201" i="24"/>
  <c r="DT138" i="24"/>
  <c r="DT118" i="24"/>
  <c r="DT200" i="24"/>
  <c r="DT111" i="24"/>
  <c r="DT182" i="24"/>
  <c r="DT152" i="24"/>
  <c r="DT210" i="24"/>
  <c r="H67" i="2" s="1"/>
  <c r="DT147" i="24"/>
  <c r="DT149" i="24"/>
  <c r="DT181" i="24"/>
  <c r="DT135" i="24"/>
  <c r="DT144" i="24"/>
  <c r="DT158" i="24"/>
  <c r="DT130" i="24"/>
  <c r="DT190" i="24"/>
  <c r="DT167" i="24"/>
  <c r="DT119" i="24"/>
  <c r="DT206" i="24"/>
  <c r="DT146" i="24"/>
  <c r="DT156" i="24"/>
  <c r="DT185" i="24"/>
  <c r="DT199" i="24"/>
  <c r="DT131" i="24"/>
  <c r="DT207" i="24"/>
  <c r="DT176" i="24"/>
  <c r="DT124" i="24"/>
  <c r="DT151" i="24"/>
  <c r="DT171" i="24"/>
  <c r="DT132" i="24"/>
  <c r="DT209" i="24"/>
  <c r="DT113" i="24"/>
  <c r="DT173" i="24"/>
  <c r="DT188" i="24"/>
  <c r="DT148" i="24"/>
  <c r="DT203" i="24"/>
  <c r="DT136" i="24"/>
  <c r="DT162" i="24"/>
  <c r="DT187" i="24"/>
  <c r="DT172" i="24"/>
  <c r="DT154" i="24"/>
  <c r="DT186" i="24"/>
  <c r="DT165" i="24"/>
  <c r="DT178" i="24"/>
  <c r="DT142" i="24"/>
  <c r="DT196" i="24"/>
  <c r="DT161" i="24"/>
  <c r="DT177" i="24"/>
  <c r="DT205" i="24"/>
  <c r="DT194" i="24"/>
  <c r="DT164" i="24"/>
  <c r="DT175" i="24"/>
  <c r="DT166" i="24"/>
  <c r="DT160" i="24"/>
  <c r="DT125" i="24"/>
  <c r="DT145" i="24"/>
  <c r="DT114" i="24"/>
  <c r="DT127" i="24"/>
  <c r="DT168" i="24"/>
  <c r="FD266" i="25"/>
  <c r="FD232" i="25"/>
  <c r="FD305" i="25"/>
  <c r="FD235" i="25"/>
  <c r="FD216" i="25"/>
  <c r="FD241" i="25"/>
  <c r="FD269" i="25"/>
  <c r="FD277" i="25"/>
  <c r="FD237" i="25"/>
  <c r="FD276" i="25"/>
  <c r="FD307" i="25"/>
  <c r="FD238" i="25"/>
  <c r="FD242" i="25"/>
  <c r="FD226" i="25"/>
  <c r="FD294" i="25"/>
  <c r="FD275" i="25"/>
  <c r="FD295" i="25"/>
  <c r="FD154" i="25"/>
  <c r="FD250" i="25"/>
  <c r="FD306" i="25"/>
  <c r="FD262" i="25"/>
  <c r="FD280" i="25"/>
  <c r="FD244" i="25"/>
  <c r="FD285" i="25"/>
  <c r="FD283" i="25"/>
  <c r="FD234" i="25"/>
  <c r="FD274" i="25"/>
  <c r="FD230" i="25"/>
  <c r="FD259" i="25"/>
  <c r="FD300" i="25"/>
  <c r="FD292" i="25"/>
  <c r="FD249" i="25"/>
  <c r="FD314" i="25"/>
  <c r="FD248" i="25"/>
  <c r="FD222" i="25"/>
  <c r="FD291" i="25"/>
  <c r="FD281" i="25"/>
  <c r="FD279" i="25"/>
  <c r="FD299" i="25"/>
  <c r="FD217" i="25"/>
  <c r="FD229" i="25"/>
  <c r="FD296" i="25"/>
  <c r="FD264" i="25"/>
  <c r="FD272" i="25"/>
  <c r="FD270" i="25"/>
  <c r="FD255" i="25"/>
  <c r="FD219" i="25"/>
  <c r="FD312" i="25"/>
  <c r="FD287" i="25"/>
  <c r="FD289" i="25"/>
  <c r="FD223" i="25"/>
  <c r="FD302" i="25"/>
  <c r="FD290" i="25"/>
  <c r="FD254" i="25"/>
  <c r="FD227" i="25"/>
  <c r="FD245" i="25"/>
  <c r="FD231" i="25"/>
  <c r="FD282" i="25"/>
  <c r="FD261" i="25"/>
  <c r="FD288" i="25"/>
  <c r="FD304" i="25"/>
  <c r="FD268" i="25"/>
  <c r="FD310" i="25"/>
  <c r="FD253" i="25"/>
  <c r="FD278" i="25"/>
  <c r="FD303" i="25"/>
  <c r="FD256" i="25"/>
  <c r="FD284" i="25"/>
  <c r="FD221" i="25"/>
  <c r="FD308" i="25"/>
  <c r="FD228" i="25"/>
  <c r="FD313" i="25"/>
  <c r="FD301" i="25"/>
  <c r="FD267" i="25"/>
  <c r="FD240" i="25"/>
  <c r="FD239" i="25"/>
  <c r="FD293" i="25"/>
  <c r="FD263" i="25"/>
  <c r="FD316" i="25"/>
  <c r="FD252" i="25"/>
  <c r="FD286" i="25"/>
  <c r="FD246" i="25"/>
  <c r="FD224" i="25"/>
  <c r="FD273" i="25"/>
  <c r="FD311" i="25"/>
  <c r="FD257" i="25"/>
  <c r="FD265" i="25"/>
  <c r="FD258" i="25"/>
  <c r="FD297" i="25"/>
  <c r="FD271" i="25"/>
  <c r="FD236" i="25"/>
  <c r="FD218" i="25"/>
  <c r="FD220" i="25"/>
  <c r="FD298" i="25"/>
  <c r="FD260" i="25"/>
  <c r="FD309" i="25"/>
  <c r="FD315" i="25"/>
  <c r="FD247" i="25"/>
  <c r="FD251" i="25"/>
  <c r="B40" i="2"/>
  <c r="FD112" i="25"/>
  <c r="DL112" i="25"/>
  <c r="DS112" i="25"/>
  <c r="DA112" i="25"/>
  <c r="DD112" i="25" s="1"/>
  <c r="DE112" i="25" s="1"/>
  <c r="DF112" i="25" s="1"/>
  <c r="DH112" i="25"/>
  <c r="CY112" i="25"/>
  <c r="CZ112" i="25"/>
  <c r="CZ110" i="24"/>
  <c r="DC110" i="24" s="1"/>
  <c r="DN5" i="24"/>
  <c r="DZ5" i="24" s="1"/>
  <c r="FD27" i="25"/>
  <c r="CW216" i="25"/>
  <c r="FD51" i="25"/>
  <c r="DS24" i="25"/>
  <c r="FD31" i="25"/>
  <c r="CV216" i="25"/>
  <c r="CU216" i="25"/>
  <c r="DS87" i="25"/>
  <c r="DN110" i="24"/>
  <c r="DX110" i="24" s="1"/>
  <c r="DJ5" i="24"/>
  <c r="DK5" i="24"/>
  <c r="DJ110" i="24"/>
  <c r="DK110" i="24"/>
  <c r="DI216" i="24"/>
  <c r="DM216" i="24"/>
  <c r="DB216" i="24"/>
  <c r="DE216" i="24" s="1"/>
  <c r="DF216" i="24" s="1"/>
  <c r="DG216" i="24" s="1"/>
  <c r="DA216" i="24"/>
  <c r="CZ216" i="24"/>
  <c r="DT35" i="24"/>
  <c r="DT289" i="24"/>
  <c r="DT221" i="24"/>
  <c r="DT37" i="24"/>
  <c r="DT50" i="24"/>
  <c r="FD19" i="25"/>
  <c r="DS9" i="25"/>
  <c r="DS83" i="25"/>
  <c r="DS49" i="25"/>
  <c r="DS245" i="25"/>
  <c r="DA180" i="25"/>
  <c r="DD180" i="25" s="1"/>
  <c r="DE180" i="25" s="1"/>
  <c r="DF180" i="25" s="1"/>
  <c r="DH180" i="25"/>
  <c r="DA122" i="25"/>
  <c r="DD122" i="25" s="1"/>
  <c r="DE122" i="25" s="1"/>
  <c r="DF122" i="25" s="1"/>
  <c r="DH122" i="25"/>
  <c r="DL271" i="25"/>
  <c r="DS271" i="25"/>
  <c r="DL231" i="25"/>
  <c r="DS231" i="25"/>
  <c r="DS166" i="25"/>
  <c r="FD166" i="25"/>
  <c r="DL166" i="25"/>
  <c r="DS279" i="25"/>
  <c r="DL279" i="25"/>
  <c r="CY204" i="25"/>
  <c r="CZ204" i="25"/>
  <c r="CY165" i="25"/>
  <c r="CZ165" i="25"/>
  <c r="DL274" i="25"/>
  <c r="DS274" i="25"/>
  <c r="CY32" i="25"/>
  <c r="CZ32" i="25"/>
  <c r="CZ101" i="25"/>
  <c r="CY101" i="25"/>
  <c r="DL36" i="25"/>
  <c r="FD36" i="25"/>
  <c r="DS36" i="25"/>
  <c r="DA203" i="25"/>
  <c r="DD203" i="25" s="1"/>
  <c r="DE203" i="25" s="1"/>
  <c r="DF203" i="25" s="1"/>
  <c r="DH203" i="25"/>
  <c r="CY315" i="25"/>
  <c r="CZ315" i="25"/>
  <c r="DA233" i="25"/>
  <c r="DD233" i="25" s="1"/>
  <c r="DE233" i="25" s="1"/>
  <c r="DF233" i="25" s="1"/>
  <c r="DH233" i="25"/>
  <c r="DA241" i="25"/>
  <c r="DD241" i="25" s="1"/>
  <c r="DE241" i="25" s="1"/>
  <c r="DF241" i="25" s="1"/>
  <c r="DH241" i="25"/>
  <c r="DA57" i="25"/>
  <c r="DD57" i="25" s="1"/>
  <c r="DE57" i="25" s="1"/>
  <c r="DF57" i="25" s="1"/>
  <c r="DH57" i="25"/>
  <c r="DH276" i="25"/>
  <c r="DA276" i="25"/>
  <c r="DD276" i="25" s="1"/>
  <c r="DE276" i="25" s="1"/>
  <c r="DF276" i="25" s="1"/>
  <c r="CZ7" i="25"/>
  <c r="DB7" i="25" s="1"/>
  <c r="DH7" i="25"/>
  <c r="DA7" i="25"/>
  <c r="DD7" i="25" s="1"/>
  <c r="DE7" i="25" s="1"/>
  <c r="DF7" i="25" s="1"/>
  <c r="DM7" i="25" s="1"/>
  <c r="CZ278" i="25"/>
  <c r="CY278" i="25"/>
  <c r="CY221" i="25"/>
  <c r="CZ221" i="25"/>
  <c r="DL297" i="25"/>
  <c r="DS264" i="25"/>
  <c r="DL264" i="25"/>
  <c r="CY304" i="25"/>
  <c r="CZ304" i="25"/>
  <c r="DL127" i="25"/>
  <c r="FD127" i="25"/>
  <c r="DS127" i="25"/>
  <c r="CZ201" i="25"/>
  <c r="CY201" i="25"/>
  <c r="CY99" i="25"/>
  <c r="CZ99" i="25"/>
  <c r="DL62" i="25"/>
  <c r="DS62" i="25"/>
  <c r="FD62" i="25"/>
  <c r="CZ144" i="25"/>
  <c r="CY144" i="25"/>
  <c r="FD116" i="25"/>
  <c r="DS116" i="25"/>
  <c r="DL116" i="25"/>
  <c r="DS113" i="25"/>
  <c r="FD113" i="25"/>
  <c r="DL113" i="25"/>
  <c r="CY160" i="25"/>
  <c r="CZ160" i="25"/>
  <c r="FD26" i="25"/>
  <c r="DS26" i="25"/>
  <c r="DL26" i="25"/>
  <c r="DL240" i="25"/>
  <c r="DS240" i="25"/>
  <c r="DH206" i="25"/>
  <c r="DA206" i="25"/>
  <c r="DD206" i="25" s="1"/>
  <c r="DE206" i="25" s="1"/>
  <c r="DF206" i="25" s="1"/>
  <c r="DA60" i="25"/>
  <c r="DD60" i="25" s="1"/>
  <c r="DE60" i="25" s="1"/>
  <c r="DF60" i="25" s="1"/>
  <c r="DH60" i="25"/>
  <c r="DH269" i="25"/>
  <c r="DA269" i="25"/>
  <c r="DD269" i="25" s="1"/>
  <c r="DE269" i="25" s="1"/>
  <c r="DF269" i="25" s="1"/>
  <c r="DH14" i="25"/>
  <c r="DA14" i="25"/>
  <c r="DD14" i="25" s="1"/>
  <c r="DE14" i="25" s="1"/>
  <c r="DF14" i="25" s="1"/>
  <c r="FD50" i="25"/>
  <c r="DL50" i="25"/>
  <c r="DS50" i="25"/>
  <c r="DH174" i="25"/>
  <c r="DA174" i="25"/>
  <c r="DD174" i="25" s="1"/>
  <c r="DE174" i="25" s="1"/>
  <c r="DF174" i="25" s="1"/>
  <c r="DH92" i="25"/>
  <c r="DA92" i="25"/>
  <c r="DD92" i="25" s="1"/>
  <c r="DE92" i="25" s="1"/>
  <c r="DF92" i="25" s="1"/>
  <c r="DA239" i="25"/>
  <c r="DD239" i="25" s="1"/>
  <c r="DE239" i="25" s="1"/>
  <c r="DF239" i="25" s="1"/>
  <c r="DH239" i="25"/>
  <c r="CZ164" i="25"/>
  <c r="DB164" i="25" s="1"/>
  <c r="DH164" i="25"/>
  <c r="DA164" i="25"/>
  <c r="DD164" i="25" s="1"/>
  <c r="DE164" i="25" s="1"/>
  <c r="DF164" i="25" s="1"/>
  <c r="DL220" i="25"/>
  <c r="DS220" i="25"/>
  <c r="CY186" i="25"/>
  <c r="CZ186" i="25"/>
  <c r="CY271" i="25"/>
  <c r="CZ271" i="25"/>
  <c r="DS311" i="25"/>
  <c r="DL311" i="25"/>
  <c r="DL261" i="25"/>
  <c r="DS261" i="25"/>
  <c r="DS282" i="25"/>
  <c r="DL282" i="25"/>
  <c r="CZ134" i="25"/>
  <c r="CY134" i="25"/>
  <c r="CZ312" i="25"/>
  <c r="CY312" i="25"/>
  <c r="CZ196" i="25"/>
  <c r="CY196" i="25"/>
  <c r="CY61" i="25"/>
  <c r="CZ61" i="25"/>
  <c r="DH56" i="25"/>
  <c r="DA56" i="25"/>
  <c r="DD56" i="25" s="1"/>
  <c r="DE56" i="25" s="1"/>
  <c r="DF56" i="25" s="1"/>
  <c r="DA190" i="25"/>
  <c r="DD190" i="25" s="1"/>
  <c r="DE190" i="25" s="1"/>
  <c r="DF190" i="25" s="1"/>
  <c r="DH190" i="25"/>
  <c r="DH147" i="25"/>
  <c r="DA147" i="25"/>
  <c r="DD147" i="25" s="1"/>
  <c r="DE147" i="25" s="1"/>
  <c r="DF147" i="25" s="1"/>
  <c r="DA32" i="25"/>
  <c r="DD32" i="25" s="1"/>
  <c r="DE32" i="25" s="1"/>
  <c r="DF32" i="25" s="1"/>
  <c r="DH32" i="25"/>
  <c r="DA210" i="25"/>
  <c r="DD210" i="25" s="1"/>
  <c r="DE210" i="25" s="1"/>
  <c r="DF210" i="25" s="1"/>
  <c r="DH210" i="25"/>
  <c r="DA78" i="25"/>
  <c r="DD78" i="25" s="1"/>
  <c r="DE78" i="25" s="1"/>
  <c r="DF78" i="25" s="1"/>
  <c r="DH78" i="25"/>
  <c r="DL221" i="25"/>
  <c r="DS221" i="25"/>
  <c r="CZ206" i="25"/>
  <c r="CY206" i="25"/>
  <c r="DL304" i="25"/>
  <c r="DS304" i="25"/>
  <c r="CY62" i="25"/>
  <c r="CZ62" i="25"/>
  <c r="CY35" i="25"/>
  <c r="CZ35" i="25"/>
  <c r="CY31" i="25"/>
  <c r="CZ31" i="25"/>
  <c r="DL160" i="25"/>
  <c r="FD160" i="25"/>
  <c r="DS160" i="25"/>
  <c r="DH105" i="25"/>
  <c r="DA105" i="25"/>
  <c r="DD105" i="25" s="1"/>
  <c r="DE105" i="25" s="1"/>
  <c r="DF105" i="25" s="1"/>
  <c r="DH15" i="25"/>
  <c r="DA15" i="25"/>
  <c r="DD15" i="25" s="1"/>
  <c r="DE15" i="25" s="1"/>
  <c r="DF15" i="25" s="1"/>
  <c r="DL219" i="25"/>
  <c r="DS219" i="25"/>
  <c r="CY16" i="25"/>
  <c r="CZ16" i="25"/>
  <c r="CZ226" i="25"/>
  <c r="DB226" i="25" s="1"/>
  <c r="DH226" i="25"/>
  <c r="DA226" i="25"/>
  <c r="DD226" i="25" s="1"/>
  <c r="DE226" i="25" s="1"/>
  <c r="DF226" i="25" s="1"/>
  <c r="DH59" i="25"/>
  <c r="DA59" i="25"/>
  <c r="DD59" i="25" s="1"/>
  <c r="DE59" i="25" s="1"/>
  <c r="DF59" i="25" s="1"/>
  <c r="CY167" i="25"/>
  <c r="CZ167" i="25"/>
  <c r="CZ229" i="25"/>
  <c r="CY229" i="25"/>
  <c r="DL202" i="25"/>
  <c r="FD202" i="25"/>
  <c r="DL224" i="25"/>
  <c r="DS224" i="25"/>
  <c r="DS123" i="25"/>
  <c r="DL123" i="25"/>
  <c r="FD123" i="25"/>
  <c r="DL150" i="25"/>
  <c r="DS150" i="25"/>
  <c r="FD150" i="25"/>
  <c r="DL41" i="25"/>
  <c r="FD41" i="25"/>
  <c r="DS41" i="25"/>
  <c r="DH191" i="25"/>
  <c r="DA191" i="25"/>
  <c r="DD191" i="25" s="1"/>
  <c r="DE191" i="25" s="1"/>
  <c r="DF191" i="25" s="1"/>
  <c r="DA275" i="25"/>
  <c r="DD275" i="25" s="1"/>
  <c r="DE275" i="25" s="1"/>
  <c r="DF275" i="25" s="1"/>
  <c r="DH275" i="25"/>
  <c r="DH45" i="25"/>
  <c r="DA45" i="25"/>
  <c r="DD45" i="25" s="1"/>
  <c r="DE45" i="25" s="1"/>
  <c r="DF45" i="25" s="1"/>
  <c r="DS299" i="25"/>
  <c r="DL299" i="25"/>
  <c r="DL291" i="25"/>
  <c r="DS291" i="25"/>
  <c r="DS124" i="25"/>
  <c r="FD124" i="25"/>
  <c r="DL124" i="25"/>
  <c r="DL32" i="25"/>
  <c r="DS32" i="25"/>
  <c r="FD32" i="25"/>
  <c r="DS134" i="25"/>
  <c r="FD134" i="25"/>
  <c r="DL134" i="25"/>
  <c r="DL312" i="25"/>
  <c r="DS312" i="25"/>
  <c r="DL286" i="25"/>
  <c r="DS286" i="25"/>
  <c r="FD196" i="25"/>
  <c r="DL196" i="25"/>
  <c r="CZ67" i="25"/>
  <c r="CY67" i="25"/>
  <c r="CY103" i="25"/>
  <c r="CZ103" i="25"/>
  <c r="DL131" i="25"/>
  <c r="DS131" i="25"/>
  <c r="FD131" i="25"/>
  <c r="DH67" i="25"/>
  <c r="DA67" i="25"/>
  <c r="DD67" i="25" s="1"/>
  <c r="DE67" i="25" s="1"/>
  <c r="DF67" i="25" s="1"/>
  <c r="DL236" i="25"/>
  <c r="DS236" i="25"/>
  <c r="CY234" i="25"/>
  <c r="CZ234" i="25"/>
  <c r="DH83" i="25"/>
  <c r="DA83" i="25"/>
  <c r="DD83" i="25" s="1"/>
  <c r="DE83" i="25" s="1"/>
  <c r="DF83" i="25" s="1"/>
  <c r="DA80" i="25"/>
  <c r="DD80" i="25" s="1"/>
  <c r="DE80" i="25" s="1"/>
  <c r="DF80" i="25" s="1"/>
  <c r="DH80" i="25"/>
  <c r="DH42" i="25"/>
  <c r="DA42" i="25"/>
  <c r="DD42" i="25" s="1"/>
  <c r="DE42" i="25" s="1"/>
  <c r="DF42" i="25" s="1"/>
  <c r="DH302" i="25"/>
  <c r="DA302" i="25"/>
  <c r="DD302" i="25" s="1"/>
  <c r="DE302" i="25" s="1"/>
  <c r="DF302" i="25" s="1"/>
  <c r="DS303" i="25"/>
  <c r="DL303" i="25"/>
  <c r="CY264" i="25"/>
  <c r="CZ264" i="25"/>
  <c r="FD201" i="25"/>
  <c r="DL201" i="25"/>
  <c r="FD54" i="25"/>
  <c r="DS54" i="25"/>
  <c r="DL54" i="25"/>
  <c r="DL265" i="25"/>
  <c r="DS265" i="25"/>
  <c r="FD144" i="25"/>
  <c r="DS144" i="25"/>
  <c r="DL144" i="25"/>
  <c r="CY97" i="25"/>
  <c r="CZ97" i="25"/>
  <c r="CZ26" i="25"/>
  <c r="CY26" i="25"/>
  <c r="DH277" i="25"/>
  <c r="DA277" i="25"/>
  <c r="DD277" i="25" s="1"/>
  <c r="DE277" i="25" s="1"/>
  <c r="DF277" i="25" s="1"/>
  <c r="DH304" i="25"/>
  <c r="DA304" i="25"/>
  <c r="DD304" i="25" s="1"/>
  <c r="DE304" i="25" s="1"/>
  <c r="DF304" i="25" s="1"/>
  <c r="DA97" i="25"/>
  <c r="DD97" i="25" s="1"/>
  <c r="DE97" i="25" s="1"/>
  <c r="DF97" i="25" s="1"/>
  <c r="DH97" i="25"/>
  <c r="DH98" i="25"/>
  <c r="DA98" i="25"/>
  <c r="DD98" i="25" s="1"/>
  <c r="DE98" i="25" s="1"/>
  <c r="DF98" i="25" s="1"/>
  <c r="DH35" i="25"/>
  <c r="DA35" i="25"/>
  <c r="DD35" i="25" s="1"/>
  <c r="DE35" i="25" s="1"/>
  <c r="DF35" i="25" s="1"/>
  <c r="DH158" i="25"/>
  <c r="DA158" i="25"/>
  <c r="DD158" i="25" s="1"/>
  <c r="DE158" i="25" s="1"/>
  <c r="DF158" i="25" s="1"/>
  <c r="CZ299" i="25"/>
  <c r="CY299" i="25"/>
  <c r="CY311" i="25"/>
  <c r="CZ311" i="25"/>
  <c r="CY291" i="25"/>
  <c r="CZ291" i="25"/>
  <c r="DL56" i="25"/>
  <c r="DS56" i="25"/>
  <c r="FD56" i="25"/>
  <c r="CY286" i="25"/>
  <c r="CZ286" i="25"/>
  <c r="CZ131" i="25"/>
  <c r="CY131" i="25"/>
  <c r="CZ132" i="25"/>
  <c r="CY132" i="25"/>
  <c r="CY163" i="25"/>
  <c r="CZ163" i="25"/>
  <c r="CZ259" i="25"/>
  <c r="DB259" i="25" s="1"/>
  <c r="DH259" i="25"/>
  <c r="DA259" i="25"/>
  <c r="DD259" i="25" s="1"/>
  <c r="DE259" i="25" s="1"/>
  <c r="DF259" i="25" s="1"/>
  <c r="DL234" i="25"/>
  <c r="DS234" i="25"/>
  <c r="DL18" i="25"/>
  <c r="DS18" i="25"/>
  <c r="FD18" i="25"/>
  <c r="DH173" i="25"/>
  <c r="DA173" i="25"/>
  <c r="DD173" i="25" s="1"/>
  <c r="DE173" i="25" s="1"/>
  <c r="DF173" i="25" s="1"/>
  <c r="DH231" i="25"/>
  <c r="DA231" i="25"/>
  <c r="DD231" i="25" s="1"/>
  <c r="DE231" i="25" s="1"/>
  <c r="DF231" i="25" s="1"/>
  <c r="DA120" i="25"/>
  <c r="DD120" i="25" s="1"/>
  <c r="DE120" i="25" s="1"/>
  <c r="DF120" i="25" s="1"/>
  <c r="DH120" i="25"/>
  <c r="DH267" i="25"/>
  <c r="DA267" i="25"/>
  <c r="DD267" i="25" s="1"/>
  <c r="DE267" i="25" s="1"/>
  <c r="DF267" i="25" s="1"/>
  <c r="DH47" i="25"/>
  <c r="DA47" i="25"/>
  <c r="DD47" i="25" s="1"/>
  <c r="DE47" i="25" s="1"/>
  <c r="DF47" i="25" s="1"/>
  <c r="DH314" i="25"/>
  <c r="DA314" i="25"/>
  <c r="DD314" i="25" s="1"/>
  <c r="DE314" i="25" s="1"/>
  <c r="DF314" i="25" s="1"/>
  <c r="CZ158" i="25"/>
  <c r="CY158" i="25"/>
  <c r="DS268" i="25"/>
  <c r="DL268" i="25"/>
  <c r="CY273" i="25"/>
  <c r="CZ273" i="25"/>
  <c r="FD206" i="25"/>
  <c r="DL206" i="25"/>
  <c r="DL249" i="25"/>
  <c r="DS249" i="25"/>
  <c r="FD120" i="25"/>
  <c r="DS120" i="25"/>
  <c r="DL120" i="25"/>
  <c r="DS35" i="25"/>
  <c r="DL35" i="25"/>
  <c r="FD35" i="25"/>
  <c r="CZ83" i="25"/>
  <c r="CY83" i="25"/>
  <c r="DH91" i="25"/>
  <c r="DA91" i="25"/>
  <c r="DD91" i="25" s="1"/>
  <c r="DE91" i="25" s="1"/>
  <c r="DF91" i="25" s="1"/>
  <c r="DH41" i="25"/>
  <c r="DA41" i="25"/>
  <c r="DD41" i="25" s="1"/>
  <c r="DE41" i="25" s="1"/>
  <c r="DF41" i="25" s="1"/>
  <c r="CY152" i="25"/>
  <c r="CZ152" i="25"/>
  <c r="DA257" i="25"/>
  <c r="DD257" i="25" s="1"/>
  <c r="DE257" i="25" s="1"/>
  <c r="DF257" i="25" s="1"/>
  <c r="DH257" i="25"/>
  <c r="DH244" i="25"/>
  <c r="DA244" i="25"/>
  <c r="DD244" i="25" s="1"/>
  <c r="DE244" i="25" s="1"/>
  <c r="DF244" i="25" s="1"/>
  <c r="DH292" i="25"/>
  <c r="DA292" i="25"/>
  <c r="DD292" i="25" s="1"/>
  <c r="DE292" i="25" s="1"/>
  <c r="DF292" i="25" s="1"/>
  <c r="DH251" i="25"/>
  <c r="DA251" i="25"/>
  <c r="DD251" i="25" s="1"/>
  <c r="DE251" i="25" s="1"/>
  <c r="DF251" i="25" s="1"/>
  <c r="DH202" i="25"/>
  <c r="DA202" i="25"/>
  <c r="DD202" i="25" s="1"/>
  <c r="DE202" i="25" s="1"/>
  <c r="DF202" i="25" s="1"/>
  <c r="DA65" i="25"/>
  <c r="DD65" i="25" s="1"/>
  <c r="DE65" i="25" s="1"/>
  <c r="DF65" i="25" s="1"/>
  <c r="DH65" i="25"/>
  <c r="DH144" i="25"/>
  <c r="DA144" i="25"/>
  <c r="DD144" i="25" s="1"/>
  <c r="DE144" i="25" s="1"/>
  <c r="DF144" i="25" s="1"/>
  <c r="DA280" i="25"/>
  <c r="DD280" i="25" s="1"/>
  <c r="DE280" i="25" s="1"/>
  <c r="DF280" i="25" s="1"/>
  <c r="DH280" i="25"/>
  <c r="DH103" i="25"/>
  <c r="DA103" i="25"/>
  <c r="DD103" i="25" s="1"/>
  <c r="DE103" i="25" s="1"/>
  <c r="DF103" i="25" s="1"/>
  <c r="DA187" i="25"/>
  <c r="DD187" i="25" s="1"/>
  <c r="DE187" i="25" s="1"/>
  <c r="DF187" i="25" s="1"/>
  <c r="DH187" i="25"/>
  <c r="DH99" i="25"/>
  <c r="DA99" i="25"/>
  <c r="DD99" i="25" s="1"/>
  <c r="DE99" i="25" s="1"/>
  <c r="DF99" i="25" s="1"/>
  <c r="DL223" i="25"/>
  <c r="DS223" i="25"/>
  <c r="FD101" i="25"/>
  <c r="DL101" i="25"/>
  <c r="CY56" i="25"/>
  <c r="CZ56" i="25"/>
  <c r="DL63" i="25"/>
  <c r="DS63" i="25"/>
  <c r="FD63" i="25"/>
  <c r="CZ84" i="25"/>
  <c r="CY84" i="25"/>
  <c r="CY11" i="25"/>
  <c r="CZ11" i="25"/>
  <c r="CZ135" i="25"/>
  <c r="CY135" i="25"/>
  <c r="DL103" i="25"/>
  <c r="FD103" i="25"/>
  <c r="DS132" i="25"/>
  <c r="DL132" i="25"/>
  <c r="FD132" i="25"/>
  <c r="DS76" i="25"/>
  <c r="DL76" i="25"/>
  <c r="FD76" i="25"/>
  <c r="DH9" i="25"/>
  <c r="DA9" i="25"/>
  <c r="DD9" i="25" s="1"/>
  <c r="DE9" i="25" s="1"/>
  <c r="DF9" i="25" s="1"/>
  <c r="CY44" i="25"/>
  <c r="CZ44" i="25"/>
  <c r="DA179" i="25"/>
  <c r="DD179" i="25" s="1"/>
  <c r="DE179" i="25" s="1"/>
  <c r="DF179" i="25" s="1"/>
  <c r="DH179" i="25"/>
  <c r="DA84" i="25"/>
  <c r="DD84" i="25" s="1"/>
  <c r="DE84" i="25" s="1"/>
  <c r="DF84" i="25" s="1"/>
  <c r="DH84" i="25"/>
  <c r="DA79" i="25"/>
  <c r="DD79" i="25" s="1"/>
  <c r="DE79" i="25" s="1"/>
  <c r="DF79" i="25" s="1"/>
  <c r="DH79" i="25"/>
  <c r="DL218" i="25"/>
  <c r="DS218" i="25"/>
  <c r="CY268" i="25"/>
  <c r="CZ268" i="25"/>
  <c r="DL203" i="25"/>
  <c r="FD203" i="25"/>
  <c r="CY303" i="25"/>
  <c r="CZ303" i="25"/>
  <c r="CY248" i="25"/>
  <c r="CZ248" i="25"/>
  <c r="CY249" i="25"/>
  <c r="CZ249" i="25"/>
  <c r="CZ120" i="25"/>
  <c r="CY120" i="25"/>
  <c r="DL99" i="25"/>
  <c r="FD99" i="25"/>
  <c r="CY54" i="25"/>
  <c r="CZ54" i="25"/>
  <c r="CY53" i="25"/>
  <c r="CZ53" i="25"/>
  <c r="CY80" i="25"/>
  <c r="CZ80" i="25"/>
  <c r="DL31" i="25"/>
  <c r="DS31" i="25"/>
  <c r="DH166" i="25"/>
  <c r="DA166" i="25"/>
  <c r="DD166" i="25" s="1"/>
  <c r="DE166" i="25" s="1"/>
  <c r="DF166" i="25" s="1"/>
  <c r="DH132" i="25"/>
  <c r="DA132" i="25"/>
  <c r="DD132" i="25" s="1"/>
  <c r="DE132" i="25" s="1"/>
  <c r="DF132" i="25" s="1"/>
  <c r="DA58" i="25"/>
  <c r="DD58" i="25" s="1"/>
  <c r="DE58" i="25" s="1"/>
  <c r="DF58" i="25" s="1"/>
  <c r="DH58" i="25"/>
  <c r="DS192" i="25"/>
  <c r="FD192" i="25"/>
  <c r="DL192" i="25"/>
  <c r="DL91" i="25"/>
  <c r="DH299" i="25"/>
  <c r="DA299" i="25"/>
  <c r="DD299" i="25" s="1"/>
  <c r="DE299" i="25" s="1"/>
  <c r="DF299" i="25" s="1"/>
  <c r="DA289" i="25"/>
  <c r="DD289" i="25" s="1"/>
  <c r="DE289" i="25" s="1"/>
  <c r="DF289" i="25" s="1"/>
  <c r="DH289" i="25"/>
  <c r="DH286" i="25"/>
  <c r="DA286" i="25"/>
  <c r="DD286" i="25" s="1"/>
  <c r="DE286" i="25" s="1"/>
  <c r="DF286" i="25" s="1"/>
  <c r="DH234" i="25"/>
  <c r="DA234" i="25"/>
  <c r="DD234" i="25" s="1"/>
  <c r="DE234" i="25" s="1"/>
  <c r="DF234" i="25" s="1"/>
  <c r="DA232" i="25"/>
  <c r="DD232" i="25" s="1"/>
  <c r="DE232" i="25" s="1"/>
  <c r="DF232" i="25" s="1"/>
  <c r="DH232" i="25"/>
  <c r="DL270" i="25"/>
  <c r="DS270" i="25"/>
  <c r="DL293" i="25"/>
  <c r="DS138" i="25"/>
  <c r="DL138" i="25"/>
  <c r="FD138" i="25"/>
  <c r="DH175" i="25"/>
  <c r="DA175" i="25"/>
  <c r="DD175" i="25" s="1"/>
  <c r="DE175" i="25" s="1"/>
  <c r="DF175" i="25" s="1"/>
  <c r="DA64" i="25"/>
  <c r="DD64" i="25" s="1"/>
  <c r="DE64" i="25" s="1"/>
  <c r="DF64" i="25" s="1"/>
  <c r="DH64" i="25"/>
  <c r="DH283" i="25"/>
  <c r="DA283" i="25"/>
  <c r="DD283" i="25" s="1"/>
  <c r="DE283" i="25" s="1"/>
  <c r="DF283" i="25" s="1"/>
  <c r="DA76" i="25"/>
  <c r="DD76" i="25" s="1"/>
  <c r="DE76" i="25" s="1"/>
  <c r="DF76" i="25" s="1"/>
  <c r="DH76" i="25"/>
  <c r="DA31" i="25"/>
  <c r="DD31" i="25" s="1"/>
  <c r="DE31" i="25" s="1"/>
  <c r="DF31" i="25" s="1"/>
  <c r="DH31" i="25"/>
  <c r="CY310" i="25"/>
  <c r="CZ310" i="25"/>
  <c r="CZ223" i="25"/>
  <c r="CY223" i="25"/>
  <c r="CY217" i="25"/>
  <c r="CZ217" i="25"/>
  <c r="DL67" i="25"/>
  <c r="DS67" i="25"/>
  <c r="FD67" i="25"/>
  <c r="DS84" i="25"/>
  <c r="FD84" i="25"/>
  <c r="DL84" i="25"/>
  <c r="DS281" i="25"/>
  <c r="DL281" i="25"/>
  <c r="DL44" i="25"/>
  <c r="DS44" i="25"/>
  <c r="DS316" i="25"/>
  <c r="DL316" i="25"/>
  <c r="CZ18" i="25"/>
  <c r="CY18" i="25"/>
  <c r="DH306" i="25"/>
  <c r="DA306" i="25"/>
  <c r="DD306" i="25" s="1"/>
  <c r="DE306" i="25" s="1"/>
  <c r="DF306" i="25" s="1"/>
  <c r="DH34" i="25"/>
  <c r="DA34" i="25"/>
  <c r="DD34" i="25" s="1"/>
  <c r="DE34" i="25" s="1"/>
  <c r="DF34" i="25" s="1"/>
  <c r="DA199" i="25"/>
  <c r="DD199" i="25" s="1"/>
  <c r="DE199" i="25" s="1"/>
  <c r="DF199" i="25" s="1"/>
  <c r="DH199" i="25"/>
  <c r="DH27" i="25"/>
  <c r="DA27" i="25"/>
  <c r="DD27" i="25" s="1"/>
  <c r="DE27" i="25" s="1"/>
  <c r="DF27" i="25" s="1"/>
  <c r="CY210" i="25"/>
  <c r="CZ210" i="25"/>
  <c r="CY178" i="25"/>
  <c r="CZ178" i="25"/>
  <c r="DL273" i="25"/>
  <c r="DS273" i="25"/>
  <c r="CZ127" i="25"/>
  <c r="CY127" i="25"/>
  <c r="DH102" i="25"/>
  <c r="DA102" i="25"/>
  <c r="DD102" i="25" s="1"/>
  <c r="DE102" i="25" s="1"/>
  <c r="DF102" i="25" s="1"/>
  <c r="CZ192" i="25"/>
  <c r="CY192" i="25"/>
  <c r="DH249" i="25"/>
  <c r="DA249" i="25"/>
  <c r="DD249" i="25" s="1"/>
  <c r="DE249" i="25" s="1"/>
  <c r="DF249" i="25" s="1"/>
  <c r="DH217" i="25"/>
  <c r="DA217" i="25"/>
  <c r="DD217" i="25" s="1"/>
  <c r="DE217" i="25" s="1"/>
  <c r="DF217" i="25" s="1"/>
  <c r="CY205" i="25"/>
  <c r="CZ205" i="25"/>
  <c r="DH143" i="25"/>
  <c r="DA143" i="25"/>
  <c r="DD143" i="25" s="1"/>
  <c r="DE143" i="25" s="1"/>
  <c r="DF143" i="25" s="1"/>
  <c r="DA168" i="25"/>
  <c r="DD168" i="25" s="1"/>
  <c r="DE168" i="25" s="1"/>
  <c r="DF168" i="25" s="1"/>
  <c r="DH168" i="25"/>
  <c r="DH284" i="25"/>
  <c r="DA284" i="25"/>
  <c r="DD284" i="25" s="1"/>
  <c r="DE284" i="25" s="1"/>
  <c r="DF284" i="25" s="1"/>
  <c r="DH156" i="25"/>
  <c r="DA156" i="25"/>
  <c r="DD156" i="25" s="1"/>
  <c r="DE156" i="25" s="1"/>
  <c r="DF156" i="25" s="1"/>
  <c r="CY279" i="25"/>
  <c r="CZ279" i="25"/>
  <c r="CY274" i="25"/>
  <c r="CZ274" i="25"/>
  <c r="DL217" i="25"/>
  <c r="DS217" i="25"/>
  <c r="DL11" i="25"/>
  <c r="DS11" i="25"/>
  <c r="FD11" i="25"/>
  <c r="DL163" i="25"/>
  <c r="FD163" i="25"/>
  <c r="DS163" i="25"/>
  <c r="CY76" i="25"/>
  <c r="CZ76" i="25"/>
  <c r="DH311" i="25"/>
  <c r="DA311" i="25"/>
  <c r="DD311" i="25" s="1"/>
  <c r="DE311" i="25" s="1"/>
  <c r="DF311" i="25" s="1"/>
  <c r="CZ281" i="25"/>
  <c r="CY281" i="25"/>
  <c r="CY316" i="25"/>
  <c r="CZ316" i="25"/>
  <c r="DA87" i="25"/>
  <c r="DD87" i="25" s="1"/>
  <c r="DE87" i="25" s="1"/>
  <c r="DF87" i="25" s="1"/>
  <c r="DH87" i="25"/>
  <c r="DH138" i="25"/>
  <c r="DA138" i="25"/>
  <c r="DD138" i="25" s="1"/>
  <c r="DE138" i="25" s="1"/>
  <c r="DF138" i="25" s="1"/>
  <c r="DH200" i="25"/>
  <c r="DA200" i="25"/>
  <c r="DD200" i="25" s="1"/>
  <c r="DE200" i="25" s="1"/>
  <c r="DF200" i="25" s="1"/>
  <c r="CZ220" i="25"/>
  <c r="DB220" i="25" s="1"/>
  <c r="DH220" i="25"/>
  <c r="DA220" i="25"/>
  <c r="DD220" i="25" s="1"/>
  <c r="DE220" i="25" s="1"/>
  <c r="DF220" i="25" s="1"/>
  <c r="DH40" i="25"/>
  <c r="DA40" i="25"/>
  <c r="DD40" i="25" s="1"/>
  <c r="DE40" i="25" s="1"/>
  <c r="DF40" i="25" s="1"/>
  <c r="DH228" i="25"/>
  <c r="DA228" i="25"/>
  <c r="DD228" i="25" s="1"/>
  <c r="DE228" i="25" s="1"/>
  <c r="DF228" i="25" s="1"/>
  <c r="DL278" i="25"/>
  <c r="DS278" i="25"/>
  <c r="DL210" i="25"/>
  <c r="FD210" i="25"/>
  <c r="CY267" i="25"/>
  <c r="CZ267" i="25"/>
  <c r="CY218" i="25"/>
  <c r="CZ218" i="25"/>
  <c r="DL158" i="25"/>
  <c r="DS158" i="25"/>
  <c r="FD158" i="25"/>
  <c r="CZ203" i="25"/>
  <c r="CY203" i="25"/>
  <c r="DS297" i="25"/>
  <c r="DL248" i="25"/>
  <c r="DS248" i="25"/>
  <c r="DL162" i="25"/>
  <c r="DS162" i="25"/>
  <c r="FD162" i="25"/>
  <c r="DS53" i="25"/>
  <c r="FD53" i="25"/>
  <c r="DL53" i="25"/>
  <c r="DS80" i="25"/>
  <c r="FD80" i="25"/>
  <c r="DL80" i="25"/>
  <c r="CY10" i="25"/>
  <c r="CZ10" i="25"/>
  <c r="CY116" i="25"/>
  <c r="CZ116" i="25"/>
  <c r="DL97" i="25"/>
  <c r="FD97" i="25"/>
  <c r="DL83" i="25"/>
  <c r="FD83" i="25"/>
  <c r="CY113" i="25"/>
  <c r="CZ113" i="25"/>
  <c r="CY288" i="25"/>
  <c r="CZ288" i="25"/>
  <c r="DS191" i="25"/>
  <c r="FD191" i="25"/>
  <c r="DL191" i="25"/>
  <c r="CY118" i="25"/>
  <c r="CZ118" i="25"/>
  <c r="CZ174" i="25"/>
  <c r="CY174" i="25"/>
  <c r="CY133" i="25"/>
  <c r="CZ133" i="25"/>
  <c r="DA111" i="25"/>
  <c r="DD111" i="25" s="1"/>
  <c r="DE111" i="25" s="1"/>
  <c r="DF111" i="25" s="1"/>
  <c r="DH111" i="25"/>
  <c r="DH70" i="25"/>
  <c r="DA70" i="25"/>
  <c r="DD70" i="25" s="1"/>
  <c r="DE70" i="25" s="1"/>
  <c r="DF70" i="25" s="1"/>
  <c r="DA295" i="25"/>
  <c r="DD295" i="25" s="1"/>
  <c r="DE295" i="25" s="1"/>
  <c r="DF295" i="25" s="1"/>
  <c r="DH295" i="25"/>
  <c r="DH44" i="25"/>
  <c r="DA44" i="25"/>
  <c r="DD44" i="25" s="1"/>
  <c r="DE44" i="25" s="1"/>
  <c r="DF44" i="25" s="1"/>
  <c r="DH37" i="25"/>
  <c r="DA37" i="25"/>
  <c r="DD37" i="25" s="1"/>
  <c r="DE37" i="25" s="1"/>
  <c r="DF37" i="25" s="1"/>
  <c r="DH100" i="25"/>
  <c r="DA100" i="25"/>
  <c r="DD100" i="25" s="1"/>
  <c r="DE100" i="25" s="1"/>
  <c r="DF100" i="25" s="1"/>
  <c r="DL186" i="25"/>
  <c r="FD186" i="25"/>
  <c r="DS186" i="25"/>
  <c r="CZ231" i="25"/>
  <c r="CY231" i="25"/>
  <c r="CZ166" i="25"/>
  <c r="CY166" i="25"/>
  <c r="DL204" i="25"/>
  <c r="FD204" i="25"/>
  <c r="DL310" i="25"/>
  <c r="DS310" i="25"/>
  <c r="CY261" i="25"/>
  <c r="CZ261" i="25"/>
  <c r="DL165" i="25"/>
  <c r="DS165" i="25"/>
  <c r="FD165" i="25"/>
  <c r="CY282" i="25"/>
  <c r="CZ282" i="25"/>
  <c r="CZ124" i="25"/>
  <c r="CY124" i="25"/>
  <c r="DL135" i="25"/>
  <c r="FD135" i="25"/>
  <c r="DS135" i="25"/>
  <c r="CY36" i="25"/>
  <c r="CZ36" i="25"/>
  <c r="DS61" i="25"/>
  <c r="DL61" i="25"/>
  <c r="FD61" i="25"/>
  <c r="DL315" i="25"/>
  <c r="DS315" i="25"/>
  <c r="DH262" i="25"/>
  <c r="DA262" i="25"/>
  <c r="DD262" i="25" s="1"/>
  <c r="DE262" i="25" s="1"/>
  <c r="DF262" i="25" s="1"/>
  <c r="DA294" i="25"/>
  <c r="DD294" i="25" s="1"/>
  <c r="DE294" i="25" s="1"/>
  <c r="DF294" i="25" s="1"/>
  <c r="DH294" i="25"/>
  <c r="DA254" i="25"/>
  <c r="DD254" i="25" s="1"/>
  <c r="DE254" i="25" s="1"/>
  <c r="DF254" i="25" s="1"/>
  <c r="DH254" i="25"/>
  <c r="DH308" i="25"/>
  <c r="DA308" i="25"/>
  <c r="DD308" i="25" s="1"/>
  <c r="DE308" i="25" s="1"/>
  <c r="DF308" i="25" s="1"/>
  <c r="DS178" i="25"/>
  <c r="FD178" i="25"/>
  <c r="DL178" i="25"/>
  <c r="DL267" i="25"/>
  <c r="DS267" i="25"/>
  <c r="CY297" i="25"/>
  <c r="CZ297" i="25"/>
  <c r="FD10" i="25"/>
  <c r="DS10" i="25"/>
  <c r="DL10" i="25"/>
  <c r="DA95" i="25"/>
  <c r="DD95" i="25" s="1"/>
  <c r="DE95" i="25" s="1"/>
  <c r="DF95" i="25" s="1"/>
  <c r="DH95" i="25"/>
  <c r="DH23" i="25"/>
  <c r="DA23" i="25"/>
  <c r="DD23" i="25" s="1"/>
  <c r="DE23" i="25" s="1"/>
  <c r="DF23" i="25" s="1"/>
  <c r="DL152" i="25"/>
  <c r="FD152" i="25"/>
  <c r="DS152" i="25"/>
  <c r="DL288" i="25"/>
  <c r="DS288" i="25"/>
  <c r="FD102" i="25"/>
  <c r="DL102" i="25"/>
  <c r="DA266" i="25"/>
  <c r="DD266" i="25" s="1"/>
  <c r="DE266" i="25" s="1"/>
  <c r="DF266" i="25" s="1"/>
  <c r="DH266" i="25"/>
  <c r="CZ157" i="25"/>
  <c r="DB157" i="25" s="1"/>
  <c r="DH157" i="25"/>
  <c r="DA157" i="25"/>
  <c r="DD157" i="25" s="1"/>
  <c r="DE157" i="25" s="1"/>
  <c r="DF157" i="25" s="1"/>
  <c r="CZ91" i="25"/>
  <c r="CY91" i="25"/>
  <c r="DL16" i="25"/>
  <c r="DS16" i="25"/>
  <c r="FD16" i="25"/>
  <c r="CY240" i="25"/>
  <c r="CZ240" i="25"/>
  <c r="DH38" i="25"/>
  <c r="DA38" i="25"/>
  <c r="DD38" i="25" s="1"/>
  <c r="DE38" i="25" s="1"/>
  <c r="DF38" i="25" s="1"/>
  <c r="DA53" i="25"/>
  <c r="DD53" i="25" s="1"/>
  <c r="DE53" i="25" s="1"/>
  <c r="DF53" i="25" s="1"/>
  <c r="DH53" i="25"/>
  <c r="DH29" i="25"/>
  <c r="DA29" i="25"/>
  <c r="DD29" i="25" s="1"/>
  <c r="DE29" i="25" s="1"/>
  <c r="DF29" i="25" s="1"/>
  <c r="DA248" i="25"/>
  <c r="DD248" i="25" s="1"/>
  <c r="DE248" i="25" s="1"/>
  <c r="DF248" i="25" s="1"/>
  <c r="DH248" i="25"/>
  <c r="CY202" i="25"/>
  <c r="CZ202" i="25"/>
  <c r="DL222" i="25"/>
  <c r="DS222" i="25"/>
  <c r="DL94" i="25"/>
  <c r="FD94" i="25"/>
  <c r="CY50" i="25"/>
  <c r="CZ50" i="25"/>
  <c r="CZ111" i="25"/>
  <c r="CY111" i="25"/>
  <c r="DS133" i="25"/>
  <c r="DL133" i="25"/>
  <c r="FD133" i="25"/>
  <c r="DH141" i="25"/>
  <c r="DA141" i="25"/>
  <c r="DD141" i="25" s="1"/>
  <c r="DE141" i="25" s="1"/>
  <c r="DF141" i="25" s="1"/>
  <c r="DL147" i="25"/>
  <c r="DS147" i="25"/>
  <c r="FD198" i="25"/>
  <c r="DL198" i="25"/>
  <c r="FD149" i="25"/>
  <c r="DL149" i="25"/>
  <c r="DS149" i="25"/>
  <c r="DS247" i="25"/>
  <c r="CY193" i="25"/>
  <c r="CZ193" i="25"/>
  <c r="DL209" i="25"/>
  <c r="FD209" i="25"/>
  <c r="CY122" i="25"/>
  <c r="CZ122" i="25"/>
  <c r="CZ142" i="25"/>
  <c r="CY142" i="25"/>
  <c r="CY46" i="25"/>
  <c r="CZ46" i="25"/>
  <c r="DS115" i="25"/>
  <c r="DL115" i="25"/>
  <c r="FD115" i="25"/>
  <c r="CY105" i="25"/>
  <c r="CZ105" i="25"/>
  <c r="FD30" i="25"/>
  <c r="DL30" i="25"/>
  <c r="DS30" i="25"/>
  <c r="CY114" i="25"/>
  <c r="CZ114" i="25"/>
  <c r="CZ23" i="25"/>
  <c r="CY23" i="25"/>
  <c r="DH268" i="25"/>
  <c r="DA268" i="25"/>
  <c r="DD268" i="25" s="1"/>
  <c r="DE268" i="25" s="1"/>
  <c r="DF268" i="25" s="1"/>
  <c r="DH43" i="25"/>
  <c r="DA43" i="25"/>
  <c r="DD43" i="25" s="1"/>
  <c r="DE43" i="25" s="1"/>
  <c r="DF43" i="25" s="1"/>
  <c r="DH134" i="25"/>
  <c r="DA134" i="25"/>
  <c r="DD134" i="25" s="1"/>
  <c r="DE134" i="25" s="1"/>
  <c r="DF134" i="25" s="1"/>
  <c r="DA316" i="25"/>
  <c r="DD316" i="25" s="1"/>
  <c r="DE316" i="25" s="1"/>
  <c r="DF316" i="25" s="1"/>
  <c r="DH316" i="25"/>
  <c r="CZ251" i="25"/>
  <c r="CY251" i="25"/>
  <c r="CZ95" i="25"/>
  <c r="CY95" i="25"/>
  <c r="FD92" i="25"/>
  <c r="DL92" i="25"/>
  <c r="DL28" i="25"/>
  <c r="DS28" i="25"/>
  <c r="CZ9" i="25"/>
  <c r="CY9" i="25"/>
  <c r="DS29" i="25"/>
  <c r="FD29" i="25"/>
  <c r="DL29" i="25"/>
  <c r="CY24" i="25"/>
  <c r="CZ24" i="25"/>
  <c r="CZ269" i="25"/>
  <c r="CY269" i="25"/>
  <c r="DA208" i="25"/>
  <c r="DD208" i="25" s="1"/>
  <c r="DE208" i="25" s="1"/>
  <c r="DF208" i="25" s="1"/>
  <c r="DH208" i="25"/>
  <c r="DH170" i="25"/>
  <c r="DA170" i="25"/>
  <c r="DD170" i="25" s="1"/>
  <c r="DE170" i="25" s="1"/>
  <c r="DF170" i="25" s="1"/>
  <c r="DA224" i="25"/>
  <c r="DD224" i="25" s="1"/>
  <c r="DE224" i="25" s="1"/>
  <c r="DF224" i="25" s="1"/>
  <c r="DH224" i="25"/>
  <c r="DH90" i="25"/>
  <c r="DA90" i="25"/>
  <c r="DD90" i="25" s="1"/>
  <c r="DE90" i="25" s="1"/>
  <c r="DF90" i="25" s="1"/>
  <c r="CY307" i="25"/>
  <c r="CZ307" i="25"/>
  <c r="CZ188" i="25"/>
  <c r="CY188" i="25"/>
  <c r="CY14" i="25"/>
  <c r="CZ14" i="25"/>
  <c r="CY37" i="25"/>
  <c r="CZ37" i="25"/>
  <c r="DS128" i="25"/>
  <c r="DL128" i="25"/>
  <c r="FD128" i="25"/>
  <c r="DS64" i="25"/>
  <c r="DL64" i="25"/>
  <c r="FD64" i="25"/>
  <c r="CY68" i="25"/>
  <c r="CZ68" i="25"/>
  <c r="DS305" i="25"/>
  <c r="DL305" i="25"/>
  <c r="DA178" i="25"/>
  <c r="DD178" i="25" s="1"/>
  <c r="DE178" i="25" s="1"/>
  <c r="DF178" i="25" s="1"/>
  <c r="DH178" i="25"/>
  <c r="DH123" i="25"/>
  <c r="DA123" i="25"/>
  <c r="DD123" i="25" s="1"/>
  <c r="DE123" i="25" s="1"/>
  <c r="DF123" i="25" s="1"/>
  <c r="DH54" i="25"/>
  <c r="DA54" i="25"/>
  <c r="DD54" i="25" s="1"/>
  <c r="DE54" i="25" s="1"/>
  <c r="DF54" i="25" s="1"/>
  <c r="DA296" i="25"/>
  <c r="DD296" i="25" s="1"/>
  <c r="DE296" i="25" s="1"/>
  <c r="DF296" i="25" s="1"/>
  <c r="DH296" i="25"/>
  <c r="DA189" i="25"/>
  <c r="DD189" i="25" s="1"/>
  <c r="DE189" i="25" s="1"/>
  <c r="DF189" i="25" s="1"/>
  <c r="DH189" i="25"/>
  <c r="DH225" i="25"/>
  <c r="DA225" i="25"/>
  <c r="DD225" i="25" s="1"/>
  <c r="DE225" i="25" s="1"/>
  <c r="DF225" i="25" s="1"/>
  <c r="DS306" i="25"/>
  <c r="DL306" i="25"/>
  <c r="CY235" i="25"/>
  <c r="CZ235" i="25"/>
  <c r="CY194" i="25"/>
  <c r="CZ194" i="25"/>
  <c r="DS180" i="25"/>
  <c r="FD180" i="25"/>
  <c r="DL180" i="25"/>
  <c r="CY237" i="25"/>
  <c r="CZ237" i="25"/>
  <c r="DL238" i="25"/>
  <c r="DS238" i="25"/>
  <c r="CY148" i="25"/>
  <c r="CZ148" i="25"/>
  <c r="DL85" i="25"/>
  <c r="FD85" i="25"/>
  <c r="DS85" i="25"/>
  <c r="DS125" i="25"/>
  <c r="FD125" i="25"/>
  <c r="DL125" i="25"/>
  <c r="CY33" i="25"/>
  <c r="CZ33" i="25"/>
  <c r="DS119" i="25"/>
  <c r="FD119" i="25"/>
  <c r="DL119" i="25"/>
  <c r="CY117" i="25"/>
  <c r="CZ117" i="25"/>
  <c r="CY258" i="25"/>
  <c r="CZ258" i="25"/>
  <c r="CY41" i="25"/>
  <c r="CZ41" i="25"/>
  <c r="CY141" i="25"/>
  <c r="CZ141" i="25"/>
  <c r="CZ98" i="25"/>
  <c r="CY98" i="25"/>
  <c r="DA11" i="25"/>
  <c r="DD11" i="25" s="1"/>
  <c r="DE11" i="25" s="1"/>
  <c r="DF11" i="25" s="1"/>
  <c r="DH11" i="25"/>
  <c r="DA256" i="25"/>
  <c r="DD256" i="25" s="1"/>
  <c r="DE256" i="25" s="1"/>
  <c r="DF256" i="25" s="1"/>
  <c r="DH256" i="25"/>
  <c r="DH279" i="25"/>
  <c r="DA279" i="25"/>
  <c r="DD279" i="25" s="1"/>
  <c r="DE279" i="25" s="1"/>
  <c r="DF279" i="25" s="1"/>
  <c r="DA6" i="25"/>
  <c r="DD6" i="25" s="1"/>
  <c r="DE6" i="25" s="1"/>
  <c r="DF6" i="25" s="1"/>
  <c r="DM6" i="25" s="1"/>
  <c r="DH6" i="25"/>
  <c r="CZ6" i="25"/>
  <c r="DB6" i="25" s="1"/>
  <c r="DH121" i="25"/>
  <c r="DA121" i="25"/>
  <c r="DD121" i="25" s="1"/>
  <c r="DE121" i="25" s="1"/>
  <c r="DF121" i="25" s="1"/>
  <c r="DH305" i="25"/>
  <c r="DA305" i="25"/>
  <c r="DD305" i="25" s="1"/>
  <c r="DE305" i="25" s="1"/>
  <c r="DF305" i="25" s="1"/>
  <c r="DA307" i="25"/>
  <c r="DD307" i="25" s="1"/>
  <c r="DE307" i="25" s="1"/>
  <c r="DF307" i="25" s="1"/>
  <c r="DH307" i="25"/>
  <c r="DL247" i="25"/>
  <c r="DL172" i="25"/>
  <c r="DS172" i="25"/>
  <c r="FD172" i="25"/>
  <c r="CZ209" i="25"/>
  <c r="CY209" i="25"/>
  <c r="CY78" i="25"/>
  <c r="CZ78" i="25"/>
  <c r="CZ257" i="25"/>
  <c r="CY257" i="25"/>
  <c r="DS46" i="25"/>
  <c r="DL46" i="25"/>
  <c r="FD46" i="25"/>
  <c r="DL104" i="25"/>
  <c r="FD104" i="25"/>
  <c r="CY39" i="25"/>
  <c r="CZ39" i="25"/>
  <c r="DA201" i="25"/>
  <c r="DD201" i="25" s="1"/>
  <c r="DE201" i="25" s="1"/>
  <c r="DF201" i="25" s="1"/>
  <c r="DH201" i="25"/>
  <c r="DA131" i="25"/>
  <c r="DD131" i="25" s="1"/>
  <c r="DE131" i="25" s="1"/>
  <c r="DF131" i="25" s="1"/>
  <c r="DH131" i="25"/>
  <c r="DH119" i="25"/>
  <c r="DA119" i="25"/>
  <c r="DD119" i="25" s="1"/>
  <c r="DE119" i="25" s="1"/>
  <c r="DF119" i="25" s="1"/>
  <c r="DH89" i="25"/>
  <c r="DA89" i="25"/>
  <c r="DD89" i="25" s="1"/>
  <c r="DE89" i="25" s="1"/>
  <c r="DF89" i="25" s="1"/>
  <c r="DH153" i="25"/>
  <c r="DA153" i="25"/>
  <c r="DD153" i="25" s="1"/>
  <c r="DE153" i="25" s="1"/>
  <c r="DF153" i="25" s="1"/>
  <c r="CY197" i="25"/>
  <c r="CZ197" i="25"/>
  <c r="CZ309" i="25"/>
  <c r="CY309" i="25"/>
  <c r="DS251" i="25"/>
  <c r="DL251" i="25"/>
  <c r="DL314" i="25"/>
  <c r="DS314" i="25"/>
  <c r="CY140" i="25"/>
  <c r="CZ140" i="25"/>
  <c r="CY28" i="25"/>
  <c r="CZ28" i="25"/>
  <c r="DS42" i="25"/>
  <c r="FD42" i="25"/>
  <c r="DL42" i="25"/>
  <c r="DL225" i="25"/>
  <c r="DA128" i="25"/>
  <c r="DD128" i="25" s="1"/>
  <c r="DE128" i="25" s="1"/>
  <c r="DF128" i="25" s="1"/>
  <c r="DH128" i="25"/>
  <c r="DH46" i="25"/>
  <c r="DA46" i="25"/>
  <c r="DD46" i="25" s="1"/>
  <c r="DE46" i="25" s="1"/>
  <c r="DF46" i="25" s="1"/>
  <c r="DH135" i="25"/>
  <c r="DA135" i="25"/>
  <c r="DD135" i="25" s="1"/>
  <c r="DE135" i="25" s="1"/>
  <c r="DF135" i="25" s="1"/>
  <c r="DH263" i="25"/>
  <c r="DA263" i="25"/>
  <c r="DD263" i="25" s="1"/>
  <c r="DE263" i="25" s="1"/>
  <c r="DF263" i="25" s="1"/>
  <c r="DA310" i="25"/>
  <c r="DD310" i="25" s="1"/>
  <c r="DE310" i="25" s="1"/>
  <c r="DF310" i="25" s="1"/>
  <c r="DH310" i="25"/>
  <c r="DH36" i="25"/>
  <c r="DA36" i="25"/>
  <c r="DD36" i="25" s="1"/>
  <c r="DE36" i="25" s="1"/>
  <c r="DF36" i="25" s="1"/>
  <c r="DH152" i="25"/>
  <c r="DA152" i="25"/>
  <c r="DD152" i="25" s="1"/>
  <c r="DE152" i="25" s="1"/>
  <c r="DF152" i="25" s="1"/>
  <c r="CZ250" i="25"/>
  <c r="CY250" i="25"/>
  <c r="CY156" i="25"/>
  <c r="CZ156" i="25"/>
  <c r="CY280" i="25"/>
  <c r="CZ280" i="25"/>
  <c r="FD188" i="25"/>
  <c r="DS188" i="25"/>
  <c r="DL188" i="25"/>
  <c r="CY285" i="25"/>
  <c r="CZ285" i="25"/>
  <c r="CZ233" i="25"/>
  <c r="CY233" i="25"/>
  <c r="DL153" i="25"/>
  <c r="FD153" i="25"/>
  <c r="DS153" i="25"/>
  <c r="CY151" i="25"/>
  <c r="CZ151" i="25"/>
  <c r="DL86" i="25"/>
  <c r="DS86" i="25"/>
  <c r="FD86" i="25"/>
  <c r="CZ34" i="25"/>
  <c r="CY34" i="25"/>
  <c r="CY87" i="25"/>
  <c r="CZ87" i="25"/>
  <c r="DS277" i="25"/>
  <c r="DL277" i="25"/>
  <c r="CY90" i="25"/>
  <c r="CZ90" i="25"/>
  <c r="CY266" i="25"/>
  <c r="CZ266" i="25"/>
  <c r="CZ27" i="25"/>
  <c r="CY27" i="25"/>
  <c r="DL37" i="25"/>
  <c r="DS37" i="25"/>
  <c r="FD37" i="25"/>
  <c r="DH250" i="25"/>
  <c r="DA250" i="25"/>
  <c r="DD250" i="25" s="1"/>
  <c r="DE250" i="25" s="1"/>
  <c r="DF250" i="25" s="1"/>
  <c r="CZ179" i="25"/>
  <c r="CY179" i="25"/>
  <c r="DL232" i="25"/>
  <c r="DS232" i="25"/>
  <c r="CZ305" i="25"/>
  <c r="CY305" i="25"/>
  <c r="DA49" i="25"/>
  <c r="DD49" i="25" s="1"/>
  <c r="DE49" i="25" s="1"/>
  <c r="DF49" i="25" s="1"/>
  <c r="DH49" i="25"/>
  <c r="DH253" i="25"/>
  <c r="DA253" i="25"/>
  <c r="DD253" i="25" s="1"/>
  <c r="DE253" i="25" s="1"/>
  <c r="DF253" i="25" s="1"/>
  <c r="DA285" i="25"/>
  <c r="DD285" i="25" s="1"/>
  <c r="DE285" i="25" s="1"/>
  <c r="DF285" i="25" s="1"/>
  <c r="DH285" i="25"/>
  <c r="DH33" i="25"/>
  <c r="DA33" i="25"/>
  <c r="DD33" i="25" s="1"/>
  <c r="DE33" i="25" s="1"/>
  <c r="DF33" i="25" s="1"/>
  <c r="DH12" i="25"/>
  <c r="DA12" i="25"/>
  <c r="DD12" i="25" s="1"/>
  <c r="DE12" i="25" s="1"/>
  <c r="DF12" i="25" s="1"/>
  <c r="DL294" i="25"/>
  <c r="DS294" i="25"/>
  <c r="DL237" i="25"/>
  <c r="DS237" i="25"/>
  <c r="CY143" i="25"/>
  <c r="CZ143" i="25"/>
  <c r="CY79" i="25"/>
  <c r="CZ79" i="25"/>
  <c r="CY74" i="25"/>
  <c r="CZ74" i="25"/>
  <c r="DL262" i="25"/>
  <c r="DS262" i="25"/>
  <c r="DS22" i="25"/>
  <c r="DL22" i="25"/>
  <c r="FD22" i="25"/>
  <c r="DL15" i="25"/>
  <c r="FD15" i="25"/>
  <c r="DS15" i="25"/>
  <c r="DL8" i="25"/>
  <c r="FD8" i="25"/>
  <c r="DS8" i="25"/>
  <c r="CY187" i="25"/>
  <c r="CZ187" i="25"/>
  <c r="CZ301" i="25"/>
  <c r="CY301" i="25"/>
  <c r="DL296" i="25"/>
  <c r="DS296" i="25"/>
  <c r="DL229" i="25"/>
  <c r="DS229" i="25"/>
  <c r="DL159" i="25"/>
  <c r="DS159" i="25"/>
  <c r="FD159" i="25"/>
  <c r="DS293" i="25"/>
  <c r="DL52" i="25"/>
  <c r="DS52" i="25"/>
  <c r="FD52" i="25"/>
  <c r="FD75" i="25"/>
  <c r="DS75" i="25"/>
  <c r="DL75" i="25"/>
  <c r="DS258" i="25"/>
  <c r="DL258" i="25"/>
  <c r="DL111" i="25"/>
  <c r="DS111" i="25"/>
  <c r="FD111" i="25"/>
  <c r="DH30" i="25"/>
  <c r="DA30" i="25"/>
  <c r="DD30" i="25" s="1"/>
  <c r="DE30" i="25" s="1"/>
  <c r="DF30" i="25" s="1"/>
  <c r="CZ137" i="25"/>
  <c r="CY137" i="25"/>
  <c r="DA130" i="25"/>
  <c r="DD130" i="25" s="1"/>
  <c r="DE130" i="25" s="1"/>
  <c r="DF130" i="25" s="1"/>
  <c r="DH130" i="25"/>
  <c r="DH149" i="25"/>
  <c r="DA149" i="25"/>
  <c r="DD149" i="25" s="1"/>
  <c r="DE149" i="25" s="1"/>
  <c r="DF149" i="25" s="1"/>
  <c r="CZ66" i="25"/>
  <c r="DB66" i="25" s="1"/>
  <c r="DA66" i="25"/>
  <c r="DD66" i="25" s="1"/>
  <c r="DE66" i="25" s="1"/>
  <c r="DF66" i="25" s="1"/>
  <c r="DH66" i="25"/>
  <c r="DH312" i="25"/>
  <c r="DA312" i="25"/>
  <c r="DD312" i="25" s="1"/>
  <c r="DE312" i="25" s="1"/>
  <c r="DF312" i="25" s="1"/>
  <c r="DH86" i="25"/>
  <c r="DA86" i="25"/>
  <c r="DD86" i="25" s="1"/>
  <c r="DE86" i="25" s="1"/>
  <c r="DF86" i="25" s="1"/>
  <c r="DH301" i="25"/>
  <c r="DA301" i="25"/>
  <c r="DD301" i="25" s="1"/>
  <c r="DE301" i="25" s="1"/>
  <c r="DF301" i="25" s="1"/>
  <c r="CY190" i="25"/>
  <c r="CZ190" i="25"/>
  <c r="CY308" i="25"/>
  <c r="CZ308" i="25"/>
  <c r="FD193" i="25"/>
  <c r="DL193" i="25"/>
  <c r="DL257" i="25"/>
  <c r="DS257" i="25"/>
  <c r="DS122" i="25"/>
  <c r="FD122" i="25"/>
  <c r="DL122" i="25"/>
  <c r="CZ93" i="25"/>
  <c r="CY93" i="25"/>
  <c r="CY115" i="25"/>
  <c r="CZ115" i="25"/>
  <c r="CY13" i="25"/>
  <c r="CZ13" i="25"/>
  <c r="FD114" i="25"/>
  <c r="DS114" i="25"/>
  <c r="DL114" i="25"/>
  <c r="DS184" i="25"/>
  <c r="DL184" i="25"/>
  <c r="FD184" i="25"/>
  <c r="CY302" i="25"/>
  <c r="CZ302" i="25"/>
  <c r="CY73" i="25"/>
  <c r="CZ73" i="25"/>
  <c r="CY49" i="25"/>
  <c r="CZ49" i="25"/>
  <c r="DH271" i="25"/>
  <c r="DA271" i="25"/>
  <c r="DD271" i="25" s="1"/>
  <c r="DE271" i="25" s="1"/>
  <c r="DF271" i="25" s="1"/>
  <c r="DH22" i="25"/>
  <c r="DA22" i="25"/>
  <c r="DD22" i="25" s="1"/>
  <c r="DE22" i="25" s="1"/>
  <c r="DF22" i="25" s="1"/>
  <c r="DH72" i="25"/>
  <c r="DA72" i="25"/>
  <c r="DD72" i="25" s="1"/>
  <c r="DE72" i="25" s="1"/>
  <c r="DF72" i="25" s="1"/>
  <c r="DA193" i="25"/>
  <c r="DD193" i="25" s="1"/>
  <c r="DE193" i="25" s="1"/>
  <c r="DF193" i="25" s="1"/>
  <c r="DH193" i="25"/>
  <c r="DA240" i="25"/>
  <c r="DD240" i="25" s="1"/>
  <c r="DE240" i="25" s="1"/>
  <c r="DF240" i="25" s="1"/>
  <c r="DH240" i="25"/>
  <c r="DH150" i="25"/>
  <c r="DA150" i="25"/>
  <c r="DD150" i="25" s="1"/>
  <c r="DE150" i="25" s="1"/>
  <c r="DF150" i="25" s="1"/>
  <c r="CZ256" i="25"/>
  <c r="CY256" i="25"/>
  <c r="FD197" i="25"/>
  <c r="DL197" i="25"/>
  <c r="DL309" i="25"/>
  <c r="DS309" i="25"/>
  <c r="FD182" i="25"/>
  <c r="DL182" i="25"/>
  <c r="DS182" i="25"/>
  <c r="CZ239" i="25"/>
  <c r="CY239" i="25"/>
  <c r="CY171" i="25"/>
  <c r="CZ171" i="25"/>
  <c r="DS173" i="25"/>
  <c r="FD173" i="25"/>
  <c r="DL173" i="25"/>
  <c r="DS69" i="25"/>
  <c r="FD69" i="25"/>
  <c r="DL69" i="25"/>
  <c r="CZ139" i="25"/>
  <c r="CY139" i="25"/>
  <c r="DL95" i="25"/>
  <c r="CY92" i="25"/>
  <c r="CZ92" i="25"/>
  <c r="CY81" i="25"/>
  <c r="CZ81" i="25"/>
  <c r="DA96" i="25"/>
  <c r="DD96" i="25" s="1"/>
  <c r="DE96" i="25" s="1"/>
  <c r="DF96" i="25" s="1"/>
  <c r="DH96" i="25"/>
  <c r="DA127" i="25"/>
  <c r="DD127" i="25" s="1"/>
  <c r="DE127" i="25" s="1"/>
  <c r="DF127" i="25" s="1"/>
  <c r="DH127" i="25"/>
  <c r="CZ154" i="25"/>
  <c r="DB154" i="25" s="1"/>
  <c r="DH154" i="25"/>
  <c r="DA154" i="25"/>
  <c r="DD154" i="25" s="1"/>
  <c r="DE154" i="25" s="1"/>
  <c r="DF154" i="25" s="1"/>
  <c r="DL250" i="25"/>
  <c r="DS250" i="25"/>
  <c r="FD195" i="25"/>
  <c r="DL195" i="25"/>
  <c r="DL307" i="25"/>
  <c r="DS307" i="25"/>
  <c r="CZ243" i="25"/>
  <c r="CY243" i="25"/>
  <c r="DS285" i="25"/>
  <c r="DL285" i="25"/>
  <c r="DL151" i="25"/>
  <c r="DS151" i="25"/>
  <c r="FD151" i="25"/>
  <c r="CZ130" i="25"/>
  <c r="CY130" i="25"/>
  <c r="CY65" i="25"/>
  <c r="CZ65" i="25"/>
  <c r="CY277" i="25"/>
  <c r="CZ277" i="25"/>
  <c r="DL90" i="25"/>
  <c r="FD90" i="25"/>
  <c r="DS90" i="25"/>
  <c r="CZ38" i="25"/>
  <c r="CY38" i="25"/>
  <c r="DH145" i="25"/>
  <c r="DA145" i="25"/>
  <c r="DD145" i="25" s="1"/>
  <c r="DE145" i="25" s="1"/>
  <c r="DF145" i="25" s="1"/>
  <c r="DL154" i="25"/>
  <c r="DS154" i="25"/>
  <c r="DH258" i="25"/>
  <c r="DA258" i="25"/>
  <c r="DD258" i="25" s="1"/>
  <c r="DE258" i="25" s="1"/>
  <c r="DF258" i="25" s="1"/>
  <c r="DH125" i="25"/>
  <c r="DA125" i="25"/>
  <c r="DD125" i="25" s="1"/>
  <c r="DE125" i="25" s="1"/>
  <c r="DF125" i="25" s="1"/>
  <c r="DA197" i="25"/>
  <c r="DD197" i="25" s="1"/>
  <c r="DE197" i="25" s="1"/>
  <c r="DF197" i="25" s="1"/>
  <c r="DH197" i="25"/>
  <c r="CY180" i="25"/>
  <c r="CZ180" i="25"/>
  <c r="CZ294" i="25"/>
  <c r="CY294" i="25"/>
  <c r="DL161" i="25"/>
  <c r="DS161" i="25"/>
  <c r="FD161" i="25"/>
  <c r="DS148" i="25"/>
  <c r="DL148" i="25"/>
  <c r="FD148" i="25"/>
  <c r="CZ129" i="25"/>
  <c r="CY129" i="25"/>
  <c r="CZ125" i="25"/>
  <c r="CY125" i="25"/>
  <c r="CY119" i="25"/>
  <c r="CZ119" i="25"/>
  <c r="CZ43" i="25"/>
  <c r="CY43" i="25"/>
  <c r="DL157" i="25"/>
  <c r="DS157" i="25"/>
  <c r="FD157" i="25"/>
  <c r="CZ208" i="25"/>
  <c r="CY208" i="25"/>
  <c r="CY8" i="25"/>
  <c r="CZ8" i="25"/>
  <c r="CY20" i="25"/>
  <c r="CZ20" i="25"/>
  <c r="CZ219" i="25"/>
  <c r="CY219" i="25"/>
  <c r="DH26" i="25"/>
  <c r="DA26" i="25"/>
  <c r="DD26" i="25" s="1"/>
  <c r="DE26" i="25" s="1"/>
  <c r="DF26" i="25" s="1"/>
  <c r="DH282" i="25"/>
  <c r="DA282" i="25"/>
  <c r="DD282" i="25" s="1"/>
  <c r="DE282" i="25" s="1"/>
  <c r="DF282" i="25" s="1"/>
  <c r="DH290" i="25"/>
  <c r="DA290" i="25"/>
  <c r="DD290" i="25" s="1"/>
  <c r="DE290" i="25" s="1"/>
  <c r="DF290" i="25" s="1"/>
  <c r="CZ51" i="25"/>
  <c r="DB51" i="25" s="1"/>
  <c r="DA51" i="25"/>
  <c r="DD51" i="25" s="1"/>
  <c r="DE51" i="25" s="1"/>
  <c r="DF51" i="25" s="1"/>
  <c r="DH51" i="25"/>
  <c r="DH85" i="25"/>
  <c r="DA85" i="25"/>
  <c r="DD85" i="25" s="1"/>
  <c r="DE85" i="25" s="1"/>
  <c r="DF85" i="25" s="1"/>
  <c r="DH93" i="25"/>
  <c r="DA93" i="25"/>
  <c r="DD93" i="25" s="1"/>
  <c r="DE93" i="25" s="1"/>
  <c r="DF93" i="25" s="1"/>
  <c r="DL263" i="25"/>
  <c r="DS263" i="25"/>
  <c r="DL255" i="25"/>
  <c r="DL205" i="25"/>
  <c r="FD205" i="25"/>
  <c r="DS260" i="25"/>
  <c r="DL260" i="25"/>
  <c r="DL187" i="25"/>
  <c r="FD187" i="25"/>
  <c r="DS187" i="25"/>
  <c r="CY191" i="25"/>
  <c r="CZ191" i="25"/>
  <c r="CY296" i="25"/>
  <c r="CZ296" i="25"/>
  <c r="CZ293" i="25"/>
  <c r="CY293" i="25"/>
  <c r="CY123" i="25"/>
  <c r="CZ123" i="25"/>
  <c r="DL174" i="25"/>
  <c r="DS174" i="25"/>
  <c r="FD174" i="25"/>
  <c r="DL51" i="25"/>
  <c r="DS51" i="25"/>
  <c r="CZ75" i="25"/>
  <c r="CY75" i="25"/>
  <c r="DS141" i="25"/>
  <c r="FD141" i="25"/>
  <c r="DL141" i="25"/>
  <c r="CY77" i="25"/>
  <c r="CZ77" i="25"/>
  <c r="DL19" i="25"/>
  <c r="DS19" i="25"/>
  <c r="CY230" i="25"/>
  <c r="CZ230" i="25"/>
  <c r="DH247" i="25"/>
  <c r="DA247" i="25"/>
  <c r="DD247" i="25" s="1"/>
  <c r="DE247" i="25" s="1"/>
  <c r="DF247" i="25" s="1"/>
  <c r="DH18" i="25"/>
  <c r="DA18" i="25"/>
  <c r="DD18" i="25" s="1"/>
  <c r="DE18" i="25" s="1"/>
  <c r="DF18" i="25" s="1"/>
  <c r="DA68" i="25"/>
  <c r="DD68" i="25" s="1"/>
  <c r="DE68" i="25" s="1"/>
  <c r="DF68" i="25" s="1"/>
  <c r="DH68" i="25"/>
  <c r="DA298" i="25"/>
  <c r="DD298" i="25" s="1"/>
  <c r="DE298" i="25" s="1"/>
  <c r="DF298" i="25" s="1"/>
  <c r="DH298" i="25"/>
  <c r="CZ270" i="25"/>
  <c r="DB270" i="25" s="1"/>
  <c r="DA270" i="25"/>
  <c r="DD270" i="25" s="1"/>
  <c r="DE270" i="25" s="1"/>
  <c r="DF270" i="25" s="1"/>
  <c r="DH270" i="25"/>
  <c r="CY198" i="25"/>
  <c r="CZ198" i="25"/>
  <c r="CY246" i="25"/>
  <c r="CZ246" i="25"/>
  <c r="CZ292" i="25"/>
  <c r="CY292" i="25"/>
  <c r="DL308" i="25"/>
  <c r="DS308" i="25"/>
  <c r="DL78" i="25"/>
  <c r="FD78" i="25"/>
  <c r="DS78" i="25"/>
  <c r="DL142" i="25"/>
  <c r="DS142" i="25"/>
  <c r="FD142" i="25"/>
  <c r="CY45" i="25"/>
  <c r="CZ45" i="25"/>
  <c r="FD105" i="25"/>
  <c r="DL105" i="25"/>
  <c r="CZ30" i="25"/>
  <c r="CY30" i="25"/>
  <c r="DS13" i="25"/>
  <c r="CZ21" i="25"/>
  <c r="CY21" i="25"/>
  <c r="DH160" i="25"/>
  <c r="DA160" i="25"/>
  <c r="DD160" i="25" s="1"/>
  <c r="DE160" i="25" s="1"/>
  <c r="DF160" i="25" s="1"/>
  <c r="DL289" i="25"/>
  <c r="DS289" i="25"/>
  <c r="DL302" i="25"/>
  <c r="DS302" i="25"/>
  <c r="DA235" i="25"/>
  <c r="DD235" i="25" s="1"/>
  <c r="DE235" i="25" s="1"/>
  <c r="DF235" i="25" s="1"/>
  <c r="DH235" i="25"/>
  <c r="CZ300" i="25"/>
  <c r="DB300" i="25" s="1"/>
  <c r="DH300" i="25"/>
  <c r="DA300" i="25"/>
  <c r="DD300" i="25" s="1"/>
  <c r="DE300" i="25" s="1"/>
  <c r="DF300" i="25" s="1"/>
  <c r="DH39" i="25"/>
  <c r="DA39" i="25"/>
  <c r="DD39" i="25" s="1"/>
  <c r="DE39" i="25" s="1"/>
  <c r="DF39" i="25" s="1"/>
  <c r="DS256" i="25"/>
  <c r="DL256" i="25"/>
  <c r="DL239" i="25"/>
  <c r="DS239" i="25"/>
  <c r="DS171" i="25"/>
  <c r="DL171" i="25"/>
  <c r="FD171" i="25"/>
  <c r="CZ173" i="25"/>
  <c r="CY173" i="25"/>
  <c r="DL227" i="25"/>
  <c r="DS227" i="25"/>
  <c r="CY121" i="25"/>
  <c r="CZ121" i="25"/>
  <c r="CY42" i="25"/>
  <c r="CZ42" i="25"/>
  <c r="FD28" i="25"/>
  <c r="FD44" i="25"/>
  <c r="DA185" i="25"/>
  <c r="DD185" i="25" s="1"/>
  <c r="DE185" i="25" s="1"/>
  <c r="DF185" i="25" s="1"/>
  <c r="DH185" i="25"/>
  <c r="DH293" i="25"/>
  <c r="DA293" i="25"/>
  <c r="DD293" i="25" s="1"/>
  <c r="DE293" i="25" s="1"/>
  <c r="DF293" i="25" s="1"/>
  <c r="DH163" i="25"/>
  <c r="DA163" i="25"/>
  <c r="DD163" i="25" s="1"/>
  <c r="DE163" i="25" s="1"/>
  <c r="DF163" i="25" s="1"/>
  <c r="CY195" i="25"/>
  <c r="CZ195" i="25"/>
  <c r="CZ244" i="25"/>
  <c r="CY244" i="25"/>
  <c r="DS243" i="25"/>
  <c r="DL280" i="25"/>
  <c r="DS280" i="25"/>
  <c r="FD65" i="25"/>
  <c r="DL65" i="25"/>
  <c r="DS65" i="25"/>
  <c r="FD87" i="25"/>
  <c r="DL87" i="25"/>
  <c r="DL55" i="25"/>
  <c r="DS55" i="25"/>
  <c r="DL82" i="25"/>
  <c r="FD82" i="25"/>
  <c r="DS82" i="25"/>
  <c r="DL27" i="25"/>
  <c r="DS27" i="25"/>
  <c r="DS175" i="25"/>
  <c r="DL175" i="25"/>
  <c r="FD175" i="25"/>
  <c r="DS17" i="25"/>
  <c r="DA177" i="25"/>
  <c r="DD177" i="25" s="1"/>
  <c r="DE177" i="25" s="1"/>
  <c r="DF177" i="25" s="1"/>
  <c r="DH177" i="25"/>
  <c r="DH55" i="25"/>
  <c r="DA55" i="25"/>
  <c r="DD55" i="25" s="1"/>
  <c r="DE55" i="25" s="1"/>
  <c r="DF55" i="25" s="1"/>
  <c r="DL68" i="25"/>
  <c r="FD68" i="25"/>
  <c r="DS68" i="25"/>
  <c r="DH182" i="25"/>
  <c r="DA182" i="25"/>
  <c r="DD182" i="25" s="1"/>
  <c r="DE182" i="25" s="1"/>
  <c r="DF182" i="25" s="1"/>
  <c r="DH133" i="25"/>
  <c r="DA133" i="25"/>
  <c r="DD133" i="25" s="1"/>
  <c r="DE133" i="25" s="1"/>
  <c r="DF133" i="25" s="1"/>
  <c r="DH273" i="25"/>
  <c r="DA273" i="25"/>
  <c r="DD273" i="25" s="1"/>
  <c r="DE273" i="25" s="1"/>
  <c r="DF273" i="25" s="1"/>
  <c r="DS225" i="25"/>
  <c r="CZ63" i="25"/>
  <c r="DB63" i="25" s="1"/>
  <c r="DH63" i="25"/>
  <c r="DA63" i="25"/>
  <c r="DD63" i="25" s="1"/>
  <c r="DE63" i="25" s="1"/>
  <c r="DF63" i="25" s="1"/>
  <c r="DL226" i="25"/>
  <c r="DS226" i="25"/>
  <c r="FD143" i="25"/>
  <c r="DS143" i="25"/>
  <c r="DL143" i="25"/>
  <c r="DL89" i="25"/>
  <c r="DS89" i="25"/>
  <c r="FD89" i="25"/>
  <c r="CY59" i="25"/>
  <c r="CZ59" i="25"/>
  <c r="DL208" i="25"/>
  <c r="FD208" i="25"/>
  <c r="FD20" i="25"/>
  <c r="DL20" i="25"/>
  <c r="DS20" i="25"/>
  <c r="DA237" i="25"/>
  <c r="DD237" i="25" s="1"/>
  <c r="DE237" i="25" s="1"/>
  <c r="DF237" i="25" s="1"/>
  <c r="DH237" i="25"/>
  <c r="DH188" i="25"/>
  <c r="DA188" i="25"/>
  <c r="DD188" i="25" s="1"/>
  <c r="DE188" i="25" s="1"/>
  <c r="DF188" i="25" s="1"/>
  <c r="DH252" i="25"/>
  <c r="DA252" i="25"/>
  <c r="DD252" i="25" s="1"/>
  <c r="DE252" i="25" s="1"/>
  <c r="DF252" i="25" s="1"/>
  <c r="DH24" i="25"/>
  <c r="DA24" i="25"/>
  <c r="DD24" i="25" s="1"/>
  <c r="DE24" i="25" s="1"/>
  <c r="DF24" i="25" s="1"/>
  <c r="CY263" i="25"/>
  <c r="CZ263" i="25"/>
  <c r="DL207" i="25"/>
  <c r="FD207" i="25"/>
  <c r="CY255" i="25"/>
  <c r="CZ255" i="25"/>
  <c r="CZ260" i="25"/>
  <c r="CY260" i="25"/>
  <c r="DL301" i="25"/>
  <c r="DS301" i="25"/>
  <c r="CZ224" i="25"/>
  <c r="CY224" i="25"/>
  <c r="FD118" i="25"/>
  <c r="DS118" i="25"/>
  <c r="DL118" i="25"/>
  <c r="CZ94" i="25"/>
  <c r="CY94" i="25"/>
  <c r="CY72" i="25"/>
  <c r="CZ72" i="25"/>
  <c r="DH227" i="25"/>
  <c r="DA227" i="25"/>
  <c r="DD227" i="25" s="1"/>
  <c r="DE227" i="25" s="1"/>
  <c r="DF227" i="25" s="1"/>
  <c r="CY228" i="25"/>
  <c r="CZ228" i="25"/>
  <c r="DL230" i="25"/>
  <c r="DS230" i="25"/>
  <c r="DH209" i="25"/>
  <c r="DA209" i="25"/>
  <c r="DD209" i="25" s="1"/>
  <c r="DE209" i="25" s="1"/>
  <c r="DF209" i="25" s="1"/>
  <c r="DH184" i="25"/>
  <c r="DA184" i="25"/>
  <c r="DD184" i="25" s="1"/>
  <c r="DE184" i="25" s="1"/>
  <c r="DF184" i="25" s="1"/>
  <c r="DH148" i="25"/>
  <c r="DA148" i="25"/>
  <c r="DD148" i="25" s="1"/>
  <c r="DE148" i="25" s="1"/>
  <c r="DF148" i="25" s="1"/>
  <c r="DH161" i="25"/>
  <c r="DA161" i="25"/>
  <c r="DD161" i="25" s="1"/>
  <c r="DE161" i="25" s="1"/>
  <c r="DF161" i="25" s="1"/>
  <c r="DH218" i="25"/>
  <c r="DA218" i="25"/>
  <c r="DD218" i="25" s="1"/>
  <c r="DE218" i="25" s="1"/>
  <c r="DF218" i="25" s="1"/>
  <c r="DL183" i="25"/>
  <c r="FD183" i="25"/>
  <c r="DS183" i="25"/>
  <c r="CY170" i="25"/>
  <c r="CZ170" i="25"/>
  <c r="DS292" i="25"/>
  <c r="DL292" i="25"/>
  <c r="DL190" i="25"/>
  <c r="DS190" i="25"/>
  <c r="FD190" i="25"/>
  <c r="CY136" i="25"/>
  <c r="CZ136" i="25"/>
  <c r="DL13" i="25"/>
  <c r="FD13" i="25"/>
  <c r="DL23" i="25"/>
  <c r="FD23" i="25"/>
  <c r="DS23" i="25"/>
  <c r="DH181" i="25"/>
  <c r="DA181" i="25"/>
  <c r="DD181" i="25" s="1"/>
  <c r="DE181" i="25" s="1"/>
  <c r="DF181" i="25" s="1"/>
  <c r="CY272" i="25"/>
  <c r="CZ272" i="25"/>
  <c r="CZ289" i="25"/>
  <c r="CY289" i="25"/>
  <c r="DL39" i="25"/>
  <c r="FD39" i="25"/>
  <c r="DS39" i="25"/>
  <c r="DL73" i="25"/>
  <c r="DS73" i="25"/>
  <c r="FD73" i="25"/>
  <c r="DA129" i="25"/>
  <c r="DD129" i="25" s="1"/>
  <c r="DE129" i="25" s="1"/>
  <c r="DF129" i="25" s="1"/>
  <c r="DH129" i="25"/>
  <c r="DH137" i="25"/>
  <c r="DA137" i="25"/>
  <c r="DD137" i="25" s="1"/>
  <c r="DE137" i="25" s="1"/>
  <c r="DF137" i="25" s="1"/>
  <c r="DH48" i="25"/>
  <c r="DA48" i="25"/>
  <c r="DD48" i="25" s="1"/>
  <c r="DE48" i="25" s="1"/>
  <c r="DF48" i="25" s="1"/>
  <c r="DH52" i="25"/>
  <c r="DA52" i="25"/>
  <c r="DD52" i="25" s="1"/>
  <c r="DE52" i="25" s="1"/>
  <c r="DF52" i="25" s="1"/>
  <c r="CY290" i="25"/>
  <c r="CZ290" i="25"/>
  <c r="CY287" i="25"/>
  <c r="CZ287" i="25"/>
  <c r="FD140" i="25"/>
  <c r="DS140" i="25"/>
  <c r="DL140" i="25"/>
  <c r="CY227" i="25"/>
  <c r="CZ227" i="25"/>
  <c r="CY284" i="25"/>
  <c r="CZ284" i="25"/>
  <c r="FD9" i="25"/>
  <c r="DL9" i="25"/>
  <c r="DH171" i="25"/>
  <c r="DA171" i="25"/>
  <c r="DD171" i="25" s="1"/>
  <c r="DE171" i="25" s="1"/>
  <c r="DF171" i="25" s="1"/>
  <c r="DH126" i="25"/>
  <c r="DA126" i="25"/>
  <c r="DD126" i="25" s="1"/>
  <c r="DE126" i="25" s="1"/>
  <c r="DF126" i="25" s="1"/>
  <c r="DH13" i="25"/>
  <c r="DA13" i="25"/>
  <c r="DD13" i="25" s="1"/>
  <c r="DE13" i="25" s="1"/>
  <c r="DF13" i="25" s="1"/>
  <c r="DH17" i="25"/>
  <c r="DA17" i="25"/>
  <c r="DD17" i="25" s="1"/>
  <c r="DE17" i="25" s="1"/>
  <c r="DF17" i="25" s="1"/>
  <c r="DH278" i="25"/>
  <c r="DA278" i="25"/>
  <c r="DD278" i="25" s="1"/>
  <c r="DE278" i="25" s="1"/>
  <c r="DF278" i="25" s="1"/>
  <c r="DA281" i="25"/>
  <c r="DD281" i="25" s="1"/>
  <c r="DE281" i="25" s="1"/>
  <c r="DF281" i="25" s="1"/>
  <c r="DH281" i="25"/>
  <c r="CZ236" i="25"/>
  <c r="DB236" i="25" s="1"/>
  <c r="DH236" i="25"/>
  <c r="DA236" i="25"/>
  <c r="DD236" i="25" s="1"/>
  <c r="DE236" i="25" s="1"/>
  <c r="DF236" i="25" s="1"/>
  <c r="DH159" i="25"/>
  <c r="DA159" i="25"/>
  <c r="DD159" i="25" s="1"/>
  <c r="DE159" i="25" s="1"/>
  <c r="DF159" i="25" s="1"/>
  <c r="DL243" i="25"/>
  <c r="CY177" i="25"/>
  <c r="CZ177" i="25"/>
  <c r="CY100" i="25"/>
  <c r="CZ100" i="25"/>
  <c r="CY126" i="25"/>
  <c r="CZ126" i="25"/>
  <c r="CY17" i="25"/>
  <c r="CZ17" i="25"/>
  <c r="DS176" i="25"/>
  <c r="FD176" i="25"/>
  <c r="DL176" i="25"/>
  <c r="DH139" i="25"/>
  <c r="DA139" i="25"/>
  <c r="DD139" i="25" s="1"/>
  <c r="DE139" i="25" s="1"/>
  <c r="DF139" i="25" s="1"/>
  <c r="DH124" i="25"/>
  <c r="DA124" i="25"/>
  <c r="DD124" i="25" s="1"/>
  <c r="DE124" i="25" s="1"/>
  <c r="DF124" i="25" s="1"/>
  <c r="FD55" i="25"/>
  <c r="DA192" i="25"/>
  <c r="DD192" i="25" s="1"/>
  <c r="DE192" i="25" s="1"/>
  <c r="DF192" i="25" s="1"/>
  <c r="DH192" i="25"/>
  <c r="DA204" i="25"/>
  <c r="DD204" i="25" s="1"/>
  <c r="DE204" i="25" s="1"/>
  <c r="DF204" i="25" s="1"/>
  <c r="DH204" i="25"/>
  <c r="DH115" i="25"/>
  <c r="DA115" i="25"/>
  <c r="DD115" i="25" s="1"/>
  <c r="DE115" i="25" s="1"/>
  <c r="DF115" i="25" s="1"/>
  <c r="DH245" i="25"/>
  <c r="DA245" i="25"/>
  <c r="DD245" i="25" s="1"/>
  <c r="DE245" i="25" s="1"/>
  <c r="DF245" i="25" s="1"/>
  <c r="DH140" i="25"/>
  <c r="DA140" i="25"/>
  <c r="DD140" i="25" s="1"/>
  <c r="DE140" i="25" s="1"/>
  <c r="DF140" i="25" s="1"/>
  <c r="DH297" i="25"/>
  <c r="DA297" i="25"/>
  <c r="DD297" i="25" s="1"/>
  <c r="DE297" i="25" s="1"/>
  <c r="DF297" i="25" s="1"/>
  <c r="DH223" i="25"/>
  <c r="DA223" i="25"/>
  <c r="DD223" i="25" s="1"/>
  <c r="DE223" i="25" s="1"/>
  <c r="DF223" i="25" s="1"/>
  <c r="DH222" i="25"/>
  <c r="DA222" i="25"/>
  <c r="DD222" i="25" s="1"/>
  <c r="DE222" i="25" s="1"/>
  <c r="DF222" i="25" s="1"/>
  <c r="CZ241" i="25"/>
  <c r="CY241" i="25"/>
  <c r="CY146" i="25"/>
  <c r="CZ146" i="25"/>
  <c r="CY185" i="25"/>
  <c r="CZ185" i="25"/>
  <c r="CZ283" i="25"/>
  <c r="CY283" i="25"/>
  <c r="DS129" i="25"/>
  <c r="DL129" i="25"/>
  <c r="FD129" i="25"/>
  <c r="DL57" i="25"/>
  <c r="DS57" i="25"/>
  <c r="FD57" i="25"/>
  <c r="CZ145" i="25"/>
  <c r="CY145" i="25"/>
  <c r="DL33" i="25"/>
  <c r="FD33" i="25"/>
  <c r="DS33" i="25"/>
  <c r="CY22" i="25"/>
  <c r="CZ22" i="25"/>
  <c r="DS25" i="25"/>
  <c r="DA196" i="25"/>
  <c r="DD196" i="25" s="1"/>
  <c r="DE196" i="25" s="1"/>
  <c r="DF196" i="25" s="1"/>
  <c r="DH196" i="25"/>
  <c r="DA229" i="25"/>
  <c r="DD229" i="25" s="1"/>
  <c r="DE229" i="25" s="1"/>
  <c r="DF229" i="25" s="1"/>
  <c r="DH229" i="25"/>
  <c r="DH136" i="25"/>
  <c r="DA136" i="25"/>
  <c r="DD136" i="25" s="1"/>
  <c r="DE136" i="25" s="1"/>
  <c r="DF136" i="25" s="1"/>
  <c r="DA287" i="25"/>
  <c r="DD287" i="25" s="1"/>
  <c r="DE287" i="25" s="1"/>
  <c r="DF287" i="25" s="1"/>
  <c r="DH287" i="25"/>
  <c r="DA255" i="25"/>
  <c r="DD255" i="25" s="1"/>
  <c r="DE255" i="25" s="1"/>
  <c r="DF255" i="25" s="1"/>
  <c r="DH255" i="25"/>
  <c r="DH151" i="25"/>
  <c r="DA151" i="25"/>
  <c r="DD151" i="25" s="1"/>
  <c r="DE151" i="25" s="1"/>
  <c r="DF151" i="25" s="1"/>
  <c r="DA186" i="25"/>
  <c r="DD186" i="25" s="1"/>
  <c r="DE186" i="25" s="1"/>
  <c r="DF186" i="25" s="1"/>
  <c r="DH186" i="25"/>
  <c r="DH272" i="25"/>
  <c r="DA272" i="25"/>
  <c r="DD272" i="25" s="1"/>
  <c r="DE272" i="25" s="1"/>
  <c r="DF272" i="25" s="1"/>
  <c r="CY200" i="25"/>
  <c r="CZ200" i="25"/>
  <c r="CY147" i="25"/>
  <c r="CZ147" i="25"/>
  <c r="CY254" i="25"/>
  <c r="CZ254" i="25"/>
  <c r="CY253" i="25"/>
  <c r="CZ253" i="25"/>
  <c r="CZ183" i="25"/>
  <c r="CY183" i="25"/>
  <c r="DL246" i="25"/>
  <c r="DS246" i="25"/>
  <c r="FD70" i="25"/>
  <c r="DS70" i="25"/>
  <c r="DL70" i="25"/>
  <c r="DL21" i="25"/>
  <c r="FD21" i="25"/>
  <c r="DS21" i="25"/>
  <c r="DS66" i="25"/>
  <c r="DL66" i="25"/>
  <c r="FD66" i="25"/>
  <c r="CZ184" i="25"/>
  <c r="CY184" i="25"/>
  <c r="FD199" i="25"/>
  <c r="DL199" i="25"/>
  <c r="DH169" i="25"/>
  <c r="DA169" i="25"/>
  <c r="DD169" i="25" s="1"/>
  <c r="DE169" i="25" s="1"/>
  <c r="DF169" i="25" s="1"/>
  <c r="DA61" i="25"/>
  <c r="DD61" i="25" s="1"/>
  <c r="DE61" i="25" s="1"/>
  <c r="DF61" i="25" s="1"/>
  <c r="DH61" i="25"/>
  <c r="DH116" i="25"/>
  <c r="DA116" i="25"/>
  <c r="DD116" i="25" s="1"/>
  <c r="DE116" i="25" s="1"/>
  <c r="DF116" i="25" s="1"/>
  <c r="CZ265" i="25"/>
  <c r="DB265" i="25" s="1"/>
  <c r="DA265" i="25"/>
  <c r="DD265" i="25" s="1"/>
  <c r="DE265" i="25" s="1"/>
  <c r="DF265" i="25" s="1"/>
  <c r="DH265" i="25"/>
  <c r="DH242" i="25"/>
  <c r="DA242" i="25"/>
  <c r="DD242" i="25" s="1"/>
  <c r="DE242" i="25" s="1"/>
  <c r="DF242" i="25" s="1"/>
  <c r="DA71" i="25"/>
  <c r="DD71" i="25" s="1"/>
  <c r="DE71" i="25" s="1"/>
  <c r="DF71" i="25" s="1"/>
  <c r="DH71" i="25"/>
  <c r="DH77" i="25"/>
  <c r="DA77" i="25"/>
  <c r="DD77" i="25" s="1"/>
  <c r="DE77" i="25" s="1"/>
  <c r="DF77" i="25" s="1"/>
  <c r="FD168" i="25"/>
  <c r="DS168" i="25"/>
  <c r="DL168" i="25"/>
  <c r="CY169" i="25"/>
  <c r="CZ169" i="25"/>
  <c r="DS290" i="25"/>
  <c r="DL290" i="25"/>
  <c r="CZ189" i="25"/>
  <c r="CY189" i="25"/>
  <c r="DS287" i="25"/>
  <c r="DL287" i="25"/>
  <c r="FD121" i="25"/>
  <c r="DS121" i="25"/>
  <c r="DL121" i="25"/>
  <c r="CY88" i="25"/>
  <c r="CZ88" i="25"/>
  <c r="FD96" i="25"/>
  <c r="DL96" i="25"/>
  <c r="CY71" i="25"/>
  <c r="CZ71" i="25"/>
  <c r="CY58" i="25"/>
  <c r="CZ58" i="25"/>
  <c r="FD91" i="25"/>
  <c r="FD147" i="25"/>
  <c r="CY12" i="25"/>
  <c r="CZ12" i="25"/>
  <c r="DA195" i="25"/>
  <c r="DD195" i="25" s="1"/>
  <c r="DE195" i="25" s="1"/>
  <c r="DF195" i="25" s="1"/>
  <c r="DH195" i="25"/>
  <c r="DA198" i="25"/>
  <c r="DD198" i="25" s="1"/>
  <c r="DE198" i="25" s="1"/>
  <c r="DF198" i="25" s="1"/>
  <c r="DH198" i="25"/>
  <c r="DH142" i="25"/>
  <c r="DA142" i="25"/>
  <c r="DD142" i="25" s="1"/>
  <c r="DE142" i="25" s="1"/>
  <c r="DF142" i="25" s="1"/>
  <c r="DH221" i="25"/>
  <c r="DA221" i="25"/>
  <c r="DD221" i="25" s="1"/>
  <c r="DE221" i="25" s="1"/>
  <c r="DF221" i="25" s="1"/>
  <c r="CY181" i="25"/>
  <c r="CZ181" i="25"/>
  <c r="DS295" i="25"/>
  <c r="DL244" i="25"/>
  <c r="DS244" i="25"/>
  <c r="DL164" i="25"/>
  <c r="FD164" i="25"/>
  <c r="DS164" i="25"/>
  <c r="DL156" i="25"/>
  <c r="DS156" i="25"/>
  <c r="FD156" i="25"/>
  <c r="DL177" i="25"/>
  <c r="DS177" i="25"/>
  <c r="FD177" i="25"/>
  <c r="DL100" i="25"/>
  <c r="FD100" i="25"/>
  <c r="CZ175" i="25"/>
  <c r="CY175" i="25"/>
  <c r="CZ176" i="25"/>
  <c r="CY176" i="25"/>
  <c r="CZ128" i="25"/>
  <c r="CY128" i="25"/>
  <c r="DA73" i="25"/>
  <c r="DD73" i="25" s="1"/>
  <c r="DE73" i="25" s="1"/>
  <c r="DF73" i="25" s="1"/>
  <c r="DH73" i="25"/>
  <c r="CZ238" i="25"/>
  <c r="DB238" i="25" s="1"/>
  <c r="DH238" i="25"/>
  <c r="DA238" i="25"/>
  <c r="DD238" i="25" s="1"/>
  <c r="DE238" i="25" s="1"/>
  <c r="DF238" i="25" s="1"/>
  <c r="DA230" i="25"/>
  <c r="DD230" i="25" s="1"/>
  <c r="DE230" i="25" s="1"/>
  <c r="DF230" i="25" s="1"/>
  <c r="DH230" i="25"/>
  <c r="CY275" i="25"/>
  <c r="CZ275" i="25"/>
  <c r="DL241" i="25"/>
  <c r="DS241" i="25"/>
  <c r="DS283" i="25"/>
  <c r="DL283" i="25"/>
  <c r="CY57" i="25"/>
  <c r="CZ57" i="25"/>
  <c r="CY85" i="25"/>
  <c r="CZ85" i="25"/>
  <c r="DL74" i="25"/>
  <c r="FD74" i="25"/>
  <c r="DS74" i="25"/>
  <c r="DL43" i="25"/>
  <c r="FD43" i="25"/>
  <c r="DS43" i="25"/>
  <c r="DL59" i="25"/>
  <c r="DS59" i="25"/>
  <c r="FD59" i="25"/>
  <c r="CY102" i="25"/>
  <c r="CZ102" i="25"/>
  <c r="DH81" i="25"/>
  <c r="DA81" i="25"/>
  <c r="DD81" i="25" s="1"/>
  <c r="DE81" i="25" s="1"/>
  <c r="DF81" i="25" s="1"/>
  <c r="CZ207" i="25"/>
  <c r="DB207" i="25" s="1"/>
  <c r="DH207" i="25"/>
  <c r="DA207" i="25"/>
  <c r="DD207" i="25" s="1"/>
  <c r="DE207" i="25" s="1"/>
  <c r="DF207" i="25" s="1"/>
  <c r="DH50" i="25"/>
  <c r="DA50" i="25"/>
  <c r="DD50" i="25" s="1"/>
  <c r="DE50" i="25" s="1"/>
  <c r="DF50" i="25" s="1"/>
  <c r="DH104" i="25"/>
  <c r="DA104" i="25"/>
  <c r="DD104" i="25" s="1"/>
  <c r="DE104" i="25" s="1"/>
  <c r="DF104" i="25" s="1"/>
  <c r="DS167" i="25"/>
  <c r="DL167" i="25"/>
  <c r="FD167" i="25"/>
  <c r="DL155" i="25"/>
  <c r="DS155" i="25"/>
  <c r="FD155" i="25"/>
  <c r="CY222" i="25"/>
  <c r="CZ222" i="25"/>
  <c r="CZ150" i="25"/>
  <c r="CY150" i="25"/>
  <c r="CZ138" i="25"/>
  <c r="CY138" i="25"/>
  <c r="DL77" i="25"/>
  <c r="DS77" i="25"/>
  <c r="FD77" i="25"/>
  <c r="DL228" i="25"/>
  <c r="DS228" i="25"/>
  <c r="DS137" i="25"/>
  <c r="FD137" i="25"/>
  <c r="DL137" i="25"/>
  <c r="DH264" i="25"/>
  <c r="DA264" i="25"/>
  <c r="DD264" i="25" s="1"/>
  <c r="DE264" i="25" s="1"/>
  <c r="DF264" i="25" s="1"/>
  <c r="DH165" i="25"/>
  <c r="DA165" i="25"/>
  <c r="DD165" i="25" s="1"/>
  <c r="DE165" i="25" s="1"/>
  <c r="DF165" i="25" s="1"/>
  <c r="DA75" i="25"/>
  <c r="DD75" i="25" s="1"/>
  <c r="DE75" i="25" s="1"/>
  <c r="DF75" i="25" s="1"/>
  <c r="DH75" i="25"/>
  <c r="DH16" i="25"/>
  <c r="DA16" i="25"/>
  <c r="DD16" i="25" s="1"/>
  <c r="DE16" i="25" s="1"/>
  <c r="DF16" i="25" s="1"/>
  <c r="DS255" i="25"/>
  <c r="DH28" i="25"/>
  <c r="DA28" i="25"/>
  <c r="DD28" i="25" s="1"/>
  <c r="DE28" i="25" s="1"/>
  <c r="DF28" i="25" s="1"/>
  <c r="DL254" i="25"/>
  <c r="DS254" i="25"/>
  <c r="CZ149" i="25"/>
  <c r="CY149" i="25"/>
  <c r="DS170" i="25"/>
  <c r="FD170" i="25"/>
  <c r="DL170" i="25"/>
  <c r="DL93" i="25"/>
  <c r="FD93" i="25"/>
  <c r="CY104" i="25"/>
  <c r="CZ104" i="25"/>
  <c r="CY313" i="25"/>
  <c r="CZ313" i="25"/>
  <c r="CY70" i="25"/>
  <c r="CZ70" i="25"/>
  <c r="FD60" i="25"/>
  <c r="DL60" i="25"/>
  <c r="DS60" i="25"/>
  <c r="DL272" i="25"/>
  <c r="DS272" i="25"/>
  <c r="DL49" i="25"/>
  <c r="FD49" i="25"/>
  <c r="CZ199" i="25"/>
  <c r="CY199" i="25"/>
  <c r="DH205" i="25"/>
  <c r="DA205" i="25"/>
  <c r="DD205" i="25" s="1"/>
  <c r="DE205" i="25" s="1"/>
  <c r="DF205" i="25" s="1"/>
  <c r="DH10" i="25"/>
  <c r="DA10" i="25"/>
  <c r="DD10" i="25" s="1"/>
  <c r="DE10" i="25" s="1"/>
  <c r="DF10" i="25" s="1"/>
  <c r="DS252" i="25"/>
  <c r="DL252" i="25"/>
  <c r="CZ168" i="25"/>
  <c r="CY168" i="25"/>
  <c r="CY245" i="25"/>
  <c r="CZ245" i="25"/>
  <c r="DL189" i="25"/>
  <c r="FD189" i="25"/>
  <c r="DS189" i="25"/>
  <c r="CY69" i="25"/>
  <c r="CZ69" i="25"/>
  <c r="DS139" i="25"/>
  <c r="DL139" i="25"/>
  <c r="FD139" i="25"/>
  <c r="DL40" i="25"/>
  <c r="FD40" i="25"/>
  <c r="DS40" i="25"/>
  <c r="CY298" i="25"/>
  <c r="CZ298" i="25"/>
  <c r="DS284" i="25"/>
  <c r="DL284" i="25"/>
  <c r="DL48" i="25"/>
  <c r="DS48" i="25"/>
  <c r="FD71" i="25"/>
  <c r="DL71" i="25"/>
  <c r="DS71" i="25"/>
  <c r="DL81" i="25"/>
  <c r="DS81" i="25"/>
  <c r="FD81" i="25"/>
  <c r="CZ29" i="25"/>
  <c r="CY29" i="25"/>
  <c r="DS58" i="25"/>
  <c r="DL58" i="25"/>
  <c r="FD58" i="25"/>
  <c r="DL12" i="25"/>
  <c r="DS12" i="25"/>
  <c r="FD12" i="25"/>
  <c r="DH243" i="25"/>
  <c r="DA243" i="25"/>
  <c r="DD243" i="25" s="1"/>
  <c r="DE243" i="25" s="1"/>
  <c r="DF243" i="25" s="1"/>
  <c r="DA117" i="25"/>
  <c r="DD117" i="25" s="1"/>
  <c r="DE117" i="25" s="1"/>
  <c r="DF117" i="25" s="1"/>
  <c r="DH117" i="25"/>
  <c r="DH101" i="25"/>
  <c r="DA101" i="25"/>
  <c r="DD101" i="25" s="1"/>
  <c r="DE101" i="25" s="1"/>
  <c r="DF101" i="25" s="1"/>
  <c r="DH313" i="25"/>
  <c r="DA313" i="25"/>
  <c r="DD313" i="25" s="1"/>
  <c r="DE313" i="25" s="1"/>
  <c r="DF313" i="25" s="1"/>
  <c r="CY242" i="25"/>
  <c r="CZ242" i="25"/>
  <c r="DS181" i="25"/>
  <c r="FD181" i="25"/>
  <c r="DL181" i="25"/>
  <c r="CY295" i="25"/>
  <c r="CZ295" i="25"/>
  <c r="CY153" i="25"/>
  <c r="CZ153" i="25"/>
  <c r="CY47" i="25"/>
  <c r="CZ47" i="25"/>
  <c r="FD17" i="25"/>
  <c r="DL17" i="25"/>
  <c r="DA69" i="25"/>
  <c r="DD69" i="25" s="1"/>
  <c r="DE69" i="25" s="1"/>
  <c r="DF69" i="25" s="1"/>
  <c r="DH69" i="25"/>
  <c r="DH260" i="25"/>
  <c r="DA260" i="25"/>
  <c r="DD260" i="25" s="1"/>
  <c r="DE260" i="25" s="1"/>
  <c r="DF260" i="25" s="1"/>
  <c r="DH94" i="25"/>
  <c r="DA94" i="25"/>
  <c r="DD94" i="25" s="1"/>
  <c r="DE94" i="25" s="1"/>
  <c r="DF94" i="25" s="1"/>
  <c r="DH118" i="25"/>
  <c r="DA118" i="25"/>
  <c r="DD118" i="25" s="1"/>
  <c r="DE118" i="25" s="1"/>
  <c r="DF118" i="25" s="1"/>
  <c r="DH309" i="25"/>
  <c r="DA309" i="25"/>
  <c r="DD309" i="25" s="1"/>
  <c r="DE309" i="25" s="1"/>
  <c r="DF309" i="25" s="1"/>
  <c r="DA291" i="25"/>
  <c r="DD291" i="25" s="1"/>
  <c r="DE291" i="25" s="1"/>
  <c r="DF291" i="25" s="1"/>
  <c r="DH291" i="25"/>
  <c r="DH74" i="25"/>
  <c r="DA74" i="25"/>
  <c r="DD74" i="25" s="1"/>
  <c r="DE74" i="25" s="1"/>
  <c r="DF74" i="25" s="1"/>
  <c r="DH8" i="25"/>
  <c r="DA8" i="25"/>
  <c r="DD8" i="25" s="1"/>
  <c r="DE8" i="25" s="1"/>
  <c r="DF8" i="25" s="1"/>
  <c r="FD194" i="25"/>
  <c r="DL194" i="25"/>
  <c r="CZ161" i="25"/>
  <c r="CY161" i="25"/>
  <c r="CY276" i="25"/>
  <c r="CZ276" i="25"/>
  <c r="DL185" i="25"/>
  <c r="DS185" i="25"/>
  <c r="FD185" i="25"/>
  <c r="DS145" i="25"/>
  <c r="DL145" i="25"/>
  <c r="FD145" i="25"/>
  <c r="CY25" i="25"/>
  <c r="CZ25" i="25"/>
  <c r="DS117" i="25"/>
  <c r="DL117" i="25"/>
  <c r="FD117" i="25"/>
  <c r="CY15" i="25"/>
  <c r="CZ15" i="25"/>
  <c r="CY159" i="25"/>
  <c r="CZ159" i="25"/>
  <c r="CY52" i="25"/>
  <c r="CZ52" i="25"/>
  <c r="DL72" i="25"/>
  <c r="DS72" i="25"/>
  <c r="FD72" i="25"/>
  <c r="FD98" i="25"/>
  <c r="DL98" i="25"/>
  <c r="DS300" i="25"/>
  <c r="DL300" i="25"/>
  <c r="DH274" i="25"/>
  <c r="DA274" i="25"/>
  <c r="DD274" i="25" s="1"/>
  <c r="DE274" i="25" s="1"/>
  <c r="DF274" i="25" s="1"/>
  <c r="CZ19" i="25"/>
  <c r="DB19" i="25" s="1"/>
  <c r="DH19" i="25"/>
  <c r="DA19" i="25"/>
  <c r="DD19" i="25" s="1"/>
  <c r="DE19" i="25" s="1"/>
  <c r="DF19" i="25" s="1"/>
  <c r="DL259" i="25"/>
  <c r="DS259" i="25"/>
  <c r="DL200" i="25"/>
  <c r="FD200" i="25"/>
  <c r="DL253" i="25"/>
  <c r="DS253" i="25"/>
  <c r="CY247" i="25"/>
  <c r="CZ247" i="25"/>
  <c r="CZ172" i="25"/>
  <c r="CY172" i="25"/>
  <c r="DL45" i="25"/>
  <c r="DS45" i="25"/>
  <c r="FD45" i="25"/>
  <c r="FD136" i="25"/>
  <c r="DS136" i="25"/>
  <c r="DL136" i="25"/>
  <c r="DL313" i="25"/>
  <c r="DS313" i="25"/>
  <c r="CY60" i="25"/>
  <c r="CZ60" i="25"/>
  <c r="DH88" i="25"/>
  <c r="DA88" i="25"/>
  <c r="DD88" i="25" s="1"/>
  <c r="DE88" i="25" s="1"/>
  <c r="DF88" i="25" s="1"/>
  <c r="DA172" i="25"/>
  <c r="DD172" i="25" s="1"/>
  <c r="DE172" i="25" s="1"/>
  <c r="DF172" i="25" s="1"/>
  <c r="DH172" i="25"/>
  <c r="DH183" i="25"/>
  <c r="DA183" i="25"/>
  <c r="DD183" i="25" s="1"/>
  <c r="DE183" i="25" s="1"/>
  <c r="DF183" i="25" s="1"/>
  <c r="DH25" i="25"/>
  <c r="DA25" i="25"/>
  <c r="DD25" i="25" s="1"/>
  <c r="DE25" i="25" s="1"/>
  <c r="DF25" i="25" s="1"/>
  <c r="DH146" i="25"/>
  <c r="DA146" i="25"/>
  <c r="DD146" i="25" s="1"/>
  <c r="DE146" i="25" s="1"/>
  <c r="DF146" i="25" s="1"/>
  <c r="DA114" i="25"/>
  <c r="DD114" i="25" s="1"/>
  <c r="DE114" i="25" s="1"/>
  <c r="DF114" i="25" s="1"/>
  <c r="DH114" i="25"/>
  <c r="DH303" i="25"/>
  <c r="DA303" i="25"/>
  <c r="DD303" i="25" s="1"/>
  <c r="DE303" i="25" s="1"/>
  <c r="DF303" i="25" s="1"/>
  <c r="DH20" i="25"/>
  <c r="DA20" i="25"/>
  <c r="DD20" i="25" s="1"/>
  <c r="DE20" i="25" s="1"/>
  <c r="DF20" i="25" s="1"/>
  <c r="CZ162" i="25"/>
  <c r="DB162" i="25" s="1"/>
  <c r="DH162" i="25"/>
  <c r="DA162" i="25"/>
  <c r="DD162" i="25" s="1"/>
  <c r="DE162" i="25" s="1"/>
  <c r="DF162" i="25" s="1"/>
  <c r="DH246" i="25"/>
  <c r="DA246" i="25"/>
  <c r="DD246" i="25" s="1"/>
  <c r="DE246" i="25" s="1"/>
  <c r="DF246" i="25" s="1"/>
  <c r="CY182" i="25"/>
  <c r="CZ182" i="25"/>
  <c r="CY314" i="25"/>
  <c r="CZ314" i="25"/>
  <c r="CZ252" i="25"/>
  <c r="CY252" i="25"/>
  <c r="DL245" i="25"/>
  <c r="FD169" i="25"/>
  <c r="DS169" i="25"/>
  <c r="DL169" i="25"/>
  <c r="DL88" i="25"/>
  <c r="DS88" i="25"/>
  <c r="FD88" i="25"/>
  <c r="CY40" i="25"/>
  <c r="CZ40" i="25"/>
  <c r="DL298" i="25"/>
  <c r="DS298" i="25"/>
  <c r="CZ96" i="25"/>
  <c r="CY96" i="25"/>
  <c r="CY48" i="25"/>
  <c r="CZ48" i="25"/>
  <c r="DL24" i="25"/>
  <c r="FD24" i="25"/>
  <c r="FD48" i="25"/>
  <c r="FD95" i="25"/>
  <c r="DH176" i="25"/>
  <c r="DA176" i="25"/>
  <c r="DD176" i="25" s="1"/>
  <c r="DE176" i="25" s="1"/>
  <c r="DF176" i="25" s="1"/>
  <c r="CY225" i="25"/>
  <c r="CZ225" i="25"/>
  <c r="DL269" i="25"/>
  <c r="DS269" i="25"/>
  <c r="DH21" i="25"/>
  <c r="DA21" i="25"/>
  <c r="DD21" i="25" s="1"/>
  <c r="DE21" i="25" s="1"/>
  <c r="DF21" i="25" s="1"/>
  <c r="DH167" i="25"/>
  <c r="DA167" i="25"/>
  <c r="DD167" i="25" s="1"/>
  <c r="DE167" i="25" s="1"/>
  <c r="DF167" i="25" s="1"/>
  <c r="DA194" i="25"/>
  <c r="DD194" i="25" s="1"/>
  <c r="DE194" i="25" s="1"/>
  <c r="DF194" i="25" s="1"/>
  <c r="DH194" i="25"/>
  <c r="CZ155" i="25"/>
  <c r="DB155" i="25" s="1"/>
  <c r="DH155" i="25"/>
  <c r="DA155" i="25"/>
  <c r="DD155" i="25" s="1"/>
  <c r="DE155" i="25" s="1"/>
  <c r="DF155" i="25" s="1"/>
  <c r="DH288" i="25"/>
  <c r="DA288" i="25"/>
  <c r="DD288" i="25" s="1"/>
  <c r="DE288" i="25" s="1"/>
  <c r="DF288" i="25" s="1"/>
  <c r="CZ82" i="25"/>
  <c r="DB82" i="25" s="1"/>
  <c r="DH82" i="25"/>
  <c r="DA82" i="25"/>
  <c r="DD82" i="25" s="1"/>
  <c r="DE82" i="25" s="1"/>
  <c r="DF82" i="25" s="1"/>
  <c r="DL242" i="25"/>
  <c r="DS242" i="25"/>
  <c r="DL295" i="25"/>
  <c r="DS233" i="25"/>
  <c r="DL233" i="25"/>
  <c r="FD130" i="25"/>
  <c r="DL130" i="25"/>
  <c r="DS130" i="25"/>
  <c r="DS126" i="25"/>
  <c r="FD126" i="25"/>
  <c r="DL126" i="25"/>
  <c r="CY86" i="25"/>
  <c r="CZ86" i="25"/>
  <c r="FD34" i="25"/>
  <c r="DL34" i="25"/>
  <c r="DS34" i="25"/>
  <c r="DS266" i="25"/>
  <c r="DL266" i="25"/>
  <c r="DL47" i="25"/>
  <c r="DS47" i="25"/>
  <c r="FD47" i="25"/>
  <c r="CY55" i="25"/>
  <c r="CZ55" i="25"/>
  <c r="DL14" i="25"/>
  <c r="DS14" i="25"/>
  <c r="FD14" i="25"/>
  <c r="DS38" i="25"/>
  <c r="FD38" i="25"/>
  <c r="DL38" i="25"/>
  <c r="DH315" i="25"/>
  <c r="DA315" i="25"/>
  <c r="DD315" i="25" s="1"/>
  <c r="DE315" i="25" s="1"/>
  <c r="DF315" i="25" s="1"/>
  <c r="DA62" i="25"/>
  <c r="DD62" i="25" s="1"/>
  <c r="DE62" i="25" s="1"/>
  <c r="DF62" i="25" s="1"/>
  <c r="DH62" i="25"/>
  <c r="DL179" i="25"/>
  <c r="FD179" i="25"/>
  <c r="DS179" i="25"/>
  <c r="CY232" i="25"/>
  <c r="CZ232" i="25"/>
  <c r="CY64" i="25"/>
  <c r="CZ64" i="25"/>
  <c r="DH219" i="25"/>
  <c r="DA219" i="25"/>
  <c r="DD219" i="25" s="1"/>
  <c r="DE219" i="25" s="1"/>
  <c r="DF219" i="25" s="1"/>
  <c r="DA261" i="25"/>
  <c r="DD261" i="25" s="1"/>
  <c r="DE261" i="25" s="1"/>
  <c r="DF261" i="25" s="1"/>
  <c r="DH261" i="25"/>
  <c r="CZ306" i="25"/>
  <c r="CY306" i="25"/>
  <c r="DL235" i="25"/>
  <c r="DS235" i="25"/>
  <c r="DL275" i="25"/>
  <c r="DS275" i="25"/>
  <c r="DS146" i="25"/>
  <c r="FD146" i="25"/>
  <c r="DL146" i="25"/>
  <c r="DL276" i="25"/>
  <c r="DS276" i="25"/>
  <c r="DS79" i="25"/>
  <c r="DL79" i="25"/>
  <c r="FD79" i="25"/>
  <c r="CY262" i="25"/>
  <c r="CZ262" i="25"/>
  <c r="CY89" i="25"/>
  <c r="CZ89" i="25"/>
  <c r="DL25" i="25"/>
  <c r="FD25" i="25"/>
  <c r="DH113" i="25"/>
  <c r="DA113" i="25"/>
  <c r="DD113" i="25" s="1"/>
  <c r="DE113" i="25" s="1"/>
  <c r="DF113" i="25" s="1"/>
  <c r="DT43" i="24"/>
  <c r="DT282" i="24"/>
  <c r="DT29" i="24"/>
  <c r="DT11" i="24"/>
  <c r="CN302" i="24"/>
  <c r="DA302" i="24" s="1"/>
  <c r="CS302" i="24"/>
  <c r="FD302" i="24" s="1"/>
  <c r="DT287" i="24"/>
  <c r="DT219" i="24"/>
  <c r="CS267" i="24"/>
  <c r="FD267" i="24" s="1"/>
  <c r="CN267" i="24"/>
  <c r="DA267" i="24" s="1"/>
  <c r="CZ47" i="24"/>
  <c r="DT66" i="24"/>
  <c r="DT36" i="24"/>
  <c r="CS9" i="24"/>
  <c r="FD9" i="24" s="1"/>
  <c r="CN9" i="24"/>
  <c r="DA9" i="24" s="1"/>
  <c r="CZ86" i="24"/>
  <c r="DT15" i="24"/>
  <c r="CS236" i="24"/>
  <c r="FD236" i="24" s="1"/>
  <c r="CN236" i="24"/>
  <c r="DA236" i="24" s="1"/>
  <c r="CN206" i="24"/>
  <c r="DA206" i="24" s="1"/>
  <c r="CS206" i="24"/>
  <c r="FD206" i="24" s="1"/>
  <c r="CZ226" i="24"/>
  <c r="DT263" i="24"/>
  <c r="DT83" i="24"/>
  <c r="CZ153" i="24"/>
  <c r="CN73" i="24"/>
  <c r="DA73" i="24" s="1"/>
  <c r="CS73" i="24"/>
  <c r="FD73" i="24" s="1"/>
  <c r="CS52" i="24"/>
  <c r="FD52" i="24" s="1"/>
  <c r="CN52" i="24"/>
  <c r="CZ72" i="24"/>
  <c r="CS30" i="24"/>
  <c r="FD30" i="24" s="1"/>
  <c r="CN30" i="24"/>
  <c r="DA30" i="24" s="1"/>
  <c r="DT281" i="24"/>
  <c r="DT277" i="24"/>
  <c r="CN192" i="24"/>
  <c r="DA192" i="24" s="1"/>
  <c r="CS192" i="24"/>
  <c r="FD192" i="24" s="1"/>
  <c r="CZ240" i="24"/>
  <c r="CN116" i="24"/>
  <c r="DA116" i="24" s="1"/>
  <c r="CS116" i="24"/>
  <c r="FD116" i="24" s="1"/>
  <c r="CN133" i="24"/>
  <c r="DA133" i="24" s="1"/>
  <c r="CS133" i="24"/>
  <c r="FD133" i="24" s="1"/>
  <c r="CZ172" i="24"/>
  <c r="DT38" i="24"/>
  <c r="DT103" i="24"/>
  <c r="CN20" i="24"/>
  <c r="DA20" i="24" s="1"/>
  <c r="CS20" i="24"/>
  <c r="FD20" i="24" s="1"/>
  <c r="CN311" i="24"/>
  <c r="DA311" i="24" s="1"/>
  <c r="CS311" i="24"/>
  <c r="FD311" i="24" s="1"/>
  <c r="DT238" i="24"/>
  <c r="CS259" i="24"/>
  <c r="FD259" i="24" s="1"/>
  <c r="CN259" i="24"/>
  <c r="DA259" i="24" s="1"/>
  <c r="CS232" i="24"/>
  <c r="FD232" i="24" s="1"/>
  <c r="CN232" i="24"/>
  <c r="CN233" i="24"/>
  <c r="DA233" i="24" s="1"/>
  <c r="CS233" i="24"/>
  <c r="FD233" i="24" s="1"/>
  <c r="DT306" i="24"/>
  <c r="DT98" i="24"/>
  <c r="CS161" i="24"/>
  <c r="FD161" i="24" s="1"/>
  <c r="CN161" i="24"/>
  <c r="DA161" i="24" s="1"/>
  <c r="CS132" i="24"/>
  <c r="FD132" i="24" s="1"/>
  <c r="CN132" i="24"/>
  <c r="DA132" i="24" s="1"/>
  <c r="CZ148" i="24"/>
  <c r="DT47" i="24"/>
  <c r="CS120" i="24"/>
  <c r="FD120" i="24" s="1"/>
  <c r="CN120" i="24"/>
  <c r="DA120" i="24" s="1"/>
  <c r="CZ119" i="24"/>
  <c r="CZ41" i="24"/>
  <c r="CZ66" i="24"/>
  <c r="CS36" i="24"/>
  <c r="FD36" i="24" s="1"/>
  <c r="CN36" i="24"/>
  <c r="DA36" i="24" s="1"/>
  <c r="DT21" i="24"/>
  <c r="DT45" i="24"/>
  <c r="DT236" i="24"/>
  <c r="CS189" i="24"/>
  <c r="FD189" i="24" s="1"/>
  <c r="CN189" i="24"/>
  <c r="CS255" i="24"/>
  <c r="FD255" i="24" s="1"/>
  <c r="CN255" i="24"/>
  <c r="DA255" i="24" s="1"/>
  <c r="DT285" i="24"/>
  <c r="DT298" i="24"/>
  <c r="CS146" i="24"/>
  <c r="FD146" i="24" s="1"/>
  <c r="CN146" i="24"/>
  <c r="DA146" i="24" s="1"/>
  <c r="DT217" i="24"/>
  <c r="CZ40" i="24"/>
  <c r="DT70" i="24"/>
  <c r="CZ30" i="24"/>
  <c r="CZ314" i="24"/>
  <c r="CN200" i="24"/>
  <c r="DA200" i="24" s="1"/>
  <c r="CS200" i="24"/>
  <c r="FD200" i="24" s="1"/>
  <c r="CZ277" i="24"/>
  <c r="CN224" i="24"/>
  <c r="DA224" i="24" s="1"/>
  <c r="CS224" i="24"/>
  <c r="FD224" i="24" s="1"/>
  <c r="DT242" i="24"/>
  <c r="CS29" i="24"/>
  <c r="FD29" i="24" s="1"/>
  <c r="CN29" i="24"/>
  <c r="DA29" i="24" s="1"/>
  <c r="CZ259" i="24"/>
  <c r="CZ208" i="24"/>
  <c r="DT297" i="24"/>
  <c r="CZ267" i="24"/>
  <c r="CN179" i="24"/>
  <c r="DA179" i="24" s="1"/>
  <c r="CS179" i="24"/>
  <c r="FD179" i="24" s="1"/>
  <c r="CN41" i="24"/>
  <c r="CS41" i="24"/>
  <c r="FD41" i="24" s="1"/>
  <c r="DT9" i="24"/>
  <c r="CN296" i="24"/>
  <c r="DA296" i="24" s="1"/>
  <c r="CS296" i="24"/>
  <c r="FD296" i="24" s="1"/>
  <c r="CS298" i="24"/>
  <c r="FD298" i="24" s="1"/>
  <c r="CN298" i="24"/>
  <c r="DA298" i="24" s="1"/>
  <c r="CS153" i="24"/>
  <c r="FD153" i="24" s="1"/>
  <c r="CN153" i="24"/>
  <c r="DA153" i="24" s="1"/>
  <c r="CS234" i="24"/>
  <c r="FD234" i="24" s="1"/>
  <c r="CN234" i="24"/>
  <c r="DA234" i="24" s="1"/>
  <c r="CN118" i="24"/>
  <c r="DA118" i="24" s="1"/>
  <c r="CS118" i="24"/>
  <c r="FD118" i="24" s="1"/>
  <c r="CS64" i="24"/>
  <c r="FD64" i="24" s="1"/>
  <c r="CN64" i="24"/>
  <c r="CS6" i="24"/>
  <c r="FD6" i="24" s="1"/>
  <c r="CN6" i="24"/>
  <c r="DA6" i="24" s="1"/>
  <c r="DT18" i="24"/>
  <c r="CN289" i="24"/>
  <c r="DA289" i="24" s="1"/>
  <c r="CS289" i="24"/>
  <c r="FD289" i="24" s="1"/>
  <c r="CZ205" i="24"/>
  <c r="DT314" i="24"/>
  <c r="DT253" i="24"/>
  <c r="CN240" i="24"/>
  <c r="DA240" i="24" s="1"/>
  <c r="CS240" i="24"/>
  <c r="FD240" i="24" s="1"/>
  <c r="CZ111" i="24"/>
  <c r="DT58" i="24"/>
  <c r="CN238" i="24"/>
  <c r="DA238" i="24" s="1"/>
  <c r="CS238" i="24"/>
  <c r="FD238" i="24" s="1"/>
  <c r="DT267" i="24"/>
  <c r="CN306" i="24"/>
  <c r="DA306" i="24" s="1"/>
  <c r="CS306" i="24"/>
  <c r="FD306" i="24" s="1"/>
  <c r="CS171" i="24"/>
  <c r="FD171" i="24" s="1"/>
  <c r="CN171" i="24"/>
  <c r="CS148" i="24"/>
  <c r="FD148" i="24" s="1"/>
  <c r="CN148" i="24"/>
  <c r="DA148" i="24" s="1"/>
  <c r="CZ258" i="24"/>
  <c r="DT41" i="24"/>
  <c r="CS45" i="24"/>
  <c r="FD45" i="24" s="1"/>
  <c r="CN45" i="24"/>
  <c r="DA45" i="24" s="1"/>
  <c r="DT86" i="24"/>
  <c r="CZ296" i="24"/>
  <c r="CZ255" i="24"/>
  <c r="CZ285" i="24"/>
  <c r="CS226" i="24"/>
  <c r="FD226" i="24" s="1"/>
  <c r="CN226" i="24"/>
  <c r="DT294" i="24"/>
  <c r="CZ123" i="24"/>
  <c r="CZ136" i="24"/>
  <c r="CZ234" i="24"/>
  <c r="CZ113" i="24"/>
  <c r="CZ118" i="24"/>
  <c r="CZ64" i="24"/>
  <c r="DT6" i="24"/>
  <c r="CS18" i="24"/>
  <c r="FD18" i="24" s="1"/>
  <c r="CN18" i="24"/>
  <c r="CS205" i="24"/>
  <c r="FD205" i="24" s="1"/>
  <c r="CN205" i="24"/>
  <c r="CN253" i="24"/>
  <c r="DA253" i="24" s="1"/>
  <c r="CS253" i="24"/>
  <c r="FD253" i="24" s="1"/>
  <c r="DT224" i="24"/>
  <c r="CS286" i="24"/>
  <c r="FD286" i="24" s="1"/>
  <c r="CN286" i="24"/>
  <c r="DA286" i="24" s="1"/>
  <c r="DT240" i="24"/>
  <c r="CZ150" i="24"/>
  <c r="CN242" i="24"/>
  <c r="DA242" i="24" s="1"/>
  <c r="CS242" i="24"/>
  <c r="FD242" i="24" s="1"/>
  <c r="CN89" i="24"/>
  <c r="CS89" i="24"/>
  <c r="FD89" i="24" s="1"/>
  <c r="CZ20" i="24"/>
  <c r="DT280" i="24"/>
  <c r="DT311" i="24"/>
  <c r="CZ300" i="24"/>
  <c r="DT259" i="24"/>
  <c r="DT232" i="24"/>
  <c r="CS309" i="24"/>
  <c r="FD309" i="24" s="1"/>
  <c r="CN309" i="24"/>
  <c r="DA309" i="24" s="1"/>
  <c r="CZ161" i="24"/>
  <c r="CZ307" i="24"/>
  <c r="CZ179" i="24"/>
  <c r="CS81" i="24"/>
  <c r="FD81" i="24" s="1"/>
  <c r="CN81" i="24"/>
  <c r="CZ264" i="24"/>
  <c r="CN47" i="24"/>
  <c r="DA47" i="24" s="1"/>
  <c r="CS47" i="24"/>
  <c r="FD47" i="24" s="1"/>
  <c r="CS167" i="24"/>
  <c r="FD167" i="24" s="1"/>
  <c r="CN167" i="24"/>
  <c r="DA167" i="24" s="1"/>
  <c r="CZ75" i="24"/>
  <c r="CN21" i="24"/>
  <c r="DA21" i="24" s="1"/>
  <c r="CS21" i="24"/>
  <c r="FD21" i="24" s="1"/>
  <c r="DT296" i="24"/>
  <c r="CZ283" i="24"/>
  <c r="DT255" i="24"/>
  <c r="CZ203" i="24"/>
  <c r="DT226" i="24"/>
  <c r="CZ294" i="24"/>
  <c r="CS221" i="24"/>
  <c r="FD221" i="24" s="1"/>
  <c r="CN221" i="24"/>
  <c r="DA221" i="24" s="1"/>
  <c r="CS157" i="24"/>
  <c r="FD157" i="24" s="1"/>
  <c r="CN157" i="24"/>
  <c r="DA157" i="24" s="1"/>
  <c r="CZ209" i="24"/>
  <c r="CZ177" i="24"/>
  <c r="DT244" i="24"/>
  <c r="CS217" i="24"/>
  <c r="FD217" i="24" s="1"/>
  <c r="CN217" i="24"/>
  <c r="DA217" i="24" s="1"/>
  <c r="CS136" i="24"/>
  <c r="FD136" i="24" s="1"/>
  <c r="CN136" i="24"/>
  <c r="DT234" i="24"/>
  <c r="DT14" i="24"/>
  <c r="DT72" i="24"/>
  <c r="CZ289" i="24"/>
  <c r="CZ281" i="24"/>
  <c r="CS282" i="24"/>
  <c r="FD282" i="24" s="1"/>
  <c r="CN282" i="24"/>
  <c r="DA282" i="24" s="1"/>
  <c r="CN187" i="24"/>
  <c r="DA187" i="24" s="1"/>
  <c r="CS187" i="24"/>
  <c r="FD187" i="24" s="1"/>
  <c r="DT286" i="24"/>
  <c r="CN291" i="24"/>
  <c r="DA291" i="24" s="1"/>
  <c r="CS291" i="24"/>
  <c r="FD291" i="24" s="1"/>
  <c r="CN150" i="24"/>
  <c r="CS150" i="24"/>
  <c r="FD150" i="24" s="1"/>
  <c r="CN115" i="24"/>
  <c r="CS115" i="24"/>
  <c r="FD115" i="24" s="1"/>
  <c r="CS172" i="24"/>
  <c r="FD172" i="24" s="1"/>
  <c r="CN172" i="24"/>
  <c r="DA172" i="24" s="1"/>
  <c r="CZ17" i="24"/>
  <c r="CS300" i="24"/>
  <c r="FD300" i="24" s="1"/>
  <c r="CN300" i="24"/>
  <c r="DA300" i="24" s="1"/>
  <c r="CZ238" i="24"/>
  <c r="CS190" i="24"/>
  <c r="FD190" i="24" s="1"/>
  <c r="CN190" i="24"/>
  <c r="DA190" i="24" s="1"/>
  <c r="CZ287" i="24"/>
  <c r="DT309" i="24"/>
  <c r="CZ233" i="24"/>
  <c r="DT307" i="24"/>
  <c r="DT81" i="24"/>
  <c r="CN264" i="24"/>
  <c r="DA264" i="24" s="1"/>
  <c r="CS264" i="24"/>
  <c r="FD264" i="24" s="1"/>
  <c r="DT258" i="24"/>
  <c r="CZ167" i="24"/>
  <c r="CN119" i="24"/>
  <c r="DA119" i="24" s="1"/>
  <c r="CS119" i="24"/>
  <c r="FD119" i="24" s="1"/>
  <c r="CN66" i="24"/>
  <c r="CS66" i="24"/>
  <c r="FD66" i="24" s="1"/>
  <c r="CN75" i="24"/>
  <c r="DA75" i="24" s="1"/>
  <c r="CS75" i="24"/>
  <c r="FD75" i="24" s="1"/>
  <c r="CZ21" i="24"/>
  <c r="CS283" i="24"/>
  <c r="FD283" i="24" s="1"/>
  <c r="CN283" i="24"/>
  <c r="DA283" i="24" s="1"/>
  <c r="DT284" i="24"/>
  <c r="CS203" i="24"/>
  <c r="FD203" i="24" s="1"/>
  <c r="CN203" i="24"/>
  <c r="DA203" i="24" s="1"/>
  <c r="CZ263" i="24"/>
  <c r="CZ157" i="24"/>
  <c r="CN209" i="24"/>
  <c r="DA209" i="24" s="1"/>
  <c r="CS209" i="24"/>
  <c r="FD209" i="24" s="1"/>
  <c r="CS177" i="24"/>
  <c r="FD177" i="24" s="1"/>
  <c r="CN177" i="24"/>
  <c r="CZ217" i="24"/>
  <c r="DT64" i="24"/>
  <c r="CS14" i="24"/>
  <c r="FD14" i="24" s="1"/>
  <c r="CN14" i="24"/>
  <c r="CZ6" i="24"/>
  <c r="CN72" i="24"/>
  <c r="CS72" i="24"/>
  <c r="FD72" i="24" s="1"/>
  <c r="CS314" i="24"/>
  <c r="FD314" i="24" s="1"/>
  <c r="CN314" i="24"/>
  <c r="CZ253" i="24"/>
  <c r="CZ286" i="24"/>
  <c r="CZ192" i="24"/>
  <c r="DT291" i="24"/>
  <c r="CZ116" i="24"/>
  <c r="CS193" i="24"/>
  <c r="FD193" i="24" s="1"/>
  <c r="CN193" i="24"/>
  <c r="DA193" i="24" s="1"/>
  <c r="CZ156" i="24"/>
  <c r="DT300" i="24"/>
  <c r="CZ302" i="24"/>
  <c r="CZ190" i="24"/>
  <c r="CZ219" i="24"/>
  <c r="CN208" i="24"/>
  <c r="CS208" i="24"/>
  <c r="FD208" i="24" s="1"/>
  <c r="CN297" i="24"/>
  <c r="DA297" i="24" s="1"/>
  <c r="CS297" i="24"/>
  <c r="FD297" i="24" s="1"/>
  <c r="CZ309" i="24"/>
  <c r="CZ98" i="24"/>
  <c r="CN307" i="24"/>
  <c r="DA307" i="24" s="1"/>
  <c r="CS307" i="24"/>
  <c r="FD307" i="24" s="1"/>
  <c r="DT264" i="24"/>
  <c r="CN139" i="24"/>
  <c r="DA139" i="24" s="1"/>
  <c r="CS139" i="24"/>
  <c r="FD139" i="24" s="1"/>
  <c r="CS258" i="24"/>
  <c r="FD258" i="24" s="1"/>
  <c r="CN258" i="24"/>
  <c r="CZ9" i="24"/>
  <c r="CS86" i="24"/>
  <c r="FD86" i="24" s="1"/>
  <c r="CN86" i="24"/>
  <c r="DA86" i="24" s="1"/>
  <c r="CZ15" i="24"/>
  <c r="CZ284" i="24"/>
  <c r="CN294" i="24"/>
  <c r="DA294" i="24" s="1"/>
  <c r="CS294" i="24"/>
  <c r="FD294" i="24" s="1"/>
  <c r="CZ221" i="24"/>
  <c r="CS83" i="24"/>
  <c r="FD83" i="24" s="1"/>
  <c r="CN83" i="24"/>
  <c r="CS123" i="24"/>
  <c r="FD123" i="24" s="1"/>
  <c r="CN123" i="24"/>
  <c r="CS244" i="24"/>
  <c r="FD244" i="24" s="1"/>
  <c r="CN244" i="24"/>
  <c r="DA244" i="24" s="1"/>
  <c r="CZ146" i="24"/>
  <c r="CN40" i="24"/>
  <c r="CS40" i="24"/>
  <c r="FD40" i="24" s="1"/>
  <c r="CN113" i="24"/>
  <c r="DA113" i="24" s="1"/>
  <c r="CS113" i="24"/>
  <c r="FD113" i="24" s="1"/>
  <c r="CZ162" i="24"/>
  <c r="CS70" i="24"/>
  <c r="FD70" i="24" s="1"/>
  <c r="CN70" i="24"/>
  <c r="DT73" i="24"/>
  <c r="DT52" i="24"/>
  <c r="CS281" i="24"/>
  <c r="FD281" i="24" s="1"/>
  <c r="CN281" i="24"/>
  <c r="DA281" i="24" s="1"/>
  <c r="CZ282" i="24"/>
  <c r="CZ200" i="24"/>
  <c r="CZ224" i="24"/>
  <c r="DT250" i="24"/>
  <c r="CZ103" i="24"/>
  <c r="CZ57" i="24"/>
  <c r="CN262" i="24"/>
  <c r="DA262" i="24" s="1"/>
  <c r="CS262" i="24"/>
  <c r="FD262" i="24" s="1"/>
  <c r="DT302" i="24"/>
  <c r="CN287" i="24"/>
  <c r="DA287" i="24" s="1"/>
  <c r="CS287" i="24"/>
  <c r="FD287" i="24" s="1"/>
  <c r="CN219" i="24"/>
  <c r="CS219" i="24"/>
  <c r="FD219" i="24" s="1"/>
  <c r="CZ297" i="24"/>
  <c r="DT233" i="24"/>
  <c r="CZ306" i="24"/>
  <c r="CS98" i="24"/>
  <c r="FD98" i="24" s="1"/>
  <c r="CN98" i="24"/>
  <c r="CZ132" i="24"/>
  <c r="CZ139" i="24"/>
  <c r="CZ120" i="24"/>
  <c r="CZ36" i="24"/>
  <c r="DT75" i="24"/>
  <c r="CZ45" i="24"/>
  <c r="CN15" i="24"/>
  <c r="CS15" i="24"/>
  <c r="FD15" i="24" s="1"/>
  <c r="DT283" i="24"/>
  <c r="CZ236" i="24"/>
  <c r="CS284" i="24"/>
  <c r="FD284" i="24" s="1"/>
  <c r="CN284" i="24"/>
  <c r="CZ206" i="24"/>
  <c r="CS285" i="24"/>
  <c r="FD285" i="24" s="1"/>
  <c r="CN285" i="24"/>
  <c r="DA285" i="24" s="1"/>
  <c r="CS263" i="24"/>
  <c r="FD263" i="24" s="1"/>
  <c r="CN263" i="24"/>
  <c r="CZ298" i="24"/>
  <c r="CZ244" i="24"/>
  <c r="DT40" i="24"/>
  <c r="CN162" i="24"/>
  <c r="DA162" i="24" s="1"/>
  <c r="CS162" i="24"/>
  <c r="FD162" i="24" s="1"/>
  <c r="CZ73" i="24"/>
  <c r="DT30" i="24"/>
  <c r="CZ187" i="24"/>
  <c r="CN277" i="24"/>
  <c r="DA277" i="24" s="1"/>
  <c r="CS277" i="24"/>
  <c r="FD277" i="24" s="1"/>
  <c r="CS250" i="24"/>
  <c r="FD250" i="24" s="1"/>
  <c r="CN250" i="24"/>
  <c r="CN194" i="24"/>
  <c r="CS194" i="24"/>
  <c r="FD194" i="24" s="1"/>
  <c r="CZ164" i="24"/>
  <c r="CZ242" i="24"/>
  <c r="CZ133" i="24"/>
  <c r="CS103" i="24"/>
  <c r="FD103" i="24" s="1"/>
  <c r="CN103" i="24"/>
  <c r="DA103" i="24" s="1"/>
  <c r="DT60" i="24"/>
  <c r="CS58" i="24"/>
  <c r="FD58" i="24" s="1"/>
  <c r="CN58" i="24"/>
  <c r="DA58" i="24" s="1"/>
  <c r="CZ84" i="24"/>
  <c r="CZ185" i="24"/>
  <c r="CZ222" i="24"/>
  <c r="CZ235" i="24"/>
  <c r="DT228" i="24"/>
  <c r="CZ112" i="24"/>
  <c r="CS104" i="24"/>
  <c r="FD104" i="24" s="1"/>
  <c r="CN104" i="24"/>
  <c r="DA104" i="24" s="1"/>
  <c r="DT82" i="24"/>
  <c r="CS67" i="24"/>
  <c r="FD67" i="24" s="1"/>
  <c r="CN67" i="24"/>
  <c r="DA67" i="24" s="1"/>
  <c r="CN50" i="24"/>
  <c r="CS50" i="24"/>
  <c r="FD50" i="24" s="1"/>
  <c r="DT22" i="24"/>
  <c r="DT274" i="24"/>
  <c r="CN248" i="24"/>
  <c r="CS248" i="24"/>
  <c r="FD248" i="24" s="1"/>
  <c r="CZ183" i="24"/>
  <c r="CN186" i="24"/>
  <c r="DA186" i="24" s="1"/>
  <c r="CS186" i="24"/>
  <c r="FD186" i="24" s="1"/>
  <c r="CZ105" i="24"/>
  <c r="CN102" i="24"/>
  <c r="DA102" i="24" s="1"/>
  <c r="CS102" i="24"/>
  <c r="FD102" i="24" s="1"/>
  <c r="DT80" i="24"/>
  <c r="CS163" i="24"/>
  <c r="FD163" i="24" s="1"/>
  <c r="CN163" i="24"/>
  <c r="DT54" i="24"/>
  <c r="CZ8" i="24"/>
  <c r="CN25" i="24"/>
  <c r="DA25" i="24" s="1"/>
  <c r="CS25" i="24"/>
  <c r="FD25" i="24" s="1"/>
  <c r="CS269" i="24"/>
  <c r="FD269" i="24" s="1"/>
  <c r="CN269" i="24"/>
  <c r="DA269" i="24" s="1"/>
  <c r="CZ252" i="24"/>
  <c r="CS247" i="24"/>
  <c r="FD247" i="24" s="1"/>
  <c r="CN247" i="24"/>
  <c r="DA247" i="24" s="1"/>
  <c r="CN303" i="24"/>
  <c r="DA303" i="24" s="1"/>
  <c r="CS303" i="24"/>
  <c r="FD303" i="24" s="1"/>
  <c r="CZ288" i="24"/>
  <c r="CN160" i="24"/>
  <c r="DA160" i="24" s="1"/>
  <c r="CS160" i="24"/>
  <c r="FD160" i="24" s="1"/>
  <c r="CZ135" i="24"/>
  <c r="CZ144" i="24"/>
  <c r="CN78" i="24"/>
  <c r="DA78" i="24" s="1"/>
  <c r="CS78" i="24"/>
  <c r="FD78" i="24" s="1"/>
  <c r="CZ32" i="24"/>
  <c r="CS68" i="24"/>
  <c r="FD68" i="24" s="1"/>
  <c r="CN68" i="24"/>
  <c r="DA68" i="24" s="1"/>
  <c r="CZ94" i="24"/>
  <c r="CS268" i="24"/>
  <c r="FD268" i="24" s="1"/>
  <c r="CN268" i="24"/>
  <c r="DA268" i="24" s="1"/>
  <c r="CN257" i="24"/>
  <c r="DA257" i="24" s="1"/>
  <c r="CS257" i="24"/>
  <c r="FD257" i="24" s="1"/>
  <c r="DT272" i="24"/>
  <c r="CS125" i="24"/>
  <c r="FD125" i="24" s="1"/>
  <c r="CN125" i="24"/>
  <c r="DA125" i="24" s="1"/>
  <c r="CZ141" i="24"/>
  <c r="CZ158" i="24"/>
  <c r="CN142" i="24"/>
  <c r="DA142" i="24" s="1"/>
  <c r="CS142" i="24"/>
  <c r="FD142" i="24" s="1"/>
  <c r="CS74" i="24"/>
  <c r="FD74" i="24" s="1"/>
  <c r="CN74" i="24"/>
  <c r="DA74" i="24" s="1"/>
  <c r="DT218" i="24"/>
  <c r="DT44" i="24"/>
  <c r="CS59" i="24"/>
  <c r="FD59" i="24" s="1"/>
  <c r="CN59" i="24"/>
  <c r="DA59" i="24" s="1"/>
  <c r="DT26" i="24"/>
  <c r="CS313" i="24"/>
  <c r="FD313" i="24" s="1"/>
  <c r="CN313" i="24"/>
  <c r="DA313" i="24" s="1"/>
  <c r="CN290" i="24"/>
  <c r="DA290" i="24" s="1"/>
  <c r="CS290" i="24"/>
  <c r="FD290" i="24" s="1"/>
  <c r="CS225" i="24"/>
  <c r="FD225" i="24" s="1"/>
  <c r="CN225" i="24"/>
  <c r="DA225" i="24" s="1"/>
  <c r="CN237" i="24"/>
  <c r="DA237" i="24" s="1"/>
  <c r="CS237" i="24"/>
  <c r="FD237" i="24" s="1"/>
  <c r="CZ271" i="24"/>
  <c r="CZ114" i="24"/>
  <c r="CZ310" i="24"/>
  <c r="CZ188" i="24"/>
  <c r="DT69" i="24"/>
  <c r="CZ266" i="24"/>
  <c r="CS122" i="24"/>
  <c r="FD122" i="24" s="1"/>
  <c r="CN122" i="24"/>
  <c r="CS43" i="24"/>
  <c r="FD43" i="24" s="1"/>
  <c r="CN43" i="24"/>
  <c r="DA43" i="24" s="1"/>
  <c r="DT71" i="24"/>
  <c r="DT91" i="24"/>
  <c r="DT53" i="24"/>
  <c r="CS60" i="24"/>
  <c r="FD60" i="24" s="1"/>
  <c r="CN60" i="24"/>
  <c r="DA60" i="24" s="1"/>
  <c r="CS17" i="24"/>
  <c r="FD17" i="24" s="1"/>
  <c r="CN17" i="24"/>
  <c r="CZ311" i="24"/>
  <c r="CZ262" i="24"/>
  <c r="DT222" i="24"/>
  <c r="CZ279" i="24"/>
  <c r="DT235" i="24"/>
  <c r="DT243" i="24"/>
  <c r="CN37" i="24"/>
  <c r="DA37" i="24" s="1"/>
  <c r="CS37" i="24"/>
  <c r="FD37" i="24" s="1"/>
  <c r="CS152" i="24"/>
  <c r="FD152" i="24" s="1"/>
  <c r="CN152" i="24"/>
  <c r="DA152" i="24" s="1"/>
  <c r="DT7" i="24"/>
  <c r="CZ55" i="24"/>
  <c r="DT67" i="24"/>
  <c r="CZ254" i="24"/>
  <c r="DT308" i="24"/>
  <c r="CS305" i="24"/>
  <c r="FD305" i="24" s="1"/>
  <c r="CN305" i="24"/>
  <c r="CZ265" i="24"/>
  <c r="CS275" i="24"/>
  <c r="FD275" i="24" s="1"/>
  <c r="CN275" i="24"/>
  <c r="DA275" i="24" s="1"/>
  <c r="CN173" i="24"/>
  <c r="DA173" i="24" s="1"/>
  <c r="CS173" i="24"/>
  <c r="FD173" i="24" s="1"/>
  <c r="CZ149" i="24"/>
  <c r="CS93" i="24"/>
  <c r="FD93" i="24" s="1"/>
  <c r="CN93" i="24"/>
  <c r="DA93" i="24" s="1"/>
  <c r="CZ90" i="24"/>
  <c r="CZ54" i="24"/>
  <c r="CS16" i="24"/>
  <c r="FD16" i="24" s="1"/>
  <c r="CN16" i="24"/>
  <c r="DA16" i="24" s="1"/>
  <c r="DT304" i="24"/>
  <c r="CZ273" i="24"/>
  <c r="CZ197" i="24"/>
  <c r="CS220" i="24"/>
  <c r="FD220" i="24" s="1"/>
  <c r="CN220" i="24"/>
  <c r="DA220" i="24" s="1"/>
  <c r="CZ131" i="24"/>
  <c r="CZ101" i="24"/>
  <c r="CS32" i="24"/>
  <c r="FD32" i="24" s="1"/>
  <c r="CN32" i="24"/>
  <c r="DA32" i="24" s="1"/>
  <c r="DT68" i="24"/>
  <c r="DT94" i="24"/>
  <c r="CS28" i="24"/>
  <c r="FD28" i="24" s="1"/>
  <c r="CN28" i="24"/>
  <c r="CZ198" i="24"/>
  <c r="DT268" i="24"/>
  <c r="DT257" i="24"/>
  <c r="CN272" i="24"/>
  <c r="DA272" i="24" s="1"/>
  <c r="CS272" i="24"/>
  <c r="FD272" i="24" s="1"/>
  <c r="CN207" i="24"/>
  <c r="DA207" i="24" s="1"/>
  <c r="CS207" i="24"/>
  <c r="FD207" i="24" s="1"/>
  <c r="CN141" i="24"/>
  <c r="CS141" i="24"/>
  <c r="FD141" i="24" s="1"/>
  <c r="CZ128" i="24"/>
  <c r="CZ117" i="24"/>
  <c r="DT74" i="24"/>
  <c r="DT31" i="24"/>
  <c r="CZ145" i="24"/>
  <c r="CS218" i="24"/>
  <c r="FD218" i="24" s="1"/>
  <c r="CN218" i="24"/>
  <c r="DA218" i="24" s="1"/>
  <c r="CZ130" i="24"/>
  <c r="CN44" i="24"/>
  <c r="DA44" i="24" s="1"/>
  <c r="CS44" i="24"/>
  <c r="FD44" i="24" s="1"/>
  <c r="DT96" i="24"/>
  <c r="DT12" i="24"/>
  <c r="CN77" i="24"/>
  <c r="DA77" i="24" s="1"/>
  <c r="CS77" i="24"/>
  <c r="FD77" i="24" s="1"/>
  <c r="DT59" i="24"/>
  <c r="CZ313" i="24"/>
  <c r="CZ246" i="24"/>
  <c r="DT290" i="24"/>
  <c r="DT223" i="24"/>
  <c r="CZ260" i="24"/>
  <c r="CZ225" i="24"/>
  <c r="CN299" i="24"/>
  <c r="CS299" i="24"/>
  <c r="FD299" i="24" s="1"/>
  <c r="DT237" i="24"/>
  <c r="CN124" i="24"/>
  <c r="DA124" i="24" s="1"/>
  <c r="CS124" i="24"/>
  <c r="FD124" i="24" s="1"/>
  <c r="CZ99" i="24"/>
  <c r="CN69" i="24"/>
  <c r="DA69" i="24" s="1"/>
  <c r="CS69" i="24"/>
  <c r="FD69" i="24" s="1"/>
  <c r="CZ127" i="24"/>
  <c r="CN39" i="24"/>
  <c r="DA39" i="24" s="1"/>
  <c r="CS39" i="24"/>
  <c r="FD39" i="24" s="1"/>
  <c r="CS87" i="24"/>
  <c r="FD87" i="24" s="1"/>
  <c r="CN87" i="24"/>
  <c r="DA87" i="24" s="1"/>
  <c r="CZ291" i="24"/>
  <c r="CS111" i="24"/>
  <c r="FD111" i="24" s="1"/>
  <c r="CN111" i="24"/>
  <c r="DA111" i="24" s="1"/>
  <c r="CZ38" i="24"/>
  <c r="DT89" i="24"/>
  <c r="CZ60" i="24"/>
  <c r="CZ29" i="24"/>
  <c r="DC29" i="24" s="1"/>
  <c r="CZ58" i="24"/>
  <c r="DC58" i="24" s="1"/>
  <c r="CN10" i="24"/>
  <c r="DA10" i="24" s="1"/>
  <c r="CS10" i="24"/>
  <c r="FD10" i="24" s="1"/>
  <c r="CN280" i="24"/>
  <c r="DA280" i="24" s="1"/>
  <c r="CS280" i="24"/>
  <c r="FD280" i="24" s="1"/>
  <c r="CZ293" i="24"/>
  <c r="DT245" i="24"/>
  <c r="CS222" i="24"/>
  <c r="FD222" i="24" s="1"/>
  <c r="CN222" i="24"/>
  <c r="CS243" i="24"/>
  <c r="FD243" i="24" s="1"/>
  <c r="CN243" i="24"/>
  <c r="DA243" i="24" s="1"/>
  <c r="CZ143" i="24"/>
  <c r="CZ37" i="24"/>
  <c r="CZ170" i="24"/>
  <c r="CZ152" i="24"/>
  <c r="CZ27" i="24"/>
  <c r="DT254" i="24"/>
  <c r="CS292" i="24"/>
  <c r="FD292" i="24" s="1"/>
  <c r="CN292" i="24"/>
  <c r="DA292" i="24" s="1"/>
  <c r="CN265" i="24"/>
  <c r="CS265" i="24"/>
  <c r="FD265" i="24" s="1"/>
  <c r="CN312" i="24"/>
  <c r="DA312" i="24" s="1"/>
  <c r="CS312" i="24"/>
  <c r="FD312" i="24" s="1"/>
  <c r="CZ134" i="24"/>
  <c r="CS105" i="24"/>
  <c r="FD105" i="24" s="1"/>
  <c r="CN105" i="24"/>
  <c r="CZ169" i="24"/>
  <c r="DT102" i="24"/>
  <c r="DT93" i="24"/>
  <c r="CZ24" i="24"/>
  <c r="CZ46" i="24"/>
  <c r="DT269" i="24"/>
  <c r="CZ199" i="24"/>
  <c r="DT247" i="24"/>
  <c r="DT273" i="24"/>
  <c r="CS231" i="24"/>
  <c r="FD231" i="24" s="1"/>
  <c r="CN231" i="24"/>
  <c r="DA231" i="24" s="1"/>
  <c r="CN261" i="24"/>
  <c r="CS261" i="24"/>
  <c r="FD261" i="24" s="1"/>
  <c r="CZ220" i="24"/>
  <c r="CS184" i="24"/>
  <c r="FD184" i="24" s="1"/>
  <c r="CN184" i="24"/>
  <c r="CS100" i="24"/>
  <c r="FD100" i="24" s="1"/>
  <c r="CN100" i="24"/>
  <c r="DA100" i="24" s="1"/>
  <c r="CN165" i="24"/>
  <c r="DA165" i="24" s="1"/>
  <c r="CS165" i="24"/>
  <c r="FD165" i="24" s="1"/>
  <c r="CZ78" i="24"/>
  <c r="CN137" i="24"/>
  <c r="DA137" i="24" s="1"/>
  <c r="CS137" i="24"/>
  <c r="FD137" i="24" s="1"/>
  <c r="CN85" i="24"/>
  <c r="DA85" i="24" s="1"/>
  <c r="CS85" i="24"/>
  <c r="FD85" i="24" s="1"/>
  <c r="DT23" i="24"/>
  <c r="CN229" i="24"/>
  <c r="CS229" i="24"/>
  <c r="FD229" i="24" s="1"/>
  <c r="CZ195" i="24"/>
  <c r="CZ207" i="24"/>
  <c r="DT256" i="24"/>
  <c r="CN130" i="24"/>
  <c r="DA130" i="24" s="1"/>
  <c r="CS130" i="24"/>
  <c r="FD130" i="24" s="1"/>
  <c r="CZ79" i="24"/>
  <c r="CZ92" i="24"/>
  <c r="CN246" i="24"/>
  <c r="DA246" i="24" s="1"/>
  <c r="CS246" i="24"/>
  <c r="FD246" i="24" s="1"/>
  <c r="CS310" i="24"/>
  <c r="FD310" i="24" s="1"/>
  <c r="CN310" i="24"/>
  <c r="CS138" i="24"/>
  <c r="FD138" i="24" s="1"/>
  <c r="CN138" i="24"/>
  <c r="CN99" i="24"/>
  <c r="CS99" i="24"/>
  <c r="FD99" i="24" s="1"/>
  <c r="DT266" i="24"/>
  <c r="CZ39" i="24"/>
  <c r="DT293" i="24"/>
  <c r="CS185" i="24"/>
  <c r="FD185" i="24" s="1"/>
  <c r="CN185" i="24"/>
  <c r="DA185" i="24" s="1"/>
  <c r="CS279" i="24"/>
  <c r="FD279" i="24" s="1"/>
  <c r="CN279" i="24"/>
  <c r="CN112" i="24"/>
  <c r="CS112" i="24"/>
  <c r="FD112" i="24" s="1"/>
  <c r="CZ154" i="24"/>
  <c r="CS129" i="24"/>
  <c r="FD129" i="24" s="1"/>
  <c r="CN129" i="24"/>
  <c r="DA129" i="24" s="1"/>
  <c r="CZ166" i="24"/>
  <c r="CZ88" i="24"/>
  <c r="CZ97" i="24"/>
  <c r="CS56" i="24"/>
  <c r="FD56" i="24" s="1"/>
  <c r="CN56" i="24"/>
  <c r="DA56" i="24" s="1"/>
  <c r="CN55" i="24"/>
  <c r="CS55" i="24"/>
  <c r="FD55" i="24" s="1"/>
  <c r="CZ48" i="24"/>
  <c r="CZ22" i="24"/>
  <c r="CS254" i="24"/>
  <c r="FD254" i="24" s="1"/>
  <c r="CN254" i="24"/>
  <c r="CZ292" i="24"/>
  <c r="CZ241" i="24"/>
  <c r="DT275" i="24"/>
  <c r="CZ312" i="24"/>
  <c r="CS134" i="24"/>
  <c r="FD134" i="24" s="1"/>
  <c r="CN134" i="24"/>
  <c r="CN147" i="24"/>
  <c r="DA147" i="24" s="1"/>
  <c r="CS147" i="24"/>
  <c r="FD147" i="24" s="1"/>
  <c r="CS126" i="24"/>
  <c r="FD126" i="24" s="1"/>
  <c r="CN126" i="24"/>
  <c r="DA126" i="24" s="1"/>
  <c r="CN80" i="24"/>
  <c r="DA80" i="24" s="1"/>
  <c r="CS80" i="24"/>
  <c r="FD80" i="24" s="1"/>
  <c r="CS76" i="24"/>
  <c r="FD76" i="24" s="1"/>
  <c r="CN76" i="24"/>
  <c r="CZ93" i="24"/>
  <c r="CN8" i="24"/>
  <c r="DA8" i="24" s="1"/>
  <c r="CS8" i="24"/>
  <c r="FD8" i="24" s="1"/>
  <c r="CS24" i="24"/>
  <c r="FD24" i="24" s="1"/>
  <c r="CN24" i="24"/>
  <c r="DA24" i="24" s="1"/>
  <c r="DT46" i="24"/>
  <c r="DT252" i="24"/>
  <c r="CN273" i="24"/>
  <c r="DA273" i="24" s="1"/>
  <c r="CS273" i="24"/>
  <c r="FD273" i="24" s="1"/>
  <c r="DT231" i="24"/>
  <c r="CS270" i="24"/>
  <c r="FD270" i="24" s="1"/>
  <c r="CN270" i="24"/>
  <c r="DA270" i="24" s="1"/>
  <c r="CZ100" i="24"/>
  <c r="DT32" i="24"/>
  <c r="CZ63" i="24"/>
  <c r="DT85" i="24"/>
  <c r="DT51" i="24"/>
  <c r="DT13" i="24"/>
  <c r="CN23" i="24"/>
  <c r="DA23" i="24" s="1"/>
  <c r="CS23" i="24"/>
  <c r="FD23" i="24" s="1"/>
  <c r="DT61" i="24"/>
  <c r="CN316" i="24"/>
  <c r="DA316" i="24" s="1"/>
  <c r="CS316" i="24"/>
  <c r="FD316" i="24" s="1"/>
  <c r="DT295" i="24"/>
  <c r="DT229" i="24"/>
  <c r="CS180" i="24"/>
  <c r="FD180" i="24" s="1"/>
  <c r="CN180" i="24"/>
  <c r="DA180" i="24" s="1"/>
  <c r="CZ178" i="24"/>
  <c r="CS117" i="24"/>
  <c r="FD117" i="24" s="1"/>
  <c r="CN117" i="24"/>
  <c r="CZ142" i="24"/>
  <c r="CN31" i="24"/>
  <c r="DA31" i="24" s="1"/>
  <c r="CS31" i="24"/>
  <c r="FD31" i="24" s="1"/>
  <c r="CN79" i="24"/>
  <c r="CS79" i="24"/>
  <c r="FD79" i="24" s="1"/>
  <c r="CS92" i="24"/>
  <c r="FD92" i="24" s="1"/>
  <c r="CN92" i="24"/>
  <c r="DA92" i="24" s="1"/>
  <c r="DT313" i="24"/>
  <c r="DT246" i="24"/>
  <c r="CZ223" i="24"/>
  <c r="DT260" i="24"/>
  <c r="DT299" i="24"/>
  <c r="CZ239" i="24"/>
  <c r="DT271" i="24"/>
  <c r="DT310" i="24"/>
  <c r="CZ138" i="24"/>
  <c r="CZ140" i="24"/>
  <c r="CZ43" i="24"/>
  <c r="CN71" i="24"/>
  <c r="DA71" i="24" s="1"/>
  <c r="CS71" i="24"/>
  <c r="FD71" i="24" s="1"/>
  <c r="CZ42" i="24"/>
  <c r="DT87" i="24"/>
  <c r="CZ34" i="24"/>
  <c r="CS38" i="24"/>
  <c r="FD38" i="24" s="1"/>
  <c r="CN38" i="24"/>
  <c r="DA38" i="24" s="1"/>
  <c r="DT20" i="24"/>
  <c r="DT62" i="24"/>
  <c r="DT84" i="24"/>
  <c r="DT10" i="24"/>
  <c r="DT57" i="24"/>
  <c r="CZ280" i="24"/>
  <c r="CZ278" i="24"/>
  <c r="DT279" i="24"/>
  <c r="CN191" i="24"/>
  <c r="DA191" i="24" s="1"/>
  <c r="CS191" i="24"/>
  <c r="FD191" i="24" s="1"/>
  <c r="DT104" i="24"/>
  <c r="CS154" i="24"/>
  <c r="FD154" i="24" s="1"/>
  <c r="CN154" i="24"/>
  <c r="DA154" i="24" s="1"/>
  <c r="CZ182" i="24"/>
  <c r="CS166" i="24"/>
  <c r="FD166" i="24" s="1"/>
  <c r="CN166" i="24"/>
  <c r="DA166" i="24" s="1"/>
  <c r="CN97" i="24"/>
  <c r="CS97" i="24"/>
  <c r="FD97" i="24" s="1"/>
  <c r="CZ7" i="24"/>
  <c r="CZ56" i="24"/>
  <c r="CN19" i="24"/>
  <c r="DA19" i="24" s="1"/>
  <c r="CS19" i="24"/>
  <c r="FD19" i="24" s="1"/>
  <c r="DT55" i="24"/>
  <c r="DT48" i="24"/>
  <c r="CS22" i="24"/>
  <c r="FD22" i="24" s="1"/>
  <c r="CN22" i="24"/>
  <c r="DA22" i="24" s="1"/>
  <c r="DT265" i="24"/>
  <c r="DT312" i="24"/>
  <c r="CZ230" i="24"/>
  <c r="CZ155" i="24"/>
  <c r="CS33" i="24"/>
  <c r="FD33" i="24" s="1"/>
  <c r="CN33" i="24"/>
  <c r="DA33" i="24" s="1"/>
  <c r="DT16" i="24"/>
  <c r="CS46" i="24"/>
  <c r="FD46" i="24" s="1"/>
  <c r="CN46" i="24"/>
  <c r="CS252" i="24"/>
  <c r="FD252" i="24" s="1"/>
  <c r="CN252" i="24"/>
  <c r="DA252" i="24" s="1"/>
  <c r="CZ247" i="24"/>
  <c r="CZ231" i="24"/>
  <c r="CS197" i="24"/>
  <c r="FD197" i="24" s="1"/>
  <c r="CN197" i="24"/>
  <c r="DT220" i="24"/>
  <c r="CN101" i="24"/>
  <c r="CS101" i="24"/>
  <c r="FD101" i="24" s="1"/>
  <c r="CZ165" i="24"/>
  <c r="CN51" i="24"/>
  <c r="DA51" i="24" s="1"/>
  <c r="CS51" i="24"/>
  <c r="FD51" i="24" s="1"/>
  <c r="CZ23" i="24"/>
  <c r="CN61" i="24"/>
  <c r="DA61" i="24" s="1"/>
  <c r="CS61" i="24"/>
  <c r="FD61" i="24" s="1"/>
  <c r="DT28" i="24"/>
  <c r="DT316" i="24"/>
  <c r="CN295" i="24"/>
  <c r="DA295" i="24" s="1"/>
  <c r="CS295" i="24"/>
  <c r="FD295" i="24" s="1"/>
  <c r="CS195" i="24"/>
  <c r="FD195" i="24" s="1"/>
  <c r="CN195" i="24"/>
  <c r="DA195" i="24" s="1"/>
  <c r="CZ249" i="24"/>
  <c r="CZ180" i="24"/>
  <c r="CS178" i="24"/>
  <c r="FD178" i="24" s="1"/>
  <c r="CN178" i="24"/>
  <c r="DA178" i="24" s="1"/>
  <c r="CZ95" i="24"/>
  <c r="CZ256" i="24"/>
  <c r="CZ74" i="24"/>
  <c r="CZ31" i="24"/>
  <c r="CZ44" i="24"/>
  <c r="CZ96" i="24"/>
  <c r="CN12" i="24"/>
  <c r="DA12" i="24" s="1"/>
  <c r="CS12" i="24"/>
  <c r="FD12" i="24" s="1"/>
  <c r="DT92" i="24"/>
  <c r="CS196" i="24"/>
  <c r="FD196" i="24" s="1"/>
  <c r="CN196" i="24"/>
  <c r="DA196" i="24" s="1"/>
  <c r="CS223" i="24"/>
  <c r="FD223" i="24" s="1"/>
  <c r="CN223" i="24"/>
  <c r="DT225" i="24"/>
  <c r="DT239" i="24"/>
  <c r="CN271" i="24"/>
  <c r="CS271" i="24"/>
  <c r="FD271" i="24" s="1"/>
  <c r="CZ174" i="24"/>
  <c r="CS188" i="24"/>
  <c r="FD188" i="24" s="1"/>
  <c r="CN188" i="24"/>
  <c r="CZ151" i="24"/>
  <c r="CS140" i="24"/>
  <c r="FD140" i="24" s="1"/>
  <c r="CN140" i="24"/>
  <c r="DA140" i="24" s="1"/>
  <c r="CS266" i="24"/>
  <c r="FD266" i="24" s="1"/>
  <c r="CN266" i="24"/>
  <c r="CN127" i="24"/>
  <c r="DA127" i="24" s="1"/>
  <c r="CS127" i="24"/>
  <c r="FD127" i="24" s="1"/>
  <c r="CS42" i="24"/>
  <c r="FD42" i="24" s="1"/>
  <c r="CN42" i="24"/>
  <c r="DA42" i="24" s="1"/>
  <c r="CZ87" i="24"/>
  <c r="CN164" i="24"/>
  <c r="DA164" i="24" s="1"/>
  <c r="CS164" i="24"/>
  <c r="FD164" i="24" s="1"/>
  <c r="CZ193" i="24"/>
  <c r="CS156" i="24"/>
  <c r="FD156" i="24" s="1"/>
  <c r="CN156" i="24"/>
  <c r="CZ62" i="24"/>
  <c r="CS84" i="24"/>
  <c r="FD84" i="24" s="1"/>
  <c r="CN84" i="24"/>
  <c r="CS57" i="24"/>
  <c r="FD57" i="24" s="1"/>
  <c r="CN57" i="24"/>
  <c r="DA57" i="24" s="1"/>
  <c r="CS278" i="24"/>
  <c r="FD278" i="24" s="1"/>
  <c r="CN278" i="24"/>
  <c r="DA278" i="24" s="1"/>
  <c r="DT262" i="24"/>
  <c r="DT276" i="24"/>
  <c r="CS143" i="24"/>
  <c r="FD143" i="24" s="1"/>
  <c r="CN143" i="24"/>
  <c r="CS175" i="24"/>
  <c r="FD175" i="24" s="1"/>
  <c r="CN175" i="24"/>
  <c r="DA175" i="24" s="1"/>
  <c r="CN170" i="24"/>
  <c r="CS170" i="24"/>
  <c r="FD170" i="24" s="1"/>
  <c r="DT19" i="24"/>
  <c r="CS27" i="24"/>
  <c r="FD27" i="24" s="1"/>
  <c r="CN27" i="24"/>
  <c r="CZ274" i="24"/>
  <c r="CS202" i="24"/>
  <c r="FD202" i="24" s="1"/>
  <c r="CN202" i="24"/>
  <c r="CS308" i="24"/>
  <c r="FD308" i="24" s="1"/>
  <c r="CN308" i="24"/>
  <c r="DA308" i="24" s="1"/>
  <c r="DT292" i="24"/>
  <c r="DT241" i="24"/>
  <c r="DT230" i="24"/>
  <c r="CZ186" i="24"/>
  <c r="DT105" i="24"/>
  <c r="CZ173" i="24"/>
  <c r="CN155" i="24"/>
  <c r="DA155" i="24" s="1"/>
  <c r="CS155" i="24"/>
  <c r="FD155" i="24" s="1"/>
  <c r="DT33" i="24"/>
  <c r="CS54" i="24"/>
  <c r="FD54" i="24" s="1"/>
  <c r="CN54" i="24"/>
  <c r="CS65" i="24"/>
  <c r="FD65" i="24" s="1"/>
  <c r="CN65" i="24"/>
  <c r="CZ304" i="24"/>
  <c r="CZ303" i="24"/>
  <c r="DT270" i="24"/>
  <c r="CN288" i="24"/>
  <c r="DA288" i="24" s="1"/>
  <c r="CS288" i="24"/>
  <c r="FD288" i="24" s="1"/>
  <c r="CZ181" i="24"/>
  <c r="DT101" i="24"/>
  <c r="CS144" i="24"/>
  <c r="FD144" i="24" s="1"/>
  <c r="CN144" i="24"/>
  <c r="CZ159" i="24"/>
  <c r="CZ68" i="24"/>
  <c r="CZ137" i="24"/>
  <c r="DT63" i="24"/>
  <c r="CZ51" i="24"/>
  <c r="CZ13" i="24"/>
  <c r="CS35" i="24"/>
  <c r="FD35" i="24" s="1"/>
  <c r="CN35" i="24"/>
  <c r="DA35" i="24" s="1"/>
  <c r="CZ61" i="24"/>
  <c r="CZ316" i="24"/>
  <c r="CS251" i="24"/>
  <c r="FD251" i="24" s="1"/>
  <c r="CN251" i="24"/>
  <c r="DA251" i="24" s="1"/>
  <c r="CZ295" i="24"/>
  <c r="CN227" i="24"/>
  <c r="CS227" i="24"/>
  <c r="FD227" i="24" s="1"/>
  <c r="CZ301" i="24"/>
  <c r="CS95" i="24"/>
  <c r="FD95" i="24" s="1"/>
  <c r="CN95" i="24"/>
  <c r="CZ49" i="24"/>
  <c r="CN239" i="24"/>
  <c r="CS239" i="24"/>
  <c r="FD239" i="24" s="1"/>
  <c r="CZ315" i="24"/>
  <c r="CS201" i="24"/>
  <c r="FD201" i="24" s="1"/>
  <c r="CN201" i="24"/>
  <c r="CZ176" i="24"/>
  <c r="CN114" i="24"/>
  <c r="CS114" i="24"/>
  <c r="FD114" i="24" s="1"/>
  <c r="CS174" i="24"/>
  <c r="FD174" i="24" s="1"/>
  <c r="CN174" i="24"/>
  <c r="CZ124" i="24"/>
  <c r="CZ69" i="24"/>
  <c r="DT39" i="24"/>
  <c r="CN91" i="24"/>
  <c r="CS91" i="24"/>
  <c r="FD91" i="24" s="1"/>
  <c r="DT42" i="24"/>
  <c r="CZ53" i="24"/>
  <c r="DT34" i="24"/>
  <c r="CZ204" i="24"/>
  <c r="CS293" i="24"/>
  <c r="FD293" i="24" s="1"/>
  <c r="CN293" i="24"/>
  <c r="DA293" i="24" s="1"/>
  <c r="CS276" i="24"/>
  <c r="FD276" i="24" s="1"/>
  <c r="CN276" i="24"/>
  <c r="CZ191" i="24"/>
  <c r="CZ228" i="24"/>
  <c r="CS182" i="24"/>
  <c r="FD182" i="24" s="1"/>
  <c r="CN182" i="24"/>
  <c r="CZ129" i="24"/>
  <c r="CN82" i="24"/>
  <c r="DA82" i="24" s="1"/>
  <c r="CS82" i="24"/>
  <c r="FD82" i="24" s="1"/>
  <c r="CN88" i="24"/>
  <c r="CS88" i="24"/>
  <c r="FD88" i="24" s="1"/>
  <c r="DT97" i="24"/>
  <c r="DT56" i="24"/>
  <c r="CZ308" i="24"/>
  <c r="CS241" i="24"/>
  <c r="FD241" i="24" s="1"/>
  <c r="CN241" i="24"/>
  <c r="CZ210" i="24"/>
  <c r="CN230" i="24"/>
  <c r="DA230" i="24" s="1"/>
  <c r="CS230" i="24"/>
  <c r="FD230" i="24" s="1"/>
  <c r="CN183" i="24"/>
  <c r="DA183" i="24" s="1"/>
  <c r="CS183" i="24"/>
  <c r="FD183" i="24" s="1"/>
  <c r="CZ147" i="24"/>
  <c r="CZ33" i="24"/>
  <c r="DT76" i="24"/>
  <c r="CN90" i="24"/>
  <c r="CS90" i="24"/>
  <c r="FD90" i="24" s="1"/>
  <c r="DT8" i="24"/>
  <c r="CZ25" i="24"/>
  <c r="DT24" i="24"/>
  <c r="DT65" i="24"/>
  <c r="CZ269" i="24"/>
  <c r="CN199" i="24"/>
  <c r="DA199" i="24" s="1"/>
  <c r="CS199" i="24"/>
  <c r="FD199" i="24" s="1"/>
  <c r="DT303" i="24"/>
  <c r="CN181" i="24"/>
  <c r="CS181" i="24"/>
  <c r="FD181" i="24" s="1"/>
  <c r="CN131" i="24"/>
  <c r="DA131" i="24" s="1"/>
  <c r="CS131" i="24"/>
  <c r="FD131" i="24" s="1"/>
  <c r="DT100" i="24"/>
  <c r="CN121" i="24"/>
  <c r="DA121" i="24" s="1"/>
  <c r="CS121" i="24"/>
  <c r="FD121" i="24" s="1"/>
  <c r="DT78" i="24"/>
  <c r="CS159" i="24"/>
  <c r="FD159" i="24" s="1"/>
  <c r="CN159" i="24"/>
  <c r="CS63" i="24"/>
  <c r="FD63" i="24" s="1"/>
  <c r="CN63" i="24"/>
  <c r="CZ35" i="24"/>
  <c r="DT251" i="24"/>
  <c r="CS301" i="24"/>
  <c r="FD301" i="24" s="1"/>
  <c r="CN301" i="24"/>
  <c r="DA301" i="24" s="1"/>
  <c r="CN249" i="24"/>
  <c r="CS249" i="24"/>
  <c r="FD249" i="24" s="1"/>
  <c r="CN256" i="24"/>
  <c r="CS256" i="24"/>
  <c r="FD256" i="24" s="1"/>
  <c r="CS49" i="24"/>
  <c r="FD49" i="24" s="1"/>
  <c r="CN49" i="24"/>
  <c r="DA49" i="24" s="1"/>
  <c r="CZ12" i="24"/>
  <c r="CZ77" i="24"/>
  <c r="CZ26" i="24"/>
  <c r="CZ196" i="24"/>
  <c r="CN260" i="24"/>
  <c r="DA260" i="24" s="1"/>
  <c r="CS260" i="24"/>
  <c r="FD260" i="24" s="1"/>
  <c r="CN315" i="24"/>
  <c r="CS315" i="24"/>
  <c r="FD315" i="24" s="1"/>
  <c r="CZ237" i="24"/>
  <c r="CS151" i="24"/>
  <c r="FD151" i="24" s="1"/>
  <c r="CN151" i="24"/>
  <c r="DA151" i="24" s="1"/>
  <c r="CN168" i="24"/>
  <c r="CS168" i="24"/>
  <c r="FD168" i="24" s="1"/>
  <c r="CN53" i="24"/>
  <c r="DA53" i="24" s="1"/>
  <c r="CS53" i="24"/>
  <c r="FD53" i="24" s="1"/>
  <c r="CS34" i="24"/>
  <c r="FD34" i="24" s="1"/>
  <c r="CN34" i="24"/>
  <c r="DA34" i="24" s="1"/>
  <c r="CN62" i="24"/>
  <c r="DA62" i="24" s="1"/>
  <c r="CS62" i="24"/>
  <c r="FD62" i="24" s="1"/>
  <c r="CZ10" i="24"/>
  <c r="DT17" i="24"/>
  <c r="DT278" i="24"/>
  <c r="CS204" i="24"/>
  <c r="FD204" i="24" s="1"/>
  <c r="CN204" i="24"/>
  <c r="DA204" i="24" s="1"/>
  <c r="CN245" i="24"/>
  <c r="CS245" i="24"/>
  <c r="FD245" i="24" s="1"/>
  <c r="CN235" i="24"/>
  <c r="CS235" i="24"/>
  <c r="FD235" i="24" s="1"/>
  <c r="CZ243" i="24"/>
  <c r="CS228" i="24"/>
  <c r="FD228" i="24" s="1"/>
  <c r="CN228" i="24"/>
  <c r="CZ175" i="24"/>
  <c r="CZ104" i="24"/>
  <c r="CZ82" i="24"/>
  <c r="DT88" i="24"/>
  <c r="CS7" i="24"/>
  <c r="FD7" i="24" s="1"/>
  <c r="CN7" i="24"/>
  <c r="DA7" i="24" s="1"/>
  <c r="CZ19" i="24"/>
  <c r="DT27" i="24"/>
  <c r="CZ67" i="24"/>
  <c r="CS48" i="24"/>
  <c r="FD48" i="24" s="1"/>
  <c r="CN48" i="24"/>
  <c r="DA48" i="24" s="1"/>
  <c r="CS274" i="24"/>
  <c r="FD274" i="24" s="1"/>
  <c r="CN274" i="24"/>
  <c r="DT248" i="24"/>
  <c r="DT305" i="24"/>
  <c r="CN210" i="24"/>
  <c r="CS210" i="24"/>
  <c r="FD210" i="24" s="1"/>
  <c r="CZ275" i="24"/>
  <c r="CN169" i="24"/>
  <c r="DA169" i="24" s="1"/>
  <c r="CS169" i="24"/>
  <c r="FD169" i="24" s="1"/>
  <c r="CZ102" i="24"/>
  <c r="CZ126" i="24"/>
  <c r="CZ80" i="24"/>
  <c r="CS149" i="24"/>
  <c r="FD149" i="24" s="1"/>
  <c r="CN149" i="24"/>
  <c r="DA149" i="24" s="1"/>
  <c r="DT90" i="24"/>
  <c r="DT25" i="24"/>
  <c r="CZ16" i="24"/>
  <c r="CS304" i="24"/>
  <c r="FD304" i="24" s="1"/>
  <c r="CN304" i="24"/>
  <c r="DT261" i="24"/>
  <c r="CZ270" i="24"/>
  <c r="DT288" i="24"/>
  <c r="CZ160" i="24"/>
  <c r="CS135" i="24"/>
  <c r="FD135" i="24" s="1"/>
  <c r="CN135" i="24"/>
  <c r="DA135" i="24" s="1"/>
  <c r="CZ121" i="24"/>
  <c r="CZ85" i="24"/>
  <c r="DC85" i="24" s="1"/>
  <c r="CN13" i="24"/>
  <c r="DA13" i="24" s="1"/>
  <c r="CS13" i="24"/>
  <c r="FD13" i="24" s="1"/>
  <c r="CS94" i="24"/>
  <c r="FD94" i="24" s="1"/>
  <c r="CN94" i="24"/>
  <c r="CZ251" i="24"/>
  <c r="CS198" i="24"/>
  <c r="FD198" i="24" s="1"/>
  <c r="CN198" i="24"/>
  <c r="DA198" i="24" s="1"/>
  <c r="DT227" i="24"/>
  <c r="CZ268" i="24"/>
  <c r="DT301" i="24"/>
  <c r="CZ257" i="24"/>
  <c r="DT249" i="24"/>
  <c r="CZ272" i="24"/>
  <c r="CZ125" i="24"/>
  <c r="DT95" i="24"/>
  <c r="CN128" i="24"/>
  <c r="DA128" i="24" s="1"/>
  <c r="CS128" i="24"/>
  <c r="FD128" i="24" s="1"/>
  <c r="CN158" i="24"/>
  <c r="CS158" i="24"/>
  <c r="FD158" i="24" s="1"/>
  <c r="CS145" i="24"/>
  <c r="FD145" i="24" s="1"/>
  <c r="CN145" i="24"/>
  <c r="CZ218" i="24"/>
  <c r="DT79" i="24"/>
  <c r="DT49" i="24"/>
  <c r="CN96" i="24"/>
  <c r="CS96" i="24"/>
  <c r="FD96" i="24" s="1"/>
  <c r="DT77" i="24"/>
  <c r="CZ59" i="24"/>
  <c r="CN26" i="24"/>
  <c r="DA26" i="24" s="1"/>
  <c r="CS26" i="24"/>
  <c r="FD26" i="24" s="1"/>
  <c r="CZ290" i="24"/>
  <c r="DT315" i="24"/>
  <c r="CN176" i="24"/>
  <c r="DA176" i="24" s="1"/>
  <c r="CS176" i="24"/>
  <c r="FD176" i="24" s="1"/>
  <c r="DT99" i="24"/>
  <c r="CZ71" i="24"/>
  <c r="CS11" i="24"/>
  <c r="FD11" i="24" s="1"/>
  <c r="CN11" i="24"/>
  <c r="Q5" i="29"/>
  <c r="BC7" i="19"/>
  <c r="K77" i="23"/>
  <c r="M77" i="23" s="1"/>
  <c r="B217" i="2"/>
  <c r="BK6" i="19"/>
  <c r="BB6" i="19"/>
  <c r="BH7" i="19"/>
  <c r="BF6" i="19"/>
  <c r="BK7" i="19"/>
  <c r="BS7" i="19"/>
  <c r="BF9" i="19"/>
  <c r="BH9" i="19"/>
  <c r="BD9" i="19"/>
  <c r="BA6" i="19"/>
  <c r="BI6" i="19"/>
  <c r="BD6" i="19"/>
  <c r="AZ7" i="19"/>
  <c r="BL7" i="19" s="1"/>
  <c r="BM7" i="19" s="1"/>
  <c r="BZ7" i="19" s="1"/>
  <c r="BG7" i="19"/>
  <c r="BJ7" i="19"/>
  <c r="BS6" i="19"/>
  <c r="AZ6" i="19"/>
  <c r="BL6" i="19" s="1"/>
  <c r="BM6" i="19" s="1"/>
  <c r="BZ6" i="19" s="1"/>
  <c r="BG6" i="19"/>
  <c r="BB7" i="19"/>
  <c r="BF7" i="19"/>
  <c r="BA7" i="19"/>
  <c r="BC6" i="19"/>
  <c r="BH6" i="19"/>
  <c r="BE6" i="19"/>
  <c r="BE7" i="19"/>
  <c r="BI7" i="19"/>
  <c r="BB9" i="19"/>
  <c r="BI9" i="19"/>
  <c r="BB8" i="19"/>
  <c r="BS8" i="19"/>
  <c r="BJ9" i="19"/>
  <c r="BS9" i="19"/>
  <c r="BK8" i="19"/>
  <c r="AZ9" i="19"/>
  <c r="BL9" i="19" s="1"/>
  <c r="BM9" i="19" s="1"/>
  <c r="BZ9" i="19" s="1"/>
  <c r="BD8" i="19"/>
  <c r="BE8" i="19"/>
  <c r="BG8" i="19"/>
  <c r="BE9" i="19"/>
  <c r="BA9" i="19"/>
  <c r="BG9" i="19"/>
  <c r="BH8" i="19"/>
  <c r="BI8" i="19"/>
  <c r="BF8" i="19"/>
  <c r="AZ8" i="19"/>
  <c r="BL8" i="19" s="1"/>
  <c r="BM8" i="19" s="1"/>
  <c r="BZ8" i="19" s="1"/>
  <c r="BK9" i="19"/>
  <c r="BC9" i="19"/>
  <c r="BA8" i="19"/>
  <c r="BJ8" i="19"/>
  <c r="K67" i="23"/>
  <c r="M67" i="23" s="1"/>
  <c r="L103" i="23"/>
  <c r="M103" i="23" s="1"/>
  <c r="L88" i="23"/>
  <c r="M88" i="23" s="1"/>
  <c r="K20" i="23"/>
  <c r="M20" i="23" s="1"/>
  <c r="K63" i="23"/>
  <c r="M63" i="23" s="1"/>
  <c r="L49" i="23"/>
  <c r="M49" i="23" s="1"/>
  <c r="K84" i="23"/>
  <c r="M84" i="23" s="1"/>
  <c r="L60" i="23"/>
  <c r="M60" i="23" s="1"/>
  <c r="L100" i="23"/>
  <c r="M100" i="23" s="1"/>
  <c r="L24" i="23"/>
  <c r="M24" i="23" s="1"/>
  <c r="K42" i="23"/>
  <c r="M42" i="23" s="1"/>
  <c r="K66" i="23"/>
  <c r="M66" i="23" s="1"/>
  <c r="K74" i="23"/>
  <c r="M74" i="23" s="1"/>
  <c r="K58" i="23"/>
  <c r="M58" i="23" s="1"/>
  <c r="K93" i="23"/>
  <c r="M93" i="23" s="1"/>
  <c r="L57" i="23"/>
  <c r="M57" i="23" s="1"/>
  <c r="L72" i="23"/>
  <c r="M72" i="23" s="1"/>
  <c r="K65" i="23"/>
  <c r="M65" i="23" s="1"/>
  <c r="L95" i="23"/>
  <c r="M95" i="23" s="1"/>
  <c r="M11" i="23"/>
  <c r="M99" i="23"/>
  <c r="M27" i="23"/>
  <c r="M19" i="23"/>
  <c r="M56" i="23"/>
  <c r="M8" i="23"/>
  <c r="M87" i="23"/>
  <c r="M55" i="23"/>
  <c r="M75" i="23"/>
  <c r="M12" i="23"/>
  <c r="M47" i="23"/>
  <c r="M43" i="23"/>
  <c r="M6" i="23"/>
  <c r="L97" i="23"/>
  <c r="M97" i="23" s="1"/>
  <c r="K83" i="23"/>
  <c r="M83" i="23" s="1"/>
  <c r="M98" i="23"/>
  <c r="M62" i="23"/>
  <c r="M46" i="23"/>
  <c r="M76" i="23"/>
  <c r="M78" i="23"/>
  <c r="M54" i="23"/>
  <c r="M81" i="23"/>
  <c r="M85" i="23"/>
  <c r="M50" i="23"/>
  <c r="M53" i="23"/>
  <c r="M101" i="23"/>
  <c r="M45" i="23"/>
  <c r="M34" i="23"/>
  <c r="M36" i="23"/>
  <c r="M28" i="23"/>
  <c r="M9" i="23"/>
  <c r="M33" i="23"/>
  <c r="M30" i="23"/>
  <c r="M90" i="23"/>
  <c r="M10" i="23"/>
  <c r="M94" i="23"/>
  <c r="M68" i="23"/>
  <c r="M70" i="23"/>
  <c r="M106" i="23"/>
  <c r="M41" i="23"/>
  <c r="M37" i="23"/>
  <c r="M44" i="23"/>
  <c r="M32" i="23"/>
  <c r="M23" i="23"/>
  <c r="M48" i="23"/>
  <c r="M64" i="23"/>
  <c r="M15" i="23"/>
  <c r="M40" i="23"/>
  <c r="M80" i="23"/>
  <c r="M31" i="23"/>
  <c r="M91" i="23"/>
  <c r="M7" i="23"/>
  <c r="M96" i="23"/>
  <c r="M51" i="23"/>
  <c r="M71" i="23"/>
  <c r="M39" i="23"/>
  <c r="M79" i="23"/>
  <c r="M104" i="23"/>
  <c r="M59" i="23"/>
  <c r="M16" i="23"/>
  <c r="M35" i="23"/>
  <c r="M18" i="23"/>
  <c r="M105" i="23"/>
  <c r="M86" i="23"/>
  <c r="M52" i="23"/>
  <c r="M89" i="23"/>
  <c r="M38" i="23"/>
  <c r="M25" i="23"/>
  <c r="M61" i="23"/>
  <c r="M82" i="23"/>
  <c r="M14" i="23"/>
  <c r="M29" i="23"/>
  <c r="M69" i="23"/>
  <c r="M17" i="23"/>
  <c r="M21" i="23"/>
  <c r="M22" i="23"/>
  <c r="M92" i="23"/>
  <c r="M73" i="23"/>
  <c r="M13" i="23"/>
  <c r="M102" i="23"/>
  <c r="M26" i="23"/>
  <c r="B212" i="2"/>
  <c r="A253" i="2"/>
  <c r="D48" i="16"/>
  <c r="B213" i="2"/>
  <c r="D49" i="16"/>
  <c r="E76" i="1" l="1"/>
  <c r="E77" i="1" s="1"/>
  <c r="F76" i="1"/>
  <c r="DC25" i="24"/>
  <c r="DC87" i="24"/>
  <c r="DC74" i="24"/>
  <c r="DC19" i="24"/>
  <c r="DC45" i="24"/>
  <c r="DC82" i="24"/>
  <c r="DC73" i="24"/>
  <c r="DC77" i="24"/>
  <c r="DC67" i="24"/>
  <c r="DB210" i="25"/>
  <c r="DC43" i="24"/>
  <c r="DC23" i="24"/>
  <c r="DC35" i="24"/>
  <c r="DC80" i="24"/>
  <c r="DC93" i="24"/>
  <c r="DC16" i="24"/>
  <c r="DC9" i="24"/>
  <c r="DC104" i="24"/>
  <c r="DC12" i="24"/>
  <c r="DC33" i="24"/>
  <c r="DC102" i="24"/>
  <c r="DC10" i="24"/>
  <c r="DC31" i="24"/>
  <c r="DC61" i="24"/>
  <c r="DC32" i="24"/>
  <c r="DC59" i="24"/>
  <c r="DC60" i="24"/>
  <c r="DC30" i="24"/>
  <c r="DC20" i="24"/>
  <c r="DC51" i="24"/>
  <c r="DC44" i="24"/>
  <c r="DC6" i="24"/>
  <c r="DC21" i="24"/>
  <c r="DC68" i="24"/>
  <c r="DC24" i="24"/>
  <c r="DC36" i="24"/>
  <c r="DC75" i="24"/>
  <c r="DC22" i="24"/>
  <c r="DC86" i="24"/>
  <c r="DC53" i="24"/>
  <c r="DC62" i="24"/>
  <c r="DC48" i="24"/>
  <c r="DC13" i="24"/>
  <c r="DC26" i="24"/>
  <c r="DC49" i="24"/>
  <c r="DC34" i="24"/>
  <c r="DC100" i="24"/>
  <c r="DC39" i="24"/>
  <c r="DC78" i="24"/>
  <c r="DC57" i="24"/>
  <c r="CZ110" i="25"/>
  <c r="DB110" i="25" s="1"/>
  <c r="DC56" i="24"/>
  <c r="DC42" i="24"/>
  <c r="DC92" i="24"/>
  <c r="DC37" i="24"/>
  <c r="DC38" i="24"/>
  <c r="DC8" i="24"/>
  <c r="DC103" i="24"/>
  <c r="DC47" i="24"/>
  <c r="DA110" i="25"/>
  <c r="DD110" i="25" s="1"/>
  <c r="DE110" i="25" s="1"/>
  <c r="DF110" i="25" s="1"/>
  <c r="DM110" i="25" s="1"/>
  <c r="DW110" i="25" s="1"/>
  <c r="DC71" i="24"/>
  <c r="DC69" i="24"/>
  <c r="DC7" i="24"/>
  <c r="DM101" i="25"/>
  <c r="DW101" i="25" s="1"/>
  <c r="K345" i="29"/>
  <c r="K107" i="29"/>
  <c r="K578" i="29"/>
  <c r="L563" i="29"/>
  <c r="L532" i="29"/>
  <c r="K493" i="29"/>
  <c r="K433" i="29"/>
  <c r="K405" i="29"/>
  <c r="L438" i="29"/>
  <c r="L23" i="29"/>
  <c r="L603" i="29"/>
  <c r="L566" i="29"/>
  <c r="K503" i="29"/>
  <c r="L482" i="29"/>
  <c r="K492" i="29"/>
  <c r="K411" i="29"/>
  <c r="L429" i="29"/>
  <c r="L344" i="29"/>
  <c r="L601" i="29"/>
  <c r="K575" i="29"/>
  <c r="K565" i="29"/>
  <c r="L536" i="29"/>
  <c r="L485" i="29"/>
  <c r="L31" i="29"/>
  <c r="L607" i="29"/>
  <c r="L571" i="29"/>
  <c r="K543" i="29"/>
  <c r="K526" i="29"/>
  <c r="K474" i="29"/>
  <c r="L443" i="29"/>
  <c r="K396" i="29"/>
  <c r="K386" i="29"/>
  <c r="K79" i="29"/>
  <c r="K582" i="29"/>
  <c r="K555" i="29"/>
  <c r="K522" i="29"/>
  <c r="L476" i="29"/>
  <c r="K449" i="29"/>
  <c r="L424" i="29"/>
  <c r="K383" i="29"/>
  <c r="K336" i="29"/>
  <c r="L600" i="29"/>
  <c r="K574" i="29"/>
  <c r="L539" i="29"/>
  <c r="L500" i="29"/>
  <c r="K467" i="29"/>
  <c r="K428" i="29"/>
  <c r="L442" i="29"/>
  <c r="L410" i="29"/>
  <c r="K126" i="29"/>
  <c r="K604" i="29"/>
  <c r="K547" i="29"/>
  <c r="K514" i="29"/>
  <c r="L468" i="29"/>
  <c r="K441" i="29"/>
  <c r="K414" i="29"/>
  <c r="K375" i="29"/>
  <c r="K328" i="29"/>
  <c r="K442" i="29"/>
  <c r="L314" i="29"/>
  <c r="K317" i="29"/>
  <c r="L249" i="29"/>
  <c r="K271" i="29"/>
  <c r="K217" i="29"/>
  <c r="K183" i="29"/>
  <c r="L188" i="29"/>
  <c r="K154" i="29"/>
  <c r="K26" i="29"/>
  <c r="K451" i="29"/>
  <c r="K319" i="29"/>
  <c r="L332" i="29"/>
  <c r="K234" i="29"/>
  <c r="L278" i="29"/>
  <c r="L217" i="29"/>
  <c r="L183" i="29"/>
  <c r="L194" i="29"/>
  <c r="L97" i="29"/>
  <c r="L99" i="29"/>
  <c r="K516" i="29"/>
  <c r="L343" i="29"/>
  <c r="K296" i="29"/>
  <c r="L277" i="29"/>
  <c r="K243" i="29"/>
  <c r="L609" i="29"/>
  <c r="K596" i="29"/>
  <c r="K525" i="29"/>
  <c r="K513" i="29"/>
  <c r="K500" i="29"/>
  <c r="L456" i="29"/>
  <c r="K373" i="29"/>
  <c r="L398" i="29"/>
  <c r="L52" i="29"/>
  <c r="L593" i="29"/>
  <c r="L547" i="29"/>
  <c r="L510" i="29"/>
  <c r="K497" i="29"/>
  <c r="K461" i="29"/>
  <c r="L433" i="29"/>
  <c r="K395" i="29"/>
  <c r="K348" i="29"/>
  <c r="L612" i="29"/>
  <c r="L574" i="29"/>
  <c r="K524" i="29"/>
  <c r="L515" i="29"/>
  <c r="K485" i="29"/>
  <c r="K54" i="29"/>
  <c r="K599" i="29"/>
  <c r="L567" i="29"/>
  <c r="K530" i="29"/>
  <c r="K506" i="29"/>
  <c r="K478" i="29"/>
  <c r="L411" i="29"/>
  <c r="L412" i="29"/>
  <c r="L397" i="29"/>
  <c r="K602" i="29"/>
  <c r="L568" i="29"/>
  <c r="K541" i="29"/>
  <c r="L509" i="29"/>
  <c r="K472" i="29"/>
  <c r="K417" i="29"/>
  <c r="K389" i="29"/>
  <c r="K416" i="29"/>
  <c r="L39" i="29"/>
  <c r="L599" i="29"/>
  <c r="K568" i="29"/>
  <c r="K535" i="29"/>
  <c r="K508" i="29"/>
  <c r="K466" i="29"/>
  <c r="L435" i="29"/>
  <c r="K388" i="29"/>
  <c r="K378" i="29"/>
  <c r="K594" i="29"/>
  <c r="L560" i="29"/>
  <c r="K533" i="29"/>
  <c r="K521" i="29"/>
  <c r="K464" i="29"/>
  <c r="K409" i="29"/>
  <c r="K381" i="29"/>
  <c r="K404" i="29"/>
  <c r="L581" i="29"/>
  <c r="L422" i="29"/>
  <c r="L341" i="29"/>
  <c r="K314" i="29"/>
  <c r="K275" i="29"/>
  <c r="K239" i="29"/>
  <c r="K185" i="29"/>
  <c r="K162" i="29"/>
  <c r="L142" i="29"/>
  <c r="L116" i="29"/>
  <c r="L24" i="29"/>
  <c r="K377" i="29"/>
  <c r="L342" i="29"/>
  <c r="K303" i="29"/>
  <c r="L275" i="29"/>
  <c r="L243" i="29"/>
  <c r="L185" i="29"/>
  <c r="K211" i="29"/>
  <c r="K147" i="29"/>
  <c r="L65" i="29"/>
  <c r="L67" i="29"/>
  <c r="L448" i="29"/>
  <c r="K85" i="29"/>
  <c r="K189" i="29"/>
  <c r="K142" i="29"/>
  <c r="K597" i="29"/>
  <c r="K585" i="29"/>
  <c r="K532" i="29"/>
  <c r="L504" i="29"/>
  <c r="K502" i="29"/>
  <c r="K448" i="29"/>
  <c r="L392" i="29"/>
  <c r="K454" i="29"/>
  <c r="K44" i="29"/>
  <c r="K577" i="29"/>
  <c r="K561" i="29"/>
  <c r="L521" i="29"/>
  <c r="L489" i="29"/>
  <c r="K429" i="29"/>
  <c r="K401" i="29"/>
  <c r="L430" i="29"/>
  <c r="L43" i="29"/>
  <c r="K627" i="29"/>
  <c r="K572" i="29"/>
  <c r="L545" i="29"/>
  <c r="L480" i="29"/>
  <c r="L478" i="29"/>
  <c r="K101" i="29"/>
  <c r="L591" i="29"/>
  <c r="L558" i="29"/>
  <c r="L534" i="29"/>
  <c r="K512" i="29"/>
  <c r="K480" i="29"/>
  <c r="K435" i="29"/>
  <c r="L379" i="29"/>
  <c r="L368" i="29"/>
  <c r="K613" i="29"/>
  <c r="K567" i="29"/>
  <c r="L549" i="29"/>
  <c r="L520" i="29"/>
  <c r="L471" i="29"/>
  <c r="L474" i="29"/>
  <c r="K418" i="29"/>
  <c r="L382" i="29"/>
  <c r="K86" i="29"/>
  <c r="K588" i="29"/>
  <c r="K553" i="29"/>
  <c r="L541" i="29"/>
  <c r="K499" i="29"/>
  <c r="L473" i="29"/>
  <c r="K459" i="29"/>
  <c r="L403" i="29"/>
  <c r="L389" i="29"/>
  <c r="K605" i="29"/>
  <c r="K559" i="29"/>
  <c r="K540" i="29"/>
  <c r="L512" i="29"/>
  <c r="L463" i="29"/>
  <c r="K456" i="29"/>
  <c r="L400" i="29"/>
  <c r="L374" i="29"/>
  <c r="L589" i="29"/>
  <c r="L401" i="29"/>
  <c r="K329" i="29"/>
  <c r="K286" i="29"/>
  <c r="K241" i="29"/>
  <c r="L242" i="29"/>
  <c r="L220" i="29"/>
  <c r="K157" i="29"/>
  <c r="L110" i="29"/>
  <c r="L84" i="29"/>
  <c r="L613" i="29"/>
  <c r="L395" i="29"/>
  <c r="L369" i="29"/>
  <c r="K311" i="29"/>
  <c r="L245" i="29"/>
  <c r="K267" i="29"/>
  <c r="K213" i="29"/>
  <c r="K179" i="29"/>
  <c r="L170" i="29"/>
  <c r="K146" i="29"/>
  <c r="K38" i="29"/>
  <c r="K439" i="29"/>
  <c r="K315" i="29"/>
  <c r="L331" i="29"/>
  <c r="K230" i="29"/>
  <c r="K45" i="29"/>
  <c r="K81" i="29"/>
  <c r="K446" i="29"/>
  <c r="L35" i="29"/>
  <c r="I633" i="29"/>
  <c r="K562" i="29"/>
  <c r="L527" i="29"/>
  <c r="L488" i="29"/>
  <c r="L505" i="29"/>
  <c r="L455" i="29"/>
  <c r="L417" i="29"/>
  <c r="K398" i="29"/>
  <c r="L605" i="29"/>
  <c r="L585" i="29"/>
  <c r="L578" i="29"/>
  <c r="K509" i="29"/>
  <c r="K489" i="29"/>
  <c r="L452" i="29"/>
  <c r="K450" i="29"/>
  <c r="L394" i="29"/>
  <c r="K70" i="29"/>
  <c r="K607" i="29"/>
  <c r="L573" i="29"/>
  <c r="K534" i="29"/>
  <c r="L487" i="29"/>
  <c r="L479" i="29"/>
  <c r="K20" i="29"/>
  <c r="L595" i="29"/>
  <c r="K556" i="29"/>
  <c r="L544" i="29"/>
  <c r="L502" i="29"/>
  <c r="L457" i="29"/>
  <c r="L470" i="29"/>
  <c r="L421" i="29"/>
  <c r="L372" i="29"/>
  <c r="L604" i="29"/>
  <c r="K583" i="29"/>
  <c r="L543" i="29"/>
  <c r="L503" i="29"/>
  <c r="K471" i="29"/>
  <c r="K432" i="29"/>
  <c r="L376" i="29"/>
  <c r="K420" i="29"/>
  <c r="K103" i="29"/>
  <c r="K591" i="29"/>
  <c r="L548" i="29"/>
  <c r="K519" i="29"/>
  <c r="L498" i="29"/>
  <c r="K477" i="29"/>
  <c r="K427" i="29"/>
  <c r="L371" i="29"/>
  <c r="L360" i="29"/>
  <c r="L596" i="29"/>
  <c r="K570" i="29"/>
  <c r="L535" i="29"/>
  <c r="L496" i="29"/>
  <c r="K463" i="29"/>
  <c r="K424" i="29"/>
  <c r="K434" i="29"/>
  <c r="K406" i="29"/>
  <c r="K510" i="29"/>
  <c r="K324" i="29"/>
  <c r="L284" i="29"/>
  <c r="K318" i="29"/>
  <c r="L252" i="29"/>
  <c r="L214" i="29"/>
  <c r="K220" i="29"/>
  <c r="K125" i="29"/>
  <c r="L78" i="29"/>
  <c r="K116" i="29"/>
  <c r="L556" i="29"/>
  <c r="L402" i="29"/>
  <c r="L337" i="29"/>
  <c r="L312" i="29"/>
  <c r="K269" i="29"/>
  <c r="L270" i="29"/>
  <c r="K181" i="29"/>
  <c r="K158" i="29"/>
  <c r="L138" i="29"/>
  <c r="L112" i="29"/>
  <c r="K36" i="29"/>
  <c r="L434" i="29"/>
  <c r="L338" i="29"/>
  <c r="K362" i="29"/>
  <c r="L274" i="29"/>
  <c r="E55" i="1"/>
  <c r="L21" i="29"/>
  <c r="K60" i="29"/>
  <c r="K59" i="29"/>
  <c r="L584" i="29"/>
  <c r="K550" i="29"/>
  <c r="K542" i="29"/>
  <c r="L495" i="29"/>
  <c r="K484" i="29"/>
  <c r="L423" i="29"/>
  <c r="K376" i="29"/>
  <c r="K410" i="29"/>
  <c r="K593" i="29"/>
  <c r="L583" i="29"/>
  <c r="K528" i="29"/>
  <c r="K520" i="29"/>
  <c r="K496" i="29"/>
  <c r="K444" i="29"/>
  <c r="L388" i="29"/>
  <c r="K438" i="29"/>
  <c r="K32" i="29"/>
  <c r="K600" i="29"/>
  <c r="L562" i="29"/>
  <c r="L569" i="29"/>
  <c r="L530" i="29"/>
  <c r="L497" i="29"/>
  <c r="L54" i="29"/>
  <c r="K586" i="29"/>
  <c r="L561" i="29"/>
  <c r="L538" i="29"/>
  <c r="L481" i="29"/>
  <c r="K453" i="29"/>
  <c r="L425" i="29"/>
  <c r="K387" i="29"/>
  <c r="K340" i="29"/>
  <c r="L606" i="29"/>
  <c r="K569" i="29"/>
  <c r="K539" i="29"/>
  <c r="L519" i="29"/>
  <c r="K470" i="29"/>
  <c r="L439" i="29"/>
  <c r="K392" i="29"/>
  <c r="K382" i="29"/>
  <c r="K28" i="29"/>
  <c r="L590" i="29"/>
  <c r="K548" i="29"/>
  <c r="K523" i="29"/>
  <c r="K494" i="29"/>
  <c r="L449" i="29"/>
  <c r="L458" i="29"/>
  <c r="K412" i="29"/>
  <c r="K364" i="29"/>
  <c r="L598" i="29"/>
  <c r="L557" i="29"/>
  <c r="K531" i="29"/>
  <c r="L506" i="29"/>
  <c r="K462" i="29"/>
  <c r="L431" i="29"/>
  <c r="K384" i="29"/>
  <c r="K374" i="29"/>
  <c r="L464" i="29"/>
  <c r="L351" i="29"/>
  <c r="K304" i="29"/>
  <c r="L285" i="29"/>
  <c r="K285" i="29"/>
  <c r="K222" i="29"/>
  <c r="K188" i="29"/>
  <c r="L160" i="29"/>
  <c r="K168" i="29"/>
  <c r="K84" i="29"/>
  <c r="K529" i="29"/>
  <c r="L381" i="29"/>
  <c r="K321" i="29"/>
  <c r="K282" i="29"/>
  <c r="L327" i="29"/>
  <c r="L238" i="29"/>
  <c r="L216" i="29"/>
  <c r="K153" i="29"/>
  <c r="L106" i="29"/>
  <c r="L80" i="29"/>
  <c r="K601" i="29"/>
  <c r="L383" i="29"/>
  <c r="L365" i="29"/>
  <c r="L310" i="29"/>
  <c r="K62" i="29"/>
  <c r="K113" i="29"/>
  <c r="K166" i="29"/>
  <c r="L345" i="29"/>
  <c r="L68" i="29"/>
  <c r="G623" i="29"/>
  <c r="K581" i="29"/>
  <c r="L529" i="29"/>
  <c r="K487" i="29"/>
  <c r="L577" i="29"/>
  <c r="K447" i="29"/>
  <c r="L391" i="29"/>
  <c r="L377" i="29"/>
  <c r="L627" i="29"/>
  <c r="K589" i="29"/>
  <c r="L553" i="29"/>
  <c r="L484" i="29"/>
  <c r="K488" i="29"/>
  <c r="L451" i="29"/>
  <c r="L408" i="29"/>
  <c r="K394" i="29"/>
  <c r="K61" i="29"/>
  <c r="L602" i="29"/>
  <c r="K558" i="29"/>
  <c r="L546" i="29"/>
  <c r="L524" i="29"/>
  <c r="L461" i="29"/>
  <c r="K606" i="29"/>
  <c r="L572" i="29"/>
  <c r="L550" i="29"/>
  <c r="L513" i="29"/>
  <c r="K476" i="29"/>
  <c r="K421" i="29"/>
  <c r="K393" i="29"/>
  <c r="L420" i="29"/>
  <c r="L19" i="29"/>
  <c r="K592" i="29"/>
  <c r="K560" i="29"/>
  <c r="K557" i="29"/>
  <c r="K504" i="29"/>
  <c r="L477" i="29"/>
  <c r="L407" i="29"/>
  <c r="K408" i="29"/>
  <c r="L393" i="29"/>
  <c r="K56" i="29"/>
  <c r="K612" i="29"/>
  <c r="K551" i="29"/>
  <c r="K518" i="29"/>
  <c r="L472" i="29"/>
  <c r="K445" i="29"/>
  <c r="L418" i="29"/>
  <c r="K379" i="29"/>
  <c r="L27" i="29"/>
  <c r="K584" i="29"/>
  <c r="K549" i="29"/>
  <c r="L537" i="29"/>
  <c r="K495" i="29"/>
  <c r="L469" i="29"/>
  <c r="K455" i="29"/>
  <c r="L399" i="29"/>
  <c r="L385" i="29"/>
  <c r="K437" i="29"/>
  <c r="K355" i="29"/>
  <c r="K358" i="29"/>
  <c r="K270" i="29"/>
  <c r="K248" i="29"/>
  <c r="K190" i="29"/>
  <c r="L219" i="29"/>
  <c r="L151" i="29"/>
  <c r="K128" i="29"/>
  <c r="K140" i="29"/>
  <c r="K517" i="29"/>
  <c r="K320" i="29"/>
  <c r="L280" i="29"/>
  <c r="K312" i="29"/>
  <c r="L248" i="29"/>
  <c r="L210" i="29"/>
  <c r="K216" i="29"/>
  <c r="K121" i="29"/>
  <c r="L169" i="29"/>
  <c r="K112" i="29"/>
  <c r="L586" i="29"/>
  <c r="L390" i="29"/>
  <c r="L333" i="29"/>
  <c r="K310" i="29"/>
  <c r="K603" i="29"/>
  <c r="K13" i="29"/>
  <c r="K24" i="29"/>
  <c r="L610" i="29"/>
  <c r="L575" i="29"/>
  <c r="K507" i="29"/>
  <c r="L486" i="29"/>
  <c r="K465" i="29"/>
  <c r="K415" i="29"/>
  <c r="L436" i="29"/>
  <c r="L348" i="29"/>
  <c r="L580" i="29"/>
  <c r="K546" i="29"/>
  <c r="K538" i="29"/>
  <c r="L491" i="29"/>
  <c r="L483" i="29"/>
  <c r="L419" i="29"/>
  <c r="K458" i="29"/>
  <c r="L405" i="29"/>
  <c r="L70" i="29"/>
  <c r="K590" i="29"/>
  <c r="L565" i="29"/>
  <c r="K564" i="29"/>
  <c r="L493" i="29"/>
  <c r="K457" i="29"/>
  <c r="L597" i="29"/>
  <c r="K571" i="29"/>
  <c r="L554" i="29"/>
  <c r="L526" i="29"/>
  <c r="L475" i="29"/>
  <c r="L444" i="29"/>
  <c r="L426" i="29"/>
  <c r="L386" i="29"/>
  <c r="K40" i="29"/>
  <c r="L587" i="29"/>
  <c r="L552" i="29"/>
  <c r="L523" i="29"/>
  <c r="L507" i="29"/>
  <c r="K479" i="29"/>
  <c r="K431" i="29"/>
  <c r="L375" i="29"/>
  <c r="L364" i="29"/>
  <c r="K598" i="29"/>
  <c r="L564" i="29"/>
  <c r="K537" i="29"/>
  <c r="L542" i="29"/>
  <c r="K468" i="29"/>
  <c r="K413" i="29"/>
  <c r="K385" i="29"/>
  <c r="L406" i="29"/>
  <c r="K16" i="29"/>
  <c r="K587" i="29"/>
  <c r="L579" i="29"/>
  <c r="K515" i="29"/>
  <c r="L494" i="29"/>
  <c r="K473" i="29"/>
  <c r="K423" i="29"/>
  <c r="L446" i="29"/>
  <c r="L356" i="29"/>
  <c r="L415" i="29"/>
  <c r="K323" i="29"/>
  <c r="K341" i="29"/>
  <c r="K238" i="29"/>
  <c r="L279" i="29"/>
  <c r="L221" i="29"/>
  <c r="L187" i="29"/>
  <c r="L119" i="29"/>
  <c r="L101" i="29"/>
  <c r="L103" i="29"/>
  <c r="L511" i="29"/>
  <c r="L347" i="29"/>
  <c r="K300" i="29"/>
  <c r="L281" i="29"/>
  <c r="K277" i="29"/>
  <c r="K218" i="29"/>
  <c r="K184" i="29"/>
  <c r="L156" i="29"/>
  <c r="L153" i="29"/>
  <c r="K80" i="29"/>
  <c r="K536" i="29"/>
  <c r="K371" i="29"/>
  <c r="L308" i="29"/>
  <c r="K278" i="29"/>
  <c r="L146" i="29"/>
  <c r="K283" i="29"/>
  <c r="K90" i="29"/>
  <c r="K595" i="29"/>
  <c r="L551" i="29"/>
  <c r="L514" i="29"/>
  <c r="K482" i="29"/>
  <c r="L466" i="29"/>
  <c r="L440" i="29"/>
  <c r="K399" i="29"/>
  <c r="K352" i="29"/>
  <c r="K608" i="29"/>
  <c r="K573" i="29"/>
  <c r="L525" i="29"/>
  <c r="K483" i="29"/>
  <c r="K501" i="29"/>
  <c r="K443" i="29"/>
  <c r="L387" i="29"/>
  <c r="L373" i="29"/>
  <c r="K610" i="29"/>
  <c r="L576" i="29"/>
  <c r="L559" i="29"/>
  <c r="L517" i="29"/>
  <c r="K481" i="29"/>
  <c r="K425" i="29"/>
  <c r="L608" i="29"/>
  <c r="L570" i="29"/>
  <c r="L582" i="29"/>
  <c r="K505" i="29"/>
  <c r="K475" i="29"/>
  <c r="K436" i="29"/>
  <c r="L380" i="29"/>
  <c r="K422" i="29"/>
  <c r="K72" i="29"/>
  <c r="L594" i="29"/>
  <c r="K552" i="29"/>
  <c r="L528" i="29"/>
  <c r="K498" i="29"/>
  <c r="L453" i="29"/>
  <c r="L462" i="29"/>
  <c r="L416" i="29"/>
  <c r="K368" i="29"/>
  <c r="K609" i="29"/>
  <c r="K563" i="29"/>
  <c r="K544" i="29"/>
  <c r="L516" i="29"/>
  <c r="L467" i="29"/>
  <c r="K460" i="29"/>
  <c r="L413" i="29"/>
  <c r="L378" i="29"/>
  <c r="K105" i="29"/>
  <c r="K611" i="29"/>
  <c r="K579" i="29"/>
  <c r="L522" i="29"/>
  <c r="K490" i="29"/>
  <c r="L445" i="29"/>
  <c r="L454" i="29"/>
  <c r="L404" i="29"/>
  <c r="K360" i="29"/>
  <c r="K397" i="29"/>
  <c r="L346" i="29"/>
  <c r="K307" i="29"/>
  <c r="L282" i="29"/>
  <c r="L247" i="29"/>
  <c r="L189" i="29"/>
  <c r="K215" i="29"/>
  <c r="K151" i="29"/>
  <c r="L69" i="29"/>
  <c r="L71" i="29"/>
  <c r="L460" i="29"/>
  <c r="K351" i="29"/>
  <c r="K342" i="29"/>
  <c r="K266" i="29"/>
  <c r="K365" i="29"/>
  <c r="K186" i="29"/>
  <c r="L215" i="29"/>
  <c r="L147" i="29"/>
  <c r="L121" i="29"/>
  <c r="L133" i="29"/>
  <c r="L508" i="29"/>
  <c r="K316" i="29"/>
  <c r="L276" i="29"/>
  <c r="L309" i="29"/>
  <c r="K347" i="29"/>
  <c r="L328" i="29"/>
  <c r="K182" i="29"/>
  <c r="L211" i="29"/>
  <c r="L143" i="29"/>
  <c r="L120" i="29"/>
  <c r="K132" i="29"/>
  <c r="K566" i="29"/>
  <c r="L370" i="29"/>
  <c r="L329" i="29"/>
  <c r="K306" i="29"/>
  <c r="K261" i="29"/>
  <c r="L262" i="29"/>
  <c r="K173" i="29"/>
  <c r="L186" i="29"/>
  <c r="L130" i="29"/>
  <c r="L104" i="29"/>
  <c r="L588" i="29"/>
  <c r="L428" i="29"/>
  <c r="L357" i="29"/>
  <c r="L302" i="29"/>
  <c r="K299" i="29"/>
  <c r="K255" i="29"/>
  <c r="K201" i="29"/>
  <c r="L182" i="29"/>
  <c r="L158" i="29"/>
  <c r="K122" i="29"/>
  <c r="K48" i="29"/>
  <c r="K426" i="29"/>
  <c r="L326" i="29"/>
  <c r="L336" i="29"/>
  <c r="L261" i="29"/>
  <c r="K295" i="29"/>
  <c r="K229" i="29"/>
  <c r="K195" i="29"/>
  <c r="K131" i="29"/>
  <c r="L49" i="29"/>
  <c r="L51" i="29"/>
  <c r="L447" i="29"/>
  <c r="K331" i="29"/>
  <c r="L303" i="29"/>
  <c r="K246" i="29"/>
  <c r="L287" i="29"/>
  <c r="L229" i="29"/>
  <c r="L195" i="29"/>
  <c r="L127" i="29"/>
  <c r="L109" i="29"/>
  <c r="L111" i="29"/>
  <c r="K94" i="29"/>
  <c r="K325" i="29"/>
  <c r="K49" i="29"/>
  <c r="L193" i="29"/>
  <c r="K65" i="29"/>
  <c r="L286" i="29"/>
  <c r="L72" i="29"/>
  <c r="K252" i="29"/>
  <c r="K69" i="29"/>
  <c r="K308" i="29"/>
  <c r="K119" i="29"/>
  <c r="K332" i="29"/>
  <c r="K33" i="29"/>
  <c r="K290" i="29"/>
  <c r="L48" i="29"/>
  <c r="K134" i="29"/>
  <c r="K31" i="29"/>
  <c r="L34" i="29"/>
  <c r="L38" i="29"/>
  <c r="K68" i="29"/>
  <c r="L492" i="29"/>
  <c r="L144" i="29"/>
  <c r="K366" i="29"/>
  <c r="L94" i="29"/>
  <c r="L321" i="29"/>
  <c r="L254" i="29"/>
  <c r="L96" i="29"/>
  <c r="L322" i="29"/>
  <c r="K225" i="29"/>
  <c r="K127" i="29"/>
  <c r="L157" i="29"/>
  <c r="L283" i="29"/>
  <c r="K276" i="29"/>
  <c r="K129" i="29"/>
  <c r="K330" i="29"/>
  <c r="L271" i="29"/>
  <c r="L213" i="29"/>
  <c r="L179" i="29"/>
  <c r="L178" i="29"/>
  <c r="L93" i="29"/>
  <c r="L95" i="29"/>
  <c r="L531" i="29"/>
  <c r="L352" i="29"/>
  <c r="L304" i="29"/>
  <c r="K274" i="29"/>
  <c r="L272" i="29"/>
  <c r="L230" i="29"/>
  <c r="L208" i="29"/>
  <c r="K145" i="29"/>
  <c r="L98" i="29"/>
  <c r="L148" i="29"/>
  <c r="K554" i="29"/>
  <c r="K430" i="29"/>
  <c r="L325" i="29"/>
  <c r="K302" i="29"/>
  <c r="K257" i="29"/>
  <c r="L258" i="29"/>
  <c r="K244" i="29"/>
  <c r="L174" i="29"/>
  <c r="L126" i="29"/>
  <c r="L100" i="29"/>
  <c r="K580" i="29"/>
  <c r="K403" i="29"/>
  <c r="L353" i="29"/>
  <c r="L298" i="29"/>
  <c r="K297" i="29"/>
  <c r="K251" i="29"/>
  <c r="K197" i="29"/>
  <c r="L171" i="29"/>
  <c r="L154" i="29"/>
  <c r="K120" i="29"/>
  <c r="K64" i="29"/>
  <c r="L432" i="29"/>
  <c r="L354" i="29"/>
  <c r="L315" i="29"/>
  <c r="L290" i="29"/>
  <c r="L255" i="29"/>
  <c r="L197" i="29"/>
  <c r="K223" i="29"/>
  <c r="K159" i="29"/>
  <c r="L77" i="29"/>
  <c r="L79" i="29"/>
  <c r="K58" i="29"/>
  <c r="L318" i="29"/>
  <c r="K37" i="29"/>
  <c r="L251" i="29"/>
  <c r="K17" i="29"/>
  <c r="K242" i="29"/>
  <c r="K63" i="29"/>
  <c r="K281" i="29"/>
  <c r="K88" i="29"/>
  <c r="L355" i="29"/>
  <c r="L82" i="29"/>
  <c r="L518" i="29"/>
  <c r="L44" i="29"/>
  <c r="K354" i="29"/>
  <c r="L46" i="29"/>
  <c r="K73" i="29"/>
  <c r="K115" i="29"/>
  <c r="K97" i="29"/>
  <c r="K34" i="29"/>
  <c r="K43" i="29"/>
  <c r="K372" i="29"/>
  <c r="K104" i="29"/>
  <c r="L300" i="29"/>
  <c r="L204" i="29"/>
  <c r="L140" i="29"/>
  <c r="K298" i="29"/>
  <c r="K169" i="29"/>
  <c r="L15" i="29"/>
  <c r="L257" i="29"/>
  <c r="K191" i="29"/>
  <c r="K380" i="29"/>
  <c r="K109" i="29"/>
  <c r="K114" i="29"/>
  <c r="K67" i="29"/>
  <c r="K262" i="29"/>
  <c r="L239" i="29"/>
  <c r="L181" i="29"/>
  <c r="K207" i="29"/>
  <c r="K143" i="29"/>
  <c r="L61" i="29"/>
  <c r="K370" i="29"/>
  <c r="L305" i="29"/>
  <c r="L240" i="29"/>
  <c r="L202" i="29"/>
  <c r="L196" i="29"/>
  <c r="L340" i="29"/>
  <c r="K237" i="29"/>
  <c r="K545" i="29"/>
  <c r="K233" i="29"/>
  <c r="K333" i="29"/>
  <c r="L47" i="29"/>
  <c r="L40" i="29"/>
  <c r="K349" i="29"/>
  <c r="K263" i="29"/>
  <c r="K209" i="29"/>
  <c r="K175" i="29"/>
  <c r="L166" i="29"/>
  <c r="K138" i="29"/>
  <c r="K42" i="29"/>
  <c r="L540" i="29"/>
  <c r="L339" i="29"/>
  <c r="K292" i="29"/>
  <c r="L273" i="29"/>
  <c r="K268" i="29"/>
  <c r="K210" i="29"/>
  <c r="K176" i="29"/>
  <c r="L184" i="29"/>
  <c r="L145" i="29"/>
  <c r="L173" i="29"/>
  <c r="L499" i="29"/>
  <c r="L367" i="29"/>
  <c r="K369" i="29"/>
  <c r="L301" i="29"/>
  <c r="L236" i="29"/>
  <c r="L198" i="29"/>
  <c r="K204" i="29"/>
  <c r="L180" i="29"/>
  <c r="L136" i="29"/>
  <c r="K100" i="29"/>
  <c r="L533" i="29"/>
  <c r="K356" i="29"/>
  <c r="L296" i="29"/>
  <c r="K350" i="29"/>
  <c r="L264" i="29"/>
  <c r="L226" i="29"/>
  <c r="K235" i="29"/>
  <c r="K137" i="29"/>
  <c r="L90" i="29"/>
  <c r="L132" i="29"/>
  <c r="L611" i="29"/>
  <c r="K391" i="29"/>
  <c r="L349" i="29"/>
  <c r="K361" i="29"/>
  <c r="K291" i="29"/>
  <c r="K247" i="29"/>
  <c r="K193" i="29"/>
  <c r="K170" i="29"/>
  <c r="L150" i="29"/>
  <c r="K117" i="29"/>
  <c r="L56" i="29"/>
  <c r="K123" i="29"/>
  <c r="K77" i="29"/>
  <c r="K74" i="29"/>
  <c r="L311" i="29"/>
  <c r="L107" i="29"/>
  <c r="K327" i="29"/>
  <c r="L141" i="29"/>
  <c r="K359" i="29"/>
  <c r="L164" i="29"/>
  <c r="L29" i="29"/>
  <c r="K224" i="29"/>
  <c r="L17" i="29"/>
  <c r="L114" i="29"/>
  <c r="L555" i="29"/>
  <c r="L66" i="29"/>
  <c r="K75" i="29"/>
  <c r="L14" i="29"/>
  <c r="K30" i="29"/>
  <c r="K82" i="29"/>
  <c r="K71" i="29"/>
  <c r="L626" i="29"/>
  <c r="L152" i="29"/>
  <c r="L235" i="29"/>
  <c r="K139" i="29"/>
  <c r="L362" i="29"/>
  <c r="L205" i="29"/>
  <c r="L85" i="29"/>
  <c r="K335" i="29"/>
  <c r="L294" i="29"/>
  <c r="L113" i="29"/>
  <c r="L359" i="29"/>
  <c r="K231" i="29"/>
  <c r="L118" i="29"/>
  <c r="L45" i="29"/>
  <c r="L191" i="29"/>
  <c r="K293" i="29"/>
  <c r="L41" i="29"/>
  <c r="K265" i="29"/>
  <c r="L266" i="29"/>
  <c r="K177" i="29"/>
  <c r="L192" i="29"/>
  <c r="L134" i="29"/>
  <c r="L108" i="29"/>
  <c r="L28" i="29"/>
  <c r="K452" i="29"/>
  <c r="K343" i="29"/>
  <c r="K322" i="29"/>
  <c r="K258" i="29"/>
  <c r="K309" i="29"/>
  <c r="K178" i="29"/>
  <c r="L207" i="29"/>
  <c r="L139" i="29"/>
  <c r="K118" i="29"/>
  <c r="L125" i="29"/>
  <c r="L501" i="29"/>
  <c r="L335" i="29"/>
  <c r="K288" i="29"/>
  <c r="L319" i="29"/>
  <c r="K264" i="29"/>
  <c r="K206" i="29"/>
  <c r="K172" i="29"/>
  <c r="L167" i="29"/>
  <c r="K144" i="29"/>
  <c r="K160" i="29"/>
  <c r="K491" i="29"/>
  <c r="L363" i="29"/>
  <c r="K353" i="29"/>
  <c r="L297" i="29"/>
  <c r="L232" i="29"/>
  <c r="L241" i="29"/>
  <c r="K200" i="29"/>
  <c r="K174" i="29"/>
  <c r="L128" i="29"/>
  <c r="K96" i="29"/>
  <c r="K576" i="29"/>
  <c r="K390" i="29"/>
  <c r="L317" i="29"/>
  <c r="K294" i="29"/>
  <c r="K249" i="29"/>
  <c r="L250" i="29"/>
  <c r="L228" i="29"/>
  <c r="K165" i="29"/>
  <c r="K164" i="29"/>
  <c r="L92" i="29"/>
  <c r="L33" i="29"/>
  <c r="K187" i="29"/>
  <c r="L60" i="29"/>
  <c r="L75" i="29"/>
  <c r="L350" i="29"/>
  <c r="L105" i="29"/>
  <c r="L427" i="29"/>
  <c r="L129" i="29"/>
  <c r="L441" i="29"/>
  <c r="K192" i="29"/>
  <c r="L13" i="29"/>
  <c r="L218" i="29"/>
  <c r="K87" i="29"/>
  <c r="K161" i="29"/>
  <c r="K19" i="29"/>
  <c r="K57" i="29"/>
  <c r="K52" i="29"/>
  <c r="K23" i="29"/>
  <c r="K27" i="29"/>
  <c r="K39" i="29"/>
  <c r="L22" i="29"/>
  <c r="K626" i="29"/>
  <c r="K108" i="29"/>
  <c r="L177" i="29"/>
  <c r="L59" i="29"/>
  <c r="L323" i="29"/>
  <c r="L237" i="29"/>
  <c r="L87" i="29"/>
  <c r="K250" i="29"/>
  <c r="L131" i="29"/>
  <c r="L490" i="29"/>
  <c r="K337" i="29"/>
  <c r="L168" i="29"/>
  <c r="K279" i="29"/>
  <c r="L76" i="29"/>
  <c r="K18" i="29"/>
  <c r="K326" i="29"/>
  <c r="K273" i="29"/>
  <c r="L234" i="29"/>
  <c r="L212" i="29"/>
  <c r="K149" i="29"/>
  <c r="L102" i="29"/>
  <c r="L161" i="29"/>
  <c r="K78" i="29"/>
  <c r="K419" i="29"/>
  <c r="L366" i="29"/>
  <c r="L324" i="29"/>
  <c r="K301" i="29"/>
  <c r="L267" i="29"/>
  <c r="L209" i="29"/>
  <c r="L175" i="29"/>
  <c r="L172" i="29"/>
  <c r="L89" i="29"/>
  <c r="L91" i="29"/>
  <c r="K440" i="29"/>
  <c r="K339" i="29"/>
  <c r="K313" i="29"/>
  <c r="K254" i="29"/>
  <c r="L295" i="29"/>
  <c r="K240" i="29"/>
  <c r="L203" i="29"/>
  <c r="L135" i="29"/>
  <c r="L117" i="29"/>
  <c r="K124" i="29"/>
  <c r="L465" i="29"/>
  <c r="K367" i="29"/>
  <c r="K284" i="29"/>
  <c r="K305" i="29"/>
  <c r="K260" i="29"/>
  <c r="K202" i="29"/>
  <c r="K236" i="29"/>
  <c r="L163" i="29"/>
  <c r="L137" i="29"/>
  <c r="L149" i="29"/>
  <c r="K511" i="29"/>
  <c r="K344" i="29"/>
  <c r="L292" i="29"/>
  <c r="K334" i="29"/>
  <c r="L260" i="29"/>
  <c r="L222" i="29"/>
  <c r="K228" i="29"/>
  <c r="K133" i="29"/>
  <c r="L86" i="29"/>
  <c r="L124" i="29"/>
  <c r="K25" i="29"/>
  <c r="K221" i="29"/>
  <c r="K51" i="29"/>
  <c r="L73" i="29"/>
  <c r="L409" i="29"/>
  <c r="L123" i="29"/>
  <c r="L37" i="29"/>
  <c r="L155" i="29"/>
  <c r="L25" i="29"/>
  <c r="K226" i="29"/>
  <c r="K83" i="29"/>
  <c r="L256" i="29"/>
  <c r="K102" i="29"/>
  <c r="L224" i="29"/>
  <c r="K106" i="29"/>
  <c r="K47" i="29"/>
  <c r="K35" i="29"/>
  <c r="L62" i="29"/>
  <c r="K46" i="29"/>
  <c r="K110" i="29"/>
  <c r="K150" i="29"/>
  <c r="L396" i="29"/>
  <c r="L57" i="29"/>
  <c r="L299" i="29"/>
  <c r="K167" i="29"/>
  <c r="L307" i="29"/>
  <c r="K232" i="29"/>
  <c r="L115" i="29"/>
  <c r="L293" i="29"/>
  <c r="K196" i="29"/>
  <c r="L20" i="29"/>
  <c r="K155" i="29"/>
  <c r="L223" i="29"/>
  <c r="K21" i="29"/>
  <c r="L244" i="29"/>
  <c r="L206" i="29"/>
  <c r="K212" i="29"/>
  <c r="L200" i="29"/>
  <c r="L36" i="29"/>
  <c r="L334" i="29"/>
  <c r="K346" i="29"/>
  <c r="L269" i="29"/>
  <c r="K203" i="29"/>
  <c r="K407" i="29"/>
  <c r="L263" i="29"/>
  <c r="L459" i="29"/>
  <c r="L199" i="29"/>
  <c r="L313" i="29"/>
  <c r="K92" i="29"/>
  <c r="K22" i="29"/>
  <c r="K272" i="29"/>
  <c r="K214" i="29"/>
  <c r="K180" i="29"/>
  <c r="L190" i="29"/>
  <c r="K152" i="29"/>
  <c r="K76" i="29"/>
  <c r="L592" i="29"/>
  <c r="L437" i="29"/>
  <c r="L361" i="29"/>
  <c r="L306" i="29"/>
  <c r="L320" i="29"/>
  <c r="K259" i="29"/>
  <c r="K205" i="29"/>
  <c r="K171" i="29"/>
  <c r="L162" i="29"/>
  <c r="K130" i="29"/>
  <c r="L16" i="29"/>
  <c r="L384" i="29"/>
  <c r="L330" i="29"/>
  <c r="K338" i="29"/>
  <c r="L265" i="29"/>
  <c r="L231" i="29"/>
  <c r="L233" i="29"/>
  <c r="K199" i="29"/>
  <c r="K135" i="29"/>
  <c r="L53" i="29"/>
  <c r="L55" i="29"/>
  <c r="L450" i="29"/>
  <c r="L358" i="29"/>
  <c r="L316" i="29"/>
  <c r="L291" i="29"/>
  <c r="L259" i="29"/>
  <c r="L201" i="29"/>
  <c r="K227" i="29"/>
  <c r="K163" i="29"/>
  <c r="L81" i="29"/>
  <c r="L83" i="29"/>
  <c r="K469" i="29"/>
  <c r="K363" i="29"/>
  <c r="K280" i="29"/>
  <c r="K289" i="29"/>
  <c r="K256" i="29"/>
  <c r="K198" i="29"/>
  <c r="L227" i="29"/>
  <c r="L159" i="29"/>
  <c r="K136" i="29"/>
  <c r="K148" i="29"/>
  <c r="K111" i="29"/>
  <c r="L253" i="29"/>
  <c r="L58" i="29"/>
  <c r="K219" i="29"/>
  <c r="L74" i="29"/>
  <c r="L225" i="29"/>
  <c r="K29" i="29"/>
  <c r="K194" i="29"/>
  <c r="K41" i="29"/>
  <c r="L289" i="29"/>
  <c r="K53" i="29"/>
  <c r="L288" i="29"/>
  <c r="K98" i="29"/>
  <c r="K245" i="29"/>
  <c r="K15" i="29"/>
  <c r="L30" i="29"/>
  <c r="L165" i="29"/>
  <c r="K55" i="29"/>
  <c r="K50" i="29"/>
  <c r="L18" i="29"/>
  <c r="L63" i="29"/>
  <c r="K208" i="29"/>
  <c r="K527" i="29"/>
  <c r="L268" i="29"/>
  <c r="K141" i="29"/>
  <c r="K402" i="29"/>
  <c r="K253" i="29"/>
  <c r="L122" i="29"/>
  <c r="K400" i="29"/>
  <c r="K287" i="29"/>
  <c r="L176" i="29"/>
  <c r="L32" i="29"/>
  <c r="K357" i="29"/>
  <c r="K486" i="29"/>
  <c r="L88" i="29"/>
  <c r="L246" i="29"/>
  <c r="L64" i="29"/>
  <c r="L414" i="29"/>
  <c r="L50" i="29"/>
  <c r="K91" i="29"/>
  <c r="K95" i="29"/>
  <c r="K89" i="29"/>
  <c r="K99" i="29"/>
  <c r="K93" i="29"/>
  <c r="K66" i="29"/>
  <c r="K14" i="29"/>
  <c r="K156" i="29"/>
  <c r="L26" i="29"/>
  <c r="L42" i="29"/>
  <c r="K624" i="29"/>
  <c r="K625" i="29"/>
  <c r="L624" i="29"/>
  <c r="L625" i="29"/>
  <c r="Q4" i="29"/>
  <c r="EB212" i="25"/>
  <c r="EA212" i="25"/>
  <c r="DJ212" i="25"/>
  <c r="DI212" i="25"/>
  <c r="DM112" i="25"/>
  <c r="DW112" i="25" s="1"/>
  <c r="EB112" i="25" s="1"/>
  <c r="DB112" i="25"/>
  <c r="DI112" i="25"/>
  <c r="DJ112" i="25"/>
  <c r="CO216" i="25"/>
  <c r="DA216" i="25" s="1"/>
  <c r="DD216" i="25" s="1"/>
  <c r="DE216" i="25" s="1"/>
  <c r="DF216" i="25" s="1"/>
  <c r="DM216" i="25" s="1"/>
  <c r="DW216" i="25" s="1"/>
  <c r="DM219" i="25"/>
  <c r="DW219" i="25" s="1"/>
  <c r="DM229" i="25"/>
  <c r="DW229" i="25" s="1"/>
  <c r="DM163" i="25"/>
  <c r="DW163" i="25" s="1"/>
  <c r="DM184" i="25"/>
  <c r="DW184" i="25" s="1"/>
  <c r="DM297" i="25"/>
  <c r="DW297" i="25" s="1"/>
  <c r="DM224" i="25"/>
  <c r="DW224" i="25" s="1"/>
  <c r="DM152" i="25"/>
  <c r="DW152" i="25" s="1"/>
  <c r="DM135" i="25"/>
  <c r="DW135" i="25" s="1"/>
  <c r="DM166" i="25"/>
  <c r="DW166" i="25" s="1"/>
  <c r="DM69" i="25"/>
  <c r="DW69" i="25" s="1"/>
  <c r="DX5" i="24"/>
  <c r="EE5" i="24" s="1"/>
  <c r="DM207" i="25"/>
  <c r="DW207" i="25" s="1"/>
  <c r="DM192" i="25"/>
  <c r="DW192" i="25" s="1"/>
  <c r="DM204" i="25"/>
  <c r="DW204" i="25" s="1"/>
  <c r="DM201" i="25"/>
  <c r="DW201" i="25" s="1"/>
  <c r="DM142" i="25"/>
  <c r="DW142" i="25" s="1"/>
  <c r="DM151" i="25"/>
  <c r="DW151" i="25" s="1"/>
  <c r="DM209" i="25"/>
  <c r="DW209" i="25" s="1"/>
  <c r="DM237" i="25"/>
  <c r="DW237" i="25" s="1"/>
  <c r="DM196" i="25"/>
  <c r="DW196" i="25" s="1"/>
  <c r="DM76" i="25"/>
  <c r="DW76" i="25" s="1"/>
  <c r="DM61" i="25"/>
  <c r="DW61" i="25" s="1"/>
  <c r="DM240" i="25"/>
  <c r="DW240" i="25" s="1"/>
  <c r="DM221" i="25"/>
  <c r="DW221" i="25" s="1"/>
  <c r="DM222" i="25"/>
  <c r="DW222" i="25" s="1"/>
  <c r="DM53" i="25"/>
  <c r="DW53" i="25" s="1"/>
  <c r="DM238" i="25"/>
  <c r="DW238" i="25" s="1"/>
  <c r="DM273" i="25"/>
  <c r="DW273" i="25" s="1"/>
  <c r="DM270" i="25"/>
  <c r="DW270" i="25" s="1"/>
  <c r="DM288" i="25"/>
  <c r="DW288" i="25" s="1"/>
  <c r="DM104" i="25"/>
  <c r="DW104" i="25" s="1"/>
  <c r="DM183" i="25"/>
  <c r="DW183" i="25" s="1"/>
  <c r="DM75" i="25"/>
  <c r="DW75" i="25" s="1"/>
  <c r="DM149" i="25"/>
  <c r="DW149" i="25" s="1"/>
  <c r="DM125" i="25"/>
  <c r="DW125" i="25" s="1"/>
  <c r="DM223" i="25"/>
  <c r="DW223" i="25" s="1"/>
  <c r="DM165" i="25"/>
  <c r="DW165" i="25" s="1"/>
  <c r="DM162" i="25"/>
  <c r="DW162" i="25" s="1"/>
  <c r="DM188" i="25"/>
  <c r="DW188" i="25" s="1"/>
  <c r="DM182" i="25"/>
  <c r="DW182" i="25" s="1"/>
  <c r="DM274" i="25"/>
  <c r="DW274" i="25" s="1"/>
  <c r="DM255" i="25"/>
  <c r="DW255" i="25" s="1"/>
  <c r="DM62" i="25"/>
  <c r="DW62" i="25" s="1"/>
  <c r="DM268" i="25"/>
  <c r="DW268" i="25" s="1"/>
  <c r="DM303" i="25"/>
  <c r="DW303" i="25" s="1"/>
  <c r="DM113" i="25"/>
  <c r="DW113" i="25" s="1"/>
  <c r="DM159" i="25"/>
  <c r="DW159" i="25" s="1"/>
  <c r="DM63" i="25"/>
  <c r="DW63" i="25" s="1"/>
  <c r="DM10" i="25"/>
  <c r="DW10" i="25" s="1"/>
  <c r="DM312" i="25"/>
  <c r="DW312" i="25" s="1"/>
  <c r="DM282" i="25"/>
  <c r="DW282" i="25" s="1"/>
  <c r="DM57" i="25"/>
  <c r="DW57" i="25" s="1"/>
  <c r="DM54" i="25"/>
  <c r="DW54" i="25" s="1"/>
  <c r="DM246" i="25"/>
  <c r="DW246" i="25" s="1"/>
  <c r="DM260" i="25"/>
  <c r="DW260" i="25" s="1"/>
  <c r="DB10" i="25"/>
  <c r="DB186" i="25"/>
  <c r="DN216" i="24"/>
  <c r="DM315" i="25"/>
  <c r="DW315" i="25" s="1"/>
  <c r="DM197" i="25"/>
  <c r="DW197" i="25" s="1"/>
  <c r="DC198" i="24"/>
  <c r="DM16" i="25"/>
  <c r="DW16" i="25" s="1"/>
  <c r="DM20" i="25"/>
  <c r="DW20" i="25" s="1"/>
  <c r="EE110" i="24"/>
  <c r="DO110" i="24"/>
  <c r="DR110" i="24"/>
  <c r="DO5" i="24"/>
  <c r="DR5" i="24"/>
  <c r="DC216" i="24"/>
  <c r="DB278" i="25"/>
  <c r="DB304" i="25"/>
  <c r="DJ216" i="24"/>
  <c r="DK216" i="24"/>
  <c r="DM205" i="25"/>
  <c r="DW205" i="25" s="1"/>
  <c r="DM85" i="25"/>
  <c r="DW85" i="25" s="1"/>
  <c r="DM150" i="25"/>
  <c r="DW150" i="25" s="1"/>
  <c r="DM309" i="25"/>
  <c r="DW309" i="25" s="1"/>
  <c r="DM195" i="25"/>
  <c r="DW195" i="25" s="1"/>
  <c r="DM186" i="25"/>
  <c r="DW186" i="25" s="1"/>
  <c r="DM281" i="25"/>
  <c r="DW281" i="25" s="1"/>
  <c r="DM28" i="25"/>
  <c r="DW28" i="25" s="1"/>
  <c r="DM134" i="25"/>
  <c r="DW134" i="25" s="1"/>
  <c r="DM202" i="25"/>
  <c r="DW202" i="25" s="1"/>
  <c r="DM41" i="25"/>
  <c r="DW41" i="25" s="1"/>
  <c r="DM234" i="25"/>
  <c r="DW234" i="25" s="1"/>
  <c r="DM160" i="25"/>
  <c r="DW160" i="25" s="1"/>
  <c r="DM316" i="25"/>
  <c r="DW316" i="25" s="1"/>
  <c r="DM286" i="25"/>
  <c r="DW286" i="25" s="1"/>
  <c r="DM304" i="25"/>
  <c r="DW304" i="25" s="1"/>
  <c r="DM130" i="25"/>
  <c r="DW130" i="25" s="1"/>
  <c r="DM231" i="25"/>
  <c r="DW231" i="25" s="1"/>
  <c r="DC183" i="24"/>
  <c r="DC149" i="24"/>
  <c r="DM248" i="25"/>
  <c r="DW248" i="25" s="1"/>
  <c r="DM19" i="25"/>
  <c r="DW19" i="25" s="1"/>
  <c r="DM161" i="25"/>
  <c r="DW161" i="25" s="1"/>
  <c r="DM82" i="25"/>
  <c r="DW82" i="25" s="1"/>
  <c r="DC292" i="24"/>
  <c r="DM155" i="25"/>
  <c r="DW155" i="25" s="1"/>
  <c r="DM30" i="25"/>
  <c r="DW30" i="25" s="1"/>
  <c r="DB310" i="25"/>
  <c r="DB101" i="25"/>
  <c r="DC217" i="24"/>
  <c r="DM46" i="25"/>
  <c r="DW46" i="25" s="1"/>
  <c r="DC165" i="24"/>
  <c r="DB143" i="25"/>
  <c r="DB156" i="25"/>
  <c r="DB140" i="25"/>
  <c r="DB41" i="25"/>
  <c r="DB24" i="25"/>
  <c r="DC288" i="24"/>
  <c r="DB148" i="25"/>
  <c r="DC186" i="24"/>
  <c r="DB279" i="25"/>
  <c r="DM249" i="25"/>
  <c r="DW249" i="25" s="1"/>
  <c r="DM198" i="25"/>
  <c r="DW198" i="25" s="1"/>
  <c r="DM293" i="25"/>
  <c r="DW293" i="25" s="1"/>
  <c r="DM18" i="25"/>
  <c r="DW18" i="25" s="1"/>
  <c r="DM36" i="25"/>
  <c r="DW36" i="25" s="1"/>
  <c r="DM206" i="25"/>
  <c r="DW206" i="25" s="1"/>
  <c r="DM261" i="25"/>
  <c r="DW261" i="25" s="1"/>
  <c r="DB295" i="25"/>
  <c r="DB181" i="25"/>
  <c r="DB71" i="25"/>
  <c r="DB169" i="25"/>
  <c r="DB284" i="25"/>
  <c r="DM218" i="25"/>
  <c r="DW218" i="25" s="1"/>
  <c r="DM31" i="25"/>
  <c r="DW31" i="25" s="1"/>
  <c r="DM118" i="25"/>
  <c r="DW118" i="25" s="1"/>
  <c r="DM73" i="25"/>
  <c r="DW73" i="25" s="1"/>
  <c r="DM220" i="25"/>
  <c r="DW220" i="25" s="1"/>
  <c r="DM114" i="25"/>
  <c r="DW114" i="25" s="1"/>
  <c r="DM172" i="25"/>
  <c r="DW172" i="25" s="1"/>
  <c r="DM52" i="25"/>
  <c r="DW52" i="25" s="1"/>
  <c r="DM133" i="25"/>
  <c r="DW133" i="25" s="1"/>
  <c r="DM94" i="25"/>
  <c r="DW94" i="25" s="1"/>
  <c r="DM264" i="25"/>
  <c r="DW264" i="25" s="1"/>
  <c r="DM278" i="25"/>
  <c r="DW278" i="25" s="1"/>
  <c r="DB27" i="25"/>
  <c r="DB166" i="25"/>
  <c r="DB223" i="25"/>
  <c r="DB44" i="25"/>
  <c r="DB83" i="25"/>
  <c r="DB103" i="25"/>
  <c r="DM258" i="25"/>
  <c r="DW258" i="25" s="1"/>
  <c r="DB73" i="25"/>
  <c r="DB117" i="25"/>
  <c r="DB235" i="25"/>
  <c r="DM21" i="25"/>
  <c r="DW21" i="25" s="1"/>
  <c r="DB150" i="25"/>
  <c r="DB72" i="25"/>
  <c r="DB244" i="25"/>
  <c r="DM247" i="25"/>
  <c r="DW247" i="25" s="1"/>
  <c r="DB268" i="25"/>
  <c r="DB219" i="25"/>
  <c r="DB179" i="25"/>
  <c r="DM243" i="25"/>
  <c r="DW243" i="25" s="1"/>
  <c r="DB200" i="25"/>
  <c r="DB65" i="25"/>
  <c r="DB243" i="25"/>
  <c r="DB218" i="25"/>
  <c r="DB281" i="25"/>
  <c r="DB86" i="25"/>
  <c r="DM116" i="25"/>
  <c r="DW116" i="25" s="1"/>
  <c r="DM115" i="25"/>
  <c r="DW115" i="25" s="1"/>
  <c r="DB255" i="25"/>
  <c r="DM154" i="25"/>
  <c r="DW154" i="25" s="1"/>
  <c r="DM120" i="25"/>
  <c r="DW120" i="25" s="1"/>
  <c r="DM291" i="25"/>
  <c r="DW291" i="25" s="1"/>
  <c r="DM44" i="25"/>
  <c r="DW44" i="25" s="1"/>
  <c r="DM22" i="25"/>
  <c r="DW22" i="25" s="1"/>
  <c r="DB302" i="25"/>
  <c r="DB187" i="25"/>
  <c r="DB90" i="25"/>
  <c r="DB280" i="25"/>
  <c r="DB237" i="25"/>
  <c r="DB269" i="25"/>
  <c r="DB251" i="25"/>
  <c r="DB203" i="25"/>
  <c r="DB192" i="25"/>
  <c r="DM132" i="25"/>
  <c r="DW132" i="25" s="1"/>
  <c r="DM144" i="25"/>
  <c r="DW144" i="25" s="1"/>
  <c r="DM32" i="25"/>
  <c r="DW32" i="25" s="1"/>
  <c r="DB221" i="25"/>
  <c r="DB315" i="25"/>
  <c r="DB32" i="25"/>
  <c r="DM8" i="25"/>
  <c r="DW8" i="25" s="1"/>
  <c r="DM140" i="25"/>
  <c r="DW140" i="25" s="1"/>
  <c r="DM123" i="25"/>
  <c r="DW123" i="25" s="1"/>
  <c r="DB105" i="25"/>
  <c r="DB48" i="25"/>
  <c r="DB276" i="25"/>
  <c r="DB69" i="25"/>
  <c r="DB70" i="25"/>
  <c r="DB222" i="25"/>
  <c r="DB147" i="25"/>
  <c r="DB177" i="25"/>
  <c r="DB263" i="25"/>
  <c r="DB173" i="25"/>
  <c r="DM26" i="25"/>
  <c r="DW26" i="25" s="1"/>
  <c r="DB119" i="25"/>
  <c r="DB277" i="25"/>
  <c r="DB247" i="25"/>
  <c r="DB12" i="25"/>
  <c r="DB241" i="25"/>
  <c r="DM55" i="25"/>
  <c r="DW55" i="25" s="1"/>
  <c r="DB292" i="25"/>
  <c r="DB282" i="25"/>
  <c r="DB76" i="25"/>
  <c r="DB178" i="25"/>
  <c r="DB53" i="25"/>
  <c r="DM84" i="25"/>
  <c r="DW84" i="25" s="1"/>
  <c r="DB135" i="25"/>
  <c r="DB273" i="25"/>
  <c r="DM67" i="25"/>
  <c r="DW67" i="25" s="1"/>
  <c r="DB271" i="25"/>
  <c r="DM146" i="25"/>
  <c r="DW146" i="25" s="1"/>
  <c r="DM271" i="25"/>
  <c r="DW271" i="25" s="1"/>
  <c r="DM310" i="25"/>
  <c r="DW310" i="25" s="1"/>
  <c r="DM102" i="25"/>
  <c r="DW102" i="25" s="1"/>
  <c r="DB306" i="25"/>
  <c r="DB64" i="25"/>
  <c r="DM117" i="25"/>
  <c r="DW117" i="25" s="1"/>
  <c r="DB313" i="25"/>
  <c r="DB189" i="25"/>
  <c r="DM265" i="25"/>
  <c r="DW265" i="25" s="1"/>
  <c r="DB145" i="25"/>
  <c r="DB283" i="25"/>
  <c r="DB260" i="25"/>
  <c r="DB195" i="25"/>
  <c r="DM39" i="25"/>
  <c r="DW39" i="25" s="1"/>
  <c r="DB246" i="25"/>
  <c r="DB230" i="25"/>
  <c r="DB75" i="25"/>
  <c r="DB125" i="25"/>
  <c r="DM153" i="25"/>
  <c r="DW153" i="25" s="1"/>
  <c r="DB33" i="25"/>
  <c r="DB14" i="25"/>
  <c r="DB122" i="25"/>
  <c r="DB316" i="25"/>
  <c r="DB248" i="25"/>
  <c r="DB56" i="25"/>
  <c r="DB97" i="25"/>
  <c r="DM167" i="25"/>
  <c r="DW167" i="25" s="1"/>
  <c r="DM176" i="25"/>
  <c r="DW176" i="25" s="1"/>
  <c r="DM50" i="25"/>
  <c r="DW50" i="25" s="1"/>
  <c r="DM124" i="25"/>
  <c r="DW124" i="25" s="1"/>
  <c r="DM148" i="25"/>
  <c r="DW148" i="25" s="1"/>
  <c r="DB239" i="25"/>
  <c r="DB88" i="25"/>
  <c r="DB228" i="25"/>
  <c r="DM68" i="25"/>
  <c r="DW68" i="25" s="1"/>
  <c r="DB87" i="25"/>
  <c r="DM11" i="25"/>
  <c r="DW11" i="25" s="1"/>
  <c r="DB194" i="25"/>
  <c r="DB114" i="25"/>
  <c r="DB132" i="25"/>
  <c r="DM299" i="25"/>
  <c r="DW299" i="25" s="1"/>
  <c r="DB165" i="25"/>
  <c r="DM307" i="25"/>
  <c r="DW307" i="25" s="1"/>
  <c r="DB182" i="25"/>
  <c r="DB245" i="25"/>
  <c r="DB275" i="25"/>
  <c r="DB175" i="25"/>
  <c r="DB184" i="25"/>
  <c r="DB185" i="25"/>
  <c r="DB126" i="25"/>
  <c r="DM236" i="25"/>
  <c r="DW236" i="25" s="1"/>
  <c r="DB294" i="25"/>
  <c r="DB301" i="25"/>
  <c r="DB39" i="25"/>
  <c r="DB307" i="25"/>
  <c r="DB297" i="25"/>
  <c r="DB261" i="25"/>
  <c r="DB231" i="25"/>
  <c r="DB80" i="25"/>
  <c r="DM71" i="25"/>
  <c r="DW71" i="25" s="1"/>
  <c r="DB224" i="25"/>
  <c r="DB92" i="25"/>
  <c r="DB137" i="25"/>
  <c r="DB78" i="25"/>
  <c r="DM296" i="25"/>
  <c r="DW296" i="25" s="1"/>
  <c r="DB9" i="25"/>
  <c r="DB204" i="25"/>
  <c r="DC308" i="24"/>
  <c r="DC121" i="24"/>
  <c r="DC119" i="24"/>
  <c r="DC173" i="24"/>
  <c r="DC230" i="24"/>
  <c r="DC309" i="24"/>
  <c r="DC298" i="24"/>
  <c r="DC116" i="24"/>
  <c r="DC157" i="24"/>
  <c r="DC272" i="24"/>
  <c r="DJ219" i="25"/>
  <c r="DI219" i="25"/>
  <c r="DJ167" i="25"/>
  <c r="DI167" i="25"/>
  <c r="DJ303" i="25"/>
  <c r="DI303" i="25"/>
  <c r="DJ183" i="25"/>
  <c r="DI183" i="25"/>
  <c r="DJ8" i="25"/>
  <c r="DI8" i="25"/>
  <c r="DJ118" i="25"/>
  <c r="DI118" i="25"/>
  <c r="DJ104" i="25"/>
  <c r="DI104" i="25"/>
  <c r="DJ238" i="25"/>
  <c r="DI238" i="25"/>
  <c r="DM77" i="25"/>
  <c r="DJ186" i="25"/>
  <c r="DI186" i="25"/>
  <c r="DM136" i="25"/>
  <c r="DB22" i="25"/>
  <c r="DJ222" i="25"/>
  <c r="DI222" i="25"/>
  <c r="DJ245" i="25"/>
  <c r="DI245" i="25"/>
  <c r="DJ126" i="25"/>
  <c r="DI126" i="25"/>
  <c r="DJ129" i="25"/>
  <c r="DI129" i="25"/>
  <c r="DJ218" i="25"/>
  <c r="DI218" i="25"/>
  <c r="DJ209" i="25"/>
  <c r="DI209" i="25"/>
  <c r="DJ24" i="25"/>
  <c r="DI24" i="25"/>
  <c r="DB59" i="25"/>
  <c r="DJ185" i="25"/>
  <c r="DI185" i="25"/>
  <c r="DJ39" i="25"/>
  <c r="DI39" i="25"/>
  <c r="DB198" i="25"/>
  <c r="DM290" i="25"/>
  <c r="DW290" i="25" s="1"/>
  <c r="DB180" i="25"/>
  <c r="DM193" i="25"/>
  <c r="DB49" i="25"/>
  <c r="DB115" i="25"/>
  <c r="DJ66" i="25"/>
  <c r="DI66" i="25"/>
  <c r="DJ285" i="25"/>
  <c r="DI285" i="25"/>
  <c r="DJ131" i="25"/>
  <c r="DI131" i="25"/>
  <c r="DB258" i="25"/>
  <c r="DM141" i="25"/>
  <c r="DJ53" i="25"/>
  <c r="DI53" i="25"/>
  <c r="DM266" i="25"/>
  <c r="DW266" i="25" s="1"/>
  <c r="DM254" i="25"/>
  <c r="DW254" i="25" s="1"/>
  <c r="DJ44" i="25"/>
  <c r="DI44" i="25"/>
  <c r="DB133" i="25"/>
  <c r="DB267" i="25"/>
  <c r="DM228" i="25"/>
  <c r="DW228" i="25" s="1"/>
  <c r="DJ200" i="25"/>
  <c r="DI200" i="25"/>
  <c r="DJ168" i="25"/>
  <c r="DI168" i="25"/>
  <c r="DB205" i="25"/>
  <c r="DJ102" i="25"/>
  <c r="DI102" i="25"/>
  <c r="DM306" i="25"/>
  <c r="DW306" i="25" s="1"/>
  <c r="DJ283" i="25"/>
  <c r="DI283" i="25"/>
  <c r="DB303" i="25"/>
  <c r="DJ280" i="25"/>
  <c r="DI280" i="25"/>
  <c r="DM251" i="25"/>
  <c r="DW251" i="25" s="1"/>
  <c r="DM257" i="25"/>
  <c r="DW257" i="25" s="1"/>
  <c r="DM314" i="25"/>
  <c r="DW314" i="25" s="1"/>
  <c r="DM158" i="25"/>
  <c r="DB264" i="25"/>
  <c r="DJ80" i="25"/>
  <c r="DI80" i="25"/>
  <c r="DM226" i="25"/>
  <c r="DW226" i="25" s="1"/>
  <c r="DM15" i="25"/>
  <c r="DM78" i="25"/>
  <c r="DM190" i="25"/>
  <c r="DM164" i="25"/>
  <c r="DJ174" i="25"/>
  <c r="DI174" i="25"/>
  <c r="DJ269" i="25"/>
  <c r="DI269" i="25"/>
  <c r="DJ7" i="25"/>
  <c r="DI7" i="25"/>
  <c r="DJ233" i="25"/>
  <c r="DI233" i="25"/>
  <c r="DJ113" i="25"/>
  <c r="DI113" i="25"/>
  <c r="DB262" i="25"/>
  <c r="DJ288" i="25"/>
  <c r="DI288" i="25"/>
  <c r="DJ176" i="25"/>
  <c r="DI176" i="25"/>
  <c r="DB96" i="25"/>
  <c r="DJ246" i="25"/>
  <c r="DI246" i="25"/>
  <c r="DJ114" i="25"/>
  <c r="DI114" i="25"/>
  <c r="DJ172" i="25"/>
  <c r="DI172" i="25"/>
  <c r="DJ19" i="25"/>
  <c r="DI19" i="25"/>
  <c r="DB52" i="25"/>
  <c r="DB161" i="25"/>
  <c r="DM74" i="25"/>
  <c r="DJ101" i="25"/>
  <c r="DI101" i="25"/>
  <c r="DB168" i="25"/>
  <c r="DJ205" i="25"/>
  <c r="DI205" i="25"/>
  <c r="DB138" i="25"/>
  <c r="DB102" i="25"/>
  <c r="DB57" i="25"/>
  <c r="DJ221" i="25"/>
  <c r="DI221" i="25"/>
  <c r="DJ77" i="25"/>
  <c r="DI77" i="25"/>
  <c r="DB254" i="25"/>
  <c r="DJ136" i="25"/>
  <c r="DI136" i="25"/>
  <c r="DJ124" i="25"/>
  <c r="DI124" i="25"/>
  <c r="DB17" i="25"/>
  <c r="DM171" i="25"/>
  <c r="DB227" i="25"/>
  <c r="DB290" i="25"/>
  <c r="DM129" i="25"/>
  <c r="DB136" i="25"/>
  <c r="DB170" i="25"/>
  <c r="DM252" i="25"/>
  <c r="DW252" i="25" s="1"/>
  <c r="DJ273" i="25"/>
  <c r="DI273" i="25"/>
  <c r="DM185" i="25"/>
  <c r="DM300" i="25"/>
  <c r="DW300" i="25" s="1"/>
  <c r="DB30" i="25"/>
  <c r="DJ270" i="25"/>
  <c r="DI270" i="25"/>
  <c r="DJ18" i="25"/>
  <c r="DI18" i="25"/>
  <c r="DB77" i="25"/>
  <c r="DB123" i="25"/>
  <c r="DM93" i="25"/>
  <c r="DJ290" i="25"/>
  <c r="DI290" i="25"/>
  <c r="DJ197" i="25"/>
  <c r="DI197" i="25"/>
  <c r="DJ96" i="25"/>
  <c r="DI96" i="25"/>
  <c r="DB139" i="25"/>
  <c r="DB256" i="25"/>
  <c r="DM72" i="25"/>
  <c r="DB93" i="25"/>
  <c r="DB190" i="25"/>
  <c r="DM66" i="25"/>
  <c r="DB74" i="25"/>
  <c r="DM285" i="25"/>
  <c r="DW285" i="25" s="1"/>
  <c r="DJ152" i="25"/>
  <c r="DI152" i="25"/>
  <c r="DJ135" i="25"/>
  <c r="DI135" i="25"/>
  <c r="DB197" i="25"/>
  <c r="DJ6" i="25"/>
  <c r="DI6" i="25"/>
  <c r="DB98" i="25"/>
  <c r="DB188" i="25"/>
  <c r="DM170" i="25"/>
  <c r="DJ268" i="25"/>
  <c r="DI268" i="25"/>
  <c r="DB46" i="25"/>
  <c r="DJ141" i="25"/>
  <c r="DI141" i="25"/>
  <c r="DB50" i="25"/>
  <c r="DJ294" i="25"/>
  <c r="DI294" i="25"/>
  <c r="DJ295" i="25"/>
  <c r="DI295" i="25"/>
  <c r="DB174" i="25"/>
  <c r="DB288" i="25"/>
  <c r="DJ228" i="25"/>
  <c r="DI228" i="25"/>
  <c r="DM138" i="25"/>
  <c r="DM311" i="25"/>
  <c r="DW311" i="25" s="1"/>
  <c r="DB274" i="25"/>
  <c r="DM168" i="25"/>
  <c r="DM217" i="25"/>
  <c r="DW217" i="25" s="1"/>
  <c r="DB127" i="25"/>
  <c r="DJ306" i="25"/>
  <c r="DI306" i="25"/>
  <c r="DJ64" i="25"/>
  <c r="DI64" i="25"/>
  <c r="DJ234" i="25"/>
  <c r="DI234" i="25"/>
  <c r="DI132" i="25"/>
  <c r="DJ132" i="25"/>
  <c r="DB120" i="25"/>
  <c r="DM280" i="25"/>
  <c r="DW280" i="25" s="1"/>
  <c r="DJ251" i="25"/>
  <c r="DI251" i="25"/>
  <c r="DB152" i="25"/>
  <c r="DJ314" i="25"/>
  <c r="DI314" i="25"/>
  <c r="DJ231" i="25"/>
  <c r="DI231" i="25"/>
  <c r="DJ158" i="25"/>
  <c r="DI158" i="25"/>
  <c r="DJ304" i="25"/>
  <c r="DI304" i="25"/>
  <c r="DM80" i="25"/>
  <c r="DM45" i="25"/>
  <c r="DJ226" i="25"/>
  <c r="DI226" i="25"/>
  <c r="DJ15" i="25"/>
  <c r="DI15" i="25"/>
  <c r="DB31" i="25"/>
  <c r="DJ210" i="25"/>
  <c r="DI210" i="25"/>
  <c r="DM56" i="25"/>
  <c r="DB61" i="25"/>
  <c r="DJ164" i="25"/>
  <c r="DI164" i="25"/>
  <c r="DJ60" i="25"/>
  <c r="DI60" i="25"/>
  <c r="DM233" i="25"/>
  <c r="DW233" i="25" s="1"/>
  <c r="DJ62" i="25"/>
  <c r="DI62" i="25"/>
  <c r="DJ21" i="25"/>
  <c r="DI21" i="25"/>
  <c r="DB252" i="25"/>
  <c r="DB172" i="25"/>
  <c r="DJ74" i="25"/>
  <c r="DI74" i="25"/>
  <c r="DJ94" i="25"/>
  <c r="DI94" i="25"/>
  <c r="DB47" i="25"/>
  <c r="DJ117" i="25"/>
  <c r="DI117" i="25"/>
  <c r="DB199" i="25"/>
  <c r="DB104" i="25"/>
  <c r="DJ165" i="25"/>
  <c r="DI165" i="25"/>
  <c r="DJ50" i="25"/>
  <c r="DI50" i="25"/>
  <c r="DJ73" i="25"/>
  <c r="DI73" i="25"/>
  <c r="DJ71" i="25"/>
  <c r="DI71" i="25"/>
  <c r="DJ116" i="25"/>
  <c r="DI116" i="25"/>
  <c r="DJ229" i="25"/>
  <c r="DI229" i="25"/>
  <c r="DJ223" i="25"/>
  <c r="DI223" i="25"/>
  <c r="DJ115" i="25"/>
  <c r="DI115" i="25"/>
  <c r="DM139" i="25"/>
  <c r="DJ278" i="25"/>
  <c r="DI278" i="25"/>
  <c r="DJ171" i="25"/>
  <c r="DI171" i="25"/>
  <c r="DB289" i="25"/>
  <c r="DJ161" i="25"/>
  <c r="DI161" i="25"/>
  <c r="DB94" i="25"/>
  <c r="DJ252" i="25"/>
  <c r="DI252" i="25"/>
  <c r="DJ300" i="25"/>
  <c r="DI300" i="25"/>
  <c r="DB293" i="25"/>
  <c r="DJ93" i="25"/>
  <c r="DI93" i="25"/>
  <c r="DB20" i="25"/>
  <c r="DB129" i="25"/>
  <c r="DM145" i="25"/>
  <c r="DM96" i="25"/>
  <c r="DJ72" i="25"/>
  <c r="DI72" i="25"/>
  <c r="DM301" i="25"/>
  <c r="DW301" i="25" s="1"/>
  <c r="DJ30" i="25"/>
  <c r="DI30" i="25"/>
  <c r="DB79" i="25"/>
  <c r="DM253" i="25"/>
  <c r="DW253" i="25" s="1"/>
  <c r="DB233" i="25"/>
  <c r="DJ201" i="25"/>
  <c r="DI201" i="25"/>
  <c r="DB209" i="25"/>
  <c r="DJ307" i="25"/>
  <c r="DI307" i="25"/>
  <c r="DW6" i="25"/>
  <c r="DJ54" i="25"/>
  <c r="DI54" i="25"/>
  <c r="DB68" i="25"/>
  <c r="DM128" i="25"/>
  <c r="DJ170" i="25"/>
  <c r="DI170" i="25"/>
  <c r="DJ316" i="25"/>
  <c r="DI316" i="25"/>
  <c r="DB23" i="25"/>
  <c r="DB142" i="25"/>
  <c r="DB193" i="25"/>
  <c r="DB202" i="25"/>
  <c r="DM38" i="25"/>
  <c r="DB91" i="25"/>
  <c r="DM294" i="25"/>
  <c r="DW294" i="25" s="1"/>
  <c r="DB124" i="25"/>
  <c r="DM295" i="25"/>
  <c r="DW295" i="25" s="1"/>
  <c r="DM40" i="25"/>
  <c r="DJ138" i="25"/>
  <c r="DI138" i="25"/>
  <c r="DJ311" i="25"/>
  <c r="DI311" i="25"/>
  <c r="DM143" i="25"/>
  <c r="DJ217" i="25"/>
  <c r="DI217" i="25"/>
  <c r="DM27" i="25"/>
  <c r="DB18" i="25"/>
  <c r="DM64" i="25"/>
  <c r="DJ79" i="25"/>
  <c r="DI79" i="25"/>
  <c r="DM9" i="25"/>
  <c r="DB11" i="25"/>
  <c r="DM99" i="25"/>
  <c r="DM292" i="25"/>
  <c r="DW292" i="25" s="1"/>
  <c r="DM47" i="25"/>
  <c r="DM173" i="25"/>
  <c r="DB131" i="25"/>
  <c r="DB291" i="25"/>
  <c r="DM35" i="25"/>
  <c r="DM277" i="25"/>
  <c r="DW277" i="25" s="1"/>
  <c r="DM83" i="25"/>
  <c r="DB67" i="25"/>
  <c r="DJ45" i="25"/>
  <c r="DI45" i="25"/>
  <c r="DB229" i="25"/>
  <c r="DM105" i="25"/>
  <c r="DB35" i="25"/>
  <c r="DB206" i="25"/>
  <c r="DM210" i="25"/>
  <c r="DJ56" i="25"/>
  <c r="DI56" i="25"/>
  <c r="DB196" i="25"/>
  <c r="DM60" i="25"/>
  <c r="DM276" i="25"/>
  <c r="DW276" i="25" s="1"/>
  <c r="DJ155" i="25"/>
  <c r="DI155" i="25"/>
  <c r="DJ162" i="25"/>
  <c r="DI162" i="25"/>
  <c r="DM88" i="25"/>
  <c r="DJ291" i="25"/>
  <c r="DI291" i="25"/>
  <c r="DJ28" i="25"/>
  <c r="DI28" i="25"/>
  <c r="DJ142" i="25"/>
  <c r="DI142" i="25"/>
  <c r="DJ61" i="25"/>
  <c r="DI61" i="25"/>
  <c r="DJ151" i="25"/>
  <c r="DI151" i="25"/>
  <c r="DJ204" i="25"/>
  <c r="DI204" i="25"/>
  <c r="DJ139" i="25"/>
  <c r="DI139" i="25"/>
  <c r="DJ159" i="25"/>
  <c r="DI159" i="25"/>
  <c r="DM17" i="25"/>
  <c r="DJ52" i="25"/>
  <c r="DI52" i="25"/>
  <c r="DJ133" i="25"/>
  <c r="DI133" i="25"/>
  <c r="DJ55" i="25"/>
  <c r="DI55" i="25"/>
  <c r="DJ247" i="25"/>
  <c r="DI247" i="25"/>
  <c r="DJ282" i="25"/>
  <c r="DI282" i="25"/>
  <c r="DI145" i="25"/>
  <c r="DJ145" i="25"/>
  <c r="DJ301" i="25"/>
  <c r="DI301" i="25"/>
  <c r="DJ253" i="25"/>
  <c r="DI253" i="25"/>
  <c r="DJ36" i="25"/>
  <c r="DI36" i="25"/>
  <c r="DJ46" i="25"/>
  <c r="DI46" i="25"/>
  <c r="DJ153" i="25"/>
  <c r="DI153" i="25"/>
  <c r="DM225" i="25"/>
  <c r="DW225" i="25" s="1"/>
  <c r="DJ208" i="25"/>
  <c r="DI208" i="25"/>
  <c r="DJ38" i="25"/>
  <c r="DI38" i="25"/>
  <c r="DM262" i="25"/>
  <c r="DW262" i="25" s="1"/>
  <c r="DM100" i="25"/>
  <c r="DM70" i="25"/>
  <c r="DJ40" i="25"/>
  <c r="DI40" i="25"/>
  <c r="DJ87" i="25"/>
  <c r="DI87" i="25"/>
  <c r="DJ143" i="25"/>
  <c r="DI143" i="25"/>
  <c r="DJ27" i="25"/>
  <c r="DI27" i="25"/>
  <c r="DJ31" i="25"/>
  <c r="DI31" i="25"/>
  <c r="DM175" i="25"/>
  <c r="DI286" i="25"/>
  <c r="DJ286" i="25"/>
  <c r="DJ166" i="25"/>
  <c r="DI166" i="25"/>
  <c r="DM79" i="25"/>
  <c r="DJ9" i="25"/>
  <c r="DI9" i="25"/>
  <c r="DJ99" i="25"/>
  <c r="DI99" i="25"/>
  <c r="DJ144" i="25"/>
  <c r="DI144" i="25"/>
  <c r="DJ292" i="25"/>
  <c r="DI292" i="25"/>
  <c r="DJ47" i="25"/>
  <c r="DI47" i="25"/>
  <c r="DJ173" i="25"/>
  <c r="DI173" i="25"/>
  <c r="DM259" i="25"/>
  <c r="DW259" i="25" s="1"/>
  <c r="DJ35" i="25"/>
  <c r="DI35" i="25"/>
  <c r="DJ277" i="25"/>
  <c r="DI277" i="25"/>
  <c r="DJ83" i="25"/>
  <c r="DI83" i="25"/>
  <c r="DJ275" i="25"/>
  <c r="DI275" i="25"/>
  <c r="DJ105" i="25"/>
  <c r="DI105" i="25"/>
  <c r="DJ32" i="25"/>
  <c r="DI32" i="25"/>
  <c r="DJ239" i="25"/>
  <c r="DI239" i="25"/>
  <c r="DM127" i="25"/>
  <c r="DJ276" i="25"/>
  <c r="DI276" i="25"/>
  <c r="DB232" i="25"/>
  <c r="DB314" i="25"/>
  <c r="DJ146" i="25"/>
  <c r="DI146" i="25"/>
  <c r="DJ88" i="25"/>
  <c r="DI88" i="25"/>
  <c r="DJ274" i="25"/>
  <c r="DI274" i="25"/>
  <c r="DB159" i="25"/>
  <c r="DB25" i="25"/>
  <c r="DJ260" i="25"/>
  <c r="DI260" i="25"/>
  <c r="DB153" i="25"/>
  <c r="DB242" i="25"/>
  <c r="DB149" i="25"/>
  <c r="DJ264" i="25"/>
  <c r="DI264" i="25"/>
  <c r="DJ207" i="25"/>
  <c r="DI207" i="25"/>
  <c r="DB128" i="25"/>
  <c r="DJ198" i="25"/>
  <c r="DI198" i="25"/>
  <c r="DB58" i="25"/>
  <c r="DM242" i="25"/>
  <c r="DW242" i="25" s="1"/>
  <c r="DB183" i="25"/>
  <c r="DJ255" i="25"/>
  <c r="DI255" i="25"/>
  <c r="DJ196" i="25"/>
  <c r="DI196" i="25"/>
  <c r="DB146" i="25"/>
  <c r="DJ297" i="25"/>
  <c r="DI297" i="25"/>
  <c r="DB100" i="25"/>
  <c r="DJ17" i="25"/>
  <c r="DI17" i="25"/>
  <c r="DM48" i="25"/>
  <c r="DB272" i="25"/>
  <c r="DJ148" i="25"/>
  <c r="DI148" i="25"/>
  <c r="DJ188" i="25"/>
  <c r="DI188" i="25"/>
  <c r="DJ177" i="25"/>
  <c r="DI177" i="25"/>
  <c r="DB42" i="25"/>
  <c r="DJ235" i="25"/>
  <c r="DI235" i="25"/>
  <c r="DJ298" i="25"/>
  <c r="DI298" i="25"/>
  <c r="DB296" i="25"/>
  <c r="DJ85" i="25"/>
  <c r="DI85" i="25"/>
  <c r="DB8" i="25"/>
  <c r="DB43" i="25"/>
  <c r="DJ125" i="25"/>
  <c r="DI125" i="25"/>
  <c r="DB38" i="25"/>
  <c r="DB81" i="25"/>
  <c r="DB171" i="25"/>
  <c r="DJ150" i="25"/>
  <c r="DI150" i="25"/>
  <c r="DJ22" i="25"/>
  <c r="DI22" i="25"/>
  <c r="DM86" i="25"/>
  <c r="DJ149" i="25"/>
  <c r="DI149" i="25"/>
  <c r="DM12" i="25"/>
  <c r="DJ49" i="25"/>
  <c r="DI49" i="25"/>
  <c r="DB151" i="25"/>
  <c r="DB285" i="25"/>
  <c r="DJ310" i="25"/>
  <c r="DI310" i="25"/>
  <c r="DJ128" i="25"/>
  <c r="DI128" i="25"/>
  <c r="DB28" i="25"/>
  <c r="DM89" i="25"/>
  <c r="DM305" i="25"/>
  <c r="DW305" i="25" s="1"/>
  <c r="DJ279" i="25"/>
  <c r="DI279" i="25"/>
  <c r="DB141" i="25"/>
  <c r="DJ225" i="25"/>
  <c r="DI225" i="25"/>
  <c r="DJ123" i="25"/>
  <c r="DI123" i="25"/>
  <c r="DB37" i="25"/>
  <c r="DM208" i="25"/>
  <c r="DJ248" i="25"/>
  <c r="DI248" i="25"/>
  <c r="DB240" i="25"/>
  <c r="DM157" i="25"/>
  <c r="DM23" i="25"/>
  <c r="DJ262" i="25"/>
  <c r="DI262" i="25"/>
  <c r="DB36" i="25"/>
  <c r="DJ100" i="25"/>
  <c r="DI100" i="25"/>
  <c r="DJ70" i="25"/>
  <c r="DI70" i="25"/>
  <c r="DB118" i="25"/>
  <c r="DB113" i="25"/>
  <c r="DB116" i="25"/>
  <c r="DM87" i="25"/>
  <c r="DM156" i="25"/>
  <c r="DJ249" i="25"/>
  <c r="DI249" i="25"/>
  <c r="DJ199" i="25"/>
  <c r="DI199" i="25"/>
  <c r="DJ175" i="25"/>
  <c r="DI175" i="25"/>
  <c r="DJ289" i="25"/>
  <c r="DI289" i="25"/>
  <c r="DB54" i="25"/>
  <c r="DB249" i="25"/>
  <c r="DJ84" i="25"/>
  <c r="DI84" i="25"/>
  <c r="DB84" i="25"/>
  <c r="DJ187" i="25"/>
  <c r="DI187" i="25"/>
  <c r="DJ65" i="25"/>
  <c r="DI65" i="25"/>
  <c r="DJ41" i="25"/>
  <c r="DI41" i="25"/>
  <c r="DM267" i="25"/>
  <c r="DW267" i="25" s="1"/>
  <c r="DJ259" i="25"/>
  <c r="DI259" i="25"/>
  <c r="DM98" i="25"/>
  <c r="DB26" i="25"/>
  <c r="DM302" i="25"/>
  <c r="DW302" i="25" s="1"/>
  <c r="DJ67" i="25"/>
  <c r="DI67" i="25"/>
  <c r="DM275" i="25"/>
  <c r="DW275" i="25" s="1"/>
  <c r="DB167" i="25"/>
  <c r="DB16" i="25"/>
  <c r="DB62" i="25"/>
  <c r="DB312" i="25"/>
  <c r="DM239" i="25"/>
  <c r="DW239" i="25" s="1"/>
  <c r="DJ206" i="25"/>
  <c r="DI206" i="25"/>
  <c r="DB160" i="25"/>
  <c r="DB99" i="25"/>
  <c r="DJ57" i="25"/>
  <c r="DI57" i="25"/>
  <c r="DJ203" i="25"/>
  <c r="DI203" i="25"/>
  <c r="DJ122" i="25"/>
  <c r="DI122" i="25"/>
  <c r="DJ261" i="25"/>
  <c r="DI261" i="25"/>
  <c r="DJ315" i="25"/>
  <c r="DI315" i="25"/>
  <c r="DJ194" i="25"/>
  <c r="DI194" i="25"/>
  <c r="DM25" i="25"/>
  <c r="DJ69" i="25"/>
  <c r="DI69" i="25"/>
  <c r="DJ243" i="25"/>
  <c r="DI243" i="25"/>
  <c r="DJ230" i="25"/>
  <c r="DI230" i="25"/>
  <c r="DJ242" i="25"/>
  <c r="DI242" i="25"/>
  <c r="DM169" i="25"/>
  <c r="DJ192" i="25"/>
  <c r="DI192" i="25"/>
  <c r="DJ236" i="25"/>
  <c r="DI236" i="25"/>
  <c r="DM13" i="25"/>
  <c r="DJ48" i="25"/>
  <c r="DI48" i="25"/>
  <c r="DJ237" i="25"/>
  <c r="DI237" i="25"/>
  <c r="DJ63" i="25"/>
  <c r="DI63" i="25"/>
  <c r="DJ182" i="25"/>
  <c r="DI182" i="25"/>
  <c r="DM177" i="25"/>
  <c r="DJ163" i="25"/>
  <c r="DI163" i="25"/>
  <c r="DM235" i="25"/>
  <c r="DW235" i="25" s="1"/>
  <c r="DJ160" i="25"/>
  <c r="DI160" i="25"/>
  <c r="DM298" i="25"/>
  <c r="DW298" i="25" s="1"/>
  <c r="DJ51" i="25"/>
  <c r="DI51" i="25"/>
  <c r="DJ154" i="25"/>
  <c r="DI154" i="25"/>
  <c r="DJ240" i="25"/>
  <c r="DI240" i="25"/>
  <c r="DJ86" i="25"/>
  <c r="DI86" i="25"/>
  <c r="DJ130" i="25"/>
  <c r="DI130" i="25"/>
  <c r="DJ12" i="25"/>
  <c r="DI12" i="25"/>
  <c r="DM49" i="25"/>
  <c r="DM250" i="25"/>
  <c r="DW250" i="25" s="1"/>
  <c r="DJ89" i="25"/>
  <c r="DI89" i="25"/>
  <c r="DJ305" i="25"/>
  <c r="DI305" i="25"/>
  <c r="DJ256" i="25"/>
  <c r="DI256" i="25"/>
  <c r="DJ189" i="25"/>
  <c r="DI189" i="25"/>
  <c r="DJ178" i="25"/>
  <c r="DI178" i="25"/>
  <c r="DM90" i="25"/>
  <c r="DJ134" i="25"/>
  <c r="DI134" i="25"/>
  <c r="DJ157" i="25"/>
  <c r="DI157" i="25"/>
  <c r="DJ23" i="25"/>
  <c r="DI23" i="25"/>
  <c r="DM308" i="25"/>
  <c r="DW308" i="25" s="1"/>
  <c r="DM37" i="25"/>
  <c r="DJ111" i="25"/>
  <c r="DI111" i="25"/>
  <c r="DJ220" i="25"/>
  <c r="DI220" i="25"/>
  <c r="DJ156" i="25"/>
  <c r="DI156" i="25"/>
  <c r="DM199" i="25"/>
  <c r="DJ76" i="25"/>
  <c r="DI76" i="25"/>
  <c r="DM289" i="25"/>
  <c r="DW289" i="25" s="1"/>
  <c r="DM187" i="25"/>
  <c r="DM65" i="25"/>
  <c r="DM244" i="25"/>
  <c r="DW244" i="25" s="1"/>
  <c r="DM91" i="25"/>
  <c r="DJ267" i="25"/>
  <c r="DI267" i="25"/>
  <c r="DB286" i="25"/>
  <c r="DB311" i="25"/>
  <c r="DJ98" i="25"/>
  <c r="DI98" i="25"/>
  <c r="DJ302" i="25"/>
  <c r="DI302" i="25"/>
  <c r="DM191" i="25"/>
  <c r="DM147" i="25"/>
  <c r="DM92" i="25"/>
  <c r="DM14" i="25"/>
  <c r="DM203" i="25"/>
  <c r="DM122" i="25"/>
  <c r="DB89" i="25"/>
  <c r="DB55" i="25"/>
  <c r="DJ82" i="25"/>
  <c r="DI82" i="25"/>
  <c r="DM194" i="25"/>
  <c r="DB225" i="25"/>
  <c r="DB40" i="25"/>
  <c r="DJ20" i="25"/>
  <c r="DI20" i="25"/>
  <c r="DJ25" i="25"/>
  <c r="DI25" i="25"/>
  <c r="DB60" i="25"/>
  <c r="DB15" i="25"/>
  <c r="DJ309" i="25"/>
  <c r="DI309" i="25"/>
  <c r="DM313" i="25"/>
  <c r="DW313" i="25" s="1"/>
  <c r="DB29" i="25"/>
  <c r="DB298" i="25"/>
  <c r="DJ16" i="25"/>
  <c r="DI16" i="25"/>
  <c r="DM81" i="25"/>
  <c r="DB85" i="25"/>
  <c r="DM230" i="25"/>
  <c r="DW230" i="25" s="1"/>
  <c r="DB176" i="25"/>
  <c r="DJ195" i="25"/>
  <c r="DI195" i="25"/>
  <c r="DJ265" i="25"/>
  <c r="DI265" i="25"/>
  <c r="DJ169" i="25"/>
  <c r="DI169" i="25"/>
  <c r="DB253" i="25"/>
  <c r="DM272" i="25"/>
  <c r="DW272" i="25" s="1"/>
  <c r="DJ287" i="25"/>
  <c r="DI287" i="25"/>
  <c r="DJ140" i="25"/>
  <c r="DI140" i="25"/>
  <c r="DJ13" i="25"/>
  <c r="DI13" i="25"/>
  <c r="DB287" i="25"/>
  <c r="DM137" i="25"/>
  <c r="DM181" i="25"/>
  <c r="DJ184" i="25"/>
  <c r="DI184" i="25"/>
  <c r="DM227" i="25"/>
  <c r="DW227" i="25" s="1"/>
  <c r="DB121" i="25"/>
  <c r="DB21" i="25"/>
  <c r="DB45" i="25"/>
  <c r="DJ68" i="25"/>
  <c r="DI68" i="25"/>
  <c r="DB191" i="25"/>
  <c r="DM51" i="25"/>
  <c r="DB208" i="25"/>
  <c r="DJ258" i="25"/>
  <c r="DI258" i="25"/>
  <c r="DB130" i="25"/>
  <c r="DJ271" i="25"/>
  <c r="DI271" i="25"/>
  <c r="DB13" i="25"/>
  <c r="DB308" i="25"/>
  <c r="DM33" i="25"/>
  <c r="DB305" i="25"/>
  <c r="DJ250" i="25"/>
  <c r="DI250" i="25"/>
  <c r="DB266" i="25"/>
  <c r="DB34" i="25"/>
  <c r="DB250" i="25"/>
  <c r="DM263" i="25"/>
  <c r="DW263" i="25" s="1"/>
  <c r="DB309" i="25"/>
  <c r="DM119" i="25"/>
  <c r="DB257" i="25"/>
  <c r="DM121" i="25"/>
  <c r="DM256" i="25"/>
  <c r="DW256" i="25" s="1"/>
  <c r="DM189" i="25"/>
  <c r="DM178" i="25"/>
  <c r="DJ90" i="25"/>
  <c r="DI90" i="25"/>
  <c r="DB95" i="25"/>
  <c r="DM43" i="25"/>
  <c r="DB111" i="25"/>
  <c r="DM29" i="25"/>
  <c r="DJ95" i="25"/>
  <c r="DI95" i="25"/>
  <c r="DJ308" i="25"/>
  <c r="DI308" i="25"/>
  <c r="DJ37" i="25"/>
  <c r="DI37" i="25"/>
  <c r="DM111" i="25"/>
  <c r="DM284" i="25"/>
  <c r="DW284" i="25" s="1"/>
  <c r="DI110" i="25"/>
  <c r="DM34" i="25"/>
  <c r="DB217" i="25"/>
  <c r="DJ232" i="25"/>
  <c r="DI232" i="25"/>
  <c r="DJ58" i="25"/>
  <c r="DI58" i="25"/>
  <c r="DJ179" i="25"/>
  <c r="DI179" i="25"/>
  <c r="DM103" i="25"/>
  <c r="DJ244" i="25"/>
  <c r="DI244" i="25"/>
  <c r="DJ91" i="25"/>
  <c r="DI91" i="25"/>
  <c r="DB158" i="25"/>
  <c r="DJ120" i="25"/>
  <c r="DI120" i="25"/>
  <c r="DB163" i="25"/>
  <c r="DB299" i="25"/>
  <c r="DJ97" i="25"/>
  <c r="DI97" i="25"/>
  <c r="DM42" i="25"/>
  <c r="DB234" i="25"/>
  <c r="DJ191" i="25"/>
  <c r="DI191" i="25"/>
  <c r="DM59" i="25"/>
  <c r="DI147" i="25"/>
  <c r="DJ147" i="25"/>
  <c r="DB134" i="25"/>
  <c r="DJ92" i="25"/>
  <c r="DI92" i="25"/>
  <c r="DJ14" i="25"/>
  <c r="DI14" i="25"/>
  <c r="DB144" i="25"/>
  <c r="DB201" i="25"/>
  <c r="DJ241" i="25"/>
  <c r="DI241" i="25"/>
  <c r="DJ180" i="25"/>
  <c r="DI180" i="25"/>
  <c r="DJ313" i="25"/>
  <c r="DI313" i="25"/>
  <c r="DJ10" i="25"/>
  <c r="DI10" i="25"/>
  <c r="DJ75" i="25"/>
  <c r="DI75" i="25"/>
  <c r="DJ81" i="25"/>
  <c r="DI81" i="25"/>
  <c r="DJ272" i="25"/>
  <c r="DI272" i="25"/>
  <c r="DM287" i="25"/>
  <c r="DW287" i="25" s="1"/>
  <c r="DM245" i="25"/>
  <c r="DW245" i="25" s="1"/>
  <c r="DJ281" i="25"/>
  <c r="DI281" i="25"/>
  <c r="DM126" i="25"/>
  <c r="DJ137" i="25"/>
  <c r="DI137" i="25"/>
  <c r="DJ181" i="25"/>
  <c r="DI181" i="25"/>
  <c r="DJ227" i="25"/>
  <c r="DI227" i="25"/>
  <c r="DM24" i="25"/>
  <c r="DJ293" i="25"/>
  <c r="DI293" i="25"/>
  <c r="DJ26" i="25"/>
  <c r="DI26" i="25"/>
  <c r="DJ127" i="25"/>
  <c r="DI127" i="25"/>
  <c r="DJ193" i="25"/>
  <c r="DI193" i="25"/>
  <c r="DJ312" i="25"/>
  <c r="DI312" i="25"/>
  <c r="DJ33" i="25"/>
  <c r="DI33" i="25"/>
  <c r="DJ263" i="25"/>
  <c r="DI263" i="25"/>
  <c r="DJ119" i="25"/>
  <c r="DI119" i="25"/>
  <c r="DJ121" i="25"/>
  <c r="DI121" i="25"/>
  <c r="DJ11" i="25"/>
  <c r="DI11" i="25"/>
  <c r="DJ296" i="25"/>
  <c r="DI296" i="25"/>
  <c r="DJ224" i="25"/>
  <c r="DI224" i="25"/>
  <c r="DJ43" i="25"/>
  <c r="DI43" i="25"/>
  <c r="DJ29" i="25"/>
  <c r="DI29" i="25"/>
  <c r="DJ266" i="25"/>
  <c r="DI266" i="25"/>
  <c r="DM95" i="25"/>
  <c r="DJ254" i="25"/>
  <c r="DI254" i="25"/>
  <c r="DM200" i="25"/>
  <c r="DJ284" i="25"/>
  <c r="DI284" i="25"/>
  <c r="DJ34" i="25"/>
  <c r="DI34" i="25"/>
  <c r="DM283" i="25"/>
  <c r="DW283" i="25" s="1"/>
  <c r="DM232" i="25"/>
  <c r="DW232" i="25" s="1"/>
  <c r="DJ299" i="25"/>
  <c r="DI299" i="25"/>
  <c r="DM58" i="25"/>
  <c r="DM179" i="25"/>
  <c r="DJ103" i="25"/>
  <c r="DI103" i="25"/>
  <c r="DJ202" i="25"/>
  <c r="DI202" i="25"/>
  <c r="DJ257" i="25"/>
  <c r="DI257" i="25"/>
  <c r="DM97" i="25"/>
  <c r="DJ42" i="25"/>
  <c r="DI42" i="25"/>
  <c r="DM131" i="25"/>
  <c r="DJ59" i="25"/>
  <c r="DI59" i="25"/>
  <c r="DJ78" i="25"/>
  <c r="DI78" i="25"/>
  <c r="DJ190" i="25"/>
  <c r="DI190" i="25"/>
  <c r="DM174" i="25"/>
  <c r="DM269" i="25"/>
  <c r="DW269" i="25" s="1"/>
  <c r="DW7" i="25"/>
  <c r="DM241" i="25"/>
  <c r="DW241" i="25" s="1"/>
  <c r="DM279" i="25"/>
  <c r="DW279" i="25" s="1"/>
  <c r="DM180" i="25"/>
  <c r="DC251" i="24"/>
  <c r="DC196" i="24"/>
  <c r="DC191" i="24"/>
  <c r="DC297" i="24"/>
  <c r="DC237" i="24"/>
  <c r="DC220" i="24"/>
  <c r="DC313" i="24"/>
  <c r="DC282" i="24"/>
  <c r="DC286" i="24"/>
  <c r="DC290" i="24"/>
  <c r="DC244" i="24"/>
  <c r="DC306" i="24"/>
  <c r="DC224" i="24"/>
  <c r="DC233" i="24"/>
  <c r="DC126" i="24"/>
  <c r="DC147" i="24"/>
  <c r="DC137" i="24"/>
  <c r="DC193" i="24"/>
  <c r="DC247" i="24"/>
  <c r="DC118" i="24"/>
  <c r="DC312" i="24"/>
  <c r="DC225" i="24"/>
  <c r="DC218" i="24"/>
  <c r="DC270" i="24"/>
  <c r="DC175" i="24"/>
  <c r="DC295" i="24"/>
  <c r="DC207" i="24"/>
  <c r="DC311" i="24"/>
  <c r="DC167" i="24"/>
  <c r="DC179" i="24"/>
  <c r="DC180" i="24"/>
  <c r="DC125" i="24"/>
  <c r="DC303" i="24"/>
  <c r="DC231" i="24"/>
  <c r="DB210" i="24"/>
  <c r="DE210" i="24" s="1"/>
  <c r="DF210" i="24" s="1"/>
  <c r="DG210" i="24" s="1"/>
  <c r="DI210" i="24"/>
  <c r="DM210" i="24"/>
  <c r="DB181" i="24"/>
  <c r="DE181" i="24" s="1"/>
  <c r="DF181" i="24" s="1"/>
  <c r="DG181" i="24" s="1"/>
  <c r="DI181" i="24"/>
  <c r="DM181" i="24"/>
  <c r="DC204" i="24"/>
  <c r="DA91" i="24"/>
  <c r="DC91" i="24" s="1"/>
  <c r="DI91" i="24"/>
  <c r="DB91" i="24"/>
  <c r="DE91" i="24" s="1"/>
  <c r="DF91" i="24" s="1"/>
  <c r="DG91" i="24" s="1"/>
  <c r="DM91" i="24"/>
  <c r="DI27" i="24"/>
  <c r="DB27" i="24"/>
  <c r="DE27" i="24" s="1"/>
  <c r="DF27" i="24" s="1"/>
  <c r="DG27" i="24" s="1"/>
  <c r="DM27" i="24"/>
  <c r="DB271" i="24"/>
  <c r="DE271" i="24" s="1"/>
  <c r="DF271" i="24" s="1"/>
  <c r="DG271" i="24" s="1"/>
  <c r="DI271" i="24"/>
  <c r="DM271" i="24"/>
  <c r="DI197" i="24"/>
  <c r="DB197" i="24"/>
  <c r="DE197" i="24" s="1"/>
  <c r="DF197" i="24" s="1"/>
  <c r="DG197" i="24" s="1"/>
  <c r="DM197" i="24"/>
  <c r="DI79" i="24"/>
  <c r="DB79" i="24"/>
  <c r="DE79" i="24" s="1"/>
  <c r="DF79" i="24" s="1"/>
  <c r="DG79" i="24" s="1"/>
  <c r="DM79" i="24"/>
  <c r="DB80" i="24"/>
  <c r="DE80" i="24" s="1"/>
  <c r="DF80" i="24" s="1"/>
  <c r="DG80" i="24" s="1"/>
  <c r="DI80" i="24"/>
  <c r="DM80" i="24"/>
  <c r="DI254" i="24"/>
  <c r="DB254" i="24"/>
  <c r="DE254" i="24" s="1"/>
  <c r="DF254" i="24" s="1"/>
  <c r="DG254" i="24" s="1"/>
  <c r="DM254" i="24"/>
  <c r="DB56" i="24"/>
  <c r="DE56" i="24" s="1"/>
  <c r="DF56" i="24" s="1"/>
  <c r="DG56" i="24" s="1"/>
  <c r="DI56" i="24"/>
  <c r="DM56" i="24"/>
  <c r="DI112" i="24"/>
  <c r="DB112" i="24"/>
  <c r="DE112" i="24" s="1"/>
  <c r="DF112" i="24" s="1"/>
  <c r="DG112" i="24" s="1"/>
  <c r="DM112" i="24"/>
  <c r="DI137" i="24"/>
  <c r="DB137" i="24"/>
  <c r="DE137" i="24" s="1"/>
  <c r="DF137" i="24" s="1"/>
  <c r="DG137" i="24" s="1"/>
  <c r="DM137" i="24"/>
  <c r="DI100" i="24"/>
  <c r="DB100" i="24"/>
  <c r="DE100" i="24" s="1"/>
  <c r="DF100" i="24" s="1"/>
  <c r="DG100" i="24" s="1"/>
  <c r="DM100" i="24"/>
  <c r="DI312" i="24"/>
  <c r="DB312" i="24"/>
  <c r="DE312" i="24" s="1"/>
  <c r="DF312" i="24" s="1"/>
  <c r="DG312" i="24" s="1"/>
  <c r="DM312" i="24"/>
  <c r="DI222" i="24"/>
  <c r="DB222" i="24"/>
  <c r="DE222" i="24" s="1"/>
  <c r="DF222" i="24" s="1"/>
  <c r="DG222" i="24" s="1"/>
  <c r="DM222" i="24"/>
  <c r="DI207" i="24"/>
  <c r="DB207" i="24"/>
  <c r="DE207" i="24" s="1"/>
  <c r="DF207" i="24" s="1"/>
  <c r="DG207" i="24" s="1"/>
  <c r="DM207" i="24"/>
  <c r="DC131" i="24"/>
  <c r="DI173" i="24"/>
  <c r="DB173" i="24"/>
  <c r="DE173" i="24" s="1"/>
  <c r="DF173" i="24" s="1"/>
  <c r="DG173" i="24" s="1"/>
  <c r="DM173" i="24"/>
  <c r="DI60" i="24"/>
  <c r="DB60" i="24"/>
  <c r="DE60" i="24" s="1"/>
  <c r="DF60" i="24" s="1"/>
  <c r="DG60" i="24" s="1"/>
  <c r="DM60" i="24"/>
  <c r="DB290" i="24"/>
  <c r="DE290" i="24" s="1"/>
  <c r="DF290" i="24" s="1"/>
  <c r="DG290" i="24" s="1"/>
  <c r="DI290" i="24"/>
  <c r="DM290" i="24"/>
  <c r="DA222" i="24"/>
  <c r="DC222" i="24" s="1"/>
  <c r="DC242" i="24"/>
  <c r="DC132" i="24"/>
  <c r="DI123" i="24"/>
  <c r="DB123" i="24"/>
  <c r="DE123" i="24" s="1"/>
  <c r="DF123" i="24" s="1"/>
  <c r="DG123" i="24" s="1"/>
  <c r="DM123" i="24"/>
  <c r="DI72" i="24"/>
  <c r="DB72" i="24"/>
  <c r="DE72" i="24" s="1"/>
  <c r="DF72" i="24" s="1"/>
  <c r="DG72" i="24" s="1"/>
  <c r="DM72" i="24"/>
  <c r="DC283" i="24"/>
  <c r="DI309" i="24"/>
  <c r="DB309" i="24"/>
  <c r="DE309" i="24" s="1"/>
  <c r="DF309" i="24" s="1"/>
  <c r="DG309" i="24" s="1"/>
  <c r="DM309" i="24"/>
  <c r="DA89" i="24"/>
  <c r="DC89" i="24" s="1"/>
  <c r="DB89" i="24"/>
  <c r="DE89" i="24" s="1"/>
  <c r="DF89" i="24" s="1"/>
  <c r="DG89" i="24" s="1"/>
  <c r="DI89" i="24"/>
  <c r="DM89" i="24"/>
  <c r="DB205" i="24"/>
  <c r="DE205" i="24" s="1"/>
  <c r="DF205" i="24" s="1"/>
  <c r="DG205" i="24" s="1"/>
  <c r="DI205" i="24"/>
  <c r="DM205" i="24"/>
  <c r="DB289" i="24"/>
  <c r="DE289" i="24" s="1"/>
  <c r="DF289" i="24" s="1"/>
  <c r="DG289" i="24" s="1"/>
  <c r="DI289" i="24"/>
  <c r="DM289" i="24"/>
  <c r="DI234" i="24"/>
  <c r="DB234" i="24"/>
  <c r="DE234" i="24" s="1"/>
  <c r="DF234" i="24" s="1"/>
  <c r="DG234" i="24" s="1"/>
  <c r="DM234" i="24"/>
  <c r="DC267" i="24"/>
  <c r="DI29" i="24"/>
  <c r="DB29" i="24"/>
  <c r="DE29" i="24" s="1"/>
  <c r="DF29" i="24" s="1"/>
  <c r="DG29" i="24" s="1"/>
  <c r="DM29" i="24"/>
  <c r="DI224" i="24"/>
  <c r="DB224" i="24"/>
  <c r="DE224" i="24" s="1"/>
  <c r="DF224" i="24" s="1"/>
  <c r="DG224" i="24" s="1"/>
  <c r="DM224" i="24"/>
  <c r="DB20" i="24"/>
  <c r="DE20" i="24" s="1"/>
  <c r="DF20" i="24" s="1"/>
  <c r="DG20" i="24" s="1"/>
  <c r="DI20" i="24"/>
  <c r="DM20" i="24"/>
  <c r="DI73" i="24"/>
  <c r="DB73" i="24"/>
  <c r="DE73" i="24" s="1"/>
  <c r="DF73" i="24" s="1"/>
  <c r="DG73" i="24" s="1"/>
  <c r="DM73" i="24"/>
  <c r="DB267" i="24"/>
  <c r="DE267" i="24" s="1"/>
  <c r="DF267" i="24" s="1"/>
  <c r="DG267" i="24" s="1"/>
  <c r="DI267" i="24"/>
  <c r="DM267" i="24"/>
  <c r="DI158" i="24"/>
  <c r="DB158" i="24"/>
  <c r="DE158" i="24" s="1"/>
  <c r="DF158" i="24" s="1"/>
  <c r="DG158" i="24" s="1"/>
  <c r="DM158" i="24"/>
  <c r="DI94" i="24"/>
  <c r="DB94" i="24"/>
  <c r="DE94" i="24" s="1"/>
  <c r="DF94" i="24" s="1"/>
  <c r="DG94" i="24" s="1"/>
  <c r="DM94" i="24"/>
  <c r="DI135" i="24"/>
  <c r="DB135" i="24"/>
  <c r="DE135" i="24" s="1"/>
  <c r="DF135" i="24" s="1"/>
  <c r="DG135" i="24" s="1"/>
  <c r="DM135" i="24"/>
  <c r="DB235" i="24"/>
  <c r="DE235" i="24" s="1"/>
  <c r="DF235" i="24" s="1"/>
  <c r="DG235" i="24" s="1"/>
  <c r="DI235" i="24"/>
  <c r="DM235" i="24"/>
  <c r="DI256" i="24"/>
  <c r="DB256" i="24"/>
  <c r="DE256" i="24" s="1"/>
  <c r="DF256" i="24" s="1"/>
  <c r="DG256" i="24" s="1"/>
  <c r="DM256" i="24"/>
  <c r="DI241" i="24"/>
  <c r="DB241" i="24"/>
  <c r="DE241" i="24" s="1"/>
  <c r="DF241" i="24" s="1"/>
  <c r="DG241" i="24" s="1"/>
  <c r="DM241" i="24"/>
  <c r="DI82" i="24"/>
  <c r="DB82" i="24"/>
  <c r="DE82" i="24" s="1"/>
  <c r="DF82" i="24" s="1"/>
  <c r="DG82" i="24" s="1"/>
  <c r="DM82" i="24"/>
  <c r="DA201" i="24"/>
  <c r="DC201" i="24" s="1"/>
  <c r="DB201" i="24"/>
  <c r="DE201" i="24" s="1"/>
  <c r="DF201" i="24" s="1"/>
  <c r="DG201" i="24" s="1"/>
  <c r="DI201" i="24"/>
  <c r="DM201" i="24"/>
  <c r="DB251" i="24"/>
  <c r="DE251" i="24" s="1"/>
  <c r="DF251" i="24" s="1"/>
  <c r="DG251" i="24" s="1"/>
  <c r="DI251" i="24"/>
  <c r="DM251" i="24"/>
  <c r="DB84" i="24"/>
  <c r="DE84" i="24" s="1"/>
  <c r="DF84" i="24" s="1"/>
  <c r="DG84" i="24" s="1"/>
  <c r="DI84" i="24"/>
  <c r="DM84" i="24"/>
  <c r="DC151" i="24"/>
  <c r="DB61" i="24"/>
  <c r="DE61" i="24" s="1"/>
  <c r="DF61" i="24" s="1"/>
  <c r="DG61" i="24" s="1"/>
  <c r="DI61" i="24"/>
  <c r="DM61" i="24"/>
  <c r="DB46" i="24"/>
  <c r="DE46" i="24" s="1"/>
  <c r="DF46" i="24" s="1"/>
  <c r="DG46" i="24" s="1"/>
  <c r="DI46" i="24"/>
  <c r="DM46" i="24"/>
  <c r="DC155" i="24"/>
  <c r="DI273" i="24"/>
  <c r="DB273" i="24"/>
  <c r="DE273" i="24" s="1"/>
  <c r="DF273" i="24" s="1"/>
  <c r="DG273" i="24" s="1"/>
  <c r="DM273" i="24"/>
  <c r="DB126" i="24"/>
  <c r="DE126" i="24" s="1"/>
  <c r="DF126" i="24" s="1"/>
  <c r="DG126" i="24" s="1"/>
  <c r="DI126" i="24"/>
  <c r="DM126" i="24"/>
  <c r="DB129" i="24"/>
  <c r="DE129" i="24" s="1"/>
  <c r="DF129" i="24" s="1"/>
  <c r="DG129" i="24" s="1"/>
  <c r="DI129" i="24"/>
  <c r="DM129" i="24"/>
  <c r="DI99" i="24"/>
  <c r="DB99" i="24"/>
  <c r="DE99" i="24" s="1"/>
  <c r="DF99" i="24" s="1"/>
  <c r="DG99" i="24" s="1"/>
  <c r="DM99" i="24"/>
  <c r="DC199" i="24"/>
  <c r="DC169" i="24"/>
  <c r="DB10" i="24"/>
  <c r="DE10" i="24" s="1"/>
  <c r="DF10" i="24" s="1"/>
  <c r="DG10" i="24" s="1"/>
  <c r="DI10" i="24"/>
  <c r="DM10" i="24"/>
  <c r="DC291" i="24"/>
  <c r="DC128" i="24"/>
  <c r="DB93" i="24"/>
  <c r="DE93" i="24" s="1"/>
  <c r="DF93" i="24" s="1"/>
  <c r="DG93" i="24" s="1"/>
  <c r="DI93" i="24"/>
  <c r="DM93" i="24"/>
  <c r="DB43" i="24"/>
  <c r="DE43" i="24" s="1"/>
  <c r="DF43" i="24" s="1"/>
  <c r="DG43" i="24" s="1"/>
  <c r="DI43" i="24"/>
  <c r="DM43" i="24"/>
  <c r="DB313" i="24"/>
  <c r="DE313" i="24" s="1"/>
  <c r="DF313" i="24" s="1"/>
  <c r="DG313" i="24" s="1"/>
  <c r="DI313" i="24"/>
  <c r="DM313" i="24"/>
  <c r="DA158" i="24"/>
  <c r="DC158" i="24" s="1"/>
  <c r="DA94" i="24"/>
  <c r="DC94" i="24" s="1"/>
  <c r="DC252" i="24"/>
  <c r="DB186" i="24"/>
  <c r="DE186" i="24" s="1"/>
  <c r="DF186" i="24" s="1"/>
  <c r="DG186" i="24" s="1"/>
  <c r="DI186" i="24"/>
  <c r="DM186" i="24"/>
  <c r="DA112" i="24"/>
  <c r="DC112" i="24" s="1"/>
  <c r="DC164" i="24"/>
  <c r="DI162" i="24"/>
  <c r="DB162" i="24"/>
  <c r="DE162" i="24" s="1"/>
  <c r="DF162" i="24" s="1"/>
  <c r="DG162" i="24" s="1"/>
  <c r="DM162" i="24"/>
  <c r="DC206" i="24"/>
  <c r="DI15" i="24"/>
  <c r="DB15" i="24"/>
  <c r="DE15" i="24" s="1"/>
  <c r="DF15" i="24" s="1"/>
  <c r="DG15" i="24" s="1"/>
  <c r="DM15" i="24"/>
  <c r="DI98" i="24"/>
  <c r="DB98" i="24"/>
  <c r="DE98" i="24" s="1"/>
  <c r="DF98" i="24" s="1"/>
  <c r="DG98" i="24" s="1"/>
  <c r="DM98" i="24"/>
  <c r="DI40" i="24"/>
  <c r="DB40" i="24"/>
  <c r="DE40" i="24" s="1"/>
  <c r="DF40" i="24" s="1"/>
  <c r="DG40" i="24" s="1"/>
  <c r="DM40" i="24"/>
  <c r="DI66" i="24"/>
  <c r="DB66" i="24"/>
  <c r="DE66" i="24" s="1"/>
  <c r="DF66" i="24" s="1"/>
  <c r="DG66" i="24" s="1"/>
  <c r="DM66" i="24"/>
  <c r="DI264" i="24"/>
  <c r="DB264" i="24"/>
  <c r="DE264" i="24" s="1"/>
  <c r="DF264" i="24" s="1"/>
  <c r="DG264" i="24" s="1"/>
  <c r="DM264" i="24"/>
  <c r="DI291" i="24"/>
  <c r="DB291" i="24"/>
  <c r="DE291" i="24" s="1"/>
  <c r="DF291" i="24" s="1"/>
  <c r="DG291" i="24" s="1"/>
  <c r="DM291" i="24"/>
  <c r="DC281" i="24"/>
  <c r="DB136" i="24"/>
  <c r="DE136" i="24" s="1"/>
  <c r="DF136" i="24" s="1"/>
  <c r="DG136" i="24" s="1"/>
  <c r="DI136" i="24"/>
  <c r="DM136" i="24"/>
  <c r="DC209" i="24"/>
  <c r="DB226" i="24"/>
  <c r="DE226" i="24" s="1"/>
  <c r="DF226" i="24" s="1"/>
  <c r="DG226" i="24" s="1"/>
  <c r="DI226" i="24"/>
  <c r="DM226" i="24"/>
  <c r="DA171" i="24"/>
  <c r="DC171" i="24" s="1"/>
  <c r="DI171" i="24"/>
  <c r="DB171" i="24"/>
  <c r="DE171" i="24" s="1"/>
  <c r="DF171" i="24" s="1"/>
  <c r="DG171" i="24" s="1"/>
  <c r="DM171" i="24"/>
  <c r="DI41" i="24"/>
  <c r="DB41" i="24"/>
  <c r="DE41" i="24" s="1"/>
  <c r="DF41" i="24" s="1"/>
  <c r="DG41" i="24" s="1"/>
  <c r="DM41" i="24"/>
  <c r="DI146" i="24"/>
  <c r="DB146" i="24"/>
  <c r="DE146" i="24" s="1"/>
  <c r="DF146" i="24" s="1"/>
  <c r="DG146" i="24" s="1"/>
  <c r="DM146" i="24"/>
  <c r="DM255" i="24"/>
  <c r="DB255" i="24"/>
  <c r="DE255" i="24" s="1"/>
  <c r="DF255" i="24" s="1"/>
  <c r="DG255" i="24" s="1"/>
  <c r="DI255" i="24"/>
  <c r="DB259" i="24"/>
  <c r="DE259" i="24" s="1"/>
  <c r="DF259" i="24" s="1"/>
  <c r="DG259" i="24" s="1"/>
  <c r="DI259" i="24"/>
  <c r="DM259" i="24"/>
  <c r="DB133" i="24"/>
  <c r="DE133" i="24" s="1"/>
  <c r="DF133" i="24" s="1"/>
  <c r="DG133" i="24" s="1"/>
  <c r="DI133" i="24"/>
  <c r="DM133" i="24"/>
  <c r="DB30" i="24"/>
  <c r="DE30" i="24" s="1"/>
  <c r="DF30" i="24" s="1"/>
  <c r="DG30" i="24" s="1"/>
  <c r="DI30" i="24"/>
  <c r="DM30" i="24"/>
  <c r="DC268" i="24"/>
  <c r="DI53" i="24"/>
  <c r="DB53" i="24"/>
  <c r="DE53" i="24" s="1"/>
  <c r="DF53" i="24" s="1"/>
  <c r="DG53" i="24" s="1"/>
  <c r="DM53" i="24"/>
  <c r="DI121" i="24"/>
  <c r="DB121" i="24"/>
  <c r="DE121" i="24" s="1"/>
  <c r="DF121" i="24" s="1"/>
  <c r="DG121" i="24" s="1"/>
  <c r="DM121" i="24"/>
  <c r="DI90" i="24"/>
  <c r="DB90" i="24"/>
  <c r="DE90" i="24" s="1"/>
  <c r="DF90" i="24" s="1"/>
  <c r="DG90" i="24" s="1"/>
  <c r="DM90" i="24"/>
  <c r="DC129" i="24"/>
  <c r="DI308" i="24"/>
  <c r="DB308" i="24"/>
  <c r="DE308" i="24" s="1"/>
  <c r="DF308" i="24" s="1"/>
  <c r="DG308" i="24" s="1"/>
  <c r="DM308" i="24"/>
  <c r="DA256" i="24"/>
  <c r="DC256" i="24" s="1"/>
  <c r="DI295" i="24"/>
  <c r="DB295" i="24"/>
  <c r="DE295" i="24" s="1"/>
  <c r="DF295" i="24" s="1"/>
  <c r="DG295" i="24" s="1"/>
  <c r="DM295" i="24"/>
  <c r="DI97" i="24"/>
  <c r="DB97" i="24"/>
  <c r="DE97" i="24" s="1"/>
  <c r="DF97" i="24" s="1"/>
  <c r="DG97" i="24" s="1"/>
  <c r="DM97" i="24"/>
  <c r="DI31" i="24"/>
  <c r="DB31" i="24"/>
  <c r="DE31" i="24" s="1"/>
  <c r="DF31" i="24" s="1"/>
  <c r="DG31" i="24" s="1"/>
  <c r="DM31" i="24"/>
  <c r="DC178" i="24"/>
  <c r="DI8" i="24"/>
  <c r="DB8" i="24"/>
  <c r="DE8" i="24" s="1"/>
  <c r="DF8" i="24" s="1"/>
  <c r="DG8" i="24" s="1"/>
  <c r="DM8" i="24"/>
  <c r="DB279" i="24"/>
  <c r="DE279" i="24" s="1"/>
  <c r="DF279" i="24" s="1"/>
  <c r="DG279" i="24" s="1"/>
  <c r="DI279" i="24"/>
  <c r="DM279" i="24"/>
  <c r="DA79" i="24"/>
  <c r="DC79" i="24" s="1"/>
  <c r="DA184" i="24"/>
  <c r="DC184" i="24" s="1"/>
  <c r="DI184" i="24"/>
  <c r="DB184" i="24"/>
  <c r="DE184" i="24" s="1"/>
  <c r="DF184" i="24" s="1"/>
  <c r="DG184" i="24" s="1"/>
  <c r="DM184" i="24"/>
  <c r="DA261" i="24"/>
  <c r="DC261" i="24" s="1"/>
  <c r="DI261" i="24"/>
  <c r="DB261" i="24"/>
  <c r="DE261" i="24" s="1"/>
  <c r="DF261" i="24" s="1"/>
  <c r="DG261" i="24" s="1"/>
  <c r="DM261" i="24"/>
  <c r="DI265" i="24"/>
  <c r="DB265" i="24"/>
  <c r="DE265" i="24" s="1"/>
  <c r="DF265" i="24" s="1"/>
  <c r="DG265" i="24" s="1"/>
  <c r="DM265" i="24"/>
  <c r="DA27" i="24"/>
  <c r="DC27" i="24" s="1"/>
  <c r="DI69" i="24"/>
  <c r="DB69" i="24"/>
  <c r="DE69" i="24" s="1"/>
  <c r="DF69" i="24" s="1"/>
  <c r="DG69" i="24" s="1"/>
  <c r="DM69" i="24"/>
  <c r="DI44" i="24"/>
  <c r="DB44" i="24"/>
  <c r="DE44" i="24" s="1"/>
  <c r="DF44" i="24" s="1"/>
  <c r="DG44" i="24" s="1"/>
  <c r="DM44" i="24"/>
  <c r="DB272" i="24"/>
  <c r="DE272" i="24" s="1"/>
  <c r="DF272" i="24" s="1"/>
  <c r="DG272" i="24" s="1"/>
  <c r="DI272" i="24"/>
  <c r="DM272" i="24"/>
  <c r="DI220" i="24"/>
  <c r="DB220" i="24"/>
  <c r="DE220" i="24" s="1"/>
  <c r="DF220" i="24" s="1"/>
  <c r="DG220" i="24" s="1"/>
  <c r="DM220" i="24"/>
  <c r="DC262" i="24"/>
  <c r="DA271" i="24"/>
  <c r="DC271" i="24" s="1"/>
  <c r="DB160" i="24"/>
  <c r="DE160" i="24" s="1"/>
  <c r="DF160" i="24" s="1"/>
  <c r="DG160" i="24" s="1"/>
  <c r="DI160" i="24"/>
  <c r="DM160" i="24"/>
  <c r="DB284" i="24"/>
  <c r="DE284" i="24" s="1"/>
  <c r="DF284" i="24" s="1"/>
  <c r="DG284" i="24" s="1"/>
  <c r="DI284" i="24"/>
  <c r="DM284" i="24"/>
  <c r="DC120" i="24"/>
  <c r="DI281" i="24"/>
  <c r="DB281" i="24"/>
  <c r="DE281" i="24" s="1"/>
  <c r="DF281" i="24" s="1"/>
  <c r="DG281" i="24" s="1"/>
  <c r="DM281" i="24"/>
  <c r="DA70" i="24"/>
  <c r="DC70" i="24" s="1"/>
  <c r="DI70" i="24"/>
  <c r="DB70" i="24"/>
  <c r="DE70" i="24" s="1"/>
  <c r="DF70" i="24" s="1"/>
  <c r="DG70" i="24" s="1"/>
  <c r="DM70" i="24"/>
  <c r="DA83" i="24"/>
  <c r="DC83" i="24" s="1"/>
  <c r="DI83" i="24"/>
  <c r="DB83" i="24"/>
  <c r="DE83" i="24" s="1"/>
  <c r="DF83" i="24" s="1"/>
  <c r="DG83" i="24" s="1"/>
  <c r="DM83" i="24"/>
  <c r="DA284" i="24"/>
  <c r="DC284" i="24" s="1"/>
  <c r="DI307" i="24"/>
  <c r="DB307" i="24"/>
  <c r="DE307" i="24" s="1"/>
  <c r="DF307" i="24" s="1"/>
  <c r="DG307" i="24" s="1"/>
  <c r="DM307" i="24"/>
  <c r="DI297" i="24"/>
  <c r="DB297" i="24"/>
  <c r="DE297" i="24" s="1"/>
  <c r="DF297" i="24" s="1"/>
  <c r="DG297" i="24" s="1"/>
  <c r="DM297" i="24"/>
  <c r="DC302" i="24"/>
  <c r="DC253" i="24"/>
  <c r="DB283" i="24"/>
  <c r="DE283" i="24" s="1"/>
  <c r="DF283" i="24" s="1"/>
  <c r="DG283" i="24" s="1"/>
  <c r="DI283" i="24"/>
  <c r="DM283" i="24"/>
  <c r="DC238" i="24"/>
  <c r="DB172" i="24"/>
  <c r="DE172" i="24" s="1"/>
  <c r="DF172" i="24" s="1"/>
  <c r="DG172" i="24" s="1"/>
  <c r="DI172" i="24"/>
  <c r="DM172" i="24"/>
  <c r="DC289" i="24"/>
  <c r="DI47" i="24"/>
  <c r="DB47" i="24"/>
  <c r="DE47" i="24" s="1"/>
  <c r="DF47" i="24" s="1"/>
  <c r="DG47" i="24" s="1"/>
  <c r="DM47" i="24"/>
  <c r="DM242" i="24"/>
  <c r="DI242" i="24"/>
  <c r="DB242" i="24"/>
  <c r="DE242" i="24" s="1"/>
  <c r="DF242" i="24" s="1"/>
  <c r="DG242" i="24" s="1"/>
  <c r="DI286" i="24"/>
  <c r="DB286" i="24"/>
  <c r="DE286" i="24" s="1"/>
  <c r="DF286" i="24" s="1"/>
  <c r="DG286" i="24" s="1"/>
  <c r="DM286" i="24"/>
  <c r="DA18" i="24"/>
  <c r="DC18" i="24" s="1"/>
  <c r="DI18" i="24"/>
  <c r="DB18" i="24"/>
  <c r="DE18" i="24" s="1"/>
  <c r="DF18" i="24" s="1"/>
  <c r="DG18" i="24" s="1"/>
  <c r="DM18" i="24"/>
  <c r="DC113" i="24"/>
  <c r="DC296" i="24"/>
  <c r="DI6" i="24"/>
  <c r="DB6" i="24"/>
  <c r="DE6" i="24" s="1"/>
  <c r="DF6" i="24" s="1"/>
  <c r="DG6" i="24" s="1"/>
  <c r="DM6" i="24"/>
  <c r="DI153" i="24"/>
  <c r="DB153" i="24"/>
  <c r="DE153" i="24" s="1"/>
  <c r="DF153" i="24" s="1"/>
  <c r="DG153" i="24" s="1"/>
  <c r="DM153" i="24"/>
  <c r="DC277" i="24"/>
  <c r="DI36" i="24"/>
  <c r="DB36" i="24"/>
  <c r="DE36" i="24" s="1"/>
  <c r="DF36" i="24" s="1"/>
  <c r="DG36" i="24" s="1"/>
  <c r="DM36" i="24"/>
  <c r="DB192" i="24"/>
  <c r="DE192" i="24" s="1"/>
  <c r="DF192" i="24" s="1"/>
  <c r="DG192" i="24" s="1"/>
  <c r="DI192" i="24"/>
  <c r="DM192" i="24"/>
  <c r="DA226" i="24"/>
  <c r="DC226" i="24" s="1"/>
  <c r="DI96" i="24"/>
  <c r="DB96" i="24"/>
  <c r="DE96" i="24" s="1"/>
  <c r="DF96" i="24" s="1"/>
  <c r="DG96" i="24" s="1"/>
  <c r="DM96" i="24"/>
  <c r="DI145" i="24"/>
  <c r="DB145" i="24"/>
  <c r="DE145" i="24" s="1"/>
  <c r="DF145" i="24" s="1"/>
  <c r="DG145" i="24" s="1"/>
  <c r="DM145" i="24"/>
  <c r="DM128" i="24"/>
  <c r="DI128" i="24"/>
  <c r="DB128" i="24"/>
  <c r="DE128" i="24" s="1"/>
  <c r="DF128" i="24" s="1"/>
  <c r="DG128" i="24" s="1"/>
  <c r="DC160" i="24"/>
  <c r="DI304" i="24"/>
  <c r="DB304" i="24"/>
  <c r="DE304" i="24" s="1"/>
  <c r="DF304" i="24" s="1"/>
  <c r="DG304" i="24" s="1"/>
  <c r="DM304" i="24"/>
  <c r="DA245" i="24"/>
  <c r="DC245" i="24" s="1"/>
  <c r="DI245" i="24"/>
  <c r="DB245" i="24"/>
  <c r="DE245" i="24" s="1"/>
  <c r="DF245" i="24" s="1"/>
  <c r="DG245" i="24" s="1"/>
  <c r="DM245" i="24"/>
  <c r="DI315" i="24"/>
  <c r="DB315" i="24"/>
  <c r="DE315" i="24" s="1"/>
  <c r="DF315" i="24" s="1"/>
  <c r="DG315" i="24" s="1"/>
  <c r="DM315" i="24"/>
  <c r="DI249" i="24"/>
  <c r="DB249" i="24"/>
  <c r="DE249" i="24" s="1"/>
  <c r="DF249" i="24" s="1"/>
  <c r="DG249" i="24" s="1"/>
  <c r="DM249" i="24"/>
  <c r="DI63" i="24"/>
  <c r="DB63" i="24"/>
  <c r="DE63" i="24" s="1"/>
  <c r="DF63" i="24" s="1"/>
  <c r="DG63" i="24" s="1"/>
  <c r="DM63" i="24"/>
  <c r="DI174" i="24"/>
  <c r="DB174" i="24"/>
  <c r="DE174" i="24" s="1"/>
  <c r="DF174" i="24" s="1"/>
  <c r="DG174" i="24" s="1"/>
  <c r="DM174" i="24"/>
  <c r="DA315" i="24"/>
  <c r="DC315" i="24" s="1"/>
  <c r="DC316" i="24"/>
  <c r="DA65" i="24"/>
  <c r="DC65" i="24" s="1"/>
  <c r="DI65" i="24"/>
  <c r="DB65" i="24"/>
  <c r="DE65" i="24" s="1"/>
  <c r="DF65" i="24" s="1"/>
  <c r="DG65" i="24" s="1"/>
  <c r="DM65" i="24"/>
  <c r="DB175" i="24"/>
  <c r="DE175" i="24" s="1"/>
  <c r="DF175" i="24" s="1"/>
  <c r="DG175" i="24" s="1"/>
  <c r="DI175" i="24"/>
  <c r="DM175" i="24"/>
  <c r="DI188" i="24"/>
  <c r="DB188" i="24"/>
  <c r="DE188" i="24" s="1"/>
  <c r="DF188" i="24" s="1"/>
  <c r="DG188" i="24" s="1"/>
  <c r="DM188" i="24"/>
  <c r="DI101" i="24"/>
  <c r="DB101" i="24"/>
  <c r="DE101" i="24" s="1"/>
  <c r="DF101" i="24" s="1"/>
  <c r="DG101" i="24" s="1"/>
  <c r="DM101" i="24"/>
  <c r="DB166" i="24"/>
  <c r="DE166" i="24" s="1"/>
  <c r="DF166" i="24" s="1"/>
  <c r="DG166" i="24" s="1"/>
  <c r="DI166" i="24"/>
  <c r="DM166" i="24"/>
  <c r="DC140" i="24"/>
  <c r="DC142" i="24"/>
  <c r="DI316" i="24"/>
  <c r="DB316" i="24"/>
  <c r="DE316" i="24" s="1"/>
  <c r="DF316" i="24" s="1"/>
  <c r="DG316" i="24" s="1"/>
  <c r="DM316" i="24"/>
  <c r="DA97" i="24"/>
  <c r="DC97" i="24" s="1"/>
  <c r="DC154" i="24"/>
  <c r="DI231" i="24"/>
  <c r="DB231" i="24"/>
  <c r="DE231" i="24" s="1"/>
  <c r="DF231" i="24" s="1"/>
  <c r="DG231" i="24" s="1"/>
  <c r="DM231" i="24"/>
  <c r="DI105" i="24"/>
  <c r="DB105" i="24"/>
  <c r="DE105" i="24" s="1"/>
  <c r="DF105" i="24" s="1"/>
  <c r="DG105" i="24" s="1"/>
  <c r="DM105" i="24"/>
  <c r="DI292" i="24"/>
  <c r="DB292" i="24"/>
  <c r="DE292" i="24" s="1"/>
  <c r="DF292" i="24" s="1"/>
  <c r="DG292" i="24" s="1"/>
  <c r="DM292" i="24"/>
  <c r="DC152" i="24"/>
  <c r="DI87" i="24"/>
  <c r="DB87" i="24"/>
  <c r="DE87" i="24" s="1"/>
  <c r="DF87" i="24" s="1"/>
  <c r="DG87" i="24" s="1"/>
  <c r="DM87" i="24"/>
  <c r="DA99" i="24"/>
  <c r="DC99" i="24" s="1"/>
  <c r="DA28" i="24"/>
  <c r="DC28" i="24" s="1"/>
  <c r="DI28" i="24"/>
  <c r="DB28" i="24"/>
  <c r="DE28" i="24" s="1"/>
  <c r="DF28" i="24" s="1"/>
  <c r="DG28" i="24" s="1"/>
  <c r="DM28" i="24"/>
  <c r="DI32" i="24"/>
  <c r="DB32" i="24"/>
  <c r="DE32" i="24" s="1"/>
  <c r="DF32" i="24" s="1"/>
  <c r="DG32" i="24" s="1"/>
  <c r="DM32" i="24"/>
  <c r="DI16" i="24"/>
  <c r="DB16" i="24"/>
  <c r="DE16" i="24" s="1"/>
  <c r="DF16" i="24" s="1"/>
  <c r="DG16" i="24" s="1"/>
  <c r="DM16" i="24"/>
  <c r="DB275" i="24"/>
  <c r="DE275" i="24" s="1"/>
  <c r="DF275" i="24" s="1"/>
  <c r="DG275" i="24" s="1"/>
  <c r="DI275" i="24"/>
  <c r="DM275" i="24"/>
  <c r="DI152" i="24"/>
  <c r="DB152" i="24"/>
  <c r="DE152" i="24" s="1"/>
  <c r="DF152" i="24" s="1"/>
  <c r="DG152" i="24" s="1"/>
  <c r="DM152" i="24"/>
  <c r="DA122" i="24"/>
  <c r="DC122" i="24" s="1"/>
  <c r="DI122" i="24"/>
  <c r="DB122" i="24"/>
  <c r="DE122" i="24" s="1"/>
  <c r="DF122" i="24" s="1"/>
  <c r="DG122" i="24" s="1"/>
  <c r="DM122" i="24"/>
  <c r="DA188" i="24"/>
  <c r="DC188" i="24" s="1"/>
  <c r="DI269" i="24"/>
  <c r="DB269" i="24"/>
  <c r="DE269" i="24" s="1"/>
  <c r="DF269" i="24" s="1"/>
  <c r="DG269" i="24" s="1"/>
  <c r="DM269" i="24"/>
  <c r="DC185" i="24"/>
  <c r="DI103" i="24"/>
  <c r="DB103" i="24"/>
  <c r="DE103" i="24" s="1"/>
  <c r="DF103" i="24" s="1"/>
  <c r="DG103" i="24" s="1"/>
  <c r="DM103" i="24"/>
  <c r="DB263" i="24"/>
  <c r="DE263" i="24" s="1"/>
  <c r="DF263" i="24" s="1"/>
  <c r="DG263" i="24" s="1"/>
  <c r="DI263" i="24"/>
  <c r="DM263" i="24"/>
  <c r="DI262" i="24"/>
  <c r="DB262" i="24"/>
  <c r="DE262" i="24" s="1"/>
  <c r="DF262" i="24" s="1"/>
  <c r="DG262" i="24" s="1"/>
  <c r="DM262" i="24"/>
  <c r="DB258" i="24"/>
  <c r="DE258" i="24" s="1"/>
  <c r="DF258" i="24" s="1"/>
  <c r="DG258" i="24" s="1"/>
  <c r="DI258" i="24"/>
  <c r="DM258" i="24"/>
  <c r="DA98" i="24"/>
  <c r="DC98" i="24" s="1"/>
  <c r="DI119" i="24"/>
  <c r="DB119" i="24"/>
  <c r="DE119" i="24" s="1"/>
  <c r="DF119" i="24" s="1"/>
  <c r="DG119" i="24" s="1"/>
  <c r="DM119" i="24"/>
  <c r="DB300" i="24"/>
  <c r="DE300" i="24" s="1"/>
  <c r="DF300" i="24" s="1"/>
  <c r="DG300" i="24" s="1"/>
  <c r="DI300" i="24"/>
  <c r="DM300" i="24"/>
  <c r="DI217" i="24"/>
  <c r="DB217" i="24"/>
  <c r="DE217" i="24" s="1"/>
  <c r="DF217" i="24" s="1"/>
  <c r="DG217" i="24" s="1"/>
  <c r="DM217" i="24"/>
  <c r="DI157" i="24"/>
  <c r="DB157" i="24"/>
  <c r="DE157" i="24" s="1"/>
  <c r="DF157" i="24" s="1"/>
  <c r="DG157" i="24" s="1"/>
  <c r="DM157" i="24"/>
  <c r="DC203" i="24"/>
  <c r="DC264" i="24"/>
  <c r="DC307" i="24"/>
  <c r="DC285" i="24"/>
  <c r="DA258" i="24"/>
  <c r="DC258" i="24" s="1"/>
  <c r="DI238" i="24"/>
  <c r="DB238" i="24"/>
  <c r="DE238" i="24" s="1"/>
  <c r="DF238" i="24" s="1"/>
  <c r="DG238" i="24" s="1"/>
  <c r="DM238" i="24"/>
  <c r="DI179" i="24"/>
  <c r="DB179" i="24"/>
  <c r="DE179" i="24" s="1"/>
  <c r="DF179" i="24" s="1"/>
  <c r="DG179" i="24" s="1"/>
  <c r="DM179" i="24"/>
  <c r="DA189" i="24"/>
  <c r="DC189" i="24" s="1"/>
  <c r="DI189" i="24"/>
  <c r="DB189" i="24"/>
  <c r="DE189" i="24" s="1"/>
  <c r="DF189" i="24" s="1"/>
  <c r="DG189" i="24" s="1"/>
  <c r="DM189" i="24"/>
  <c r="DC148" i="24"/>
  <c r="DB116" i="24"/>
  <c r="DE116" i="24" s="1"/>
  <c r="DF116" i="24" s="1"/>
  <c r="DG116" i="24" s="1"/>
  <c r="DI116" i="24"/>
  <c r="DM116" i="24"/>
  <c r="DC153" i="24"/>
  <c r="DI13" i="24"/>
  <c r="DB13" i="24"/>
  <c r="DE13" i="24" s="1"/>
  <c r="DF13" i="24" s="1"/>
  <c r="DG13" i="24" s="1"/>
  <c r="DM13" i="24"/>
  <c r="DI228" i="24"/>
  <c r="DB228" i="24"/>
  <c r="DE228" i="24" s="1"/>
  <c r="DF228" i="24" s="1"/>
  <c r="DG228" i="24" s="1"/>
  <c r="DM228" i="24"/>
  <c r="DI204" i="24"/>
  <c r="DB204" i="24"/>
  <c r="DE204" i="24" s="1"/>
  <c r="DF204" i="24" s="1"/>
  <c r="DG204" i="24" s="1"/>
  <c r="DM204" i="24"/>
  <c r="DI301" i="24"/>
  <c r="DB301" i="24"/>
  <c r="DE301" i="24" s="1"/>
  <c r="DF301" i="24" s="1"/>
  <c r="DG301" i="24" s="1"/>
  <c r="DM301" i="24"/>
  <c r="DB183" i="24"/>
  <c r="DE183" i="24" s="1"/>
  <c r="DF183" i="24" s="1"/>
  <c r="DG183" i="24" s="1"/>
  <c r="DI183" i="24"/>
  <c r="DM183" i="24"/>
  <c r="DB88" i="24"/>
  <c r="DE88" i="24" s="1"/>
  <c r="DF88" i="24" s="1"/>
  <c r="DG88" i="24" s="1"/>
  <c r="DI88" i="24"/>
  <c r="DM88" i="24"/>
  <c r="DI182" i="24"/>
  <c r="DB182" i="24"/>
  <c r="DE182" i="24" s="1"/>
  <c r="DF182" i="24" s="1"/>
  <c r="DG182" i="24" s="1"/>
  <c r="DM182" i="24"/>
  <c r="DA276" i="24"/>
  <c r="DC276" i="24" s="1"/>
  <c r="DI276" i="24"/>
  <c r="DB276" i="24"/>
  <c r="DE276" i="24" s="1"/>
  <c r="DF276" i="24" s="1"/>
  <c r="DG276" i="24" s="1"/>
  <c r="DM276" i="24"/>
  <c r="DI95" i="24"/>
  <c r="DB95" i="24"/>
  <c r="DE95" i="24" s="1"/>
  <c r="DF95" i="24" s="1"/>
  <c r="DG95" i="24" s="1"/>
  <c r="DM95" i="24"/>
  <c r="DC301" i="24"/>
  <c r="DA202" i="24"/>
  <c r="DC202" i="24" s="1"/>
  <c r="DI202" i="24"/>
  <c r="DB202" i="24"/>
  <c r="DE202" i="24" s="1"/>
  <c r="DF202" i="24" s="1"/>
  <c r="DG202" i="24" s="1"/>
  <c r="DM202" i="24"/>
  <c r="DB170" i="24"/>
  <c r="DE170" i="24" s="1"/>
  <c r="DF170" i="24" s="1"/>
  <c r="DG170" i="24" s="1"/>
  <c r="DI170" i="24"/>
  <c r="DM170" i="24"/>
  <c r="DB164" i="24"/>
  <c r="DE164" i="24" s="1"/>
  <c r="DF164" i="24" s="1"/>
  <c r="DG164" i="24" s="1"/>
  <c r="DI164" i="24"/>
  <c r="DM164" i="24"/>
  <c r="DI127" i="24"/>
  <c r="DB127" i="24"/>
  <c r="DE127" i="24" s="1"/>
  <c r="DF127" i="24" s="1"/>
  <c r="DG127" i="24" s="1"/>
  <c r="DM127" i="24"/>
  <c r="DA95" i="24"/>
  <c r="DC95" i="24" s="1"/>
  <c r="DA249" i="24"/>
  <c r="DC249" i="24" s="1"/>
  <c r="DB22" i="24"/>
  <c r="DE22" i="24" s="1"/>
  <c r="DF22" i="24" s="1"/>
  <c r="DG22" i="24" s="1"/>
  <c r="DI22" i="24"/>
  <c r="DM22" i="24"/>
  <c r="DI19" i="24"/>
  <c r="DB19" i="24"/>
  <c r="DE19" i="24" s="1"/>
  <c r="DF19" i="24" s="1"/>
  <c r="DG19" i="24" s="1"/>
  <c r="DM19" i="24"/>
  <c r="DC278" i="24"/>
  <c r="DB180" i="24"/>
  <c r="DE180" i="24" s="1"/>
  <c r="DF180" i="24" s="1"/>
  <c r="DG180" i="24" s="1"/>
  <c r="DI180" i="24"/>
  <c r="DM180" i="24"/>
  <c r="DI147" i="24"/>
  <c r="DB147" i="24"/>
  <c r="DE147" i="24" s="1"/>
  <c r="DF147" i="24" s="1"/>
  <c r="DG147" i="24" s="1"/>
  <c r="DM147" i="24"/>
  <c r="DA241" i="24"/>
  <c r="DC241" i="24" s="1"/>
  <c r="DI185" i="24"/>
  <c r="DB185" i="24"/>
  <c r="DE185" i="24" s="1"/>
  <c r="DF185" i="24" s="1"/>
  <c r="DG185" i="24" s="1"/>
  <c r="DM185" i="24"/>
  <c r="DB138" i="24"/>
  <c r="DE138" i="24" s="1"/>
  <c r="DF138" i="24" s="1"/>
  <c r="DG138" i="24" s="1"/>
  <c r="DI138" i="24"/>
  <c r="DM138" i="24"/>
  <c r="DA46" i="24"/>
  <c r="DC46" i="24" s="1"/>
  <c r="DI111" i="24"/>
  <c r="DB111" i="24"/>
  <c r="DE111" i="24" s="1"/>
  <c r="DF111" i="24" s="1"/>
  <c r="DG111" i="24" s="1"/>
  <c r="DM111" i="24"/>
  <c r="DA299" i="24"/>
  <c r="DC299" i="24" s="1"/>
  <c r="DB299" i="24"/>
  <c r="DE299" i="24" s="1"/>
  <c r="DF299" i="24" s="1"/>
  <c r="DG299" i="24" s="1"/>
  <c r="DI299" i="24"/>
  <c r="DM299" i="24"/>
  <c r="DI77" i="24"/>
  <c r="DB77" i="24"/>
  <c r="DE77" i="24" s="1"/>
  <c r="DF77" i="24" s="1"/>
  <c r="DG77" i="24" s="1"/>
  <c r="DM77" i="24"/>
  <c r="DC130" i="24"/>
  <c r="DB141" i="24"/>
  <c r="DE141" i="24" s="1"/>
  <c r="DF141" i="24" s="1"/>
  <c r="DG141" i="24" s="1"/>
  <c r="DI141" i="24"/>
  <c r="DM141" i="24"/>
  <c r="DA254" i="24"/>
  <c r="DC254" i="24" s="1"/>
  <c r="DI237" i="24"/>
  <c r="DB237" i="24"/>
  <c r="DE237" i="24" s="1"/>
  <c r="DF237" i="24" s="1"/>
  <c r="DG237" i="24" s="1"/>
  <c r="DM237" i="24"/>
  <c r="DI74" i="24"/>
  <c r="DB74" i="24"/>
  <c r="DE74" i="24" s="1"/>
  <c r="DF74" i="24" s="1"/>
  <c r="DG74" i="24" s="1"/>
  <c r="DM74" i="24"/>
  <c r="DI257" i="24"/>
  <c r="DB257" i="24"/>
  <c r="DE257" i="24" s="1"/>
  <c r="DF257" i="24" s="1"/>
  <c r="DG257" i="24" s="1"/>
  <c r="DM257" i="24"/>
  <c r="DB78" i="24"/>
  <c r="DE78" i="24" s="1"/>
  <c r="DF78" i="24" s="1"/>
  <c r="DG78" i="24" s="1"/>
  <c r="DI78" i="24"/>
  <c r="DM78" i="24"/>
  <c r="DA163" i="24"/>
  <c r="DC163" i="24" s="1"/>
  <c r="DB163" i="24"/>
  <c r="DE163" i="24" s="1"/>
  <c r="DF163" i="24" s="1"/>
  <c r="DG163" i="24" s="1"/>
  <c r="DI163" i="24"/>
  <c r="DM163" i="24"/>
  <c r="DA194" i="24"/>
  <c r="DC194" i="24" s="1"/>
  <c r="DI194" i="24"/>
  <c r="DB194" i="24"/>
  <c r="DE194" i="24" s="1"/>
  <c r="DF194" i="24" s="1"/>
  <c r="DG194" i="24" s="1"/>
  <c r="DM194" i="24"/>
  <c r="DB277" i="24"/>
  <c r="DE277" i="24" s="1"/>
  <c r="DF277" i="24" s="1"/>
  <c r="DG277" i="24" s="1"/>
  <c r="DI277" i="24"/>
  <c r="DM277" i="24"/>
  <c r="DB208" i="24"/>
  <c r="DE208" i="24" s="1"/>
  <c r="DF208" i="24" s="1"/>
  <c r="DG208" i="24" s="1"/>
  <c r="DI208" i="24"/>
  <c r="DM208" i="24"/>
  <c r="DB314" i="24"/>
  <c r="DE314" i="24" s="1"/>
  <c r="DF314" i="24" s="1"/>
  <c r="DG314" i="24" s="1"/>
  <c r="DI314" i="24"/>
  <c r="DM314" i="24"/>
  <c r="DB177" i="24"/>
  <c r="DE177" i="24" s="1"/>
  <c r="DF177" i="24" s="1"/>
  <c r="DG177" i="24" s="1"/>
  <c r="DI177" i="24"/>
  <c r="DM177" i="24"/>
  <c r="DI21" i="24"/>
  <c r="DB21" i="24"/>
  <c r="DE21" i="24" s="1"/>
  <c r="DF21" i="24" s="1"/>
  <c r="DG21" i="24" s="1"/>
  <c r="DM21" i="24"/>
  <c r="DB306" i="24"/>
  <c r="DE306" i="24" s="1"/>
  <c r="DF306" i="24" s="1"/>
  <c r="DG306" i="24" s="1"/>
  <c r="DI306" i="24"/>
  <c r="DM306" i="24"/>
  <c r="DI64" i="24"/>
  <c r="DB64" i="24"/>
  <c r="DE64" i="24" s="1"/>
  <c r="DF64" i="24" s="1"/>
  <c r="DG64" i="24" s="1"/>
  <c r="DM64" i="24"/>
  <c r="DI296" i="24"/>
  <c r="DB296" i="24"/>
  <c r="DE296" i="24" s="1"/>
  <c r="DF296" i="24" s="1"/>
  <c r="DG296" i="24" s="1"/>
  <c r="DM296" i="24"/>
  <c r="DI200" i="24"/>
  <c r="DB200" i="24"/>
  <c r="DE200" i="24" s="1"/>
  <c r="DF200" i="24" s="1"/>
  <c r="DG200" i="24" s="1"/>
  <c r="DM200" i="24"/>
  <c r="DA66" i="24"/>
  <c r="DC66" i="24" s="1"/>
  <c r="DA72" i="24"/>
  <c r="DC72" i="24" s="1"/>
  <c r="DB206" i="24"/>
  <c r="DE206" i="24" s="1"/>
  <c r="DF206" i="24" s="1"/>
  <c r="DG206" i="24" s="1"/>
  <c r="DI206" i="24"/>
  <c r="DM206" i="24"/>
  <c r="DB9" i="24"/>
  <c r="DE9" i="24" s="1"/>
  <c r="DF9" i="24" s="1"/>
  <c r="DG9" i="24" s="1"/>
  <c r="DI9" i="24"/>
  <c r="DM9" i="24"/>
  <c r="DI26" i="24"/>
  <c r="DB26" i="24"/>
  <c r="DE26" i="24" s="1"/>
  <c r="DF26" i="24" s="1"/>
  <c r="DG26" i="24" s="1"/>
  <c r="DM26" i="24"/>
  <c r="DI198" i="24"/>
  <c r="DB198" i="24"/>
  <c r="DE198" i="24" s="1"/>
  <c r="DF198" i="24" s="1"/>
  <c r="DG198" i="24" s="1"/>
  <c r="DM198" i="24"/>
  <c r="DI149" i="24"/>
  <c r="DB149" i="24"/>
  <c r="DE149" i="24" s="1"/>
  <c r="DF149" i="24" s="1"/>
  <c r="DG149" i="24" s="1"/>
  <c r="DM149" i="24"/>
  <c r="DC275" i="24"/>
  <c r="DI274" i="24"/>
  <c r="DB274" i="24"/>
  <c r="DE274" i="24" s="1"/>
  <c r="DF274" i="24" s="1"/>
  <c r="DG274" i="24" s="1"/>
  <c r="DM274" i="24"/>
  <c r="DA168" i="24"/>
  <c r="DC168" i="24" s="1"/>
  <c r="DB168" i="24"/>
  <c r="DE168" i="24" s="1"/>
  <c r="DF168" i="24" s="1"/>
  <c r="DG168" i="24" s="1"/>
  <c r="DI168" i="24"/>
  <c r="DM168" i="24"/>
  <c r="DI260" i="24"/>
  <c r="DB260" i="24"/>
  <c r="DE260" i="24" s="1"/>
  <c r="DF260" i="24" s="1"/>
  <c r="DG260" i="24" s="1"/>
  <c r="DM260" i="24"/>
  <c r="DI159" i="24"/>
  <c r="DB159" i="24"/>
  <c r="DE159" i="24" s="1"/>
  <c r="DF159" i="24" s="1"/>
  <c r="DG159" i="24" s="1"/>
  <c r="DM159" i="24"/>
  <c r="DM199" i="24"/>
  <c r="DB199" i="24"/>
  <c r="DE199" i="24" s="1"/>
  <c r="DF199" i="24" s="1"/>
  <c r="DG199" i="24" s="1"/>
  <c r="DI199" i="24"/>
  <c r="DA159" i="24"/>
  <c r="DC159" i="24" s="1"/>
  <c r="DA181" i="24"/>
  <c r="DC181" i="24" s="1"/>
  <c r="DB54" i="24"/>
  <c r="DE54" i="24" s="1"/>
  <c r="DF54" i="24" s="1"/>
  <c r="DG54" i="24" s="1"/>
  <c r="DI54" i="24"/>
  <c r="DM54" i="24"/>
  <c r="DB155" i="24"/>
  <c r="DE155" i="24" s="1"/>
  <c r="DF155" i="24" s="1"/>
  <c r="DG155" i="24" s="1"/>
  <c r="DI155" i="24"/>
  <c r="DM155" i="24"/>
  <c r="DI143" i="24"/>
  <c r="DB143" i="24"/>
  <c r="DE143" i="24" s="1"/>
  <c r="DF143" i="24" s="1"/>
  <c r="DG143" i="24" s="1"/>
  <c r="DM143" i="24"/>
  <c r="DI278" i="24"/>
  <c r="DB278" i="24"/>
  <c r="DE278" i="24" s="1"/>
  <c r="DF278" i="24" s="1"/>
  <c r="DG278" i="24" s="1"/>
  <c r="DM278" i="24"/>
  <c r="DB156" i="24"/>
  <c r="DE156" i="24" s="1"/>
  <c r="DF156" i="24" s="1"/>
  <c r="DG156" i="24" s="1"/>
  <c r="DI156" i="24"/>
  <c r="DM156" i="24"/>
  <c r="DB266" i="24"/>
  <c r="DE266" i="24" s="1"/>
  <c r="DF266" i="24" s="1"/>
  <c r="DG266" i="24" s="1"/>
  <c r="DI266" i="24"/>
  <c r="DM266" i="24"/>
  <c r="DA174" i="24"/>
  <c r="DC174" i="24" s="1"/>
  <c r="DB223" i="24"/>
  <c r="DE223" i="24" s="1"/>
  <c r="DF223" i="24" s="1"/>
  <c r="DG223" i="24" s="1"/>
  <c r="DI223" i="24"/>
  <c r="DM223" i="24"/>
  <c r="DB12" i="24"/>
  <c r="DE12" i="24" s="1"/>
  <c r="DF12" i="24" s="1"/>
  <c r="DG12" i="24" s="1"/>
  <c r="DI12" i="24"/>
  <c r="DM12" i="24"/>
  <c r="DB51" i="24"/>
  <c r="DE51" i="24" s="1"/>
  <c r="DF51" i="24" s="1"/>
  <c r="DG51" i="24" s="1"/>
  <c r="DI51" i="24"/>
  <c r="DM51" i="24"/>
  <c r="DA182" i="24"/>
  <c r="DC182" i="24" s="1"/>
  <c r="DI191" i="24"/>
  <c r="DB191" i="24"/>
  <c r="DE191" i="24" s="1"/>
  <c r="DF191" i="24" s="1"/>
  <c r="DG191" i="24" s="1"/>
  <c r="DM191" i="24"/>
  <c r="DA138" i="24"/>
  <c r="DC138" i="24" s="1"/>
  <c r="DA223" i="24"/>
  <c r="DC223" i="24" s="1"/>
  <c r="DB92" i="24"/>
  <c r="DE92" i="24" s="1"/>
  <c r="DF92" i="24" s="1"/>
  <c r="DG92" i="24" s="1"/>
  <c r="DI92" i="24"/>
  <c r="DM92" i="24"/>
  <c r="DI117" i="24"/>
  <c r="DB117" i="24"/>
  <c r="DE117" i="24" s="1"/>
  <c r="DF117" i="24" s="1"/>
  <c r="DG117" i="24" s="1"/>
  <c r="DM117" i="24"/>
  <c r="DA63" i="24"/>
  <c r="DC63" i="24" s="1"/>
  <c r="DI270" i="24"/>
  <c r="DB270" i="24"/>
  <c r="DE270" i="24" s="1"/>
  <c r="DF270" i="24" s="1"/>
  <c r="DG270" i="24" s="1"/>
  <c r="DM270" i="24"/>
  <c r="DA76" i="24"/>
  <c r="DC76" i="24" s="1"/>
  <c r="DI76" i="24"/>
  <c r="DB76" i="24"/>
  <c r="DE76" i="24" s="1"/>
  <c r="DF76" i="24" s="1"/>
  <c r="DG76" i="24" s="1"/>
  <c r="DM76" i="24"/>
  <c r="DI134" i="24"/>
  <c r="DB134" i="24"/>
  <c r="DE134" i="24" s="1"/>
  <c r="DF134" i="24" s="1"/>
  <c r="DG134" i="24" s="1"/>
  <c r="DM134" i="24"/>
  <c r="DA88" i="24"/>
  <c r="DC88" i="24" s="1"/>
  <c r="DI130" i="24"/>
  <c r="DB130" i="24"/>
  <c r="DE130" i="24" s="1"/>
  <c r="DF130" i="24" s="1"/>
  <c r="DG130" i="24" s="1"/>
  <c r="DM130" i="24"/>
  <c r="DC195" i="24"/>
  <c r="DA170" i="24"/>
  <c r="DC170" i="24" s="1"/>
  <c r="DA143" i="24"/>
  <c r="DC143" i="24" s="1"/>
  <c r="DC293" i="24"/>
  <c r="DC246" i="24"/>
  <c r="DB218" i="24"/>
  <c r="DE218" i="24" s="1"/>
  <c r="DF218" i="24" s="1"/>
  <c r="DG218" i="24" s="1"/>
  <c r="DI218" i="24"/>
  <c r="DM218" i="24"/>
  <c r="DA101" i="24"/>
  <c r="DC101" i="24" s="1"/>
  <c r="DA197" i="24"/>
  <c r="DC197" i="24" s="1"/>
  <c r="DA54" i="24"/>
  <c r="DC54" i="24" s="1"/>
  <c r="DA265" i="24"/>
  <c r="DC265" i="24" s="1"/>
  <c r="DA279" i="24"/>
  <c r="DC279" i="24" s="1"/>
  <c r="DB225" i="24"/>
  <c r="DE225" i="24" s="1"/>
  <c r="DF225" i="24" s="1"/>
  <c r="DG225" i="24" s="1"/>
  <c r="DI225" i="24"/>
  <c r="DM225" i="24"/>
  <c r="DM59" i="24"/>
  <c r="DI59" i="24"/>
  <c r="DB59" i="24"/>
  <c r="DE59" i="24" s="1"/>
  <c r="DF59" i="24" s="1"/>
  <c r="DG59" i="24" s="1"/>
  <c r="DA141" i="24"/>
  <c r="DC141" i="24" s="1"/>
  <c r="DI268" i="24"/>
  <c r="DB268" i="24"/>
  <c r="DE268" i="24" s="1"/>
  <c r="DF268" i="24" s="1"/>
  <c r="DG268" i="24" s="1"/>
  <c r="DM268" i="24"/>
  <c r="DI102" i="24"/>
  <c r="DB102" i="24"/>
  <c r="DE102" i="24" s="1"/>
  <c r="DF102" i="24" s="1"/>
  <c r="DG102" i="24" s="1"/>
  <c r="DM102" i="24"/>
  <c r="DA50" i="24"/>
  <c r="DC50" i="24" s="1"/>
  <c r="DI50" i="24"/>
  <c r="DB50" i="24"/>
  <c r="DE50" i="24" s="1"/>
  <c r="DF50" i="24" s="1"/>
  <c r="DG50" i="24" s="1"/>
  <c r="DM50" i="24"/>
  <c r="DA235" i="24"/>
  <c r="DC235" i="24" s="1"/>
  <c r="DA84" i="24"/>
  <c r="DC84" i="24" s="1"/>
  <c r="DC133" i="24"/>
  <c r="DA250" i="24"/>
  <c r="DC250" i="24" s="1"/>
  <c r="DB250" i="24"/>
  <c r="DE250" i="24" s="1"/>
  <c r="DF250" i="24" s="1"/>
  <c r="DG250" i="24" s="1"/>
  <c r="DI250" i="24"/>
  <c r="DM250" i="24"/>
  <c r="DC187" i="24"/>
  <c r="DC236" i="24"/>
  <c r="DC139" i="24"/>
  <c r="DI219" i="24"/>
  <c r="DB219" i="24"/>
  <c r="DE219" i="24" s="1"/>
  <c r="DF219" i="24" s="1"/>
  <c r="DG219" i="24" s="1"/>
  <c r="DM219" i="24"/>
  <c r="DC162" i="24"/>
  <c r="DC146" i="24"/>
  <c r="DC221" i="24"/>
  <c r="DA15" i="24"/>
  <c r="DC15" i="24" s="1"/>
  <c r="DA219" i="24"/>
  <c r="DC219" i="24" s="1"/>
  <c r="DA14" i="24"/>
  <c r="DC14" i="24" s="1"/>
  <c r="DB14" i="24"/>
  <c r="DE14" i="24" s="1"/>
  <c r="DF14" i="24" s="1"/>
  <c r="DG14" i="24" s="1"/>
  <c r="DI14" i="24"/>
  <c r="DM14" i="24"/>
  <c r="DC287" i="24"/>
  <c r="DA115" i="24"/>
  <c r="DC115" i="24" s="1"/>
  <c r="DI115" i="24"/>
  <c r="DB115" i="24"/>
  <c r="DE115" i="24" s="1"/>
  <c r="DF115" i="24" s="1"/>
  <c r="DG115" i="24" s="1"/>
  <c r="DM115" i="24"/>
  <c r="DI187" i="24"/>
  <c r="DB187" i="24"/>
  <c r="DE187" i="24" s="1"/>
  <c r="DF187" i="24" s="1"/>
  <c r="DG187" i="24" s="1"/>
  <c r="DM187" i="24"/>
  <c r="DI221" i="24"/>
  <c r="DB221" i="24"/>
  <c r="DE221" i="24" s="1"/>
  <c r="DF221" i="24" s="1"/>
  <c r="DG221" i="24" s="1"/>
  <c r="DM221" i="24"/>
  <c r="DC161" i="24"/>
  <c r="DC234" i="24"/>
  <c r="DA123" i="24"/>
  <c r="DC123" i="24" s="1"/>
  <c r="DC255" i="24"/>
  <c r="DI148" i="24"/>
  <c r="DB148" i="24"/>
  <c r="DE148" i="24" s="1"/>
  <c r="DF148" i="24" s="1"/>
  <c r="DG148" i="24" s="1"/>
  <c r="DM148" i="24"/>
  <c r="DA205" i="24"/>
  <c r="DC205" i="24" s="1"/>
  <c r="DA208" i="24"/>
  <c r="DC208" i="24" s="1"/>
  <c r="DA314" i="24"/>
  <c r="DC314" i="24" s="1"/>
  <c r="DA40" i="24"/>
  <c r="DC40" i="24" s="1"/>
  <c r="DI120" i="24"/>
  <c r="DB120" i="24"/>
  <c r="DE120" i="24" s="1"/>
  <c r="DF120" i="24" s="1"/>
  <c r="DG120" i="24" s="1"/>
  <c r="DM120" i="24"/>
  <c r="DI132" i="24"/>
  <c r="DB132" i="24"/>
  <c r="DE132" i="24" s="1"/>
  <c r="DF132" i="24" s="1"/>
  <c r="DG132" i="24" s="1"/>
  <c r="DM132" i="24"/>
  <c r="DA52" i="24"/>
  <c r="DC52" i="24" s="1"/>
  <c r="DB52" i="24"/>
  <c r="DE52" i="24" s="1"/>
  <c r="DF52" i="24" s="1"/>
  <c r="DG52" i="24" s="1"/>
  <c r="DI52" i="24"/>
  <c r="DM52" i="24"/>
  <c r="DC257" i="24"/>
  <c r="DC243" i="24"/>
  <c r="DB62" i="24"/>
  <c r="DE62" i="24" s="1"/>
  <c r="DF62" i="24" s="1"/>
  <c r="DG62" i="24" s="1"/>
  <c r="DI62" i="24"/>
  <c r="DM62" i="24"/>
  <c r="DI151" i="24"/>
  <c r="DB151" i="24"/>
  <c r="DE151" i="24" s="1"/>
  <c r="DF151" i="24" s="1"/>
  <c r="DG151" i="24" s="1"/>
  <c r="DM151" i="24"/>
  <c r="DI49" i="24"/>
  <c r="DB49" i="24"/>
  <c r="DE49" i="24" s="1"/>
  <c r="DF49" i="24" s="1"/>
  <c r="DG49" i="24" s="1"/>
  <c r="DM49" i="24"/>
  <c r="DI131" i="24"/>
  <c r="DB131" i="24"/>
  <c r="DE131" i="24" s="1"/>
  <c r="DF131" i="24" s="1"/>
  <c r="DG131" i="24" s="1"/>
  <c r="DM131" i="24"/>
  <c r="DC269" i="24"/>
  <c r="DI230" i="24"/>
  <c r="DB230" i="24"/>
  <c r="DE230" i="24" s="1"/>
  <c r="DF230" i="24" s="1"/>
  <c r="DG230" i="24" s="1"/>
  <c r="DM230" i="24"/>
  <c r="DI293" i="24"/>
  <c r="DB293" i="24"/>
  <c r="DE293" i="24" s="1"/>
  <c r="DF293" i="24" s="1"/>
  <c r="DG293" i="24" s="1"/>
  <c r="DM293" i="24"/>
  <c r="DC124" i="24"/>
  <c r="DI114" i="24"/>
  <c r="DB114" i="24"/>
  <c r="DE114" i="24" s="1"/>
  <c r="DF114" i="24" s="1"/>
  <c r="DG114" i="24" s="1"/>
  <c r="DM114" i="24"/>
  <c r="DI239" i="24"/>
  <c r="DB239" i="24"/>
  <c r="DE239" i="24" s="1"/>
  <c r="DF239" i="24" s="1"/>
  <c r="DG239" i="24" s="1"/>
  <c r="DM239" i="24"/>
  <c r="DA227" i="24"/>
  <c r="DC227" i="24" s="1"/>
  <c r="DI227" i="24"/>
  <c r="DB227" i="24"/>
  <c r="DE227" i="24" s="1"/>
  <c r="DF227" i="24" s="1"/>
  <c r="DG227" i="24" s="1"/>
  <c r="DM227" i="24"/>
  <c r="DB144" i="24"/>
  <c r="DE144" i="24" s="1"/>
  <c r="DF144" i="24" s="1"/>
  <c r="DG144" i="24" s="1"/>
  <c r="DI144" i="24"/>
  <c r="DM144" i="24"/>
  <c r="DA304" i="24"/>
  <c r="DC304" i="24" s="1"/>
  <c r="DA96" i="24"/>
  <c r="DC96" i="24" s="1"/>
  <c r="DB178" i="24"/>
  <c r="DE178" i="24" s="1"/>
  <c r="DF178" i="24" s="1"/>
  <c r="DG178" i="24" s="1"/>
  <c r="DI178" i="24"/>
  <c r="DM178" i="24"/>
  <c r="DB195" i="24"/>
  <c r="DE195" i="24" s="1"/>
  <c r="DF195" i="24" s="1"/>
  <c r="DG195" i="24" s="1"/>
  <c r="DI195" i="24"/>
  <c r="DM195" i="24"/>
  <c r="DC280" i="24"/>
  <c r="DI38" i="24"/>
  <c r="DB38" i="24"/>
  <c r="DE38" i="24" s="1"/>
  <c r="DF38" i="24" s="1"/>
  <c r="DG38" i="24" s="1"/>
  <c r="DM38" i="24"/>
  <c r="DI23" i="24"/>
  <c r="DB23" i="24"/>
  <c r="DE23" i="24" s="1"/>
  <c r="DF23" i="24" s="1"/>
  <c r="DG23" i="24" s="1"/>
  <c r="DM23" i="24"/>
  <c r="DB310" i="24"/>
  <c r="DE310" i="24" s="1"/>
  <c r="DF310" i="24" s="1"/>
  <c r="DG310" i="24" s="1"/>
  <c r="DI310" i="24"/>
  <c r="DM310" i="24"/>
  <c r="DI85" i="24"/>
  <c r="DB85" i="24"/>
  <c r="DE85" i="24" s="1"/>
  <c r="DF85" i="24" s="1"/>
  <c r="DG85" i="24" s="1"/>
  <c r="DM85" i="24"/>
  <c r="DA134" i="24"/>
  <c r="DC134" i="24" s="1"/>
  <c r="DI243" i="24"/>
  <c r="DB243" i="24"/>
  <c r="DE243" i="24" s="1"/>
  <c r="DF243" i="24" s="1"/>
  <c r="DG243" i="24" s="1"/>
  <c r="DM243" i="24"/>
  <c r="DM39" i="24"/>
  <c r="DB39" i="24"/>
  <c r="DE39" i="24" s="1"/>
  <c r="DF39" i="24" s="1"/>
  <c r="DG39" i="24" s="1"/>
  <c r="DI39" i="24"/>
  <c r="DB124" i="24"/>
  <c r="DE124" i="24" s="1"/>
  <c r="DF124" i="24" s="1"/>
  <c r="DG124" i="24" s="1"/>
  <c r="DI124" i="24"/>
  <c r="DM124" i="24"/>
  <c r="DI37" i="24"/>
  <c r="DB37" i="24"/>
  <c r="DE37" i="24" s="1"/>
  <c r="DF37" i="24" s="1"/>
  <c r="DG37" i="24" s="1"/>
  <c r="DM37" i="24"/>
  <c r="DI17" i="24"/>
  <c r="DB17" i="24"/>
  <c r="DE17" i="24" s="1"/>
  <c r="DF17" i="24" s="1"/>
  <c r="DG17" i="24" s="1"/>
  <c r="DM17" i="24"/>
  <c r="DA310" i="24"/>
  <c r="DC310" i="24" s="1"/>
  <c r="DA144" i="24"/>
  <c r="DC144" i="24" s="1"/>
  <c r="DI303" i="24"/>
  <c r="DB303" i="24"/>
  <c r="DE303" i="24" s="1"/>
  <c r="DF303" i="24" s="1"/>
  <c r="DG303" i="24" s="1"/>
  <c r="DM303" i="24"/>
  <c r="DI25" i="24"/>
  <c r="DB25" i="24"/>
  <c r="DE25" i="24" s="1"/>
  <c r="DF25" i="24" s="1"/>
  <c r="DG25" i="24" s="1"/>
  <c r="DM25" i="24"/>
  <c r="DA248" i="24"/>
  <c r="DC248" i="24" s="1"/>
  <c r="DI248" i="24"/>
  <c r="DB248" i="24"/>
  <c r="DE248" i="24" s="1"/>
  <c r="DF248" i="24" s="1"/>
  <c r="DG248" i="24" s="1"/>
  <c r="DM248" i="24"/>
  <c r="DB67" i="24"/>
  <c r="DE67" i="24" s="1"/>
  <c r="DF67" i="24" s="1"/>
  <c r="DG67" i="24" s="1"/>
  <c r="DI67" i="24"/>
  <c r="DM67" i="24"/>
  <c r="DI104" i="24"/>
  <c r="DB104" i="24"/>
  <c r="DE104" i="24" s="1"/>
  <c r="DF104" i="24" s="1"/>
  <c r="DG104" i="24" s="1"/>
  <c r="DM104" i="24"/>
  <c r="DI58" i="24"/>
  <c r="DB58" i="24"/>
  <c r="DE58" i="24" s="1"/>
  <c r="DF58" i="24" s="1"/>
  <c r="DG58" i="24" s="1"/>
  <c r="DM58" i="24"/>
  <c r="DI285" i="24"/>
  <c r="DB285" i="24"/>
  <c r="DE285" i="24" s="1"/>
  <c r="DF285" i="24" s="1"/>
  <c r="DG285" i="24" s="1"/>
  <c r="DM285" i="24"/>
  <c r="DC200" i="24"/>
  <c r="DI244" i="24"/>
  <c r="DB244" i="24"/>
  <c r="DE244" i="24" s="1"/>
  <c r="DF244" i="24" s="1"/>
  <c r="DG244" i="24" s="1"/>
  <c r="DM244" i="24"/>
  <c r="DB86" i="24"/>
  <c r="DE86" i="24" s="1"/>
  <c r="DF86" i="24" s="1"/>
  <c r="DG86" i="24" s="1"/>
  <c r="DI86" i="24"/>
  <c r="DM86" i="24"/>
  <c r="DI139" i="24"/>
  <c r="DB139" i="24"/>
  <c r="DE139" i="24" s="1"/>
  <c r="DF139" i="24" s="1"/>
  <c r="DG139" i="24" s="1"/>
  <c r="DM139" i="24"/>
  <c r="DA156" i="24"/>
  <c r="DC156" i="24" s="1"/>
  <c r="DC192" i="24"/>
  <c r="DA263" i="24"/>
  <c r="DC263" i="24" s="1"/>
  <c r="DA17" i="24"/>
  <c r="DC17" i="24" s="1"/>
  <c r="DB282" i="24"/>
  <c r="DE282" i="24" s="1"/>
  <c r="DF282" i="24" s="1"/>
  <c r="DG282" i="24" s="1"/>
  <c r="DI282" i="24"/>
  <c r="DM282" i="24"/>
  <c r="DC300" i="24"/>
  <c r="DA64" i="24"/>
  <c r="DC64" i="24" s="1"/>
  <c r="DA136" i="24"/>
  <c r="DC136" i="24" s="1"/>
  <c r="DI45" i="24"/>
  <c r="DB45" i="24"/>
  <c r="DE45" i="24" s="1"/>
  <c r="DF45" i="24" s="1"/>
  <c r="DG45" i="24" s="1"/>
  <c r="DM45" i="24"/>
  <c r="DI240" i="24"/>
  <c r="DB240" i="24"/>
  <c r="DE240" i="24" s="1"/>
  <c r="DF240" i="24" s="1"/>
  <c r="DG240" i="24" s="1"/>
  <c r="DM240" i="24"/>
  <c r="DB298" i="24"/>
  <c r="DE298" i="24" s="1"/>
  <c r="DF298" i="24" s="1"/>
  <c r="DG298" i="24" s="1"/>
  <c r="DI298" i="24"/>
  <c r="DM298" i="24"/>
  <c r="DC259" i="24"/>
  <c r="DA41" i="24"/>
  <c r="DC41" i="24" s="1"/>
  <c r="DB233" i="24"/>
  <c r="DE233" i="24" s="1"/>
  <c r="DF233" i="24" s="1"/>
  <c r="DG233" i="24" s="1"/>
  <c r="DI233" i="24"/>
  <c r="DM233" i="24"/>
  <c r="DI311" i="24"/>
  <c r="DB311" i="24"/>
  <c r="DE311" i="24" s="1"/>
  <c r="DF311" i="24" s="1"/>
  <c r="DG311" i="24" s="1"/>
  <c r="DM311" i="24"/>
  <c r="DC172" i="24"/>
  <c r="DB236" i="24"/>
  <c r="DE236" i="24" s="1"/>
  <c r="DF236" i="24" s="1"/>
  <c r="DG236" i="24" s="1"/>
  <c r="DI236" i="24"/>
  <c r="DM236" i="24"/>
  <c r="DA11" i="24"/>
  <c r="DC11" i="24" s="1"/>
  <c r="DB11" i="24"/>
  <c r="DE11" i="24" s="1"/>
  <c r="DF11" i="24" s="1"/>
  <c r="DG11" i="24" s="1"/>
  <c r="DI11" i="24"/>
  <c r="DM11" i="24"/>
  <c r="DI176" i="24"/>
  <c r="DB176" i="24"/>
  <c r="DE176" i="24" s="1"/>
  <c r="DF176" i="24" s="1"/>
  <c r="DG176" i="24" s="1"/>
  <c r="DM176" i="24"/>
  <c r="DI169" i="24"/>
  <c r="DB169" i="24"/>
  <c r="DE169" i="24" s="1"/>
  <c r="DF169" i="24" s="1"/>
  <c r="DG169" i="24" s="1"/>
  <c r="DM169" i="24"/>
  <c r="DB48" i="24"/>
  <c r="DE48" i="24" s="1"/>
  <c r="DF48" i="24" s="1"/>
  <c r="DG48" i="24" s="1"/>
  <c r="DI48" i="24"/>
  <c r="DM48" i="24"/>
  <c r="DI7" i="24"/>
  <c r="DB7" i="24"/>
  <c r="DE7" i="24" s="1"/>
  <c r="DF7" i="24" s="1"/>
  <c r="DG7" i="24" s="1"/>
  <c r="DM7" i="24"/>
  <c r="DI34" i="24"/>
  <c r="DB34" i="24"/>
  <c r="DE34" i="24" s="1"/>
  <c r="DF34" i="24" s="1"/>
  <c r="DG34" i="24" s="1"/>
  <c r="DM34" i="24"/>
  <c r="DA210" i="24"/>
  <c r="DC210" i="24" s="1"/>
  <c r="DA228" i="24"/>
  <c r="DC228" i="24" s="1"/>
  <c r="DC176" i="24"/>
  <c r="DB35" i="24"/>
  <c r="DE35" i="24" s="1"/>
  <c r="DF35" i="24" s="1"/>
  <c r="DG35" i="24" s="1"/>
  <c r="DI35" i="24"/>
  <c r="DM35" i="24"/>
  <c r="DI288" i="24"/>
  <c r="DB288" i="24"/>
  <c r="DE288" i="24" s="1"/>
  <c r="DF288" i="24" s="1"/>
  <c r="DG288" i="24" s="1"/>
  <c r="DM288" i="24"/>
  <c r="DA274" i="24"/>
  <c r="DC274" i="24" s="1"/>
  <c r="DI57" i="24"/>
  <c r="DB57" i="24"/>
  <c r="DE57" i="24" s="1"/>
  <c r="DF57" i="24" s="1"/>
  <c r="DG57" i="24" s="1"/>
  <c r="DM57" i="24"/>
  <c r="DI42" i="24"/>
  <c r="DB42" i="24"/>
  <c r="DE42" i="24" s="1"/>
  <c r="DF42" i="24" s="1"/>
  <c r="DG42" i="24" s="1"/>
  <c r="DM42" i="24"/>
  <c r="DI140" i="24"/>
  <c r="DB140" i="24"/>
  <c r="DE140" i="24" s="1"/>
  <c r="DF140" i="24" s="1"/>
  <c r="DG140" i="24" s="1"/>
  <c r="DM140" i="24"/>
  <c r="DI196" i="24"/>
  <c r="DB196" i="24"/>
  <c r="DE196" i="24" s="1"/>
  <c r="DF196" i="24" s="1"/>
  <c r="DG196" i="24" s="1"/>
  <c r="DM196" i="24"/>
  <c r="DI252" i="24"/>
  <c r="DB252" i="24"/>
  <c r="DE252" i="24" s="1"/>
  <c r="DF252" i="24" s="1"/>
  <c r="DG252" i="24" s="1"/>
  <c r="DM252" i="24"/>
  <c r="DB33" i="24"/>
  <c r="DE33" i="24" s="1"/>
  <c r="DF33" i="24" s="1"/>
  <c r="DG33" i="24" s="1"/>
  <c r="DI33" i="24"/>
  <c r="DM33" i="24"/>
  <c r="DI154" i="24"/>
  <c r="DB154" i="24"/>
  <c r="DE154" i="24" s="1"/>
  <c r="DF154" i="24" s="1"/>
  <c r="DG154" i="24" s="1"/>
  <c r="DM154" i="24"/>
  <c r="DI71" i="24"/>
  <c r="DB71" i="24"/>
  <c r="DE71" i="24" s="1"/>
  <c r="DF71" i="24" s="1"/>
  <c r="DG71" i="24" s="1"/>
  <c r="DM71" i="24"/>
  <c r="DA239" i="24"/>
  <c r="DC239" i="24" s="1"/>
  <c r="DI24" i="24"/>
  <c r="DB24" i="24"/>
  <c r="DE24" i="24" s="1"/>
  <c r="DF24" i="24" s="1"/>
  <c r="DG24" i="24" s="1"/>
  <c r="DM24" i="24"/>
  <c r="DI55" i="24"/>
  <c r="DB55" i="24"/>
  <c r="DE55" i="24" s="1"/>
  <c r="DF55" i="24" s="1"/>
  <c r="DG55" i="24" s="1"/>
  <c r="DM55" i="24"/>
  <c r="DC166" i="24"/>
  <c r="DI246" i="24"/>
  <c r="DB246" i="24"/>
  <c r="DE246" i="24" s="1"/>
  <c r="DF246" i="24" s="1"/>
  <c r="DG246" i="24" s="1"/>
  <c r="DM246" i="24"/>
  <c r="DA229" i="24"/>
  <c r="DC229" i="24" s="1"/>
  <c r="DB229" i="24"/>
  <c r="DE229" i="24" s="1"/>
  <c r="DF229" i="24" s="1"/>
  <c r="DG229" i="24" s="1"/>
  <c r="DI229" i="24"/>
  <c r="DM229" i="24"/>
  <c r="DI165" i="24"/>
  <c r="DB165" i="24"/>
  <c r="DE165" i="24" s="1"/>
  <c r="DF165" i="24" s="1"/>
  <c r="DG165" i="24" s="1"/>
  <c r="DM165" i="24"/>
  <c r="DI280" i="24"/>
  <c r="DB280" i="24"/>
  <c r="DE280" i="24" s="1"/>
  <c r="DF280" i="24" s="1"/>
  <c r="DG280" i="24" s="1"/>
  <c r="DM280" i="24"/>
  <c r="DC127" i="24"/>
  <c r="DC260" i="24"/>
  <c r="DA145" i="24"/>
  <c r="DC145" i="24" s="1"/>
  <c r="DA117" i="24"/>
  <c r="DC117" i="24" s="1"/>
  <c r="DC273" i="24"/>
  <c r="DA90" i="24"/>
  <c r="DC90" i="24" s="1"/>
  <c r="DA305" i="24"/>
  <c r="DC305" i="24" s="1"/>
  <c r="DB305" i="24"/>
  <c r="DE305" i="24" s="1"/>
  <c r="DF305" i="24" s="1"/>
  <c r="DG305" i="24" s="1"/>
  <c r="DI305" i="24"/>
  <c r="DM305" i="24"/>
  <c r="DA55" i="24"/>
  <c r="DC55" i="24" s="1"/>
  <c r="DA266" i="24"/>
  <c r="DC266" i="24" s="1"/>
  <c r="DA114" i="24"/>
  <c r="DC114" i="24" s="1"/>
  <c r="DB142" i="24"/>
  <c r="DE142" i="24" s="1"/>
  <c r="DF142" i="24" s="1"/>
  <c r="DG142" i="24" s="1"/>
  <c r="DI142" i="24"/>
  <c r="DM142" i="24"/>
  <c r="DI125" i="24"/>
  <c r="DB125" i="24"/>
  <c r="DE125" i="24" s="1"/>
  <c r="DF125" i="24" s="1"/>
  <c r="DG125" i="24" s="1"/>
  <c r="DM125" i="24"/>
  <c r="DI68" i="24"/>
  <c r="DB68" i="24"/>
  <c r="DE68" i="24" s="1"/>
  <c r="DF68" i="24" s="1"/>
  <c r="DG68" i="24" s="1"/>
  <c r="DM68" i="24"/>
  <c r="DC135" i="24"/>
  <c r="DB247" i="24"/>
  <c r="DE247" i="24" s="1"/>
  <c r="DF247" i="24" s="1"/>
  <c r="DG247" i="24" s="1"/>
  <c r="DI247" i="24"/>
  <c r="DM247" i="24"/>
  <c r="DA105" i="24"/>
  <c r="DC105" i="24" s="1"/>
  <c r="DI287" i="24"/>
  <c r="DB287" i="24"/>
  <c r="DE287" i="24" s="1"/>
  <c r="DF287" i="24" s="1"/>
  <c r="DG287" i="24" s="1"/>
  <c r="DM287" i="24"/>
  <c r="DI113" i="24"/>
  <c r="DB113" i="24"/>
  <c r="DE113" i="24" s="1"/>
  <c r="DF113" i="24" s="1"/>
  <c r="DG113" i="24" s="1"/>
  <c r="DM113" i="24"/>
  <c r="DB294" i="24"/>
  <c r="DE294" i="24" s="1"/>
  <c r="DF294" i="24" s="1"/>
  <c r="DG294" i="24" s="1"/>
  <c r="DI294" i="24"/>
  <c r="DM294" i="24"/>
  <c r="DC190" i="24"/>
  <c r="DB193" i="24"/>
  <c r="DE193" i="24" s="1"/>
  <c r="DF193" i="24" s="1"/>
  <c r="DG193" i="24" s="1"/>
  <c r="DI193" i="24"/>
  <c r="DM193" i="24"/>
  <c r="DI209" i="24"/>
  <c r="DB209" i="24"/>
  <c r="DE209" i="24" s="1"/>
  <c r="DF209" i="24" s="1"/>
  <c r="DG209" i="24" s="1"/>
  <c r="DM209" i="24"/>
  <c r="DI203" i="24"/>
  <c r="DB203" i="24"/>
  <c r="DE203" i="24" s="1"/>
  <c r="DF203" i="24" s="1"/>
  <c r="DG203" i="24" s="1"/>
  <c r="DM203" i="24"/>
  <c r="DI75" i="24"/>
  <c r="DB75" i="24"/>
  <c r="DE75" i="24" s="1"/>
  <c r="DF75" i="24" s="1"/>
  <c r="DG75" i="24" s="1"/>
  <c r="DM75" i="24"/>
  <c r="DI190" i="24"/>
  <c r="DB190" i="24"/>
  <c r="DE190" i="24" s="1"/>
  <c r="DF190" i="24" s="1"/>
  <c r="DG190" i="24" s="1"/>
  <c r="DM190" i="24"/>
  <c r="DI150" i="24"/>
  <c r="DB150" i="24"/>
  <c r="DE150" i="24" s="1"/>
  <c r="DF150" i="24" s="1"/>
  <c r="DG150" i="24" s="1"/>
  <c r="DM150" i="24"/>
  <c r="DA177" i="24"/>
  <c r="DC177" i="24" s="1"/>
  <c r="DC294" i="24"/>
  <c r="DB167" i="24"/>
  <c r="DE167" i="24" s="1"/>
  <c r="DF167" i="24" s="1"/>
  <c r="DG167" i="24" s="1"/>
  <c r="DI167" i="24"/>
  <c r="DM167" i="24"/>
  <c r="DA81" i="24"/>
  <c r="DC81" i="24" s="1"/>
  <c r="DB81" i="24"/>
  <c r="DE81" i="24" s="1"/>
  <c r="DF81" i="24" s="1"/>
  <c r="DG81" i="24" s="1"/>
  <c r="DI81" i="24"/>
  <c r="DM81" i="24"/>
  <c r="DA150" i="24"/>
  <c r="DC150" i="24" s="1"/>
  <c r="DI253" i="24"/>
  <c r="DB253" i="24"/>
  <c r="DE253" i="24" s="1"/>
  <c r="DF253" i="24" s="1"/>
  <c r="DG253" i="24" s="1"/>
  <c r="DM253" i="24"/>
  <c r="DC111" i="24"/>
  <c r="DI118" i="24"/>
  <c r="DB118" i="24"/>
  <c r="DE118" i="24" s="1"/>
  <c r="DF118" i="24" s="1"/>
  <c r="DG118" i="24" s="1"/>
  <c r="DM118" i="24"/>
  <c r="DB161" i="24"/>
  <c r="DE161" i="24" s="1"/>
  <c r="DF161" i="24" s="1"/>
  <c r="DG161" i="24" s="1"/>
  <c r="DI161" i="24"/>
  <c r="DM161" i="24"/>
  <c r="DA232" i="24"/>
  <c r="DC232" i="24" s="1"/>
  <c r="DB232" i="24"/>
  <c r="DE232" i="24" s="1"/>
  <c r="DF232" i="24" s="1"/>
  <c r="DG232" i="24" s="1"/>
  <c r="DI232" i="24"/>
  <c r="DM232" i="24"/>
  <c r="DC240" i="24"/>
  <c r="DI302" i="24"/>
  <c r="DB302" i="24"/>
  <c r="DE302" i="24" s="1"/>
  <c r="DF302" i="24" s="1"/>
  <c r="DG302" i="24" s="1"/>
  <c r="DM302" i="24"/>
  <c r="E56" i="1"/>
  <c r="N53" i="29"/>
  <c r="N309" i="29"/>
  <c r="M226" i="29"/>
  <c r="N150" i="29"/>
  <c r="M67" i="29"/>
  <c r="M323" i="29"/>
  <c r="N239" i="29"/>
  <c r="M160" i="29"/>
  <c r="N185" i="29"/>
  <c r="M102" i="29"/>
  <c r="N26" i="29"/>
  <c r="N282" i="29"/>
  <c r="M199" i="29"/>
  <c r="N115" i="29"/>
  <c r="M36" i="29"/>
  <c r="M292" i="29"/>
  <c r="N212" i="29"/>
  <c r="N101" i="29"/>
  <c r="M18" i="29"/>
  <c r="M274" i="29"/>
  <c r="N198" i="29"/>
  <c r="M115" i="29"/>
  <c r="N31" i="29"/>
  <c r="N287" i="29"/>
  <c r="M208" i="29"/>
  <c r="N128" i="29"/>
  <c r="M285" i="29"/>
  <c r="M54" i="29"/>
  <c r="N130" i="29"/>
  <c r="M203" i="29"/>
  <c r="N267" i="29"/>
  <c r="M328" i="29"/>
  <c r="N332" i="29"/>
  <c r="M562" i="29"/>
  <c r="N486" i="29"/>
  <c r="M407" i="29"/>
  <c r="M233" i="29"/>
  <c r="N209" i="29"/>
  <c r="M342" i="29"/>
  <c r="M139" i="29"/>
  <c r="N263" i="29"/>
  <c r="N40" i="29"/>
  <c r="M378" i="29"/>
  <c r="M257" i="29"/>
  <c r="N384" i="29"/>
  <c r="M587" i="29"/>
  <c r="N543" i="29"/>
  <c r="M468" i="29"/>
  <c r="M74" i="29"/>
  <c r="N206" i="29"/>
  <c r="M335" i="29"/>
  <c r="M124" i="29"/>
  <c r="N200" i="29"/>
  <c r="M502" i="29"/>
  <c r="N462" i="29"/>
  <c r="M419" i="29"/>
  <c r="N383" i="29"/>
  <c r="M109" i="29"/>
  <c r="N169" i="29"/>
  <c r="N114" i="29"/>
  <c r="N71" i="29"/>
  <c r="M340" i="29"/>
  <c r="M446" i="29"/>
  <c r="N506" i="29"/>
  <c r="M559" i="29"/>
  <c r="N603" i="29"/>
  <c r="M592" i="29"/>
  <c r="M513" i="29"/>
  <c r="N105" i="29"/>
  <c r="N50" i="29"/>
  <c r="M343" i="29"/>
  <c r="M280" i="29"/>
  <c r="N109" i="29"/>
  <c r="N62" i="29"/>
  <c r="M347" i="29"/>
  <c r="M288" i="29"/>
  <c r="M410" i="29"/>
  <c r="N470" i="29"/>
  <c r="M523" i="29"/>
  <c r="N571" i="29"/>
  <c r="M568" i="29"/>
  <c r="M489" i="29"/>
  <c r="N437" i="29"/>
  <c r="M22" i="29"/>
  <c r="N306" i="29"/>
  <c r="N85" i="29"/>
  <c r="N341" i="29"/>
  <c r="M258" i="29"/>
  <c r="N182" i="29"/>
  <c r="M99" i="29"/>
  <c r="N15" i="29"/>
  <c r="N271" i="29"/>
  <c r="M192" i="29"/>
  <c r="N217" i="29"/>
  <c r="M134" i="29"/>
  <c r="N58" i="29"/>
  <c r="N314" i="29"/>
  <c r="M231" i="29"/>
  <c r="N147" i="29"/>
  <c r="M68" i="29"/>
  <c r="M324" i="29"/>
  <c r="N244" i="29"/>
  <c r="N133" i="29"/>
  <c r="M50" i="29"/>
  <c r="M306" i="29"/>
  <c r="N230" i="29"/>
  <c r="M147" i="29"/>
  <c r="N63" i="29"/>
  <c r="N319" i="29"/>
  <c r="M240" i="29"/>
  <c r="N160" i="29"/>
  <c r="N33" i="29"/>
  <c r="M106" i="29"/>
  <c r="N178" i="29"/>
  <c r="M251" i="29"/>
  <c r="N323" i="29"/>
  <c r="N36" i="29"/>
  <c r="M221" i="29"/>
  <c r="M594" i="29"/>
  <c r="N518" i="29"/>
  <c r="M439" i="29"/>
  <c r="N367" i="29"/>
  <c r="N269" i="29"/>
  <c r="N66" i="29"/>
  <c r="M191" i="29"/>
  <c r="N327" i="29"/>
  <c r="N88" i="29"/>
  <c r="M414" i="29"/>
  <c r="N374" i="29"/>
  <c r="M197" i="29"/>
  <c r="N392" i="29"/>
  <c r="N575" i="29"/>
  <c r="M500" i="29"/>
  <c r="M126" i="29"/>
  <c r="N266" i="29"/>
  <c r="N55" i="29"/>
  <c r="M184" i="29"/>
  <c r="N252" i="29"/>
  <c r="M538" i="29"/>
  <c r="N498" i="29"/>
  <c r="M455" i="29"/>
  <c r="N419" i="29"/>
  <c r="M352" i="29"/>
  <c r="N253" i="29"/>
  <c r="N202" i="29"/>
  <c r="N139" i="29"/>
  <c r="N68" i="29"/>
  <c r="M494" i="29"/>
  <c r="N554" i="29"/>
  <c r="M611" i="29"/>
  <c r="M77" i="29"/>
  <c r="M273" i="29"/>
  <c r="M545" i="29"/>
  <c r="N177" i="29"/>
  <c r="N138" i="29"/>
  <c r="N75" i="29"/>
  <c r="M348" i="29"/>
  <c r="N193" i="29"/>
  <c r="N142" i="29"/>
  <c r="N87" i="29"/>
  <c r="N16" i="29"/>
  <c r="M458" i="29"/>
  <c r="N514" i="29"/>
  <c r="M575" i="29"/>
  <c r="M49" i="29"/>
  <c r="M600" i="29"/>
  <c r="M521" i="29"/>
  <c r="N469" i="29"/>
  <c r="M90" i="29"/>
  <c r="N117" i="29"/>
  <c r="M34" i="29"/>
  <c r="M290" i="29"/>
  <c r="N214" i="29"/>
  <c r="M131" i="29"/>
  <c r="N47" i="29"/>
  <c r="N303" i="29"/>
  <c r="M224" i="29"/>
  <c r="N249" i="29"/>
  <c r="M166" i="29"/>
  <c r="N90" i="29"/>
  <c r="N346" i="29"/>
  <c r="M263" i="29"/>
  <c r="N179" i="29"/>
  <c r="M100" i="29"/>
  <c r="N20" i="29"/>
  <c r="N276" i="29"/>
  <c r="N165" i="29"/>
  <c r="M82" i="29"/>
  <c r="M338" i="29"/>
  <c r="N262" i="29"/>
  <c r="M179" i="29"/>
  <c r="N95" i="29"/>
  <c r="M16" i="29"/>
  <c r="M272" i="29"/>
  <c r="N192" i="29"/>
  <c r="N81" i="29"/>
  <c r="M154" i="29"/>
  <c r="N234" i="29"/>
  <c r="M303" i="29"/>
  <c r="M40" i="29"/>
  <c r="N76" i="29"/>
  <c r="M370" i="29"/>
  <c r="N388" i="29"/>
  <c r="N550" i="29"/>
  <c r="M471" i="29"/>
  <c r="N399" i="29"/>
  <c r="N329" i="29"/>
  <c r="N126" i="29"/>
  <c r="M255" i="29"/>
  <c r="M52" i="29"/>
  <c r="N136" i="29"/>
  <c r="M450" i="29"/>
  <c r="N410" i="29"/>
  <c r="M367" i="29"/>
  <c r="M201" i="29"/>
  <c r="N607" i="29"/>
  <c r="N61" i="29"/>
  <c r="M186" i="29"/>
  <c r="N322" i="29"/>
  <c r="N107" i="29"/>
  <c r="M248" i="29"/>
  <c r="N300" i="29"/>
  <c r="M574" i="29"/>
  <c r="N534" i="29"/>
  <c r="M491" i="29"/>
  <c r="N455" i="29"/>
  <c r="M384" i="29"/>
  <c r="N321" i="29"/>
  <c r="N274" i="29"/>
  <c r="N227" i="29"/>
  <c r="N132" i="29"/>
  <c r="M546" i="29"/>
  <c r="N602" i="29"/>
  <c r="M169" i="29"/>
  <c r="M360" i="29"/>
  <c r="M117" i="29"/>
  <c r="M577" i="29"/>
  <c r="N257" i="29"/>
  <c r="N210" i="29"/>
  <c r="N155" i="29"/>
  <c r="N72" i="29"/>
  <c r="N265" i="29"/>
  <c r="N222" i="29"/>
  <c r="N163" i="29"/>
  <c r="N80" i="29"/>
  <c r="M510" i="29"/>
  <c r="N566" i="29"/>
  <c r="M337" i="29"/>
  <c r="M173" i="29"/>
  <c r="N376" i="29"/>
  <c r="M553" i="29"/>
  <c r="N501" i="29"/>
  <c r="M174" i="29"/>
  <c r="N149" i="29"/>
  <c r="M66" i="29"/>
  <c r="M322" i="29"/>
  <c r="N246" i="29"/>
  <c r="M163" i="29"/>
  <c r="N79" i="29"/>
  <c r="N335" i="29"/>
  <c r="N25" i="29"/>
  <c r="N281" i="29"/>
  <c r="M198" i="29"/>
  <c r="N122" i="29"/>
  <c r="M39" i="29"/>
  <c r="M295" i="29"/>
  <c r="N211" i="29"/>
  <c r="M132" i="29"/>
  <c r="N52" i="29"/>
  <c r="N308" i="29"/>
  <c r="N197" i="29"/>
  <c r="M114" i="29"/>
  <c r="N38" i="29"/>
  <c r="N294" i="29"/>
  <c r="M211" i="29"/>
  <c r="N127" i="29"/>
  <c r="M48" i="29"/>
  <c r="M304" i="29"/>
  <c r="N224" i="29"/>
  <c r="N137" i="29"/>
  <c r="M206" i="29"/>
  <c r="N286" i="29"/>
  <c r="M351" i="29"/>
  <c r="M88" i="29"/>
  <c r="N120" i="29"/>
  <c r="M402" i="29"/>
  <c r="M161" i="29"/>
  <c r="N582" i="29"/>
  <c r="M503" i="29"/>
  <c r="N431" i="29"/>
  <c r="M46" i="29"/>
  <c r="N190" i="29"/>
  <c r="M315" i="29"/>
  <c r="M108" i="29"/>
  <c r="N184" i="29"/>
  <c r="M486" i="29"/>
  <c r="N446" i="29"/>
  <c r="M403" i="29"/>
  <c r="N371" i="29"/>
  <c r="N468" i="29"/>
  <c r="N113" i="29"/>
  <c r="M246" i="29"/>
  <c r="M43" i="29"/>
  <c r="N171" i="29"/>
  <c r="M296" i="29"/>
  <c r="N348" i="29"/>
  <c r="M610" i="29"/>
  <c r="N570" i="29"/>
  <c r="M527" i="29"/>
  <c r="N491" i="29"/>
  <c r="M416" i="29"/>
  <c r="M62" i="29"/>
  <c r="M15" i="29"/>
  <c r="N299" i="29"/>
  <c r="N196" i="29"/>
  <c r="M590" i="29"/>
  <c r="M101" i="29"/>
  <c r="N379" i="29"/>
  <c r="M400" i="29"/>
  <c r="M353" i="29"/>
  <c r="M609" i="29"/>
  <c r="N333" i="29"/>
  <c r="N290" i="29"/>
  <c r="N235" i="29"/>
  <c r="N140" i="29"/>
  <c r="N349" i="29"/>
  <c r="N298" i="29"/>
  <c r="N247" i="29"/>
  <c r="N144" i="29"/>
  <c r="M554" i="29"/>
  <c r="M145" i="29"/>
  <c r="M297" i="29"/>
  <c r="M368" i="29"/>
  <c r="M181" i="29"/>
  <c r="M585" i="29"/>
  <c r="N533" i="29"/>
  <c r="M250" i="29"/>
  <c r="N181" i="29"/>
  <c r="M98" i="29"/>
  <c r="N22" i="29"/>
  <c r="N278" i="29"/>
  <c r="M195" i="29"/>
  <c r="N111" i="29"/>
  <c r="M32" i="29"/>
  <c r="N57" i="29"/>
  <c r="N313" i="29"/>
  <c r="M230" i="29"/>
  <c r="N154" i="29"/>
  <c r="M71" i="29"/>
  <c r="M327" i="29"/>
  <c r="N243" i="29"/>
  <c r="M164" i="29"/>
  <c r="N84" i="29"/>
  <c r="N340" i="29"/>
  <c r="N229" i="29"/>
  <c r="M146" i="29"/>
  <c r="N70" i="29"/>
  <c r="N326" i="29"/>
  <c r="M243" i="29"/>
  <c r="N159" i="29"/>
  <c r="M80" i="29"/>
  <c r="M336" i="29"/>
  <c r="N256" i="29"/>
  <c r="N189" i="29"/>
  <c r="M254" i="29"/>
  <c r="N334" i="29"/>
  <c r="N67" i="29"/>
  <c r="M140" i="29"/>
  <c r="N164" i="29"/>
  <c r="M434" i="29"/>
  <c r="N358" i="29"/>
  <c r="M13" i="29"/>
  <c r="M535" i="29"/>
  <c r="N463" i="29"/>
  <c r="M110" i="29"/>
  <c r="N242" i="29"/>
  <c r="N35" i="29"/>
  <c r="M168" i="29"/>
  <c r="N232" i="29"/>
  <c r="M522" i="29"/>
  <c r="N482" i="29"/>
  <c r="M443" i="29"/>
  <c r="N407" i="29"/>
  <c r="M269" i="29"/>
  <c r="N173" i="29"/>
  <c r="M302" i="29"/>
  <c r="M107" i="29"/>
  <c r="N231" i="29"/>
  <c r="M344" i="29"/>
  <c r="M354" i="29"/>
  <c r="M65" i="29"/>
  <c r="N606" i="29"/>
  <c r="M563" i="29"/>
  <c r="N523" i="29"/>
  <c r="M448" i="29"/>
  <c r="M142" i="29"/>
  <c r="M91" i="29"/>
  <c r="M44" i="29"/>
  <c r="N264" i="29"/>
  <c r="M33" i="29"/>
  <c r="M363" i="29"/>
  <c r="N427" i="29"/>
  <c r="M444" i="29"/>
  <c r="M385" i="29"/>
  <c r="M217" i="29"/>
  <c r="M78" i="29"/>
  <c r="M27" i="29"/>
  <c r="N311" i="29"/>
  <c r="N208" i="29"/>
  <c r="M86" i="29"/>
  <c r="M31" i="29"/>
  <c r="N315" i="29"/>
  <c r="N216" i="29"/>
  <c r="M606" i="29"/>
  <c r="M165" i="29"/>
  <c r="N391" i="29"/>
  <c r="M412" i="29"/>
  <c r="M361" i="29"/>
  <c r="M25" i="29"/>
  <c r="N45" i="29"/>
  <c r="M330" i="29"/>
  <c r="N213" i="29"/>
  <c r="M130" i="29"/>
  <c r="N54" i="29"/>
  <c r="N310" i="29"/>
  <c r="M227" i="29"/>
  <c r="N143" i="29"/>
  <c r="M64" i="29"/>
  <c r="N89" i="29"/>
  <c r="N345" i="29"/>
  <c r="M262" i="29"/>
  <c r="N186" i="29"/>
  <c r="M103" i="29"/>
  <c r="N19" i="29"/>
  <c r="N275" i="29"/>
  <c r="M196" i="29"/>
  <c r="N116" i="29"/>
  <c r="M189" i="29"/>
  <c r="N261" i="29"/>
  <c r="M178" i="29"/>
  <c r="N102" i="29"/>
  <c r="M19" i="29"/>
  <c r="M275" i="29"/>
  <c r="N191" i="29"/>
  <c r="M112" i="29"/>
  <c r="N32" i="29"/>
  <c r="N288" i="29"/>
  <c r="N237" i="29"/>
  <c r="M310" i="29"/>
  <c r="M47" i="29"/>
  <c r="N119" i="29"/>
  <c r="M188" i="29"/>
  <c r="N204" i="29"/>
  <c r="M466" i="29"/>
  <c r="N390" i="29"/>
  <c r="M37" i="29"/>
  <c r="M567" i="29"/>
  <c r="N41" i="29"/>
  <c r="M170" i="29"/>
  <c r="N302" i="29"/>
  <c r="N91" i="29"/>
  <c r="M220" i="29"/>
  <c r="N280" i="29"/>
  <c r="M558" i="29"/>
  <c r="N522" i="29"/>
  <c r="M479" i="29"/>
  <c r="N443" i="29"/>
  <c r="M372" i="29"/>
  <c r="N233" i="29"/>
  <c r="N34" i="29"/>
  <c r="M159" i="29"/>
  <c r="N291" i="29"/>
  <c r="N56" i="29"/>
  <c r="M390" i="29"/>
  <c r="M349" i="29"/>
  <c r="N448" i="29"/>
  <c r="M603" i="29"/>
  <c r="N555" i="29"/>
  <c r="M480" i="29"/>
  <c r="M218" i="29"/>
  <c r="M175" i="29"/>
  <c r="M120" i="29"/>
  <c r="N324" i="29"/>
  <c r="N362" i="29"/>
  <c r="M415" i="29"/>
  <c r="N475" i="29"/>
  <c r="M488" i="29"/>
  <c r="M417" i="29"/>
  <c r="N365" i="29"/>
  <c r="M150" i="29"/>
  <c r="M111" i="29"/>
  <c r="M56" i="29"/>
  <c r="N268" i="29"/>
  <c r="M158" i="29"/>
  <c r="M119" i="29"/>
  <c r="M60" i="29"/>
  <c r="N272" i="29"/>
  <c r="M129" i="29"/>
  <c r="M379" i="29"/>
  <c r="N439" i="29"/>
  <c r="M456" i="29"/>
  <c r="M393" i="29"/>
  <c r="M281" i="29"/>
  <c r="N125" i="29"/>
  <c r="N74" i="29"/>
  <c r="N245" i="29"/>
  <c r="M162" i="29"/>
  <c r="N86" i="29"/>
  <c r="N342" i="29"/>
  <c r="M259" i="29"/>
  <c r="N175" i="29"/>
  <c r="M96" i="29"/>
  <c r="N121" i="29"/>
  <c r="M38" i="29"/>
  <c r="M294" i="29"/>
  <c r="N218" i="29"/>
  <c r="M135" i="29"/>
  <c r="N51" i="29"/>
  <c r="N307" i="29"/>
  <c r="M228" i="29"/>
  <c r="N148" i="29"/>
  <c r="N37" i="29"/>
  <c r="N293" i="29"/>
  <c r="M210" i="29"/>
  <c r="N134" i="29"/>
  <c r="M51" i="29"/>
  <c r="M307" i="29"/>
  <c r="N223" i="29"/>
  <c r="M144" i="29"/>
  <c r="N64" i="29"/>
  <c r="N320" i="29"/>
  <c r="N289" i="29"/>
  <c r="N30" i="29"/>
  <c r="M95" i="29"/>
  <c r="N167" i="29"/>
  <c r="M244" i="29"/>
  <c r="N248" i="29"/>
  <c r="M498" i="29"/>
  <c r="N422" i="29"/>
  <c r="M293" i="29"/>
  <c r="M599" i="29"/>
  <c r="N97" i="29"/>
  <c r="M222" i="29"/>
  <c r="M23" i="29"/>
  <c r="N151" i="29"/>
  <c r="M276" i="29"/>
  <c r="N328" i="29"/>
  <c r="M598" i="29"/>
  <c r="N558" i="29"/>
  <c r="M515" i="29"/>
  <c r="N479" i="29"/>
  <c r="M404" i="29"/>
  <c r="N297" i="29"/>
  <c r="N94" i="29"/>
  <c r="M219" i="29"/>
  <c r="N347" i="29"/>
  <c r="N104" i="29"/>
  <c r="M426" i="29"/>
  <c r="N386" i="29"/>
  <c r="M325" i="29"/>
  <c r="M41" i="29"/>
  <c r="N587" i="29"/>
  <c r="M512" i="29"/>
  <c r="M298" i="29"/>
  <c r="M247" i="29"/>
  <c r="M204" i="29"/>
  <c r="M346" i="29"/>
  <c r="N406" i="29"/>
  <c r="M463" i="29"/>
  <c r="N519" i="29"/>
  <c r="M528" i="29"/>
  <c r="M449" i="29"/>
  <c r="N397" i="29"/>
  <c r="M234" i="29"/>
  <c r="M183" i="29"/>
  <c r="M136" i="29"/>
  <c r="N336" i="29"/>
  <c r="M238" i="29"/>
  <c r="M187" i="29"/>
  <c r="M148" i="29"/>
  <c r="N344" i="29"/>
  <c r="N370" i="29"/>
  <c r="M427" i="29"/>
  <c r="N487" i="29"/>
  <c r="M496" i="29"/>
  <c r="M425" i="29"/>
  <c r="N373" i="29"/>
  <c r="N201" i="29"/>
  <c r="N158" i="29"/>
  <c r="N21" i="29"/>
  <c r="N277" i="29"/>
  <c r="M194" i="29"/>
  <c r="N118" i="29"/>
  <c r="M35" i="29"/>
  <c r="M291" i="29"/>
  <c r="N207" i="29"/>
  <c r="M128" i="29"/>
  <c r="N153" i="29"/>
  <c r="M70" i="29"/>
  <c r="M326" i="29"/>
  <c r="N250" i="29"/>
  <c r="M167" i="29"/>
  <c r="N83" i="29"/>
  <c r="N339" i="29"/>
  <c r="M260" i="29"/>
  <c r="N180" i="29"/>
  <c r="N69" i="29"/>
  <c r="N325" i="29"/>
  <c r="M242" i="29"/>
  <c r="N166" i="29"/>
  <c r="M83" i="29"/>
  <c r="M339" i="29"/>
  <c r="N255" i="29"/>
  <c r="M176" i="29"/>
  <c r="N96" i="29"/>
  <c r="M29" i="29"/>
  <c r="N337" i="29"/>
  <c r="N78" i="29"/>
  <c r="M151" i="29"/>
  <c r="N219" i="29"/>
  <c r="M284" i="29"/>
  <c r="N292" i="29"/>
  <c r="M530" i="29"/>
  <c r="N454" i="29"/>
  <c r="M375" i="29"/>
  <c r="N440" i="29"/>
  <c r="N157" i="29"/>
  <c r="M282" i="29"/>
  <c r="M79" i="29"/>
  <c r="N203" i="29"/>
  <c r="M320" i="29"/>
  <c r="M253" i="29"/>
  <c r="N436" i="29"/>
  <c r="N594" i="29"/>
  <c r="M551" i="29"/>
  <c r="N511" i="29"/>
  <c r="M436" i="29"/>
  <c r="M14" i="29"/>
  <c r="N146" i="29"/>
  <c r="M279" i="29"/>
  <c r="M72" i="29"/>
  <c r="N152" i="29"/>
  <c r="M462" i="29"/>
  <c r="N426" i="29"/>
  <c r="M383" i="29"/>
  <c r="M329" i="29"/>
  <c r="N360" i="29"/>
  <c r="N93" i="29"/>
  <c r="N46" i="29"/>
  <c r="M331" i="29"/>
  <c r="M268" i="29"/>
  <c r="M398" i="29"/>
  <c r="N458" i="29"/>
  <c r="M511" i="29"/>
  <c r="N563" i="29"/>
  <c r="M560" i="29"/>
  <c r="M481" i="29"/>
  <c r="N17" i="29"/>
  <c r="M314" i="29"/>
  <c r="M267" i="29"/>
  <c r="M212" i="29"/>
  <c r="N29" i="29"/>
  <c r="M318" i="29"/>
  <c r="M271" i="29"/>
  <c r="M216" i="29"/>
  <c r="M362" i="29"/>
  <c r="N418" i="29"/>
  <c r="M475" i="29"/>
  <c r="N531" i="29"/>
  <c r="M536" i="29"/>
  <c r="M457" i="29"/>
  <c r="N405" i="29"/>
  <c r="N273" i="29"/>
  <c r="N226" i="29"/>
  <c r="N251" i="29"/>
  <c r="N156" i="29"/>
  <c r="M566" i="29"/>
  <c r="M305" i="29"/>
  <c r="N351" i="29"/>
  <c r="M376" i="29"/>
  <c r="M213" i="29"/>
  <c r="M589" i="29"/>
  <c r="M42" i="29"/>
  <c r="N338" i="29"/>
  <c r="N283" i="29"/>
  <c r="N176" i="29"/>
  <c r="M582" i="29"/>
  <c r="N428" i="29"/>
  <c r="N363" i="29"/>
  <c r="M392" i="29"/>
  <c r="M309" i="29"/>
  <c r="M601" i="29"/>
  <c r="N350" i="29"/>
  <c r="M430" i="29"/>
  <c r="M543" i="29"/>
  <c r="M580" i="29"/>
  <c r="N429" i="29"/>
  <c r="N552" i="29"/>
  <c r="N361" i="29"/>
  <c r="N364" i="29"/>
  <c r="M59" i="29"/>
  <c r="M442" i="29"/>
  <c r="M555" i="29"/>
  <c r="M588" i="29"/>
  <c r="N433" i="29"/>
  <c r="N584" i="29"/>
  <c r="N241" i="29"/>
  <c r="M236" i="29"/>
  <c r="N510" i="29"/>
  <c r="N611" i="29"/>
  <c r="M517" i="29"/>
  <c r="N581" i="29"/>
  <c r="N354" i="29"/>
  <c r="M116" i="29"/>
  <c r="N285" i="29"/>
  <c r="M252" i="29"/>
  <c r="N530" i="29"/>
  <c r="N404" i="29"/>
  <c r="M529" i="29"/>
  <c r="N585" i="29"/>
  <c r="N27" i="29"/>
  <c r="N318" i="29"/>
  <c r="N77" i="29"/>
  <c r="M84" i="29"/>
  <c r="N438" i="29"/>
  <c r="N547" i="29"/>
  <c r="M469" i="29"/>
  <c r="N557" i="29"/>
  <c r="N270" i="29"/>
  <c r="N168" i="29"/>
  <c r="N546" i="29"/>
  <c r="N493" i="29"/>
  <c r="N59" i="29"/>
  <c r="M81" i="29"/>
  <c r="N403" i="29"/>
  <c r="M369" i="29"/>
  <c r="N497" i="29"/>
  <c r="N504" i="29"/>
  <c r="N417" i="29"/>
  <c r="N597" i="29"/>
  <c r="M55" i="29"/>
  <c r="N331" i="29"/>
  <c r="N220" i="29"/>
  <c r="N13" i="29"/>
  <c r="M229" i="29"/>
  <c r="N395" i="29"/>
  <c r="M420" i="29"/>
  <c r="M365" i="29"/>
  <c r="M57" i="29"/>
  <c r="M122" i="29"/>
  <c r="M75" i="29"/>
  <c r="M24" i="29"/>
  <c r="N240" i="29"/>
  <c r="N408" i="29"/>
  <c r="M355" i="29"/>
  <c r="N415" i="29"/>
  <c r="M432" i="29"/>
  <c r="M377" i="29"/>
  <c r="M153" i="29"/>
  <c r="M223" i="29"/>
  <c r="M526" i="29"/>
  <c r="M73" i="29"/>
  <c r="M21" i="29"/>
  <c r="N465" i="29"/>
  <c r="N496" i="29"/>
  <c r="N561" i="29"/>
  <c r="N369" i="29"/>
  <c r="M239" i="29"/>
  <c r="M542" i="29"/>
  <c r="M137" i="29"/>
  <c r="M85" i="29"/>
  <c r="N473" i="29"/>
  <c r="N528" i="29"/>
  <c r="M118" i="29"/>
  <c r="N60" i="29"/>
  <c r="N610" i="29"/>
  <c r="M364" i="29"/>
  <c r="M581" i="29"/>
  <c r="N613" i="29"/>
  <c r="M607" i="29"/>
  <c r="M602" i="29"/>
  <c r="M138" i="29"/>
  <c r="N100" i="29"/>
  <c r="N368" i="29"/>
  <c r="M380" i="29"/>
  <c r="M593" i="29"/>
  <c r="M177" i="29"/>
  <c r="M394" i="29"/>
  <c r="M312" i="29"/>
  <c r="N301" i="29"/>
  <c r="M264" i="29"/>
  <c r="N538" i="29"/>
  <c r="N424" i="29"/>
  <c r="M533" i="29"/>
  <c r="N589" i="29"/>
  <c r="M308" i="29"/>
  <c r="N562" i="29"/>
  <c r="N559" i="29"/>
  <c r="N488" i="29"/>
  <c r="N279" i="29"/>
  <c r="N382" i="29"/>
  <c r="N499" i="29"/>
  <c r="M433" i="29"/>
  <c r="N537" i="29"/>
  <c r="N604" i="29"/>
  <c r="N544" i="29"/>
  <c r="N572" i="29"/>
  <c r="M123" i="29"/>
  <c r="M76" i="29"/>
  <c r="N284" i="29"/>
  <c r="M193" i="29"/>
  <c r="M387" i="29"/>
  <c r="N447" i="29"/>
  <c r="M460" i="29"/>
  <c r="M397" i="29"/>
  <c r="M313" i="29"/>
  <c r="M202" i="29"/>
  <c r="M155" i="29"/>
  <c r="M104" i="29"/>
  <c r="N312" i="29"/>
  <c r="M321" i="29"/>
  <c r="M399" i="29"/>
  <c r="N467" i="29"/>
  <c r="M476" i="29"/>
  <c r="M409" i="29"/>
  <c r="N357" i="29"/>
  <c r="N103" i="29"/>
  <c r="N352" i="29"/>
  <c r="N411" i="29"/>
  <c r="M373" i="29"/>
  <c r="N505" i="29"/>
  <c r="N536" i="29"/>
  <c r="N556" i="29"/>
  <c r="N565" i="29"/>
  <c r="N123" i="29"/>
  <c r="N464" i="29"/>
  <c r="N423" i="29"/>
  <c r="M381" i="29"/>
  <c r="N509" i="29"/>
  <c r="N568" i="29"/>
  <c r="M334" i="29"/>
  <c r="N236" i="29"/>
  <c r="M371" i="29"/>
  <c r="M452" i="29"/>
  <c r="M249" i="29"/>
  <c r="N456" i="29"/>
  <c r="M484" i="29"/>
  <c r="M423" i="29"/>
  <c r="N14" i="29"/>
  <c r="N260" i="29"/>
  <c r="M391" i="29"/>
  <c r="M464" i="29"/>
  <c r="M345" i="29"/>
  <c r="N480" i="29"/>
  <c r="M411" i="29"/>
  <c r="N366" i="29"/>
  <c r="M182" i="29"/>
  <c r="N108" i="29"/>
  <c r="N400" i="29"/>
  <c r="M388" i="29"/>
  <c r="M597" i="29"/>
  <c r="M241" i="29"/>
  <c r="N450" i="29"/>
  <c r="N567" i="29"/>
  <c r="M413" i="29"/>
  <c r="N161" i="29"/>
  <c r="M156" i="29"/>
  <c r="N478" i="29"/>
  <c r="N583" i="29"/>
  <c r="M497" i="29"/>
  <c r="N569" i="29"/>
  <c r="M190" i="29"/>
  <c r="N39" i="29"/>
  <c r="M207" i="29"/>
  <c r="M152" i="29"/>
  <c r="M61" i="29"/>
  <c r="N378" i="29"/>
  <c r="M431" i="29"/>
  <c r="N495" i="29"/>
  <c r="M504" i="29"/>
  <c r="M429" i="29"/>
  <c r="N377" i="29"/>
  <c r="M278" i="29"/>
  <c r="M235" i="29"/>
  <c r="M180" i="29"/>
  <c r="M157" i="29"/>
  <c r="N398" i="29"/>
  <c r="M451" i="29"/>
  <c r="N507" i="29"/>
  <c r="M520" i="29"/>
  <c r="M441" i="29"/>
  <c r="N389" i="29"/>
  <c r="N295" i="29"/>
  <c r="N394" i="29"/>
  <c r="N503" i="29"/>
  <c r="M437" i="29"/>
  <c r="N541" i="29"/>
  <c r="M143" i="29"/>
  <c r="M214" i="29"/>
  <c r="N588" i="29"/>
  <c r="N343" i="29"/>
  <c r="N402" i="29"/>
  <c r="N515" i="29"/>
  <c r="M445" i="29"/>
  <c r="N545" i="29"/>
  <c r="N317" i="29"/>
  <c r="N194" i="29"/>
  <c r="M358" i="29"/>
  <c r="M467" i="29"/>
  <c r="M532" i="29"/>
  <c r="N401" i="29"/>
  <c r="N548" i="29"/>
  <c r="M605" i="29"/>
  <c r="M141" i="29"/>
  <c r="N238" i="29"/>
  <c r="M374" i="29"/>
  <c r="M487" i="29"/>
  <c r="M544" i="29"/>
  <c r="N409" i="29"/>
  <c r="N580" i="29"/>
  <c r="M45" i="29"/>
  <c r="M519" i="29"/>
  <c r="N42" i="29"/>
  <c r="N296" i="29"/>
  <c r="M395" i="29"/>
  <c r="M472" i="29"/>
  <c r="N353" i="29"/>
  <c r="N512" i="29"/>
  <c r="N375" i="29"/>
  <c r="M421" i="29"/>
  <c r="N593" i="29"/>
  <c r="M30" i="29"/>
  <c r="M332" i="29"/>
  <c r="N578" i="29"/>
  <c r="M237" i="29"/>
  <c r="M561" i="29"/>
  <c r="N601" i="29"/>
  <c r="M92" i="29"/>
  <c r="N316" i="29"/>
  <c r="M283" i="29"/>
  <c r="M232" i="29"/>
  <c r="M366" i="29"/>
  <c r="N430" i="29"/>
  <c r="M483" i="29"/>
  <c r="N535" i="29"/>
  <c r="M540" i="29"/>
  <c r="M461" i="29"/>
  <c r="N73" i="29"/>
  <c r="N18" i="29"/>
  <c r="M311" i="29"/>
  <c r="M256" i="29"/>
  <c r="M386" i="29"/>
  <c r="N442" i="29"/>
  <c r="M499" i="29"/>
  <c r="N551" i="29"/>
  <c r="M552" i="29"/>
  <c r="M473" i="29"/>
  <c r="N205" i="29"/>
  <c r="M172" i="29"/>
  <c r="N490" i="29"/>
  <c r="N591" i="29"/>
  <c r="M501" i="29"/>
  <c r="N573" i="29"/>
  <c r="N304" i="29"/>
  <c r="N259" i="29"/>
  <c r="N221" i="29"/>
  <c r="M200" i="29"/>
  <c r="N502" i="29"/>
  <c r="N599" i="29"/>
  <c r="M509" i="29"/>
  <c r="N577" i="29"/>
  <c r="M490" i="29"/>
  <c r="M63" i="29"/>
  <c r="M454" i="29"/>
  <c r="M571" i="29"/>
  <c r="M596" i="29"/>
  <c r="N441" i="29"/>
  <c r="N532" i="29"/>
  <c r="N453" i="29"/>
  <c r="M357" i="29"/>
  <c r="M87" i="29"/>
  <c r="M474" i="29"/>
  <c r="M583" i="29"/>
  <c r="M608" i="29"/>
  <c r="N445" i="29"/>
  <c r="N492" i="29"/>
  <c r="M477" i="29"/>
  <c r="M408" i="29"/>
  <c r="N254" i="29"/>
  <c r="M382" i="29"/>
  <c r="M495" i="29"/>
  <c r="M548" i="29"/>
  <c r="N413" i="29"/>
  <c r="N612" i="29"/>
  <c r="M341" i="29"/>
  <c r="N457" i="29"/>
  <c r="M506" i="29"/>
  <c r="M266" i="29"/>
  <c r="N172" i="29"/>
  <c r="M261" i="29"/>
  <c r="M424" i="29"/>
  <c r="M89" i="29"/>
  <c r="N396" i="29"/>
  <c r="M586" i="29"/>
  <c r="N466" i="29"/>
  <c r="N23" i="29"/>
  <c r="M300" i="29"/>
  <c r="M418" i="29"/>
  <c r="N474" i="29"/>
  <c r="M531" i="29"/>
  <c r="N579" i="29"/>
  <c r="M572" i="29"/>
  <c r="M493" i="29"/>
  <c r="N145" i="29"/>
  <c r="N106" i="29"/>
  <c r="N43" i="29"/>
  <c r="M316" i="29"/>
  <c r="M438" i="29"/>
  <c r="N494" i="29"/>
  <c r="M547" i="29"/>
  <c r="N595" i="29"/>
  <c r="M584" i="29"/>
  <c r="M505" i="29"/>
  <c r="M58" i="29"/>
  <c r="N28" i="29"/>
  <c r="N586" i="29"/>
  <c r="M301" i="29"/>
  <c r="M565" i="29"/>
  <c r="N605" i="29"/>
  <c r="M69" i="29"/>
  <c r="M406" i="29"/>
  <c r="M94" i="29"/>
  <c r="N44" i="29"/>
  <c r="N598" i="29"/>
  <c r="M356" i="29"/>
  <c r="M573" i="29"/>
  <c r="N609" i="29"/>
  <c r="M556" i="29"/>
  <c r="M287" i="29"/>
  <c r="M550" i="29"/>
  <c r="M265" i="29"/>
  <c r="M149" i="29"/>
  <c r="N477" i="29"/>
  <c r="N560" i="29"/>
  <c r="N356" i="29"/>
  <c r="N421" i="29"/>
  <c r="M299" i="29"/>
  <c r="M570" i="29"/>
  <c r="N355" i="29"/>
  <c r="M245" i="29"/>
  <c r="N481" i="29"/>
  <c r="N592" i="29"/>
  <c r="N489" i="29"/>
  <c r="M485" i="29"/>
  <c r="M127" i="29"/>
  <c r="M478" i="29"/>
  <c r="M591" i="29"/>
  <c r="M612" i="29"/>
  <c r="N449" i="29"/>
  <c r="N524" i="29"/>
  <c r="N525" i="29"/>
  <c r="N576" i="29"/>
  <c r="M17" i="29"/>
  <c r="N110" i="29"/>
  <c r="M93" i="29"/>
  <c r="M435" i="29"/>
  <c r="M508" i="29"/>
  <c r="N381" i="29"/>
  <c r="N608" i="29"/>
  <c r="M507" i="29"/>
  <c r="N387" i="29"/>
  <c r="N99" i="29"/>
  <c r="N24" i="29"/>
  <c r="M470" i="29"/>
  <c r="N526" i="29"/>
  <c r="M579" i="29"/>
  <c r="N380" i="29"/>
  <c r="M604" i="29"/>
  <c r="M525" i="29"/>
  <c r="N225" i="29"/>
  <c r="N174" i="29"/>
  <c r="N131" i="29"/>
  <c r="N48" i="29"/>
  <c r="M482" i="29"/>
  <c r="N542" i="29"/>
  <c r="M595" i="29"/>
  <c r="N444" i="29"/>
  <c r="G628" i="29"/>
  <c r="M537" i="29"/>
  <c r="M270" i="29"/>
  <c r="N188" i="29"/>
  <c r="M350" i="29"/>
  <c r="M428" i="29"/>
  <c r="M121" i="29"/>
  <c r="N412" i="29"/>
  <c r="N471" i="29"/>
  <c r="M133" i="29"/>
  <c r="M286" i="29"/>
  <c r="N228" i="29"/>
  <c r="M359" i="29"/>
  <c r="M440" i="29"/>
  <c r="M185" i="29"/>
  <c r="N432" i="29"/>
  <c r="M209" i="29"/>
  <c r="N135" i="29"/>
  <c r="M97" i="29"/>
  <c r="N435" i="29"/>
  <c r="M389" i="29"/>
  <c r="N513" i="29"/>
  <c r="N600" i="29"/>
  <c r="N540" i="29"/>
  <c r="N372" i="29"/>
  <c r="N187" i="29"/>
  <c r="M225" i="29"/>
  <c r="N451" i="29"/>
  <c r="M401" i="29"/>
  <c r="N517" i="29"/>
  <c r="N476" i="29"/>
  <c r="N596" i="29"/>
  <c r="N529" i="29"/>
  <c r="M319" i="29"/>
  <c r="M578" i="29"/>
  <c r="N359" i="29"/>
  <c r="M277" i="29"/>
  <c r="N485" i="29"/>
  <c r="N500" i="29"/>
  <c r="M26" i="29"/>
  <c r="N82" i="29"/>
  <c r="M492" i="29"/>
  <c r="N330" i="29"/>
  <c r="M422" i="29"/>
  <c r="M539" i="29"/>
  <c r="M576" i="29"/>
  <c r="N425" i="29"/>
  <c r="N520" i="29"/>
  <c r="M396" i="29"/>
  <c r="M564" i="29"/>
  <c r="N183" i="29"/>
  <c r="N92" i="29"/>
  <c r="M514" i="29"/>
  <c r="N574" i="29"/>
  <c r="N416" i="29"/>
  <c r="M205" i="29"/>
  <c r="N420" i="29"/>
  <c r="M557" i="29"/>
  <c r="N305" i="29"/>
  <c r="N258" i="29"/>
  <c r="N199" i="29"/>
  <c r="N112" i="29"/>
  <c r="M534" i="29"/>
  <c r="N590" i="29"/>
  <c r="M105" i="29"/>
  <c r="M333" i="29"/>
  <c r="M53" i="29"/>
  <c r="M569" i="29"/>
  <c r="N162" i="29"/>
  <c r="M125" i="29"/>
  <c r="M447" i="29"/>
  <c r="M516" i="29"/>
  <c r="N385" i="29"/>
  <c r="N484" i="29"/>
  <c r="M113" i="29"/>
  <c r="N483" i="29"/>
  <c r="N170" i="29"/>
  <c r="M317" i="29"/>
  <c r="M459" i="29"/>
  <c r="M524" i="29"/>
  <c r="N393" i="29"/>
  <c r="N516" i="29"/>
  <c r="N49" i="29"/>
  <c r="M20" i="29"/>
  <c r="N414" i="29"/>
  <c r="N527" i="29"/>
  <c r="M453" i="29"/>
  <c r="N549" i="29"/>
  <c r="N215" i="29"/>
  <c r="N98" i="29"/>
  <c r="N65" i="29"/>
  <c r="M28" i="29"/>
  <c r="N434" i="29"/>
  <c r="N539" i="29"/>
  <c r="M465" i="29"/>
  <c r="N553" i="29"/>
  <c r="N129" i="29"/>
  <c r="N141" i="29"/>
  <c r="N472" i="29"/>
  <c r="N195" i="29"/>
  <c r="M289" i="29"/>
  <c r="N459" i="29"/>
  <c r="M405" i="29"/>
  <c r="N521" i="29"/>
  <c r="N508" i="29"/>
  <c r="M171" i="29"/>
  <c r="N124" i="29"/>
  <c r="M549" i="29"/>
  <c r="M215" i="29"/>
  <c r="M518" i="29"/>
  <c r="N460" i="29"/>
  <c r="N452" i="29"/>
  <c r="N461" i="29"/>
  <c r="N564" i="29"/>
  <c r="M541" i="29"/>
  <c r="M613" i="29"/>
  <c r="DJ110" i="25" l="1"/>
  <c r="DQ110" i="25" s="1"/>
  <c r="CZ216" i="25"/>
  <c r="DB216" i="25" s="1"/>
  <c r="T623" i="29"/>
  <c r="O623" i="29"/>
  <c r="K623" i="29"/>
  <c r="L623" i="29"/>
  <c r="P623" i="29"/>
  <c r="U623" i="29"/>
  <c r="S623" i="29"/>
  <c r="V623" i="29"/>
  <c r="Q623" i="29"/>
  <c r="R623" i="29"/>
  <c r="DQ212" i="25"/>
  <c r="DN212" i="25"/>
  <c r="DX216" i="24"/>
  <c r="EE216" i="24" s="1"/>
  <c r="DH216" i="25"/>
  <c r="DJ216" i="25" s="1"/>
  <c r="EB269" i="25"/>
  <c r="EA269" i="25"/>
  <c r="EB245" i="25"/>
  <c r="EA245" i="25"/>
  <c r="EB289" i="25"/>
  <c r="EA289" i="25"/>
  <c r="EB280" i="25"/>
  <c r="EA280" i="25"/>
  <c r="EB285" i="25"/>
  <c r="EA285" i="25"/>
  <c r="EB257" i="25"/>
  <c r="EA257" i="25"/>
  <c r="EB243" i="25"/>
  <c r="EA243" i="25"/>
  <c r="EB293" i="25"/>
  <c r="EA293" i="25"/>
  <c r="EB286" i="25"/>
  <c r="EA286" i="25"/>
  <c r="EB281" i="25"/>
  <c r="EA281" i="25"/>
  <c r="EB274" i="25"/>
  <c r="EA274" i="25"/>
  <c r="EB222" i="25"/>
  <c r="EA222" i="25"/>
  <c r="EB237" i="25"/>
  <c r="EA237" i="25"/>
  <c r="EB287" i="25"/>
  <c r="EA287" i="25"/>
  <c r="EB227" i="25"/>
  <c r="EA227" i="25"/>
  <c r="EB225" i="25"/>
  <c r="EA225" i="25"/>
  <c r="EB251" i="25"/>
  <c r="EA251" i="25"/>
  <c r="EB236" i="25"/>
  <c r="EA236" i="25"/>
  <c r="EB307" i="25"/>
  <c r="EA307" i="25"/>
  <c r="EB316" i="25"/>
  <c r="EA316" i="25"/>
  <c r="EB221" i="25"/>
  <c r="EA221" i="25"/>
  <c r="EB229" i="25"/>
  <c r="EA229" i="25"/>
  <c r="EB263" i="25"/>
  <c r="EA263" i="25"/>
  <c r="EB239" i="25"/>
  <c r="EA239" i="25"/>
  <c r="EB302" i="25"/>
  <c r="EA302" i="25"/>
  <c r="EB292" i="25"/>
  <c r="EA292" i="25"/>
  <c r="EB252" i="25"/>
  <c r="EA252" i="25"/>
  <c r="EB226" i="25"/>
  <c r="EA226" i="25"/>
  <c r="EB310" i="25"/>
  <c r="EA310" i="25"/>
  <c r="EB220" i="25"/>
  <c r="EA220" i="25"/>
  <c r="EB249" i="25"/>
  <c r="EA249" i="25"/>
  <c r="EB248" i="25"/>
  <c r="EA248" i="25"/>
  <c r="EB260" i="25"/>
  <c r="EA260" i="25"/>
  <c r="EB219" i="25"/>
  <c r="EA219" i="25"/>
  <c r="EB295" i="25"/>
  <c r="EA295" i="25"/>
  <c r="EB253" i="25"/>
  <c r="EA253" i="25"/>
  <c r="EB217" i="25"/>
  <c r="EA217" i="25"/>
  <c r="EB296" i="25"/>
  <c r="EA296" i="25"/>
  <c r="EB299" i="25"/>
  <c r="EA299" i="25"/>
  <c r="EB265" i="25"/>
  <c r="EA265" i="25"/>
  <c r="EB271" i="25"/>
  <c r="EA271" i="25"/>
  <c r="EB278" i="25"/>
  <c r="EA278" i="25"/>
  <c r="EB234" i="25"/>
  <c r="EA234" i="25"/>
  <c r="EB309" i="25"/>
  <c r="EA309" i="25"/>
  <c r="EB246" i="25"/>
  <c r="EA246" i="25"/>
  <c r="EB288" i="25"/>
  <c r="EA288" i="25"/>
  <c r="EA216" i="25"/>
  <c r="EB216" i="25"/>
  <c r="EB308" i="25"/>
  <c r="EA308" i="25"/>
  <c r="EB298" i="25"/>
  <c r="EA298" i="25"/>
  <c r="EB242" i="25"/>
  <c r="EA242" i="25"/>
  <c r="EB262" i="25"/>
  <c r="EA262" i="25"/>
  <c r="EB277" i="25"/>
  <c r="EA277" i="25"/>
  <c r="EB254" i="25"/>
  <c r="EA254" i="25"/>
  <c r="EB290" i="25"/>
  <c r="EA290" i="25"/>
  <c r="EB291" i="25"/>
  <c r="EA291" i="25"/>
  <c r="EB247" i="25"/>
  <c r="EA247" i="25"/>
  <c r="EB258" i="25"/>
  <c r="EA258" i="25"/>
  <c r="EB264" i="25"/>
  <c r="EA264" i="25"/>
  <c r="EB261" i="25"/>
  <c r="EA261" i="25"/>
  <c r="EB303" i="25"/>
  <c r="EA303" i="25"/>
  <c r="EB270" i="25"/>
  <c r="EA270" i="25"/>
  <c r="EB240" i="25"/>
  <c r="EA240" i="25"/>
  <c r="EB279" i="25"/>
  <c r="EA279" i="25"/>
  <c r="EB284" i="25"/>
  <c r="EA284" i="25"/>
  <c r="EB256" i="25"/>
  <c r="EA256" i="25"/>
  <c r="EB244" i="25"/>
  <c r="EA244" i="25"/>
  <c r="EB305" i="25"/>
  <c r="EA305" i="25"/>
  <c r="EB259" i="25"/>
  <c r="EA259" i="25"/>
  <c r="EB294" i="25"/>
  <c r="EA294" i="25"/>
  <c r="EB233" i="25"/>
  <c r="EA233" i="25"/>
  <c r="EB266" i="25"/>
  <c r="EA266" i="25"/>
  <c r="EB231" i="25"/>
  <c r="EA231" i="25"/>
  <c r="EB268" i="25"/>
  <c r="EA268" i="25"/>
  <c r="EB223" i="25"/>
  <c r="EA223" i="25"/>
  <c r="EB273" i="25"/>
  <c r="EA273" i="25"/>
  <c r="EB224" i="25"/>
  <c r="EA224" i="25"/>
  <c r="EB241" i="25"/>
  <c r="EA241" i="25"/>
  <c r="EB232" i="25"/>
  <c r="EA232" i="25"/>
  <c r="EB272" i="25"/>
  <c r="EA272" i="25"/>
  <c r="EB313" i="25"/>
  <c r="EA313" i="25"/>
  <c r="EB250" i="25"/>
  <c r="EA250" i="25"/>
  <c r="EB276" i="25"/>
  <c r="EA276" i="25"/>
  <c r="EB311" i="25"/>
  <c r="EA311" i="25"/>
  <c r="EB300" i="25"/>
  <c r="EA300" i="25"/>
  <c r="EB218" i="25"/>
  <c r="EA218" i="25"/>
  <c r="EB315" i="25"/>
  <c r="EA315" i="25"/>
  <c r="EB282" i="25"/>
  <c r="EA282" i="25"/>
  <c r="EB238" i="25"/>
  <c r="EA238" i="25"/>
  <c r="EB297" i="25"/>
  <c r="EA297" i="25"/>
  <c r="EB283" i="25"/>
  <c r="EA283" i="25"/>
  <c r="EB230" i="25"/>
  <c r="EA230" i="25"/>
  <c r="EB235" i="25"/>
  <c r="EA235" i="25"/>
  <c r="EB275" i="25"/>
  <c r="EA275" i="25"/>
  <c r="EB267" i="25"/>
  <c r="EA267" i="25"/>
  <c r="EB301" i="25"/>
  <c r="EA301" i="25"/>
  <c r="EB314" i="25"/>
  <c r="EA314" i="25"/>
  <c r="EB306" i="25"/>
  <c r="EA306" i="25"/>
  <c r="EB228" i="25"/>
  <c r="EA228" i="25"/>
  <c r="EB304" i="25"/>
  <c r="EA304" i="25"/>
  <c r="EB312" i="25"/>
  <c r="EA312" i="25"/>
  <c r="EB255" i="25"/>
  <c r="EA255" i="25"/>
  <c r="EA112" i="25"/>
  <c r="DQ112" i="25"/>
  <c r="DN112" i="25"/>
  <c r="DN183" i="25"/>
  <c r="DN206" i="25"/>
  <c r="DN203" i="24"/>
  <c r="DX203" i="24" s="1"/>
  <c r="DN146" i="24"/>
  <c r="DX146" i="24" s="1"/>
  <c r="DN86" i="24"/>
  <c r="DX86" i="24" s="1"/>
  <c r="DN66" i="24"/>
  <c r="DX66" i="24" s="1"/>
  <c r="DN137" i="24"/>
  <c r="DX137" i="24" s="1"/>
  <c r="DN127" i="25"/>
  <c r="DN187" i="24"/>
  <c r="DX187" i="24" s="1"/>
  <c r="DN207" i="24"/>
  <c r="DX207" i="24" s="1"/>
  <c r="DW110" i="24"/>
  <c r="EN110" i="24"/>
  <c r="EM110" i="24"/>
  <c r="EP110" i="24" s="1"/>
  <c r="DU110" i="24"/>
  <c r="FA110" i="24"/>
  <c r="EL110" i="24"/>
  <c r="EY110" i="24"/>
  <c r="EB110" i="24"/>
  <c r="DN79" i="24"/>
  <c r="DZ79" i="24" s="1"/>
  <c r="DW5" i="24"/>
  <c r="EN5" i="24"/>
  <c r="EM5" i="24"/>
  <c r="EP5" i="24" s="1"/>
  <c r="DU5" i="24"/>
  <c r="FA5" i="24"/>
  <c r="EB5" i="24"/>
  <c r="EL5" i="24"/>
  <c r="EY5" i="24"/>
  <c r="DN234" i="24"/>
  <c r="DO216" i="24"/>
  <c r="DR216" i="24"/>
  <c r="EY216" i="24" s="1"/>
  <c r="DN182" i="25"/>
  <c r="DN69" i="25"/>
  <c r="DN93" i="24"/>
  <c r="DZ93" i="24" s="1"/>
  <c r="DN73" i="25"/>
  <c r="DN139" i="24"/>
  <c r="DX139" i="24" s="1"/>
  <c r="DN248" i="24"/>
  <c r="DN78" i="24"/>
  <c r="DZ78" i="24" s="1"/>
  <c r="DN57" i="25"/>
  <c r="DN196" i="25"/>
  <c r="DN198" i="25"/>
  <c r="DN262" i="25"/>
  <c r="DN94" i="24"/>
  <c r="DZ94" i="24" s="1"/>
  <c r="DN181" i="24"/>
  <c r="DX181" i="24" s="1"/>
  <c r="DN75" i="24"/>
  <c r="DZ75" i="24" s="1"/>
  <c r="DN168" i="24"/>
  <c r="DX168" i="24" s="1"/>
  <c r="DN165" i="24"/>
  <c r="DX165" i="24" s="1"/>
  <c r="DN131" i="24"/>
  <c r="DX131" i="24" s="1"/>
  <c r="DN113" i="24"/>
  <c r="DX113" i="24" s="1"/>
  <c r="DN237" i="24"/>
  <c r="DN116" i="24"/>
  <c r="DX116" i="24" s="1"/>
  <c r="DN291" i="24"/>
  <c r="DN273" i="24"/>
  <c r="DN312" i="24"/>
  <c r="DN254" i="24"/>
  <c r="DN27" i="24"/>
  <c r="DZ27" i="24" s="1"/>
  <c r="DN275" i="24"/>
  <c r="DN284" i="24"/>
  <c r="DN143" i="25"/>
  <c r="DN221" i="24"/>
  <c r="DN16" i="24"/>
  <c r="DZ16" i="24" s="1"/>
  <c r="DN255" i="24"/>
  <c r="DN264" i="24"/>
  <c r="DN162" i="24"/>
  <c r="DX162" i="24" s="1"/>
  <c r="DN310" i="24"/>
  <c r="DN163" i="24"/>
  <c r="DX163" i="24" s="1"/>
  <c r="DN299" i="24"/>
  <c r="DN139" i="25"/>
  <c r="DQ183" i="25"/>
  <c r="DT183" i="25" s="1"/>
  <c r="DN138" i="25"/>
  <c r="DN181" i="25"/>
  <c r="DN179" i="25"/>
  <c r="DN299" i="25"/>
  <c r="DQ73" i="25"/>
  <c r="DQ143" i="25"/>
  <c r="DT143" i="25" s="1"/>
  <c r="DQ138" i="25"/>
  <c r="DV138" i="25" s="1"/>
  <c r="DQ181" i="25"/>
  <c r="EJ181" i="25" s="1"/>
  <c r="DQ182" i="25"/>
  <c r="DV182" i="25" s="1"/>
  <c r="DN178" i="25"/>
  <c r="DN85" i="24"/>
  <c r="DX85" i="24" s="1"/>
  <c r="DN219" i="24"/>
  <c r="DN206" i="24"/>
  <c r="DX206" i="24" s="1"/>
  <c r="DN179" i="24"/>
  <c r="DX179" i="24" s="1"/>
  <c r="DN254" i="25"/>
  <c r="DQ254" i="25"/>
  <c r="DQ137" i="25"/>
  <c r="FA137" i="25" s="1"/>
  <c r="DN137" i="25"/>
  <c r="DW97" i="25"/>
  <c r="EB68" i="25"/>
  <c r="EA68" i="25"/>
  <c r="DN227" i="25"/>
  <c r="DQ227" i="25"/>
  <c r="EB195" i="25"/>
  <c r="EA195" i="25"/>
  <c r="DN115" i="24"/>
  <c r="DX115" i="24" s="1"/>
  <c r="DN95" i="24"/>
  <c r="DZ95" i="24" s="1"/>
  <c r="DN301" i="24"/>
  <c r="DN69" i="24"/>
  <c r="DX69" i="24" s="1"/>
  <c r="DN78" i="25"/>
  <c r="DQ78" i="25"/>
  <c r="DW200" i="25"/>
  <c r="DN196" i="24"/>
  <c r="DX196" i="24" s="1"/>
  <c r="DN169" i="24"/>
  <c r="DX169" i="24" s="1"/>
  <c r="DN243" i="24"/>
  <c r="DN151" i="24"/>
  <c r="DX151" i="24" s="1"/>
  <c r="DN278" i="24"/>
  <c r="DN149" i="24"/>
  <c r="DX149" i="24" s="1"/>
  <c r="DN208" i="24"/>
  <c r="DX208" i="24" s="1"/>
  <c r="DN103" i="25"/>
  <c r="DQ103" i="25"/>
  <c r="DT103" i="25" s="1"/>
  <c r="DN34" i="25"/>
  <c r="DQ34" i="25"/>
  <c r="DN266" i="25"/>
  <c r="DQ266" i="25"/>
  <c r="DN296" i="25"/>
  <c r="DQ296" i="25"/>
  <c r="DQ263" i="25"/>
  <c r="DN263" i="25"/>
  <c r="DQ81" i="25"/>
  <c r="DN81" i="25"/>
  <c r="DN184" i="24"/>
  <c r="DX184" i="24" s="1"/>
  <c r="DN97" i="24"/>
  <c r="DZ97" i="24" s="1"/>
  <c r="DQ241" i="25"/>
  <c r="DN241" i="25"/>
  <c r="DN176" i="24"/>
  <c r="DX176" i="24" s="1"/>
  <c r="DN130" i="24"/>
  <c r="DX130" i="24" s="1"/>
  <c r="DN76" i="24"/>
  <c r="DZ76" i="24" s="1"/>
  <c r="DN117" i="24"/>
  <c r="DX117" i="24" s="1"/>
  <c r="DN191" i="24"/>
  <c r="DX191" i="24" s="1"/>
  <c r="DN198" i="24"/>
  <c r="DX198" i="24" s="1"/>
  <c r="DN306" i="24"/>
  <c r="DN74" i="24"/>
  <c r="DX74" i="24" s="1"/>
  <c r="DN217" i="24"/>
  <c r="DN84" i="24"/>
  <c r="DX84" i="24" s="1"/>
  <c r="DN256" i="24"/>
  <c r="DN135" i="24"/>
  <c r="DX135" i="24" s="1"/>
  <c r="DN205" i="24"/>
  <c r="DX205" i="24" s="1"/>
  <c r="DW174" i="25"/>
  <c r="DW131" i="25"/>
  <c r="EB118" i="25"/>
  <c r="EA118" i="25"/>
  <c r="DN156" i="24"/>
  <c r="DX156" i="24" s="1"/>
  <c r="DN257" i="25"/>
  <c r="DQ257" i="25"/>
  <c r="EB102" i="25"/>
  <c r="EA102" i="25"/>
  <c r="DQ43" i="25"/>
  <c r="DN43" i="25"/>
  <c r="DQ121" i="25"/>
  <c r="FA121" i="25" s="1"/>
  <c r="DN121" i="25"/>
  <c r="DN312" i="25"/>
  <c r="DQ312" i="25"/>
  <c r="DN272" i="25"/>
  <c r="DQ272" i="25"/>
  <c r="DN91" i="24"/>
  <c r="DZ91" i="24" s="1"/>
  <c r="DW180" i="25"/>
  <c r="DW95" i="25"/>
  <c r="DQ224" i="25"/>
  <c r="DN224" i="25"/>
  <c r="DQ119" i="25"/>
  <c r="EJ119" i="25" s="1"/>
  <c r="DN119" i="25"/>
  <c r="DQ193" i="25"/>
  <c r="EJ193" i="25" s="1"/>
  <c r="DN193" i="25"/>
  <c r="DN75" i="25"/>
  <c r="DQ75" i="25"/>
  <c r="DQ299" i="25"/>
  <c r="DQ244" i="25"/>
  <c r="DN244" i="25"/>
  <c r="DW103" i="25"/>
  <c r="DW178" i="25"/>
  <c r="DW51" i="25"/>
  <c r="DN13" i="25"/>
  <c r="DQ13" i="25"/>
  <c r="EB10" i="25"/>
  <c r="EA10" i="25"/>
  <c r="DW91" i="25"/>
  <c r="DN237" i="25"/>
  <c r="DQ237" i="25"/>
  <c r="DN242" i="25"/>
  <c r="DQ242" i="25"/>
  <c r="EB16" i="25"/>
  <c r="EA16" i="25"/>
  <c r="DQ315" i="25"/>
  <c r="DN315" i="25"/>
  <c r="DQ187" i="25"/>
  <c r="EY187" i="25" s="1"/>
  <c r="DN187" i="25"/>
  <c r="EB31" i="25"/>
  <c r="EA31" i="25"/>
  <c r="DW89" i="25"/>
  <c r="DN85" i="25"/>
  <c r="DQ85" i="25"/>
  <c r="DQ148" i="25"/>
  <c r="DN148" i="25"/>
  <c r="DQ35" i="25"/>
  <c r="DN35" i="25"/>
  <c r="DQ144" i="25"/>
  <c r="DN144" i="25"/>
  <c r="DN286" i="25"/>
  <c r="DQ286" i="25"/>
  <c r="DN282" i="25"/>
  <c r="DQ282" i="25"/>
  <c r="DN159" i="25"/>
  <c r="DQ159" i="25"/>
  <c r="DQ151" i="25"/>
  <c r="DN151" i="25"/>
  <c r="EB146" i="25"/>
  <c r="EA146" i="25"/>
  <c r="DQ206" i="25"/>
  <c r="DT206" i="25" s="1"/>
  <c r="DW9" i="25"/>
  <c r="DW143" i="25"/>
  <c r="DQ316" i="25"/>
  <c r="DN316" i="25"/>
  <c r="EB46" i="25"/>
  <c r="EA46" i="25"/>
  <c r="DN72" i="25"/>
  <c r="DQ72" i="25"/>
  <c r="DN171" i="25"/>
  <c r="DQ171" i="25"/>
  <c r="EY171" i="25" s="1"/>
  <c r="DQ116" i="25"/>
  <c r="DN116" i="25"/>
  <c r="EB142" i="25"/>
  <c r="EA142" i="25"/>
  <c r="DQ69" i="25"/>
  <c r="DQ21" i="25"/>
  <c r="DN21" i="25"/>
  <c r="DW56" i="25"/>
  <c r="DW45" i="25"/>
  <c r="DN268" i="25"/>
  <c r="DQ268" i="25"/>
  <c r="DQ139" i="25"/>
  <c r="EJ139" i="25" s="1"/>
  <c r="DW185" i="25"/>
  <c r="DW171" i="25"/>
  <c r="DN113" i="25"/>
  <c r="DQ113" i="25"/>
  <c r="DQ174" i="25"/>
  <c r="FA174" i="25" s="1"/>
  <c r="DN174" i="25"/>
  <c r="DN280" i="25"/>
  <c r="DQ280" i="25"/>
  <c r="DQ168" i="25"/>
  <c r="FA168" i="25" s="1"/>
  <c r="DN168" i="25"/>
  <c r="EB135" i="25"/>
  <c r="EA135" i="25"/>
  <c r="DQ198" i="25"/>
  <c r="DT198" i="25" s="1"/>
  <c r="DQ24" i="25"/>
  <c r="DN24" i="25"/>
  <c r="DN126" i="25"/>
  <c r="DQ126" i="25"/>
  <c r="EJ126" i="25" s="1"/>
  <c r="EB124" i="25"/>
  <c r="EA124" i="25"/>
  <c r="DQ186" i="25"/>
  <c r="DN186" i="25"/>
  <c r="DN210" i="24"/>
  <c r="DX210" i="24" s="1"/>
  <c r="EB7" i="25"/>
  <c r="EA7" i="25"/>
  <c r="DN59" i="25"/>
  <c r="DQ59" i="25"/>
  <c r="DN202" i="25"/>
  <c r="DQ202" i="25"/>
  <c r="DT202" i="25" s="1"/>
  <c r="EB183" i="25"/>
  <c r="EA183" i="25"/>
  <c r="DW59" i="25"/>
  <c r="DN95" i="25"/>
  <c r="DQ95" i="25"/>
  <c r="DT95" i="25" s="1"/>
  <c r="DW189" i="25"/>
  <c r="DQ140" i="25"/>
  <c r="DN140" i="25"/>
  <c r="DN265" i="25"/>
  <c r="DQ265" i="25"/>
  <c r="DQ16" i="25"/>
  <c r="DN16" i="25"/>
  <c r="EB69" i="25"/>
  <c r="EA69" i="25"/>
  <c r="DN20" i="25"/>
  <c r="DQ20" i="25"/>
  <c r="DN302" i="25"/>
  <c r="DQ302" i="25"/>
  <c r="DQ220" i="25"/>
  <c r="DN220" i="25"/>
  <c r="DN157" i="25"/>
  <c r="DQ157" i="25"/>
  <c r="EJ157" i="25" s="1"/>
  <c r="DN189" i="25"/>
  <c r="DQ189" i="25"/>
  <c r="FA189" i="25" s="1"/>
  <c r="DQ86" i="25"/>
  <c r="DN86" i="25"/>
  <c r="DN163" i="25"/>
  <c r="DQ163" i="25"/>
  <c r="DN48" i="25"/>
  <c r="DQ48" i="25"/>
  <c r="DQ230" i="25"/>
  <c r="DN230" i="25"/>
  <c r="DN259" i="25"/>
  <c r="DQ259" i="25"/>
  <c r="DN175" i="25"/>
  <c r="DQ175" i="25"/>
  <c r="EJ175" i="25" s="1"/>
  <c r="DN123" i="25"/>
  <c r="DQ123" i="25"/>
  <c r="DQ49" i="25"/>
  <c r="DN49" i="25"/>
  <c r="DN150" i="25"/>
  <c r="DQ150" i="25"/>
  <c r="DQ105" i="25"/>
  <c r="DT105" i="25" s="1"/>
  <c r="DN105" i="25"/>
  <c r="DQ46" i="25"/>
  <c r="DN46" i="25"/>
  <c r="DN247" i="25"/>
  <c r="DQ247" i="25"/>
  <c r="EB71" i="25"/>
  <c r="EA71" i="25"/>
  <c r="DW88" i="25"/>
  <c r="EB62" i="25"/>
  <c r="EA62" i="25"/>
  <c r="DW35" i="25"/>
  <c r="EB166" i="25"/>
  <c r="EA166" i="25"/>
  <c r="EB153" i="25"/>
  <c r="EA153" i="25"/>
  <c r="DW96" i="25"/>
  <c r="EB197" i="25"/>
  <c r="EA197" i="25"/>
  <c r="EB133" i="25"/>
  <c r="EA133" i="25"/>
  <c r="EB159" i="25"/>
  <c r="EA159" i="25"/>
  <c r="DN62" i="25"/>
  <c r="DQ62" i="25"/>
  <c r="DW80" i="25"/>
  <c r="DQ314" i="25"/>
  <c r="DN314" i="25"/>
  <c r="DW168" i="25"/>
  <c r="DW170" i="25"/>
  <c r="EB54" i="25"/>
  <c r="EA54" i="25"/>
  <c r="DN152" i="25"/>
  <c r="DQ152" i="25"/>
  <c r="DN221" i="25"/>
  <c r="DQ221" i="25"/>
  <c r="DQ246" i="25"/>
  <c r="DN246" i="25"/>
  <c r="DW164" i="25"/>
  <c r="DN131" i="25"/>
  <c r="DQ131" i="25"/>
  <c r="DN285" i="25"/>
  <c r="DQ285" i="25"/>
  <c r="DW77" i="25"/>
  <c r="EB39" i="25"/>
  <c r="EA39" i="25"/>
  <c r="DQ10" i="25"/>
  <c r="DN10" i="25"/>
  <c r="EB8" i="25"/>
  <c r="EA8" i="25"/>
  <c r="EB167" i="25"/>
  <c r="EA167" i="25"/>
  <c r="DW29" i="25"/>
  <c r="DW122" i="25"/>
  <c r="DW65" i="25"/>
  <c r="EB84" i="25"/>
  <c r="EA84" i="25"/>
  <c r="DW49" i="25"/>
  <c r="DW177" i="25"/>
  <c r="DW13" i="25"/>
  <c r="DQ243" i="25"/>
  <c r="DN243" i="25"/>
  <c r="DN261" i="25"/>
  <c r="DQ261" i="25"/>
  <c r="DN199" i="25"/>
  <c r="DQ199" i="25"/>
  <c r="DT199" i="25" s="1"/>
  <c r="DW23" i="25"/>
  <c r="DW12" i="25"/>
  <c r="EB154" i="25"/>
  <c r="EA154" i="25"/>
  <c r="EB160" i="25"/>
  <c r="EA160" i="25"/>
  <c r="DW48" i="25"/>
  <c r="DN274" i="25"/>
  <c r="DQ274" i="25"/>
  <c r="EB206" i="25"/>
  <c r="EA206" i="25"/>
  <c r="EB67" i="25"/>
  <c r="EA67" i="25"/>
  <c r="DQ99" i="25"/>
  <c r="DT99" i="25" s="1"/>
  <c r="DN99" i="25"/>
  <c r="DW175" i="25"/>
  <c r="DN38" i="25"/>
  <c r="DQ38" i="25"/>
  <c r="DN61" i="25"/>
  <c r="DQ61" i="25"/>
  <c r="EB73" i="25"/>
  <c r="EA73" i="25"/>
  <c r="EB207" i="25"/>
  <c r="EA207" i="25"/>
  <c r="DN162" i="25"/>
  <c r="DQ162" i="25"/>
  <c r="EB130" i="25"/>
  <c r="EA130" i="25"/>
  <c r="DW105" i="25"/>
  <c r="DN79" i="25"/>
  <c r="DQ79" i="25"/>
  <c r="DQ311" i="25"/>
  <c r="DN311" i="25"/>
  <c r="DW38" i="25"/>
  <c r="DN170" i="25"/>
  <c r="DQ170" i="25"/>
  <c r="FA170" i="25" s="1"/>
  <c r="DN201" i="25"/>
  <c r="DQ201" i="25"/>
  <c r="DT201" i="25" s="1"/>
  <c r="DW145" i="25"/>
  <c r="EB55" i="25"/>
  <c r="EA55" i="25"/>
  <c r="DN278" i="25"/>
  <c r="DQ278" i="25"/>
  <c r="DW139" i="25"/>
  <c r="DQ71" i="25"/>
  <c r="DN71" i="25"/>
  <c r="DQ117" i="25"/>
  <c r="DN117" i="25"/>
  <c r="DN210" i="25"/>
  <c r="DQ210" i="25"/>
  <c r="DT210" i="25" s="1"/>
  <c r="DN234" i="25"/>
  <c r="DQ234" i="25"/>
  <c r="DN295" i="25"/>
  <c r="DQ295" i="25"/>
  <c r="EB53" i="25"/>
  <c r="EA53" i="25"/>
  <c r="EB30" i="25"/>
  <c r="EA30" i="25"/>
  <c r="DQ96" i="25"/>
  <c r="DT96" i="25" s="1"/>
  <c r="DN96" i="25"/>
  <c r="DN273" i="25"/>
  <c r="DQ273" i="25"/>
  <c r="EB161" i="25"/>
  <c r="EA161" i="25"/>
  <c r="DQ57" i="25"/>
  <c r="EB50" i="25"/>
  <c r="EA50" i="25"/>
  <c r="EB165" i="25"/>
  <c r="EA165" i="25"/>
  <c r="DN233" i="25"/>
  <c r="DQ233" i="25"/>
  <c r="DW190" i="25"/>
  <c r="DW158" i="25"/>
  <c r="DQ283" i="25"/>
  <c r="DN283" i="25"/>
  <c r="DN200" i="25"/>
  <c r="DQ200" i="25"/>
  <c r="DT200" i="25" s="1"/>
  <c r="DN39" i="25"/>
  <c r="DQ39" i="25"/>
  <c r="DQ209" i="25"/>
  <c r="DT209" i="25" s="1"/>
  <c r="DN209" i="25"/>
  <c r="DN245" i="25"/>
  <c r="DQ245" i="25"/>
  <c r="DQ303" i="25"/>
  <c r="DN303" i="25"/>
  <c r="EB176" i="25"/>
  <c r="EA176" i="25"/>
  <c r="DQ14" i="25"/>
  <c r="DN14" i="25"/>
  <c r="DQ191" i="25"/>
  <c r="EJ191" i="25" s="1"/>
  <c r="DN191" i="25"/>
  <c r="DN120" i="25"/>
  <c r="DQ120" i="25"/>
  <c r="DW111" i="25"/>
  <c r="DW121" i="25"/>
  <c r="DN271" i="25"/>
  <c r="DQ271" i="25"/>
  <c r="DN68" i="25"/>
  <c r="DQ68" i="25"/>
  <c r="DN184" i="25"/>
  <c r="DQ184" i="25"/>
  <c r="DQ287" i="25"/>
  <c r="DN287" i="25"/>
  <c r="DQ195" i="25"/>
  <c r="DT195" i="25" s="1"/>
  <c r="DN195" i="25"/>
  <c r="DN309" i="25"/>
  <c r="DQ309" i="25"/>
  <c r="DW203" i="25"/>
  <c r="DN98" i="25"/>
  <c r="DQ98" i="25"/>
  <c r="DT98" i="25" s="1"/>
  <c r="DW187" i="25"/>
  <c r="DQ111" i="25"/>
  <c r="DN111" i="25"/>
  <c r="DN256" i="25"/>
  <c r="DQ256" i="25"/>
  <c r="DQ51" i="25"/>
  <c r="DN51" i="25"/>
  <c r="EB196" i="25"/>
  <c r="EA196" i="25"/>
  <c r="DN67" i="25"/>
  <c r="DQ67" i="25"/>
  <c r="DQ84" i="25"/>
  <c r="DN84" i="25"/>
  <c r="DW157" i="25"/>
  <c r="DN225" i="25"/>
  <c r="DQ225" i="25"/>
  <c r="DQ128" i="25"/>
  <c r="EJ128" i="25" s="1"/>
  <c r="DN128" i="25"/>
  <c r="DN298" i="25"/>
  <c r="DQ298" i="25"/>
  <c r="DN276" i="25"/>
  <c r="DQ276" i="25"/>
  <c r="DQ275" i="25"/>
  <c r="DN275" i="25"/>
  <c r="DN173" i="25"/>
  <c r="DQ173" i="25"/>
  <c r="EJ173" i="25" s="1"/>
  <c r="DN87" i="25"/>
  <c r="DQ87" i="25"/>
  <c r="DQ36" i="25"/>
  <c r="DN36" i="25"/>
  <c r="DQ55" i="25"/>
  <c r="DN55" i="25"/>
  <c r="EB148" i="25"/>
  <c r="EA148" i="25"/>
  <c r="DN142" i="25"/>
  <c r="DQ142" i="25"/>
  <c r="DW60" i="25"/>
  <c r="DW64" i="25"/>
  <c r="DW128" i="25"/>
  <c r="DQ300" i="25"/>
  <c r="DN300" i="25"/>
  <c r="DQ252" i="25"/>
  <c r="DN252" i="25"/>
  <c r="DN304" i="25"/>
  <c r="DQ304" i="25"/>
  <c r="DW66" i="25"/>
  <c r="DQ18" i="25"/>
  <c r="DN18" i="25"/>
  <c r="EB115" i="25"/>
  <c r="EA115" i="25"/>
  <c r="DN19" i="25"/>
  <c r="DQ19" i="25"/>
  <c r="EB21" i="25"/>
  <c r="EA21" i="25"/>
  <c r="DW78" i="25"/>
  <c r="DN53" i="25"/>
  <c r="DQ53" i="25"/>
  <c r="DN66" i="25"/>
  <c r="DQ66" i="25"/>
  <c r="EB101" i="25"/>
  <c r="EA101" i="25"/>
  <c r="EB120" i="25"/>
  <c r="EA120" i="25"/>
  <c r="DW179" i="25"/>
  <c r="DQ178" i="25"/>
  <c r="DQ29" i="25"/>
  <c r="DN29" i="25"/>
  <c r="DN11" i="25"/>
  <c r="DQ11" i="25"/>
  <c r="DN33" i="25"/>
  <c r="DQ33" i="25"/>
  <c r="DQ26" i="25"/>
  <c r="DN26" i="25"/>
  <c r="DN293" i="25"/>
  <c r="DQ293" i="25"/>
  <c r="DW126" i="25"/>
  <c r="DQ313" i="25"/>
  <c r="DN313" i="25"/>
  <c r="DQ58" i="25"/>
  <c r="DN58" i="25"/>
  <c r="DW43" i="25"/>
  <c r="DQ250" i="25"/>
  <c r="DN250" i="25"/>
  <c r="DW181" i="25"/>
  <c r="DW194" i="25"/>
  <c r="DW14" i="25"/>
  <c r="DW37" i="25"/>
  <c r="DN134" i="25"/>
  <c r="DQ134" i="25"/>
  <c r="DN12" i="25"/>
  <c r="DQ12" i="25"/>
  <c r="DN240" i="25"/>
  <c r="DQ240" i="25"/>
  <c r="DN236" i="25"/>
  <c r="DQ236" i="25"/>
  <c r="DQ122" i="25"/>
  <c r="EY122" i="25" s="1"/>
  <c r="DN122" i="25"/>
  <c r="DN41" i="25"/>
  <c r="DQ41" i="25"/>
  <c r="DN249" i="25"/>
  <c r="DQ249" i="25"/>
  <c r="DN70" i="25"/>
  <c r="DQ70" i="25"/>
  <c r="EB134" i="25"/>
  <c r="EA134" i="25"/>
  <c r="DQ149" i="25"/>
  <c r="DN149" i="25"/>
  <c r="DN235" i="25"/>
  <c r="DQ235" i="25"/>
  <c r="EB163" i="25"/>
  <c r="EA163" i="25"/>
  <c r="EB63" i="25"/>
  <c r="EA63" i="25"/>
  <c r="DN17" i="25"/>
  <c r="DQ17" i="25"/>
  <c r="DQ255" i="25"/>
  <c r="DN255" i="25"/>
  <c r="EB61" i="25"/>
  <c r="EA61" i="25"/>
  <c r="DQ88" i="25"/>
  <c r="DN88" i="25"/>
  <c r="DW127" i="25"/>
  <c r="DN83" i="25"/>
  <c r="DQ83" i="25"/>
  <c r="EB41" i="25"/>
  <c r="EA41" i="25"/>
  <c r="DN9" i="25"/>
  <c r="DQ9" i="25"/>
  <c r="DN31" i="25"/>
  <c r="DQ31" i="25"/>
  <c r="EB123" i="25"/>
  <c r="EA123" i="25"/>
  <c r="DQ179" i="25"/>
  <c r="EY179" i="25" s="1"/>
  <c r="EB188" i="25"/>
  <c r="EA188" i="25"/>
  <c r="DQ204" i="25"/>
  <c r="DT204" i="25" s="1"/>
  <c r="DN204" i="25"/>
  <c r="EB117" i="25"/>
  <c r="EA117" i="25"/>
  <c r="DQ155" i="25"/>
  <c r="DN155" i="25"/>
  <c r="DQ196" i="25"/>
  <c r="DT196" i="25" s="1"/>
  <c r="DW173" i="25"/>
  <c r="DN30" i="25"/>
  <c r="DQ30" i="25"/>
  <c r="DQ115" i="25"/>
  <c r="DN115" i="25"/>
  <c r="DQ50" i="25"/>
  <c r="DN50" i="25"/>
  <c r="DN60" i="25"/>
  <c r="DQ60" i="25"/>
  <c r="DN251" i="25"/>
  <c r="DQ251" i="25"/>
  <c r="DN64" i="25"/>
  <c r="DQ64" i="25"/>
  <c r="DW138" i="25"/>
  <c r="DN294" i="25"/>
  <c r="DQ294" i="25"/>
  <c r="DQ6" i="25"/>
  <c r="DN6" i="25"/>
  <c r="DN197" i="25"/>
  <c r="DQ197" i="25"/>
  <c r="DT197" i="25" s="1"/>
  <c r="DQ124" i="25"/>
  <c r="DN124" i="25"/>
  <c r="DN205" i="25"/>
  <c r="DQ205" i="25"/>
  <c r="DT205" i="25" s="1"/>
  <c r="DN176" i="25"/>
  <c r="DQ176" i="25"/>
  <c r="DN7" i="25"/>
  <c r="DQ7" i="25"/>
  <c r="DW15" i="25"/>
  <c r="DW141" i="25"/>
  <c r="DN185" i="25"/>
  <c r="DQ185" i="25"/>
  <c r="DQ218" i="25"/>
  <c r="DN218" i="25"/>
  <c r="DN222" i="25"/>
  <c r="DQ222" i="25"/>
  <c r="DQ238" i="25"/>
  <c r="DN238" i="25"/>
  <c r="EB205" i="25"/>
  <c r="EA205" i="25"/>
  <c r="DN167" i="25"/>
  <c r="DQ167" i="25"/>
  <c r="DN190" i="25"/>
  <c r="DQ190" i="25"/>
  <c r="FA190" i="25" s="1"/>
  <c r="DQ42" i="25"/>
  <c r="DN42" i="25"/>
  <c r="DW58" i="25"/>
  <c r="DQ284" i="25"/>
  <c r="DN284" i="25"/>
  <c r="EB44" i="25"/>
  <c r="EA44" i="25"/>
  <c r="DW24" i="25"/>
  <c r="DN180" i="25"/>
  <c r="DQ92" i="25"/>
  <c r="DT92" i="25" s="1"/>
  <c r="DN92" i="25"/>
  <c r="DW42" i="25"/>
  <c r="EB76" i="25"/>
  <c r="EA76" i="25"/>
  <c r="DN37" i="25"/>
  <c r="DQ37" i="25"/>
  <c r="DW119" i="25"/>
  <c r="DW137" i="25"/>
  <c r="DW92" i="25"/>
  <c r="DQ76" i="25"/>
  <c r="DN76" i="25"/>
  <c r="EA110" i="25"/>
  <c r="EB110" i="25"/>
  <c r="DW90" i="25"/>
  <c r="DQ305" i="25"/>
  <c r="DN305" i="25"/>
  <c r="EB140" i="25"/>
  <c r="EA140" i="25"/>
  <c r="EB20" i="25"/>
  <c r="EA20" i="25"/>
  <c r="EB32" i="25"/>
  <c r="EA32" i="25"/>
  <c r="DW156" i="25"/>
  <c r="DQ310" i="25"/>
  <c r="DN310" i="25"/>
  <c r="DW86" i="25"/>
  <c r="DQ125" i="25"/>
  <c r="DN125" i="25"/>
  <c r="EB182" i="25"/>
  <c r="EA182" i="25"/>
  <c r="EB204" i="25"/>
  <c r="EA204" i="25"/>
  <c r="DQ207" i="25"/>
  <c r="DT207" i="25" s="1"/>
  <c r="DN207" i="25"/>
  <c r="DN260" i="25"/>
  <c r="DQ260" i="25"/>
  <c r="DN239" i="25"/>
  <c r="DQ239" i="25"/>
  <c r="DQ47" i="25"/>
  <c r="DN47" i="25"/>
  <c r="DW79" i="25"/>
  <c r="DN40" i="25"/>
  <c r="DQ40" i="25"/>
  <c r="DQ208" i="25"/>
  <c r="DT208" i="25" s="1"/>
  <c r="DN208" i="25"/>
  <c r="EB201" i="25"/>
  <c r="EA201" i="25"/>
  <c r="EB149" i="25"/>
  <c r="EA149" i="25"/>
  <c r="EB150" i="25"/>
  <c r="EA150" i="25"/>
  <c r="DQ133" i="25"/>
  <c r="DN133" i="25"/>
  <c r="DN52" i="25"/>
  <c r="DQ52" i="25"/>
  <c r="DQ28" i="25"/>
  <c r="DN28" i="25"/>
  <c r="DN45" i="25"/>
  <c r="DQ45" i="25"/>
  <c r="DW47" i="25"/>
  <c r="EB144" i="25"/>
  <c r="EA144" i="25"/>
  <c r="DW27" i="25"/>
  <c r="DW40" i="25"/>
  <c r="EB6" i="25"/>
  <c r="EA6" i="25"/>
  <c r="EB57" i="25"/>
  <c r="EA57" i="25"/>
  <c r="EB28" i="25"/>
  <c r="EA28" i="25"/>
  <c r="DQ94" i="25"/>
  <c r="DT94" i="25" s="1"/>
  <c r="DN94" i="25"/>
  <c r="EB162" i="25"/>
  <c r="EA162" i="25"/>
  <c r="DN15" i="25"/>
  <c r="DQ15" i="25"/>
  <c r="DN158" i="25"/>
  <c r="DQ158" i="25"/>
  <c r="EJ158" i="25" s="1"/>
  <c r="DQ141" i="25"/>
  <c r="DN141" i="25"/>
  <c r="DN270" i="25"/>
  <c r="DQ270" i="25"/>
  <c r="DW129" i="25"/>
  <c r="EB186" i="25"/>
  <c r="EA186" i="25"/>
  <c r="EB116" i="25"/>
  <c r="EA116" i="25"/>
  <c r="DN172" i="25"/>
  <c r="DQ172" i="25"/>
  <c r="DN288" i="25"/>
  <c r="DQ288" i="25"/>
  <c r="DQ102" i="25"/>
  <c r="DT102" i="25" s="1"/>
  <c r="DN102" i="25"/>
  <c r="EB75" i="25"/>
  <c r="EA75" i="25"/>
  <c r="DN118" i="25"/>
  <c r="DQ118" i="25"/>
  <c r="EB113" i="25"/>
  <c r="EA113" i="25"/>
  <c r="EB209" i="25"/>
  <c r="EA209" i="25"/>
  <c r="DQ281" i="25"/>
  <c r="DN281" i="25"/>
  <c r="EB104" i="25"/>
  <c r="EA104" i="25"/>
  <c r="DN91" i="25"/>
  <c r="DQ91" i="25"/>
  <c r="DT91" i="25" s="1"/>
  <c r="DQ232" i="25"/>
  <c r="DN232" i="25"/>
  <c r="DW33" i="25"/>
  <c r="DQ82" i="25"/>
  <c r="DN82" i="25"/>
  <c r="DW147" i="25"/>
  <c r="DW199" i="25"/>
  <c r="DQ154" i="25"/>
  <c r="DN154" i="25"/>
  <c r="DN160" i="25"/>
  <c r="DQ160" i="25"/>
  <c r="DQ63" i="25"/>
  <c r="DN63" i="25"/>
  <c r="EB184" i="25"/>
  <c r="EA184" i="25"/>
  <c r="DQ192" i="25"/>
  <c r="DN192" i="25"/>
  <c r="DW169" i="25"/>
  <c r="DW25" i="25"/>
  <c r="EB82" i="25"/>
  <c r="EA82" i="25"/>
  <c r="DQ203" i="25"/>
  <c r="DT203" i="25" s="1"/>
  <c r="DN203" i="25"/>
  <c r="DQ65" i="25"/>
  <c r="DN65" i="25"/>
  <c r="DW87" i="25"/>
  <c r="DN100" i="25"/>
  <c r="DQ100" i="25"/>
  <c r="DT100" i="25" s="1"/>
  <c r="DQ248" i="25"/>
  <c r="DN248" i="25"/>
  <c r="DW208" i="25"/>
  <c r="DQ279" i="25"/>
  <c r="DN279" i="25"/>
  <c r="DN177" i="25"/>
  <c r="DQ177" i="25"/>
  <c r="EJ177" i="25" s="1"/>
  <c r="DQ188" i="25"/>
  <c r="DN188" i="25"/>
  <c r="DQ146" i="25"/>
  <c r="DN146" i="25"/>
  <c r="DN277" i="25"/>
  <c r="DQ277" i="25"/>
  <c r="DN292" i="25"/>
  <c r="DQ292" i="25"/>
  <c r="DN27" i="25"/>
  <c r="DQ27" i="25"/>
  <c r="DW70" i="25"/>
  <c r="DN253" i="25"/>
  <c r="DQ253" i="25"/>
  <c r="EB22" i="25"/>
  <c r="EA22" i="25"/>
  <c r="DQ145" i="25"/>
  <c r="EJ145" i="25" s="1"/>
  <c r="DN145" i="25"/>
  <c r="EB125" i="25"/>
  <c r="EA125" i="25"/>
  <c r="DW17" i="25"/>
  <c r="DQ56" i="25"/>
  <c r="DN56" i="25"/>
  <c r="DW99" i="25"/>
  <c r="DN54" i="25"/>
  <c r="DQ54" i="25"/>
  <c r="DQ93" i="25"/>
  <c r="DT93" i="25" s="1"/>
  <c r="DN93" i="25"/>
  <c r="DQ161" i="25"/>
  <c r="DN161" i="25"/>
  <c r="EB52" i="25"/>
  <c r="EA52" i="25"/>
  <c r="DN223" i="25"/>
  <c r="DQ223" i="25"/>
  <c r="EB151" i="25"/>
  <c r="EA151" i="25"/>
  <c r="DN165" i="25"/>
  <c r="DQ165" i="25"/>
  <c r="EB114" i="25"/>
  <c r="EA114" i="25"/>
  <c r="DQ164" i="25"/>
  <c r="DN164" i="25"/>
  <c r="DQ306" i="25"/>
  <c r="DN306" i="25"/>
  <c r="DQ228" i="25"/>
  <c r="DN228" i="25"/>
  <c r="DW72" i="25"/>
  <c r="DQ290" i="25"/>
  <c r="DN290" i="25"/>
  <c r="DQ136" i="25"/>
  <c r="DN136" i="25"/>
  <c r="EB94" i="25"/>
  <c r="EA94" i="25"/>
  <c r="DQ262" i="25"/>
  <c r="DN269" i="25"/>
  <c r="DQ269" i="25"/>
  <c r="DW193" i="25"/>
  <c r="DQ129" i="25"/>
  <c r="DN129" i="25"/>
  <c r="DW136" i="25"/>
  <c r="DQ104" i="25"/>
  <c r="DT104" i="25" s="1"/>
  <c r="DN104" i="25"/>
  <c r="EB19" i="25"/>
  <c r="EA19" i="25"/>
  <c r="DQ147" i="25"/>
  <c r="EJ147" i="25" s="1"/>
  <c r="DN147" i="25"/>
  <c r="DN97" i="25"/>
  <c r="DQ97" i="25"/>
  <c r="DT97" i="25" s="1"/>
  <c r="EB202" i="25"/>
  <c r="EA202" i="25"/>
  <c r="DW34" i="25"/>
  <c r="DQ308" i="25"/>
  <c r="DN308" i="25"/>
  <c r="DN90" i="25"/>
  <c r="DQ90" i="25"/>
  <c r="DQ258" i="25"/>
  <c r="DN258" i="25"/>
  <c r="EB26" i="25"/>
  <c r="EA26" i="25"/>
  <c r="EB192" i="25"/>
  <c r="EA192" i="25"/>
  <c r="DQ169" i="25"/>
  <c r="DN169" i="25"/>
  <c r="DW81" i="25"/>
  <c r="DQ25" i="25"/>
  <c r="DN25" i="25"/>
  <c r="DW191" i="25"/>
  <c r="DN267" i="25"/>
  <c r="DQ267" i="25"/>
  <c r="DN156" i="25"/>
  <c r="DQ156" i="25"/>
  <c r="DN23" i="25"/>
  <c r="DQ23" i="25"/>
  <c r="DN89" i="25"/>
  <c r="DQ89" i="25"/>
  <c r="DN130" i="25"/>
  <c r="DQ130" i="25"/>
  <c r="EB198" i="25"/>
  <c r="EA198" i="25"/>
  <c r="DQ194" i="25"/>
  <c r="DT194" i="25" s="1"/>
  <c r="DN194" i="25"/>
  <c r="DW98" i="25"/>
  <c r="DN289" i="25"/>
  <c r="DQ289" i="25"/>
  <c r="DN22" i="25"/>
  <c r="DQ22" i="25"/>
  <c r="DQ297" i="25"/>
  <c r="DN297" i="25"/>
  <c r="DN264" i="25"/>
  <c r="DQ264" i="25"/>
  <c r="DQ32" i="25"/>
  <c r="DN32" i="25"/>
  <c r="DN166" i="25"/>
  <c r="DQ166" i="25"/>
  <c r="DW100" i="25"/>
  <c r="DQ153" i="25"/>
  <c r="DN153" i="25"/>
  <c r="DN301" i="25"/>
  <c r="DQ301" i="25"/>
  <c r="EB85" i="25"/>
  <c r="EA85" i="25"/>
  <c r="DN291" i="25"/>
  <c r="DQ291" i="25"/>
  <c r="DW210" i="25"/>
  <c r="DW83" i="25"/>
  <c r="DN217" i="25"/>
  <c r="DQ217" i="25"/>
  <c r="DQ307" i="25"/>
  <c r="DN307" i="25"/>
  <c r="EB36" i="25"/>
  <c r="EA36" i="25"/>
  <c r="DN229" i="25"/>
  <c r="DQ229" i="25"/>
  <c r="DQ74" i="25"/>
  <c r="DN74" i="25"/>
  <c r="EB172" i="25"/>
  <c r="EA172" i="25"/>
  <c r="EB155" i="25"/>
  <c r="EA155" i="25"/>
  <c r="DQ226" i="25"/>
  <c r="DN226" i="25"/>
  <c r="DN231" i="25"/>
  <c r="DQ231" i="25"/>
  <c r="DQ132" i="25"/>
  <c r="DN132" i="25"/>
  <c r="DQ127" i="25"/>
  <c r="FA127" i="25" s="1"/>
  <c r="DQ135" i="25"/>
  <c r="DN135" i="25"/>
  <c r="DW93" i="25"/>
  <c r="DQ77" i="25"/>
  <c r="DN77" i="25"/>
  <c r="DQ101" i="25"/>
  <c r="DT101" i="25" s="1"/>
  <c r="DN101" i="25"/>
  <c r="DW74" i="25"/>
  <c r="DQ114" i="25"/>
  <c r="DN114" i="25"/>
  <c r="DN80" i="25"/>
  <c r="DQ80" i="25"/>
  <c r="EB132" i="25"/>
  <c r="EA132" i="25"/>
  <c r="DQ44" i="25"/>
  <c r="DN44" i="25"/>
  <c r="EB11" i="25"/>
  <c r="EA11" i="25"/>
  <c r="EB152" i="25"/>
  <c r="EA152" i="25"/>
  <c r="DQ180" i="25"/>
  <c r="EB18" i="25"/>
  <c r="EA18" i="25"/>
  <c r="DN8" i="25"/>
  <c r="DQ8" i="25"/>
  <c r="DQ219" i="25"/>
  <c r="DN219" i="25"/>
  <c r="DN72" i="24"/>
  <c r="DX72" i="24" s="1"/>
  <c r="DN64" i="24"/>
  <c r="DZ64" i="24" s="1"/>
  <c r="DN57" i="24"/>
  <c r="DZ57" i="24" s="1"/>
  <c r="DN46" i="24"/>
  <c r="DX46" i="24" s="1"/>
  <c r="DN9" i="24"/>
  <c r="DZ9" i="24" s="1"/>
  <c r="DN45" i="24"/>
  <c r="DZ45" i="24" s="1"/>
  <c r="DN7" i="24"/>
  <c r="DZ7" i="24" s="1"/>
  <c r="DN59" i="24"/>
  <c r="DX59" i="24" s="1"/>
  <c r="DN20" i="24"/>
  <c r="DX20" i="24" s="1"/>
  <c r="DN140" i="24"/>
  <c r="DX140" i="24" s="1"/>
  <c r="DN233" i="24"/>
  <c r="DN19" i="24"/>
  <c r="DX19" i="24" s="1"/>
  <c r="DN58" i="24"/>
  <c r="DX58" i="24" s="1"/>
  <c r="DN303" i="24"/>
  <c r="DN49" i="24"/>
  <c r="DX49" i="24" s="1"/>
  <c r="DN143" i="24"/>
  <c r="DX143" i="24" s="1"/>
  <c r="DN245" i="24"/>
  <c r="DN297" i="24"/>
  <c r="DN12" i="24"/>
  <c r="DX12" i="24" s="1"/>
  <c r="DN295" i="24"/>
  <c r="DN125" i="24"/>
  <c r="DX125" i="24" s="1"/>
  <c r="DN313" i="24"/>
  <c r="DN28" i="24"/>
  <c r="DX28" i="24" s="1"/>
  <c r="DN166" i="24"/>
  <c r="DX166" i="24" s="1"/>
  <c r="DN315" i="24"/>
  <c r="DN36" i="24"/>
  <c r="DZ36" i="24" s="1"/>
  <c r="DN286" i="24"/>
  <c r="DN31" i="24"/>
  <c r="DZ31" i="24" s="1"/>
  <c r="DN246" i="24"/>
  <c r="DN34" i="24"/>
  <c r="DX34" i="24" s="1"/>
  <c r="DN11" i="24"/>
  <c r="DZ11" i="24" s="1"/>
  <c r="DN311" i="24"/>
  <c r="DN282" i="24"/>
  <c r="DN38" i="24"/>
  <c r="DX38" i="24" s="1"/>
  <c r="DN178" i="24"/>
  <c r="DX178" i="24" s="1"/>
  <c r="DN144" i="24"/>
  <c r="DX144" i="24" s="1"/>
  <c r="DN266" i="24"/>
  <c r="DN200" i="24"/>
  <c r="DX200" i="24" s="1"/>
  <c r="DN105" i="24"/>
  <c r="DZ105" i="24" s="1"/>
  <c r="DN316" i="24"/>
  <c r="DN101" i="24"/>
  <c r="DZ101" i="24" s="1"/>
  <c r="DN153" i="24"/>
  <c r="DX153" i="24" s="1"/>
  <c r="DN18" i="24"/>
  <c r="DZ18" i="24" s="1"/>
  <c r="DN265" i="24"/>
  <c r="DN182" i="24"/>
  <c r="DX182" i="24" s="1"/>
  <c r="DN263" i="24"/>
  <c r="DN32" i="24"/>
  <c r="DX32" i="24" s="1"/>
  <c r="DN87" i="24"/>
  <c r="DZ87" i="24" s="1"/>
  <c r="DN232" i="24"/>
  <c r="DN118" i="24"/>
  <c r="DX118" i="24" s="1"/>
  <c r="DN247" i="24"/>
  <c r="DN141" i="24"/>
  <c r="DX141" i="24" s="1"/>
  <c r="DN251" i="24"/>
  <c r="DN82" i="24"/>
  <c r="DX82" i="24" s="1"/>
  <c r="DN285" i="24"/>
  <c r="DN17" i="24"/>
  <c r="DZ17" i="24" s="1"/>
  <c r="DN120" i="24"/>
  <c r="DX120" i="24" s="1"/>
  <c r="DN148" i="24"/>
  <c r="DX148" i="24" s="1"/>
  <c r="DN102" i="24"/>
  <c r="DX102" i="24" s="1"/>
  <c r="DN274" i="24"/>
  <c r="DN238" i="24"/>
  <c r="DN188" i="24"/>
  <c r="DX188" i="24" s="1"/>
  <c r="DN304" i="24"/>
  <c r="DN6" i="24"/>
  <c r="DX6" i="24" s="1"/>
  <c r="DN220" i="24"/>
  <c r="DN261" i="24"/>
  <c r="DN90" i="24"/>
  <c r="DX90" i="24" s="1"/>
  <c r="DN259" i="24"/>
  <c r="DN15" i="24"/>
  <c r="DX15" i="24" s="1"/>
  <c r="DN222" i="24"/>
  <c r="DN56" i="24"/>
  <c r="DZ56" i="24" s="1"/>
  <c r="DN294" i="24"/>
  <c r="DN287" i="24"/>
  <c r="DN280" i="24"/>
  <c r="DN229" i="24"/>
  <c r="DN252" i="24"/>
  <c r="DN236" i="24"/>
  <c r="DN195" i="24"/>
  <c r="DX195" i="24" s="1"/>
  <c r="DN293" i="24"/>
  <c r="DN92" i="24"/>
  <c r="DZ92" i="24" s="1"/>
  <c r="DN21" i="24"/>
  <c r="DZ21" i="24" s="1"/>
  <c r="DN194" i="24"/>
  <c r="DX194" i="24" s="1"/>
  <c r="DN276" i="24"/>
  <c r="DN88" i="24"/>
  <c r="DZ88" i="24" s="1"/>
  <c r="DN204" i="24"/>
  <c r="DX204" i="24" s="1"/>
  <c r="DN189" i="24"/>
  <c r="DX189" i="24" s="1"/>
  <c r="DN119" i="24"/>
  <c r="DX119" i="24" s="1"/>
  <c r="DN262" i="24"/>
  <c r="DN292" i="24"/>
  <c r="DN96" i="24"/>
  <c r="DX96" i="24" s="1"/>
  <c r="DN241" i="24"/>
  <c r="DN73" i="24"/>
  <c r="DX73" i="24" s="1"/>
  <c r="DN225" i="24"/>
  <c r="DN51" i="24"/>
  <c r="DX51" i="24" s="1"/>
  <c r="DN180" i="24"/>
  <c r="DX180" i="24" s="1"/>
  <c r="DN22" i="24"/>
  <c r="DX22" i="24" s="1"/>
  <c r="DN308" i="24"/>
  <c r="DN121" i="24"/>
  <c r="DX121" i="24" s="1"/>
  <c r="DN235" i="24"/>
  <c r="DN289" i="24"/>
  <c r="DK165" i="24"/>
  <c r="DJ165" i="24"/>
  <c r="DK33" i="24"/>
  <c r="DJ33" i="24"/>
  <c r="DK34" i="24"/>
  <c r="DJ34" i="24"/>
  <c r="DK303" i="24"/>
  <c r="DJ303" i="24"/>
  <c r="DK226" i="24"/>
  <c r="DJ226" i="24"/>
  <c r="DK186" i="24"/>
  <c r="DJ186" i="24"/>
  <c r="DK135" i="24"/>
  <c r="DJ135" i="24"/>
  <c r="DN81" i="24"/>
  <c r="DN150" i="24"/>
  <c r="DN193" i="24"/>
  <c r="DK247" i="24"/>
  <c r="DJ247" i="24"/>
  <c r="DK125" i="24"/>
  <c r="DJ125" i="24"/>
  <c r="DK305" i="24"/>
  <c r="DJ305" i="24"/>
  <c r="DN71" i="24"/>
  <c r="DN33" i="24"/>
  <c r="DK57" i="24"/>
  <c r="DJ57" i="24"/>
  <c r="DN35" i="24"/>
  <c r="DK169" i="24"/>
  <c r="DJ169" i="24"/>
  <c r="DK298" i="24"/>
  <c r="DJ298" i="24"/>
  <c r="DK45" i="24"/>
  <c r="DJ45" i="24"/>
  <c r="DN104" i="24"/>
  <c r="DN37" i="24"/>
  <c r="DN239" i="24"/>
  <c r="DK293" i="24"/>
  <c r="DJ293" i="24"/>
  <c r="DK131" i="24"/>
  <c r="DJ131" i="24"/>
  <c r="DK62" i="24"/>
  <c r="DJ62" i="24"/>
  <c r="DN52" i="24"/>
  <c r="DK221" i="24"/>
  <c r="DJ221" i="24"/>
  <c r="DK102" i="24"/>
  <c r="DJ102" i="24"/>
  <c r="DK130" i="24"/>
  <c r="DJ130" i="24"/>
  <c r="DK76" i="24"/>
  <c r="DJ76" i="24"/>
  <c r="DK117" i="24"/>
  <c r="DJ117" i="24"/>
  <c r="DK191" i="24"/>
  <c r="DJ191" i="24"/>
  <c r="DK266" i="24"/>
  <c r="DJ266" i="24"/>
  <c r="DN54" i="24"/>
  <c r="DN159" i="24"/>
  <c r="DK200" i="24"/>
  <c r="DJ200" i="24"/>
  <c r="DK177" i="24"/>
  <c r="DJ177" i="24"/>
  <c r="DK194" i="24"/>
  <c r="DJ194" i="24"/>
  <c r="DK74" i="24"/>
  <c r="DJ74" i="24"/>
  <c r="DK138" i="24"/>
  <c r="DJ138" i="24"/>
  <c r="DN147" i="24"/>
  <c r="DN127" i="24"/>
  <c r="DK170" i="24"/>
  <c r="DJ170" i="24"/>
  <c r="DN183" i="24"/>
  <c r="DN228" i="24"/>
  <c r="DK217" i="24"/>
  <c r="DJ217" i="24"/>
  <c r="DN269" i="24"/>
  <c r="DN152" i="24"/>
  <c r="DK16" i="24"/>
  <c r="DJ16" i="24"/>
  <c r="DK175" i="24"/>
  <c r="DJ175" i="24"/>
  <c r="DN63" i="24"/>
  <c r="DN128" i="24"/>
  <c r="DK96" i="24"/>
  <c r="DJ96" i="24"/>
  <c r="DN242" i="24"/>
  <c r="DK172" i="24"/>
  <c r="DJ172" i="24"/>
  <c r="DN83" i="24"/>
  <c r="DN281" i="24"/>
  <c r="DK160" i="24"/>
  <c r="DJ160" i="24"/>
  <c r="DK272" i="24"/>
  <c r="DJ272" i="24"/>
  <c r="DN279" i="24"/>
  <c r="DK31" i="24"/>
  <c r="DJ31" i="24"/>
  <c r="DN30" i="24"/>
  <c r="DN41" i="24"/>
  <c r="DN226" i="24"/>
  <c r="DK291" i="24"/>
  <c r="DJ291" i="24"/>
  <c r="DN40" i="24"/>
  <c r="DN186" i="24"/>
  <c r="DN99" i="24"/>
  <c r="DK61" i="24"/>
  <c r="DJ61" i="24"/>
  <c r="DK251" i="24"/>
  <c r="DJ251" i="24"/>
  <c r="DK82" i="24"/>
  <c r="DJ82" i="24"/>
  <c r="DN267" i="24"/>
  <c r="DN224" i="24"/>
  <c r="DK234" i="24"/>
  <c r="DJ234" i="24"/>
  <c r="DK89" i="24"/>
  <c r="DJ89" i="24"/>
  <c r="DN60" i="24"/>
  <c r="DK137" i="24"/>
  <c r="DJ137" i="24"/>
  <c r="DK79" i="24"/>
  <c r="DJ79" i="24"/>
  <c r="DK81" i="24"/>
  <c r="DJ81" i="24"/>
  <c r="DK248" i="24"/>
  <c r="DJ248" i="24"/>
  <c r="DK85" i="24"/>
  <c r="DJ85" i="24"/>
  <c r="DK148" i="24"/>
  <c r="DJ148" i="24"/>
  <c r="DK219" i="24"/>
  <c r="DJ219" i="24"/>
  <c r="DK183" i="24"/>
  <c r="DJ183" i="24"/>
  <c r="DK166" i="24"/>
  <c r="DJ166" i="24"/>
  <c r="DK150" i="24"/>
  <c r="DJ150" i="24"/>
  <c r="DN142" i="24"/>
  <c r="DN305" i="24"/>
  <c r="DK229" i="24"/>
  <c r="DJ229" i="24"/>
  <c r="DN55" i="24"/>
  <c r="DK71" i="24"/>
  <c r="DJ71" i="24"/>
  <c r="DK233" i="24"/>
  <c r="DJ233" i="24"/>
  <c r="DN298" i="24"/>
  <c r="DK86" i="24"/>
  <c r="DJ86" i="24"/>
  <c r="DK104" i="24"/>
  <c r="DJ104" i="24"/>
  <c r="DJ37" i="24"/>
  <c r="DK37" i="24"/>
  <c r="DK310" i="24"/>
  <c r="DJ310" i="24"/>
  <c r="DK178" i="24"/>
  <c r="DJ178" i="24"/>
  <c r="DK144" i="24"/>
  <c r="DJ144" i="24"/>
  <c r="DK239" i="24"/>
  <c r="DJ239" i="24"/>
  <c r="DN62" i="24"/>
  <c r="DK12" i="24"/>
  <c r="DJ12" i="24"/>
  <c r="DK159" i="24"/>
  <c r="DJ159" i="24"/>
  <c r="DK306" i="24"/>
  <c r="DJ306" i="24"/>
  <c r="DN177" i="24"/>
  <c r="DK78" i="24"/>
  <c r="DJ78" i="24"/>
  <c r="DN138" i="24"/>
  <c r="DK147" i="24"/>
  <c r="DJ147" i="24"/>
  <c r="DN170" i="24"/>
  <c r="DK228" i="24"/>
  <c r="DJ228" i="24"/>
  <c r="DK116" i="24"/>
  <c r="DJ116" i="24"/>
  <c r="DK263" i="24"/>
  <c r="DJ263" i="24"/>
  <c r="DK269" i="24"/>
  <c r="DJ269" i="24"/>
  <c r="DK152" i="24"/>
  <c r="DJ152" i="24"/>
  <c r="DN175" i="24"/>
  <c r="DK63" i="24"/>
  <c r="DJ63" i="24"/>
  <c r="DK128" i="24"/>
  <c r="DJ128" i="24"/>
  <c r="DK242" i="24"/>
  <c r="DJ242" i="24"/>
  <c r="DN172" i="24"/>
  <c r="DK83" i="24"/>
  <c r="DJ83" i="24"/>
  <c r="DK281" i="24"/>
  <c r="DJ281" i="24"/>
  <c r="DN160" i="24"/>
  <c r="DN272" i="24"/>
  <c r="DK30" i="24"/>
  <c r="DJ30" i="24"/>
  <c r="DK255" i="24"/>
  <c r="DJ255" i="24"/>
  <c r="DK41" i="24"/>
  <c r="DJ41" i="24"/>
  <c r="DK40" i="24"/>
  <c r="DJ40" i="24"/>
  <c r="DK99" i="24"/>
  <c r="DJ99" i="24"/>
  <c r="DN61" i="24"/>
  <c r="DJ224" i="24"/>
  <c r="DK224" i="24"/>
  <c r="DN89" i="24"/>
  <c r="DK60" i="24"/>
  <c r="DJ60" i="24"/>
  <c r="DK232" i="24"/>
  <c r="DJ232" i="24"/>
  <c r="DK59" i="24"/>
  <c r="DJ59" i="24"/>
  <c r="DK262" i="24"/>
  <c r="DJ262" i="24"/>
  <c r="DK286" i="24"/>
  <c r="DJ286" i="24"/>
  <c r="DK90" i="24"/>
  <c r="DJ90" i="24"/>
  <c r="DK203" i="24"/>
  <c r="DJ203" i="24"/>
  <c r="DK142" i="24"/>
  <c r="DJ142" i="24"/>
  <c r="DK55" i="24"/>
  <c r="DJ55" i="24"/>
  <c r="DK140" i="24"/>
  <c r="DJ140" i="24"/>
  <c r="DK7" i="24"/>
  <c r="DJ7" i="24"/>
  <c r="DK236" i="24"/>
  <c r="DJ236" i="24"/>
  <c r="DK243" i="24"/>
  <c r="DJ243" i="24"/>
  <c r="DK38" i="24"/>
  <c r="DJ38" i="24"/>
  <c r="DK225" i="24"/>
  <c r="DJ225" i="24"/>
  <c r="DK92" i="24"/>
  <c r="DJ92" i="24"/>
  <c r="DK143" i="24"/>
  <c r="DJ143" i="24"/>
  <c r="DK198" i="24"/>
  <c r="DJ198" i="24"/>
  <c r="DK206" i="24"/>
  <c r="DJ206" i="24"/>
  <c r="DK19" i="24"/>
  <c r="DJ19" i="24"/>
  <c r="DK127" i="24"/>
  <c r="DJ127" i="24"/>
  <c r="DK182" i="24"/>
  <c r="DJ182" i="24"/>
  <c r="DK179" i="24"/>
  <c r="DJ179" i="24"/>
  <c r="DK300" i="24"/>
  <c r="DJ300" i="24"/>
  <c r="DK258" i="24"/>
  <c r="DJ258" i="24"/>
  <c r="DK105" i="24"/>
  <c r="DJ105" i="24"/>
  <c r="DK245" i="24"/>
  <c r="DJ245" i="24"/>
  <c r="DK297" i="24"/>
  <c r="DJ297" i="24"/>
  <c r="DK184" i="24"/>
  <c r="DJ184" i="24"/>
  <c r="DK308" i="24"/>
  <c r="DJ308" i="24"/>
  <c r="DK121" i="24"/>
  <c r="DJ121" i="24"/>
  <c r="DK43" i="24"/>
  <c r="DJ43" i="24"/>
  <c r="DK10" i="24"/>
  <c r="DJ10" i="24"/>
  <c r="DK273" i="24"/>
  <c r="DJ273" i="24"/>
  <c r="DK235" i="24"/>
  <c r="DJ235" i="24"/>
  <c r="DK94" i="24"/>
  <c r="DJ94" i="24"/>
  <c r="DK289" i="24"/>
  <c r="DJ289" i="24"/>
  <c r="DK72" i="24"/>
  <c r="DJ72" i="24"/>
  <c r="DK207" i="24"/>
  <c r="DJ207" i="24"/>
  <c r="DK312" i="24"/>
  <c r="DJ312" i="24"/>
  <c r="DK254" i="24"/>
  <c r="DJ254" i="24"/>
  <c r="DK27" i="24"/>
  <c r="DJ27" i="24"/>
  <c r="DK181" i="24"/>
  <c r="DJ181" i="24"/>
  <c r="DK118" i="24"/>
  <c r="DJ118" i="24"/>
  <c r="DK193" i="24"/>
  <c r="DJ193" i="24"/>
  <c r="DK139" i="24"/>
  <c r="DJ139" i="24"/>
  <c r="DK120" i="24"/>
  <c r="DJ120" i="24"/>
  <c r="DK54" i="24"/>
  <c r="DJ54" i="24"/>
  <c r="DK149" i="24"/>
  <c r="DJ149" i="24"/>
  <c r="DK9" i="24"/>
  <c r="DJ9" i="24"/>
  <c r="DK64" i="24"/>
  <c r="DJ64" i="24"/>
  <c r="DK292" i="24"/>
  <c r="DJ292" i="24"/>
  <c r="DK315" i="24"/>
  <c r="DJ315" i="24"/>
  <c r="DN302" i="24"/>
  <c r="DK161" i="24"/>
  <c r="DJ161" i="24"/>
  <c r="DN253" i="24"/>
  <c r="DK167" i="24"/>
  <c r="DJ167" i="24"/>
  <c r="DN190" i="24"/>
  <c r="DK294" i="24"/>
  <c r="DJ294" i="24"/>
  <c r="DK287" i="24"/>
  <c r="DJ287" i="24"/>
  <c r="DK280" i="24"/>
  <c r="DJ280" i="24"/>
  <c r="DN154" i="24"/>
  <c r="DK252" i="24"/>
  <c r="DJ252" i="24"/>
  <c r="DK176" i="24"/>
  <c r="DJ176" i="24"/>
  <c r="DK285" i="24"/>
  <c r="DJ285" i="24"/>
  <c r="DK67" i="24"/>
  <c r="DJ67" i="24"/>
  <c r="DN25" i="24"/>
  <c r="DK124" i="24"/>
  <c r="DJ124" i="24"/>
  <c r="DN114" i="24"/>
  <c r="DN230" i="24"/>
  <c r="DK49" i="24"/>
  <c r="DJ49" i="24"/>
  <c r="DN132" i="24"/>
  <c r="DK187" i="24"/>
  <c r="DJ187" i="24"/>
  <c r="DN50" i="24"/>
  <c r="DN268" i="24"/>
  <c r="DK218" i="24"/>
  <c r="DJ218" i="24"/>
  <c r="DN270" i="24"/>
  <c r="DK156" i="24"/>
  <c r="DJ156" i="24"/>
  <c r="DN260" i="24"/>
  <c r="DK274" i="24"/>
  <c r="DJ274" i="24"/>
  <c r="DN296" i="24"/>
  <c r="DK314" i="24"/>
  <c r="DJ314" i="24"/>
  <c r="DK237" i="24"/>
  <c r="DJ237" i="24"/>
  <c r="DN77" i="24"/>
  <c r="DN111" i="24"/>
  <c r="DN185" i="24"/>
  <c r="DN164" i="24"/>
  <c r="DN202" i="24"/>
  <c r="DK95" i="24"/>
  <c r="DJ95" i="24"/>
  <c r="DK301" i="24"/>
  <c r="DJ301" i="24"/>
  <c r="DN13" i="24"/>
  <c r="DN300" i="24"/>
  <c r="DN258" i="24"/>
  <c r="DK32" i="24"/>
  <c r="DJ32" i="24"/>
  <c r="DK87" i="24"/>
  <c r="DJ87" i="24"/>
  <c r="DK316" i="24"/>
  <c r="DJ316" i="24"/>
  <c r="DK101" i="24"/>
  <c r="DJ101" i="24"/>
  <c r="DN65" i="24"/>
  <c r="DN174" i="24"/>
  <c r="DN249" i="24"/>
  <c r="DK192" i="24"/>
  <c r="DJ192" i="24"/>
  <c r="DK153" i="24"/>
  <c r="DJ153" i="24"/>
  <c r="DK18" i="24"/>
  <c r="DJ18" i="24"/>
  <c r="DN44" i="24"/>
  <c r="DK265" i="24"/>
  <c r="DJ265" i="24"/>
  <c r="DN8" i="24"/>
  <c r="DK97" i="24"/>
  <c r="DJ97" i="24"/>
  <c r="DN171" i="24"/>
  <c r="DK136" i="24"/>
  <c r="DJ136" i="24"/>
  <c r="DK264" i="24"/>
  <c r="DJ264" i="24"/>
  <c r="DN98" i="24"/>
  <c r="DJ162" i="24"/>
  <c r="DK162" i="24"/>
  <c r="DN43" i="24"/>
  <c r="DN10" i="24"/>
  <c r="DK129" i="24"/>
  <c r="DJ129" i="24"/>
  <c r="DK201" i="24"/>
  <c r="DJ201" i="24"/>
  <c r="DK241" i="24"/>
  <c r="DJ241" i="24"/>
  <c r="DK73" i="24"/>
  <c r="DJ73" i="24"/>
  <c r="DN29" i="24"/>
  <c r="DN112" i="24"/>
  <c r="DN197" i="24"/>
  <c r="DK75" i="24"/>
  <c r="DJ75" i="24"/>
  <c r="DK52" i="24"/>
  <c r="DJ52" i="24"/>
  <c r="DK69" i="24"/>
  <c r="DJ69" i="24"/>
  <c r="DK302" i="24"/>
  <c r="DJ302" i="24"/>
  <c r="DN161" i="24"/>
  <c r="DK253" i="24"/>
  <c r="DJ253" i="24"/>
  <c r="DN167" i="24"/>
  <c r="DK190" i="24"/>
  <c r="DJ190" i="24"/>
  <c r="DN209" i="24"/>
  <c r="DN68" i="24"/>
  <c r="DN24" i="24"/>
  <c r="DK154" i="24"/>
  <c r="DJ154" i="24"/>
  <c r="DN42" i="24"/>
  <c r="DN288" i="24"/>
  <c r="DK48" i="24"/>
  <c r="DJ48" i="24"/>
  <c r="DN240" i="24"/>
  <c r="DN244" i="24"/>
  <c r="DN67" i="24"/>
  <c r="DK25" i="24"/>
  <c r="DJ25" i="24"/>
  <c r="DN124" i="24"/>
  <c r="DN23" i="24"/>
  <c r="DN227" i="24"/>
  <c r="DK114" i="24"/>
  <c r="DJ114" i="24"/>
  <c r="DK230" i="24"/>
  <c r="DJ230" i="24"/>
  <c r="DK132" i="24"/>
  <c r="DJ132" i="24"/>
  <c r="DK14" i="24"/>
  <c r="DJ14" i="24"/>
  <c r="DK250" i="24"/>
  <c r="DJ250" i="24"/>
  <c r="DK50" i="24"/>
  <c r="DJ50" i="24"/>
  <c r="DK268" i="24"/>
  <c r="DJ268" i="24"/>
  <c r="DN218" i="24"/>
  <c r="DN134" i="24"/>
  <c r="DK270" i="24"/>
  <c r="DJ270" i="24"/>
  <c r="DK51" i="24"/>
  <c r="DJ51" i="24"/>
  <c r="DK223" i="24"/>
  <c r="DJ223" i="24"/>
  <c r="DK155" i="24"/>
  <c r="DJ155" i="24"/>
  <c r="DK199" i="24"/>
  <c r="DJ199" i="24"/>
  <c r="DK260" i="24"/>
  <c r="DJ260" i="24"/>
  <c r="DN26" i="24"/>
  <c r="DK296" i="24"/>
  <c r="DJ296" i="24"/>
  <c r="DN314" i="24"/>
  <c r="DK277" i="24"/>
  <c r="DJ277" i="24"/>
  <c r="DN257" i="24"/>
  <c r="DK77" i="24"/>
  <c r="DJ77" i="24"/>
  <c r="DK111" i="24"/>
  <c r="DJ111" i="24"/>
  <c r="DK185" i="24"/>
  <c r="DJ185" i="24"/>
  <c r="DK180" i="24"/>
  <c r="DJ180" i="24"/>
  <c r="DK22" i="24"/>
  <c r="DJ22" i="24"/>
  <c r="DK164" i="24"/>
  <c r="DJ164" i="24"/>
  <c r="DK202" i="24"/>
  <c r="DJ202" i="24"/>
  <c r="DJ88" i="24"/>
  <c r="DK88" i="24"/>
  <c r="DK13" i="24"/>
  <c r="DJ13" i="24"/>
  <c r="DN157" i="24"/>
  <c r="DN103" i="24"/>
  <c r="DN122" i="24"/>
  <c r="DK275" i="24"/>
  <c r="DJ275" i="24"/>
  <c r="DN231" i="24"/>
  <c r="DK65" i="24"/>
  <c r="DJ65" i="24"/>
  <c r="DK174" i="24"/>
  <c r="DJ174" i="24"/>
  <c r="DK249" i="24"/>
  <c r="DJ249" i="24"/>
  <c r="DN145" i="24"/>
  <c r="DN192" i="24"/>
  <c r="DN47" i="24"/>
  <c r="DK283" i="24"/>
  <c r="DJ283" i="24"/>
  <c r="DN307" i="24"/>
  <c r="DN70" i="24"/>
  <c r="DK44" i="24"/>
  <c r="DJ44" i="24"/>
  <c r="DK8" i="24"/>
  <c r="DJ8" i="24"/>
  <c r="DN53" i="24"/>
  <c r="DK133" i="24"/>
  <c r="DJ133" i="24"/>
  <c r="DK171" i="24"/>
  <c r="DJ171" i="24"/>
  <c r="DN136" i="24"/>
  <c r="DK98" i="24"/>
  <c r="DJ98" i="24"/>
  <c r="DN129" i="24"/>
  <c r="DN201" i="24"/>
  <c r="DN158" i="24"/>
  <c r="DK29" i="24"/>
  <c r="DJ29" i="24"/>
  <c r="DN309" i="24"/>
  <c r="DN123" i="24"/>
  <c r="DK290" i="24"/>
  <c r="DJ290" i="24"/>
  <c r="DN173" i="24"/>
  <c r="DN100" i="24"/>
  <c r="DK112" i="24"/>
  <c r="DJ112" i="24"/>
  <c r="DK80" i="24"/>
  <c r="DJ80" i="24"/>
  <c r="DK197" i="24"/>
  <c r="DJ197" i="24"/>
  <c r="DK113" i="24"/>
  <c r="DJ113" i="24"/>
  <c r="DK35" i="24"/>
  <c r="DJ35" i="24"/>
  <c r="DK311" i="24"/>
  <c r="DJ311" i="24"/>
  <c r="DK278" i="24"/>
  <c r="DJ278" i="24"/>
  <c r="DK36" i="24"/>
  <c r="DJ36" i="24"/>
  <c r="DK256" i="24"/>
  <c r="DJ256" i="24"/>
  <c r="DK267" i="24"/>
  <c r="DJ267" i="24"/>
  <c r="DK209" i="24"/>
  <c r="DJ209" i="24"/>
  <c r="DK68" i="24"/>
  <c r="DJ68" i="24"/>
  <c r="DK24" i="24"/>
  <c r="DJ24" i="24"/>
  <c r="DK42" i="24"/>
  <c r="DJ42" i="24"/>
  <c r="DK288" i="24"/>
  <c r="DJ288" i="24"/>
  <c r="DN48" i="24"/>
  <c r="DK11" i="24"/>
  <c r="DJ11" i="24"/>
  <c r="DK240" i="24"/>
  <c r="DJ240" i="24"/>
  <c r="DK244" i="24"/>
  <c r="DJ244" i="24"/>
  <c r="DK17" i="24"/>
  <c r="DJ17" i="24"/>
  <c r="DK39" i="24"/>
  <c r="DJ39" i="24"/>
  <c r="DK23" i="24"/>
  <c r="DJ23" i="24"/>
  <c r="DK227" i="24"/>
  <c r="DJ227" i="24"/>
  <c r="DN14" i="24"/>
  <c r="DN250" i="24"/>
  <c r="DK134" i="24"/>
  <c r="DJ134" i="24"/>
  <c r="DN223" i="24"/>
  <c r="DN155" i="24"/>
  <c r="DN199" i="24"/>
  <c r="DK26" i="24"/>
  <c r="DJ26" i="24"/>
  <c r="DN277" i="24"/>
  <c r="DK163" i="24"/>
  <c r="DJ163" i="24"/>
  <c r="DK257" i="24"/>
  <c r="DJ257" i="24"/>
  <c r="DK238" i="24"/>
  <c r="DJ238" i="24"/>
  <c r="DK157" i="24"/>
  <c r="DJ157" i="24"/>
  <c r="DK103" i="24"/>
  <c r="DJ103" i="24"/>
  <c r="DK122" i="24"/>
  <c r="DJ122" i="24"/>
  <c r="DK231" i="24"/>
  <c r="DJ231" i="24"/>
  <c r="DK145" i="24"/>
  <c r="DJ145" i="24"/>
  <c r="DK47" i="24"/>
  <c r="DJ47" i="24"/>
  <c r="DN283" i="24"/>
  <c r="DJ307" i="24"/>
  <c r="DK307" i="24"/>
  <c r="DK70" i="24"/>
  <c r="DJ70" i="24"/>
  <c r="DK284" i="24"/>
  <c r="DJ284" i="24"/>
  <c r="DK53" i="24"/>
  <c r="DJ53" i="24"/>
  <c r="DN133" i="24"/>
  <c r="DK93" i="24"/>
  <c r="DJ93" i="24"/>
  <c r="DN126" i="24"/>
  <c r="DK46" i="24"/>
  <c r="DJ46" i="24"/>
  <c r="DK84" i="24"/>
  <c r="DJ84" i="24"/>
  <c r="DK158" i="24"/>
  <c r="DJ158" i="24"/>
  <c r="DK20" i="24"/>
  <c r="DJ20" i="24"/>
  <c r="DK205" i="24"/>
  <c r="DJ205" i="24"/>
  <c r="DK309" i="24"/>
  <c r="DJ309" i="24"/>
  <c r="DK123" i="24"/>
  <c r="DJ123" i="24"/>
  <c r="DN290" i="24"/>
  <c r="DK173" i="24"/>
  <c r="DJ173" i="24"/>
  <c r="DK100" i="24"/>
  <c r="DJ100" i="24"/>
  <c r="DN80" i="24"/>
  <c r="DN271" i="24"/>
  <c r="DK210" i="24"/>
  <c r="DJ210" i="24"/>
  <c r="DK196" i="24"/>
  <c r="DJ196" i="24"/>
  <c r="DK141" i="24"/>
  <c r="DJ141" i="24"/>
  <c r="DK279" i="24"/>
  <c r="DJ279" i="24"/>
  <c r="DK259" i="24"/>
  <c r="DJ259" i="24"/>
  <c r="DK15" i="24"/>
  <c r="DJ15" i="24"/>
  <c r="DK222" i="24"/>
  <c r="DJ222" i="24"/>
  <c r="DK246" i="24"/>
  <c r="DJ246" i="24"/>
  <c r="DK282" i="24"/>
  <c r="DJ282" i="24"/>
  <c r="DK58" i="24"/>
  <c r="DJ58" i="24"/>
  <c r="DN39" i="24"/>
  <c r="DK195" i="24"/>
  <c r="DJ195" i="24"/>
  <c r="DK151" i="24"/>
  <c r="DJ151" i="24"/>
  <c r="DK115" i="24"/>
  <c r="DJ115" i="24"/>
  <c r="DK168" i="24"/>
  <c r="DJ168" i="24"/>
  <c r="DK21" i="24"/>
  <c r="DJ21" i="24"/>
  <c r="DK208" i="24"/>
  <c r="DJ208" i="24"/>
  <c r="DK299" i="24"/>
  <c r="DJ299" i="24"/>
  <c r="DK276" i="24"/>
  <c r="DJ276" i="24"/>
  <c r="DJ204" i="24"/>
  <c r="DK204" i="24"/>
  <c r="DK189" i="24"/>
  <c r="DJ189" i="24"/>
  <c r="DK119" i="24"/>
  <c r="DJ119" i="24"/>
  <c r="DK28" i="24"/>
  <c r="DJ28" i="24"/>
  <c r="DK188" i="24"/>
  <c r="DJ188" i="24"/>
  <c r="DK304" i="24"/>
  <c r="DJ304" i="24"/>
  <c r="DK6" i="24"/>
  <c r="DJ6" i="24"/>
  <c r="DK220" i="24"/>
  <c r="DJ220" i="24"/>
  <c r="DK261" i="24"/>
  <c r="DJ261" i="24"/>
  <c r="DK295" i="24"/>
  <c r="DJ295" i="24"/>
  <c r="DK146" i="24"/>
  <c r="DJ146" i="24"/>
  <c r="DK66" i="24"/>
  <c r="DJ66" i="24"/>
  <c r="DK313" i="24"/>
  <c r="DJ313" i="24"/>
  <c r="DK126" i="24"/>
  <c r="DJ126" i="24"/>
  <c r="DK56" i="24"/>
  <c r="DJ56" i="24"/>
  <c r="DK271" i="24"/>
  <c r="DJ271" i="24"/>
  <c r="DK91" i="24"/>
  <c r="DJ91" i="24"/>
  <c r="O628" i="29"/>
  <c r="R628" i="29"/>
  <c r="L628" i="29"/>
  <c r="Q628" i="29"/>
  <c r="S628" i="29"/>
  <c r="K628" i="29"/>
  <c r="T628" i="29"/>
  <c r="P628" i="29"/>
  <c r="BQ106" i="19"/>
  <c r="DN110" i="25" l="1"/>
  <c r="DX79" i="24"/>
  <c r="AE623" i="29"/>
  <c r="AD623" i="29"/>
  <c r="EJ212" i="25"/>
  <c r="EY212" i="25"/>
  <c r="EL212" i="25"/>
  <c r="DV212" i="25"/>
  <c r="EK212" i="25"/>
  <c r="EN212" i="25" s="1"/>
  <c r="DT212" i="25"/>
  <c r="FA212" i="25"/>
  <c r="EY199" i="25"/>
  <c r="FA200" i="25"/>
  <c r="EY208" i="25"/>
  <c r="EJ210" i="25"/>
  <c r="DZ6" i="24"/>
  <c r="DI216" i="25"/>
  <c r="DN216" i="25" s="1"/>
  <c r="EB216" i="24"/>
  <c r="EL216" i="24"/>
  <c r="EM216" i="24"/>
  <c r="EP216" i="24" s="1"/>
  <c r="EN216" i="24"/>
  <c r="FA216" i="24"/>
  <c r="DX94" i="24"/>
  <c r="EE94" i="24" s="1"/>
  <c r="DX91" i="24"/>
  <c r="EE91" i="24" s="1"/>
  <c r="DX290" i="24"/>
  <c r="EE290" i="24" s="1"/>
  <c r="DX258" i="24"/>
  <c r="EE258" i="24" s="1"/>
  <c r="DX296" i="24"/>
  <c r="EE296" i="24" s="1"/>
  <c r="DX230" i="24"/>
  <c r="DX298" i="24"/>
  <c r="EE298" i="24" s="1"/>
  <c r="DX305" i="24"/>
  <c r="EE305" i="24" s="1"/>
  <c r="DX279" i="24"/>
  <c r="EE279" i="24" s="1"/>
  <c r="DX222" i="24"/>
  <c r="EE222" i="24" s="1"/>
  <c r="DX263" i="24"/>
  <c r="EE263" i="24" s="1"/>
  <c r="DX313" i="24"/>
  <c r="EE313" i="24" s="1"/>
  <c r="DX303" i="24"/>
  <c r="EE303" i="24" s="1"/>
  <c r="DX278" i="24"/>
  <c r="EE278" i="24" s="1"/>
  <c r="DX284" i="24"/>
  <c r="EE284" i="24" s="1"/>
  <c r="DX237" i="24"/>
  <c r="EE237" i="24" s="1"/>
  <c r="DX300" i="24"/>
  <c r="EE300" i="24" s="1"/>
  <c r="DX268" i="24"/>
  <c r="EE268" i="24" s="1"/>
  <c r="DX242" i="24"/>
  <c r="EE242" i="24" s="1"/>
  <c r="DX225" i="24"/>
  <c r="EE225" i="24" s="1"/>
  <c r="DX236" i="24"/>
  <c r="EE236" i="24" s="1"/>
  <c r="DX238" i="24"/>
  <c r="EE238" i="24" s="1"/>
  <c r="DX251" i="24"/>
  <c r="EE251" i="24" s="1"/>
  <c r="DX266" i="24"/>
  <c r="EE266" i="24" s="1"/>
  <c r="DX246" i="24"/>
  <c r="EE246" i="24" s="1"/>
  <c r="DX301" i="24"/>
  <c r="EE301" i="24" s="1"/>
  <c r="DX219" i="24"/>
  <c r="EE219" i="24" s="1"/>
  <c r="DX310" i="24"/>
  <c r="EE310" i="24" s="1"/>
  <c r="DX275" i="24"/>
  <c r="EE275" i="24" s="1"/>
  <c r="DX271" i="24"/>
  <c r="DX231" i="24"/>
  <c r="EE231" i="24" s="1"/>
  <c r="DX257" i="24"/>
  <c r="EE257" i="24" s="1"/>
  <c r="DX302" i="24"/>
  <c r="EE302" i="24" s="1"/>
  <c r="DX289" i="24"/>
  <c r="EE289" i="24" s="1"/>
  <c r="DX252" i="24"/>
  <c r="EE252" i="24" s="1"/>
  <c r="DX259" i="24"/>
  <c r="EE259" i="24" s="1"/>
  <c r="DX274" i="24"/>
  <c r="EE274" i="24" s="1"/>
  <c r="DX265" i="24"/>
  <c r="EE265" i="24" s="1"/>
  <c r="DX295" i="24"/>
  <c r="EE295" i="24" s="1"/>
  <c r="DX243" i="24"/>
  <c r="EE243" i="24" s="1"/>
  <c r="DX283" i="24"/>
  <c r="EE283" i="24" s="1"/>
  <c r="DX309" i="24"/>
  <c r="EE309" i="24" s="1"/>
  <c r="DX244" i="24"/>
  <c r="EE244" i="24" s="1"/>
  <c r="DX260" i="24"/>
  <c r="EE260" i="24" s="1"/>
  <c r="DX226" i="24"/>
  <c r="EE226" i="24" s="1"/>
  <c r="DX269" i="24"/>
  <c r="DX235" i="24"/>
  <c r="EE235" i="24" s="1"/>
  <c r="DX241" i="24"/>
  <c r="EE241" i="24" s="1"/>
  <c r="DX276" i="24"/>
  <c r="EE276" i="24" s="1"/>
  <c r="DX229" i="24"/>
  <c r="EE229" i="24" s="1"/>
  <c r="DX247" i="24"/>
  <c r="EE247" i="24" s="1"/>
  <c r="DX286" i="24"/>
  <c r="EE286" i="24" s="1"/>
  <c r="DX233" i="24"/>
  <c r="EE233" i="24" s="1"/>
  <c r="DX256" i="24"/>
  <c r="EE256" i="24" s="1"/>
  <c r="DX264" i="24"/>
  <c r="EE264" i="24" s="1"/>
  <c r="DX254" i="24"/>
  <c r="EE254" i="24" s="1"/>
  <c r="DX223" i="24"/>
  <c r="EE223" i="24" s="1"/>
  <c r="DX240" i="24"/>
  <c r="EE240" i="24" s="1"/>
  <c r="DX272" i="24"/>
  <c r="EE272" i="24" s="1"/>
  <c r="DX280" i="24"/>
  <c r="EE280" i="24" s="1"/>
  <c r="DX261" i="24"/>
  <c r="EE261" i="24" s="1"/>
  <c r="DX297" i="24"/>
  <c r="EE297" i="24" s="1"/>
  <c r="DX255" i="24"/>
  <c r="EE255" i="24" s="1"/>
  <c r="DX312" i="24"/>
  <c r="EE312" i="24" s="1"/>
  <c r="DX314" i="24"/>
  <c r="EE314" i="24" s="1"/>
  <c r="DX227" i="24"/>
  <c r="EE227" i="24" s="1"/>
  <c r="DX249" i="24"/>
  <c r="EE249" i="24" s="1"/>
  <c r="DX281" i="24"/>
  <c r="EE281" i="24" s="1"/>
  <c r="DX239" i="24"/>
  <c r="EE239" i="24" s="1"/>
  <c r="DX308" i="24"/>
  <c r="EE308" i="24" s="1"/>
  <c r="DX292" i="24"/>
  <c r="EE292" i="24" s="1"/>
  <c r="DX287" i="24"/>
  <c r="EE287" i="24" s="1"/>
  <c r="DX220" i="24"/>
  <c r="EE220" i="24" s="1"/>
  <c r="DX232" i="24"/>
  <c r="EE232" i="24" s="1"/>
  <c r="DX282" i="24"/>
  <c r="EE282" i="24" s="1"/>
  <c r="DX315" i="24"/>
  <c r="EE315" i="24" s="1"/>
  <c r="DX245" i="24"/>
  <c r="EE245" i="24" s="1"/>
  <c r="DX217" i="24"/>
  <c r="EE217" i="24" s="1"/>
  <c r="DX273" i="24"/>
  <c r="EE273" i="24" s="1"/>
  <c r="DX248" i="24"/>
  <c r="EE248" i="24" s="1"/>
  <c r="DX234" i="24"/>
  <c r="EE234" i="24" s="1"/>
  <c r="DX307" i="24"/>
  <c r="EE307" i="24" s="1"/>
  <c r="DX218" i="24"/>
  <c r="EE218" i="24" s="1"/>
  <c r="DX270" i="24"/>
  <c r="EE270" i="24" s="1"/>
  <c r="DX224" i="24"/>
  <c r="EE224" i="24" s="1"/>
  <c r="DX228" i="24"/>
  <c r="DX262" i="24"/>
  <c r="EE262" i="24" s="1"/>
  <c r="DX294" i="24"/>
  <c r="EE294" i="24" s="1"/>
  <c r="DX316" i="24"/>
  <c r="EE316" i="24" s="1"/>
  <c r="DX311" i="24"/>
  <c r="EE311" i="24" s="1"/>
  <c r="DX221" i="24"/>
  <c r="EE221" i="24" s="1"/>
  <c r="DX291" i="24"/>
  <c r="EE291" i="24" s="1"/>
  <c r="DX277" i="24"/>
  <c r="EE277" i="24" s="1"/>
  <c r="DX250" i="24"/>
  <c r="DX288" i="24"/>
  <c r="EE288" i="24" s="1"/>
  <c r="DX253" i="24"/>
  <c r="EE253" i="24" s="1"/>
  <c r="DX267" i="24"/>
  <c r="EE267" i="24" s="1"/>
  <c r="DX293" i="24"/>
  <c r="EE293" i="24" s="1"/>
  <c r="DX304" i="24"/>
  <c r="EE304" i="24" s="1"/>
  <c r="DX285" i="24"/>
  <c r="EE285" i="24" s="1"/>
  <c r="DX306" i="24"/>
  <c r="EE306" i="24" s="1"/>
  <c r="DX299" i="24"/>
  <c r="EE299" i="24" s="1"/>
  <c r="EJ229" i="25"/>
  <c r="EK229" i="25"/>
  <c r="EN229" i="25" s="1"/>
  <c r="EY229" i="25"/>
  <c r="FA229" i="25"/>
  <c r="EL229" i="25"/>
  <c r="EJ228" i="25"/>
  <c r="EY228" i="25"/>
  <c r="EK228" i="25"/>
  <c r="EN228" i="25" s="1"/>
  <c r="FA228" i="25"/>
  <c r="EL228" i="25"/>
  <c r="EJ270" i="25"/>
  <c r="FA270" i="25"/>
  <c r="EK270" i="25"/>
  <c r="EN270" i="25" s="1"/>
  <c r="EY270" i="25"/>
  <c r="EL270" i="25"/>
  <c r="EJ284" i="25"/>
  <c r="EY284" i="25"/>
  <c r="EK284" i="25"/>
  <c r="EN284" i="25" s="1"/>
  <c r="FA284" i="25"/>
  <c r="EL284" i="25"/>
  <c r="EJ294" i="25"/>
  <c r="FA294" i="25"/>
  <c r="EY294" i="25"/>
  <c r="EK294" i="25"/>
  <c r="EN294" i="25" s="1"/>
  <c r="EL294" i="25"/>
  <c r="EJ276" i="25"/>
  <c r="EY276" i="25"/>
  <c r="EK276" i="25"/>
  <c r="EN276" i="25" s="1"/>
  <c r="FA276" i="25"/>
  <c r="EL276" i="25"/>
  <c r="EY303" i="25"/>
  <c r="EJ303" i="25"/>
  <c r="FA303" i="25"/>
  <c r="EK303" i="25"/>
  <c r="EN303" i="25" s="1"/>
  <c r="EL303" i="25"/>
  <c r="EJ234" i="25"/>
  <c r="EY234" i="25"/>
  <c r="EK234" i="25"/>
  <c r="EN234" i="25" s="1"/>
  <c r="FA234" i="25"/>
  <c r="EL234" i="25"/>
  <c r="EY247" i="25"/>
  <c r="EJ247" i="25"/>
  <c r="FA247" i="25"/>
  <c r="EK247" i="25"/>
  <c r="EN247" i="25" s="1"/>
  <c r="EL247" i="25"/>
  <c r="EK242" i="25"/>
  <c r="EN242" i="25" s="1"/>
  <c r="EY242" i="25"/>
  <c r="FA242" i="25"/>
  <c r="EJ242" i="25"/>
  <c r="EL242" i="25"/>
  <c r="EJ296" i="25"/>
  <c r="EK296" i="25"/>
  <c r="EN296" i="25" s="1"/>
  <c r="EY296" i="25"/>
  <c r="FA296" i="25"/>
  <c r="EL296" i="25"/>
  <c r="EJ227" i="25"/>
  <c r="EK227" i="25"/>
  <c r="EN227" i="25" s="1"/>
  <c r="EY227" i="25"/>
  <c r="FA227" i="25"/>
  <c r="EL227" i="25"/>
  <c r="EJ219" i="25"/>
  <c r="EK219" i="25"/>
  <c r="EN219" i="25" s="1"/>
  <c r="EY219" i="25"/>
  <c r="FA219" i="25"/>
  <c r="EL219" i="25"/>
  <c r="EJ226" i="25"/>
  <c r="EK226" i="25"/>
  <c r="EN226" i="25" s="1"/>
  <c r="EY226" i="25"/>
  <c r="FA226" i="25"/>
  <c r="EL226" i="25"/>
  <c r="EJ258" i="25"/>
  <c r="EY258" i="25"/>
  <c r="FA258" i="25"/>
  <c r="EK258" i="25"/>
  <c r="EN258" i="25" s="1"/>
  <c r="EL258" i="25"/>
  <c r="EJ235" i="25"/>
  <c r="EK235" i="25"/>
  <c r="EN235" i="25" s="1"/>
  <c r="EY235" i="25"/>
  <c r="FA235" i="25"/>
  <c r="EL235" i="25"/>
  <c r="EY249" i="25"/>
  <c r="EJ249" i="25"/>
  <c r="FA249" i="25"/>
  <c r="EK249" i="25"/>
  <c r="EN249" i="25" s="1"/>
  <c r="EL249" i="25"/>
  <c r="EJ240" i="25"/>
  <c r="EK240" i="25"/>
  <c r="EN240" i="25" s="1"/>
  <c r="EY240" i="25"/>
  <c r="FA240" i="25"/>
  <c r="EL240" i="25"/>
  <c r="EJ313" i="25"/>
  <c r="EY313" i="25"/>
  <c r="EK313" i="25"/>
  <c r="EN313" i="25" s="1"/>
  <c r="FA313" i="25"/>
  <c r="EL313" i="25"/>
  <c r="EJ304" i="25"/>
  <c r="EK304" i="25"/>
  <c r="EN304" i="25" s="1"/>
  <c r="EY304" i="25"/>
  <c r="FA304" i="25"/>
  <c r="EL304" i="25"/>
  <c r="EY256" i="25"/>
  <c r="FA256" i="25"/>
  <c r="EJ256" i="25"/>
  <c r="EK256" i="25"/>
  <c r="EN256" i="25" s="1"/>
  <c r="EL256" i="25"/>
  <c r="EY309" i="25"/>
  <c r="EJ309" i="25"/>
  <c r="FA309" i="25"/>
  <c r="EK309" i="25"/>
  <c r="EN309" i="25" s="1"/>
  <c r="EL309" i="25"/>
  <c r="EJ245" i="25"/>
  <c r="EY245" i="25"/>
  <c r="EK245" i="25"/>
  <c r="EN245" i="25" s="1"/>
  <c r="FA245" i="25"/>
  <c r="EL245" i="25"/>
  <c r="EK278" i="25"/>
  <c r="EN278" i="25" s="1"/>
  <c r="FA278" i="25"/>
  <c r="EY278" i="25"/>
  <c r="EJ278" i="25"/>
  <c r="EL278" i="25"/>
  <c r="EJ243" i="25"/>
  <c r="EK243" i="25"/>
  <c r="EN243" i="25" s="1"/>
  <c r="EY243" i="25"/>
  <c r="FA243" i="25"/>
  <c r="EL243" i="25"/>
  <c r="EY246" i="25"/>
  <c r="EJ246" i="25"/>
  <c r="FA246" i="25"/>
  <c r="EK246" i="25"/>
  <c r="EN246" i="25" s="1"/>
  <c r="EL246" i="25"/>
  <c r="EK230" i="25"/>
  <c r="EN230" i="25" s="1"/>
  <c r="FA230" i="25"/>
  <c r="EJ230" i="25"/>
  <c r="EY230" i="25"/>
  <c r="EL230" i="25"/>
  <c r="EY316" i="25"/>
  <c r="EJ316" i="25"/>
  <c r="FA316" i="25"/>
  <c r="EK316" i="25"/>
  <c r="EN316" i="25" s="1"/>
  <c r="EL316" i="25"/>
  <c r="EJ241" i="25"/>
  <c r="EY241" i="25"/>
  <c r="EK241" i="25"/>
  <c r="EN241" i="25" s="1"/>
  <c r="FA241" i="25"/>
  <c r="EL241" i="25"/>
  <c r="EJ291" i="25"/>
  <c r="EY291" i="25"/>
  <c r="EK291" i="25"/>
  <c r="EN291" i="25" s="1"/>
  <c r="FA291" i="25"/>
  <c r="EL291" i="25"/>
  <c r="FA297" i="25"/>
  <c r="EJ297" i="25"/>
  <c r="EK297" i="25"/>
  <c r="EN297" i="25" s="1"/>
  <c r="EY297" i="25"/>
  <c r="EL297" i="25"/>
  <c r="EJ306" i="25"/>
  <c r="EY306" i="25"/>
  <c r="EK306" i="25"/>
  <c r="EN306" i="25" s="1"/>
  <c r="FA306" i="25"/>
  <c r="EL306" i="25"/>
  <c r="EK248" i="25"/>
  <c r="EN248" i="25" s="1"/>
  <c r="EY248" i="25"/>
  <c r="FA248" i="25"/>
  <c r="EJ248" i="25"/>
  <c r="EL248" i="25"/>
  <c r="EJ310" i="25"/>
  <c r="EK310" i="25"/>
  <c r="EN310" i="25" s="1"/>
  <c r="EY310" i="25"/>
  <c r="FA310" i="25"/>
  <c r="EL310" i="25"/>
  <c r="EY255" i="25"/>
  <c r="EJ255" i="25"/>
  <c r="FA255" i="25"/>
  <c r="EK255" i="25"/>
  <c r="EN255" i="25" s="1"/>
  <c r="EL255" i="25"/>
  <c r="EJ298" i="25"/>
  <c r="EY298" i="25"/>
  <c r="EK298" i="25"/>
  <c r="EN298" i="25" s="1"/>
  <c r="FA298" i="25"/>
  <c r="EL298" i="25"/>
  <c r="EK283" i="25"/>
  <c r="EN283" i="25" s="1"/>
  <c r="FA283" i="25"/>
  <c r="EY283" i="25"/>
  <c r="EJ283" i="25"/>
  <c r="EL283" i="25"/>
  <c r="EJ221" i="25"/>
  <c r="EK221" i="25"/>
  <c r="EN221" i="25" s="1"/>
  <c r="EY221" i="25"/>
  <c r="FA221" i="25"/>
  <c r="EL221" i="25"/>
  <c r="EJ237" i="25"/>
  <c r="EY237" i="25"/>
  <c r="EK237" i="25"/>
  <c r="EN237" i="25" s="1"/>
  <c r="FA237" i="25"/>
  <c r="EL237" i="25"/>
  <c r="EJ272" i="25"/>
  <c r="EK272" i="25"/>
  <c r="EN272" i="25" s="1"/>
  <c r="EY272" i="25"/>
  <c r="FA272" i="25"/>
  <c r="EL272" i="25"/>
  <c r="EJ266" i="25"/>
  <c r="EY266" i="25"/>
  <c r="EK266" i="25"/>
  <c r="EN266" i="25" s="1"/>
  <c r="FA266" i="25"/>
  <c r="EL266" i="25"/>
  <c r="EJ223" i="25"/>
  <c r="FA223" i="25"/>
  <c r="EK223" i="25"/>
  <c r="EN223" i="25" s="1"/>
  <c r="EY223" i="25"/>
  <c r="EL223" i="25"/>
  <c r="EJ305" i="25"/>
  <c r="EY305" i="25"/>
  <c r="EK305" i="25"/>
  <c r="EN305" i="25" s="1"/>
  <c r="FA305" i="25"/>
  <c r="EL305" i="25"/>
  <c r="EY238" i="25"/>
  <c r="EJ238" i="25"/>
  <c r="FA238" i="25"/>
  <c r="EK238" i="25"/>
  <c r="EN238" i="25" s="1"/>
  <c r="EL238" i="25"/>
  <c r="EJ293" i="25"/>
  <c r="EY293" i="25"/>
  <c r="EK293" i="25"/>
  <c r="EN293" i="25" s="1"/>
  <c r="FA293" i="25"/>
  <c r="EL293" i="25"/>
  <c r="EK271" i="25"/>
  <c r="EN271" i="25" s="1"/>
  <c r="EY271" i="25"/>
  <c r="EJ271" i="25"/>
  <c r="FA271" i="25"/>
  <c r="EL271" i="25"/>
  <c r="EK274" i="25"/>
  <c r="EN274" i="25" s="1"/>
  <c r="FA274" i="25"/>
  <c r="EJ274" i="25"/>
  <c r="EY274" i="25"/>
  <c r="EL274" i="25"/>
  <c r="EJ285" i="25"/>
  <c r="EY285" i="25"/>
  <c r="EK285" i="25"/>
  <c r="EN285" i="25" s="1"/>
  <c r="FA285" i="25"/>
  <c r="EL285" i="25"/>
  <c r="EJ314" i="25"/>
  <c r="EY314" i="25"/>
  <c r="EK314" i="25"/>
  <c r="EN314" i="25" s="1"/>
  <c r="FA314" i="25"/>
  <c r="EL314" i="25"/>
  <c r="EY282" i="25"/>
  <c r="EJ282" i="25"/>
  <c r="FA282" i="25"/>
  <c r="EK282" i="25"/>
  <c r="EN282" i="25" s="1"/>
  <c r="EL282" i="25"/>
  <c r="FA267" i="25"/>
  <c r="EJ267" i="25"/>
  <c r="EK267" i="25"/>
  <c r="EN267" i="25" s="1"/>
  <c r="EY267" i="25"/>
  <c r="EL267" i="25"/>
  <c r="EK292" i="25"/>
  <c r="EN292" i="25" s="1"/>
  <c r="FA292" i="25"/>
  <c r="EJ292" i="25"/>
  <c r="EY292" i="25"/>
  <c r="EL292" i="25"/>
  <c r="EK281" i="25"/>
  <c r="EN281" i="25" s="1"/>
  <c r="EY281" i="25"/>
  <c r="FA281" i="25"/>
  <c r="EJ281" i="25"/>
  <c r="EL281" i="25"/>
  <c r="EY239" i="25"/>
  <c r="EJ239" i="25"/>
  <c r="FA239" i="25"/>
  <c r="EK239" i="25"/>
  <c r="EN239" i="25" s="1"/>
  <c r="EL239" i="25"/>
  <c r="EJ222" i="25"/>
  <c r="EK222" i="25"/>
  <c r="EN222" i="25" s="1"/>
  <c r="EY222" i="25"/>
  <c r="FA222" i="25"/>
  <c r="EL222" i="25"/>
  <c r="EJ250" i="25"/>
  <c r="EY250" i="25"/>
  <c r="EK250" i="25"/>
  <c r="EN250" i="25" s="1"/>
  <c r="FA250" i="25"/>
  <c r="EL250" i="25"/>
  <c r="EJ252" i="25"/>
  <c r="EY252" i="25"/>
  <c r="EK252" i="25"/>
  <c r="EN252" i="25" s="1"/>
  <c r="FA252" i="25"/>
  <c r="EL252" i="25"/>
  <c r="EK311" i="25"/>
  <c r="EN311" i="25" s="1"/>
  <c r="FA311" i="25"/>
  <c r="EJ311" i="25"/>
  <c r="EY311" i="25"/>
  <c r="EL311" i="25"/>
  <c r="EJ312" i="25"/>
  <c r="EK312" i="25"/>
  <c r="EN312" i="25" s="1"/>
  <c r="EY312" i="25"/>
  <c r="FA312" i="25"/>
  <c r="EL312" i="25"/>
  <c r="EY257" i="25"/>
  <c r="EJ257" i="25"/>
  <c r="FA257" i="25"/>
  <c r="EK257" i="25"/>
  <c r="EN257" i="25" s="1"/>
  <c r="EL257" i="25"/>
  <c r="EJ307" i="25"/>
  <c r="EY307" i="25"/>
  <c r="EK307" i="25"/>
  <c r="EN307" i="25" s="1"/>
  <c r="FA307" i="25"/>
  <c r="EL307" i="25"/>
  <c r="FA289" i="25"/>
  <c r="EJ289" i="25"/>
  <c r="EK289" i="25"/>
  <c r="EN289" i="25" s="1"/>
  <c r="EY289" i="25"/>
  <c r="EL289" i="25"/>
  <c r="EY308" i="25"/>
  <c r="EJ308" i="25"/>
  <c r="FA308" i="25"/>
  <c r="EK308" i="25"/>
  <c r="EN308" i="25" s="1"/>
  <c r="EL308" i="25"/>
  <c r="EJ269" i="25"/>
  <c r="EY269" i="25"/>
  <c r="EK269" i="25"/>
  <c r="EN269" i="25" s="1"/>
  <c r="FA269" i="25"/>
  <c r="EL269" i="25"/>
  <c r="EJ290" i="25"/>
  <c r="EY290" i="25"/>
  <c r="EK290" i="25"/>
  <c r="EN290" i="25" s="1"/>
  <c r="FA290" i="25"/>
  <c r="EL290" i="25"/>
  <c r="EJ251" i="25"/>
  <c r="EK251" i="25"/>
  <c r="EN251" i="25" s="1"/>
  <c r="EY251" i="25"/>
  <c r="FA251" i="25"/>
  <c r="EL251" i="25"/>
  <c r="EK233" i="25"/>
  <c r="EN233" i="25" s="1"/>
  <c r="EY233" i="25"/>
  <c r="EJ233" i="25"/>
  <c r="FA233" i="25"/>
  <c r="EL233" i="25"/>
  <c r="EY220" i="25"/>
  <c r="EJ220" i="25"/>
  <c r="FA220" i="25"/>
  <c r="EK220" i="25"/>
  <c r="EN220" i="25" s="1"/>
  <c r="EL220" i="25"/>
  <c r="EK286" i="25"/>
  <c r="EN286" i="25" s="1"/>
  <c r="EY286" i="25"/>
  <c r="FA286" i="25"/>
  <c r="EJ286" i="25"/>
  <c r="EL286" i="25"/>
  <c r="EJ315" i="25"/>
  <c r="EY315" i="25"/>
  <c r="EK315" i="25"/>
  <c r="EN315" i="25" s="1"/>
  <c r="FA315" i="25"/>
  <c r="EL315" i="25"/>
  <c r="EK244" i="25"/>
  <c r="EN244" i="25" s="1"/>
  <c r="FA244" i="25"/>
  <c r="EJ244" i="25"/>
  <c r="EY244" i="25"/>
  <c r="EL244" i="25"/>
  <c r="EY231" i="25"/>
  <c r="EJ231" i="25"/>
  <c r="FA231" i="25"/>
  <c r="EK231" i="25"/>
  <c r="EN231" i="25" s="1"/>
  <c r="EL231" i="25"/>
  <c r="EJ217" i="25"/>
  <c r="EY217" i="25"/>
  <c r="EK217" i="25"/>
  <c r="EN217" i="25" s="1"/>
  <c r="FA217" i="25"/>
  <c r="EL217" i="25"/>
  <c r="EJ301" i="25"/>
  <c r="EY301" i="25"/>
  <c r="EK301" i="25"/>
  <c r="EN301" i="25" s="1"/>
  <c r="FA301" i="25"/>
  <c r="EL301" i="25"/>
  <c r="EJ277" i="25"/>
  <c r="EK277" i="25"/>
  <c r="EN277" i="25" s="1"/>
  <c r="EY277" i="25"/>
  <c r="FA277" i="25"/>
  <c r="EL277" i="25"/>
  <c r="EJ232" i="25"/>
  <c r="EK232" i="25"/>
  <c r="EN232" i="25" s="1"/>
  <c r="EY232" i="25"/>
  <c r="FA232" i="25"/>
  <c r="EL232" i="25"/>
  <c r="EY260" i="25"/>
  <c r="EJ260" i="25"/>
  <c r="FA260" i="25"/>
  <c r="EK260" i="25"/>
  <c r="EN260" i="25" s="1"/>
  <c r="EL260" i="25"/>
  <c r="EJ300" i="25"/>
  <c r="EY300" i="25"/>
  <c r="EK300" i="25"/>
  <c r="EN300" i="25" s="1"/>
  <c r="FA300" i="25"/>
  <c r="EL300" i="25"/>
  <c r="EJ225" i="25"/>
  <c r="EK225" i="25"/>
  <c r="EN225" i="25" s="1"/>
  <c r="EY225" i="25"/>
  <c r="FA225" i="25"/>
  <c r="EL225" i="25"/>
  <c r="EJ287" i="25"/>
  <c r="EY287" i="25"/>
  <c r="EK287" i="25"/>
  <c r="EN287" i="25" s="1"/>
  <c r="FA287" i="25"/>
  <c r="EL287" i="25"/>
  <c r="EK273" i="25"/>
  <c r="EN273" i="25" s="1"/>
  <c r="FA273" i="25"/>
  <c r="EY273" i="25"/>
  <c r="EJ273" i="25"/>
  <c r="EL273" i="25"/>
  <c r="EK295" i="25"/>
  <c r="EN295" i="25" s="1"/>
  <c r="EY295" i="25"/>
  <c r="FA295" i="25"/>
  <c r="EJ295" i="25"/>
  <c r="EL295" i="25"/>
  <c r="EK261" i="25"/>
  <c r="EN261" i="25" s="1"/>
  <c r="EY261" i="25"/>
  <c r="FA261" i="25"/>
  <c r="EJ261" i="25"/>
  <c r="EL261" i="25"/>
  <c r="EK259" i="25"/>
  <c r="EN259" i="25" s="1"/>
  <c r="EY259" i="25"/>
  <c r="FA259" i="25"/>
  <c r="EJ259" i="25"/>
  <c r="EL259" i="25"/>
  <c r="EK302" i="25"/>
  <c r="EN302" i="25" s="1"/>
  <c r="EY302" i="25"/>
  <c r="FA302" i="25"/>
  <c r="EJ302" i="25"/>
  <c r="EL302" i="25"/>
  <c r="EY265" i="25"/>
  <c r="EJ265" i="25"/>
  <c r="FA265" i="25"/>
  <c r="EK265" i="25"/>
  <c r="EN265" i="25" s="1"/>
  <c r="EL265" i="25"/>
  <c r="EJ280" i="25"/>
  <c r="FA280" i="25"/>
  <c r="EY280" i="25"/>
  <c r="EK280" i="25"/>
  <c r="EN280" i="25" s="1"/>
  <c r="EL280" i="25"/>
  <c r="EK299" i="25"/>
  <c r="EN299" i="25" s="1"/>
  <c r="EY299" i="25"/>
  <c r="FA299" i="25"/>
  <c r="EJ299" i="25"/>
  <c r="EL299" i="25"/>
  <c r="EJ224" i="25"/>
  <c r="EK224" i="25"/>
  <c r="EN224" i="25" s="1"/>
  <c r="EY224" i="25"/>
  <c r="FA224" i="25"/>
  <c r="EL224" i="25"/>
  <c r="EK264" i="25"/>
  <c r="EN264" i="25" s="1"/>
  <c r="EY264" i="25"/>
  <c r="FA264" i="25"/>
  <c r="EJ264" i="25"/>
  <c r="EL264" i="25"/>
  <c r="EJ262" i="25"/>
  <c r="EY262" i="25"/>
  <c r="EK262" i="25"/>
  <c r="EN262" i="25" s="1"/>
  <c r="FA262" i="25"/>
  <c r="EL262" i="25"/>
  <c r="FA253" i="25"/>
  <c r="EJ253" i="25"/>
  <c r="EK253" i="25"/>
  <c r="EN253" i="25" s="1"/>
  <c r="EY253" i="25"/>
  <c r="EL253" i="25"/>
  <c r="EJ279" i="25"/>
  <c r="EK279" i="25"/>
  <c r="EN279" i="25" s="1"/>
  <c r="EY279" i="25"/>
  <c r="FA279" i="25"/>
  <c r="EL279" i="25"/>
  <c r="EJ288" i="25"/>
  <c r="EK288" i="25"/>
  <c r="EN288" i="25" s="1"/>
  <c r="EY288" i="25"/>
  <c r="FA288" i="25"/>
  <c r="EL288" i="25"/>
  <c r="EJ218" i="25"/>
  <c r="EY218" i="25"/>
  <c r="EK218" i="25"/>
  <c r="EN218" i="25" s="1"/>
  <c r="FA218" i="25"/>
  <c r="EL218" i="25"/>
  <c r="EJ236" i="25"/>
  <c r="EY236" i="25"/>
  <c r="EK236" i="25"/>
  <c r="EN236" i="25" s="1"/>
  <c r="FA236" i="25"/>
  <c r="EL236" i="25"/>
  <c r="EJ275" i="25"/>
  <c r="EK275" i="25"/>
  <c r="EN275" i="25" s="1"/>
  <c r="EY275" i="25"/>
  <c r="FA275" i="25"/>
  <c r="EL275" i="25"/>
  <c r="EY268" i="25"/>
  <c r="EJ268" i="25"/>
  <c r="FA268" i="25"/>
  <c r="EK268" i="25"/>
  <c r="EN268" i="25" s="1"/>
  <c r="EL268" i="25"/>
  <c r="EY263" i="25"/>
  <c r="EJ263" i="25"/>
  <c r="FA263" i="25"/>
  <c r="EK263" i="25"/>
  <c r="EN263" i="25" s="1"/>
  <c r="EL263" i="25"/>
  <c r="EY254" i="25"/>
  <c r="EJ254" i="25"/>
  <c r="FA254" i="25"/>
  <c r="EK254" i="25"/>
  <c r="EN254" i="25" s="1"/>
  <c r="EL254" i="25"/>
  <c r="DQ216" i="25"/>
  <c r="DV216" i="25" s="1"/>
  <c r="EL112" i="25"/>
  <c r="DT112" i="25"/>
  <c r="EY112" i="25"/>
  <c r="EJ112" i="25"/>
  <c r="DV112" i="25"/>
  <c r="FA112" i="25"/>
  <c r="EK112" i="25"/>
  <c r="EN112" i="25" s="1"/>
  <c r="FA15" i="25"/>
  <c r="EY65" i="25"/>
  <c r="FA91" i="25"/>
  <c r="EY40" i="25"/>
  <c r="EY60" i="25"/>
  <c r="EY70" i="25"/>
  <c r="EY58" i="25"/>
  <c r="EY33" i="25"/>
  <c r="EJ81" i="25"/>
  <c r="EJ25" i="25"/>
  <c r="EY93" i="25"/>
  <c r="FA27" i="25"/>
  <c r="EY51" i="25"/>
  <c r="FA49" i="25"/>
  <c r="EJ86" i="25"/>
  <c r="EJ13" i="25"/>
  <c r="FA98" i="25"/>
  <c r="EJ99" i="25"/>
  <c r="FA59" i="25"/>
  <c r="FA72" i="25"/>
  <c r="EJ34" i="25"/>
  <c r="EJ92" i="25"/>
  <c r="EJ83" i="25"/>
  <c r="EJ87" i="25"/>
  <c r="EY38" i="25"/>
  <c r="EJ48" i="25"/>
  <c r="EY24" i="25"/>
  <c r="EJ78" i="25"/>
  <c r="EJ47" i="25"/>
  <c r="EY42" i="25"/>
  <c r="EJ17" i="25"/>
  <c r="EJ12" i="25"/>
  <c r="EY66" i="25"/>
  <c r="FA43" i="25"/>
  <c r="EY89" i="25"/>
  <c r="FA37" i="25"/>
  <c r="FA29" i="25"/>
  <c r="FA14" i="25"/>
  <c r="FA35" i="25"/>
  <c r="EJ73" i="25"/>
  <c r="EJ88" i="25"/>
  <c r="EJ80" i="25"/>
  <c r="EJ74" i="25"/>
  <c r="EY79" i="25"/>
  <c r="DX76" i="24"/>
  <c r="EE76" i="24" s="1"/>
  <c r="DX16" i="24"/>
  <c r="EE16" i="24" s="1"/>
  <c r="DZ66" i="24"/>
  <c r="DX78" i="24"/>
  <c r="EE78" i="24" s="1"/>
  <c r="DX75" i="24"/>
  <c r="EE75" i="24" s="1"/>
  <c r="DZ84" i="24"/>
  <c r="DZ86" i="24"/>
  <c r="DZ59" i="24"/>
  <c r="DZ22" i="24"/>
  <c r="EL183" i="25"/>
  <c r="DX18" i="24"/>
  <c r="EE18" i="24" s="1"/>
  <c r="DZ85" i="24"/>
  <c r="DX92" i="24"/>
  <c r="EE92" i="24" s="1"/>
  <c r="DX87" i="24"/>
  <c r="EE87" i="24" s="1"/>
  <c r="DX17" i="24"/>
  <c r="EE17" i="24" s="1"/>
  <c r="DZ82" i="24"/>
  <c r="DZ34" i="24"/>
  <c r="DZ51" i="24"/>
  <c r="DX45" i="24"/>
  <c r="EE45" i="24" s="1"/>
  <c r="FA81" i="25"/>
  <c r="EY81" i="25"/>
  <c r="DZ46" i="24"/>
  <c r="EK143" i="25"/>
  <c r="EN143" i="25" s="1"/>
  <c r="EJ72" i="25"/>
  <c r="EJ100" i="25"/>
  <c r="EY103" i="25"/>
  <c r="EY105" i="25"/>
  <c r="DZ38" i="24"/>
  <c r="EK183" i="25"/>
  <c r="EN183" i="25" s="1"/>
  <c r="DZ20" i="24"/>
  <c r="DR74" i="24"/>
  <c r="DR169" i="24"/>
  <c r="DU169" i="24" s="1"/>
  <c r="DZ32" i="24"/>
  <c r="DV183" i="25"/>
  <c r="DX183" i="25" s="1"/>
  <c r="EC183" i="25" s="1"/>
  <c r="EJ14" i="25"/>
  <c r="DX88" i="24"/>
  <c r="EE88" i="24" s="1"/>
  <c r="EY181" i="25"/>
  <c r="EJ168" i="25"/>
  <c r="DZ73" i="24"/>
  <c r="DX21" i="24"/>
  <c r="EE21" i="24" s="1"/>
  <c r="DX101" i="24"/>
  <c r="EE101" i="24" s="1"/>
  <c r="DZ72" i="24"/>
  <c r="FA193" i="25"/>
  <c r="EJ79" i="25"/>
  <c r="DX97" i="24"/>
  <c r="EE97" i="24" s="1"/>
  <c r="DX93" i="24"/>
  <c r="EE93" i="24" s="1"/>
  <c r="DZ90" i="24"/>
  <c r="DX57" i="24"/>
  <c r="EE57" i="24" s="1"/>
  <c r="EJ98" i="25"/>
  <c r="DZ19" i="24"/>
  <c r="DX95" i="24"/>
  <c r="EE95" i="24" s="1"/>
  <c r="DZ12" i="24"/>
  <c r="DX27" i="24"/>
  <c r="EE27" i="24" s="1"/>
  <c r="FA208" i="25"/>
  <c r="EY72" i="25"/>
  <c r="FA119" i="25"/>
  <c r="FA24" i="25"/>
  <c r="EJ24" i="25"/>
  <c r="EJ70" i="25"/>
  <c r="DY5" i="24"/>
  <c r="EF5" i="24" s="1"/>
  <c r="EA5" i="24"/>
  <c r="DR96" i="24"/>
  <c r="DY110" i="24"/>
  <c r="EF110" i="24" s="1"/>
  <c r="EA110" i="24"/>
  <c r="DR190" i="24"/>
  <c r="EY190" i="24" s="1"/>
  <c r="DR39" i="24"/>
  <c r="DR242" i="24"/>
  <c r="DR243" i="24"/>
  <c r="DW216" i="24"/>
  <c r="DU216" i="24"/>
  <c r="DR92" i="24"/>
  <c r="DT182" i="25"/>
  <c r="EY128" i="25"/>
  <c r="EY49" i="25"/>
  <c r="EJ137" i="25"/>
  <c r="DZ28" i="24"/>
  <c r="DZ74" i="24"/>
  <c r="DX105" i="24"/>
  <c r="EE105" i="24" s="1"/>
  <c r="DX7" i="24"/>
  <c r="EE7" i="24" s="1"/>
  <c r="EY98" i="25"/>
  <c r="EY35" i="25"/>
  <c r="EJ43" i="25"/>
  <c r="DZ49" i="24"/>
  <c r="FA70" i="25"/>
  <c r="DT138" i="25"/>
  <c r="DX56" i="24"/>
  <c r="EE56" i="24" s="1"/>
  <c r="EY138" i="25"/>
  <c r="DX11" i="24"/>
  <c r="EE11" i="24" s="1"/>
  <c r="EY78" i="25"/>
  <c r="DZ69" i="24"/>
  <c r="EJ33" i="25"/>
  <c r="EY119" i="25"/>
  <c r="FA173" i="25"/>
  <c r="DX9" i="24"/>
  <c r="EE9" i="24" s="1"/>
  <c r="EY173" i="25"/>
  <c r="EJ187" i="25"/>
  <c r="DO128" i="24"/>
  <c r="DR78" i="24"/>
  <c r="EY210" i="25"/>
  <c r="EJ105" i="25"/>
  <c r="EJ93" i="25"/>
  <c r="EJ121" i="25"/>
  <c r="FA79" i="25"/>
  <c r="EY121" i="25"/>
  <c r="EY48" i="25"/>
  <c r="EK182" i="25"/>
  <c r="EN182" i="25" s="1"/>
  <c r="EY14" i="25"/>
  <c r="FA38" i="25"/>
  <c r="DZ102" i="24"/>
  <c r="EY175" i="25"/>
  <c r="FA175" i="25"/>
  <c r="DX36" i="24"/>
  <c r="EE36" i="24" s="1"/>
  <c r="DZ96" i="24"/>
  <c r="DX64" i="24"/>
  <c r="EE64" i="24" s="1"/>
  <c r="DR90" i="24"/>
  <c r="EY92" i="25"/>
  <c r="FA210" i="25"/>
  <c r="EY86" i="25"/>
  <c r="DV143" i="25"/>
  <c r="DY143" i="25" s="1"/>
  <c r="CH143" i="25" s="1"/>
  <c r="DT73" i="25"/>
  <c r="FA86" i="25"/>
  <c r="EY191" i="25"/>
  <c r="EL73" i="25"/>
  <c r="EJ143" i="25"/>
  <c r="EY83" i="25"/>
  <c r="FA191" i="25"/>
  <c r="EK73" i="25"/>
  <c r="EN73" i="25" s="1"/>
  <c r="EY143" i="25"/>
  <c r="EL143" i="25"/>
  <c r="FA83" i="25"/>
  <c r="DV73" i="25"/>
  <c r="DX73" i="25" s="1"/>
  <c r="EC73" i="25" s="1"/>
  <c r="FA187" i="25"/>
  <c r="FA143" i="25"/>
  <c r="FA42" i="25"/>
  <c r="FA138" i="25"/>
  <c r="FA78" i="25"/>
  <c r="EL138" i="25"/>
  <c r="FA128" i="25"/>
  <c r="EJ199" i="25"/>
  <c r="EJ138" i="25"/>
  <c r="EK138" i="25"/>
  <c r="EN138" i="25" s="1"/>
  <c r="FA199" i="25"/>
  <c r="EY139" i="25"/>
  <c r="FA139" i="25"/>
  <c r="EY193" i="25"/>
  <c r="EJ40" i="25"/>
  <c r="EJ38" i="25"/>
  <c r="EY183" i="25"/>
  <c r="EJ183" i="25"/>
  <c r="FA183" i="25"/>
  <c r="DX182" i="25"/>
  <c r="EC182" i="25" s="1"/>
  <c r="DY182" i="25"/>
  <c r="FA58" i="25"/>
  <c r="FA181" i="25"/>
  <c r="EY182" i="25"/>
  <c r="EY99" i="25"/>
  <c r="EY47" i="25"/>
  <c r="EJ58" i="25"/>
  <c r="FA103" i="25"/>
  <c r="EJ182" i="25"/>
  <c r="FA99" i="25"/>
  <c r="FA47" i="25"/>
  <c r="DT181" i="25"/>
  <c r="FA105" i="25"/>
  <c r="EJ103" i="25"/>
  <c r="FA182" i="25"/>
  <c r="EK181" i="25"/>
  <c r="EN181" i="25" s="1"/>
  <c r="EL182" i="25"/>
  <c r="EY127" i="25"/>
  <c r="EL181" i="25"/>
  <c r="EJ208" i="25"/>
  <c r="DV181" i="25"/>
  <c r="DY181" i="25" s="1"/>
  <c r="EY168" i="25"/>
  <c r="FA171" i="25"/>
  <c r="DX143" i="25"/>
  <c r="EC143" i="25" s="1"/>
  <c r="FA100" i="25"/>
  <c r="FA34" i="25"/>
  <c r="EY25" i="25"/>
  <c r="FA33" i="25"/>
  <c r="FA40" i="25"/>
  <c r="EJ190" i="25"/>
  <c r="FA48" i="25"/>
  <c r="EY12" i="25"/>
  <c r="EJ59" i="25"/>
  <c r="EY100" i="25"/>
  <c r="EY34" i="25"/>
  <c r="FA25" i="25"/>
  <c r="EY59" i="25"/>
  <c r="FA17" i="25"/>
  <c r="EY147" i="25"/>
  <c r="EY17" i="25"/>
  <c r="FA147" i="25"/>
  <c r="EJ27" i="25"/>
  <c r="EY27" i="25"/>
  <c r="EJ15" i="25"/>
  <c r="EY158" i="25"/>
  <c r="EY73" i="25"/>
  <c r="FA73" i="25"/>
  <c r="EY15" i="25"/>
  <c r="EJ127" i="25"/>
  <c r="FA158" i="25"/>
  <c r="DV180" i="25"/>
  <c r="DX180" i="25" s="1"/>
  <c r="EC180" i="25" s="1"/>
  <c r="EK180" i="25"/>
  <c r="EN180" i="25" s="1"/>
  <c r="EL180" i="25"/>
  <c r="DT180" i="25"/>
  <c r="EJ180" i="25"/>
  <c r="FA180" i="25"/>
  <c r="EY180" i="25"/>
  <c r="DV223" i="25"/>
  <c r="DT223" i="25"/>
  <c r="DV141" i="25"/>
  <c r="DX141" i="25" s="1"/>
  <c r="EC141" i="25" s="1"/>
  <c r="EK141" i="25"/>
  <c r="EN141" i="25" s="1"/>
  <c r="EL141" i="25"/>
  <c r="DT141" i="25"/>
  <c r="FA141" i="25"/>
  <c r="EY141" i="25"/>
  <c r="EJ141" i="25"/>
  <c r="DV258" i="25"/>
  <c r="DT258" i="25"/>
  <c r="DV129" i="25"/>
  <c r="DX129" i="25" s="1"/>
  <c r="EC129" i="25" s="1"/>
  <c r="EL129" i="25"/>
  <c r="EK129" i="25"/>
  <c r="EN129" i="25" s="1"/>
  <c r="DT129" i="25"/>
  <c r="FA129" i="25"/>
  <c r="EY129" i="25"/>
  <c r="EJ129" i="25"/>
  <c r="DV164" i="25"/>
  <c r="DX164" i="25" s="1"/>
  <c r="EC164" i="25" s="1"/>
  <c r="EL164" i="25"/>
  <c r="EK164" i="25"/>
  <c r="EN164" i="25" s="1"/>
  <c r="DT164" i="25"/>
  <c r="FA164" i="25"/>
  <c r="EY164" i="25"/>
  <c r="EJ164" i="25"/>
  <c r="DV101" i="25"/>
  <c r="EL101" i="25"/>
  <c r="EK101" i="25"/>
  <c r="EN101" i="25" s="1"/>
  <c r="EJ101" i="25"/>
  <c r="FA101" i="25"/>
  <c r="EY101" i="25"/>
  <c r="EB17" i="25"/>
  <c r="EA17" i="25"/>
  <c r="DV169" i="25"/>
  <c r="DX169" i="25" s="1"/>
  <c r="EC169" i="25" s="1"/>
  <c r="EK169" i="25"/>
  <c r="EN169" i="25" s="1"/>
  <c r="EL169" i="25"/>
  <c r="DT169" i="25"/>
  <c r="EJ169" i="25"/>
  <c r="DV301" i="25"/>
  <c r="DT301" i="25"/>
  <c r="EY169" i="25"/>
  <c r="DV63" i="25"/>
  <c r="EK63" i="25"/>
  <c r="EN63" i="25" s="1"/>
  <c r="EL63" i="25"/>
  <c r="DT63" i="25"/>
  <c r="EY63" i="25"/>
  <c r="EJ63" i="25"/>
  <c r="FA63" i="25"/>
  <c r="DV231" i="25"/>
  <c r="DT231" i="25"/>
  <c r="DV104" i="25"/>
  <c r="EK104" i="25"/>
  <c r="EN104" i="25" s="1"/>
  <c r="EL104" i="25"/>
  <c r="FA104" i="25"/>
  <c r="EJ104" i="25"/>
  <c r="EY104" i="25"/>
  <c r="EB193" i="25"/>
  <c r="EA193" i="25"/>
  <c r="DV136" i="25"/>
  <c r="DX136" i="25" s="1"/>
  <c r="EC136" i="25" s="1"/>
  <c r="EL136" i="25"/>
  <c r="EK136" i="25"/>
  <c r="EN136" i="25" s="1"/>
  <c r="DT136" i="25"/>
  <c r="EY136" i="25"/>
  <c r="EJ136" i="25"/>
  <c r="FA136" i="25"/>
  <c r="FA169" i="25"/>
  <c r="DV44" i="25"/>
  <c r="EL44" i="25"/>
  <c r="EK44" i="25"/>
  <c r="EN44" i="25" s="1"/>
  <c r="DT44" i="25"/>
  <c r="EY44" i="25"/>
  <c r="EJ44" i="25"/>
  <c r="FA44" i="25"/>
  <c r="DV23" i="25"/>
  <c r="DX23" i="25" s="1"/>
  <c r="EC23" i="25" s="1"/>
  <c r="EK23" i="25"/>
  <c r="EN23" i="25" s="1"/>
  <c r="EL23" i="25"/>
  <c r="DT23" i="25"/>
  <c r="EY23" i="25"/>
  <c r="EJ23" i="25"/>
  <c r="FA23" i="25"/>
  <c r="DV97" i="25"/>
  <c r="DX97" i="25" s="1"/>
  <c r="EC97" i="25" s="1"/>
  <c r="EL97" i="25"/>
  <c r="EK97" i="25"/>
  <c r="EN97" i="25" s="1"/>
  <c r="EJ97" i="25"/>
  <c r="FA97" i="25"/>
  <c r="EY97" i="25"/>
  <c r="DV203" i="25"/>
  <c r="DX203" i="25" s="1"/>
  <c r="EC203" i="25" s="1"/>
  <c r="EK203" i="25"/>
  <c r="EN203" i="25" s="1"/>
  <c r="EL203" i="25"/>
  <c r="EJ203" i="25"/>
  <c r="FA203" i="25"/>
  <c r="EY203" i="25"/>
  <c r="DV194" i="25"/>
  <c r="DX194" i="25" s="1"/>
  <c r="EC194" i="25" s="1"/>
  <c r="EK194" i="25"/>
  <c r="EN194" i="25" s="1"/>
  <c r="EL194" i="25"/>
  <c r="FA194" i="25"/>
  <c r="EY194" i="25"/>
  <c r="EJ194" i="25"/>
  <c r="DV93" i="25"/>
  <c r="DX93" i="25" s="1"/>
  <c r="EC93" i="25" s="1"/>
  <c r="EL93" i="25"/>
  <c r="EK93" i="25"/>
  <c r="EN93" i="25" s="1"/>
  <c r="FA93" i="25"/>
  <c r="DV219" i="25"/>
  <c r="DT219" i="25"/>
  <c r="DV77" i="25"/>
  <c r="DX77" i="25" s="1"/>
  <c r="EC77" i="25" s="1"/>
  <c r="EL77" i="25"/>
  <c r="EK77" i="25"/>
  <c r="EN77" i="25" s="1"/>
  <c r="DT77" i="25"/>
  <c r="EB93" i="25"/>
  <c r="EA93" i="25"/>
  <c r="DV307" i="25"/>
  <c r="DT307" i="25"/>
  <c r="EB210" i="25"/>
  <c r="EA210" i="25"/>
  <c r="EB100" i="25"/>
  <c r="EA100" i="25"/>
  <c r="DV297" i="25"/>
  <c r="DT297" i="25"/>
  <c r="DV90" i="25"/>
  <c r="DX90" i="25" s="1"/>
  <c r="EC90" i="25" s="1"/>
  <c r="EK90" i="25"/>
  <c r="EN90" i="25" s="1"/>
  <c r="EL90" i="25"/>
  <c r="DT90" i="25"/>
  <c r="DV269" i="25"/>
  <c r="DT269" i="25"/>
  <c r="EB72" i="25"/>
  <c r="EA72" i="25"/>
  <c r="DV56" i="25"/>
  <c r="DX56" i="25" s="1"/>
  <c r="EC56" i="25" s="1"/>
  <c r="EK56" i="25"/>
  <c r="EN56" i="25" s="1"/>
  <c r="EL56" i="25"/>
  <c r="DT56" i="25"/>
  <c r="DV253" i="25"/>
  <c r="DT253" i="25"/>
  <c r="EB70" i="25"/>
  <c r="EA70" i="25"/>
  <c r="DV146" i="25"/>
  <c r="EK146" i="25"/>
  <c r="EN146" i="25" s="1"/>
  <c r="EL146" i="25"/>
  <c r="DT146" i="25"/>
  <c r="EY146" i="25"/>
  <c r="EJ146" i="25"/>
  <c r="FA146" i="25"/>
  <c r="EB208" i="25"/>
  <c r="EA208" i="25"/>
  <c r="FA87" i="25"/>
  <c r="EB169" i="25"/>
  <c r="EA169" i="25"/>
  <c r="DV160" i="25"/>
  <c r="EK160" i="25"/>
  <c r="EN160" i="25" s="1"/>
  <c r="EL160" i="25"/>
  <c r="DT160" i="25"/>
  <c r="EJ160" i="25"/>
  <c r="FA160" i="25"/>
  <c r="EY160" i="25"/>
  <c r="DV102" i="25"/>
  <c r="EK102" i="25"/>
  <c r="EN102" i="25" s="1"/>
  <c r="EL102" i="25"/>
  <c r="EJ102" i="25"/>
  <c r="FA102" i="25"/>
  <c r="EY102" i="25"/>
  <c r="DV52" i="25"/>
  <c r="EK52" i="25"/>
  <c r="EN52" i="25" s="1"/>
  <c r="EL52" i="25"/>
  <c r="DT52" i="25"/>
  <c r="EY52" i="25"/>
  <c r="EJ52" i="25"/>
  <c r="FA52" i="25"/>
  <c r="DV40" i="25"/>
  <c r="DX40" i="25" s="1"/>
  <c r="EC40" i="25" s="1"/>
  <c r="EK40" i="25"/>
  <c r="EN40" i="25" s="1"/>
  <c r="EL40" i="25"/>
  <c r="DT40" i="25"/>
  <c r="EB79" i="25"/>
  <c r="EA79" i="25"/>
  <c r="DV207" i="25"/>
  <c r="EL207" i="25"/>
  <c r="EK207" i="25"/>
  <c r="EN207" i="25" s="1"/>
  <c r="EY207" i="25"/>
  <c r="EJ207" i="25"/>
  <c r="FA207" i="25"/>
  <c r="FA92" i="25"/>
  <c r="EB119" i="25"/>
  <c r="EA119" i="25"/>
  <c r="EB141" i="25"/>
  <c r="EA141" i="25"/>
  <c r="DV64" i="25"/>
  <c r="DX64" i="25" s="1"/>
  <c r="EC64" i="25" s="1"/>
  <c r="EK64" i="25"/>
  <c r="EN64" i="25" s="1"/>
  <c r="EL64" i="25"/>
  <c r="DT64" i="25"/>
  <c r="DV255" i="25"/>
  <c r="DT255" i="25"/>
  <c r="DV70" i="25"/>
  <c r="DX70" i="25" s="1"/>
  <c r="EC70" i="25" s="1"/>
  <c r="EL70" i="25"/>
  <c r="EK70" i="25"/>
  <c r="EN70" i="25" s="1"/>
  <c r="DT70" i="25"/>
  <c r="DV236" i="25"/>
  <c r="DT236" i="25"/>
  <c r="DV58" i="25"/>
  <c r="DX58" i="25" s="1"/>
  <c r="EC58" i="25" s="1"/>
  <c r="EK58" i="25"/>
  <c r="EN58" i="25" s="1"/>
  <c r="EL58" i="25"/>
  <c r="DT58" i="25"/>
  <c r="EJ178" i="25"/>
  <c r="DV178" i="25"/>
  <c r="DX178" i="25" s="1"/>
  <c r="EC178" i="25" s="1"/>
  <c r="EK178" i="25"/>
  <c r="EN178" i="25" s="1"/>
  <c r="EL178" i="25"/>
  <c r="DT178" i="25"/>
  <c r="FA53" i="25"/>
  <c r="DV53" i="25"/>
  <c r="EK53" i="25"/>
  <c r="EN53" i="25" s="1"/>
  <c r="EL53" i="25"/>
  <c r="DT53" i="25"/>
  <c r="EY53" i="25"/>
  <c r="EJ53" i="25"/>
  <c r="EB66" i="25"/>
  <c r="EA66" i="25"/>
  <c r="DV173" i="25"/>
  <c r="DX173" i="25" s="1"/>
  <c r="EC173" i="25" s="1"/>
  <c r="EK173" i="25"/>
  <c r="EN173" i="25" s="1"/>
  <c r="EL173" i="25"/>
  <c r="DT173" i="25"/>
  <c r="DV298" i="25"/>
  <c r="DT298" i="25"/>
  <c r="DV303" i="25"/>
  <c r="DT303" i="25"/>
  <c r="EB190" i="25"/>
  <c r="EA190" i="25"/>
  <c r="DV96" i="25"/>
  <c r="DX96" i="25" s="1"/>
  <c r="EC96" i="25" s="1"/>
  <c r="EL96" i="25"/>
  <c r="EK96" i="25"/>
  <c r="EN96" i="25" s="1"/>
  <c r="DV295" i="25"/>
  <c r="DT295" i="25"/>
  <c r="DV117" i="25"/>
  <c r="EK117" i="25"/>
  <c r="EN117" i="25" s="1"/>
  <c r="EL117" i="25"/>
  <c r="DT117" i="25"/>
  <c r="EY117" i="25"/>
  <c r="FA117" i="25"/>
  <c r="EJ117" i="25"/>
  <c r="EB139" i="25"/>
  <c r="EA139" i="25"/>
  <c r="DV170" i="25"/>
  <c r="DX170" i="25" s="1"/>
  <c r="EC170" i="25" s="1"/>
  <c r="EL170" i="25"/>
  <c r="EK170" i="25"/>
  <c r="EN170" i="25" s="1"/>
  <c r="DT170" i="25"/>
  <c r="EB38" i="25"/>
  <c r="EA38" i="25"/>
  <c r="DV162" i="25"/>
  <c r="EL162" i="25"/>
  <c r="EK162" i="25"/>
  <c r="EN162" i="25" s="1"/>
  <c r="DT162" i="25"/>
  <c r="EY162" i="25"/>
  <c r="EJ162" i="25"/>
  <c r="FA162" i="25"/>
  <c r="DV61" i="25"/>
  <c r="EL61" i="25"/>
  <c r="EK61" i="25"/>
  <c r="EN61" i="25" s="1"/>
  <c r="DT61" i="25"/>
  <c r="EJ61" i="25"/>
  <c r="FA61" i="25"/>
  <c r="EY61" i="25"/>
  <c r="EB12" i="25"/>
  <c r="EA12" i="25"/>
  <c r="DV199" i="25"/>
  <c r="DX199" i="25" s="1"/>
  <c r="EC199" i="25" s="1"/>
  <c r="EL199" i="25"/>
  <c r="EK199" i="25"/>
  <c r="EN199" i="25" s="1"/>
  <c r="EY170" i="25"/>
  <c r="EY80" i="25"/>
  <c r="FA88" i="25"/>
  <c r="DV95" i="25"/>
  <c r="DX95" i="25" s="1"/>
  <c r="EC95" i="25" s="1"/>
  <c r="EK95" i="25"/>
  <c r="EN95" i="25" s="1"/>
  <c r="EL95" i="25"/>
  <c r="DV202" i="25"/>
  <c r="EL202" i="25"/>
  <c r="EK202" i="25"/>
  <c r="EN202" i="25" s="1"/>
  <c r="EY202" i="25"/>
  <c r="EJ202" i="25"/>
  <c r="FA202" i="25"/>
  <c r="EB45" i="25"/>
  <c r="EA45" i="25"/>
  <c r="DV171" i="25"/>
  <c r="DX171" i="25" s="1"/>
  <c r="EC171" i="25" s="1"/>
  <c r="EL171" i="25"/>
  <c r="EK171" i="25"/>
  <c r="EN171" i="25" s="1"/>
  <c r="DT171" i="25"/>
  <c r="DV316" i="25"/>
  <c r="DT316" i="25"/>
  <c r="EB143" i="25"/>
  <c r="EA143" i="25"/>
  <c r="DV159" i="25"/>
  <c r="EK159" i="25"/>
  <c r="EN159" i="25" s="1"/>
  <c r="EL159" i="25"/>
  <c r="DT159" i="25"/>
  <c r="EJ159" i="25"/>
  <c r="FA159" i="25"/>
  <c r="EY159" i="25"/>
  <c r="DV144" i="25"/>
  <c r="EL144" i="25"/>
  <c r="EK144" i="25"/>
  <c r="EN144" i="25" s="1"/>
  <c r="DT144" i="25"/>
  <c r="EY144" i="25"/>
  <c r="EJ144" i="25"/>
  <c r="FA144" i="25"/>
  <c r="DV242" i="25"/>
  <c r="DT242" i="25"/>
  <c r="EY91" i="25"/>
  <c r="DV81" i="25"/>
  <c r="DX81" i="25" s="1"/>
  <c r="EC81" i="25" s="1"/>
  <c r="EL81" i="25"/>
  <c r="EK81" i="25"/>
  <c r="EN81" i="25" s="1"/>
  <c r="DT81" i="25"/>
  <c r="DV34" i="25"/>
  <c r="DX34" i="25" s="1"/>
  <c r="EC34" i="25" s="1"/>
  <c r="EK34" i="25"/>
  <c r="EN34" i="25" s="1"/>
  <c r="EL34" i="25"/>
  <c r="DT34" i="25"/>
  <c r="EJ200" i="25"/>
  <c r="EY137" i="25"/>
  <c r="DV137" i="25"/>
  <c r="DX137" i="25" s="1"/>
  <c r="EC137" i="25" s="1"/>
  <c r="EK137" i="25"/>
  <c r="EN137" i="25" s="1"/>
  <c r="EL137" i="25"/>
  <c r="DT137" i="25"/>
  <c r="DV8" i="25"/>
  <c r="EK8" i="25"/>
  <c r="EN8" i="25" s="1"/>
  <c r="EL8" i="25"/>
  <c r="DT8" i="25"/>
  <c r="FA8" i="25"/>
  <c r="EY8" i="25"/>
  <c r="EJ8" i="25"/>
  <c r="DV226" i="25"/>
  <c r="DT226" i="25"/>
  <c r="DV74" i="25"/>
  <c r="DX74" i="25" s="1"/>
  <c r="EC74" i="25" s="1"/>
  <c r="EL74" i="25"/>
  <c r="EK74" i="25"/>
  <c r="EN74" i="25" s="1"/>
  <c r="DT74" i="25"/>
  <c r="DV217" i="25"/>
  <c r="DT217" i="25"/>
  <c r="EB83" i="25"/>
  <c r="EA83" i="25"/>
  <c r="DV291" i="25"/>
  <c r="DT291" i="25"/>
  <c r="DV153" i="25"/>
  <c r="EL153" i="25"/>
  <c r="EK153" i="25"/>
  <c r="EN153" i="25" s="1"/>
  <c r="DT153" i="25"/>
  <c r="EJ153" i="25"/>
  <c r="FA153" i="25"/>
  <c r="EY153" i="25"/>
  <c r="DV166" i="25"/>
  <c r="EL166" i="25"/>
  <c r="EK166" i="25"/>
  <c r="EN166" i="25" s="1"/>
  <c r="DT166" i="25"/>
  <c r="EJ166" i="25"/>
  <c r="EY166" i="25"/>
  <c r="FA166" i="25"/>
  <c r="DV22" i="25"/>
  <c r="EL22" i="25"/>
  <c r="EK22" i="25"/>
  <c r="EN22" i="25" s="1"/>
  <c r="DT22" i="25"/>
  <c r="EJ22" i="25"/>
  <c r="FA22" i="25"/>
  <c r="EY22" i="25"/>
  <c r="DV156" i="25"/>
  <c r="DX156" i="25" s="1"/>
  <c r="EC156" i="25" s="1"/>
  <c r="EK156" i="25"/>
  <c r="EN156" i="25" s="1"/>
  <c r="EL156" i="25"/>
  <c r="DT156" i="25"/>
  <c r="DV147" i="25"/>
  <c r="DX147" i="25" s="1"/>
  <c r="EC147" i="25" s="1"/>
  <c r="EL147" i="25"/>
  <c r="EK147" i="25"/>
  <c r="EN147" i="25" s="1"/>
  <c r="DT147" i="25"/>
  <c r="DV290" i="25"/>
  <c r="DT290" i="25"/>
  <c r="DV27" i="25"/>
  <c r="DX27" i="25" s="1"/>
  <c r="EC27" i="25" s="1"/>
  <c r="EL27" i="25"/>
  <c r="EK27" i="25"/>
  <c r="EN27" i="25" s="1"/>
  <c r="DT27" i="25"/>
  <c r="DV279" i="25"/>
  <c r="DT279" i="25"/>
  <c r="EY87" i="25"/>
  <c r="EB25" i="25"/>
  <c r="EA25" i="25"/>
  <c r="EB147" i="25"/>
  <c r="EA147" i="25"/>
  <c r="DV158" i="25"/>
  <c r="DX158" i="25" s="1"/>
  <c r="EC158" i="25" s="1"/>
  <c r="EL158" i="25"/>
  <c r="EK158" i="25"/>
  <c r="EN158" i="25" s="1"/>
  <c r="DT158" i="25"/>
  <c r="DV94" i="25"/>
  <c r="EK94" i="25"/>
  <c r="EN94" i="25" s="1"/>
  <c r="EL94" i="25"/>
  <c r="EJ94" i="25"/>
  <c r="EY94" i="25"/>
  <c r="FA94" i="25"/>
  <c r="EB27" i="25"/>
  <c r="EA27" i="25"/>
  <c r="EB137" i="25"/>
  <c r="EA137" i="25"/>
  <c r="DV37" i="25"/>
  <c r="DX37" i="25" s="1"/>
  <c r="EC37" i="25" s="1"/>
  <c r="EL37" i="25"/>
  <c r="EK37" i="25"/>
  <c r="EN37" i="25" s="1"/>
  <c r="DT37" i="25"/>
  <c r="DV218" i="25"/>
  <c r="DT218" i="25"/>
  <c r="DV115" i="25"/>
  <c r="EL115" i="25"/>
  <c r="EK115" i="25"/>
  <c r="EN115" i="25" s="1"/>
  <c r="DT115" i="25"/>
  <c r="EY115" i="25"/>
  <c r="FA115" i="25"/>
  <c r="EJ115" i="25"/>
  <c r="DV83" i="25"/>
  <c r="DX83" i="25" s="1"/>
  <c r="EC83" i="25" s="1"/>
  <c r="EK83" i="25"/>
  <c r="EN83" i="25" s="1"/>
  <c r="EL83" i="25"/>
  <c r="DT83" i="25"/>
  <c r="EB127" i="25"/>
  <c r="EA127" i="25"/>
  <c r="DV17" i="25"/>
  <c r="DX17" i="25" s="1"/>
  <c r="EC17" i="25" s="1"/>
  <c r="EL17" i="25"/>
  <c r="EK17" i="25"/>
  <c r="EN17" i="25" s="1"/>
  <c r="DT17" i="25"/>
  <c r="DV235" i="25"/>
  <c r="DT235" i="25"/>
  <c r="DV26" i="25"/>
  <c r="EL26" i="25"/>
  <c r="EK26" i="25"/>
  <c r="EN26" i="25" s="1"/>
  <c r="DT26" i="25"/>
  <c r="EJ26" i="25"/>
  <c r="EY26" i="25"/>
  <c r="FA26" i="25"/>
  <c r="DV18" i="25"/>
  <c r="EK18" i="25"/>
  <c r="EN18" i="25" s="1"/>
  <c r="EL18" i="25"/>
  <c r="DT18" i="25"/>
  <c r="EY18" i="25"/>
  <c r="EJ18" i="25"/>
  <c r="FA18" i="25"/>
  <c r="EJ60" i="25"/>
  <c r="FA157" i="25"/>
  <c r="DV111" i="25"/>
  <c r="DX111" i="25" s="1"/>
  <c r="EC111" i="25" s="1"/>
  <c r="EK111" i="25"/>
  <c r="EN111" i="25" s="1"/>
  <c r="EL111" i="25"/>
  <c r="DT111" i="25"/>
  <c r="EB187" i="25"/>
  <c r="EA187" i="25"/>
  <c r="DV287" i="25"/>
  <c r="DT287" i="25"/>
  <c r="DV191" i="25"/>
  <c r="DX191" i="25" s="1"/>
  <c r="EC191" i="25" s="1"/>
  <c r="EL191" i="25"/>
  <c r="EK191" i="25"/>
  <c r="EN191" i="25" s="1"/>
  <c r="DT191" i="25"/>
  <c r="DV245" i="25"/>
  <c r="DT245" i="25"/>
  <c r="EB158" i="25"/>
  <c r="EA158" i="25"/>
  <c r="DV233" i="25"/>
  <c r="DT233" i="25"/>
  <c r="DV57" i="25"/>
  <c r="EL57" i="25"/>
  <c r="EK57" i="25"/>
  <c r="EN57" i="25" s="1"/>
  <c r="DT57" i="25"/>
  <c r="EJ57" i="25"/>
  <c r="EY57" i="25"/>
  <c r="FA57" i="25"/>
  <c r="FA177" i="25"/>
  <c r="FA122" i="25"/>
  <c r="EJ29" i="25"/>
  <c r="DT131" i="25"/>
  <c r="DV131" i="25"/>
  <c r="DX131" i="25" s="1"/>
  <c r="EC131" i="25" s="1"/>
  <c r="EL131" i="25"/>
  <c r="EK131" i="25"/>
  <c r="EN131" i="25" s="1"/>
  <c r="EJ170" i="25"/>
  <c r="EB168" i="25"/>
  <c r="EA168" i="25"/>
  <c r="EY96" i="25"/>
  <c r="EB35" i="25"/>
  <c r="EA35" i="25"/>
  <c r="EY88" i="25"/>
  <c r="DV49" i="25"/>
  <c r="DX49" i="25" s="1"/>
  <c r="EC49" i="25" s="1"/>
  <c r="EK49" i="25"/>
  <c r="EN49" i="25" s="1"/>
  <c r="EL49" i="25"/>
  <c r="DT49" i="25"/>
  <c r="DV220" i="25"/>
  <c r="DT220" i="25"/>
  <c r="DV24" i="25"/>
  <c r="DX24" i="25" s="1"/>
  <c r="EC24" i="25" s="1"/>
  <c r="EK24" i="25"/>
  <c r="EN24" i="25" s="1"/>
  <c r="EL24" i="25"/>
  <c r="DT24" i="25"/>
  <c r="DV168" i="25"/>
  <c r="DX168" i="25" s="1"/>
  <c r="EC168" i="25" s="1"/>
  <c r="EK168" i="25"/>
  <c r="EN168" i="25" s="1"/>
  <c r="EL168" i="25"/>
  <c r="DT168" i="25"/>
  <c r="DV21" i="25"/>
  <c r="EK21" i="25"/>
  <c r="EN21" i="25" s="1"/>
  <c r="EL21" i="25"/>
  <c r="DT21" i="25"/>
  <c r="FA21" i="25"/>
  <c r="EY21" i="25"/>
  <c r="EJ21" i="25"/>
  <c r="FA206" i="25"/>
  <c r="DV206" i="25"/>
  <c r="EK206" i="25"/>
  <c r="EN206" i="25" s="1"/>
  <c r="EL206" i="25"/>
  <c r="EY206" i="25"/>
  <c r="EJ206" i="25"/>
  <c r="DV312" i="25"/>
  <c r="DT312" i="25"/>
  <c r="EJ174" i="25"/>
  <c r="EB200" i="25"/>
  <c r="EA200" i="25"/>
  <c r="DV254" i="25"/>
  <c r="DT254" i="25"/>
  <c r="DV80" i="25"/>
  <c r="DX80" i="25" s="1"/>
  <c r="EC80" i="25" s="1"/>
  <c r="EK80" i="25"/>
  <c r="EN80" i="25" s="1"/>
  <c r="EL80" i="25"/>
  <c r="DT80" i="25"/>
  <c r="EY74" i="25"/>
  <c r="DV135" i="25"/>
  <c r="EL135" i="25"/>
  <c r="EK135" i="25"/>
  <c r="EN135" i="25" s="1"/>
  <c r="DT135" i="25"/>
  <c r="FA135" i="25"/>
  <c r="EJ135" i="25"/>
  <c r="EY135" i="25"/>
  <c r="DV229" i="25"/>
  <c r="DT229" i="25"/>
  <c r="EB34" i="25"/>
  <c r="EA34" i="25"/>
  <c r="DV262" i="25"/>
  <c r="DT262" i="25"/>
  <c r="DV228" i="25"/>
  <c r="DT228" i="25"/>
  <c r="DV165" i="25"/>
  <c r="EK165" i="25"/>
  <c r="EN165" i="25" s="1"/>
  <c r="EL165" i="25"/>
  <c r="DT165" i="25"/>
  <c r="EJ165" i="25"/>
  <c r="EY165" i="25"/>
  <c r="FA165" i="25"/>
  <c r="DV188" i="25"/>
  <c r="EK188" i="25"/>
  <c r="EN188" i="25" s="1"/>
  <c r="EL188" i="25"/>
  <c r="DT188" i="25"/>
  <c r="EY188" i="25"/>
  <c r="EJ188" i="25"/>
  <c r="FA188" i="25"/>
  <c r="DV248" i="25"/>
  <c r="DT248" i="25"/>
  <c r="DV192" i="25"/>
  <c r="EL192" i="25"/>
  <c r="EK192" i="25"/>
  <c r="EN192" i="25" s="1"/>
  <c r="DT192" i="25"/>
  <c r="EJ192" i="25"/>
  <c r="FA192" i="25"/>
  <c r="EY192" i="25"/>
  <c r="EB199" i="25"/>
  <c r="EA199" i="25"/>
  <c r="EB33" i="25"/>
  <c r="EA33" i="25"/>
  <c r="DV118" i="25"/>
  <c r="EL118" i="25"/>
  <c r="EK118" i="25"/>
  <c r="EN118" i="25" s="1"/>
  <c r="DT118" i="25"/>
  <c r="EJ118" i="25"/>
  <c r="EY118" i="25"/>
  <c r="FA118" i="25"/>
  <c r="EB40" i="25"/>
  <c r="EA40" i="25"/>
  <c r="DV47" i="25"/>
  <c r="DX47" i="25" s="1"/>
  <c r="EC47" i="25" s="1"/>
  <c r="EK47" i="25"/>
  <c r="EN47" i="25" s="1"/>
  <c r="EL47" i="25"/>
  <c r="DT47" i="25"/>
  <c r="FA156" i="25"/>
  <c r="FA90" i="25"/>
  <c r="EB92" i="25"/>
  <c r="EA92" i="25"/>
  <c r="EJ42" i="25"/>
  <c r="EB58" i="25"/>
  <c r="EA58" i="25"/>
  <c r="DV185" i="25"/>
  <c r="DX185" i="25" s="1"/>
  <c r="EC185" i="25" s="1"/>
  <c r="EL185" i="25"/>
  <c r="EK185" i="25"/>
  <c r="EN185" i="25" s="1"/>
  <c r="DT185" i="25"/>
  <c r="EB15" i="25"/>
  <c r="EA15" i="25"/>
  <c r="DV124" i="25"/>
  <c r="EL124" i="25"/>
  <c r="EK124" i="25"/>
  <c r="EN124" i="25" s="1"/>
  <c r="DT124" i="25"/>
  <c r="FA124" i="25"/>
  <c r="EY124" i="25"/>
  <c r="EJ124" i="25"/>
  <c r="DV251" i="25"/>
  <c r="DT251" i="25"/>
  <c r="DV30" i="25"/>
  <c r="EK30" i="25"/>
  <c r="EN30" i="25" s="1"/>
  <c r="EL30" i="25"/>
  <c r="DT30" i="25"/>
  <c r="FA30" i="25"/>
  <c r="EY30" i="25"/>
  <c r="EJ30" i="25"/>
  <c r="EB173" i="25"/>
  <c r="EA173" i="25"/>
  <c r="DV204" i="25"/>
  <c r="EL204" i="25"/>
  <c r="EK204" i="25"/>
  <c r="EN204" i="25" s="1"/>
  <c r="EY204" i="25"/>
  <c r="FA204" i="25"/>
  <c r="EJ204" i="25"/>
  <c r="DV31" i="25"/>
  <c r="EL31" i="25"/>
  <c r="EK31" i="25"/>
  <c r="EN31" i="25" s="1"/>
  <c r="DT31" i="25"/>
  <c r="EY31" i="25"/>
  <c r="FA31" i="25"/>
  <c r="EJ31" i="25"/>
  <c r="DV249" i="25"/>
  <c r="DT249" i="25"/>
  <c r="DV313" i="25"/>
  <c r="DT313" i="25"/>
  <c r="EY126" i="25"/>
  <c r="DV33" i="25"/>
  <c r="DX33" i="25" s="1"/>
  <c r="EC33" i="25" s="1"/>
  <c r="EL33" i="25"/>
  <c r="EK33" i="25"/>
  <c r="EN33" i="25" s="1"/>
  <c r="DT33" i="25"/>
  <c r="EB78" i="25"/>
  <c r="EA78" i="25"/>
  <c r="DV304" i="25"/>
  <c r="DT304" i="25"/>
  <c r="EJ64" i="25"/>
  <c r="EY157" i="25"/>
  <c r="DV98" i="25"/>
  <c r="DX98" i="25" s="1"/>
  <c r="EC98" i="25" s="1"/>
  <c r="EK98" i="25"/>
  <c r="EN98" i="25" s="1"/>
  <c r="EL98" i="25"/>
  <c r="EB203" i="25"/>
  <c r="EA203" i="25"/>
  <c r="DV184" i="25"/>
  <c r="EL184" i="25"/>
  <c r="EK184" i="25"/>
  <c r="EN184" i="25" s="1"/>
  <c r="DT184" i="25"/>
  <c r="FA184" i="25"/>
  <c r="EJ184" i="25"/>
  <c r="EY184" i="25"/>
  <c r="EJ111" i="25"/>
  <c r="DV283" i="25"/>
  <c r="DT283" i="25"/>
  <c r="DV234" i="25"/>
  <c r="DT234" i="25"/>
  <c r="DV71" i="25"/>
  <c r="EL71" i="25"/>
  <c r="EK71" i="25"/>
  <c r="EN71" i="25" s="1"/>
  <c r="DT71" i="25"/>
  <c r="EJ71" i="25"/>
  <c r="EY71" i="25"/>
  <c r="FA71" i="25"/>
  <c r="DV278" i="25"/>
  <c r="DT278" i="25"/>
  <c r="EY145" i="25"/>
  <c r="DV311" i="25"/>
  <c r="DT311" i="25"/>
  <c r="DV38" i="25"/>
  <c r="DX38" i="25" s="1"/>
  <c r="EC38" i="25" s="1"/>
  <c r="EL38" i="25"/>
  <c r="EK38" i="25"/>
  <c r="EN38" i="25" s="1"/>
  <c r="DT38" i="25"/>
  <c r="EB175" i="25"/>
  <c r="EA175" i="25"/>
  <c r="EY13" i="25"/>
  <c r="EJ49" i="25"/>
  <c r="EJ65" i="25"/>
  <c r="EJ122" i="25"/>
  <c r="EB164" i="25"/>
  <c r="EA164" i="25"/>
  <c r="EB170" i="25"/>
  <c r="EA170" i="25"/>
  <c r="EB80" i="25"/>
  <c r="EA80" i="25"/>
  <c r="EJ96" i="25"/>
  <c r="DV46" i="25"/>
  <c r="EL46" i="25"/>
  <c r="EK46" i="25"/>
  <c r="EN46" i="25" s="1"/>
  <c r="DT46" i="25"/>
  <c r="FA46" i="25"/>
  <c r="EY46" i="25"/>
  <c r="EJ46" i="25"/>
  <c r="DV123" i="25"/>
  <c r="EK123" i="25"/>
  <c r="EN123" i="25" s="1"/>
  <c r="EL123" i="25"/>
  <c r="DT123" i="25"/>
  <c r="EY123" i="25"/>
  <c r="EJ123" i="25"/>
  <c r="FA123" i="25"/>
  <c r="DV230" i="25"/>
  <c r="DT230" i="25"/>
  <c r="DV86" i="25"/>
  <c r="DX86" i="25" s="1"/>
  <c r="EC86" i="25" s="1"/>
  <c r="EK86" i="25"/>
  <c r="EN86" i="25" s="1"/>
  <c r="EL86" i="25"/>
  <c r="DT86" i="25"/>
  <c r="EB59" i="25"/>
  <c r="EA59" i="25"/>
  <c r="DV59" i="25"/>
  <c r="DX59" i="25" s="1"/>
  <c r="EC59" i="25" s="1"/>
  <c r="EL59" i="25"/>
  <c r="EK59" i="25"/>
  <c r="EN59" i="25" s="1"/>
  <c r="DT59" i="25"/>
  <c r="DV186" i="25"/>
  <c r="EK186" i="25"/>
  <c r="EN186" i="25" s="1"/>
  <c r="EL186" i="25"/>
  <c r="DT186" i="25"/>
  <c r="EY186" i="25"/>
  <c r="EJ186" i="25"/>
  <c r="FA186" i="25"/>
  <c r="DV198" i="25"/>
  <c r="EK198" i="25"/>
  <c r="EN198" i="25" s="1"/>
  <c r="EL198" i="25"/>
  <c r="FA198" i="25"/>
  <c r="EJ198" i="25"/>
  <c r="EY198" i="25"/>
  <c r="DV280" i="25"/>
  <c r="DT280" i="25"/>
  <c r="FA185" i="25"/>
  <c r="EJ69" i="25"/>
  <c r="DV69" i="25"/>
  <c r="EL69" i="25"/>
  <c r="EK69" i="25"/>
  <c r="EN69" i="25" s="1"/>
  <c r="DT69" i="25"/>
  <c r="FA69" i="25"/>
  <c r="EY69" i="25"/>
  <c r="DV72" i="25"/>
  <c r="DX72" i="25" s="1"/>
  <c r="EC72" i="25" s="1"/>
  <c r="EK72" i="25"/>
  <c r="EN72" i="25" s="1"/>
  <c r="EL72" i="25"/>
  <c r="DT72" i="25"/>
  <c r="DV282" i="25"/>
  <c r="DT282" i="25"/>
  <c r="EJ35" i="25"/>
  <c r="DV35" i="25"/>
  <c r="DX35" i="25" s="1"/>
  <c r="EC35" i="25" s="1"/>
  <c r="EK35" i="25"/>
  <c r="EN35" i="25" s="1"/>
  <c r="EL35" i="25"/>
  <c r="DT35" i="25"/>
  <c r="FA89" i="25"/>
  <c r="DV187" i="25"/>
  <c r="DX187" i="25" s="1"/>
  <c r="EC187" i="25" s="1"/>
  <c r="EK187" i="25"/>
  <c r="EN187" i="25" s="1"/>
  <c r="EL187" i="25"/>
  <c r="DT187" i="25"/>
  <c r="DV237" i="25"/>
  <c r="DT237" i="25"/>
  <c r="EB91" i="25"/>
  <c r="EA91" i="25"/>
  <c r="EY178" i="25"/>
  <c r="DV193" i="25"/>
  <c r="DX193" i="25" s="1"/>
  <c r="EC193" i="25" s="1"/>
  <c r="EL193" i="25"/>
  <c r="EK193" i="25"/>
  <c r="EN193" i="25" s="1"/>
  <c r="DT193" i="25"/>
  <c r="EY95" i="25"/>
  <c r="DV257" i="25"/>
  <c r="DT257" i="25"/>
  <c r="EJ131" i="25"/>
  <c r="EY174" i="25"/>
  <c r="DV103" i="25"/>
  <c r="DX103" i="25" s="1"/>
  <c r="EC103" i="25" s="1"/>
  <c r="EL103" i="25"/>
  <c r="EK103" i="25"/>
  <c r="EN103" i="25" s="1"/>
  <c r="DV78" i="25"/>
  <c r="DX78" i="25" s="1"/>
  <c r="EC78" i="25" s="1"/>
  <c r="EL78" i="25"/>
  <c r="EK78" i="25"/>
  <c r="EN78" i="25" s="1"/>
  <c r="DT78" i="25"/>
  <c r="FA74" i="25"/>
  <c r="DV127" i="25"/>
  <c r="DX127" i="25" s="1"/>
  <c r="EC127" i="25" s="1"/>
  <c r="EL127" i="25"/>
  <c r="EK127" i="25"/>
  <c r="EN127" i="25" s="1"/>
  <c r="DT127" i="25"/>
  <c r="FA130" i="25"/>
  <c r="DV130" i="25"/>
  <c r="EL130" i="25"/>
  <c r="EK130" i="25"/>
  <c r="EN130" i="25" s="1"/>
  <c r="DT130" i="25"/>
  <c r="EY130" i="25"/>
  <c r="EJ130" i="25"/>
  <c r="DV267" i="25"/>
  <c r="DT267" i="25"/>
  <c r="EB191" i="25"/>
  <c r="EA191" i="25"/>
  <c r="DV308" i="25"/>
  <c r="DT308" i="25"/>
  <c r="DV292" i="25"/>
  <c r="DT292" i="25"/>
  <c r="DV177" i="25"/>
  <c r="DX177" i="25" s="1"/>
  <c r="EC177" i="25" s="1"/>
  <c r="EK177" i="25"/>
  <c r="EN177" i="25" s="1"/>
  <c r="EL177" i="25"/>
  <c r="DT177" i="25"/>
  <c r="DV100" i="25"/>
  <c r="DX100" i="25" s="1"/>
  <c r="EC100" i="25" s="1"/>
  <c r="EK100" i="25"/>
  <c r="EN100" i="25" s="1"/>
  <c r="EL100" i="25"/>
  <c r="EB87" i="25"/>
  <c r="EA87" i="25"/>
  <c r="DV154" i="25"/>
  <c r="EL154" i="25"/>
  <c r="EK154" i="25"/>
  <c r="EN154" i="25" s="1"/>
  <c r="DT154" i="25"/>
  <c r="EY154" i="25"/>
  <c r="EJ154" i="25"/>
  <c r="FA154" i="25"/>
  <c r="DV82" i="25"/>
  <c r="EL82" i="25"/>
  <c r="EK82" i="25"/>
  <c r="EN82" i="25" s="1"/>
  <c r="DT82" i="25"/>
  <c r="FA82" i="25"/>
  <c r="EY82" i="25"/>
  <c r="EJ82" i="25"/>
  <c r="DV281" i="25"/>
  <c r="DT281" i="25"/>
  <c r="DV288" i="25"/>
  <c r="DT288" i="25"/>
  <c r="EB129" i="25"/>
  <c r="EA129" i="25"/>
  <c r="DV15" i="25"/>
  <c r="DX15" i="25" s="1"/>
  <c r="EC15" i="25" s="1"/>
  <c r="EK15" i="25"/>
  <c r="EN15" i="25" s="1"/>
  <c r="EL15" i="25"/>
  <c r="DT15" i="25"/>
  <c r="EB47" i="25"/>
  <c r="EA47" i="25"/>
  <c r="DV133" i="25"/>
  <c r="EK133" i="25"/>
  <c r="EN133" i="25" s="1"/>
  <c r="EL133" i="25"/>
  <c r="DT133" i="25"/>
  <c r="EJ133" i="25"/>
  <c r="EY133" i="25"/>
  <c r="FA133" i="25"/>
  <c r="DV239" i="25"/>
  <c r="DT239" i="25"/>
  <c r="EJ156" i="25"/>
  <c r="EJ90" i="25"/>
  <c r="DV76" i="25"/>
  <c r="EK76" i="25"/>
  <c r="EN76" i="25" s="1"/>
  <c r="EL76" i="25"/>
  <c r="DT76" i="25"/>
  <c r="FA76" i="25"/>
  <c r="EJ76" i="25"/>
  <c r="EY76" i="25"/>
  <c r="DV284" i="25"/>
  <c r="DT284" i="25"/>
  <c r="DV7" i="25"/>
  <c r="EK7" i="25"/>
  <c r="EN7" i="25" s="1"/>
  <c r="EL7" i="25"/>
  <c r="DT7" i="25"/>
  <c r="EJ7" i="25"/>
  <c r="EY7" i="25"/>
  <c r="FA7" i="25"/>
  <c r="DV197" i="25"/>
  <c r="EL197" i="25"/>
  <c r="EK197" i="25"/>
  <c r="EN197" i="25" s="1"/>
  <c r="FA197" i="25"/>
  <c r="EY197" i="25"/>
  <c r="EJ197" i="25"/>
  <c r="DV196" i="25"/>
  <c r="EL196" i="25"/>
  <c r="EK196" i="25"/>
  <c r="EN196" i="25" s="1"/>
  <c r="EY196" i="25"/>
  <c r="FA196" i="25"/>
  <c r="EJ196" i="25"/>
  <c r="DV88" i="25"/>
  <c r="DX88" i="25" s="1"/>
  <c r="EC88" i="25" s="1"/>
  <c r="EK88" i="25"/>
  <c r="EN88" i="25" s="1"/>
  <c r="EL88" i="25"/>
  <c r="DT88" i="25"/>
  <c r="DV240" i="25"/>
  <c r="DT240" i="25"/>
  <c r="EY43" i="25"/>
  <c r="FA126" i="25"/>
  <c r="DX138" i="25"/>
  <c r="EC138" i="25" s="1"/>
  <c r="FA64" i="25"/>
  <c r="EB60" i="25"/>
  <c r="EA60" i="25"/>
  <c r="DV55" i="25"/>
  <c r="EL55" i="25"/>
  <c r="EK55" i="25"/>
  <c r="EN55" i="25" s="1"/>
  <c r="DT55" i="25"/>
  <c r="EY55" i="25"/>
  <c r="EJ55" i="25"/>
  <c r="FA55" i="25"/>
  <c r="DV275" i="25"/>
  <c r="DT275" i="25"/>
  <c r="DV128" i="25"/>
  <c r="DX128" i="25" s="1"/>
  <c r="EC128" i="25" s="1"/>
  <c r="EL128" i="25"/>
  <c r="EK128" i="25"/>
  <c r="EN128" i="25" s="1"/>
  <c r="DT128" i="25"/>
  <c r="DV309" i="25"/>
  <c r="DT309" i="25"/>
  <c r="FA111" i="25"/>
  <c r="DV14" i="25"/>
  <c r="DX14" i="25" s="1"/>
  <c r="EC14" i="25" s="1"/>
  <c r="EK14" i="25"/>
  <c r="EN14" i="25" s="1"/>
  <c r="EL14" i="25"/>
  <c r="DT14" i="25"/>
  <c r="DV79" i="25"/>
  <c r="DX79" i="25" s="1"/>
  <c r="EC79" i="25" s="1"/>
  <c r="EK79" i="25"/>
  <c r="EN79" i="25" s="1"/>
  <c r="EL79" i="25"/>
  <c r="DT79" i="25"/>
  <c r="EB105" i="25"/>
  <c r="EA105" i="25"/>
  <c r="DV274" i="25"/>
  <c r="DT274" i="25"/>
  <c r="EB48" i="25"/>
  <c r="EA48" i="25"/>
  <c r="DV261" i="25"/>
  <c r="DT261" i="25"/>
  <c r="FA13" i="25"/>
  <c r="EY177" i="25"/>
  <c r="EB49" i="25"/>
  <c r="EA49" i="25"/>
  <c r="FA65" i="25"/>
  <c r="EB29" i="25"/>
  <c r="EA29" i="25"/>
  <c r="FA77" i="25"/>
  <c r="DV314" i="25"/>
  <c r="DT314" i="25"/>
  <c r="DV62" i="25"/>
  <c r="EK62" i="25"/>
  <c r="EN62" i="25" s="1"/>
  <c r="EL62" i="25"/>
  <c r="DT62" i="25"/>
  <c r="FA62" i="25"/>
  <c r="EY62" i="25"/>
  <c r="EJ62" i="25"/>
  <c r="FA96" i="25"/>
  <c r="EB88" i="25"/>
  <c r="EA88" i="25"/>
  <c r="DV48" i="25"/>
  <c r="DX48" i="25" s="1"/>
  <c r="EC48" i="25" s="1"/>
  <c r="EK48" i="25"/>
  <c r="EN48" i="25" s="1"/>
  <c r="EL48" i="25"/>
  <c r="DT48" i="25"/>
  <c r="DV302" i="25"/>
  <c r="DT302" i="25"/>
  <c r="DV16" i="25"/>
  <c r="EL16" i="25"/>
  <c r="EK16" i="25"/>
  <c r="EN16" i="25" s="1"/>
  <c r="DT16" i="25"/>
  <c r="FA16" i="25"/>
  <c r="EY16" i="25"/>
  <c r="EJ16" i="25"/>
  <c r="DV110" i="25"/>
  <c r="EL110" i="25"/>
  <c r="EK110" i="25"/>
  <c r="EN110" i="25" s="1"/>
  <c r="DT110" i="25"/>
  <c r="FA110" i="25"/>
  <c r="EY110" i="25"/>
  <c r="EJ110" i="25"/>
  <c r="EJ171" i="25"/>
  <c r="EJ185" i="25"/>
  <c r="EJ89" i="25"/>
  <c r="EJ51" i="25"/>
  <c r="FA178" i="25"/>
  <c r="EB103" i="25"/>
  <c r="EA103" i="25"/>
  <c r="FA95" i="25"/>
  <c r="EY131" i="25"/>
  <c r="DV241" i="25"/>
  <c r="DT241" i="25"/>
  <c r="DV263" i="25"/>
  <c r="DT263" i="25"/>
  <c r="DV227" i="25"/>
  <c r="DT227" i="25"/>
  <c r="EB74" i="25"/>
  <c r="EA74" i="25"/>
  <c r="DV32" i="25"/>
  <c r="EL32" i="25"/>
  <c r="EK32" i="25"/>
  <c r="EN32" i="25" s="1"/>
  <c r="DT32" i="25"/>
  <c r="EY32" i="25"/>
  <c r="FA32" i="25"/>
  <c r="EJ32" i="25"/>
  <c r="DV289" i="25"/>
  <c r="DT289" i="25"/>
  <c r="EB98" i="25"/>
  <c r="EA98" i="25"/>
  <c r="EB81" i="25"/>
  <c r="EA81" i="25"/>
  <c r="DV306" i="25"/>
  <c r="DT306" i="25"/>
  <c r="DV54" i="25"/>
  <c r="EK54" i="25"/>
  <c r="EN54" i="25" s="1"/>
  <c r="EL54" i="25"/>
  <c r="DT54" i="25"/>
  <c r="EY54" i="25"/>
  <c r="EJ54" i="25"/>
  <c r="FA54" i="25"/>
  <c r="DV145" i="25"/>
  <c r="DX145" i="25" s="1"/>
  <c r="EC145" i="25" s="1"/>
  <c r="EL145" i="25"/>
  <c r="EK145" i="25"/>
  <c r="EN145" i="25" s="1"/>
  <c r="DT145" i="25"/>
  <c r="DV232" i="25"/>
  <c r="DT232" i="25"/>
  <c r="DV270" i="25"/>
  <c r="DT270" i="25"/>
  <c r="DV45" i="25"/>
  <c r="DX45" i="25" s="1"/>
  <c r="EC45" i="25" s="1"/>
  <c r="EL45" i="25"/>
  <c r="EK45" i="25"/>
  <c r="EN45" i="25" s="1"/>
  <c r="DT45" i="25"/>
  <c r="EB86" i="25"/>
  <c r="EA86" i="25"/>
  <c r="EY156" i="25"/>
  <c r="EY90" i="25"/>
  <c r="EB42" i="25"/>
  <c r="EA42" i="25"/>
  <c r="DV42" i="25"/>
  <c r="DX42" i="25" s="1"/>
  <c r="EC42" i="25" s="1"/>
  <c r="EL42" i="25"/>
  <c r="EK42" i="25"/>
  <c r="EN42" i="25" s="1"/>
  <c r="DT42" i="25"/>
  <c r="DV60" i="25"/>
  <c r="DX60" i="25" s="1"/>
  <c r="EC60" i="25" s="1"/>
  <c r="EK60" i="25"/>
  <c r="EN60" i="25" s="1"/>
  <c r="EL60" i="25"/>
  <c r="DT60" i="25"/>
  <c r="DV9" i="25"/>
  <c r="DX9" i="25" s="1"/>
  <c r="EC9" i="25" s="1"/>
  <c r="EK9" i="25"/>
  <c r="EN9" i="25" s="1"/>
  <c r="EL9" i="25"/>
  <c r="DT9" i="25"/>
  <c r="DV149" i="25"/>
  <c r="EL149" i="25"/>
  <c r="EK149" i="25"/>
  <c r="EN149" i="25" s="1"/>
  <c r="DT149" i="25"/>
  <c r="FA149" i="25"/>
  <c r="EY149" i="25"/>
  <c r="EJ149" i="25"/>
  <c r="DV41" i="25"/>
  <c r="EL41" i="25"/>
  <c r="EK41" i="25"/>
  <c r="EN41" i="25" s="1"/>
  <c r="DT41" i="25"/>
  <c r="FA41" i="25"/>
  <c r="EJ41" i="25"/>
  <c r="EY41" i="25"/>
  <c r="EJ37" i="25"/>
  <c r="DV11" i="25"/>
  <c r="EK11" i="25"/>
  <c r="EN11" i="25" s="1"/>
  <c r="EL11" i="25"/>
  <c r="DT11" i="25"/>
  <c r="EY11" i="25"/>
  <c r="FA11" i="25"/>
  <c r="EJ11" i="25"/>
  <c r="EJ179" i="25"/>
  <c r="EY64" i="25"/>
  <c r="FA60" i="25"/>
  <c r="DV276" i="25"/>
  <c r="DT276" i="25"/>
  <c r="DV225" i="25"/>
  <c r="DT225" i="25"/>
  <c r="EB157" i="25"/>
  <c r="EA157" i="25"/>
  <c r="DV68" i="25"/>
  <c r="EK68" i="25"/>
  <c r="EN68" i="25" s="1"/>
  <c r="EL68" i="25"/>
  <c r="DT68" i="25"/>
  <c r="EJ68" i="25"/>
  <c r="FA68" i="25"/>
  <c r="EY68" i="25"/>
  <c r="EY111" i="25"/>
  <c r="DV209" i="25"/>
  <c r="EK209" i="25"/>
  <c r="EN209" i="25" s="1"/>
  <c r="EL209" i="25"/>
  <c r="EJ209" i="25"/>
  <c r="EY209" i="25"/>
  <c r="FA209" i="25"/>
  <c r="DV210" i="25"/>
  <c r="DX210" i="25" s="1"/>
  <c r="EC210" i="25" s="1"/>
  <c r="EK210" i="25"/>
  <c r="EN210" i="25" s="1"/>
  <c r="EL210" i="25"/>
  <c r="FA145" i="25"/>
  <c r="DV99" i="25"/>
  <c r="DX99" i="25" s="1"/>
  <c r="EC99" i="25" s="1"/>
  <c r="EL99" i="25"/>
  <c r="EK99" i="25"/>
  <c r="EN99" i="25" s="1"/>
  <c r="EB13" i="25"/>
  <c r="EA13" i="25"/>
  <c r="EB177" i="25"/>
  <c r="EA177" i="25"/>
  <c r="EB122" i="25"/>
  <c r="EA122" i="25"/>
  <c r="DV10" i="25"/>
  <c r="EK10" i="25"/>
  <c r="EN10" i="25" s="1"/>
  <c r="EL10" i="25"/>
  <c r="DT10" i="25"/>
  <c r="FA10" i="25"/>
  <c r="EY10" i="25"/>
  <c r="EJ10" i="25"/>
  <c r="EJ77" i="25"/>
  <c r="DV246" i="25"/>
  <c r="DT246" i="25"/>
  <c r="EB96" i="25"/>
  <c r="EA96" i="25"/>
  <c r="DV175" i="25"/>
  <c r="DX175" i="25" s="1"/>
  <c r="EC175" i="25" s="1"/>
  <c r="EK175" i="25"/>
  <c r="EN175" i="25" s="1"/>
  <c r="EL175" i="25"/>
  <c r="DT175" i="25"/>
  <c r="DV189" i="25"/>
  <c r="DX189" i="25" s="1"/>
  <c r="EC189" i="25" s="1"/>
  <c r="EK189" i="25"/>
  <c r="EN189" i="25" s="1"/>
  <c r="EL189" i="25"/>
  <c r="DT189" i="25"/>
  <c r="DV265" i="25"/>
  <c r="DT265" i="25"/>
  <c r="EY189" i="25"/>
  <c r="EY185" i="25"/>
  <c r="FA56" i="25"/>
  <c r="FA9" i="25"/>
  <c r="DV148" i="25"/>
  <c r="EL148" i="25"/>
  <c r="EK148" i="25"/>
  <c r="EN148" i="25" s="1"/>
  <c r="DT148" i="25"/>
  <c r="FA148" i="25"/>
  <c r="EY148" i="25"/>
  <c r="EJ148" i="25"/>
  <c r="DV315" i="25"/>
  <c r="DT315" i="25"/>
  <c r="EB178" i="25"/>
  <c r="EA178" i="25"/>
  <c r="DV119" i="25"/>
  <c r="DX119" i="25" s="1"/>
  <c r="EC119" i="25" s="1"/>
  <c r="EL119" i="25"/>
  <c r="EK119" i="25"/>
  <c r="EN119" i="25" s="1"/>
  <c r="DT119" i="25"/>
  <c r="EJ95" i="25"/>
  <c r="DV121" i="25"/>
  <c r="DX121" i="25" s="1"/>
  <c r="EC121" i="25" s="1"/>
  <c r="EL121" i="25"/>
  <c r="EK121" i="25"/>
  <c r="EN121" i="25" s="1"/>
  <c r="DT121" i="25"/>
  <c r="FA131" i="25"/>
  <c r="EB174" i="25"/>
  <c r="EA174" i="25"/>
  <c r="DV296" i="25"/>
  <c r="DT296" i="25"/>
  <c r="DV114" i="25"/>
  <c r="EK114" i="25"/>
  <c r="EN114" i="25" s="1"/>
  <c r="EL114" i="25"/>
  <c r="DT114" i="25"/>
  <c r="FA114" i="25"/>
  <c r="EY114" i="25"/>
  <c r="EJ114" i="25"/>
  <c r="EY132" i="25"/>
  <c r="DV132" i="25"/>
  <c r="EL132" i="25"/>
  <c r="EK132" i="25"/>
  <c r="EN132" i="25" s="1"/>
  <c r="DT132" i="25"/>
  <c r="EJ132" i="25"/>
  <c r="FA132" i="25"/>
  <c r="DV264" i="25"/>
  <c r="DT264" i="25"/>
  <c r="DV89" i="25"/>
  <c r="DX89" i="25" s="1"/>
  <c r="EC89" i="25" s="1"/>
  <c r="EL89" i="25"/>
  <c r="EK89" i="25"/>
  <c r="EN89" i="25" s="1"/>
  <c r="DT89" i="25"/>
  <c r="DV25" i="25"/>
  <c r="DX25" i="25" s="1"/>
  <c r="EC25" i="25" s="1"/>
  <c r="EK25" i="25"/>
  <c r="EN25" i="25" s="1"/>
  <c r="EL25" i="25"/>
  <c r="DT25" i="25"/>
  <c r="EB136" i="25"/>
  <c r="EA136" i="25"/>
  <c r="DV161" i="25"/>
  <c r="EK161" i="25"/>
  <c r="EN161" i="25" s="1"/>
  <c r="EL161" i="25"/>
  <c r="DT161" i="25"/>
  <c r="EJ161" i="25"/>
  <c r="FA161" i="25"/>
  <c r="EY161" i="25"/>
  <c r="EB99" i="25"/>
  <c r="EA99" i="25"/>
  <c r="DV277" i="25"/>
  <c r="DT277" i="25"/>
  <c r="DV65" i="25"/>
  <c r="DX65" i="25" s="1"/>
  <c r="EC65" i="25" s="1"/>
  <c r="EK65" i="25"/>
  <c r="EN65" i="25" s="1"/>
  <c r="EL65" i="25"/>
  <c r="DT65" i="25"/>
  <c r="DV91" i="25"/>
  <c r="DX91" i="25" s="1"/>
  <c r="EC91" i="25" s="1"/>
  <c r="EK91" i="25"/>
  <c r="EN91" i="25" s="1"/>
  <c r="EL91" i="25"/>
  <c r="DV172" i="25"/>
  <c r="EL172" i="25"/>
  <c r="EK172" i="25"/>
  <c r="EN172" i="25" s="1"/>
  <c r="DT172" i="25"/>
  <c r="EJ172" i="25"/>
  <c r="FA172" i="25"/>
  <c r="EY172" i="25"/>
  <c r="DV260" i="25"/>
  <c r="DT260" i="25"/>
  <c r="DV125" i="25"/>
  <c r="EL125" i="25"/>
  <c r="EK125" i="25"/>
  <c r="EN125" i="25" s="1"/>
  <c r="DT125" i="25"/>
  <c r="FA125" i="25"/>
  <c r="EY125" i="25"/>
  <c r="EJ125" i="25"/>
  <c r="EB156" i="25"/>
  <c r="EA156" i="25"/>
  <c r="EB90" i="25"/>
  <c r="EA90" i="25"/>
  <c r="DV190" i="25"/>
  <c r="DX190" i="25" s="1"/>
  <c r="EC190" i="25" s="1"/>
  <c r="EL190" i="25"/>
  <c r="EK190" i="25"/>
  <c r="EN190" i="25" s="1"/>
  <c r="DT190" i="25"/>
  <c r="DV238" i="25"/>
  <c r="DT238" i="25"/>
  <c r="DV176" i="25"/>
  <c r="EK176" i="25"/>
  <c r="EN176" i="25" s="1"/>
  <c r="EL176" i="25"/>
  <c r="DT176" i="25"/>
  <c r="EY176" i="25"/>
  <c r="EJ176" i="25"/>
  <c r="FA176" i="25"/>
  <c r="DV155" i="25"/>
  <c r="EK155" i="25"/>
  <c r="EN155" i="25" s="1"/>
  <c r="EL155" i="25"/>
  <c r="DT155" i="25"/>
  <c r="FA155" i="25"/>
  <c r="EY155" i="25"/>
  <c r="EJ155" i="25"/>
  <c r="DV12" i="25"/>
  <c r="DX12" i="25" s="1"/>
  <c r="EC12" i="25" s="1"/>
  <c r="EL12" i="25"/>
  <c r="EK12" i="25"/>
  <c r="EN12" i="25" s="1"/>
  <c r="DT12" i="25"/>
  <c r="EY37" i="25"/>
  <c r="EB194" i="25"/>
  <c r="EA194" i="25"/>
  <c r="EB181" i="25"/>
  <c r="EA181" i="25"/>
  <c r="EB126" i="25"/>
  <c r="EA126" i="25"/>
  <c r="DV252" i="25"/>
  <c r="DT252" i="25"/>
  <c r="EB64" i="25"/>
  <c r="EA64" i="25"/>
  <c r="FA142" i="25"/>
  <c r="DV142" i="25"/>
  <c r="EK142" i="25"/>
  <c r="EN142" i="25" s="1"/>
  <c r="EL142" i="25"/>
  <c r="DT142" i="25"/>
  <c r="EJ142" i="25"/>
  <c r="EY142" i="25"/>
  <c r="DV36" i="25"/>
  <c r="EK36" i="25"/>
  <c r="EN36" i="25" s="1"/>
  <c r="EL36" i="25"/>
  <c r="DT36" i="25"/>
  <c r="EY36" i="25"/>
  <c r="EJ36" i="25"/>
  <c r="FA36" i="25"/>
  <c r="DV51" i="25"/>
  <c r="DX51" i="25" s="1"/>
  <c r="EC51" i="25" s="1"/>
  <c r="EL51" i="25"/>
  <c r="EK51" i="25"/>
  <c r="EN51" i="25" s="1"/>
  <c r="DT51" i="25"/>
  <c r="EB111" i="25"/>
  <c r="EA111" i="25"/>
  <c r="DV39" i="25"/>
  <c r="EK39" i="25"/>
  <c r="EN39" i="25" s="1"/>
  <c r="EL39" i="25"/>
  <c r="DT39" i="25"/>
  <c r="FA39" i="25"/>
  <c r="EY39" i="25"/>
  <c r="EJ39" i="25"/>
  <c r="EY190" i="25"/>
  <c r="DV273" i="25"/>
  <c r="DT273" i="25"/>
  <c r="EB145" i="25"/>
  <c r="EA145" i="25"/>
  <c r="FA12" i="25"/>
  <c r="EB65" i="25"/>
  <c r="EA65" i="25"/>
  <c r="EY77" i="25"/>
  <c r="DV221" i="25"/>
  <c r="DT221" i="25"/>
  <c r="DV105" i="25"/>
  <c r="DX105" i="25" s="1"/>
  <c r="EC105" i="25" s="1"/>
  <c r="EK105" i="25"/>
  <c r="EN105" i="25" s="1"/>
  <c r="EL105" i="25"/>
  <c r="DV163" i="25"/>
  <c r="EL163" i="25"/>
  <c r="EK163" i="25"/>
  <c r="EN163" i="25" s="1"/>
  <c r="DT163" i="25"/>
  <c r="FA163" i="25"/>
  <c r="EY163" i="25"/>
  <c r="EJ163" i="25"/>
  <c r="DV20" i="25"/>
  <c r="EL20" i="25"/>
  <c r="EK20" i="25"/>
  <c r="EN20" i="25" s="1"/>
  <c r="DT20" i="25"/>
  <c r="EY20" i="25"/>
  <c r="EJ20" i="25"/>
  <c r="FA20" i="25"/>
  <c r="EJ189" i="25"/>
  <c r="DV174" i="25"/>
  <c r="DX174" i="25" s="1"/>
  <c r="EC174" i="25" s="1"/>
  <c r="EL174" i="25"/>
  <c r="EK174" i="25"/>
  <c r="EN174" i="25" s="1"/>
  <c r="DT174" i="25"/>
  <c r="EB185" i="25"/>
  <c r="EA185" i="25"/>
  <c r="EJ45" i="25"/>
  <c r="EJ56" i="25"/>
  <c r="EJ9" i="25"/>
  <c r="DV286" i="25"/>
  <c r="DT286" i="25"/>
  <c r="DV85" i="25"/>
  <c r="EK85" i="25"/>
  <c r="EN85" i="25" s="1"/>
  <c r="EL85" i="25"/>
  <c r="DT85" i="25"/>
  <c r="EJ85" i="25"/>
  <c r="FA85" i="25"/>
  <c r="EY85" i="25"/>
  <c r="EB89" i="25"/>
  <c r="EA89" i="25"/>
  <c r="FA51" i="25"/>
  <c r="DV244" i="25"/>
  <c r="DT244" i="25"/>
  <c r="EB95" i="25"/>
  <c r="EA95" i="25"/>
  <c r="EB180" i="25"/>
  <c r="EA180" i="25"/>
  <c r="EB131" i="25"/>
  <c r="EA131" i="25"/>
  <c r="DV310" i="25"/>
  <c r="DT310" i="25"/>
  <c r="DV305" i="25"/>
  <c r="DT305" i="25"/>
  <c r="DV92" i="25"/>
  <c r="DX92" i="25" s="1"/>
  <c r="EC92" i="25" s="1"/>
  <c r="EK92" i="25"/>
  <c r="EN92" i="25" s="1"/>
  <c r="EL92" i="25"/>
  <c r="EB24" i="25"/>
  <c r="EA24" i="25"/>
  <c r="DV222" i="25"/>
  <c r="DT222" i="25"/>
  <c r="DV6" i="25"/>
  <c r="EK6" i="25"/>
  <c r="EN6" i="25" s="1"/>
  <c r="EL6" i="25"/>
  <c r="DT6" i="25"/>
  <c r="EY6" i="25"/>
  <c r="EJ6" i="25"/>
  <c r="FA6" i="25"/>
  <c r="DV179" i="25"/>
  <c r="DX179" i="25" s="1"/>
  <c r="EC179" i="25" s="1"/>
  <c r="EK179" i="25"/>
  <c r="EN179" i="25" s="1"/>
  <c r="EL179" i="25"/>
  <c r="DT179" i="25"/>
  <c r="EB14" i="25"/>
  <c r="EA14" i="25"/>
  <c r="EB43" i="25"/>
  <c r="EA43" i="25"/>
  <c r="DV293" i="25"/>
  <c r="DT293" i="25"/>
  <c r="FA179" i="25"/>
  <c r="DV66" i="25"/>
  <c r="DX66" i="25" s="1"/>
  <c r="EC66" i="25" s="1"/>
  <c r="EL66" i="25"/>
  <c r="EK66" i="25"/>
  <c r="EN66" i="25" s="1"/>
  <c r="DT66" i="25"/>
  <c r="DV19" i="25"/>
  <c r="EK19" i="25"/>
  <c r="EN19" i="25" s="1"/>
  <c r="EL19" i="25"/>
  <c r="DT19" i="25"/>
  <c r="EJ19" i="25"/>
  <c r="FA19" i="25"/>
  <c r="EY19" i="25"/>
  <c r="FA66" i="25"/>
  <c r="EB128" i="25"/>
  <c r="EA128" i="25"/>
  <c r="DV87" i="25"/>
  <c r="DX87" i="25" s="1"/>
  <c r="EC87" i="25" s="1"/>
  <c r="EL87" i="25"/>
  <c r="EK87" i="25"/>
  <c r="EN87" i="25" s="1"/>
  <c r="DT87" i="25"/>
  <c r="DV84" i="25"/>
  <c r="EK84" i="25"/>
  <c r="EN84" i="25" s="1"/>
  <c r="EL84" i="25"/>
  <c r="DT84" i="25"/>
  <c r="FA84" i="25"/>
  <c r="EJ84" i="25"/>
  <c r="EY84" i="25"/>
  <c r="DV256" i="25"/>
  <c r="DT256" i="25"/>
  <c r="DV271" i="25"/>
  <c r="DT271" i="25"/>
  <c r="EB121" i="25"/>
  <c r="EA121" i="25"/>
  <c r="DV120" i="25"/>
  <c r="EL120" i="25"/>
  <c r="EK120" i="25"/>
  <c r="EN120" i="25" s="1"/>
  <c r="DT120" i="25"/>
  <c r="EY120" i="25"/>
  <c r="FA120" i="25"/>
  <c r="EJ120" i="25"/>
  <c r="DV201" i="25"/>
  <c r="EL201" i="25"/>
  <c r="EK201" i="25"/>
  <c r="EN201" i="25" s="1"/>
  <c r="EY201" i="25"/>
  <c r="EJ201" i="25"/>
  <c r="FA201" i="25"/>
  <c r="DV243" i="25"/>
  <c r="DT243" i="25"/>
  <c r="EB77" i="25"/>
  <c r="EA77" i="25"/>
  <c r="DV150" i="25"/>
  <c r="EK150" i="25"/>
  <c r="EN150" i="25" s="1"/>
  <c r="EL150" i="25"/>
  <c r="DT150" i="25"/>
  <c r="FA150" i="25"/>
  <c r="EY150" i="25"/>
  <c r="EJ150" i="25"/>
  <c r="DV259" i="25"/>
  <c r="DT259" i="25"/>
  <c r="DV157" i="25"/>
  <c r="DX157" i="25" s="1"/>
  <c r="EC157" i="25" s="1"/>
  <c r="EK157" i="25"/>
  <c r="EN157" i="25" s="1"/>
  <c r="EL157" i="25"/>
  <c r="DT157" i="25"/>
  <c r="DV126" i="25"/>
  <c r="DX126" i="25" s="1"/>
  <c r="EC126" i="25" s="1"/>
  <c r="EK126" i="25"/>
  <c r="EN126" i="25" s="1"/>
  <c r="EL126" i="25"/>
  <c r="DT126" i="25"/>
  <c r="EJ113" i="25"/>
  <c r="DV113" i="25"/>
  <c r="EK113" i="25"/>
  <c r="EN113" i="25" s="1"/>
  <c r="EL113" i="25"/>
  <c r="DT113" i="25"/>
  <c r="FA113" i="25"/>
  <c r="EY113" i="25"/>
  <c r="EB171" i="25"/>
  <c r="EA171" i="25"/>
  <c r="DV139" i="25"/>
  <c r="DX139" i="25" s="1"/>
  <c r="EC139" i="25" s="1"/>
  <c r="EL139" i="25"/>
  <c r="EK139" i="25"/>
  <c r="EN139" i="25" s="1"/>
  <c r="DT139" i="25"/>
  <c r="FA45" i="25"/>
  <c r="EY56" i="25"/>
  <c r="EY9" i="25"/>
  <c r="DV13" i="25"/>
  <c r="DX13" i="25" s="1"/>
  <c r="EC13" i="25" s="1"/>
  <c r="EK13" i="25"/>
  <c r="EN13" i="25" s="1"/>
  <c r="EL13" i="25"/>
  <c r="DT13" i="25"/>
  <c r="EB51" i="25"/>
  <c r="EA51" i="25"/>
  <c r="DV299" i="25"/>
  <c r="DT299" i="25"/>
  <c r="DV224" i="25"/>
  <c r="DT224" i="25"/>
  <c r="DV43" i="25"/>
  <c r="DX43" i="25" s="1"/>
  <c r="EC43" i="25" s="1"/>
  <c r="EK43" i="25"/>
  <c r="EN43" i="25" s="1"/>
  <c r="EL43" i="25"/>
  <c r="DT43" i="25"/>
  <c r="DV266" i="25"/>
  <c r="DT266" i="25"/>
  <c r="EB97" i="25"/>
  <c r="EA97" i="25"/>
  <c r="DV28" i="25"/>
  <c r="EL28" i="25"/>
  <c r="EK28" i="25"/>
  <c r="EN28" i="25" s="1"/>
  <c r="DT28" i="25"/>
  <c r="EY28" i="25"/>
  <c r="EJ28" i="25"/>
  <c r="FA28" i="25"/>
  <c r="DV208" i="25"/>
  <c r="DX208" i="25" s="1"/>
  <c r="EC208" i="25" s="1"/>
  <c r="EL208" i="25"/>
  <c r="EK208" i="25"/>
  <c r="EN208" i="25" s="1"/>
  <c r="DV167" i="25"/>
  <c r="EK167" i="25"/>
  <c r="EN167" i="25" s="1"/>
  <c r="EL167" i="25"/>
  <c r="DT167" i="25"/>
  <c r="FA167" i="25"/>
  <c r="EY167" i="25"/>
  <c r="EJ167" i="25"/>
  <c r="DV205" i="25"/>
  <c r="EL205" i="25"/>
  <c r="EK205" i="25"/>
  <c r="EN205" i="25" s="1"/>
  <c r="EJ205" i="25"/>
  <c r="FA205" i="25"/>
  <c r="EY205" i="25"/>
  <c r="DV294" i="25"/>
  <c r="DT294" i="25"/>
  <c r="DY138" i="25"/>
  <c r="EB138" i="25"/>
  <c r="EA138" i="25"/>
  <c r="DV50" i="25"/>
  <c r="EL50" i="25"/>
  <c r="EK50" i="25"/>
  <c r="EN50" i="25" s="1"/>
  <c r="DT50" i="25"/>
  <c r="EJ50" i="25"/>
  <c r="FA50" i="25"/>
  <c r="EY50" i="25"/>
  <c r="DV122" i="25"/>
  <c r="DX122" i="25" s="1"/>
  <c r="EC122" i="25" s="1"/>
  <c r="EL122" i="25"/>
  <c r="EK122" i="25"/>
  <c r="EN122" i="25" s="1"/>
  <c r="DT122" i="25"/>
  <c r="DV134" i="25"/>
  <c r="EL134" i="25"/>
  <c r="EK134" i="25"/>
  <c r="EN134" i="25" s="1"/>
  <c r="DT134" i="25"/>
  <c r="FA134" i="25"/>
  <c r="EY134" i="25"/>
  <c r="EJ134" i="25"/>
  <c r="EB37" i="25"/>
  <c r="EA37" i="25"/>
  <c r="DV250" i="25"/>
  <c r="DT250" i="25"/>
  <c r="EY29" i="25"/>
  <c r="DV29" i="25"/>
  <c r="DX29" i="25" s="1"/>
  <c r="EC29" i="25" s="1"/>
  <c r="EK29" i="25"/>
  <c r="EN29" i="25" s="1"/>
  <c r="EL29" i="25"/>
  <c r="DT29" i="25"/>
  <c r="EB179" i="25"/>
  <c r="EA179" i="25"/>
  <c r="EJ66" i="25"/>
  <c r="DV300" i="25"/>
  <c r="DT300" i="25"/>
  <c r="DV67" i="25"/>
  <c r="EK67" i="25"/>
  <c r="EN67" i="25" s="1"/>
  <c r="EL67" i="25"/>
  <c r="DT67" i="25"/>
  <c r="FA67" i="25"/>
  <c r="EY67" i="25"/>
  <c r="EJ67" i="25"/>
  <c r="DV195" i="25"/>
  <c r="EK195" i="25"/>
  <c r="EN195" i="25" s="1"/>
  <c r="EL195" i="25"/>
  <c r="EY195" i="25"/>
  <c r="FA195" i="25"/>
  <c r="EJ195" i="25"/>
  <c r="DV200" i="25"/>
  <c r="DX200" i="25" s="1"/>
  <c r="EC200" i="25" s="1"/>
  <c r="EK200" i="25"/>
  <c r="EN200" i="25" s="1"/>
  <c r="EL200" i="25"/>
  <c r="EB23" i="25"/>
  <c r="EA23" i="25"/>
  <c r="DV285" i="25"/>
  <c r="DT285" i="25"/>
  <c r="DV152" i="25"/>
  <c r="EL152" i="25"/>
  <c r="EK152" i="25"/>
  <c r="EN152" i="25" s="1"/>
  <c r="DT152" i="25"/>
  <c r="EJ152" i="25"/>
  <c r="FA152" i="25"/>
  <c r="EY152" i="25"/>
  <c r="FA80" i="25"/>
  <c r="DV247" i="25"/>
  <c r="DT247" i="25"/>
  <c r="DV140" i="25"/>
  <c r="EK140" i="25"/>
  <c r="EN140" i="25" s="1"/>
  <c r="EL140" i="25"/>
  <c r="DT140" i="25"/>
  <c r="EJ140" i="25"/>
  <c r="EY140" i="25"/>
  <c r="FA140" i="25"/>
  <c r="EB189" i="25"/>
  <c r="EA189" i="25"/>
  <c r="DV268" i="25"/>
  <c r="DT268" i="25"/>
  <c r="EY45" i="25"/>
  <c r="EB56" i="25"/>
  <c r="EA56" i="25"/>
  <c r="DV116" i="25"/>
  <c r="EL116" i="25"/>
  <c r="EK116" i="25"/>
  <c r="EN116" i="25" s="1"/>
  <c r="DT116" i="25"/>
  <c r="EY116" i="25"/>
  <c r="EJ116" i="25"/>
  <c r="FA116" i="25"/>
  <c r="EB9" i="25"/>
  <c r="EA9" i="25"/>
  <c r="DV151" i="25"/>
  <c r="EL151" i="25"/>
  <c r="EK151" i="25"/>
  <c r="EN151" i="25" s="1"/>
  <c r="DT151" i="25"/>
  <c r="EJ151" i="25"/>
  <c r="FA151" i="25"/>
  <c r="EY151" i="25"/>
  <c r="EJ91" i="25"/>
  <c r="DV75" i="25"/>
  <c r="EK75" i="25"/>
  <c r="EN75" i="25" s="1"/>
  <c r="EL75" i="25"/>
  <c r="DT75" i="25"/>
  <c r="EJ75" i="25"/>
  <c r="EY75" i="25"/>
  <c r="FA75" i="25"/>
  <c r="DV272" i="25"/>
  <c r="DT272" i="25"/>
  <c r="EY200" i="25"/>
  <c r="DZ15" i="24"/>
  <c r="DZ58" i="24"/>
  <c r="DX31" i="24"/>
  <c r="EE31" i="24" s="1"/>
  <c r="DR285" i="24"/>
  <c r="EB285" i="24" s="1"/>
  <c r="DO169" i="24"/>
  <c r="DO88" i="24"/>
  <c r="DO295" i="24"/>
  <c r="DR295" i="24"/>
  <c r="DO204" i="24"/>
  <c r="DR204" i="24"/>
  <c r="DU204" i="24" s="1"/>
  <c r="DO115" i="24"/>
  <c r="DR115" i="24"/>
  <c r="DU115" i="24" s="1"/>
  <c r="DO141" i="24"/>
  <c r="DR141" i="24"/>
  <c r="DU141" i="24" s="1"/>
  <c r="DR100" i="24"/>
  <c r="DO100" i="24"/>
  <c r="DO145" i="24"/>
  <c r="DR145" i="24"/>
  <c r="DU145" i="24" s="1"/>
  <c r="EE188" i="24"/>
  <c r="DO257" i="24"/>
  <c r="DR257" i="24"/>
  <c r="DO39" i="24"/>
  <c r="DR288" i="24"/>
  <c r="FA288" i="24" s="1"/>
  <c r="DO288" i="24"/>
  <c r="DR44" i="24"/>
  <c r="DO44" i="24"/>
  <c r="DO275" i="24"/>
  <c r="DR275" i="24"/>
  <c r="DR56" i="24"/>
  <c r="DO56" i="24"/>
  <c r="EE205" i="24"/>
  <c r="DO126" i="24"/>
  <c r="DR126" i="24"/>
  <c r="DU126" i="24" s="1"/>
  <c r="DO28" i="24"/>
  <c r="DR28" i="24"/>
  <c r="EE163" i="24"/>
  <c r="DZ39" i="24"/>
  <c r="DX39" i="24"/>
  <c r="EE130" i="24"/>
  <c r="EE131" i="24"/>
  <c r="DR70" i="24"/>
  <c r="DO70" i="24"/>
  <c r="EE119" i="24"/>
  <c r="EE189" i="24"/>
  <c r="DO244" i="24"/>
  <c r="DR244" i="24"/>
  <c r="DO35" i="24"/>
  <c r="DR35" i="24"/>
  <c r="DR112" i="24"/>
  <c r="DU112" i="24" s="1"/>
  <c r="DO112" i="24"/>
  <c r="DO313" i="24"/>
  <c r="DR313" i="24"/>
  <c r="EE69" i="24"/>
  <c r="DR6" i="24"/>
  <c r="DO6" i="24"/>
  <c r="DO173" i="24"/>
  <c r="DR173" i="24"/>
  <c r="DU173" i="24" s="1"/>
  <c r="DX126" i="24"/>
  <c r="DO231" i="24"/>
  <c r="DR231" i="24"/>
  <c r="EE210" i="24"/>
  <c r="DO66" i="24"/>
  <c r="DR66" i="24"/>
  <c r="DR304" i="24"/>
  <c r="EB304" i="24" s="1"/>
  <c r="DO304" i="24"/>
  <c r="DR276" i="24"/>
  <c r="DO276" i="24"/>
  <c r="EE141" i="24"/>
  <c r="DR208" i="24"/>
  <c r="DU208" i="24" s="1"/>
  <c r="DO208" i="24"/>
  <c r="DR168" i="24"/>
  <c r="DU168" i="24" s="1"/>
  <c r="DO168" i="24"/>
  <c r="EE148" i="24"/>
  <c r="DO20" i="24"/>
  <c r="DR20" i="24"/>
  <c r="EE146" i="24"/>
  <c r="EE74" i="24"/>
  <c r="DR220" i="24"/>
  <c r="DO220" i="24"/>
  <c r="EE59" i="24"/>
  <c r="DR259" i="24"/>
  <c r="FA259" i="24" s="1"/>
  <c r="DO259" i="24"/>
  <c r="DX133" i="24"/>
  <c r="EE115" i="24"/>
  <c r="DR227" i="24"/>
  <c r="DO227" i="24"/>
  <c r="DO24" i="24"/>
  <c r="DR24" i="24"/>
  <c r="DO267" i="24"/>
  <c r="DR267" i="24"/>
  <c r="FA267" i="24" s="1"/>
  <c r="EE82" i="24"/>
  <c r="DX129" i="24"/>
  <c r="DX53" i="24"/>
  <c r="DZ53" i="24"/>
  <c r="DR283" i="24"/>
  <c r="EY283" i="24" s="1"/>
  <c r="DO283" i="24"/>
  <c r="DO91" i="24"/>
  <c r="DR91" i="24"/>
  <c r="DR146" i="24"/>
  <c r="DU146" i="24" s="1"/>
  <c r="DO146" i="24"/>
  <c r="EE166" i="24"/>
  <c r="DO119" i="24"/>
  <c r="DR119" i="24"/>
  <c r="DU119" i="24" s="1"/>
  <c r="DR299" i="24"/>
  <c r="EY299" i="24" s="1"/>
  <c r="DO299" i="24"/>
  <c r="DR21" i="24"/>
  <c r="DO21" i="24"/>
  <c r="EE196" i="24"/>
  <c r="DO210" i="24"/>
  <c r="DR210" i="24"/>
  <c r="DU210" i="24" s="1"/>
  <c r="EE66" i="24"/>
  <c r="DO238" i="24"/>
  <c r="DR238" i="24"/>
  <c r="FA238" i="24" s="1"/>
  <c r="EE204" i="24"/>
  <c r="DX199" i="24"/>
  <c r="DO11" i="24"/>
  <c r="DR11" i="24"/>
  <c r="DO197" i="24"/>
  <c r="DR197" i="24"/>
  <c r="DU197" i="24" s="1"/>
  <c r="DO290" i="24"/>
  <c r="DR290" i="24"/>
  <c r="DR151" i="24"/>
  <c r="DU151" i="24" s="1"/>
  <c r="DO151" i="24"/>
  <c r="EE194" i="24"/>
  <c r="DZ80" i="24"/>
  <c r="DX80" i="24"/>
  <c r="EE6" i="24"/>
  <c r="DO103" i="24"/>
  <c r="DR103" i="24"/>
  <c r="DX155" i="24"/>
  <c r="DO271" i="24"/>
  <c r="DR271" i="24"/>
  <c r="EE84" i="24"/>
  <c r="DO188" i="24"/>
  <c r="DR188" i="24"/>
  <c r="DU188" i="24" s="1"/>
  <c r="DR189" i="24"/>
  <c r="DU189" i="24" s="1"/>
  <c r="DO189" i="24"/>
  <c r="DO282" i="24"/>
  <c r="DR282" i="24"/>
  <c r="EE34" i="24"/>
  <c r="DR309" i="24"/>
  <c r="FA309" i="24" s="1"/>
  <c r="DO309" i="24"/>
  <c r="DR84" i="24"/>
  <c r="DO84" i="24"/>
  <c r="DO284" i="24"/>
  <c r="DR284" i="24"/>
  <c r="DR134" i="24"/>
  <c r="DU134" i="24" s="1"/>
  <c r="DO134" i="24"/>
  <c r="DO68" i="24"/>
  <c r="DR68" i="24"/>
  <c r="EE20" i="24"/>
  <c r="EE135" i="24"/>
  <c r="EE15" i="24"/>
  <c r="EE90" i="24"/>
  <c r="EE149" i="24"/>
  <c r="EE120" i="24"/>
  <c r="DO222" i="24"/>
  <c r="DR222" i="24"/>
  <c r="DR279" i="24"/>
  <c r="DO279" i="24"/>
  <c r="EE271" i="24"/>
  <c r="DO123" i="24"/>
  <c r="DR123" i="24"/>
  <c r="DU123" i="24" s="1"/>
  <c r="DO158" i="24"/>
  <c r="DR158" i="24"/>
  <c r="DU158" i="24" s="1"/>
  <c r="DR93" i="24"/>
  <c r="DO93" i="24"/>
  <c r="DO307" i="24"/>
  <c r="DR307" i="24"/>
  <c r="DR122" i="24"/>
  <c r="DU122" i="24" s="1"/>
  <c r="DO122" i="24"/>
  <c r="EE22" i="24"/>
  <c r="EE180" i="24"/>
  <c r="DR26" i="24"/>
  <c r="DO26" i="24"/>
  <c r="DZ14" i="24"/>
  <c r="DX14" i="24"/>
  <c r="EE151" i="24"/>
  <c r="DO17" i="24"/>
  <c r="DR17" i="24"/>
  <c r="EE58" i="24"/>
  <c r="DR256" i="24"/>
  <c r="DO256" i="24"/>
  <c r="DO113" i="24"/>
  <c r="DR113" i="24"/>
  <c r="DU113" i="24" s="1"/>
  <c r="DX173" i="24"/>
  <c r="DX201" i="24"/>
  <c r="DO133" i="24"/>
  <c r="DR133" i="24"/>
  <c r="DU133" i="24" s="1"/>
  <c r="DR174" i="24"/>
  <c r="DU174" i="24" s="1"/>
  <c r="DO174" i="24"/>
  <c r="DX157" i="24"/>
  <c r="DR164" i="24"/>
  <c r="DU164" i="24" s="1"/>
  <c r="DO164" i="24"/>
  <c r="DO111" i="24"/>
  <c r="DR111" i="24"/>
  <c r="DU111" i="24" s="1"/>
  <c r="DO296" i="24"/>
  <c r="DR296" i="24"/>
  <c r="DO14" i="24"/>
  <c r="DR14" i="24"/>
  <c r="DZ23" i="24"/>
  <c r="DX23" i="24"/>
  <c r="DR48" i="24"/>
  <c r="DO48" i="24"/>
  <c r="DX209" i="24"/>
  <c r="DO302" i="24"/>
  <c r="DR302" i="24"/>
  <c r="EL302" i="24" s="1"/>
  <c r="EE137" i="24"/>
  <c r="DR73" i="24"/>
  <c r="DO73" i="24"/>
  <c r="DR129" i="24"/>
  <c r="DU129" i="24" s="1"/>
  <c r="DO129" i="24"/>
  <c r="DZ44" i="24"/>
  <c r="DX44" i="24"/>
  <c r="DX174" i="24"/>
  <c r="DR301" i="24"/>
  <c r="FA301" i="24" s="1"/>
  <c r="DO301" i="24"/>
  <c r="DX114" i="24"/>
  <c r="DO285" i="24"/>
  <c r="DR167" i="24"/>
  <c r="DU167" i="24" s="1"/>
  <c r="DO167" i="24"/>
  <c r="DR235" i="24"/>
  <c r="DO235" i="24"/>
  <c r="DR43" i="24"/>
  <c r="DO43" i="24"/>
  <c r="EE153" i="24"/>
  <c r="EE32" i="24"/>
  <c r="DO127" i="24"/>
  <c r="DR142" i="24"/>
  <c r="DU142" i="24" s="1"/>
  <c r="DO142" i="24"/>
  <c r="DO90" i="24"/>
  <c r="DO59" i="24"/>
  <c r="DR59" i="24"/>
  <c r="DO224" i="24"/>
  <c r="DR224" i="24"/>
  <c r="EE184" i="24"/>
  <c r="DO263" i="24"/>
  <c r="DR263" i="24"/>
  <c r="EE179" i="24"/>
  <c r="DO147" i="24"/>
  <c r="DR147" i="24"/>
  <c r="DU147" i="24" s="1"/>
  <c r="DR159" i="24"/>
  <c r="DU159" i="24" s="1"/>
  <c r="DO159" i="24"/>
  <c r="DR178" i="24"/>
  <c r="DU178" i="24" s="1"/>
  <c r="DO178" i="24"/>
  <c r="EE38" i="24"/>
  <c r="DR71" i="24"/>
  <c r="DO71" i="24"/>
  <c r="DO150" i="24"/>
  <c r="DR150" i="24"/>
  <c r="DU150" i="24" s="1"/>
  <c r="DR183" i="24"/>
  <c r="DU183" i="24" s="1"/>
  <c r="DO183" i="24"/>
  <c r="DR85" i="24"/>
  <c r="DO85" i="24"/>
  <c r="DR234" i="24"/>
  <c r="EL234" i="24" s="1"/>
  <c r="DO234" i="24"/>
  <c r="DO61" i="24"/>
  <c r="DR61" i="24"/>
  <c r="DZ30" i="24"/>
  <c r="DX30" i="24"/>
  <c r="DZ63" i="24"/>
  <c r="DX63" i="24"/>
  <c r="DR217" i="24"/>
  <c r="FA217" i="24" s="1"/>
  <c r="DO217" i="24"/>
  <c r="DO138" i="24"/>
  <c r="DR138" i="24"/>
  <c r="DU138" i="24" s="1"/>
  <c r="DR200" i="24"/>
  <c r="DU200" i="24" s="1"/>
  <c r="DO200" i="24"/>
  <c r="DR117" i="24"/>
  <c r="DU117" i="24" s="1"/>
  <c r="DO117" i="24"/>
  <c r="DO221" i="24"/>
  <c r="DR221" i="24"/>
  <c r="EL221" i="24" s="1"/>
  <c r="DR293" i="24"/>
  <c r="EL293" i="24" s="1"/>
  <c r="DO293" i="24"/>
  <c r="DZ81" i="24"/>
  <c r="DX81" i="24"/>
  <c r="DO33" i="24"/>
  <c r="DR33" i="24"/>
  <c r="DZ26" i="24"/>
  <c r="DX26" i="24"/>
  <c r="DO223" i="24"/>
  <c r="DR223" i="24"/>
  <c r="DX124" i="24"/>
  <c r="DO75" i="24"/>
  <c r="DR75" i="24"/>
  <c r="EE181" i="24"/>
  <c r="DZ10" i="24"/>
  <c r="DX10" i="24"/>
  <c r="DO136" i="24"/>
  <c r="DR136" i="24"/>
  <c r="DU136" i="24" s="1"/>
  <c r="DX65" i="24"/>
  <c r="DZ65" i="24"/>
  <c r="DO32" i="24"/>
  <c r="DR32" i="24"/>
  <c r="DR237" i="24"/>
  <c r="DO237" i="24"/>
  <c r="DO156" i="24"/>
  <c r="DR156" i="24"/>
  <c r="DU156" i="24" s="1"/>
  <c r="DX50" i="24"/>
  <c r="DZ50" i="24"/>
  <c r="DO280" i="24"/>
  <c r="DR280" i="24"/>
  <c r="DR9" i="24"/>
  <c r="DO9" i="24"/>
  <c r="DO139" i="24"/>
  <c r="DR139" i="24"/>
  <c r="DU139" i="24" s="1"/>
  <c r="EE169" i="24"/>
  <c r="DR27" i="24"/>
  <c r="DO27" i="24"/>
  <c r="DO72" i="24"/>
  <c r="DR72" i="24"/>
  <c r="DR179" i="24"/>
  <c r="DU179" i="24" s="1"/>
  <c r="DO179" i="24"/>
  <c r="EE116" i="24"/>
  <c r="DO206" i="24"/>
  <c r="DR206" i="24"/>
  <c r="DU206" i="24" s="1"/>
  <c r="DO40" i="24"/>
  <c r="DR40" i="24"/>
  <c r="DX172" i="24"/>
  <c r="DO63" i="24"/>
  <c r="DR63" i="24"/>
  <c r="DX138" i="24"/>
  <c r="DR12" i="24"/>
  <c r="DO12" i="24"/>
  <c r="DR104" i="24"/>
  <c r="DO104" i="24"/>
  <c r="DX55" i="24"/>
  <c r="DZ55" i="24"/>
  <c r="EE79" i="24"/>
  <c r="DR79" i="24"/>
  <c r="DO79" i="24"/>
  <c r="DZ99" i="24"/>
  <c r="DX99" i="24"/>
  <c r="DX83" i="24"/>
  <c r="DZ83" i="24"/>
  <c r="EE228" i="24"/>
  <c r="DX159" i="24"/>
  <c r="DR305" i="24"/>
  <c r="DO305" i="24"/>
  <c r="EE168" i="24"/>
  <c r="EE102" i="24"/>
  <c r="DX47" i="24"/>
  <c r="DZ47" i="24"/>
  <c r="DO65" i="24"/>
  <c r="DR65" i="24"/>
  <c r="DR13" i="24"/>
  <c r="DO13" i="24"/>
  <c r="DR22" i="24"/>
  <c r="DO22" i="24"/>
  <c r="DO77" i="24"/>
  <c r="DR77" i="24"/>
  <c r="DR268" i="24"/>
  <c r="DO268" i="24"/>
  <c r="DR132" i="24"/>
  <c r="DU132" i="24" s="1"/>
  <c r="DO132" i="24"/>
  <c r="DX42" i="24"/>
  <c r="DZ42" i="24"/>
  <c r="DR69" i="24"/>
  <c r="DO69" i="24"/>
  <c r="DX197" i="24"/>
  <c r="DZ43" i="24"/>
  <c r="DX43" i="24"/>
  <c r="DX171" i="24"/>
  <c r="DO18" i="24"/>
  <c r="DR18" i="24"/>
  <c r="DR95" i="24"/>
  <c r="DO95" i="24"/>
  <c r="DR184" i="24"/>
  <c r="DU184" i="24" s="1"/>
  <c r="DO184" i="24"/>
  <c r="DR245" i="24"/>
  <c r="DO245" i="24"/>
  <c r="DR19" i="24"/>
  <c r="DO19" i="24"/>
  <c r="DO92" i="24"/>
  <c r="DO236" i="24"/>
  <c r="DR236" i="24"/>
  <c r="EE176" i="24"/>
  <c r="DR55" i="24"/>
  <c r="DO55" i="24"/>
  <c r="DR286" i="24"/>
  <c r="DO286" i="24"/>
  <c r="DX160" i="24"/>
  <c r="DX175" i="24"/>
  <c r="DR116" i="24"/>
  <c r="DU116" i="24" s="1"/>
  <c r="DO116" i="24"/>
  <c r="DX62" i="24"/>
  <c r="DZ62" i="24"/>
  <c r="DR128" i="24"/>
  <c r="DU128" i="24" s="1"/>
  <c r="DR248" i="24"/>
  <c r="FA248" i="24" s="1"/>
  <c r="DO248" i="24"/>
  <c r="DX186" i="24"/>
  <c r="DO31" i="24"/>
  <c r="DR31" i="24"/>
  <c r="DR175" i="24"/>
  <c r="DU175" i="24" s="1"/>
  <c r="DO175" i="24"/>
  <c r="DX183" i="24"/>
  <c r="DO74" i="24"/>
  <c r="DZ54" i="24"/>
  <c r="DX54" i="24"/>
  <c r="DR76" i="24"/>
  <c r="DO76" i="24"/>
  <c r="DZ52" i="24"/>
  <c r="DX52" i="24"/>
  <c r="DX37" i="24"/>
  <c r="DZ37" i="24"/>
  <c r="DX35" i="24"/>
  <c r="DZ35" i="24"/>
  <c r="DO135" i="24"/>
  <c r="DR135" i="24"/>
  <c r="DU135" i="24" s="1"/>
  <c r="DR165" i="24"/>
  <c r="DU165" i="24" s="1"/>
  <c r="DO165" i="24"/>
  <c r="DO157" i="24"/>
  <c r="DR157" i="24"/>
  <c r="DU157" i="24" s="1"/>
  <c r="DR42" i="24"/>
  <c r="DO42" i="24"/>
  <c r="DR209" i="24"/>
  <c r="DU209" i="24" s="1"/>
  <c r="DO209" i="24"/>
  <c r="DR36" i="24"/>
  <c r="DO36" i="24"/>
  <c r="DX123" i="24"/>
  <c r="DO98" i="24"/>
  <c r="DR98" i="24"/>
  <c r="DR8" i="24"/>
  <c r="DO8" i="24"/>
  <c r="DX192" i="24"/>
  <c r="DR260" i="24"/>
  <c r="EL260" i="24" s="1"/>
  <c r="DO260" i="24"/>
  <c r="DO51" i="24"/>
  <c r="DR51" i="24"/>
  <c r="DO25" i="24"/>
  <c r="DR25" i="24"/>
  <c r="DX167" i="24"/>
  <c r="EE96" i="24"/>
  <c r="DX112" i="24"/>
  <c r="DR162" i="24"/>
  <c r="DU162" i="24" s="1"/>
  <c r="DO162" i="24"/>
  <c r="DR101" i="24"/>
  <c r="DO101" i="24"/>
  <c r="DX202" i="24"/>
  <c r="DO314" i="24"/>
  <c r="DR314" i="24"/>
  <c r="FA314" i="24" s="1"/>
  <c r="DR187" i="24"/>
  <c r="DU187" i="24" s="1"/>
  <c r="DO187" i="24"/>
  <c r="DR124" i="24"/>
  <c r="DU124" i="24" s="1"/>
  <c r="DO124" i="24"/>
  <c r="DO287" i="24"/>
  <c r="DR287" i="24"/>
  <c r="FA287" i="24" s="1"/>
  <c r="DO161" i="24"/>
  <c r="DR161" i="24"/>
  <c r="DU161" i="24" s="1"/>
  <c r="DR315" i="24"/>
  <c r="FA315" i="24" s="1"/>
  <c r="DO315" i="24"/>
  <c r="DR149" i="24"/>
  <c r="DU149" i="24" s="1"/>
  <c r="DO149" i="24"/>
  <c r="DO193" i="24"/>
  <c r="DR193" i="24"/>
  <c r="DU193" i="24" s="1"/>
  <c r="DO254" i="24"/>
  <c r="DR254" i="24"/>
  <c r="DR289" i="24"/>
  <c r="EY289" i="24" s="1"/>
  <c r="DO289" i="24"/>
  <c r="DR198" i="24"/>
  <c r="DU198" i="24" s="1"/>
  <c r="DO198" i="24"/>
  <c r="DO243" i="24"/>
  <c r="EE207" i="24"/>
  <c r="DZ61" i="24"/>
  <c r="DX61" i="24"/>
  <c r="DO41" i="24"/>
  <c r="DR41" i="24"/>
  <c r="DO242" i="24"/>
  <c r="DO78" i="24"/>
  <c r="DO310" i="24"/>
  <c r="DR310" i="24"/>
  <c r="FA310" i="24" s="1"/>
  <c r="DR86" i="24"/>
  <c r="DO86" i="24"/>
  <c r="DO229" i="24"/>
  <c r="DR229" i="24"/>
  <c r="FA229" i="24" s="1"/>
  <c r="DO137" i="24"/>
  <c r="DR137" i="24"/>
  <c r="DU137" i="24" s="1"/>
  <c r="DX40" i="24"/>
  <c r="DZ40" i="24"/>
  <c r="DO172" i="24"/>
  <c r="DR172" i="24"/>
  <c r="DU172" i="24" s="1"/>
  <c r="DX104" i="24"/>
  <c r="DZ104" i="24"/>
  <c r="DR125" i="24"/>
  <c r="DU125" i="24" s="1"/>
  <c r="DO125" i="24"/>
  <c r="EE46" i="24"/>
  <c r="DR261" i="24"/>
  <c r="FA261" i="24" s="1"/>
  <c r="DO261" i="24"/>
  <c r="DO195" i="24"/>
  <c r="DR195" i="24"/>
  <c r="DU195" i="24" s="1"/>
  <c r="EE85" i="24"/>
  <c r="DR58" i="24"/>
  <c r="DO58" i="24"/>
  <c r="EE139" i="24"/>
  <c r="DO246" i="24"/>
  <c r="DR246" i="24"/>
  <c r="FA246" i="24" s="1"/>
  <c r="EE165" i="24"/>
  <c r="EE113" i="24"/>
  <c r="EE118" i="24"/>
  <c r="DR15" i="24"/>
  <c r="DO15" i="24"/>
  <c r="DR196" i="24"/>
  <c r="DU196" i="24" s="1"/>
  <c r="DO196" i="24"/>
  <c r="EE125" i="24"/>
  <c r="DR205" i="24"/>
  <c r="DU205" i="24" s="1"/>
  <c r="DO205" i="24"/>
  <c r="DO46" i="24"/>
  <c r="DR46" i="24"/>
  <c r="DO53" i="24"/>
  <c r="DR53" i="24"/>
  <c r="DO47" i="24"/>
  <c r="DR47" i="24"/>
  <c r="EE28" i="24"/>
  <c r="DO163" i="24"/>
  <c r="DR163" i="24"/>
  <c r="DU163" i="24" s="1"/>
  <c r="EE51" i="24"/>
  <c r="DR23" i="24"/>
  <c r="DO23" i="24"/>
  <c r="DO240" i="24"/>
  <c r="DR240" i="24"/>
  <c r="FA240" i="24" s="1"/>
  <c r="DO311" i="24"/>
  <c r="DR311" i="24"/>
  <c r="EB311" i="24" s="1"/>
  <c r="DO80" i="24"/>
  <c r="DR80" i="24"/>
  <c r="DX136" i="24"/>
  <c r="DX145" i="24"/>
  <c r="DO180" i="24"/>
  <c r="DR180" i="24"/>
  <c r="DU180" i="24" s="1"/>
  <c r="DO50" i="24"/>
  <c r="DR50" i="24"/>
  <c r="DO230" i="24"/>
  <c r="DR230" i="24"/>
  <c r="FA230" i="24" s="1"/>
  <c r="DZ67" i="24"/>
  <c r="DX67" i="24"/>
  <c r="EE200" i="24"/>
  <c r="EE117" i="24"/>
  <c r="DR241" i="24"/>
  <c r="DO241" i="24"/>
  <c r="DO97" i="24"/>
  <c r="DR97" i="24"/>
  <c r="DO153" i="24"/>
  <c r="DR153" i="24"/>
  <c r="DU153" i="24" s="1"/>
  <c r="DX164" i="24"/>
  <c r="EE206" i="24"/>
  <c r="DX132" i="24"/>
  <c r="DZ25" i="24"/>
  <c r="DX25" i="24"/>
  <c r="DR176" i="24"/>
  <c r="DU176" i="24" s="1"/>
  <c r="DO176" i="24"/>
  <c r="EE73" i="24"/>
  <c r="DO273" i="24"/>
  <c r="DR273" i="24"/>
  <c r="EL273" i="24" s="1"/>
  <c r="DO225" i="24"/>
  <c r="DR225" i="24"/>
  <c r="EE187" i="24"/>
  <c r="DR7" i="24"/>
  <c r="DO7" i="24"/>
  <c r="DO262" i="24"/>
  <c r="DR262" i="24"/>
  <c r="EL262" i="24" s="1"/>
  <c r="EE208" i="24"/>
  <c r="DR281" i="24"/>
  <c r="DO281" i="24"/>
  <c r="DR152" i="24"/>
  <c r="DU152" i="24" s="1"/>
  <c r="DO152" i="24"/>
  <c r="DO228" i="24"/>
  <c r="DR228" i="24"/>
  <c r="EL228" i="24" s="1"/>
  <c r="EE182" i="24"/>
  <c r="DX177" i="24"/>
  <c r="DR239" i="24"/>
  <c r="DO239" i="24"/>
  <c r="DR219" i="24"/>
  <c r="DO219" i="24"/>
  <c r="DZ60" i="24"/>
  <c r="DX60" i="24"/>
  <c r="DR82" i="24"/>
  <c r="DO82" i="24"/>
  <c r="DR16" i="24"/>
  <c r="DO16" i="24"/>
  <c r="DR170" i="24"/>
  <c r="DU170" i="24" s="1"/>
  <c r="DO170" i="24"/>
  <c r="DR194" i="24"/>
  <c r="DU194" i="24" s="1"/>
  <c r="DO194" i="24"/>
  <c r="DO266" i="24"/>
  <c r="DR266" i="24"/>
  <c r="DO130" i="24"/>
  <c r="DR130" i="24"/>
  <c r="DU130" i="24" s="1"/>
  <c r="DR62" i="24"/>
  <c r="DO62" i="24"/>
  <c r="DO57" i="24"/>
  <c r="DR57" i="24"/>
  <c r="DR186" i="24"/>
  <c r="DU186" i="24" s="1"/>
  <c r="DO186" i="24"/>
  <c r="DR303" i="24"/>
  <c r="FA303" i="24" s="1"/>
  <c r="DO303" i="24"/>
  <c r="DR277" i="24"/>
  <c r="FA277" i="24" s="1"/>
  <c r="DO277" i="24"/>
  <c r="DO199" i="24"/>
  <c r="DR199" i="24"/>
  <c r="DU199" i="24" s="1"/>
  <c r="DO270" i="24"/>
  <c r="DR270" i="24"/>
  <c r="EL270" i="24" s="1"/>
  <c r="DO154" i="24"/>
  <c r="DR154" i="24"/>
  <c r="DU154" i="24" s="1"/>
  <c r="DO253" i="24"/>
  <c r="DR253" i="24"/>
  <c r="EB253" i="24" s="1"/>
  <c r="DZ98" i="24"/>
  <c r="DX98" i="24"/>
  <c r="DZ8" i="24"/>
  <c r="DX8" i="24"/>
  <c r="DR316" i="24"/>
  <c r="EY316" i="24" s="1"/>
  <c r="DO316" i="24"/>
  <c r="DX185" i="24"/>
  <c r="DR218" i="24"/>
  <c r="EL218" i="24" s="1"/>
  <c r="DO218" i="24"/>
  <c r="DR294" i="24"/>
  <c r="DO294" i="24"/>
  <c r="DR292" i="24"/>
  <c r="DO292" i="24"/>
  <c r="DR54" i="24"/>
  <c r="DO54" i="24"/>
  <c r="EE191" i="24"/>
  <c r="DO118" i="24"/>
  <c r="DR118" i="24"/>
  <c r="DU118" i="24" s="1"/>
  <c r="DR312" i="24"/>
  <c r="FA312" i="24" s="1"/>
  <c r="DO312" i="24"/>
  <c r="DR121" i="24"/>
  <c r="DU121" i="24" s="1"/>
  <c r="DO121" i="24"/>
  <c r="DO258" i="24"/>
  <c r="DR258" i="24"/>
  <c r="DO182" i="24"/>
  <c r="DR182" i="24"/>
  <c r="DU182" i="24" s="1"/>
  <c r="EE49" i="24"/>
  <c r="EE144" i="24"/>
  <c r="EE178" i="24"/>
  <c r="DO232" i="24"/>
  <c r="DR232" i="24"/>
  <c r="DR60" i="24"/>
  <c r="DO60" i="24"/>
  <c r="DR255" i="24"/>
  <c r="DO255" i="24"/>
  <c r="EE121" i="24"/>
  <c r="DX170" i="24"/>
  <c r="EE19" i="24"/>
  <c r="EE140" i="24"/>
  <c r="DX142" i="24"/>
  <c r="DO291" i="24"/>
  <c r="DR291" i="24"/>
  <c r="EB291" i="24" s="1"/>
  <c r="DO272" i="24"/>
  <c r="DR272" i="24"/>
  <c r="DX152" i="24"/>
  <c r="DX127" i="24"/>
  <c r="DR45" i="24"/>
  <c r="DO45" i="24"/>
  <c r="DX33" i="24"/>
  <c r="DZ33" i="24"/>
  <c r="DO247" i="24"/>
  <c r="DR247" i="24"/>
  <c r="DO29" i="24"/>
  <c r="DR29" i="24"/>
  <c r="DR171" i="24"/>
  <c r="DU171" i="24" s="1"/>
  <c r="DO171" i="24"/>
  <c r="DX70" i="24"/>
  <c r="DZ70" i="24"/>
  <c r="DR249" i="24"/>
  <c r="DO249" i="24"/>
  <c r="DX122" i="24"/>
  <c r="DR202" i="24"/>
  <c r="DU202" i="24" s="1"/>
  <c r="DO202" i="24"/>
  <c r="DR185" i="24"/>
  <c r="DU185" i="24" s="1"/>
  <c r="DO185" i="24"/>
  <c r="DX134" i="24"/>
  <c r="DO250" i="24"/>
  <c r="DR250" i="24"/>
  <c r="EL250" i="24" s="1"/>
  <c r="DR114" i="24"/>
  <c r="DU114" i="24" s="1"/>
  <c r="DO114" i="24"/>
  <c r="DZ24" i="24"/>
  <c r="DX24" i="24"/>
  <c r="DX161" i="24"/>
  <c r="DR52" i="24"/>
  <c r="DO52" i="24"/>
  <c r="EE195" i="24"/>
  <c r="DZ29" i="24"/>
  <c r="DX29" i="24"/>
  <c r="DO201" i="24"/>
  <c r="DR201" i="24"/>
  <c r="DU201" i="24" s="1"/>
  <c r="DO192" i="24"/>
  <c r="DR192" i="24"/>
  <c r="DU192" i="24" s="1"/>
  <c r="DZ13" i="24"/>
  <c r="DX13" i="24"/>
  <c r="DX111" i="24"/>
  <c r="DR274" i="24"/>
  <c r="DO274" i="24"/>
  <c r="DO49" i="24"/>
  <c r="DR49" i="24"/>
  <c r="DR67" i="24"/>
  <c r="DO67" i="24"/>
  <c r="DO252" i="24"/>
  <c r="DR252" i="24"/>
  <c r="DO190" i="24"/>
  <c r="DX190" i="24"/>
  <c r="DR94" i="24"/>
  <c r="DO94" i="24"/>
  <c r="DR10" i="24"/>
  <c r="DO10" i="24"/>
  <c r="EE162" i="24"/>
  <c r="DO297" i="24"/>
  <c r="DR297" i="24"/>
  <c r="EE86" i="24"/>
  <c r="DO140" i="24"/>
  <c r="DR140" i="24"/>
  <c r="DU140" i="24" s="1"/>
  <c r="DO203" i="24"/>
  <c r="DR203" i="24"/>
  <c r="DU203" i="24" s="1"/>
  <c r="EE72" i="24"/>
  <c r="DR83" i="24"/>
  <c r="DO83" i="24"/>
  <c r="DO269" i="24"/>
  <c r="DR269" i="24"/>
  <c r="DO306" i="24"/>
  <c r="DR306" i="24"/>
  <c r="EY306" i="24" s="1"/>
  <c r="EE198" i="24"/>
  <c r="DR144" i="24"/>
  <c r="DU144" i="24" s="1"/>
  <c r="DO144" i="24"/>
  <c r="DR37" i="24"/>
  <c r="DO37" i="24"/>
  <c r="DR233" i="24"/>
  <c r="FA233" i="24" s="1"/>
  <c r="DO233" i="24"/>
  <c r="EE203" i="24"/>
  <c r="DR166" i="24"/>
  <c r="DU166" i="24" s="1"/>
  <c r="DO166" i="24"/>
  <c r="DO148" i="24"/>
  <c r="DR148" i="24"/>
  <c r="DU148" i="24" s="1"/>
  <c r="DR81" i="24"/>
  <c r="DO81" i="24"/>
  <c r="DR89" i="24"/>
  <c r="DO89" i="24"/>
  <c r="DR251" i="24"/>
  <c r="DO251" i="24"/>
  <c r="DO96" i="24"/>
  <c r="EE269" i="24"/>
  <c r="DX147" i="24"/>
  <c r="DO177" i="24"/>
  <c r="DR177" i="24"/>
  <c r="DU177" i="24" s="1"/>
  <c r="DO191" i="24"/>
  <c r="DR191" i="24"/>
  <c r="DU191" i="24" s="1"/>
  <c r="DO102" i="24"/>
  <c r="DR102" i="24"/>
  <c r="DO131" i="24"/>
  <c r="DR131" i="24"/>
  <c r="DU131" i="24" s="1"/>
  <c r="DZ71" i="24"/>
  <c r="DX71" i="24"/>
  <c r="DX193" i="24"/>
  <c r="DR226" i="24"/>
  <c r="DO226" i="24"/>
  <c r="DO34" i="24"/>
  <c r="DR34" i="24"/>
  <c r="EE250" i="24"/>
  <c r="DZ48" i="24"/>
  <c r="DX48" i="24"/>
  <c r="DR278" i="24"/>
  <c r="EL278" i="24" s="1"/>
  <c r="DO278" i="24"/>
  <c r="DZ100" i="24"/>
  <c r="DX100" i="24"/>
  <c r="DX158" i="24"/>
  <c r="DX103" i="24"/>
  <c r="DZ103" i="24"/>
  <c r="DO155" i="24"/>
  <c r="DR155" i="24"/>
  <c r="DU155" i="24" s="1"/>
  <c r="DZ68" i="24"/>
  <c r="DX68" i="24"/>
  <c r="DR264" i="24"/>
  <c r="DO264" i="24"/>
  <c r="DR265" i="24"/>
  <c r="DO265" i="24"/>
  <c r="DO87" i="24"/>
  <c r="DR87" i="24"/>
  <c r="DX77" i="24"/>
  <c r="DZ77" i="24"/>
  <c r="EE230" i="24"/>
  <c r="DX154" i="24"/>
  <c r="DR64" i="24"/>
  <c r="DO64" i="24"/>
  <c r="DR120" i="24"/>
  <c r="DU120" i="24" s="1"/>
  <c r="DO120" i="24"/>
  <c r="DO181" i="24"/>
  <c r="DR181" i="24"/>
  <c r="DU181" i="24" s="1"/>
  <c r="DR207" i="24"/>
  <c r="DU207" i="24" s="1"/>
  <c r="DO207" i="24"/>
  <c r="DR308" i="24"/>
  <c r="FA308" i="24" s="1"/>
  <c r="DO308" i="24"/>
  <c r="DR105" i="24"/>
  <c r="DO105" i="24"/>
  <c r="DO300" i="24"/>
  <c r="DR300" i="24"/>
  <c r="FA300" i="24" s="1"/>
  <c r="DR143" i="24"/>
  <c r="DU143" i="24" s="1"/>
  <c r="DO143" i="24"/>
  <c r="EE156" i="24"/>
  <c r="EE12" i="24"/>
  <c r="DO38" i="24"/>
  <c r="DR38" i="24"/>
  <c r="DZ89" i="24"/>
  <c r="DX89" i="24"/>
  <c r="DO99" i="24"/>
  <c r="DR99" i="24"/>
  <c r="DR30" i="24"/>
  <c r="DO30" i="24"/>
  <c r="EE143" i="24"/>
  <c r="DZ41" i="24"/>
  <c r="DX41" i="24"/>
  <c r="DR160" i="24"/>
  <c r="DU160" i="24" s="1"/>
  <c r="DO160" i="24"/>
  <c r="DX128" i="24"/>
  <c r="DR298" i="24"/>
  <c r="DO298" i="24"/>
  <c r="DR127" i="24"/>
  <c r="DU127" i="24" s="1"/>
  <c r="DX150" i="24"/>
  <c r="DR88" i="24"/>
  <c r="DX212" i="25" l="1"/>
  <c r="EC212" i="25" s="1"/>
  <c r="DY212" i="25"/>
  <c r="EM190" i="24"/>
  <c r="EP190" i="24" s="1"/>
  <c r="DU190" i="24"/>
  <c r="DT216" i="25"/>
  <c r="EM255" i="24"/>
  <c r="EP255" i="24" s="1"/>
  <c r="EN255" i="24"/>
  <c r="EY255" i="24"/>
  <c r="FA255" i="24"/>
  <c r="EL255" i="24"/>
  <c r="EB255" i="24"/>
  <c r="EM297" i="24"/>
  <c r="EP297" i="24" s="1"/>
  <c r="EN297" i="24"/>
  <c r="EY297" i="24"/>
  <c r="EL297" i="24"/>
  <c r="EB297" i="24"/>
  <c r="EM239" i="24"/>
  <c r="EP239" i="24" s="1"/>
  <c r="EN239" i="24"/>
  <c r="EL239" i="24"/>
  <c r="EY239" i="24"/>
  <c r="EB239" i="24"/>
  <c r="FA239" i="24"/>
  <c r="EM281" i="24"/>
  <c r="EP281" i="24" s="1"/>
  <c r="EN281" i="24"/>
  <c r="FA281" i="24"/>
  <c r="EY281" i="24"/>
  <c r="EB281" i="24"/>
  <c r="EM286" i="24"/>
  <c r="EP286" i="24" s="1"/>
  <c r="EN286" i="24"/>
  <c r="EL286" i="24"/>
  <c r="EY286" i="24"/>
  <c r="EB286" i="24"/>
  <c r="EM296" i="24"/>
  <c r="EP296" i="24" s="1"/>
  <c r="EN296" i="24"/>
  <c r="EL296" i="24"/>
  <c r="EY296" i="24"/>
  <c r="FA296" i="24"/>
  <c r="EB296" i="24"/>
  <c r="EM256" i="24"/>
  <c r="EP256" i="24" s="1"/>
  <c r="EN256" i="24"/>
  <c r="FA256" i="24"/>
  <c r="EL256" i="24"/>
  <c r="EB256" i="24"/>
  <c r="EM222" i="24"/>
  <c r="EP222" i="24" s="1"/>
  <c r="EN222" i="24"/>
  <c r="EL222" i="24"/>
  <c r="EY222" i="24"/>
  <c r="FA222" i="24"/>
  <c r="EM276" i="24"/>
  <c r="EP276" i="24" s="1"/>
  <c r="EN276" i="24"/>
  <c r="EL276" i="24"/>
  <c r="EB276" i="24"/>
  <c r="EY276" i="24"/>
  <c r="EB299" i="24"/>
  <c r="FA306" i="24"/>
  <c r="EY304" i="24"/>
  <c r="EB267" i="24"/>
  <c r="EB250" i="24"/>
  <c r="EB316" i="24"/>
  <c r="FA262" i="24"/>
  <c r="EB248" i="24"/>
  <c r="EB315" i="24"/>
  <c r="FA297" i="24"/>
  <c r="EY256" i="24"/>
  <c r="EB222" i="24"/>
  <c r="EM291" i="24"/>
  <c r="EP291" i="24" s="1"/>
  <c r="EN291" i="24"/>
  <c r="EM294" i="24"/>
  <c r="EP294" i="24" s="1"/>
  <c r="EN294" i="24"/>
  <c r="EL294" i="24"/>
  <c r="EM274" i="24"/>
  <c r="EP274" i="24" s="1"/>
  <c r="EN274" i="24"/>
  <c r="EY274" i="24"/>
  <c r="EL274" i="24"/>
  <c r="EB274" i="24"/>
  <c r="EM258" i="24"/>
  <c r="EP258" i="24" s="1"/>
  <c r="EN258" i="24"/>
  <c r="EY258" i="24"/>
  <c r="EL258" i="24"/>
  <c r="EB258" i="24"/>
  <c r="EM218" i="24"/>
  <c r="EP218" i="24" s="1"/>
  <c r="EN218" i="24"/>
  <c r="EY218" i="24"/>
  <c r="EM253" i="24"/>
  <c r="EP253" i="24" s="1"/>
  <c r="EN253" i="24"/>
  <c r="EM273" i="24"/>
  <c r="EP273" i="24" s="1"/>
  <c r="EN273" i="24"/>
  <c r="FA273" i="24"/>
  <c r="EM223" i="24"/>
  <c r="EP223" i="24" s="1"/>
  <c r="EN223" i="24"/>
  <c r="EY223" i="24"/>
  <c r="FA223" i="24"/>
  <c r="EL223" i="24"/>
  <c r="EB223" i="24"/>
  <c r="EM224" i="24"/>
  <c r="EP224" i="24" s="1"/>
  <c r="EN224" i="24"/>
  <c r="EY224" i="24"/>
  <c r="EM309" i="24"/>
  <c r="EP309" i="24" s="1"/>
  <c r="EN309" i="24"/>
  <c r="EY309" i="24"/>
  <c r="EL309" i="24"/>
  <c r="EB309" i="24"/>
  <c r="EM227" i="24"/>
  <c r="EP227" i="24" s="1"/>
  <c r="EN227" i="24"/>
  <c r="EY227" i="24"/>
  <c r="FA227" i="24"/>
  <c r="EL227" i="24"/>
  <c r="EB227" i="24"/>
  <c r="EM220" i="24"/>
  <c r="EP220" i="24" s="1"/>
  <c r="EN220" i="24"/>
  <c r="EY220" i="24"/>
  <c r="EL220" i="24"/>
  <c r="EL299" i="24"/>
  <c r="EB306" i="24"/>
  <c r="FA285" i="24"/>
  <c r="EL267" i="24"/>
  <c r="EY253" i="24"/>
  <c r="EB288" i="24"/>
  <c r="EY250" i="24"/>
  <c r="EB277" i="24"/>
  <c r="EL291" i="24"/>
  <c r="EL316" i="24"/>
  <c r="EB294" i="24"/>
  <c r="EB270" i="24"/>
  <c r="FA218" i="24"/>
  <c r="EB220" i="24"/>
  <c r="EM225" i="24"/>
  <c r="EP225" i="24" s="1"/>
  <c r="EN225" i="24"/>
  <c r="EL225" i="24"/>
  <c r="EY225" i="24"/>
  <c r="EB225" i="24"/>
  <c r="FA225" i="24"/>
  <c r="EM298" i="24"/>
  <c r="EP298" i="24" s="1"/>
  <c r="EN298" i="24"/>
  <c r="EY298" i="24"/>
  <c r="EL298" i="24"/>
  <c r="EB298" i="24"/>
  <c r="EM308" i="24"/>
  <c r="EP308" i="24" s="1"/>
  <c r="EN308" i="24"/>
  <c r="EY308" i="24"/>
  <c r="EL308" i="24"/>
  <c r="EB308" i="24"/>
  <c r="EM226" i="24"/>
  <c r="EP226" i="24" s="1"/>
  <c r="EN226" i="24"/>
  <c r="EY226" i="24"/>
  <c r="EL226" i="24"/>
  <c r="EB226" i="24"/>
  <c r="EM252" i="24"/>
  <c r="EP252" i="24" s="1"/>
  <c r="EN252" i="24"/>
  <c r="EL252" i="24"/>
  <c r="EY252" i="24"/>
  <c r="EB252" i="24"/>
  <c r="EM232" i="24"/>
  <c r="EP232" i="24" s="1"/>
  <c r="EN232" i="24"/>
  <c r="EY232" i="24"/>
  <c r="EL232" i="24"/>
  <c r="EM262" i="24"/>
  <c r="EP262" i="24" s="1"/>
  <c r="EN262" i="24"/>
  <c r="EY262" i="24"/>
  <c r="EM241" i="24"/>
  <c r="EP241" i="24" s="1"/>
  <c r="EN241" i="24"/>
  <c r="EY241" i="24"/>
  <c r="EL241" i="24"/>
  <c r="EB241" i="24"/>
  <c r="EM311" i="24"/>
  <c r="EP311" i="24" s="1"/>
  <c r="EN311" i="24"/>
  <c r="EM229" i="24"/>
  <c r="EP229" i="24" s="1"/>
  <c r="EN229" i="24"/>
  <c r="EY229" i="24"/>
  <c r="EL229" i="24"/>
  <c r="EB229" i="24"/>
  <c r="EM245" i="24"/>
  <c r="EP245" i="24" s="1"/>
  <c r="EN245" i="24"/>
  <c r="EY245" i="24"/>
  <c r="FA245" i="24"/>
  <c r="EM293" i="24"/>
  <c r="EP293" i="24" s="1"/>
  <c r="EN293" i="24"/>
  <c r="EM271" i="24"/>
  <c r="EP271" i="24" s="1"/>
  <c r="EN271" i="24"/>
  <c r="EY271" i="24"/>
  <c r="FA271" i="24"/>
  <c r="EL271" i="24"/>
  <c r="EB271" i="24"/>
  <c r="EM304" i="24"/>
  <c r="EP304" i="24" s="1"/>
  <c r="EN304" i="24"/>
  <c r="EM295" i="24"/>
  <c r="EP295" i="24" s="1"/>
  <c r="EN295" i="24"/>
  <c r="EY295" i="24"/>
  <c r="EL295" i="24"/>
  <c r="EB295" i="24"/>
  <c r="FA299" i="24"/>
  <c r="FA293" i="24"/>
  <c r="EL253" i="24"/>
  <c r="FA316" i="24"/>
  <c r="FA270" i="24"/>
  <c r="EL248" i="24"/>
  <c r="EB217" i="24"/>
  <c r="FA220" i="24"/>
  <c r="FA276" i="24"/>
  <c r="FA226" i="24"/>
  <c r="FA274" i="24"/>
  <c r="EM277" i="24"/>
  <c r="EP277" i="24" s="1"/>
  <c r="EN277" i="24"/>
  <c r="EM289" i="24"/>
  <c r="EP289" i="24" s="1"/>
  <c r="EN289" i="24"/>
  <c r="EL289" i="24"/>
  <c r="FA289" i="24"/>
  <c r="EB289" i="24"/>
  <c r="EM315" i="24"/>
  <c r="EP315" i="24" s="1"/>
  <c r="EN315" i="24"/>
  <c r="EY315" i="24"/>
  <c r="EL315" i="24"/>
  <c r="EM305" i="24"/>
  <c r="EP305" i="24" s="1"/>
  <c r="EN305" i="24"/>
  <c r="EY305" i="24"/>
  <c r="EL305" i="24"/>
  <c r="EB305" i="24"/>
  <c r="EM237" i="24"/>
  <c r="EP237" i="24" s="1"/>
  <c r="EN237" i="24"/>
  <c r="EY237" i="24"/>
  <c r="EL237" i="24"/>
  <c r="EB237" i="24"/>
  <c r="EM221" i="24"/>
  <c r="EP221" i="24" s="1"/>
  <c r="EN221" i="24"/>
  <c r="EM282" i="24"/>
  <c r="EP282" i="24" s="1"/>
  <c r="EN282" i="24"/>
  <c r="EB282" i="24"/>
  <c r="EY282" i="24"/>
  <c r="FA282" i="24"/>
  <c r="EM288" i="24"/>
  <c r="EP288" i="24" s="1"/>
  <c r="EN288" i="24"/>
  <c r="EY285" i="24"/>
  <c r="EY293" i="24"/>
  <c r="EY288" i="24"/>
  <c r="FA291" i="24"/>
  <c r="FA221" i="24"/>
  <c r="EL311" i="24"/>
  <c r="EB224" i="24"/>
  <c r="EB234" i="24"/>
  <c r="EL282" i="24"/>
  <c r="EM278" i="24"/>
  <c r="EP278" i="24" s="1"/>
  <c r="EN278" i="24"/>
  <c r="EY278" i="24"/>
  <c r="FA278" i="24"/>
  <c r="EB278" i="24"/>
  <c r="EM228" i="24"/>
  <c r="EP228" i="24" s="1"/>
  <c r="EN228" i="24"/>
  <c r="EY228" i="24"/>
  <c r="EM265" i="24"/>
  <c r="EP265" i="24" s="1"/>
  <c r="EN265" i="24"/>
  <c r="EY265" i="24"/>
  <c r="FA265" i="24"/>
  <c r="EL265" i="24"/>
  <c r="EB265" i="24"/>
  <c r="EM306" i="24"/>
  <c r="EP306" i="24" s="1"/>
  <c r="EN306" i="24"/>
  <c r="EM250" i="24"/>
  <c r="EP250" i="24" s="1"/>
  <c r="EN250" i="24"/>
  <c r="EM316" i="24"/>
  <c r="EP316" i="24" s="1"/>
  <c r="EN316" i="24"/>
  <c r="EM219" i="24"/>
  <c r="EP219" i="24" s="1"/>
  <c r="EN219" i="24"/>
  <c r="EL219" i="24"/>
  <c r="EY219" i="24"/>
  <c r="EB219" i="24"/>
  <c r="FA219" i="24"/>
  <c r="EM240" i="24"/>
  <c r="EP240" i="24" s="1"/>
  <c r="EN240" i="24"/>
  <c r="EY240" i="24"/>
  <c r="EL240" i="24"/>
  <c r="EB240" i="24"/>
  <c r="EM246" i="24"/>
  <c r="EP246" i="24" s="1"/>
  <c r="EN246" i="24"/>
  <c r="EY246" i="24"/>
  <c r="EL246" i="24"/>
  <c r="EB246" i="24"/>
  <c r="EM254" i="24"/>
  <c r="EP254" i="24" s="1"/>
  <c r="EN254" i="24"/>
  <c r="EY254" i="24"/>
  <c r="EL254" i="24"/>
  <c r="EB254" i="24"/>
  <c r="EM236" i="24"/>
  <c r="EP236" i="24" s="1"/>
  <c r="EN236" i="24"/>
  <c r="EL236" i="24"/>
  <c r="EY236" i="24"/>
  <c r="EB236" i="24"/>
  <c r="FA236" i="24"/>
  <c r="EM280" i="24"/>
  <c r="EP280" i="24" s="1"/>
  <c r="EN280" i="24"/>
  <c r="EY280" i="24"/>
  <c r="EL280" i="24"/>
  <c r="EB280" i="24"/>
  <c r="EM217" i="24"/>
  <c r="EP217" i="24" s="1"/>
  <c r="EN217" i="24"/>
  <c r="EY217" i="24"/>
  <c r="EL217" i="24"/>
  <c r="EM284" i="24"/>
  <c r="EP284" i="24" s="1"/>
  <c r="EN284" i="24"/>
  <c r="EY284" i="24"/>
  <c r="EL284" i="24"/>
  <c r="EB284" i="24"/>
  <c r="EM267" i="24"/>
  <c r="EP267" i="24" s="1"/>
  <c r="EN267" i="24"/>
  <c r="EM244" i="24"/>
  <c r="EP244" i="24" s="1"/>
  <c r="EN244" i="24"/>
  <c r="EY244" i="24"/>
  <c r="EL244" i="24"/>
  <c r="EB244" i="24"/>
  <c r="EM243" i="24"/>
  <c r="EP243" i="24" s="1"/>
  <c r="EN243" i="24"/>
  <c r="EY243" i="24"/>
  <c r="FA243" i="24"/>
  <c r="EL243" i="24"/>
  <c r="EB243" i="24"/>
  <c r="EL304" i="24"/>
  <c r="FA253" i="24"/>
  <c r="FA250" i="24"/>
  <c r="EY277" i="24"/>
  <c r="FA311" i="24"/>
  <c r="FA294" i="24"/>
  <c r="EL224" i="24"/>
  <c r="EL281" i="24"/>
  <c r="FA280" i="24"/>
  <c r="FA254" i="24"/>
  <c r="FA286" i="24"/>
  <c r="FA241" i="24"/>
  <c r="FA237" i="24"/>
  <c r="FA305" i="24"/>
  <c r="FA258" i="24"/>
  <c r="EM251" i="24"/>
  <c r="EP251" i="24" s="1"/>
  <c r="EN251" i="24"/>
  <c r="EY251" i="24"/>
  <c r="EL251" i="24"/>
  <c r="EB251" i="24"/>
  <c r="EM300" i="24"/>
  <c r="EP300" i="24" s="1"/>
  <c r="EN300" i="24"/>
  <c r="EY300" i="24"/>
  <c r="EL300" i="24"/>
  <c r="EB300" i="24"/>
  <c r="EM247" i="24"/>
  <c r="EP247" i="24" s="1"/>
  <c r="EN247" i="24"/>
  <c r="EY247" i="24"/>
  <c r="EL247" i="24"/>
  <c r="EB247" i="24"/>
  <c r="EM272" i="24"/>
  <c r="EP272" i="24" s="1"/>
  <c r="EN272" i="24"/>
  <c r="EY272" i="24"/>
  <c r="EL272" i="24"/>
  <c r="EB272" i="24"/>
  <c r="EM292" i="24"/>
  <c r="EP292" i="24" s="1"/>
  <c r="EN292" i="24"/>
  <c r="FA292" i="24"/>
  <c r="EL292" i="24"/>
  <c r="EY292" i="24"/>
  <c r="EM303" i="24"/>
  <c r="EP303" i="24" s="1"/>
  <c r="EN303" i="24"/>
  <c r="EY303" i="24"/>
  <c r="EL303" i="24"/>
  <c r="EB303" i="24"/>
  <c r="EM261" i="24"/>
  <c r="EP261" i="24" s="1"/>
  <c r="EN261" i="24"/>
  <c r="EL261" i="24"/>
  <c r="EY261" i="24"/>
  <c r="EB261" i="24"/>
  <c r="EM314" i="24"/>
  <c r="EP314" i="24" s="1"/>
  <c r="EN314" i="24"/>
  <c r="EY314" i="24"/>
  <c r="EL314" i="24"/>
  <c r="EB314" i="24"/>
  <c r="EM260" i="24"/>
  <c r="EP260" i="24" s="1"/>
  <c r="EN260" i="24"/>
  <c r="EY260" i="24"/>
  <c r="FA260" i="24"/>
  <c r="EB260" i="24"/>
  <c r="EM268" i="24"/>
  <c r="EP268" i="24" s="1"/>
  <c r="EN268" i="24"/>
  <c r="EL268" i="24"/>
  <c r="FA268" i="24"/>
  <c r="EY268" i="24"/>
  <c r="EB268" i="24"/>
  <c r="EM234" i="24"/>
  <c r="EP234" i="24" s="1"/>
  <c r="EN234" i="24"/>
  <c r="EY234" i="24"/>
  <c r="EM301" i="24"/>
  <c r="EP301" i="24" s="1"/>
  <c r="EN301" i="24"/>
  <c r="EY301" i="24"/>
  <c r="EL301" i="24"/>
  <c r="EB301" i="24"/>
  <c r="EM307" i="24"/>
  <c r="EP307" i="24" s="1"/>
  <c r="EN307" i="24"/>
  <c r="EY307" i="24"/>
  <c r="EM290" i="24"/>
  <c r="EP290" i="24" s="1"/>
  <c r="EN290" i="24"/>
  <c r="EY290" i="24"/>
  <c r="EL290" i="24"/>
  <c r="EB290" i="24"/>
  <c r="EM238" i="24"/>
  <c r="EP238" i="24" s="1"/>
  <c r="EN238" i="24"/>
  <c r="EY238" i="24"/>
  <c r="EL238" i="24"/>
  <c r="EB238" i="24"/>
  <c r="EM257" i="24"/>
  <c r="EP257" i="24" s="1"/>
  <c r="EN257" i="24"/>
  <c r="EY257" i="24"/>
  <c r="FA257" i="24"/>
  <c r="EL257" i="24"/>
  <c r="EB257" i="24"/>
  <c r="EM242" i="24"/>
  <c r="EP242" i="24" s="1"/>
  <c r="EN242" i="24"/>
  <c r="FA242" i="24"/>
  <c r="EL242" i="24"/>
  <c r="EB242" i="24"/>
  <c r="EY242" i="24"/>
  <c r="EL306" i="24"/>
  <c r="FA304" i="24"/>
  <c r="EY267" i="24"/>
  <c r="EL277" i="24"/>
  <c r="EY291" i="24"/>
  <c r="EY221" i="24"/>
  <c r="FA224" i="24"/>
  <c r="EB307" i="24"/>
  <c r="FA234" i="24"/>
  <c r="EB245" i="24"/>
  <c r="EM264" i="24"/>
  <c r="EP264" i="24" s="1"/>
  <c r="EN264" i="24"/>
  <c r="EY264" i="24"/>
  <c r="EL264" i="24"/>
  <c r="EB264" i="24"/>
  <c r="EM233" i="24"/>
  <c r="EP233" i="24" s="1"/>
  <c r="EN233" i="24"/>
  <c r="EY233" i="24"/>
  <c r="EL233" i="24"/>
  <c r="EB233" i="24"/>
  <c r="EM269" i="24"/>
  <c r="EP269" i="24" s="1"/>
  <c r="EN269" i="24"/>
  <c r="EY269" i="24"/>
  <c r="FA269" i="24"/>
  <c r="EL269" i="24"/>
  <c r="EB269" i="24"/>
  <c r="EM249" i="24"/>
  <c r="EP249" i="24" s="1"/>
  <c r="EN249" i="24"/>
  <c r="EL249" i="24"/>
  <c r="EY249" i="24"/>
  <c r="EB249" i="24"/>
  <c r="EM312" i="24"/>
  <c r="EP312" i="24" s="1"/>
  <c r="EN312" i="24"/>
  <c r="EY312" i="24"/>
  <c r="EL312" i="24"/>
  <c r="EB312" i="24"/>
  <c r="EM270" i="24"/>
  <c r="EP270" i="24" s="1"/>
  <c r="EN270" i="24"/>
  <c r="EY270" i="24"/>
  <c r="EM266" i="24"/>
  <c r="EP266" i="24" s="1"/>
  <c r="EN266" i="24"/>
  <c r="EY266" i="24"/>
  <c r="EL266" i="24"/>
  <c r="FA266" i="24"/>
  <c r="EB266" i="24"/>
  <c r="EM310" i="24"/>
  <c r="EP310" i="24" s="1"/>
  <c r="EN310" i="24"/>
  <c r="EY310" i="24"/>
  <c r="EL310" i="24"/>
  <c r="EB310" i="24"/>
  <c r="EM287" i="24"/>
  <c r="EP287" i="24" s="1"/>
  <c r="EN287" i="24"/>
  <c r="EY287" i="24"/>
  <c r="EL287" i="24"/>
  <c r="EB287" i="24"/>
  <c r="EM263" i="24"/>
  <c r="EP263" i="24" s="1"/>
  <c r="EN263" i="24"/>
  <c r="EY263" i="24"/>
  <c r="FA263" i="24"/>
  <c r="EL263" i="24"/>
  <c r="EB263" i="24"/>
  <c r="EM235" i="24"/>
  <c r="EP235" i="24" s="1"/>
  <c r="EN235" i="24"/>
  <c r="EY235" i="24"/>
  <c r="EL235" i="24"/>
  <c r="EB235" i="24"/>
  <c r="EM302" i="24"/>
  <c r="EP302" i="24" s="1"/>
  <c r="EN302" i="24"/>
  <c r="EY302" i="24"/>
  <c r="FA302" i="24"/>
  <c r="EB302" i="24"/>
  <c r="EM299" i="24"/>
  <c r="EP299" i="24" s="1"/>
  <c r="EN299" i="24"/>
  <c r="EM259" i="24"/>
  <c r="EP259" i="24" s="1"/>
  <c r="EN259" i="24"/>
  <c r="EL259" i="24"/>
  <c r="EY259" i="24"/>
  <c r="EB259" i="24"/>
  <c r="EM231" i="24"/>
  <c r="EP231" i="24" s="1"/>
  <c r="EN231" i="24"/>
  <c r="FA231" i="24"/>
  <c r="EL231" i="24"/>
  <c r="EB231" i="24"/>
  <c r="EM313" i="24"/>
  <c r="EP313" i="24" s="1"/>
  <c r="EN313" i="24"/>
  <c r="EL313" i="24"/>
  <c r="EY313" i="24"/>
  <c r="FA313" i="24"/>
  <c r="EB313" i="24"/>
  <c r="EM275" i="24"/>
  <c r="EP275" i="24" s="1"/>
  <c r="EN275" i="24"/>
  <c r="EL275" i="24"/>
  <c r="EY275" i="24"/>
  <c r="EB275" i="24"/>
  <c r="FA275" i="24"/>
  <c r="EM285" i="24"/>
  <c r="EP285" i="24" s="1"/>
  <c r="EN285" i="24"/>
  <c r="EB262" i="24"/>
  <c r="FA228" i="24"/>
  <c r="EL307" i="24"/>
  <c r="EY273" i="24"/>
  <c r="EL245" i="24"/>
  <c r="EB232" i="24"/>
  <c r="EB292" i="24"/>
  <c r="FA249" i="24"/>
  <c r="FA272" i="24"/>
  <c r="FA264" i="24"/>
  <c r="FA247" i="24"/>
  <c r="FA235" i="24"/>
  <c r="FA244" i="24"/>
  <c r="FA295" i="24"/>
  <c r="FA252" i="24"/>
  <c r="EY231" i="24"/>
  <c r="FA251" i="24"/>
  <c r="FA284" i="24"/>
  <c r="FA298" i="24"/>
  <c r="FA290" i="24"/>
  <c r="EM230" i="24"/>
  <c r="EP230" i="24" s="1"/>
  <c r="EN230" i="24"/>
  <c r="EY230" i="24"/>
  <c r="EL230" i="24"/>
  <c r="EB230" i="24"/>
  <c r="EM248" i="24"/>
  <c r="EP248" i="24" s="1"/>
  <c r="EN248" i="24"/>
  <c r="EY248" i="24"/>
  <c r="EM279" i="24"/>
  <c r="EP279" i="24" s="1"/>
  <c r="EN279" i="24"/>
  <c r="EY279" i="24"/>
  <c r="FA279" i="24"/>
  <c r="EB279" i="24"/>
  <c r="EL279" i="24"/>
  <c r="EM283" i="24"/>
  <c r="EP283" i="24" s="1"/>
  <c r="EN283" i="24"/>
  <c r="EL283" i="24"/>
  <c r="EB283" i="24"/>
  <c r="FA283" i="24"/>
  <c r="EL285" i="24"/>
  <c r="EB293" i="24"/>
  <c r="EL288" i="24"/>
  <c r="EB221" i="24"/>
  <c r="EY311" i="24"/>
  <c r="EY294" i="24"/>
  <c r="EB228" i="24"/>
  <c r="EB218" i="24"/>
  <c r="FA307" i="24"/>
  <c r="EB273" i="24"/>
  <c r="FA232" i="24"/>
  <c r="FA216" i="25"/>
  <c r="EK216" i="25"/>
  <c r="EN216" i="25" s="1"/>
  <c r="EY216" i="25"/>
  <c r="EJ216" i="25"/>
  <c r="EL216" i="25"/>
  <c r="DX112" i="25"/>
  <c r="EC112" i="25" s="1"/>
  <c r="DY112" i="25"/>
  <c r="CG182" i="25"/>
  <c r="CH182" i="25"/>
  <c r="CG138" i="25"/>
  <c r="CH138" i="25"/>
  <c r="CG143" i="25"/>
  <c r="CH181" i="25"/>
  <c r="CG181" i="25"/>
  <c r="EY89" i="24"/>
  <c r="FA67" i="24"/>
  <c r="EB52" i="24"/>
  <c r="FA47" i="24"/>
  <c r="EL161" i="24"/>
  <c r="EL42" i="24"/>
  <c r="EB65" i="24"/>
  <c r="FA43" i="24"/>
  <c r="EL122" i="24"/>
  <c r="EB100" i="24"/>
  <c r="DW243" i="24"/>
  <c r="DY243" i="24" s="1"/>
  <c r="EF243" i="24" s="1"/>
  <c r="EB152" i="24"/>
  <c r="EB33" i="24"/>
  <c r="FA71" i="24"/>
  <c r="FA14" i="24"/>
  <c r="EY164" i="24"/>
  <c r="EB103" i="24"/>
  <c r="EL90" i="24"/>
  <c r="DW242" i="24"/>
  <c r="DY242" i="24" s="1"/>
  <c r="EF242" i="24" s="1"/>
  <c r="FA160" i="24"/>
  <c r="EB127" i="24"/>
  <c r="FA201" i="24"/>
  <c r="EB186" i="24"/>
  <c r="EB53" i="24"/>
  <c r="EY193" i="24"/>
  <c r="EY157" i="24"/>
  <c r="EB77" i="24"/>
  <c r="EL63" i="24"/>
  <c r="EB78" i="24"/>
  <c r="FA39" i="24"/>
  <c r="EL37" i="24"/>
  <c r="FA199" i="24"/>
  <c r="EB23" i="24"/>
  <c r="EB142" i="24"/>
  <c r="EY24" i="24"/>
  <c r="DW285" i="24"/>
  <c r="DY285" i="24" s="1"/>
  <c r="EF285" i="24" s="1"/>
  <c r="EL190" i="24"/>
  <c r="EY30" i="24"/>
  <c r="FA155" i="24"/>
  <c r="EL83" i="24"/>
  <c r="FA185" i="24"/>
  <c r="EY60" i="24"/>
  <c r="EL25" i="24"/>
  <c r="EL128" i="24"/>
  <c r="FA136" i="24"/>
  <c r="FA167" i="24"/>
  <c r="EB174" i="24"/>
  <c r="EY26" i="24"/>
  <c r="EB68" i="24"/>
  <c r="EY197" i="24"/>
  <c r="CG110" i="24"/>
  <c r="FL110" i="24"/>
  <c r="EM169" i="24"/>
  <c r="EP169" i="24" s="1"/>
  <c r="FA171" i="24"/>
  <c r="EL50" i="24"/>
  <c r="FA124" i="24"/>
  <c r="EY175" i="24"/>
  <c r="FA138" i="24"/>
  <c r="EY183" i="24"/>
  <c r="EL133" i="24"/>
  <c r="EY158" i="24"/>
  <c r="EL145" i="24"/>
  <c r="DU92" i="24"/>
  <c r="FA74" i="24"/>
  <c r="FA202" i="24"/>
  <c r="EY29" i="24"/>
  <c r="EB54" i="24"/>
  <c r="EL154" i="24"/>
  <c r="FA62" i="24"/>
  <c r="EL170" i="24"/>
  <c r="EY41" i="24"/>
  <c r="EB8" i="24"/>
  <c r="EL55" i="24"/>
  <c r="EB104" i="24"/>
  <c r="EY40" i="24"/>
  <c r="FA61" i="24"/>
  <c r="EL150" i="24"/>
  <c r="FA159" i="24"/>
  <c r="EL129" i="24"/>
  <c r="EY48" i="24"/>
  <c r="EY111" i="24"/>
  <c r="EL173" i="24"/>
  <c r="EL112" i="24"/>
  <c r="FA70" i="24"/>
  <c r="EY126" i="24"/>
  <c r="FA44" i="24"/>
  <c r="DU96" i="24"/>
  <c r="EY177" i="24"/>
  <c r="FA10" i="24"/>
  <c r="EL172" i="24"/>
  <c r="EL98" i="24"/>
  <c r="FA132" i="24"/>
  <c r="EB13" i="24"/>
  <c r="EY147" i="24"/>
  <c r="EL123" i="24"/>
  <c r="EL134" i="24"/>
  <c r="EL35" i="24"/>
  <c r="CG5" i="24"/>
  <c r="K5" i="24" s="1"/>
  <c r="FL5" i="24"/>
  <c r="EL209" i="24"/>
  <c r="EM92" i="24"/>
  <c r="EP92" i="24" s="1"/>
  <c r="EB74" i="24"/>
  <c r="EN92" i="24"/>
  <c r="DW92" i="24"/>
  <c r="DY92" i="24" s="1"/>
  <c r="EF92" i="24" s="1"/>
  <c r="EL92" i="24"/>
  <c r="DU74" i="24"/>
  <c r="EB92" i="24"/>
  <c r="EM74" i="24"/>
  <c r="EP74" i="24" s="1"/>
  <c r="FA92" i="24"/>
  <c r="EL74" i="24"/>
  <c r="DW74" i="24"/>
  <c r="DY74" i="24" s="1"/>
  <c r="EF74" i="24" s="1"/>
  <c r="EY92" i="24"/>
  <c r="EY74" i="24"/>
  <c r="EN74" i="24"/>
  <c r="FA169" i="24"/>
  <c r="DW169" i="24"/>
  <c r="DY169" i="24" s="1"/>
  <c r="EF169" i="24" s="1"/>
  <c r="EN169" i="24"/>
  <c r="EB169" i="24"/>
  <c r="EL169" i="24"/>
  <c r="EY169" i="24"/>
  <c r="EB190" i="24"/>
  <c r="EN190" i="24"/>
  <c r="FA190" i="24"/>
  <c r="DW190" i="24"/>
  <c r="EA190" i="24" s="1"/>
  <c r="FL190" i="24" s="1"/>
  <c r="DX181" i="25"/>
  <c r="EC181" i="25" s="1"/>
  <c r="DU243" i="24"/>
  <c r="EL24" i="24"/>
  <c r="FA150" i="24"/>
  <c r="DY64" i="25"/>
  <c r="FL64" i="25" s="1"/>
  <c r="DY96" i="25"/>
  <c r="FL96" i="25" s="1"/>
  <c r="FA100" i="24"/>
  <c r="FA90" i="24"/>
  <c r="EL39" i="24"/>
  <c r="EL78" i="24"/>
  <c r="DY183" i="25"/>
  <c r="DY97" i="25"/>
  <c r="FL97" i="25" s="1"/>
  <c r="EM96" i="24"/>
  <c r="EP96" i="24" s="1"/>
  <c r="EB193" i="24"/>
  <c r="DW96" i="24"/>
  <c r="DY96" i="24" s="1"/>
  <c r="EF96" i="24" s="1"/>
  <c r="EB96" i="24"/>
  <c r="FA68" i="24"/>
  <c r="DU90" i="24"/>
  <c r="EL40" i="24"/>
  <c r="EM90" i="24"/>
  <c r="EP90" i="24" s="1"/>
  <c r="DU242" i="24"/>
  <c r="EN90" i="24"/>
  <c r="FA104" i="24"/>
  <c r="DW90" i="24"/>
  <c r="DY90" i="24" s="1"/>
  <c r="EF90" i="24" s="1"/>
  <c r="EB90" i="24"/>
  <c r="DY185" i="25"/>
  <c r="CG185" i="25" s="1"/>
  <c r="DY131" i="25"/>
  <c r="CG131" i="25" s="1"/>
  <c r="EY90" i="24"/>
  <c r="EB123" i="24"/>
  <c r="EY123" i="24"/>
  <c r="FA78" i="24"/>
  <c r="DU39" i="24"/>
  <c r="EY39" i="24"/>
  <c r="DU78" i="24"/>
  <c r="EB70" i="24"/>
  <c r="EY145" i="24"/>
  <c r="EM39" i="24"/>
  <c r="EP39" i="24" s="1"/>
  <c r="EB39" i="24"/>
  <c r="EN39" i="24"/>
  <c r="EN78" i="24"/>
  <c r="EL70" i="24"/>
  <c r="EB145" i="24"/>
  <c r="EY112" i="24"/>
  <c r="DW39" i="24"/>
  <c r="DY39" i="24" s="1"/>
  <c r="EF39" i="24" s="1"/>
  <c r="EM78" i="24"/>
  <c r="EP78" i="24" s="1"/>
  <c r="FA145" i="24"/>
  <c r="DW78" i="24"/>
  <c r="DY78" i="24" s="1"/>
  <c r="EF78" i="24" s="1"/>
  <c r="EY78" i="24"/>
  <c r="EY70" i="24"/>
  <c r="FA112" i="24"/>
  <c r="EL142" i="24"/>
  <c r="EL43" i="24"/>
  <c r="FA134" i="24"/>
  <c r="FA122" i="24"/>
  <c r="EB134" i="24"/>
  <c r="EB122" i="24"/>
  <c r="DY103" i="25"/>
  <c r="CH103" i="25" s="1"/>
  <c r="EY122" i="24"/>
  <c r="EY142" i="24"/>
  <c r="DY74" i="25"/>
  <c r="FL74" i="25" s="1"/>
  <c r="EL13" i="24"/>
  <c r="EB24" i="24"/>
  <c r="EB128" i="24"/>
  <c r="EL48" i="24"/>
  <c r="EB147" i="24"/>
  <c r="FA111" i="24"/>
  <c r="EN96" i="24"/>
  <c r="EL147" i="24"/>
  <c r="FA128" i="24"/>
  <c r="EY68" i="24"/>
  <c r="EB48" i="24"/>
  <c r="EL111" i="24"/>
  <c r="EY161" i="24"/>
  <c r="DY58" i="25"/>
  <c r="CH58" i="25" s="1"/>
  <c r="EL68" i="24"/>
  <c r="EB111" i="24"/>
  <c r="EY96" i="24"/>
  <c r="DY37" i="25"/>
  <c r="CH37" i="25" s="1"/>
  <c r="EY128" i="24"/>
  <c r="FA147" i="24"/>
  <c r="EY167" i="24"/>
  <c r="FA96" i="24"/>
  <c r="EL96" i="24"/>
  <c r="DY95" i="25"/>
  <c r="FL95" i="25" s="1"/>
  <c r="EL100" i="24"/>
  <c r="EY100" i="24"/>
  <c r="FA40" i="24"/>
  <c r="FA123" i="24"/>
  <c r="EC110" i="24"/>
  <c r="ED110" i="24" s="1"/>
  <c r="EH110" i="24"/>
  <c r="EI110" i="24"/>
  <c r="EX110" i="24" s="1"/>
  <c r="EL104" i="24"/>
  <c r="FA158" i="24"/>
  <c r="EH5" i="24"/>
  <c r="EC5" i="24"/>
  <c r="ED5" i="24" s="1"/>
  <c r="EI5" i="24"/>
  <c r="EX5" i="24" s="1"/>
  <c r="EB158" i="24"/>
  <c r="EG182" i="25"/>
  <c r="EX182" i="25" s="1"/>
  <c r="DY216" i="24"/>
  <c r="EF216" i="24" s="1"/>
  <c r="EA216" i="24"/>
  <c r="DY145" i="25"/>
  <c r="CH145" i="25" s="1"/>
  <c r="FA193" i="24"/>
  <c r="EY159" i="24"/>
  <c r="FA173" i="24"/>
  <c r="DY89" i="25"/>
  <c r="CH89" i="25" s="1"/>
  <c r="DY199" i="25"/>
  <c r="EF199" i="25" s="1"/>
  <c r="EW199" i="25" s="1"/>
  <c r="DY56" i="25"/>
  <c r="CH56" i="25" s="1"/>
  <c r="DY90" i="25"/>
  <c r="FL90" i="25" s="1"/>
  <c r="DY136" i="25"/>
  <c r="CH136" i="25" s="1"/>
  <c r="EL103" i="24"/>
  <c r="EB164" i="24"/>
  <c r="EL26" i="24"/>
  <c r="DY77" i="25"/>
  <c r="CH77" i="25" s="1"/>
  <c r="EY103" i="24"/>
  <c r="FA164" i="24"/>
  <c r="FA77" i="24"/>
  <c r="DY158" i="25"/>
  <c r="CG158" i="25" s="1"/>
  <c r="EY77" i="24"/>
  <c r="FA26" i="24"/>
  <c r="EL77" i="24"/>
  <c r="FA103" i="24"/>
  <c r="EY98" i="24"/>
  <c r="EB26" i="24"/>
  <c r="EY150" i="24"/>
  <c r="EY104" i="24"/>
  <c r="EB40" i="24"/>
  <c r="EB61" i="24"/>
  <c r="EL159" i="24"/>
  <c r="EB150" i="24"/>
  <c r="EY61" i="24"/>
  <c r="FA152" i="24"/>
  <c r="EY152" i="24"/>
  <c r="DU285" i="24"/>
  <c r="EL41" i="24"/>
  <c r="EY8" i="24"/>
  <c r="FA41" i="24"/>
  <c r="EB197" i="24"/>
  <c r="DY156" i="25"/>
  <c r="CG156" i="25" s="1"/>
  <c r="DY194" i="25"/>
  <c r="CG194" i="25" s="1"/>
  <c r="DY73" i="25"/>
  <c r="CH73" i="25" s="1"/>
  <c r="DY99" i="25"/>
  <c r="FL99" i="25" s="1"/>
  <c r="EY25" i="24"/>
  <c r="FA170" i="24"/>
  <c r="DY137" i="25"/>
  <c r="EF137" i="25" s="1"/>
  <c r="EW137" i="25" s="1"/>
  <c r="EB161" i="24"/>
  <c r="FA161" i="24"/>
  <c r="EY170" i="24"/>
  <c r="FA154" i="24"/>
  <c r="EL136" i="24"/>
  <c r="EL152" i="24"/>
  <c r="EB170" i="24"/>
  <c r="EY136" i="24"/>
  <c r="EB136" i="24"/>
  <c r="EY132" i="24"/>
  <c r="EB132" i="24"/>
  <c r="EL167" i="24"/>
  <c r="EB25" i="24"/>
  <c r="DY164" i="25"/>
  <c r="EG164" i="25" s="1"/>
  <c r="EX164" i="25" s="1"/>
  <c r="DY173" i="25"/>
  <c r="EG173" i="25" s="1"/>
  <c r="EX173" i="25" s="1"/>
  <c r="EE182" i="25"/>
  <c r="EI182" i="25" s="1"/>
  <c r="DY128" i="25"/>
  <c r="EG128" i="25" s="1"/>
  <c r="EX128" i="25" s="1"/>
  <c r="EF182" i="25"/>
  <c r="EW182" i="25" s="1"/>
  <c r="DY81" i="25"/>
  <c r="CH81" i="25" s="1"/>
  <c r="DY93" i="25"/>
  <c r="FL93" i="25" s="1"/>
  <c r="DY83" i="25"/>
  <c r="FL83" i="25" s="1"/>
  <c r="DY47" i="25"/>
  <c r="CH47" i="25" s="1"/>
  <c r="DY141" i="25"/>
  <c r="CH141" i="25" s="1"/>
  <c r="DY169" i="25"/>
  <c r="CH169" i="25" s="1"/>
  <c r="DY180" i="25"/>
  <c r="CH180" i="25" s="1"/>
  <c r="DY9" i="25"/>
  <c r="FL9" i="25" s="1"/>
  <c r="DY178" i="25"/>
  <c r="CH178" i="25" s="1"/>
  <c r="DY42" i="25"/>
  <c r="FL42" i="25" s="1"/>
  <c r="DY129" i="25"/>
  <c r="CH129" i="25" s="1"/>
  <c r="DY34" i="25"/>
  <c r="FL34" i="25" s="1"/>
  <c r="DY23" i="25"/>
  <c r="FL23" i="25" s="1"/>
  <c r="DY171" i="25"/>
  <c r="EG171" i="25" s="1"/>
  <c r="EX171" i="25" s="1"/>
  <c r="DY111" i="25"/>
  <c r="CH111" i="25" s="1"/>
  <c r="DY49" i="25"/>
  <c r="FL49" i="25" s="1"/>
  <c r="DY17" i="25"/>
  <c r="FL17" i="25" s="1"/>
  <c r="DY33" i="25"/>
  <c r="CG33" i="25" s="1"/>
  <c r="DY25" i="25"/>
  <c r="CH25" i="25" s="1"/>
  <c r="DY87" i="25"/>
  <c r="FL87" i="25" s="1"/>
  <c r="EY134" i="24"/>
  <c r="EL132" i="24"/>
  <c r="EB167" i="24"/>
  <c r="EY43" i="24"/>
  <c r="EB159" i="24"/>
  <c r="EB126" i="24"/>
  <c r="DX300" i="25"/>
  <c r="EC300" i="25" s="1"/>
  <c r="DY300" i="25"/>
  <c r="DX50" i="25"/>
  <c r="EC50" i="25" s="1"/>
  <c r="DY50" i="25"/>
  <c r="FL50" i="25" s="1"/>
  <c r="DX271" i="25"/>
  <c r="EC271" i="25" s="1"/>
  <c r="DY271" i="25"/>
  <c r="DX19" i="25"/>
  <c r="EC19" i="25" s="1"/>
  <c r="DY19" i="25"/>
  <c r="FL19" i="25" s="1"/>
  <c r="DX6" i="25"/>
  <c r="EC6" i="25" s="1"/>
  <c r="DY6" i="25"/>
  <c r="FL6" i="25" s="1"/>
  <c r="DX20" i="25"/>
  <c r="EC20" i="25" s="1"/>
  <c r="DY20" i="25"/>
  <c r="FL20" i="25" s="1"/>
  <c r="DY65" i="25"/>
  <c r="FL65" i="25" s="1"/>
  <c r="DX125" i="25"/>
  <c r="EC125" i="25" s="1"/>
  <c r="DY125" i="25"/>
  <c r="CH125" i="25" s="1"/>
  <c r="DX132" i="25"/>
  <c r="EC132" i="25" s="1"/>
  <c r="DY132" i="25"/>
  <c r="CH132" i="25" s="1"/>
  <c r="DX114" i="25"/>
  <c r="EC114" i="25" s="1"/>
  <c r="DY114" i="25"/>
  <c r="CG114" i="25" s="1"/>
  <c r="DY13" i="25"/>
  <c r="FL13" i="25" s="1"/>
  <c r="DX209" i="25"/>
  <c r="EC209" i="25" s="1"/>
  <c r="DY209" i="25"/>
  <c r="CH209" i="25" s="1"/>
  <c r="DX68" i="25"/>
  <c r="EC68" i="25" s="1"/>
  <c r="DY68" i="25"/>
  <c r="FL68" i="25" s="1"/>
  <c r="DY98" i="25"/>
  <c r="FL98" i="25" s="1"/>
  <c r="DX133" i="25"/>
  <c r="EC133" i="25" s="1"/>
  <c r="DY133" i="25"/>
  <c r="CH133" i="25" s="1"/>
  <c r="DX267" i="25"/>
  <c r="EC267" i="25" s="1"/>
  <c r="DY267" i="25"/>
  <c r="DX257" i="25"/>
  <c r="EC257" i="25" s="1"/>
  <c r="DY257" i="25"/>
  <c r="DY91" i="25"/>
  <c r="FL91" i="25" s="1"/>
  <c r="DX230" i="25"/>
  <c r="EC230" i="25" s="1"/>
  <c r="DY230" i="25"/>
  <c r="DX278" i="25"/>
  <c r="EC278" i="25" s="1"/>
  <c r="DY278" i="25"/>
  <c r="DY78" i="25"/>
  <c r="FL78" i="25" s="1"/>
  <c r="DX313" i="25"/>
  <c r="EC313" i="25" s="1"/>
  <c r="DY313" i="25"/>
  <c r="DX204" i="25"/>
  <c r="EC204" i="25" s="1"/>
  <c r="DY204" i="25"/>
  <c r="CH204" i="25" s="1"/>
  <c r="DY92" i="25"/>
  <c r="FL92" i="25" s="1"/>
  <c r="DX220" i="25"/>
  <c r="EC220" i="25" s="1"/>
  <c r="DY220" i="25"/>
  <c r="DY35" i="25"/>
  <c r="FL35" i="25" s="1"/>
  <c r="DX287" i="25"/>
  <c r="EC287" i="25" s="1"/>
  <c r="DY287" i="25"/>
  <c r="DX18" i="25"/>
  <c r="EC18" i="25" s="1"/>
  <c r="DY18" i="25"/>
  <c r="FL18" i="25" s="1"/>
  <c r="DY127" i="25"/>
  <c r="CG127" i="25" s="1"/>
  <c r="DX22" i="25"/>
  <c r="EC22" i="25" s="1"/>
  <c r="DY22" i="25"/>
  <c r="FL22" i="25" s="1"/>
  <c r="DX291" i="25"/>
  <c r="EC291" i="25" s="1"/>
  <c r="DY291" i="25"/>
  <c r="DX162" i="25"/>
  <c r="EC162" i="25" s="1"/>
  <c r="DY162" i="25"/>
  <c r="CH162" i="25" s="1"/>
  <c r="DX44" i="25"/>
  <c r="EC44" i="25" s="1"/>
  <c r="DY44" i="25"/>
  <c r="FL44" i="25" s="1"/>
  <c r="DX223" i="25"/>
  <c r="EC223" i="25" s="1"/>
  <c r="DY223" i="25"/>
  <c r="FA142" i="24"/>
  <c r="FA8" i="24"/>
  <c r="EB112" i="24"/>
  <c r="EB43" i="24"/>
  <c r="EY174" i="24"/>
  <c r="FA126" i="24"/>
  <c r="DX224" i="25"/>
  <c r="EC224" i="25" s="1"/>
  <c r="DY224" i="25"/>
  <c r="DX243" i="25"/>
  <c r="EC243" i="25" s="1"/>
  <c r="DY243" i="25"/>
  <c r="DX84" i="25"/>
  <c r="EC84" i="25" s="1"/>
  <c r="DY84" i="25"/>
  <c r="FL84" i="25" s="1"/>
  <c r="DY43" i="25"/>
  <c r="FL43" i="25" s="1"/>
  <c r="DX244" i="25"/>
  <c r="EC244" i="25" s="1"/>
  <c r="DY244" i="25"/>
  <c r="DX252" i="25"/>
  <c r="EC252" i="25" s="1"/>
  <c r="DY252" i="25"/>
  <c r="DX172" i="25"/>
  <c r="EC172" i="25" s="1"/>
  <c r="DY172" i="25"/>
  <c r="CH172" i="25" s="1"/>
  <c r="DY122" i="25"/>
  <c r="CG122" i="25" s="1"/>
  <c r="DX11" i="25"/>
  <c r="EC11" i="25" s="1"/>
  <c r="DY11" i="25"/>
  <c r="FL11" i="25" s="1"/>
  <c r="DX149" i="25"/>
  <c r="EC149" i="25" s="1"/>
  <c r="DY149" i="25"/>
  <c r="CH149" i="25" s="1"/>
  <c r="DX54" i="25"/>
  <c r="EC54" i="25" s="1"/>
  <c r="DY54" i="25"/>
  <c r="FL54" i="25" s="1"/>
  <c r="DX263" i="25"/>
  <c r="EC263" i="25" s="1"/>
  <c r="DY263" i="25"/>
  <c r="DY29" i="25"/>
  <c r="FL29" i="25" s="1"/>
  <c r="DY105" i="25"/>
  <c r="FL105" i="25" s="1"/>
  <c r="DX239" i="25"/>
  <c r="EC239" i="25" s="1"/>
  <c r="DY239" i="25"/>
  <c r="DX292" i="25"/>
  <c r="EC292" i="25" s="1"/>
  <c r="DY292" i="25"/>
  <c r="DX69" i="25"/>
  <c r="EC69" i="25" s="1"/>
  <c r="DY69" i="25"/>
  <c r="FL69" i="25" s="1"/>
  <c r="DY59" i="25"/>
  <c r="FL59" i="25" s="1"/>
  <c r="DY80" i="25"/>
  <c r="FL80" i="25" s="1"/>
  <c r="DX234" i="25"/>
  <c r="EC234" i="25" s="1"/>
  <c r="DY234" i="25"/>
  <c r="DX31" i="25"/>
  <c r="EC31" i="25" s="1"/>
  <c r="DY31" i="25"/>
  <c r="FL31" i="25" s="1"/>
  <c r="DX254" i="25"/>
  <c r="EC254" i="25" s="1"/>
  <c r="DY254" i="25"/>
  <c r="DX235" i="25"/>
  <c r="EC235" i="25" s="1"/>
  <c r="DY235" i="25"/>
  <c r="DX290" i="25"/>
  <c r="EC290" i="25" s="1"/>
  <c r="DY290" i="25"/>
  <c r="DX159" i="25"/>
  <c r="EC159" i="25" s="1"/>
  <c r="DY159" i="25"/>
  <c r="CH159" i="25" s="1"/>
  <c r="DY12" i="25"/>
  <c r="FL12" i="25" s="1"/>
  <c r="DX61" i="25"/>
  <c r="EC61" i="25" s="1"/>
  <c r="DY61" i="25"/>
  <c r="FL61" i="25" s="1"/>
  <c r="DX117" i="25"/>
  <c r="EC117" i="25" s="1"/>
  <c r="DY117" i="25"/>
  <c r="CH117" i="25" s="1"/>
  <c r="DY190" i="25"/>
  <c r="CH190" i="25" s="1"/>
  <c r="DY79" i="25"/>
  <c r="FL79" i="25" s="1"/>
  <c r="DY208" i="25"/>
  <c r="CH208" i="25" s="1"/>
  <c r="DX146" i="25"/>
  <c r="EC146" i="25" s="1"/>
  <c r="DY146" i="25"/>
  <c r="CH146" i="25" s="1"/>
  <c r="EL174" i="24"/>
  <c r="EL126" i="24"/>
  <c r="DX75" i="25"/>
  <c r="EC75" i="25" s="1"/>
  <c r="DY75" i="25"/>
  <c r="FL75" i="25" s="1"/>
  <c r="DX151" i="25"/>
  <c r="EC151" i="25" s="1"/>
  <c r="DY151" i="25"/>
  <c r="CH151" i="25" s="1"/>
  <c r="DX268" i="25"/>
  <c r="EC268" i="25" s="1"/>
  <c r="DY268" i="25"/>
  <c r="DX113" i="25"/>
  <c r="EC113" i="25" s="1"/>
  <c r="DY113" i="25"/>
  <c r="CH113" i="25" s="1"/>
  <c r="DX256" i="25"/>
  <c r="EC256" i="25" s="1"/>
  <c r="DY256" i="25"/>
  <c r="DX222" i="25"/>
  <c r="EC222" i="25" s="1"/>
  <c r="DY222" i="25"/>
  <c r="DX260" i="25"/>
  <c r="EC260" i="25" s="1"/>
  <c r="DY260" i="25"/>
  <c r="DX264" i="25"/>
  <c r="EC264" i="25" s="1"/>
  <c r="DY264" i="25"/>
  <c r="DX296" i="25"/>
  <c r="EC296" i="25" s="1"/>
  <c r="DY296" i="25"/>
  <c r="DX265" i="25"/>
  <c r="EC265" i="25" s="1"/>
  <c r="DY265" i="25"/>
  <c r="DY157" i="25"/>
  <c r="CH157" i="25" s="1"/>
  <c r="DX41" i="25"/>
  <c r="EC41" i="25" s="1"/>
  <c r="DY41" i="25"/>
  <c r="FL41" i="25" s="1"/>
  <c r="DX32" i="25"/>
  <c r="EC32" i="25" s="1"/>
  <c r="DY32" i="25"/>
  <c r="FL32" i="25" s="1"/>
  <c r="DX261" i="25"/>
  <c r="EC261" i="25" s="1"/>
  <c r="DY261" i="25"/>
  <c r="DX55" i="25"/>
  <c r="EC55" i="25" s="1"/>
  <c r="DY55" i="25"/>
  <c r="FL55" i="25" s="1"/>
  <c r="DX249" i="25"/>
  <c r="EC249" i="25" s="1"/>
  <c r="DY249" i="25"/>
  <c r="DX30" i="25"/>
  <c r="EC30" i="25" s="1"/>
  <c r="DY30" i="25"/>
  <c r="FL30" i="25" s="1"/>
  <c r="DX192" i="25"/>
  <c r="EC192" i="25" s="1"/>
  <c r="DY192" i="25"/>
  <c r="CG192" i="25" s="1"/>
  <c r="DX165" i="25"/>
  <c r="EC165" i="25" s="1"/>
  <c r="DY165" i="25"/>
  <c r="CH165" i="25" s="1"/>
  <c r="DX135" i="25"/>
  <c r="EC135" i="25" s="1"/>
  <c r="DY135" i="25"/>
  <c r="CH135" i="25" s="1"/>
  <c r="DX245" i="25"/>
  <c r="EC245" i="25" s="1"/>
  <c r="DY245" i="25"/>
  <c r="DY187" i="25"/>
  <c r="CG187" i="25" s="1"/>
  <c r="DX8" i="25"/>
  <c r="EC8" i="25" s="1"/>
  <c r="DY8" i="25"/>
  <c r="FL8" i="25" s="1"/>
  <c r="DX144" i="25"/>
  <c r="EC144" i="25" s="1"/>
  <c r="DY144" i="25"/>
  <c r="CH144" i="25" s="1"/>
  <c r="DY38" i="25"/>
  <c r="FL38" i="25" s="1"/>
  <c r="DY139" i="25"/>
  <c r="CH139" i="25" s="1"/>
  <c r="DY210" i="25"/>
  <c r="CH210" i="25" s="1"/>
  <c r="DY193" i="25"/>
  <c r="CH193" i="25" s="1"/>
  <c r="DX104" i="25"/>
  <c r="EC104" i="25" s="1"/>
  <c r="DY104" i="25"/>
  <c r="FL104" i="25" s="1"/>
  <c r="FA174" i="24"/>
  <c r="DX272" i="25"/>
  <c r="EC272" i="25" s="1"/>
  <c r="DY272" i="25"/>
  <c r="DX250" i="25"/>
  <c r="EC250" i="25" s="1"/>
  <c r="DY250" i="25"/>
  <c r="EE138" i="25"/>
  <c r="EG138" i="25"/>
  <c r="EX138" i="25" s="1"/>
  <c r="EF138" i="25"/>
  <c r="EW138" i="25" s="1"/>
  <c r="DX167" i="25"/>
  <c r="EC167" i="25" s="1"/>
  <c r="DY167" i="25"/>
  <c r="CH167" i="25" s="1"/>
  <c r="DX266" i="25"/>
  <c r="EC266" i="25" s="1"/>
  <c r="DY266" i="25"/>
  <c r="DX299" i="25"/>
  <c r="EC299" i="25" s="1"/>
  <c r="DY299" i="25"/>
  <c r="DX120" i="25"/>
  <c r="EC120" i="25" s="1"/>
  <c r="DY120" i="25"/>
  <c r="CH120" i="25" s="1"/>
  <c r="DX305" i="25"/>
  <c r="EC305" i="25" s="1"/>
  <c r="DY305" i="25"/>
  <c r="DX142" i="25"/>
  <c r="EC142" i="25" s="1"/>
  <c r="DY142" i="25"/>
  <c r="CH142" i="25" s="1"/>
  <c r="DY126" i="25"/>
  <c r="CH126" i="25" s="1"/>
  <c r="DX277" i="25"/>
  <c r="EC277" i="25" s="1"/>
  <c r="DY277" i="25"/>
  <c r="DX148" i="25"/>
  <c r="EC148" i="25" s="1"/>
  <c r="DY148" i="25"/>
  <c r="CG148" i="25" s="1"/>
  <c r="DX270" i="25"/>
  <c r="EC270" i="25" s="1"/>
  <c r="DY270" i="25"/>
  <c r="DX306" i="25"/>
  <c r="EC306" i="25" s="1"/>
  <c r="DY306" i="25"/>
  <c r="DX289" i="25"/>
  <c r="EC289" i="25" s="1"/>
  <c r="DY289" i="25"/>
  <c r="DX241" i="25"/>
  <c r="EC241" i="25" s="1"/>
  <c r="DY241" i="25"/>
  <c r="DX16" i="25"/>
  <c r="EC16" i="25" s="1"/>
  <c r="DY16" i="25"/>
  <c r="FL16" i="25" s="1"/>
  <c r="DY88" i="25"/>
  <c r="FL88" i="25" s="1"/>
  <c r="DX275" i="25"/>
  <c r="EC275" i="25" s="1"/>
  <c r="DY275" i="25"/>
  <c r="DX240" i="25"/>
  <c r="EC240" i="25" s="1"/>
  <c r="DY240" i="25"/>
  <c r="DX308" i="25"/>
  <c r="EC308" i="25" s="1"/>
  <c r="DY308" i="25"/>
  <c r="DX237" i="25"/>
  <c r="EC237" i="25" s="1"/>
  <c r="DY237" i="25"/>
  <c r="DX186" i="25"/>
  <c r="EC186" i="25" s="1"/>
  <c r="DY186" i="25"/>
  <c r="CH186" i="25" s="1"/>
  <c r="DX283" i="25"/>
  <c r="EC283" i="25" s="1"/>
  <c r="DY283" i="25"/>
  <c r="DX184" i="25"/>
  <c r="EC184" i="25" s="1"/>
  <c r="DY184" i="25"/>
  <c r="CG184" i="25" s="1"/>
  <c r="DX124" i="25"/>
  <c r="EC124" i="25" s="1"/>
  <c r="DY124" i="25"/>
  <c r="CH124" i="25" s="1"/>
  <c r="DX188" i="25"/>
  <c r="EC188" i="25" s="1"/>
  <c r="DY188" i="25"/>
  <c r="CH188" i="25" s="1"/>
  <c r="DX229" i="25"/>
  <c r="EC229" i="25" s="1"/>
  <c r="DY229" i="25"/>
  <c r="DY200" i="25"/>
  <c r="CG200" i="25" s="1"/>
  <c r="DY168" i="25"/>
  <c r="CH168" i="25" s="1"/>
  <c r="DX57" i="25"/>
  <c r="EC57" i="25" s="1"/>
  <c r="DY57" i="25"/>
  <c r="FL57" i="25" s="1"/>
  <c r="DX115" i="25"/>
  <c r="EC115" i="25" s="1"/>
  <c r="DY115" i="25"/>
  <c r="CG115" i="25" s="1"/>
  <c r="DX279" i="25"/>
  <c r="EC279" i="25" s="1"/>
  <c r="DY279" i="25"/>
  <c r="DX226" i="25"/>
  <c r="EC226" i="25" s="1"/>
  <c r="DY226" i="25"/>
  <c r="DX242" i="25"/>
  <c r="EC242" i="25" s="1"/>
  <c r="DY242" i="25"/>
  <c r="EG143" i="25"/>
  <c r="EX143" i="25" s="1"/>
  <c r="EE143" i="25"/>
  <c r="EF143" i="25"/>
  <c r="EW143" i="25" s="1"/>
  <c r="DX295" i="25"/>
  <c r="EC295" i="25" s="1"/>
  <c r="DY295" i="25"/>
  <c r="DX53" i="25"/>
  <c r="EC53" i="25" s="1"/>
  <c r="DY53" i="25"/>
  <c r="FL53" i="25" s="1"/>
  <c r="DX160" i="25"/>
  <c r="EC160" i="25" s="1"/>
  <c r="DY160" i="25"/>
  <c r="CH160" i="25" s="1"/>
  <c r="DY70" i="25"/>
  <c r="FL70" i="25" s="1"/>
  <c r="EB41" i="24"/>
  <c r="EL193" i="24"/>
  <c r="EL183" i="24"/>
  <c r="EY173" i="24"/>
  <c r="DX116" i="25"/>
  <c r="EC116" i="25" s="1"/>
  <c r="DY116" i="25"/>
  <c r="CH116" i="25" s="1"/>
  <c r="DY189" i="25"/>
  <c r="CH189" i="25" s="1"/>
  <c r="DX140" i="25"/>
  <c r="EC140" i="25" s="1"/>
  <c r="DY140" i="25"/>
  <c r="CH140" i="25" s="1"/>
  <c r="DX67" i="25"/>
  <c r="EC67" i="25" s="1"/>
  <c r="DY67" i="25"/>
  <c r="FL67" i="25" s="1"/>
  <c r="DY179" i="25"/>
  <c r="CH179" i="25" s="1"/>
  <c r="DX205" i="25"/>
  <c r="EC205" i="25" s="1"/>
  <c r="DY205" i="25"/>
  <c r="CG205" i="25" s="1"/>
  <c r="DX150" i="25"/>
  <c r="EC150" i="25" s="1"/>
  <c r="DY150" i="25"/>
  <c r="CH150" i="25" s="1"/>
  <c r="DX201" i="25"/>
  <c r="EC201" i="25" s="1"/>
  <c r="DY201" i="25"/>
  <c r="CH201" i="25" s="1"/>
  <c r="DY14" i="25"/>
  <c r="FL14" i="25" s="1"/>
  <c r="DY24" i="25"/>
  <c r="FL24" i="25" s="1"/>
  <c r="DX85" i="25"/>
  <c r="EC85" i="25" s="1"/>
  <c r="DY85" i="25"/>
  <c r="FL85" i="25" s="1"/>
  <c r="DY174" i="25"/>
  <c r="CG174" i="25" s="1"/>
  <c r="DX315" i="25"/>
  <c r="EC315" i="25" s="1"/>
  <c r="DY315" i="25"/>
  <c r="DY177" i="25"/>
  <c r="CH177" i="25" s="1"/>
  <c r="DY86" i="25"/>
  <c r="FL86" i="25" s="1"/>
  <c r="DX110" i="25"/>
  <c r="EC110" i="25" s="1"/>
  <c r="DY110" i="25"/>
  <c r="CH110" i="25" s="1"/>
  <c r="DX62" i="25"/>
  <c r="EC62" i="25" s="1"/>
  <c r="DY62" i="25"/>
  <c r="FL62" i="25" s="1"/>
  <c r="DY48" i="25"/>
  <c r="FL48" i="25" s="1"/>
  <c r="DY60" i="25"/>
  <c r="FL60" i="25" s="1"/>
  <c r="DX7" i="25"/>
  <c r="EC7" i="25" s="1"/>
  <c r="DY7" i="25"/>
  <c r="FL7" i="25" s="1"/>
  <c r="DX288" i="25"/>
  <c r="EC288" i="25" s="1"/>
  <c r="DY288" i="25"/>
  <c r="DX154" i="25"/>
  <c r="EC154" i="25" s="1"/>
  <c r="DY154" i="25"/>
  <c r="CH154" i="25" s="1"/>
  <c r="DX198" i="25"/>
  <c r="EC198" i="25" s="1"/>
  <c r="DY198" i="25"/>
  <c r="CG198" i="25" s="1"/>
  <c r="DY170" i="25"/>
  <c r="CG170" i="25" s="1"/>
  <c r="DX251" i="25"/>
  <c r="EC251" i="25" s="1"/>
  <c r="DY251" i="25"/>
  <c r="DX248" i="25"/>
  <c r="EC248" i="25" s="1"/>
  <c r="DY248" i="25"/>
  <c r="DX228" i="25"/>
  <c r="EC228" i="25" s="1"/>
  <c r="DY228" i="25"/>
  <c r="DY147" i="25"/>
  <c r="CG147" i="25" s="1"/>
  <c r="DY45" i="25"/>
  <c r="FL45" i="25" s="1"/>
  <c r="DX202" i="25"/>
  <c r="EC202" i="25" s="1"/>
  <c r="DY202" i="25"/>
  <c r="CH202" i="25" s="1"/>
  <c r="DX303" i="25"/>
  <c r="EC303" i="25" s="1"/>
  <c r="DY303" i="25"/>
  <c r="DY66" i="25"/>
  <c r="FL66" i="25" s="1"/>
  <c r="DX102" i="25"/>
  <c r="EC102" i="25" s="1"/>
  <c r="DY102" i="25"/>
  <c r="FL102" i="25" s="1"/>
  <c r="DY72" i="25"/>
  <c r="FL72" i="25" s="1"/>
  <c r="DX231" i="25"/>
  <c r="EC231" i="25" s="1"/>
  <c r="DY231" i="25"/>
  <c r="DX63" i="25"/>
  <c r="EC63" i="25" s="1"/>
  <c r="DY63" i="25"/>
  <c r="FL63" i="25" s="1"/>
  <c r="FA98" i="24"/>
  <c r="DX247" i="25"/>
  <c r="EC247" i="25" s="1"/>
  <c r="DY247" i="25"/>
  <c r="DX152" i="25"/>
  <c r="EC152" i="25" s="1"/>
  <c r="DY152" i="25"/>
  <c r="CH152" i="25" s="1"/>
  <c r="DX195" i="25"/>
  <c r="EC195" i="25" s="1"/>
  <c r="DY195" i="25"/>
  <c r="CH195" i="25" s="1"/>
  <c r="DX134" i="25"/>
  <c r="EC134" i="25" s="1"/>
  <c r="DY134" i="25"/>
  <c r="CH134" i="25" s="1"/>
  <c r="DX294" i="25"/>
  <c r="EC294" i="25" s="1"/>
  <c r="DY294" i="25"/>
  <c r="DY51" i="25"/>
  <c r="FL51" i="25" s="1"/>
  <c r="DX259" i="25"/>
  <c r="EC259" i="25" s="1"/>
  <c r="DY259" i="25"/>
  <c r="DY121" i="25"/>
  <c r="CH121" i="25" s="1"/>
  <c r="DX310" i="25"/>
  <c r="EC310" i="25" s="1"/>
  <c r="DY310" i="25"/>
  <c r="DX221" i="25"/>
  <c r="EC221" i="25" s="1"/>
  <c r="DY221" i="25"/>
  <c r="DX36" i="25"/>
  <c r="EC36" i="25" s="1"/>
  <c r="DY36" i="25"/>
  <c r="FL36" i="25" s="1"/>
  <c r="DX176" i="25"/>
  <c r="EC176" i="25" s="1"/>
  <c r="DY176" i="25"/>
  <c r="CH176" i="25" s="1"/>
  <c r="DX161" i="25"/>
  <c r="EC161" i="25" s="1"/>
  <c r="DY161" i="25"/>
  <c r="CH161" i="25" s="1"/>
  <c r="DX225" i="25"/>
  <c r="EC225" i="25" s="1"/>
  <c r="DY225" i="25"/>
  <c r="DX232" i="25"/>
  <c r="EC232" i="25" s="1"/>
  <c r="DY232" i="25"/>
  <c r="DX302" i="25"/>
  <c r="EC302" i="25" s="1"/>
  <c r="DY302" i="25"/>
  <c r="DX309" i="25"/>
  <c r="EC309" i="25" s="1"/>
  <c r="DY309" i="25"/>
  <c r="DX197" i="25"/>
  <c r="EC197" i="25" s="1"/>
  <c r="DY197" i="25"/>
  <c r="CH197" i="25" s="1"/>
  <c r="DX76" i="25"/>
  <c r="EC76" i="25" s="1"/>
  <c r="DY76" i="25"/>
  <c r="FL76" i="25" s="1"/>
  <c r="DX82" i="25"/>
  <c r="EC82" i="25" s="1"/>
  <c r="DY82" i="25"/>
  <c r="FL82" i="25" s="1"/>
  <c r="DY191" i="25"/>
  <c r="CH191" i="25" s="1"/>
  <c r="DX280" i="25"/>
  <c r="EC280" i="25" s="1"/>
  <c r="DY280" i="25"/>
  <c r="DX311" i="25"/>
  <c r="EC311" i="25" s="1"/>
  <c r="DY311" i="25"/>
  <c r="DY203" i="25"/>
  <c r="CH203" i="25" s="1"/>
  <c r="DY15" i="25"/>
  <c r="FL15" i="25" s="1"/>
  <c r="DY40" i="25"/>
  <c r="FL40" i="25" s="1"/>
  <c r="DX118" i="25"/>
  <c r="EC118" i="25" s="1"/>
  <c r="DY118" i="25"/>
  <c r="CG118" i="25" s="1"/>
  <c r="DX233" i="25"/>
  <c r="EC233" i="25" s="1"/>
  <c r="DY233" i="25"/>
  <c r="DX218" i="25"/>
  <c r="EC218" i="25" s="1"/>
  <c r="DY218" i="25"/>
  <c r="DX217" i="25"/>
  <c r="EC217" i="25" s="1"/>
  <c r="DY217" i="25"/>
  <c r="DX255" i="25"/>
  <c r="EC255" i="25" s="1"/>
  <c r="DY255" i="25"/>
  <c r="DX52" i="25"/>
  <c r="EC52" i="25" s="1"/>
  <c r="DY52" i="25"/>
  <c r="FL52" i="25" s="1"/>
  <c r="DX297" i="25"/>
  <c r="EC297" i="25" s="1"/>
  <c r="DY297" i="25"/>
  <c r="DX307" i="25"/>
  <c r="EC307" i="25" s="1"/>
  <c r="DY307" i="25"/>
  <c r="DX216" i="25"/>
  <c r="EC216" i="25" s="1"/>
  <c r="DY216" i="25"/>
  <c r="DX28" i="25"/>
  <c r="EC28" i="25" s="1"/>
  <c r="DY28" i="25"/>
  <c r="FL28" i="25" s="1"/>
  <c r="DX286" i="25"/>
  <c r="EC286" i="25" s="1"/>
  <c r="DY286" i="25"/>
  <c r="DX155" i="25"/>
  <c r="EC155" i="25" s="1"/>
  <c r="DY155" i="25"/>
  <c r="CG155" i="25" s="1"/>
  <c r="DX314" i="25"/>
  <c r="EC314" i="25" s="1"/>
  <c r="DY314" i="25"/>
  <c r="DX196" i="25"/>
  <c r="EC196" i="25" s="1"/>
  <c r="DY196" i="25"/>
  <c r="CH196" i="25" s="1"/>
  <c r="DX284" i="25"/>
  <c r="EC284" i="25" s="1"/>
  <c r="DY284" i="25"/>
  <c r="DX281" i="25"/>
  <c r="EC281" i="25" s="1"/>
  <c r="DY281" i="25"/>
  <c r="DX130" i="25"/>
  <c r="EC130" i="25" s="1"/>
  <c r="DY130" i="25"/>
  <c r="CG130" i="25" s="1"/>
  <c r="DX46" i="25"/>
  <c r="EC46" i="25" s="1"/>
  <c r="DY46" i="25"/>
  <c r="FL46" i="25" s="1"/>
  <c r="DY175" i="25"/>
  <c r="CH175" i="25" s="1"/>
  <c r="DX304" i="25"/>
  <c r="EC304" i="25" s="1"/>
  <c r="DY304" i="25"/>
  <c r="DX262" i="25"/>
  <c r="EC262" i="25" s="1"/>
  <c r="DY262" i="25"/>
  <c r="DX206" i="25"/>
  <c r="EC206" i="25" s="1"/>
  <c r="DY206" i="25"/>
  <c r="CH206" i="25" s="1"/>
  <c r="DX21" i="25"/>
  <c r="EC21" i="25" s="1"/>
  <c r="DY21" i="25"/>
  <c r="FL21" i="25" s="1"/>
  <c r="DY27" i="25"/>
  <c r="FL27" i="25" s="1"/>
  <c r="DX94" i="25"/>
  <c r="EC94" i="25" s="1"/>
  <c r="DY94" i="25"/>
  <c r="FL94" i="25" s="1"/>
  <c r="DX153" i="25"/>
  <c r="EC153" i="25" s="1"/>
  <c r="DY153" i="25"/>
  <c r="CH153" i="25" s="1"/>
  <c r="DX316" i="25"/>
  <c r="EC316" i="25" s="1"/>
  <c r="DY316" i="25"/>
  <c r="DX298" i="25"/>
  <c r="EC298" i="25" s="1"/>
  <c r="DY298" i="25"/>
  <c r="DY119" i="25"/>
  <c r="CG119" i="25" s="1"/>
  <c r="DX253" i="25"/>
  <c r="EC253" i="25" s="1"/>
  <c r="DY253" i="25"/>
  <c r="DX219" i="25"/>
  <c r="EC219" i="25" s="1"/>
  <c r="DY219" i="25"/>
  <c r="DX101" i="25"/>
  <c r="EC101" i="25" s="1"/>
  <c r="DY101" i="25"/>
  <c r="FL101" i="25" s="1"/>
  <c r="DX258" i="25"/>
  <c r="EC258" i="25" s="1"/>
  <c r="DY258" i="25"/>
  <c r="DX285" i="25"/>
  <c r="EC285" i="25" s="1"/>
  <c r="DY285" i="25"/>
  <c r="DX293" i="25"/>
  <c r="EC293" i="25" s="1"/>
  <c r="DY293" i="25"/>
  <c r="DX163" i="25"/>
  <c r="EC163" i="25" s="1"/>
  <c r="DY163" i="25"/>
  <c r="CH163" i="25" s="1"/>
  <c r="DX273" i="25"/>
  <c r="EC273" i="25" s="1"/>
  <c r="DY273" i="25"/>
  <c r="DX39" i="25"/>
  <c r="EC39" i="25" s="1"/>
  <c r="DY39" i="25"/>
  <c r="FL39" i="25" s="1"/>
  <c r="EF181" i="25"/>
  <c r="EW181" i="25" s="1"/>
  <c r="EG181" i="25"/>
  <c r="EX181" i="25" s="1"/>
  <c r="EE181" i="25"/>
  <c r="DX238" i="25"/>
  <c r="EC238" i="25" s="1"/>
  <c r="DY238" i="25"/>
  <c r="DX246" i="25"/>
  <c r="EC246" i="25" s="1"/>
  <c r="DY246" i="25"/>
  <c r="DX10" i="25"/>
  <c r="EC10" i="25" s="1"/>
  <c r="DY10" i="25"/>
  <c r="FL10" i="25" s="1"/>
  <c r="DX276" i="25"/>
  <c r="EC276" i="25" s="1"/>
  <c r="DY276" i="25"/>
  <c r="DX227" i="25"/>
  <c r="EC227" i="25" s="1"/>
  <c r="DY227" i="25"/>
  <c r="DX274" i="25"/>
  <c r="EC274" i="25" s="1"/>
  <c r="DY274" i="25"/>
  <c r="DX282" i="25"/>
  <c r="EC282" i="25" s="1"/>
  <c r="DY282" i="25"/>
  <c r="DX123" i="25"/>
  <c r="EC123" i="25" s="1"/>
  <c r="DY123" i="25"/>
  <c r="CH123" i="25" s="1"/>
  <c r="DX71" i="25"/>
  <c r="EC71" i="25" s="1"/>
  <c r="DY71" i="25"/>
  <c r="FL71" i="25" s="1"/>
  <c r="DX312" i="25"/>
  <c r="EC312" i="25" s="1"/>
  <c r="DY312" i="25"/>
  <c r="DX26" i="25"/>
  <c r="EC26" i="25" s="1"/>
  <c r="DY26" i="25"/>
  <c r="FL26" i="25" s="1"/>
  <c r="DX166" i="25"/>
  <c r="EC166" i="25" s="1"/>
  <c r="DY166" i="25"/>
  <c r="CH166" i="25" s="1"/>
  <c r="DX236" i="25"/>
  <c r="EC236" i="25" s="1"/>
  <c r="DY236" i="25"/>
  <c r="DX207" i="25"/>
  <c r="EC207" i="25" s="1"/>
  <c r="DY207" i="25"/>
  <c r="CH207" i="25" s="1"/>
  <c r="DX269" i="25"/>
  <c r="EC269" i="25" s="1"/>
  <c r="DY269" i="25"/>
  <c r="DY100" i="25"/>
  <c r="FL100" i="25" s="1"/>
  <c r="DX301" i="25"/>
  <c r="EC301" i="25" s="1"/>
  <c r="DY301" i="25"/>
  <c r="EY33" i="24"/>
  <c r="EB71" i="24"/>
  <c r="FA33" i="24"/>
  <c r="EY71" i="24"/>
  <c r="EL71" i="24"/>
  <c r="FA13" i="24"/>
  <c r="EL33" i="24"/>
  <c r="EB35" i="24"/>
  <c r="FA35" i="24"/>
  <c r="EL44" i="24"/>
  <c r="EY35" i="24"/>
  <c r="EY44" i="24"/>
  <c r="EB44" i="24"/>
  <c r="EL62" i="24"/>
  <c r="EL171" i="24"/>
  <c r="EB55" i="24"/>
  <c r="EB62" i="24"/>
  <c r="EY55" i="24"/>
  <c r="EY14" i="24"/>
  <c r="EB133" i="24"/>
  <c r="EY124" i="24"/>
  <c r="FA133" i="24"/>
  <c r="EB60" i="24"/>
  <c r="EB172" i="24"/>
  <c r="EY65" i="24"/>
  <c r="EL60" i="24"/>
  <c r="FA54" i="24"/>
  <c r="EB42" i="24"/>
  <c r="EL65" i="24"/>
  <c r="FA129" i="24"/>
  <c r="EY127" i="24"/>
  <c r="FA60" i="24"/>
  <c r="EY67" i="24"/>
  <c r="EL54" i="24"/>
  <c r="FA65" i="24"/>
  <c r="EB129" i="24"/>
  <c r="EL67" i="24"/>
  <c r="EB88" i="24"/>
  <c r="EN88" i="24"/>
  <c r="DW88" i="24"/>
  <c r="EM88" i="24"/>
  <c r="EP88" i="24" s="1"/>
  <c r="DU88" i="24"/>
  <c r="EL88" i="24"/>
  <c r="FA88" i="24"/>
  <c r="EY88" i="24"/>
  <c r="EL89" i="24"/>
  <c r="DW38" i="24"/>
  <c r="EN38" i="24"/>
  <c r="EM38" i="24"/>
  <c r="EP38" i="24" s="1"/>
  <c r="DU38" i="24"/>
  <c r="EY38" i="24"/>
  <c r="EL38" i="24"/>
  <c r="EB38" i="24"/>
  <c r="FA38" i="24"/>
  <c r="DW308" i="24"/>
  <c r="DU308" i="24"/>
  <c r="DW278" i="24"/>
  <c r="DU278" i="24"/>
  <c r="EN81" i="24"/>
  <c r="DW81" i="24"/>
  <c r="DY81" i="24" s="1"/>
  <c r="EF81" i="24" s="1"/>
  <c r="EM81" i="24"/>
  <c r="EP81" i="24" s="1"/>
  <c r="DU81" i="24"/>
  <c r="DW233" i="24"/>
  <c r="DU233" i="24"/>
  <c r="DW192" i="24"/>
  <c r="DY192" i="24" s="1"/>
  <c r="EF192" i="24" s="1"/>
  <c r="EN192" i="24"/>
  <c r="EM192" i="24"/>
  <c r="EP192" i="24" s="1"/>
  <c r="FA29" i="24"/>
  <c r="FA52" i="24"/>
  <c r="EN52" i="24"/>
  <c r="DW52" i="24"/>
  <c r="DY52" i="24" s="1"/>
  <c r="EF52" i="24" s="1"/>
  <c r="EM52" i="24"/>
  <c r="EP52" i="24" s="1"/>
  <c r="DU52" i="24"/>
  <c r="EE161" i="24"/>
  <c r="EE70" i="24"/>
  <c r="EE33" i="24"/>
  <c r="DW255" i="24"/>
  <c r="DU255" i="24"/>
  <c r="EL121" i="24"/>
  <c r="DW121" i="24"/>
  <c r="EN121" i="24"/>
  <c r="EM121" i="24"/>
  <c r="EP121" i="24" s="1"/>
  <c r="EY121" i="24"/>
  <c r="EB121" i="24"/>
  <c r="FA121" i="24"/>
  <c r="EL185" i="24"/>
  <c r="DW277" i="24"/>
  <c r="DU277" i="24"/>
  <c r="DW194" i="24"/>
  <c r="EN194" i="24"/>
  <c r="EM194" i="24"/>
  <c r="EP194" i="24" s="1"/>
  <c r="EB194" i="24"/>
  <c r="FA194" i="24"/>
  <c r="EL194" i="24"/>
  <c r="EY194" i="24"/>
  <c r="DW82" i="24"/>
  <c r="EN82" i="24"/>
  <c r="EM82" i="24"/>
  <c r="EP82" i="24" s="1"/>
  <c r="DU82" i="24"/>
  <c r="EB82" i="24"/>
  <c r="FA82" i="24"/>
  <c r="EL82" i="24"/>
  <c r="EY82" i="24"/>
  <c r="DW241" i="24"/>
  <c r="DU241" i="24"/>
  <c r="EE202" i="24"/>
  <c r="EL162" i="24"/>
  <c r="DW162" i="24"/>
  <c r="EN162" i="24"/>
  <c r="EM162" i="24"/>
  <c r="EP162" i="24" s="1"/>
  <c r="EY162" i="24"/>
  <c r="FA162" i="24"/>
  <c r="EB162" i="24"/>
  <c r="EE112" i="24"/>
  <c r="EL192" i="24"/>
  <c r="DW76" i="24"/>
  <c r="EN76" i="24"/>
  <c r="EM76" i="24"/>
  <c r="EP76" i="24" s="1"/>
  <c r="DU76" i="24"/>
  <c r="FA76" i="24"/>
  <c r="EY76" i="24"/>
  <c r="EL76" i="24"/>
  <c r="EB76" i="24"/>
  <c r="EE54" i="24"/>
  <c r="EB183" i="24"/>
  <c r="EL175" i="24"/>
  <c r="DW286" i="24"/>
  <c r="DU286" i="24"/>
  <c r="DW18" i="24"/>
  <c r="EN18" i="24"/>
  <c r="EM18" i="24"/>
  <c r="EP18" i="24" s="1"/>
  <c r="DU18" i="24"/>
  <c r="EL18" i="24"/>
  <c r="EB18" i="24"/>
  <c r="EY18" i="24"/>
  <c r="FA18" i="24"/>
  <c r="EL197" i="24"/>
  <c r="EY42" i="24"/>
  <c r="DW132" i="24"/>
  <c r="DY132" i="24" s="1"/>
  <c r="EF132" i="24" s="1"/>
  <c r="EN132" i="24"/>
  <c r="EM132" i="24"/>
  <c r="EP132" i="24" s="1"/>
  <c r="EB47" i="24"/>
  <c r="EE159" i="24"/>
  <c r="FA83" i="24"/>
  <c r="EN104" i="24"/>
  <c r="DW104" i="24"/>
  <c r="DY104" i="24" s="1"/>
  <c r="EF104" i="24" s="1"/>
  <c r="EM104" i="24"/>
  <c r="EP104" i="24" s="1"/>
  <c r="DU104" i="24"/>
  <c r="EB138" i="24"/>
  <c r="EN40" i="24"/>
  <c r="DW40" i="24"/>
  <c r="DY40" i="24" s="1"/>
  <c r="EF40" i="24" s="1"/>
  <c r="EM40" i="24"/>
  <c r="EP40" i="24" s="1"/>
  <c r="DU40" i="24"/>
  <c r="DW9" i="24"/>
  <c r="EN9" i="24"/>
  <c r="EM9" i="24"/>
  <c r="EP9" i="24" s="1"/>
  <c r="DU9" i="24"/>
  <c r="FA9" i="24"/>
  <c r="EB9" i="24"/>
  <c r="EY9" i="24"/>
  <c r="EL9" i="24"/>
  <c r="EE50" i="24"/>
  <c r="EE65" i="24"/>
  <c r="EL10" i="24"/>
  <c r="EL124" i="24"/>
  <c r="EY81" i="24"/>
  <c r="DW217" i="24"/>
  <c r="DU217" i="24"/>
  <c r="DW71" i="24"/>
  <c r="DY71" i="24" s="1"/>
  <c r="EF71" i="24" s="1"/>
  <c r="EN71" i="24"/>
  <c r="EM71" i="24"/>
  <c r="EP71" i="24" s="1"/>
  <c r="DU71" i="24"/>
  <c r="DW159" i="24"/>
  <c r="DY159" i="24" s="1"/>
  <c r="EF159" i="24" s="1"/>
  <c r="EN159" i="24"/>
  <c r="EM159" i="24"/>
  <c r="EP159" i="24" s="1"/>
  <c r="EE114" i="24"/>
  <c r="DW302" i="24"/>
  <c r="DU302" i="24"/>
  <c r="EL23" i="24"/>
  <c r="DW296" i="24"/>
  <c r="DU296" i="24"/>
  <c r="EN133" i="24"/>
  <c r="DW133" i="24"/>
  <c r="DY133" i="24" s="1"/>
  <c r="EF133" i="24" s="1"/>
  <c r="EM133" i="24"/>
  <c r="EP133" i="24" s="1"/>
  <c r="EL14" i="24"/>
  <c r="EB155" i="24"/>
  <c r="EE80" i="24"/>
  <c r="EB199" i="24"/>
  <c r="EE53" i="24"/>
  <c r="EE129" i="24"/>
  <c r="DW313" i="24"/>
  <c r="DU313" i="24"/>
  <c r="DW126" i="24"/>
  <c r="DY126" i="24" s="1"/>
  <c r="EF126" i="24" s="1"/>
  <c r="EN126" i="24"/>
  <c r="EM126" i="24"/>
  <c r="EP126" i="24" s="1"/>
  <c r="DW115" i="24"/>
  <c r="EN115" i="24"/>
  <c r="EM115" i="24"/>
  <c r="EP115" i="24" s="1"/>
  <c r="EY115" i="24"/>
  <c r="EL115" i="24"/>
  <c r="FA115" i="24"/>
  <c r="EB115" i="24"/>
  <c r="EE150" i="24"/>
  <c r="DW160" i="24"/>
  <c r="DY160" i="24" s="1"/>
  <c r="EF160" i="24" s="1"/>
  <c r="EN160" i="24"/>
  <c r="EM160" i="24"/>
  <c r="EP160" i="24" s="1"/>
  <c r="EE41" i="24"/>
  <c r="EN30" i="24"/>
  <c r="DW30" i="24"/>
  <c r="DY30" i="24" s="1"/>
  <c r="EF30" i="24" s="1"/>
  <c r="EM30" i="24"/>
  <c r="EP30" i="24" s="1"/>
  <c r="DU30" i="24"/>
  <c r="EB89" i="24"/>
  <c r="DW300" i="24"/>
  <c r="DU300" i="24"/>
  <c r="DW64" i="24"/>
  <c r="EN64" i="24"/>
  <c r="EM64" i="24"/>
  <c r="EP64" i="24" s="1"/>
  <c r="DU64" i="24"/>
  <c r="EB64" i="24"/>
  <c r="EL64" i="24"/>
  <c r="FA64" i="24"/>
  <c r="EY64" i="24"/>
  <c r="EE154" i="24"/>
  <c r="EE68" i="24"/>
  <c r="EE158" i="24"/>
  <c r="EN191" i="24"/>
  <c r="DW191" i="24"/>
  <c r="EM191" i="24"/>
  <c r="EP191" i="24" s="1"/>
  <c r="FA191" i="24"/>
  <c r="EL191" i="24"/>
  <c r="EB191" i="24"/>
  <c r="EY191" i="24"/>
  <c r="DW148" i="24"/>
  <c r="EN148" i="24"/>
  <c r="EM148" i="24"/>
  <c r="EP148" i="24" s="1"/>
  <c r="EL148" i="24"/>
  <c r="EY148" i="24"/>
  <c r="FA148" i="24"/>
  <c r="EB148" i="24"/>
  <c r="DW269" i="24"/>
  <c r="DU269" i="24"/>
  <c r="EN203" i="24"/>
  <c r="DW203" i="24"/>
  <c r="EM203" i="24"/>
  <c r="EP203" i="24" s="1"/>
  <c r="EY203" i="24"/>
  <c r="FA203" i="24"/>
  <c r="EB203" i="24"/>
  <c r="EL203" i="24"/>
  <c r="DW94" i="24"/>
  <c r="EN94" i="24"/>
  <c r="EM94" i="24"/>
  <c r="EP94" i="24" s="1"/>
  <c r="DU94" i="24"/>
  <c r="EY94" i="24"/>
  <c r="EB94" i="24"/>
  <c r="EL94" i="24"/>
  <c r="FA94" i="24"/>
  <c r="EB29" i="24"/>
  <c r="DW291" i="24"/>
  <c r="DU291" i="24"/>
  <c r="EL8" i="24"/>
  <c r="DW239" i="24"/>
  <c r="DU239" i="24"/>
  <c r="EE177" i="24"/>
  <c r="DW7" i="24"/>
  <c r="EN7" i="24"/>
  <c r="EM7" i="24"/>
  <c r="EP7" i="24" s="1"/>
  <c r="DU7" i="24"/>
  <c r="EL7" i="24"/>
  <c r="FA7" i="24"/>
  <c r="EY7" i="24"/>
  <c r="EB7" i="24"/>
  <c r="EE164" i="24"/>
  <c r="EY50" i="24"/>
  <c r="DW50" i="24"/>
  <c r="DY50" i="24" s="1"/>
  <c r="EF50" i="24" s="1"/>
  <c r="EN50" i="24"/>
  <c r="EM50" i="24"/>
  <c r="EP50" i="24" s="1"/>
  <c r="DU50" i="24"/>
  <c r="DW240" i="24"/>
  <c r="DU240" i="24"/>
  <c r="DW46" i="24"/>
  <c r="EN46" i="24"/>
  <c r="EM46" i="24"/>
  <c r="EP46" i="24" s="1"/>
  <c r="DU46" i="24"/>
  <c r="EY46" i="24"/>
  <c r="EB46" i="24"/>
  <c r="FA46" i="24"/>
  <c r="EL46" i="24"/>
  <c r="DW196" i="24"/>
  <c r="EN196" i="24"/>
  <c r="EM196" i="24"/>
  <c r="EP196" i="24" s="1"/>
  <c r="FA196" i="24"/>
  <c r="EL196" i="24"/>
  <c r="EY196" i="24"/>
  <c r="EB196" i="24"/>
  <c r="EN125" i="24"/>
  <c r="DW125" i="24"/>
  <c r="EM125" i="24"/>
  <c r="EP125" i="24" s="1"/>
  <c r="EB125" i="24"/>
  <c r="EL125" i="24"/>
  <c r="EY125" i="24"/>
  <c r="FA125" i="24"/>
  <c r="EN172" i="24"/>
  <c r="DW172" i="24"/>
  <c r="DY172" i="24" s="1"/>
  <c r="EF172" i="24" s="1"/>
  <c r="EM172" i="24"/>
  <c r="EP172" i="24" s="1"/>
  <c r="DW229" i="24"/>
  <c r="DU229" i="24"/>
  <c r="DW198" i="24"/>
  <c r="EN198" i="24"/>
  <c r="EM198" i="24"/>
  <c r="EP198" i="24" s="1"/>
  <c r="FA198" i="24"/>
  <c r="EL198" i="24"/>
  <c r="EY198" i="24"/>
  <c r="EB198" i="24"/>
  <c r="EL149" i="24"/>
  <c r="EN149" i="24"/>
  <c r="DW149" i="24"/>
  <c r="EM149" i="24"/>
  <c r="EP149" i="24" s="1"/>
  <c r="EB149" i="24"/>
  <c r="FA149" i="24"/>
  <c r="EY149" i="24"/>
  <c r="EB192" i="24"/>
  <c r="EN165" i="24"/>
  <c r="DW165" i="24"/>
  <c r="EM165" i="24"/>
  <c r="EP165" i="24" s="1"/>
  <c r="FA165" i="24"/>
  <c r="EB165" i="24"/>
  <c r="EY165" i="24"/>
  <c r="EL165" i="24"/>
  <c r="DW116" i="24"/>
  <c r="EN116" i="24"/>
  <c r="EM116" i="24"/>
  <c r="EP116" i="24" s="1"/>
  <c r="EL116" i="24"/>
  <c r="FA116" i="24"/>
  <c r="EB116" i="24"/>
  <c r="EY116" i="24"/>
  <c r="FA175" i="24"/>
  <c r="EL160" i="24"/>
  <c r="DW184" i="24"/>
  <c r="EN184" i="24"/>
  <c r="EM184" i="24"/>
  <c r="EP184" i="24" s="1"/>
  <c r="FA184" i="24"/>
  <c r="EY184" i="24"/>
  <c r="EL184" i="24"/>
  <c r="EB184" i="24"/>
  <c r="EE171" i="24"/>
  <c r="FA42" i="24"/>
  <c r="EY13" i="24"/>
  <c r="DW13" i="24"/>
  <c r="DY13" i="24" s="1"/>
  <c r="EF13" i="24" s="1"/>
  <c r="EN13" i="24"/>
  <c r="EM13" i="24"/>
  <c r="EP13" i="24" s="1"/>
  <c r="DU13" i="24"/>
  <c r="EY47" i="24"/>
  <c r="EB83" i="24"/>
  <c r="EY172" i="24"/>
  <c r="DW156" i="24"/>
  <c r="EN156" i="24"/>
  <c r="EM156" i="24"/>
  <c r="EP156" i="24" s="1"/>
  <c r="EB156" i="24"/>
  <c r="FA156" i="24"/>
  <c r="EY156" i="24"/>
  <c r="EL156" i="24"/>
  <c r="EY10" i="24"/>
  <c r="DW33" i="24"/>
  <c r="DY33" i="24" s="1"/>
  <c r="EF33" i="24" s="1"/>
  <c r="EN33" i="24"/>
  <c r="EM33" i="24"/>
  <c r="EP33" i="24" s="1"/>
  <c r="DU33" i="24"/>
  <c r="FA81" i="24"/>
  <c r="EL30" i="24"/>
  <c r="DW147" i="24"/>
  <c r="DY147" i="24" s="1"/>
  <c r="EF147" i="24" s="1"/>
  <c r="EN147" i="24"/>
  <c r="EM147" i="24"/>
  <c r="EP147" i="24" s="1"/>
  <c r="DW142" i="24"/>
  <c r="DY142" i="24" s="1"/>
  <c r="EF142" i="24" s="1"/>
  <c r="EN142" i="24"/>
  <c r="EM142" i="24"/>
  <c r="EP142" i="24" s="1"/>
  <c r="DW235" i="24"/>
  <c r="DU235" i="24"/>
  <c r="EE209" i="24"/>
  <c r="FA157" i="24"/>
  <c r="EE201" i="24"/>
  <c r="EE173" i="24"/>
  <c r="EY17" i="24"/>
  <c r="EN17" i="24"/>
  <c r="DW17" i="24"/>
  <c r="EM17" i="24"/>
  <c r="EP17" i="24" s="1"/>
  <c r="DU17" i="24"/>
  <c r="FA17" i="24"/>
  <c r="EB17" i="24"/>
  <c r="EL17" i="24"/>
  <c r="EB14" i="24"/>
  <c r="DW93" i="24"/>
  <c r="EN93" i="24"/>
  <c r="EM93" i="24"/>
  <c r="EP93" i="24" s="1"/>
  <c r="DU93" i="24"/>
  <c r="EL93" i="24"/>
  <c r="FA93" i="24"/>
  <c r="EB93" i="24"/>
  <c r="EY93" i="24"/>
  <c r="DW279" i="24"/>
  <c r="DU279" i="24"/>
  <c r="DW309" i="24"/>
  <c r="DU309" i="24"/>
  <c r="DW271" i="24"/>
  <c r="DU271" i="24"/>
  <c r="DW11" i="24"/>
  <c r="EN11" i="24"/>
  <c r="EM11" i="24"/>
  <c r="EP11" i="24" s="1"/>
  <c r="DU11" i="24"/>
  <c r="EL11" i="24"/>
  <c r="EB11" i="24"/>
  <c r="FA11" i="24"/>
  <c r="EY11" i="24"/>
  <c r="EL199" i="24"/>
  <c r="EN20" i="24"/>
  <c r="DW20" i="24"/>
  <c r="EM20" i="24"/>
  <c r="EP20" i="24" s="1"/>
  <c r="DU20" i="24"/>
  <c r="EB20" i="24"/>
  <c r="FA20" i="24"/>
  <c r="EL20" i="24"/>
  <c r="EY20" i="24"/>
  <c r="DW276" i="24"/>
  <c r="DU276" i="24"/>
  <c r="DW288" i="24"/>
  <c r="DU288" i="24"/>
  <c r="FA127" i="24"/>
  <c r="DW127" i="24"/>
  <c r="DY127" i="24" s="1"/>
  <c r="EF127" i="24" s="1"/>
  <c r="EN127" i="24"/>
  <c r="EM127" i="24"/>
  <c r="EP127" i="24" s="1"/>
  <c r="DW99" i="24"/>
  <c r="DY99" i="24" s="1"/>
  <c r="EF99" i="24" s="1"/>
  <c r="EN99" i="24"/>
  <c r="EM99" i="24"/>
  <c r="EP99" i="24" s="1"/>
  <c r="DU99" i="24"/>
  <c r="EE100" i="24"/>
  <c r="EN37" i="24"/>
  <c r="DW37" i="24"/>
  <c r="DY37" i="24" s="1"/>
  <c r="EF37" i="24" s="1"/>
  <c r="EM37" i="24"/>
  <c r="EP37" i="24" s="1"/>
  <c r="DU37" i="24"/>
  <c r="DW297" i="24"/>
  <c r="DU297" i="24"/>
  <c r="EE190" i="24"/>
  <c r="DW67" i="24"/>
  <c r="DY67" i="24" s="1"/>
  <c r="EF67" i="24" s="1"/>
  <c r="EN67" i="24"/>
  <c r="EM67" i="24"/>
  <c r="EP67" i="24" s="1"/>
  <c r="DU67" i="24"/>
  <c r="DW201" i="24"/>
  <c r="DY201" i="24" s="1"/>
  <c r="EF201" i="24" s="1"/>
  <c r="EN201" i="24"/>
  <c r="EM201" i="24"/>
  <c r="EP201" i="24" s="1"/>
  <c r="DW171" i="24"/>
  <c r="DY171" i="24" s="1"/>
  <c r="EF171" i="24" s="1"/>
  <c r="EN171" i="24"/>
  <c r="EM171" i="24"/>
  <c r="EP171" i="24" s="1"/>
  <c r="DW45" i="24"/>
  <c r="EN45" i="24"/>
  <c r="EM45" i="24"/>
  <c r="EP45" i="24" s="1"/>
  <c r="DU45" i="24"/>
  <c r="EL45" i="24"/>
  <c r="EB45" i="24"/>
  <c r="FA45" i="24"/>
  <c r="EY45" i="24"/>
  <c r="EL127" i="24"/>
  <c r="DW60" i="24"/>
  <c r="DY60" i="24" s="1"/>
  <c r="EF60" i="24" s="1"/>
  <c r="EN60" i="24"/>
  <c r="EM60" i="24"/>
  <c r="EP60" i="24" s="1"/>
  <c r="DU60" i="24"/>
  <c r="DW54" i="24"/>
  <c r="DY54" i="24" s="1"/>
  <c r="EF54" i="24" s="1"/>
  <c r="EN54" i="24"/>
  <c r="EM54" i="24"/>
  <c r="EP54" i="24" s="1"/>
  <c r="DU54" i="24"/>
  <c r="DW218" i="24"/>
  <c r="DU218" i="24"/>
  <c r="EE185" i="24"/>
  <c r="EB98" i="24"/>
  <c r="EY62" i="24"/>
  <c r="EN62" i="24"/>
  <c r="DW62" i="24"/>
  <c r="DY62" i="24" s="1"/>
  <c r="EF62" i="24" s="1"/>
  <c r="EM62" i="24"/>
  <c r="EP62" i="24" s="1"/>
  <c r="DU62" i="24"/>
  <c r="DW170" i="24"/>
  <c r="DY170" i="24" s="1"/>
  <c r="EF170" i="24" s="1"/>
  <c r="EN170" i="24"/>
  <c r="EM170" i="24"/>
  <c r="EP170" i="24" s="1"/>
  <c r="DW281" i="24"/>
  <c r="DU281" i="24"/>
  <c r="DW273" i="24"/>
  <c r="DU273" i="24"/>
  <c r="EE132" i="24"/>
  <c r="DW153" i="24"/>
  <c r="EN153" i="24"/>
  <c r="EM153" i="24"/>
  <c r="EP153" i="24" s="1"/>
  <c r="FA153" i="24"/>
  <c r="EY153" i="24"/>
  <c r="EB153" i="24"/>
  <c r="EL153" i="24"/>
  <c r="EB67" i="24"/>
  <c r="EN80" i="24"/>
  <c r="DW80" i="24"/>
  <c r="DY80" i="24" s="1"/>
  <c r="EF80" i="24" s="1"/>
  <c r="EM80" i="24"/>
  <c r="EP80" i="24" s="1"/>
  <c r="DU80" i="24"/>
  <c r="DW246" i="24"/>
  <c r="DU246" i="24"/>
  <c r="DW195" i="24"/>
  <c r="EN195" i="24"/>
  <c r="EM195" i="24"/>
  <c r="EP195" i="24" s="1"/>
  <c r="EB195" i="24"/>
  <c r="EL195" i="24"/>
  <c r="EY195" i="24"/>
  <c r="FA195" i="24"/>
  <c r="DW261" i="24"/>
  <c r="DU261" i="24"/>
  <c r="DW41" i="24"/>
  <c r="DY41" i="24" s="1"/>
  <c r="EF41" i="24" s="1"/>
  <c r="EN41" i="24"/>
  <c r="EM41" i="24"/>
  <c r="EP41" i="24" s="1"/>
  <c r="DU41" i="24"/>
  <c r="EE61" i="24"/>
  <c r="EB124" i="24"/>
  <c r="DW124" i="24"/>
  <c r="DY124" i="24" s="1"/>
  <c r="EF124" i="24" s="1"/>
  <c r="EN124" i="24"/>
  <c r="EM124" i="24"/>
  <c r="EP124" i="24" s="1"/>
  <c r="EE167" i="24"/>
  <c r="DW51" i="24"/>
  <c r="EN51" i="24"/>
  <c r="EM51" i="24"/>
  <c r="EP51" i="24" s="1"/>
  <c r="DU51" i="24"/>
  <c r="EL51" i="24"/>
  <c r="EY51" i="24"/>
  <c r="FA51" i="24"/>
  <c r="EB51" i="24"/>
  <c r="EE192" i="24"/>
  <c r="DW135" i="24"/>
  <c r="EN135" i="24"/>
  <c r="EM135" i="24"/>
  <c r="EP135" i="24" s="1"/>
  <c r="EL135" i="24"/>
  <c r="EB135" i="24"/>
  <c r="FA135" i="24"/>
  <c r="EY135" i="24"/>
  <c r="EB37" i="24"/>
  <c r="EL52" i="24"/>
  <c r="EE183" i="24"/>
  <c r="EB160" i="24"/>
  <c r="DW55" i="24"/>
  <c r="DY55" i="24" s="1"/>
  <c r="EF55" i="24" s="1"/>
  <c r="EN55" i="24"/>
  <c r="EM55" i="24"/>
  <c r="EP55" i="24" s="1"/>
  <c r="DU55" i="24"/>
  <c r="EE197" i="24"/>
  <c r="DW268" i="24"/>
  <c r="DU268" i="24"/>
  <c r="DW65" i="24"/>
  <c r="DY65" i="24" s="1"/>
  <c r="EF65" i="24" s="1"/>
  <c r="EN65" i="24"/>
  <c r="EM65" i="24"/>
  <c r="EP65" i="24" s="1"/>
  <c r="DU65" i="24"/>
  <c r="EY83" i="24"/>
  <c r="EL99" i="24"/>
  <c r="FA55" i="24"/>
  <c r="DW12" i="24"/>
  <c r="EN12" i="24"/>
  <c r="EM12" i="24"/>
  <c r="EP12" i="24" s="1"/>
  <c r="DU12" i="24"/>
  <c r="EL12" i="24"/>
  <c r="EB12" i="24"/>
  <c r="EY12" i="24"/>
  <c r="FA12" i="24"/>
  <c r="EE138" i="24"/>
  <c r="FA172" i="24"/>
  <c r="DW27" i="24"/>
  <c r="EN27" i="24"/>
  <c r="EM27" i="24"/>
  <c r="EP27" i="24" s="1"/>
  <c r="DU27" i="24"/>
  <c r="FA27" i="24"/>
  <c r="EL27" i="24"/>
  <c r="EB27" i="24"/>
  <c r="EY27" i="24"/>
  <c r="EN136" i="24"/>
  <c r="DW136" i="24"/>
  <c r="DY136" i="24" s="1"/>
  <c r="EF136" i="24" s="1"/>
  <c r="EM136" i="24"/>
  <c r="EP136" i="24" s="1"/>
  <c r="EE124" i="24"/>
  <c r="EE81" i="24"/>
  <c r="DW117" i="24"/>
  <c r="EN117" i="24"/>
  <c r="EM117" i="24"/>
  <c r="EP117" i="24" s="1"/>
  <c r="EL117" i="24"/>
  <c r="FA117" i="24"/>
  <c r="EY117" i="24"/>
  <c r="EB117" i="24"/>
  <c r="EE30" i="24"/>
  <c r="EN85" i="24"/>
  <c r="DW85" i="24"/>
  <c r="EM85" i="24"/>
  <c r="EP85" i="24" s="1"/>
  <c r="DU85" i="24"/>
  <c r="EL85" i="24"/>
  <c r="EB85" i="24"/>
  <c r="EY85" i="24"/>
  <c r="FA85" i="24"/>
  <c r="DW129" i="24"/>
  <c r="DY129" i="24" s="1"/>
  <c r="EF129" i="24" s="1"/>
  <c r="EN129" i="24"/>
  <c r="EM129" i="24"/>
  <c r="EP129" i="24" s="1"/>
  <c r="EE23" i="24"/>
  <c r="DW111" i="24"/>
  <c r="DY111" i="24" s="1"/>
  <c r="EF111" i="24" s="1"/>
  <c r="EN111" i="24"/>
  <c r="EM111" i="24"/>
  <c r="EP111" i="24" s="1"/>
  <c r="EB157" i="24"/>
  <c r="EN113" i="24"/>
  <c r="DW113" i="24"/>
  <c r="EM113" i="24"/>
  <c r="EP113" i="24" s="1"/>
  <c r="EY113" i="24"/>
  <c r="EB113" i="24"/>
  <c r="EL113" i="24"/>
  <c r="FA113" i="24"/>
  <c r="EL158" i="24"/>
  <c r="DW158" i="24"/>
  <c r="DY158" i="24" s="1"/>
  <c r="EF158" i="24" s="1"/>
  <c r="EN158" i="24"/>
  <c r="EM158" i="24"/>
  <c r="EP158" i="24" s="1"/>
  <c r="DW222" i="24"/>
  <c r="DU222" i="24"/>
  <c r="DW134" i="24"/>
  <c r="DY134" i="24" s="1"/>
  <c r="EF134" i="24" s="1"/>
  <c r="EN134" i="24"/>
  <c r="EM134" i="24"/>
  <c r="EP134" i="24" s="1"/>
  <c r="DW189" i="24"/>
  <c r="EN189" i="24"/>
  <c r="EM189" i="24"/>
  <c r="EP189" i="24" s="1"/>
  <c r="EB189" i="24"/>
  <c r="EL189" i="24"/>
  <c r="FA189" i="24"/>
  <c r="EY189" i="24"/>
  <c r="EE155" i="24"/>
  <c r="DW227" i="24"/>
  <c r="DU227" i="24"/>
  <c r="EY133" i="24"/>
  <c r="DW220" i="24"/>
  <c r="DU220" i="24"/>
  <c r="DW44" i="24"/>
  <c r="DY44" i="24" s="1"/>
  <c r="EF44" i="24" s="1"/>
  <c r="EN44" i="24"/>
  <c r="EM44" i="24"/>
  <c r="EP44" i="24" s="1"/>
  <c r="DU44" i="24"/>
  <c r="DW204" i="24"/>
  <c r="EN204" i="24"/>
  <c r="EM204" i="24"/>
  <c r="EP204" i="24" s="1"/>
  <c r="FA204" i="24"/>
  <c r="EL204" i="24"/>
  <c r="EB204" i="24"/>
  <c r="EY204" i="24"/>
  <c r="EE89" i="24"/>
  <c r="DW207" i="24"/>
  <c r="EN207" i="24"/>
  <c r="EM207" i="24"/>
  <c r="EP207" i="24" s="1"/>
  <c r="FA207" i="24"/>
  <c r="EB207" i="24"/>
  <c r="EL207" i="24"/>
  <c r="EY207" i="24"/>
  <c r="EN155" i="24"/>
  <c r="DW155" i="24"/>
  <c r="DY155" i="24" s="1"/>
  <c r="EF155" i="24" s="1"/>
  <c r="EM155" i="24"/>
  <c r="EP155" i="24" s="1"/>
  <c r="DW226" i="24"/>
  <c r="DU226" i="24"/>
  <c r="EE193" i="24"/>
  <c r="EE71" i="24"/>
  <c r="EN177" i="24"/>
  <c r="DW177" i="24"/>
  <c r="DY177" i="24" s="1"/>
  <c r="EF177" i="24" s="1"/>
  <c r="EM177" i="24"/>
  <c r="EP177" i="24" s="1"/>
  <c r="EL140" i="24"/>
  <c r="DW140" i="24"/>
  <c r="EN140" i="24"/>
  <c r="EM140" i="24"/>
  <c r="EP140" i="24" s="1"/>
  <c r="EB140" i="24"/>
  <c r="FA140" i="24"/>
  <c r="EY140" i="24"/>
  <c r="EB49" i="24"/>
  <c r="DW49" i="24"/>
  <c r="EN49" i="24"/>
  <c r="EM49" i="24"/>
  <c r="EP49" i="24" s="1"/>
  <c r="DU49" i="24"/>
  <c r="EY49" i="24"/>
  <c r="FA49" i="24"/>
  <c r="EL49" i="24"/>
  <c r="EE29" i="24"/>
  <c r="DW185" i="24"/>
  <c r="DY185" i="24" s="1"/>
  <c r="EF185" i="24" s="1"/>
  <c r="EN185" i="24"/>
  <c r="EM185" i="24"/>
  <c r="EP185" i="24" s="1"/>
  <c r="EN29" i="24"/>
  <c r="DW29" i="24"/>
  <c r="DY29" i="24" s="1"/>
  <c r="EF29" i="24" s="1"/>
  <c r="EM29" i="24"/>
  <c r="EP29" i="24" s="1"/>
  <c r="DU29" i="24"/>
  <c r="EE170" i="24"/>
  <c r="EN182" i="24"/>
  <c r="DW182" i="24"/>
  <c r="EM182" i="24"/>
  <c r="EP182" i="24" s="1"/>
  <c r="EL182" i="24"/>
  <c r="EB182" i="24"/>
  <c r="EY182" i="24"/>
  <c r="FA182" i="24"/>
  <c r="DW270" i="24"/>
  <c r="DU270" i="24"/>
  <c r="DW303" i="24"/>
  <c r="DU303" i="24"/>
  <c r="DW130" i="24"/>
  <c r="EN130" i="24"/>
  <c r="EM130" i="24"/>
  <c r="EP130" i="24" s="1"/>
  <c r="EB130" i="24"/>
  <c r="EY130" i="24"/>
  <c r="FA130" i="24"/>
  <c r="EL130" i="24"/>
  <c r="DW219" i="24"/>
  <c r="DU219" i="24"/>
  <c r="FA15" i="24"/>
  <c r="DW15" i="24"/>
  <c r="EN15" i="24"/>
  <c r="EM15" i="24"/>
  <c r="EP15" i="24" s="1"/>
  <c r="DU15" i="24"/>
  <c r="EL15" i="24"/>
  <c r="EB15" i="24"/>
  <c r="EY15" i="24"/>
  <c r="EE104" i="24"/>
  <c r="DW289" i="24"/>
  <c r="DU289" i="24"/>
  <c r="DW315" i="24"/>
  <c r="DU315" i="24"/>
  <c r="EY36" i="24"/>
  <c r="DW36" i="24"/>
  <c r="EN36" i="24"/>
  <c r="EM36" i="24"/>
  <c r="EP36" i="24" s="1"/>
  <c r="DU36" i="24"/>
  <c r="EB36" i="24"/>
  <c r="FA36" i="24"/>
  <c r="EL36" i="24"/>
  <c r="EY186" i="24"/>
  <c r="EE175" i="24"/>
  <c r="EE160" i="24"/>
  <c r="DW19" i="24"/>
  <c r="EN19" i="24"/>
  <c r="EM19" i="24"/>
  <c r="EP19" i="24" s="1"/>
  <c r="DU19" i="24"/>
  <c r="EL19" i="24"/>
  <c r="EB19" i="24"/>
  <c r="FA19" i="24"/>
  <c r="EY19" i="24"/>
  <c r="EY99" i="24"/>
  <c r="DW79" i="24"/>
  <c r="EN79" i="24"/>
  <c r="EM79" i="24"/>
  <c r="EP79" i="24" s="1"/>
  <c r="DU79" i="24"/>
  <c r="EY79" i="24"/>
  <c r="EB79" i="24"/>
  <c r="EL79" i="24"/>
  <c r="FA79" i="24"/>
  <c r="DW280" i="24"/>
  <c r="DU280" i="24"/>
  <c r="EE10" i="24"/>
  <c r="DW224" i="24"/>
  <c r="DU224" i="24"/>
  <c r="FA48" i="24"/>
  <c r="DW48" i="24"/>
  <c r="DY48" i="24" s="1"/>
  <c r="EF48" i="24" s="1"/>
  <c r="EN48" i="24"/>
  <c r="EM48" i="24"/>
  <c r="EP48" i="24" s="1"/>
  <c r="DU48" i="24"/>
  <c r="EL157" i="24"/>
  <c r="DW188" i="24"/>
  <c r="EN188" i="24"/>
  <c r="EM188" i="24"/>
  <c r="EP188" i="24" s="1"/>
  <c r="EY188" i="24"/>
  <c r="FA188" i="24"/>
  <c r="EL188" i="24"/>
  <c r="EB188" i="24"/>
  <c r="EL155" i="24"/>
  <c r="DW21" i="24"/>
  <c r="EN21" i="24"/>
  <c r="EM21" i="24"/>
  <c r="EP21" i="24" s="1"/>
  <c r="DU21" i="24"/>
  <c r="EY21" i="24"/>
  <c r="EB21" i="24"/>
  <c r="EL21" i="24"/>
  <c r="FA21" i="24"/>
  <c r="EN146" i="24"/>
  <c r="DW146" i="24"/>
  <c r="EM146" i="24"/>
  <c r="EP146" i="24" s="1"/>
  <c r="EB146" i="24"/>
  <c r="EL146" i="24"/>
  <c r="FA146" i="24"/>
  <c r="EY146" i="24"/>
  <c r="EL53" i="24"/>
  <c r="DW168" i="24"/>
  <c r="EN168" i="24"/>
  <c r="EM168" i="24"/>
  <c r="EP168" i="24" s="1"/>
  <c r="EY168" i="24"/>
  <c r="EL168" i="24"/>
  <c r="FA168" i="24"/>
  <c r="EB168" i="24"/>
  <c r="DW304" i="24"/>
  <c r="DU304" i="24"/>
  <c r="DW231" i="24"/>
  <c r="DU231" i="24"/>
  <c r="DW112" i="24"/>
  <c r="DY112" i="24" s="1"/>
  <c r="EF112" i="24" s="1"/>
  <c r="EN112" i="24"/>
  <c r="EM112" i="24"/>
  <c r="EP112" i="24" s="1"/>
  <c r="DW257" i="24"/>
  <c r="DU257" i="24"/>
  <c r="DW298" i="24"/>
  <c r="DU298" i="24"/>
  <c r="DW181" i="24"/>
  <c r="EN181" i="24"/>
  <c r="EM181" i="24"/>
  <c r="EP181" i="24" s="1"/>
  <c r="EB181" i="24"/>
  <c r="FA181" i="24"/>
  <c r="EY181" i="24"/>
  <c r="EL181" i="24"/>
  <c r="DW265" i="24"/>
  <c r="DU265" i="24"/>
  <c r="EE147" i="24"/>
  <c r="DW251" i="24"/>
  <c r="DU251" i="24"/>
  <c r="DW166" i="24"/>
  <c r="EN166" i="24"/>
  <c r="EM166" i="24"/>
  <c r="EP166" i="24" s="1"/>
  <c r="EB166" i="24"/>
  <c r="EL166" i="24"/>
  <c r="EY166" i="24"/>
  <c r="FA166" i="24"/>
  <c r="DW144" i="24"/>
  <c r="EN144" i="24"/>
  <c r="EM144" i="24"/>
  <c r="EP144" i="24" s="1"/>
  <c r="FA144" i="24"/>
  <c r="EB144" i="24"/>
  <c r="EL144" i="24"/>
  <c r="EY144" i="24"/>
  <c r="DW83" i="24"/>
  <c r="DY83" i="24" s="1"/>
  <c r="EF83" i="24" s="1"/>
  <c r="EN83" i="24"/>
  <c r="EM83" i="24"/>
  <c r="EP83" i="24" s="1"/>
  <c r="DU83" i="24"/>
  <c r="EE13" i="24"/>
  <c r="EN114" i="24"/>
  <c r="DW114" i="24"/>
  <c r="DY114" i="24" s="1"/>
  <c r="EF114" i="24" s="1"/>
  <c r="EM114" i="24"/>
  <c r="EP114" i="24" s="1"/>
  <c r="DW312" i="24"/>
  <c r="DU312" i="24"/>
  <c r="DW292" i="24"/>
  <c r="DU292" i="24"/>
  <c r="DW316" i="24"/>
  <c r="DU316" i="24"/>
  <c r="EE8" i="24"/>
  <c r="DW253" i="24"/>
  <c r="DU253" i="24"/>
  <c r="EN16" i="24"/>
  <c r="DW16" i="24"/>
  <c r="EM16" i="24"/>
  <c r="EP16" i="24" s="1"/>
  <c r="DU16" i="24"/>
  <c r="EL16" i="24"/>
  <c r="EY16" i="24"/>
  <c r="EB16" i="24"/>
  <c r="FA16" i="24"/>
  <c r="DW228" i="24"/>
  <c r="DU228" i="24"/>
  <c r="DW225" i="24"/>
  <c r="DU225" i="24"/>
  <c r="EE25" i="24"/>
  <c r="EN97" i="24"/>
  <c r="DW97" i="24"/>
  <c r="EM97" i="24"/>
  <c r="EP97" i="24" s="1"/>
  <c r="DU97" i="24"/>
  <c r="FA97" i="24"/>
  <c r="EY97" i="24"/>
  <c r="EB97" i="24"/>
  <c r="EL97" i="24"/>
  <c r="DW180" i="24"/>
  <c r="EN180" i="24"/>
  <c r="EM180" i="24"/>
  <c r="EP180" i="24" s="1"/>
  <c r="FA180" i="24"/>
  <c r="EY180" i="24"/>
  <c r="EB180" i="24"/>
  <c r="EL180" i="24"/>
  <c r="DW311" i="24"/>
  <c r="DU311" i="24"/>
  <c r="FA23" i="24"/>
  <c r="DW23" i="24"/>
  <c r="DY23" i="24" s="1"/>
  <c r="EF23" i="24" s="1"/>
  <c r="EN23" i="24"/>
  <c r="EM23" i="24"/>
  <c r="EP23" i="24" s="1"/>
  <c r="DU23" i="24"/>
  <c r="DW205" i="24"/>
  <c r="EN205" i="24"/>
  <c r="EM205" i="24"/>
  <c r="EP205" i="24" s="1"/>
  <c r="EL205" i="24"/>
  <c r="EB205" i="24"/>
  <c r="FA205" i="24"/>
  <c r="EY205" i="24"/>
  <c r="DW86" i="24"/>
  <c r="EN86" i="24"/>
  <c r="EM86" i="24"/>
  <c r="EP86" i="24" s="1"/>
  <c r="DU86" i="24"/>
  <c r="FA86" i="24"/>
  <c r="EL86" i="24"/>
  <c r="EB86" i="24"/>
  <c r="EY86" i="24"/>
  <c r="DW254" i="24"/>
  <c r="DU254" i="24"/>
  <c r="DW161" i="24"/>
  <c r="DY161" i="24" s="1"/>
  <c r="EF161" i="24" s="1"/>
  <c r="EN161" i="24"/>
  <c r="EM161" i="24"/>
  <c r="EP161" i="24" s="1"/>
  <c r="DW187" i="24"/>
  <c r="EN187" i="24"/>
  <c r="EM187" i="24"/>
  <c r="EP187" i="24" s="1"/>
  <c r="EY187" i="24"/>
  <c r="EL187" i="24"/>
  <c r="FA187" i="24"/>
  <c r="EB187" i="24"/>
  <c r="DW101" i="24"/>
  <c r="EN101" i="24"/>
  <c r="EM101" i="24"/>
  <c r="EP101" i="24" s="1"/>
  <c r="DU101" i="24"/>
  <c r="EB101" i="24"/>
  <c r="EL101" i="24"/>
  <c r="FA101" i="24"/>
  <c r="EY101" i="24"/>
  <c r="DW8" i="24"/>
  <c r="DY8" i="24" s="1"/>
  <c r="EF8" i="24" s="1"/>
  <c r="EN8" i="24"/>
  <c r="EM8" i="24"/>
  <c r="EP8" i="24" s="1"/>
  <c r="DU8" i="24"/>
  <c r="EY37" i="24"/>
  <c r="EE52" i="24"/>
  <c r="EN175" i="24"/>
  <c r="DW175" i="24"/>
  <c r="DY175" i="24" s="1"/>
  <c r="EF175" i="24" s="1"/>
  <c r="EM175" i="24"/>
  <c r="EP175" i="24" s="1"/>
  <c r="DW248" i="24"/>
  <c r="DU248" i="24"/>
  <c r="EE62" i="24"/>
  <c r="DW95" i="24"/>
  <c r="EN95" i="24"/>
  <c r="EM95" i="24"/>
  <c r="EP95" i="24" s="1"/>
  <c r="DU95" i="24"/>
  <c r="EY95" i="24"/>
  <c r="EB95" i="24"/>
  <c r="EL95" i="24"/>
  <c r="FA95" i="24"/>
  <c r="DW69" i="24"/>
  <c r="EN69" i="24"/>
  <c r="EM69" i="24"/>
  <c r="EP69" i="24" s="1"/>
  <c r="DU69" i="24"/>
  <c r="EL69" i="24"/>
  <c r="FA69" i="24"/>
  <c r="EB69" i="24"/>
  <c r="EY69" i="24"/>
  <c r="EN77" i="24"/>
  <c r="DW77" i="24"/>
  <c r="DY77" i="24" s="1"/>
  <c r="EF77" i="24" s="1"/>
  <c r="EM77" i="24"/>
  <c r="EP77" i="24" s="1"/>
  <c r="DU77" i="24"/>
  <c r="EE47" i="24"/>
  <c r="FA99" i="24"/>
  <c r="FA63" i="24"/>
  <c r="DW63" i="24"/>
  <c r="DY63" i="24" s="1"/>
  <c r="EF63" i="24" s="1"/>
  <c r="EN63" i="24"/>
  <c r="EM63" i="24"/>
  <c r="EP63" i="24" s="1"/>
  <c r="DU63" i="24"/>
  <c r="EB50" i="24"/>
  <c r="DW237" i="24"/>
  <c r="DU237" i="24"/>
  <c r="DW200" i="24"/>
  <c r="EN200" i="24"/>
  <c r="EM200" i="24"/>
  <c r="EP200" i="24" s="1"/>
  <c r="EY200" i="24"/>
  <c r="EB200" i="24"/>
  <c r="FA200" i="24"/>
  <c r="EL200" i="24"/>
  <c r="EB63" i="24"/>
  <c r="EL61" i="24"/>
  <c r="DW61" i="24"/>
  <c r="DY61" i="24" s="1"/>
  <c r="EF61" i="24" s="1"/>
  <c r="EN61" i="24"/>
  <c r="EM61" i="24"/>
  <c r="EP61" i="24" s="1"/>
  <c r="DU61" i="24"/>
  <c r="EN183" i="24"/>
  <c r="DW183" i="24"/>
  <c r="DY183" i="24" s="1"/>
  <c r="EF183" i="24" s="1"/>
  <c r="EM183" i="24"/>
  <c r="EP183" i="24" s="1"/>
  <c r="EB114" i="24"/>
  <c r="DW73" i="24"/>
  <c r="EN73" i="24"/>
  <c r="EM73" i="24"/>
  <c r="EP73" i="24" s="1"/>
  <c r="DU73" i="24"/>
  <c r="EY73" i="24"/>
  <c r="EL73" i="24"/>
  <c r="FA73" i="24"/>
  <c r="EB73" i="24"/>
  <c r="DW14" i="24"/>
  <c r="DY14" i="24" s="1"/>
  <c r="EF14" i="24" s="1"/>
  <c r="EN14" i="24"/>
  <c r="EM14" i="24"/>
  <c r="EP14" i="24" s="1"/>
  <c r="DU14" i="24"/>
  <c r="EE14" i="24"/>
  <c r="DW123" i="24"/>
  <c r="DY123" i="24" s="1"/>
  <c r="EF123" i="24" s="1"/>
  <c r="EN123" i="24"/>
  <c r="EM123" i="24"/>
  <c r="EP123" i="24" s="1"/>
  <c r="DW284" i="24"/>
  <c r="DU284" i="24"/>
  <c r="DW103" i="24"/>
  <c r="DY103" i="24" s="1"/>
  <c r="EF103" i="24" s="1"/>
  <c r="EN103" i="24"/>
  <c r="EM103" i="24"/>
  <c r="EP103" i="24" s="1"/>
  <c r="DU103" i="24"/>
  <c r="FA80" i="24"/>
  <c r="DW290" i="24"/>
  <c r="DU290" i="24"/>
  <c r="EN210" i="24"/>
  <c r="DW210" i="24"/>
  <c r="EM210" i="24"/>
  <c r="EP210" i="24" s="1"/>
  <c r="EY210" i="24"/>
  <c r="EB210" i="24"/>
  <c r="EL210" i="24"/>
  <c r="FA210" i="24"/>
  <c r="DW91" i="24"/>
  <c r="EN91" i="24"/>
  <c r="EM91" i="24"/>
  <c r="EP91" i="24" s="1"/>
  <c r="DU91" i="24"/>
  <c r="FA91" i="24"/>
  <c r="EB91" i="24"/>
  <c r="EL91" i="24"/>
  <c r="EY91" i="24"/>
  <c r="EY53" i="24"/>
  <c r="DW267" i="24"/>
  <c r="DU267" i="24"/>
  <c r="DW259" i="24"/>
  <c r="DU259" i="24"/>
  <c r="DW66" i="24"/>
  <c r="EN66" i="24"/>
  <c r="EM66" i="24"/>
  <c r="EP66" i="24" s="1"/>
  <c r="DU66" i="24"/>
  <c r="EY66" i="24"/>
  <c r="EL66" i="24"/>
  <c r="EB66" i="24"/>
  <c r="FA66" i="24"/>
  <c r="EE126" i="24"/>
  <c r="DW6" i="24"/>
  <c r="EN6" i="24"/>
  <c r="EM6" i="24"/>
  <c r="EP6" i="24" s="1"/>
  <c r="DU6" i="24"/>
  <c r="EY6" i="24"/>
  <c r="EB6" i="24"/>
  <c r="EL6" i="24"/>
  <c r="FA6" i="24"/>
  <c r="DW35" i="24"/>
  <c r="DY35" i="24" s="1"/>
  <c r="EF35" i="24" s="1"/>
  <c r="EN35" i="24"/>
  <c r="EM35" i="24"/>
  <c r="EP35" i="24" s="1"/>
  <c r="DU35" i="24"/>
  <c r="DW131" i="24"/>
  <c r="EN131" i="24"/>
  <c r="EM131" i="24"/>
  <c r="EP131" i="24" s="1"/>
  <c r="EL131" i="24"/>
  <c r="EY131" i="24"/>
  <c r="EB131" i="24"/>
  <c r="FA131" i="24"/>
  <c r="DW250" i="24"/>
  <c r="DU250" i="24"/>
  <c r="DW202" i="24"/>
  <c r="DY202" i="24" s="1"/>
  <c r="EF202" i="24" s="1"/>
  <c r="EN202" i="24"/>
  <c r="EM202" i="24"/>
  <c r="EP202" i="24" s="1"/>
  <c r="EE122" i="24"/>
  <c r="EE127" i="24"/>
  <c r="EE152" i="24"/>
  <c r="DW232" i="24"/>
  <c r="DU232" i="24"/>
  <c r="DW258" i="24"/>
  <c r="DU258" i="24"/>
  <c r="DW118" i="24"/>
  <c r="EN118" i="24"/>
  <c r="EM118" i="24"/>
  <c r="EP118" i="24" s="1"/>
  <c r="FA118" i="24"/>
  <c r="EL118" i="24"/>
  <c r="EY118" i="24"/>
  <c r="EB118" i="24"/>
  <c r="EN199" i="24"/>
  <c r="DW199" i="24"/>
  <c r="DY199" i="24" s="1"/>
  <c r="EF199" i="24" s="1"/>
  <c r="EM199" i="24"/>
  <c r="EP199" i="24" s="1"/>
  <c r="EN186" i="24"/>
  <c r="DW186" i="24"/>
  <c r="DY186" i="24" s="1"/>
  <c r="EF186" i="24" s="1"/>
  <c r="EM186" i="24"/>
  <c r="EP186" i="24" s="1"/>
  <c r="DW266" i="24"/>
  <c r="DU266" i="24"/>
  <c r="FA177" i="24"/>
  <c r="DW176" i="24"/>
  <c r="EN176" i="24"/>
  <c r="EM176" i="24"/>
  <c r="EP176" i="24" s="1"/>
  <c r="EL176" i="24"/>
  <c r="EB176" i="24"/>
  <c r="FA176" i="24"/>
  <c r="EY176" i="24"/>
  <c r="EE67" i="24"/>
  <c r="DW47" i="24"/>
  <c r="DY47" i="24" s="1"/>
  <c r="EF47" i="24" s="1"/>
  <c r="EN47" i="24"/>
  <c r="EM47" i="24"/>
  <c r="EP47" i="24" s="1"/>
  <c r="DU47" i="24"/>
  <c r="EE40" i="24"/>
  <c r="DW310" i="24"/>
  <c r="DU310" i="24"/>
  <c r="EY202" i="24"/>
  <c r="DW260" i="24"/>
  <c r="DU260" i="24"/>
  <c r="DW98" i="24"/>
  <c r="DY98" i="24" s="1"/>
  <c r="EF98" i="24" s="1"/>
  <c r="EN98" i="24"/>
  <c r="EM98" i="24"/>
  <c r="EP98" i="24" s="1"/>
  <c r="DU98" i="24"/>
  <c r="DW209" i="24"/>
  <c r="DY209" i="24" s="1"/>
  <c r="EF209" i="24" s="1"/>
  <c r="EN209" i="24"/>
  <c r="EM209" i="24"/>
  <c r="EP209" i="24" s="1"/>
  <c r="EE35" i="24"/>
  <c r="EE37" i="24"/>
  <c r="FA186" i="24"/>
  <c r="EN128" i="24"/>
  <c r="DW128" i="24"/>
  <c r="DY128" i="24" s="1"/>
  <c r="EF128" i="24" s="1"/>
  <c r="EM128" i="24"/>
  <c r="EP128" i="24" s="1"/>
  <c r="DW236" i="24"/>
  <c r="DU236" i="24"/>
  <c r="EE42" i="24"/>
  <c r="DW305" i="24"/>
  <c r="DU305" i="24"/>
  <c r="EE83" i="24"/>
  <c r="EB99" i="24"/>
  <c r="EE172" i="24"/>
  <c r="DW179" i="24"/>
  <c r="EN179" i="24"/>
  <c r="EM179" i="24"/>
  <c r="EP179" i="24" s="1"/>
  <c r="EY179" i="24"/>
  <c r="EB179" i="24"/>
  <c r="FA179" i="24"/>
  <c r="EL179" i="24"/>
  <c r="DW139" i="24"/>
  <c r="EN139" i="24"/>
  <c r="EM139" i="24"/>
  <c r="EP139" i="24" s="1"/>
  <c r="EY139" i="24"/>
  <c r="EL139" i="24"/>
  <c r="EB139" i="24"/>
  <c r="FA139" i="24"/>
  <c r="DW223" i="24"/>
  <c r="DU223" i="24"/>
  <c r="DW138" i="24"/>
  <c r="DY138" i="24" s="1"/>
  <c r="EF138" i="24" s="1"/>
  <c r="EN138" i="24"/>
  <c r="EM138" i="24"/>
  <c r="EP138" i="24" s="1"/>
  <c r="EN150" i="24"/>
  <c r="DW150" i="24"/>
  <c r="DY150" i="24" s="1"/>
  <c r="EF150" i="24" s="1"/>
  <c r="EM150" i="24"/>
  <c r="EP150" i="24" s="1"/>
  <c r="DW178" i="24"/>
  <c r="EN178" i="24"/>
  <c r="EM178" i="24"/>
  <c r="EP178" i="24" s="1"/>
  <c r="EL178" i="24"/>
  <c r="EB178" i="24"/>
  <c r="FA178" i="24"/>
  <c r="EY178" i="24"/>
  <c r="DW263" i="24"/>
  <c r="DU263" i="24"/>
  <c r="EN59" i="24"/>
  <c r="DW59" i="24"/>
  <c r="EM59" i="24"/>
  <c r="EP59" i="24" s="1"/>
  <c r="DU59" i="24"/>
  <c r="EL59" i="24"/>
  <c r="EB59" i="24"/>
  <c r="FA59" i="24"/>
  <c r="EY59" i="24"/>
  <c r="FA114" i="24"/>
  <c r="DW301" i="24"/>
  <c r="DU301" i="24"/>
  <c r="EY209" i="24"/>
  <c r="DW164" i="24"/>
  <c r="DY164" i="24" s="1"/>
  <c r="EF164" i="24" s="1"/>
  <c r="EN164" i="24"/>
  <c r="EM164" i="24"/>
  <c r="EP164" i="24" s="1"/>
  <c r="EE157" i="24"/>
  <c r="EB201" i="24"/>
  <c r="DW256" i="24"/>
  <c r="DU256" i="24"/>
  <c r="DW122" i="24"/>
  <c r="DY122" i="24" s="1"/>
  <c r="EF122" i="24" s="1"/>
  <c r="EN122" i="24"/>
  <c r="EM122" i="24"/>
  <c r="EP122" i="24" s="1"/>
  <c r="EL80" i="24"/>
  <c r="DW151" i="24"/>
  <c r="EN151" i="24"/>
  <c r="EM151" i="24"/>
  <c r="EP151" i="24" s="1"/>
  <c r="FA151" i="24"/>
  <c r="EY151" i="24"/>
  <c r="EL151" i="24"/>
  <c r="EB151" i="24"/>
  <c r="DW238" i="24"/>
  <c r="DU238" i="24"/>
  <c r="DW299" i="24"/>
  <c r="DU299" i="24"/>
  <c r="FA53" i="24"/>
  <c r="DW208" i="24"/>
  <c r="EN208" i="24"/>
  <c r="EM208" i="24"/>
  <c r="EP208" i="24" s="1"/>
  <c r="EL208" i="24"/>
  <c r="EY208" i="24"/>
  <c r="FA208" i="24"/>
  <c r="EB208" i="24"/>
  <c r="DW56" i="24"/>
  <c r="EN56" i="24"/>
  <c r="EM56" i="24"/>
  <c r="EP56" i="24" s="1"/>
  <c r="DU56" i="24"/>
  <c r="FA56" i="24"/>
  <c r="EB56" i="24"/>
  <c r="EL56" i="24"/>
  <c r="EY56" i="24"/>
  <c r="EN100" i="24"/>
  <c r="DW100" i="24"/>
  <c r="DY100" i="24" s="1"/>
  <c r="EF100" i="24" s="1"/>
  <c r="EM100" i="24"/>
  <c r="EP100" i="24" s="1"/>
  <c r="DU100" i="24"/>
  <c r="DW295" i="24"/>
  <c r="DU295" i="24"/>
  <c r="EY105" i="24"/>
  <c r="DW105" i="24"/>
  <c r="EN105" i="24"/>
  <c r="EM105" i="24"/>
  <c r="EP105" i="24" s="1"/>
  <c r="DU105" i="24"/>
  <c r="EL105" i="24"/>
  <c r="EB105" i="24"/>
  <c r="FA105" i="24"/>
  <c r="EE77" i="24"/>
  <c r="DW264" i="24"/>
  <c r="DU264" i="24"/>
  <c r="EE48" i="24"/>
  <c r="DW34" i="24"/>
  <c r="EN34" i="24"/>
  <c r="EM34" i="24"/>
  <c r="EP34" i="24" s="1"/>
  <c r="DU34" i="24"/>
  <c r="FA34" i="24"/>
  <c r="EL34" i="24"/>
  <c r="EY34" i="24"/>
  <c r="EB34" i="24"/>
  <c r="EN89" i="24"/>
  <c r="DW89" i="24"/>
  <c r="DY89" i="24" s="1"/>
  <c r="EF89" i="24" s="1"/>
  <c r="EM89" i="24"/>
  <c r="EP89" i="24" s="1"/>
  <c r="DU89" i="24"/>
  <c r="DW274" i="24"/>
  <c r="DU274" i="24"/>
  <c r="EE111" i="24"/>
  <c r="EE24" i="24"/>
  <c r="EE134" i="24"/>
  <c r="DW247" i="24"/>
  <c r="DU247" i="24"/>
  <c r="EE142" i="24"/>
  <c r="DW294" i="24"/>
  <c r="DU294" i="24"/>
  <c r="EY185" i="24"/>
  <c r="EE98" i="24"/>
  <c r="EY154" i="24"/>
  <c r="DW154" i="24"/>
  <c r="DY154" i="24" s="1"/>
  <c r="EF154" i="24" s="1"/>
  <c r="EN154" i="24"/>
  <c r="EM154" i="24"/>
  <c r="EP154" i="24" s="1"/>
  <c r="EN57" i="24"/>
  <c r="DW57" i="24"/>
  <c r="EM57" i="24"/>
  <c r="EP57" i="24" s="1"/>
  <c r="DU57" i="24"/>
  <c r="EL57" i="24"/>
  <c r="EY57" i="24"/>
  <c r="EB57" i="24"/>
  <c r="FA57" i="24"/>
  <c r="EL177" i="24"/>
  <c r="DW262" i="24"/>
  <c r="DU262" i="24"/>
  <c r="EE145" i="24"/>
  <c r="DW193" i="24"/>
  <c r="DY193" i="24" s="1"/>
  <c r="EF193" i="24" s="1"/>
  <c r="EN193" i="24"/>
  <c r="EM193" i="24"/>
  <c r="EP193" i="24" s="1"/>
  <c r="DW287" i="24"/>
  <c r="DU287" i="24"/>
  <c r="EL202" i="24"/>
  <c r="FA192" i="24"/>
  <c r="EE123" i="24"/>
  <c r="DW157" i="24"/>
  <c r="DY157" i="24" s="1"/>
  <c r="EF157" i="24" s="1"/>
  <c r="EN157" i="24"/>
  <c r="EM157" i="24"/>
  <c r="EP157" i="24" s="1"/>
  <c r="FA37" i="24"/>
  <c r="EY52" i="24"/>
  <c r="DW31" i="24"/>
  <c r="EN31" i="24"/>
  <c r="EM31" i="24"/>
  <c r="EP31" i="24" s="1"/>
  <c r="DU31" i="24"/>
  <c r="FA31" i="24"/>
  <c r="EY31" i="24"/>
  <c r="EB31" i="24"/>
  <c r="EL31" i="24"/>
  <c r="EL186" i="24"/>
  <c r="EB171" i="24"/>
  <c r="EE99" i="24"/>
  <c r="EE55" i="24"/>
  <c r="EY138" i="24"/>
  <c r="DW206" i="24"/>
  <c r="EN206" i="24"/>
  <c r="EM206" i="24"/>
  <c r="EP206" i="24" s="1"/>
  <c r="EB206" i="24"/>
  <c r="FA206" i="24"/>
  <c r="EY206" i="24"/>
  <c r="EL206" i="24"/>
  <c r="FA50" i="24"/>
  <c r="DW32" i="24"/>
  <c r="EN32" i="24"/>
  <c r="EM32" i="24"/>
  <c r="EP32" i="24" s="1"/>
  <c r="DU32" i="24"/>
  <c r="EY32" i="24"/>
  <c r="EL32" i="24"/>
  <c r="FA32" i="24"/>
  <c r="EB32" i="24"/>
  <c r="EE26" i="24"/>
  <c r="EB81" i="24"/>
  <c r="DW293" i="24"/>
  <c r="DU293" i="24"/>
  <c r="EY63" i="24"/>
  <c r="EB30" i="24"/>
  <c r="EL114" i="24"/>
  <c r="EE174" i="24"/>
  <c r="EE44" i="24"/>
  <c r="FA209" i="24"/>
  <c r="EL201" i="24"/>
  <c r="DW307" i="24"/>
  <c r="DU307" i="24"/>
  <c r="DW68" i="24"/>
  <c r="DY68" i="24" s="1"/>
  <c r="EF68" i="24" s="1"/>
  <c r="EN68" i="24"/>
  <c r="EM68" i="24"/>
  <c r="EP68" i="24" s="1"/>
  <c r="DU68" i="24"/>
  <c r="DW282" i="24"/>
  <c r="DU282" i="24"/>
  <c r="EY80" i="24"/>
  <c r="DW197" i="24"/>
  <c r="DY197" i="24" s="1"/>
  <c r="EF197" i="24" s="1"/>
  <c r="EN197" i="24"/>
  <c r="EM197" i="24"/>
  <c r="EP197" i="24" s="1"/>
  <c r="EY199" i="24"/>
  <c r="EL119" i="24"/>
  <c r="EN119" i="24"/>
  <c r="DW119" i="24"/>
  <c r="EM119" i="24"/>
  <c r="EP119" i="24" s="1"/>
  <c r="FA119" i="24"/>
  <c r="EY119" i="24"/>
  <c r="EB119" i="24"/>
  <c r="FA24" i="24"/>
  <c r="DW24" i="24"/>
  <c r="DY24" i="24" s="1"/>
  <c r="EF24" i="24" s="1"/>
  <c r="EN24" i="24"/>
  <c r="EM24" i="24"/>
  <c r="EP24" i="24" s="1"/>
  <c r="DU24" i="24"/>
  <c r="EE133" i="24"/>
  <c r="DW173" i="24"/>
  <c r="DY173" i="24" s="1"/>
  <c r="EF173" i="24" s="1"/>
  <c r="EN173" i="24"/>
  <c r="EM173" i="24"/>
  <c r="EP173" i="24" s="1"/>
  <c r="DW70" i="24"/>
  <c r="DY70" i="24" s="1"/>
  <c r="EF70" i="24" s="1"/>
  <c r="EN70" i="24"/>
  <c r="EM70" i="24"/>
  <c r="EP70" i="24" s="1"/>
  <c r="DU70" i="24"/>
  <c r="DW28" i="24"/>
  <c r="EN28" i="24"/>
  <c r="EM28" i="24"/>
  <c r="EP28" i="24" s="1"/>
  <c r="DU28" i="24"/>
  <c r="EY28" i="24"/>
  <c r="FA28" i="24"/>
  <c r="EB28" i="24"/>
  <c r="EL28" i="24"/>
  <c r="DW141" i="24"/>
  <c r="EN141" i="24"/>
  <c r="EM141" i="24"/>
  <c r="EP141" i="24" s="1"/>
  <c r="EL141" i="24"/>
  <c r="EY141" i="24"/>
  <c r="FA141" i="24"/>
  <c r="EB141" i="24"/>
  <c r="EE128" i="24"/>
  <c r="FA89" i="24"/>
  <c r="EB143" i="24"/>
  <c r="DW143" i="24"/>
  <c r="EN143" i="24"/>
  <c r="EM143" i="24"/>
  <c r="EP143" i="24" s="1"/>
  <c r="EL143" i="24"/>
  <c r="EY143" i="24"/>
  <c r="FA143" i="24"/>
  <c r="EY120" i="24"/>
  <c r="DW120" i="24"/>
  <c r="EN120" i="24"/>
  <c r="EM120" i="24"/>
  <c r="EP120" i="24" s="1"/>
  <c r="FA120" i="24"/>
  <c r="EL120" i="24"/>
  <c r="EB120" i="24"/>
  <c r="EB154" i="24"/>
  <c r="DW87" i="24"/>
  <c r="EN87" i="24"/>
  <c r="EM87" i="24"/>
  <c r="EP87" i="24" s="1"/>
  <c r="DU87" i="24"/>
  <c r="FA87" i="24"/>
  <c r="EY87" i="24"/>
  <c r="EL87" i="24"/>
  <c r="EB87" i="24"/>
  <c r="EE103" i="24"/>
  <c r="DW102" i="24"/>
  <c r="EN102" i="24"/>
  <c r="EM102" i="24"/>
  <c r="EP102" i="24" s="1"/>
  <c r="DU102" i="24"/>
  <c r="FA102" i="24"/>
  <c r="EY102" i="24"/>
  <c r="EL102" i="24"/>
  <c r="EB102" i="24"/>
  <c r="DW306" i="24"/>
  <c r="DU306" i="24"/>
  <c r="DW10" i="24"/>
  <c r="DY10" i="24" s="1"/>
  <c r="EF10" i="24" s="1"/>
  <c r="EN10" i="24"/>
  <c r="EM10" i="24"/>
  <c r="EP10" i="24" s="1"/>
  <c r="DU10" i="24"/>
  <c r="DW252" i="24"/>
  <c r="DU252" i="24"/>
  <c r="EL29" i="24"/>
  <c r="DW249" i="24"/>
  <c r="DU249" i="24"/>
  <c r="DW272" i="24"/>
  <c r="DU272" i="24"/>
  <c r="EB185" i="24"/>
  <c r="EE60" i="24"/>
  <c r="EB177" i="24"/>
  <c r="DW152" i="24"/>
  <c r="DY152" i="24" s="1"/>
  <c r="EF152" i="24" s="1"/>
  <c r="EN152" i="24"/>
  <c r="EM152" i="24"/>
  <c r="EP152" i="24" s="1"/>
  <c r="EL164" i="24"/>
  <c r="DW230" i="24"/>
  <c r="DU230" i="24"/>
  <c r="EE136" i="24"/>
  <c r="DW163" i="24"/>
  <c r="EN163" i="24"/>
  <c r="EM163" i="24"/>
  <c r="EP163" i="24" s="1"/>
  <c r="FA163" i="24"/>
  <c r="EB163" i="24"/>
  <c r="EL163" i="24"/>
  <c r="EY163" i="24"/>
  <c r="DW53" i="24"/>
  <c r="DY53" i="24" s="1"/>
  <c r="EF53" i="24" s="1"/>
  <c r="EN53" i="24"/>
  <c r="EM53" i="24"/>
  <c r="EP53" i="24" s="1"/>
  <c r="DU53" i="24"/>
  <c r="EB58" i="24"/>
  <c r="DW58" i="24"/>
  <c r="EN58" i="24"/>
  <c r="EM58" i="24"/>
  <c r="EP58" i="24" s="1"/>
  <c r="DU58" i="24"/>
  <c r="FA58" i="24"/>
  <c r="EL58" i="24"/>
  <c r="EY58" i="24"/>
  <c r="DW137" i="24"/>
  <c r="EN137" i="24"/>
  <c r="EM137" i="24"/>
  <c r="EP137" i="24" s="1"/>
  <c r="EY137" i="24"/>
  <c r="EB137" i="24"/>
  <c r="EL137" i="24"/>
  <c r="FA137" i="24"/>
  <c r="DW314" i="24"/>
  <c r="DU314" i="24"/>
  <c r="EB202" i="24"/>
  <c r="FA25" i="24"/>
  <c r="EN25" i="24"/>
  <c r="DW25" i="24"/>
  <c r="DY25" i="24" s="1"/>
  <c r="EF25" i="24" s="1"/>
  <c r="EM25" i="24"/>
  <c r="EP25" i="24" s="1"/>
  <c r="DU25" i="24"/>
  <c r="EY192" i="24"/>
  <c r="EN42" i="24"/>
  <c r="DW42" i="24"/>
  <c r="DY42" i="24" s="1"/>
  <c r="EF42" i="24" s="1"/>
  <c r="EM42" i="24"/>
  <c r="EP42" i="24" s="1"/>
  <c r="DU42" i="24"/>
  <c r="EY54" i="24"/>
  <c r="FA183" i="24"/>
  <c r="EE186" i="24"/>
  <c r="EB175" i="24"/>
  <c r="EY160" i="24"/>
  <c r="DW245" i="24"/>
  <c r="DU245" i="24"/>
  <c r="EY171" i="24"/>
  <c r="EE43" i="24"/>
  <c r="FA197" i="24"/>
  <c r="DW22" i="24"/>
  <c r="EN22" i="24"/>
  <c r="EM22" i="24"/>
  <c r="EP22" i="24" s="1"/>
  <c r="DU22" i="24"/>
  <c r="FA22" i="24"/>
  <c r="EB22" i="24"/>
  <c r="EL22" i="24"/>
  <c r="EY22" i="24"/>
  <c r="EL47" i="24"/>
  <c r="EL138" i="24"/>
  <c r="EN72" i="24"/>
  <c r="DW72" i="24"/>
  <c r="EM72" i="24"/>
  <c r="EP72" i="24" s="1"/>
  <c r="DU72" i="24"/>
  <c r="EY72" i="24"/>
  <c r="EL72" i="24"/>
  <c r="FA72" i="24"/>
  <c r="EB72" i="24"/>
  <c r="EB10" i="24"/>
  <c r="EL75" i="24"/>
  <c r="DW75" i="24"/>
  <c r="EN75" i="24"/>
  <c r="EM75" i="24"/>
  <c r="EP75" i="24" s="1"/>
  <c r="DU75" i="24"/>
  <c r="FA75" i="24"/>
  <c r="EB75" i="24"/>
  <c r="EY75" i="24"/>
  <c r="EL81" i="24"/>
  <c r="DW221" i="24"/>
  <c r="DU221" i="24"/>
  <c r="EE63" i="24"/>
  <c r="FA30" i="24"/>
  <c r="DW234" i="24"/>
  <c r="DU234" i="24"/>
  <c r="DW43" i="24"/>
  <c r="DY43" i="24" s="1"/>
  <c r="EF43" i="24" s="1"/>
  <c r="EN43" i="24"/>
  <c r="EM43" i="24"/>
  <c r="EP43" i="24" s="1"/>
  <c r="DU43" i="24"/>
  <c r="DW167" i="24"/>
  <c r="DY167" i="24" s="1"/>
  <c r="EF167" i="24" s="1"/>
  <c r="EN167" i="24"/>
  <c r="EM167" i="24"/>
  <c r="EP167" i="24" s="1"/>
  <c r="EY114" i="24"/>
  <c r="EB209" i="24"/>
  <c r="EY23" i="24"/>
  <c r="DW174" i="24"/>
  <c r="DY174" i="24" s="1"/>
  <c r="EF174" i="24" s="1"/>
  <c r="EN174" i="24"/>
  <c r="EM174" i="24"/>
  <c r="EP174" i="24" s="1"/>
  <c r="EY201" i="24"/>
  <c r="EB173" i="24"/>
  <c r="DW26" i="24"/>
  <c r="DY26" i="24" s="1"/>
  <c r="EF26" i="24" s="1"/>
  <c r="EN26" i="24"/>
  <c r="EM26" i="24"/>
  <c r="EP26" i="24" s="1"/>
  <c r="DU26" i="24"/>
  <c r="DW84" i="24"/>
  <c r="EN84" i="24"/>
  <c r="EM84" i="24"/>
  <c r="EP84" i="24" s="1"/>
  <c r="DU84" i="24"/>
  <c r="EB84" i="24"/>
  <c r="EY84" i="24"/>
  <c r="FA84" i="24"/>
  <c r="EL84" i="24"/>
  <c r="EY155" i="24"/>
  <c r="EB80" i="24"/>
  <c r="EE199" i="24"/>
  <c r="DW283" i="24"/>
  <c r="DU283" i="24"/>
  <c r="EY129" i="24"/>
  <c r="DW244" i="24"/>
  <c r="DU244" i="24"/>
  <c r="EE39" i="24"/>
  <c r="DW275" i="24"/>
  <c r="DU275" i="24"/>
  <c r="DW145" i="24"/>
  <c r="DY145" i="24" s="1"/>
  <c r="EF145" i="24" s="1"/>
  <c r="EN145" i="24"/>
  <c r="EM145" i="24"/>
  <c r="EP145" i="24" s="1"/>
  <c r="BV106" i="19"/>
  <c r="CB106" i="19" s="1"/>
  <c r="BW106" i="19"/>
  <c r="CC106" i="19" s="1"/>
  <c r="CG212" i="25" l="1"/>
  <c r="EE212" i="25"/>
  <c r="EG212" i="25"/>
  <c r="EX212" i="25" s="1"/>
  <c r="EF212" i="25"/>
  <c r="EW212" i="25" s="1"/>
  <c r="CH212" i="25"/>
  <c r="DY190" i="24"/>
  <c r="EF190" i="24" s="1"/>
  <c r="EA243" i="24"/>
  <c r="FL243" i="24" s="1"/>
  <c r="EA96" i="24"/>
  <c r="CG96" i="24" s="1"/>
  <c r="EA242" i="24"/>
  <c r="EH242" i="24" s="1"/>
  <c r="EA285" i="24"/>
  <c r="EC285" i="24" s="1"/>
  <c r="ED285" i="24" s="1"/>
  <c r="FL216" i="24"/>
  <c r="EI216" i="24"/>
  <c r="EX216" i="24" s="1"/>
  <c r="EC216" i="24"/>
  <c r="ED216" i="24" s="1"/>
  <c r="EH216" i="24"/>
  <c r="I5" i="24"/>
  <c r="M5" i="24" s="1"/>
  <c r="U5" i="24" s="1"/>
  <c r="CH285" i="25"/>
  <c r="EF285" i="25"/>
  <c r="EW285" i="25" s="1"/>
  <c r="EG285" i="25"/>
  <c r="EX285" i="25" s="1"/>
  <c r="EE285" i="25"/>
  <c r="CH253" i="25"/>
  <c r="EE253" i="25"/>
  <c r="EF253" i="25"/>
  <c r="EW253" i="25" s="1"/>
  <c r="EG253" i="25"/>
  <c r="EX253" i="25" s="1"/>
  <c r="CG262" i="25"/>
  <c r="EF262" i="25"/>
  <c r="EW262" i="25" s="1"/>
  <c r="EG262" i="25"/>
  <c r="EX262" i="25" s="1"/>
  <c r="EE262" i="25"/>
  <c r="CH303" i="25"/>
  <c r="EF303" i="25"/>
  <c r="EW303" i="25" s="1"/>
  <c r="EG303" i="25"/>
  <c r="EX303" i="25" s="1"/>
  <c r="EE303" i="25"/>
  <c r="CH248" i="25"/>
  <c r="EE248" i="25"/>
  <c r="EF248" i="25"/>
  <c r="EW248" i="25" s="1"/>
  <c r="EG248" i="25"/>
  <c r="EX248" i="25" s="1"/>
  <c r="CG242" i="25"/>
  <c r="EE242" i="25"/>
  <c r="EF242" i="25"/>
  <c r="EW242" i="25" s="1"/>
  <c r="EG242" i="25"/>
  <c r="EX242" i="25" s="1"/>
  <c r="CH237" i="25"/>
  <c r="EF237" i="25"/>
  <c r="EW237" i="25" s="1"/>
  <c r="EG237" i="25"/>
  <c r="EX237" i="25" s="1"/>
  <c r="EE237" i="25"/>
  <c r="CG266" i="25"/>
  <c r="EE266" i="25"/>
  <c r="EF266" i="25"/>
  <c r="EW266" i="25" s="1"/>
  <c r="EG266" i="25"/>
  <c r="EX266" i="25" s="1"/>
  <c r="CH264" i="25"/>
  <c r="EE264" i="25"/>
  <c r="EF264" i="25"/>
  <c r="EW264" i="25" s="1"/>
  <c r="EG264" i="25"/>
  <c r="EX264" i="25" s="1"/>
  <c r="CH235" i="25"/>
  <c r="EF235" i="25"/>
  <c r="EW235" i="25" s="1"/>
  <c r="EG235" i="25"/>
  <c r="EX235" i="25" s="1"/>
  <c r="EE235" i="25"/>
  <c r="CG230" i="25"/>
  <c r="EE230" i="25"/>
  <c r="EF230" i="25"/>
  <c r="EW230" i="25" s="1"/>
  <c r="EG230" i="25"/>
  <c r="EX230" i="25" s="1"/>
  <c r="CH300" i="25"/>
  <c r="EE300" i="25"/>
  <c r="EF300" i="25"/>
  <c r="EW300" i="25" s="1"/>
  <c r="EG300" i="25"/>
  <c r="EX300" i="25" s="1"/>
  <c r="CH312" i="25"/>
  <c r="EG312" i="25"/>
  <c r="EX312" i="25" s="1"/>
  <c r="EE312" i="25"/>
  <c r="EF312" i="25"/>
  <c r="EW312" i="25" s="1"/>
  <c r="CG274" i="25"/>
  <c r="EE274" i="25"/>
  <c r="EG274" i="25"/>
  <c r="EX274" i="25" s="1"/>
  <c r="EF274" i="25"/>
  <c r="EW274" i="25" s="1"/>
  <c r="CG246" i="25"/>
  <c r="EE246" i="25"/>
  <c r="EF246" i="25"/>
  <c r="EW246" i="25" s="1"/>
  <c r="EG246" i="25"/>
  <c r="EX246" i="25" s="1"/>
  <c r="CH281" i="25"/>
  <c r="EE281" i="25"/>
  <c r="EG281" i="25"/>
  <c r="EX281" i="25" s="1"/>
  <c r="EF281" i="25"/>
  <c r="EW281" i="25" s="1"/>
  <c r="CH307" i="25"/>
  <c r="EE307" i="25"/>
  <c r="EF307" i="25"/>
  <c r="EW307" i="25" s="1"/>
  <c r="EG307" i="25"/>
  <c r="EX307" i="25" s="1"/>
  <c r="CH217" i="25"/>
  <c r="EE217" i="25"/>
  <c r="EF217" i="25"/>
  <c r="EW217" i="25" s="1"/>
  <c r="EG217" i="25"/>
  <c r="EX217" i="25" s="1"/>
  <c r="CG302" i="25"/>
  <c r="EE302" i="25"/>
  <c r="EF302" i="25"/>
  <c r="EW302" i="25" s="1"/>
  <c r="EG302" i="25"/>
  <c r="EX302" i="25" s="1"/>
  <c r="CH288" i="25"/>
  <c r="EF288" i="25"/>
  <c r="EW288" i="25" s="1"/>
  <c r="EG288" i="25"/>
  <c r="EX288" i="25" s="1"/>
  <c r="EE288" i="25"/>
  <c r="CG270" i="25"/>
  <c r="EE270" i="25"/>
  <c r="EF270" i="25"/>
  <c r="EW270" i="25" s="1"/>
  <c r="EG270" i="25"/>
  <c r="EX270" i="25" s="1"/>
  <c r="CH272" i="25"/>
  <c r="EF272" i="25"/>
  <c r="EW272" i="25" s="1"/>
  <c r="EG272" i="25"/>
  <c r="EX272" i="25" s="1"/>
  <c r="EE272" i="25"/>
  <c r="CH249" i="25"/>
  <c r="EE249" i="25"/>
  <c r="EF249" i="25"/>
  <c r="EW249" i="25" s="1"/>
  <c r="EG249" i="25"/>
  <c r="EX249" i="25" s="1"/>
  <c r="CG273" i="25"/>
  <c r="EE273" i="25"/>
  <c r="EF273" i="25"/>
  <c r="EW273" i="25" s="1"/>
  <c r="EG273" i="25"/>
  <c r="EX273" i="25" s="1"/>
  <c r="CG258" i="25"/>
  <c r="EE258" i="25"/>
  <c r="EF258" i="25"/>
  <c r="EW258" i="25" s="1"/>
  <c r="EG258" i="25"/>
  <c r="EX258" i="25" s="1"/>
  <c r="CH304" i="25"/>
  <c r="EE304" i="25"/>
  <c r="EF304" i="25"/>
  <c r="EW304" i="25" s="1"/>
  <c r="EG304" i="25"/>
  <c r="EX304" i="25" s="1"/>
  <c r="CH259" i="25"/>
  <c r="EE259" i="25"/>
  <c r="EF259" i="25"/>
  <c r="EW259" i="25" s="1"/>
  <c r="EG259" i="25"/>
  <c r="EX259" i="25" s="1"/>
  <c r="CH231" i="25"/>
  <c r="EG231" i="25"/>
  <c r="EX231" i="25" s="1"/>
  <c r="EE231" i="25"/>
  <c r="EF231" i="25"/>
  <c r="EW231" i="25" s="1"/>
  <c r="CH251" i="25"/>
  <c r="EE251" i="25"/>
  <c r="EF251" i="25"/>
  <c r="EW251" i="25" s="1"/>
  <c r="EG251" i="25"/>
  <c r="EX251" i="25" s="1"/>
  <c r="CG226" i="25"/>
  <c r="EE226" i="25"/>
  <c r="EF226" i="25"/>
  <c r="EW226" i="25" s="1"/>
  <c r="EG226" i="25"/>
  <c r="EX226" i="25" s="1"/>
  <c r="CH308" i="25"/>
  <c r="EE308" i="25"/>
  <c r="EF308" i="25"/>
  <c r="EW308" i="25" s="1"/>
  <c r="EG308" i="25"/>
  <c r="EX308" i="25" s="1"/>
  <c r="CH305" i="25"/>
  <c r="EE305" i="25"/>
  <c r="EF305" i="25"/>
  <c r="EW305" i="25" s="1"/>
  <c r="EG305" i="25"/>
  <c r="EX305" i="25" s="1"/>
  <c r="CH260" i="25"/>
  <c r="EF260" i="25"/>
  <c r="EW260" i="25" s="1"/>
  <c r="EG260" i="25"/>
  <c r="EX260" i="25" s="1"/>
  <c r="EE260" i="25"/>
  <c r="CG268" i="25"/>
  <c r="EG268" i="25"/>
  <c r="EX268" i="25" s="1"/>
  <c r="EE268" i="25"/>
  <c r="EF268" i="25"/>
  <c r="EW268" i="25" s="1"/>
  <c r="CG254" i="25"/>
  <c r="EG254" i="25"/>
  <c r="EX254" i="25" s="1"/>
  <c r="EE254" i="25"/>
  <c r="EF254" i="25"/>
  <c r="EW254" i="25" s="1"/>
  <c r="CH263" i="25"/>
  <c r="EE263" i="25"/>
  <c r="EF263" i="25"/>
  <c r="EW263" i="25" s="1"/>
  <c r="EG263" i="25"/>
  <c r="EX263" i="25" s="1"/>
  <c r="CH236" i="25"/>
  <c r="EE236" i="25"/>
  <c r="EF236" i="25"/>
  <c r="EW236" i="25" s="1"/>
  <c r="EG236" i="25"/>
  <c r="EX236" i="25" s="1"/>
  <c r="CH227" i="25"/>
  <c r="EE227" i="25"/>
  <c r="EF227" i="25"/>
  <c r="EW227" i="25" s="1"/>
  <c r="EG227" i="25"/>
  <c r="EX227" i="25" s="1"/>
  <c r="CG238" i="25"/>
  <c r="EE238" i="25"/>
  <c r="EF238" i="25"/>
  <c r="EW238" i="25" s="1"/>
  <c r="EG238" i="25"/>
  <c r="EX238" i="25" s="1"/>
  <c r="CG298" i="25"/>
  <c r="EG298" i="25"/>
  <c r="EX298" i="25" s="1"/>
  <c r="EE298" i="25"/>
  <c r="EF298" i="25"/>
  <c r="EW298" i="25" s="1"/>
  <c r="CH284" i="25"/>
  <c r="EE284" i="25"/>
  <c r="EG284" i="25"/>
  <c r="EX284" i="25" s="1"/>
  <c r="EF284" i="25"/>
  <c r="EW284" i="25" s="1"/>
  <c r="CH286" i="25"/>
  <c r="EE286" i="25"/>
  <c r="EF286" i="25"/>
  <c r="EW286" i="25" s="1"/>
  <c r="EG286" i="25"/>
  <c r="EX286" i="25" s="1"/>
  <c r="CH297" i="25"/>
  <c r="EE297" i="25"/>
  <c r="EF297" i="25"/>
  <c r="EW297" i="25" s="1"/>
  <c r="EG297" i="25"/>
  <c r="EX297" i="25" s="1"/>
  <c r="CG218" i="25"/>
  <c r="EE218" i="25"/>
  <c r="EF218" i="25"/>
  <c r="EW218" i="25" s="1"/>
  <c r="EG218" i="25"/>
  <c r="EX218" i="25" s="1"/>
  <c r="CH232" i="25"/>
  <c r="EF232" i="25"/>
  <c r="EW232" i="25" s="1"/>
  <c r="EG232" i="25"/>
  <c r="EX232" i="25" s="1"/>
  <c r="EE232" i="25"/>
  <c r="CH295" i="25"/>
  <c r="EE295" i="25"/>
  <c r="EG295" i="25"/>
  <c r="EX295" i="25" s="1"/>
  <c r="EF295" i="25"/>
  <c r="EW295" i="25" s="1"/>
  <c r="CH241" i="25"/>
  <c r="EE241" i="25"/>
  <c r="EF241" i="25"/>
  <c r="EW241" i="25" s="1"/>
  <c r="EG241" i="25"/>
  <c r="EX241" i="25" s="1"/>
  <c r="CH287" i="25"/>
  <c r="EF287" i="25"/>
  <c r="EW287" i="25" s="1"/>
  <c r="EG287" i="25"/>
  <c r="EX287" i="25" s="1"/>
  <c r="EE287" i="25"/>
  <c r="CG313" i="25"/>
  <c r="EE313" i="25"/>
  <c r="EF313" i="25"/>
  <c r="EW313" i="25" s="1"/>
  <c r="EG313" i="25"/>
  <c r="EX313" i="25" s="1"/>
  <c r="CH257" i="25"/>
  <c r="EF257" i="25"/>
  <c r="EW257" i="25" s="1"/>
  <c r="EG257" i="25"/>
  <c r="EX257" i="25" s="1"/>
  <c r="EE257" i="25"/>
  <c r="CH301" i="25"/>
  <c r="EE301" i="25"/>
  <c r="EF301" i="25"/>
  <c r="EW301" i="25" s="1"/>
  <c r="EG301" i="25"/>
  <c r="EX301" i="25" s="1"/>
  <c r="CH311" i="25"/>
  <c r="EE311" i="25"/>
  <c r="EF311" i="25"/>
  <c r="EW311" i="25" s="1"/>
  <c r="EG311" i="25"/>
  <c r="EX311" i="25" s="1"/>
  <c r="CH279" i="25"/>
  <c r="EE279" i="25"/>
  <c r="EG279" i="25"/>
  <c r="EX279" i="25" s="1"/>
  <c r="EF279" i="25"/>
  <c r="EW279" i="25" s="1"/>
  <c r="CG229" i="25"/>
  <c r="EE229" i="25"/>
  <c r="EF229" i="25"/>
  <c r="EW229" i="25" s="1"/>
  <c r="EG229" i="25"/>
  <c r="EX229" i="25" s="1"/>
  <c r="CH283" i="25"/>
  <c r="EE283" i="25"/>
  <c r="EF283" i="25"/>
  <c r="EW283" i="25" s="1"/>
  <c r="EG283" i="25"/>
  <c r="EX283" i="25" s="1"/>
  <c r="CG240" i="25"/>
  <c r="EE240" i="25"/>
  <c r="EF240" i="25"/>
  <c r="EW240" i="25" s="1"/>
  <c r="EG240" i="25"/>
  <c r="EX240" i="25" s="1"/>
  <c r="CH265" i="25"/>
  <c r="EF265" i="25"/>
  <c r="EW265" i="25" s="1"/>
  <c r="EG265" i="25"/>
  <c r="EX265" i="25" s="1"/>
  <c r="EE265" i="25"/>
  <c r="CG222" i="25"/>
  <c r="EE222" i="25"/>
  <c r="EF222" i="25"/>
  <c r="EW222" i="25" s="1"/>
  <c r="EG222" i="25"/>
  <c r="EX222" i="25" s="1"/>
  <c r="CH292" i="25"/>
  <c r="EE292" i="25"/>
  <c r="EF292" i="25"/>
  <c r="EW292" i="25" s="1"/>
  <c r="EG292" i="25"/>
  <c r="EX292" i="25" s="1"/>
  <c r="CH243" i="25"/>
  <c r="EF243" i="25"/>
  <c r="EW243" i="25" s="1"/>
  <c r="EG243" i="25"/>
  <c r="EX243" i="25" s="1"/>
  <c r="EE243" i="25"/>
  <c r="CH291" i="25"/>
  <c r="EE291" i="25"/>
  <c r="EF291" i="25"/>
  <c r="EW291" i="25" s="1"/>
  <c r="EG291" i="25"/>
  <c r="EX291" i="25" s="1"/>
  <c r="CH271" i="25"/>
  <c r="EE271" i="25"/>
  <c r="EG271" i="25"/>
  <c r="EX271" i="25" s="1"/>
  <c r="EF271" i="25"/>
  <c r="EW271" i="25" s="1"/>
  <c r="CH276" i="25"/>
  <c r="EE276" i="25"/>
  <c r="EF276" i="25"/>
  <c r="EW276" i="25" s="1"/>
  <c r="EG276" i="25"/>
  <c r="EX276" i="25" s="1"/>
  <c r="CH316" i="25"/>
  <c r="EE316" i="25"/>
  <c r="EF316" i="25"/>
  <c r="EW316" i="25" s="1"/>
  <c r="EG316" i="25"/>
  <c r="EX316" i="25" s="1"/>
  <c r="CH233" i="25"/>
  <c r="EE233" i="25"/>
  <c r="EF233" i="25"/>
  <c r="EW233" i="25" s="1"/>
  <c r="EG233" i="25"/>
  <c r="EX233" i="25" s="1"/>
  <c r="CG225" i="25"/>
  <c r="EE225" i="25"/>
  <c r="EF225" i="25"/>
  <c r="EW225" i="25" s="1"/>
  <c r="EG225" i="25"/>
  <c r="EX225" i="25" s="1"/>
  <c r="CH221" i="25"/>
  <c r="EG221" i="25"/>
  <c r="EX221" i="25" s="1"/>
  <c r="EE221" i="25"/>
  <c r="EF221" i="25"/>
  <c r="EW221" i="25" s="1"/>
  <c r="CG294" i="25"/>
  <c r="EE294" i="25"/>
  <c r="EF294" i="25"/>
  <c r="EW294" i="25" s="1"/>
  <c r="EG294" i="25"/>
  <c r="EX294" i="25" s="1"/>
  <c r="CH247" i="25"/>
  <c r="EE247" i="25"/>
  <c r="EF247" i="25"/>
  <c r="EW247" i="25" s="1"/>
  <c r="EG247" i="25"/>
  <c r="EX247" i="25" s="1"/>
  <c r="CH315" i="25"/>
  <c r="EE315" i="25"/>
  <c r="EF315" i="25"/>
  <c r="EW315" i="25" s="1"/>
  <c r="EG315" i="25"/>
  <c r="EX315" i="25" s="1"/>
  <c r="CH289" i="25"/>
  <c r="EE289" i="25"/>
  <c r="EF289" i="25"/>
  <c r="EW289" i="25" s="1"/>
  <c r="EG289" i="25"/>
  <c r="EX289" i="25" s="1"/>
  <c r="CH277" i="25"/>
  <c r="EF277" i="25"/>
  <c r="EW277" i="25" s="1"/>
  <c r="EG277" i="25"/>
  <c r="EX277" i="25" s="1"/>
  <c r="EE277" i="25"/>
  <c r="CH261" i="25"/>
  <c r="EE261" i="25"/>
  <c r="EF261" i="25"/>
  <c r="EW261" i="25" s="1"/>
  <c r="EG261" i="25"/>
  <c r="EX261" i="25" s="1"/>
  <c r="CG252" i="25"/>
  <c r="EE252" i="25"/>
  <c r="EF252" i="25"/>
  <c r="EW252" i="25" s="1"/>
  <c r="EG252" i="25"/>
  <c r="EX252" i="25" s="1"/>
  <c r="CG267" i="25"/>
  <c r="EE267" i="25"/>
  <c r="EF267" i="25"/>
  <c r="EW267" i="25" s="1"/>
  <c r="EG267" i="25"/>
  <c r="EX267" i="25" s="1"/>
  <c r="CH293" i="25"/>
  <c r="EG293" i="25"/>
  <c r="EX293" i="25" s="1"/>
  <c r="EE293" i="25"/>
  <c r="EF293" i="25"/>
  <c r="EW293" i="25" s="1"/>
  <c r="CH219" i="25"/>
  <c r="EE219" i="25"/>
  <c r="EF219" i="25"/>
  <c r="EW219" i="25" s="1"/>
  <c r="EG219" i="25"/>
  <c r="EX219" i="25" s="1"/>
  <c r="CH280" i="25"/>
  <c r="EE280" i="25"/>
  <c r="EF280" i="25"/>
  <c r="EW280" i="25" s="1"/>
  <c r="EG280" i="25"/>
  <c r="EX280" i="25" s="1"/>
  <c r="CH228" i="25"/>
  <c r="EE228" i="25"/>
  <c r="EF228" i="25"/>
  <c r="EW228" i="25" s="1"/>
  <c r="EG228" i="25"/>
  <c r="EX228" i="25" s="1"/>
  <c r="CG275" i="25"/>
  <c r="EG275" i="25"/>
  <c r="EX275" i="25" s="1"/>
  <c r="EE275" i="25"/>
  <c r="EF275" i="25"/>
  <c r="EW275" i="25" s="1"/>
  <c r="CH299" i="25"/>
  <c r="EE299" i="25"/>
  <c r="EF299" i="25"/>
  <c r="EW299" i="25" s="1"/>
  <c r="EG299" i="25"/>
  <c r="EX299" i="25" s="1"/>
  <c r="CH296" i="25"/>
  <c r="EF296" i="25"/>
  <c r="EW296" i="25" s="1"/>
  <c r="EG296" i="25"/>
  <c r="EX296" i="25" s="1"/>
  <c r="EE296" i="25"/>
  <c r="CH256" i="25"/>
  <c r="EE256" i="25"/>
  <c r="EF256" i="25"/>
  <c r="EW256" i="25" s="1"/>
  <c r="EG256" i="25"/>
  <c r="EX256" i="25" s="1"/>
  <c r="CG290" i="25"/>
  <c r="EG290" i="25"/>
  <c r="EX290" i="25" s="1"/>
  <c r="EE290" i="25"/>
  <c r="EF290" i="25"/>
  <c r="EW290" i="25" s="1"/>
  <c r="CG234" i="25"/>
  <c r="EE234" i="25"/>
  <c r="EF234" i="25"/>
  <c r="EW234" i="25" s="1"/>
  <c r="EG234" i="25"/>
  <c r="EX234" i="25" s="1"/>
  <c r="CH239" i="25"/>
  <c r="EE239" i="25"/>
  <c r="EF239" i="25"/>
  <c r="EW239" i="25" s="1"/>
  <c r="EG239" i="25"/>
  <c r="EX239" i="25" s="1"/>
  <c r="CH224" i="25"/>
  <c r="EG224" i="25"/>
  <c r="EX224" i="25" s="1"/>
  <c r="EE224" i="25"/>
  <c r="EF224" i="25"/>
  <c r="EW224" i="25" s="1"/>
  <c r="CH223" i="25"/>
  <c r="EE223" i="25"/>
  <c r="EF223" i="25"/>
  <c r="EW223" i="25" s="1"/>
  <c r="EG223" i="25"/>
  <c r="EX223" i="25" s="1"/>
  <c r="CH220" i="25"/>
  <c r="EE220" i="25"/>
  <c r="EF220" i="25"/>
  <c r="EW220" i="25" s="1"/>
  <c r="EG220" i="25"/>
  <c r="EX220" i="25" s="1"/>
  <c r="CG278" i="25"/>
  <c r="EE278" i="25"/>
  <c r="EF278" i="25"/>
  <c r="EW278" i="25" s="1"/>
  <c r="EG278" i="25"/>
  <c r="EX278" i="25" s="1"/>
  <c r="CH269" i="25"/>
  <c r="EE269" i="25"/>
  <c r="EF269" i="25"/>
  <c r="EW269" i="25" s="1"/>
  <c r="EG269" i="25"/>
  <c r="EX269" i="25" s="1"/>
  <c r="CH282" i="25"/>
  <c r="EE282" i="25"/>
  <c r="EF282" i="25"/>
  <c r="EW282" i="25" s="1"/>
  <c r="EG282" i="25"/>
  <c r="EX282" i="25" s="1"/>
  <c r="CG314" i="25"/>
  <c r="EE314" i="25"/>
  <c r="EF314" i="25"/>
  <c r="EW314" i="25" s="1"/>
  <c r="EG314" i="25"/>
  <c r="EX314" i="25" s="1"/>
  <c r="CH216" i="25"/>
  <c r="EG216" i="25"/>
  <c r="EX216" i="25" s="1"/>
  <c r="EF216" i="25"/>
  <c r="EW216" i="25" s="1"/>
  <c r="EE216" i="25"/>
  <c r="CH255" i="25"/>
  <c r="EE255" i="25"/>
  <c r="EF255" i="25"/>
  <c r="EW255" i="25" s="1"/>
  <c r="EG255" i="25"/>
  <c r="EX255" i="25" s="1"/>
  <c r="CH309" i="25"/>
  <c r="EF309" i="25"/>
  <c r="EW309" i="25" s="1"/>
  <c r="EG309" i="25"/>
  <c r="EX309" i="25" s="1"/>
  <c r="EE309" i="25"/>
  <c r="CG310" i="25"/>
  <c r="EE310" i="25"/>
  <c r="EF310" i="25"/>
  <c r="EW310" i="25" s="1"/>
  <c r="EG310" i="25"/>
  <c r="EX310" i="25" s="1"/>
  <c r="CG306" i="25"/>
  <c r="EF306" i="25"/>
  <c r="EW306" i="25" s="1"/>
  <c r="EG306" i="25"/>
  <c r="EX306" i="25" s="1"/>
  <c r="EE306" i="25"/>
  <c r="CG250" i="25"/>
  <c r="EE250" i="25"/>
  <c r="EF250" i="25"/>
  <c r="EW250" i="25" s="1"/>
  <c r="EG250" i="25"/>
  <c r="EX250" i="25" s="1"/>
  <c r="CH245" i="25"/>
  <c r="EG245" i="25"/>
  <c r="EX245" i="25" s="1"/>
  <c r="EE245" i="25"/>
  <c r="EF245" i="25"/>
  <c r="EW245" i="25" s="1"/>
  <c r="CH244" i="25"/>
  <c r="EE244" i="25"/>
  <c r="EF244" i="25"/>
  <c r="EW244" i="25" s="1"/>
  <c r="EG244" i="25"/>
  <c r="EX244" i="25" s="1"/>
  <c r="EG112" i="25"/>
  <c r="EX112" i="25" s="1"/>
  <c r="EE112" i="25"/>
  <c r="CG112" i="25"/>
  <c r="CH112" i="25"/>
  <c r="EF112" i="25"/>
  <c r="EW112" i="25" s="1"/>
  <c r="CH65" i="25"/>
  <c r="CG136" i="25"/>
  <c r="CH115" i="25"/>
  <c r="CG190" i="25"/>
  <c r="CH82" i="25"/>
  <c r="CH51" i="25"/>
  <c r="CH170" i="25"/>
  <c r="CH194" i="25"/>
  <c r="CH192" i="25"/>
  <c r="CH55" i="25"/>
  <c r="CH198" i="25"/>
  <c r="CH185" i="25"/>
  <c r="CH205" i="25"/>
  <c r="CH70" i="25"/>
  <c r="CH200" i="25"/>
  <c r="CG110" i="25"/>
  <c r="CG207" i="25"/>
  <c r="CG169" i="25"/>
  <c r="CH131" i="25"/>
  <c r="CH174" i="25"/>
  <c r="CH147" i="25"/>
  <c r="CH158" i="25"/>
  <c r="CH114" i="25"/>
  <c r="CH171" i="25"/>
  <c r="CH187" i="25"/>
  <c r="CH79" i="25"/>
  <c r="CH122" i="25"/>
  <c r="CH64" i="25"/>
  <c r="CH155" i="25"/>
  <c r="CH148" i="25"/>
  <c r="CG159" i="25"/>
  <c r="CH156" i="25"/>
  <c r="CH119" i="25"/>
  <c r="CG160" i="25"/>
  <c r="CH24" i="25"/>
  <c r="CG204" i="25"/>
  <c r="CG179" i="25"/>
  <c r="CH83" i="25"/>
  <c r="CG203" i="25"/>
  <c r="CH130" i="25"/>
  <c r="CG172" i="25"/>
  <c r="CH6" i="25"/>
  <c r="CG145" i="25"/>
  <c r="CG133" i="25"/>
  <c r="CG120" i="25"/>
  <c r="CH19" i="25"/>
  <c r="CH184" i="25"/>
  <c r="CH48" i="25"/>
  <c r="CG121" i="25"/>
  <c r="CG208" i="25"/>
  <c r="CH99" i="25"/>
  <c r="CH53" i="25"/>
  <c r="CG168" i="25"/>
  <c r="CH15" i="25"/>
  <c r="CG132" i="25"/>
  <c r="CH29" i="25"/>
  <c r="CH35" i="25"/>
  <c r="CG152" i="25"/>
  <c r="CG161" i="25"/>
  <c r="CH96" i="25"/>
  <c r="CG124" i="25"/>
  <c r="CH21" i="25"/>
  <c r="CH32" i="25"/>
  <c r="CH54" i="25"/>
  <c r="CH87" i="25"/>
  <c r="CH18" i="25"/>
  <c r="CH28" i="25"/>
  <c r="CH63" i="25"/>
  <c r="CH26" i="25"/>
  <c r="CH38" i="25"/>
  <c r="CH41" i="25"/>
  <c r="CH36" i="25"/>
  <c r="CH44" i="25"/>
  <c r="CG173" i="25"/>
  <c r="CG196" i="25"/>
  <c r="CG116" i="25"/>
  <c r="CH14" i="25"/>
  <c r="CH17" i="25"/>
  <c r="CH76" i="25"/>
  <c r="CH84" i="25"/>
  <c r="CG202" i="25"/>
  <c r="CH127" i="25"/>
  <c r="CG206" i="25"/>
  <c r="CH69" i="25"/>
  <c r="CH42" i="25"/>
  <c r="CG134" i="25"/>
  <c r="CH43" i="25"/>
  <c r="CG153" i="25"/>
  <c r="CH62" i="25"/>
  <c r="CH12" i="25"/>
  <c r="CG201" i="25"/>
  <c r="CG139" i="25"/>
  <c r="CH61" i="25"/>
  <c r="CH49" i="25"/>
  <c r="CG210" i="25"/>
  <c r="CG167" i="25"/>
  <c r="CH23" i="25"/>
  <c r="CG111" i="25"/>
  <c r="CG123" i="25"/>
  <c r="CH11" i="25"/>
  <c r="CG176" i="25"/>
  <c r="CG195" i="25"/>
  <c r="CH104" i="25"/>
  <c r="CH90" i="25"/>
  <c r="CH173" i="25"/>
  <c r="CH118" i="25"/>
  <c r="CH67" i="25"/>
  <c r="CH57" i="25"/>
  <c r="CG197" i="25"/>
  <c r="CG157" i="25"/>
  <c r="CG151" i="25"/>
  <c r="CH30" i="25"/>
  <c r="CG186" i="25"/>
  <c r="CG166" i="25"/>
  <c r="CG154" i="25"/>
  <c r="CH9" i="25"/>
  <c r="CH16" i="25"/>
  <c r="CG142" i="25"/>
  <c r="CH95" i="25"/>
  <c r="CG135" i="25"/>
  <c r="CG162" i="25"/>
  <c r="CH68" i="25"/>
  <c r="CG141" i="25"/>
  <c r="CG117" i="25"/>
  <c r="CH60" i="25"/>
  <c r="CH39" i="25"/>
  <c r="CG140" i="25"/>
  <c r="CH100" i="25"/>
  <c r="CH80" i="25"/>
  <c r="CG144" i="25"/>
  <c r="CH92" i="25"/>
  <c r="CG188" i="25"/>
  <c r="CG113" i="25"/>
  <c r="CH101" i="25"/>
  <c r="CG165" i="25"/>
  <c r="CH10" i="25"/>
  <c r="CG126" i="25"/>
  <c r="CH93" i="25"/>
  <c r="CG137" i="25"/>
  <c r="CG125" i="25"/>
  <c r="CG191" i="25"/>
  <c r="CG193" i="25"/>
  <c r="CG209" i="25"/>
  <c r="CH85" i="25"/>
  <c r="CH94" i="25"/>
  <c r="CG146" i="25"/>
  <c r="CH46" i="25"/>
  <c r="CG149" i="25"/>
  <c r="CG150" i="25"/>
  <c r="CG129" i="25"/>
  <c r="CG175" i="25"/>
  <c r="CH13" i="25"/>
  <c r="CH75" i="25"/>
  <c r="CH72" i="25"/>
  <c r="EA78" i="24"/>
  <c r="FL78" i="24" s="1"/>
  <c r="CH183" i="25"/>
  <c r="CG183" i="25"/>
  <c r="CH102" i="25"/>
  <c r="CH27" i="25"/>
  <c r="CG128" i="25"/>
  <c r="CH20" i="25"/>
  <c r="CH105" i="25"/>
  <c r="CG189" i="25"/>
  <c r="CG163" i="25"/>
  <c r="CH78" i="25"/>
  <c r="CH137" i="25"/>
  <c r="CH59" i="25"/>
  <c r="CH22" i="25"/>
  <c r="CG180" i="25"/>
  <c r="CG199" i="25"/>
  <c r="CH66" i="25"/>
  <c r="CG177" i="25"/>
  <c r="CG164" i="25"/>
  <c r="CH34" i="25"/>
  <c r="CH86" i="25"/>
  <c r="CG178" i="25"/>
  <c r="CH98" i="25"/>
  <c r="CH50" i="25"/>
  <c r="CH7" i="25"/>
  <c r="CH8" i="25"/>
  <c r="CH74" i="25"/>
  <c r="CH128" i="25"/>
  <c r="CG171" i="25"/>
  <c r="CH97" i="25"/>
  <c r="CH71" i="25"/>
  <c r="CH199" i="25"/>
  <c r="CH33" i="25"/>
  <c r="CH88" i="25"/>
  <c r="CH45" i="25"/>
  <c r="CH164" i="25"/>
  <c r="CH40" i="25"/>
  <c r="CH52" i="25"/>
  <c r="CH91" i="25"/>
  <c r="CH31" i="25"/>
  <c r="CG103" i="25"/>
  <c r="CG86" i="25"/>
  <c r="I110" i="24"/>
  <c r="M110" i="24" s="1"/>
  <c r="CG6" i="25"/>
  <c r="CG39" i="25"/>
  <c r="CG49" i="25"/>
  <c r="CG78" i="25"/>
  <c r="CG24" i="25"/>
  <c r="CG63" i="25"/>
  <c r="CG42" i="25"/>
  <c r="CG38" i="25"/>
  <c r="CG14" i="25"/>
  <c r="CG41" i="25"/>
  <c r="CG10" i="25"/>
  <c r="CG96" i="25"/>
  <c r="EF58" i="25"/>
  <c r="EW58" i="25" s="1"/>
  <c r="FL58" i="25"/>
  <c r="CG101" i="25"/>
  <c r="CG61" i="25"/>
  <c r="CG66" i="25"/>
  <c r="CG44" i="25"/>
  <c r="CG98" i="25"/>
  <c r="CG84" i="25"/>
  <c r="CG45" i="25"/>
  <c r="EF81" i="25"/>
  <c r="EW81" i="25" s="1"/>
  <c r="FL81" i="25"/>
  <c r="EG56" i="25"/>
  <c r="EX56" i="25" s="1"/>
  <c r="FL56" i="25"/>
  <c r="CG17" i="25"/>
  <c r="EF77" i="25"/>
  <c r="EW77" i="25" s="1"/>
  <c r="FL77" i="25"/>
  <c r="EE89" i="25"/>
  <c r="EV89" i="25" s="1"/>
  <c r="FL89" i="25"/>
  <c r="EE103" i="25"/>
  <c r="EV103" i="25" s="1"/>
  <c r="FL103" i="25"/>
  <c r="CG102" i="25"/>
  <c r="CG9" i="25"/>
  <c r="CG105" i="25"/>
  <c r="CG65" i="25"/>
  <c r="CG87" i="25"/>
  <c r="CG95" i="25"/>
  <c r="CG23" i="25"/>
  <c r="CG88" i="25"/>
  <c r="CG55" i="25"/>
  <c r="CG90" i="25"/>
  <c r="CG15" i="25"/>
  <c r="CG82" i="25"/>
  <c r="CG57" i="25"/>
  <c r="CG73" i="25"/>
  <c r="CG8" i="25"/>
  <c r="CG104" i="25"/>
  <c r="CG31" i="25"/>
  <c r="CG21" i="25"/>
  <c r="CG99" i="25"/>
  <c r="CG36" i="25"/>
  <c r="CG59" i="25"/>
  <c r="CG11" i="25"/>
  <c r="CG53" i="25"/>
  <c r="CG29" i="25"/>
  <c r="CG35" i="25"/>
  <c r="CG13" i="25"/>
  <c r="CG51" i="25"/>
  <c r="CG70" i="25"/>
  <c r="CG81" i="25"/>
  <c r="CG25" i="25"/>
  <c r="CG62" i="25"/>
  <c r="CG22" i="25"/>
  <c r="CG97" i="25"/>
  <c r="CG30" i="25"/>
  <c r="CG26" i="25"/>
  <c r="CG79" i="25"/>
  <c r="CG56" i="25"/>
  <c r="CG80" i="25"/>
  <c r="CG50" i="25"/>
  <c r="CG72" i="25"/>
  <c r="CG74" i="25"/>
  <c r="EG47" i="25"/>
  <c r="EX47" i="25" s="1"/>
  <c r="FL47" i="25"/>
  <c r="EG37" i="25"/>
  <c r="EX37" i="25" s="1"/>
  <c r="FL37" i="25"/>
  <c r="CG69" i="25"/>
  <c r="CG19" i="25"/>
  <c r="CG12" i="25"/>
  <c r="CG37" i="25"/>
  <c r="CG68" i="25"/>
  <c r="CG28" i="25"/>
  <c r="CG34" i="25"/>
  <c r="CG60" i="25"/>
  <c r="CG93" i="25"/>
  <c r="CG100" i="25"/>
  <c r="CG76" i="25"/>
  <c r="CG77" i="25"/>
  <c r="EF25" i="25"/>
  <c r="EW25" i="25" s="1"/>
  <c r="FL25" i="25"/>
  <c r="CG32" i="25"/>
  <c r="CG16" i="25"/>
  <c r="CG94" i="25"/>
  <c r="CG58" i="25"/>
  <c r="CG18" i="25"/>
  <c r="CG71" i="25"/>
  <c r="CG48" i="25"/>
  <c r="CG40" i="25"/>
  <c r="CG46" i="25"/>
  <c r="CG89" i="25"/>
  <c r="CG47" i="25"/>
  <c r="CG64" i="25"/>
  <c r="CG7" i="25"/>
  <c r="CG54" i="25"/>
  <c r="EF33" i="25"/>
  <c r="EW33" i="25" s="1"/>
  <c r="FL33" i="25"/>
  <c r="EF73" i="25"/>
  <c r="EW73" i="25" s="1"/>
  <c r="FL73" i="25"/>
  <c r="CG27" i="25"/>
  <c r="CG20" i="25"/>
  <c r="CG43" i="25"/>
  <c r="CG92" i="25"/>
  <c r="CG85" i="25"/>
  <c r="CG67" i="25"/>
  <c r="CG83" i="25"/>
  <c r="CG52" i="25"/>
  <c r="CG91" i="25"/>
  <c r="CG75" i="25"/>
  <c r="EF47" i="25"/>
  <c r="EW47" i="25" s="1"/>
  <c r="EA92" i="24"/>
  <c r="FL92" i="24" s="1"/>
  <c r="EA74" i="24"/>
  <c r="FL74" i="24" s="1"/>
  <c r="EA60" i="24"/>
  <c r="EC60" i="24" s="1"/>
  <c r="ED60" i="24" s="1"/>
  <c r="EE64" i="25"/>
  <c r="EV64" i="25" s="1"/>
  <c r="EA39" i="24"/>
  <c r="CG190" i="24"/>
  <c r="EA169" i="24"/>
  <c r="EA44" i="24"/>
  <c r="EE164" i="25"/>
  <c r="EI164" i="25" s="1"/>
  <c r="EG103" i="25"/>
  <c r="EX103" i="25" s="1"/>
  <c r="EF103" i="25"/>
  <c r="EW103" i="25" s="1"/>
  <c r="EF64" i="25"/>
  <c r="EW64" i="25" s="1"/>
  <c r="EG64" i="25"/>
  <c r="EX64" i="25" s="1"/>
  <c r="EF96" i="25"/>
  <c r="EW96" i="25" s="1"/>
  <c r="EG96" i="25"/>
  <c r="EX96" i="25" s="1"/>
  <c r="EG89" i="25"/>
  <c r="EX89" i="25" s="1"/>
  <c r="EE96" i="25"/>
  <c r="EV96" i="25" s="1"/>
  <c r="EF89" i="25"/>
  <c r="EW89" i="25" s="1"/>
  <c r="EF128" i="25"/>
  <c r="EW128" i="25" s="1"/>
  <c r="EE128" i="25"/>
  <c r="EV128" i="25" s="1"/>
  <c r="EE77" i="25"/>
  <c r="EV77" i="25" s="1"/>
  <c r="EA127" i="24"/>
  <c r="FL127" i="24" s="1"/>
  <c r="EG183" i="25"/>
  <c r="EX183" i="25" s="1"/>
  <c r="EE183" i="25"/>
  <c r="EV183" i="25" s="1"/>
  <c r="EF183" i="25"/>
  <c r="EW183" i="25" s="1"/>
  <c r="EF95" i="25"/>
  <c r="EW95" i="25" s="1"/>
  <c r="EE185" i="25"/>
  <c r="EI185" i="25" s="1"/>
  <c r="EF185" i="25"/>
  <c r="EW185" i="25" s="1"/>
  <c r="EG97" i="25"/>
  <c r="EX97" i="25" s="1"/>
  <c r="EG158" i="25"/>
  <c r="EX158" i="25" s="1"/>
  <c r="EG145" i="25"/>
  <c r="EX145" i="25" s="1"/>
  <c r="EF158" i="25"/>
  <c r="EW158" i="25" s="1"/>
  <c r="EE145" i="25"/>
  <c r="EI145" i="25" s="1"/>
  <c r="EE158" i="25"/>
  <c r="EV158" i="25" s="1"/>
  <c r="EF145" i="25"/>
  <c r="EW145" i="25" s="1"/>
  <c r="EE136" i="25"/>
  <c r="EI136" i="25" s="1"/>
  <c r="EF99" i="25"/>
  <c r="EW99" i="25" s="1"/>
  <c r="EG136" i="25"/>
  <c r="EX136" i="25" s="1"/>
  <c r="EG99" i="25"/>
  <c r="EX99" i="25" s="1"/>
  <c r="EF136" i="25"/>
  <c r="EW136" i="25" s="1"/>
  <c r="EE99" i="25"/>
  <c r="EV99" i="25" s="1"/>
  <c r="EE97" i="25"/>
  <c r="EV97" i="25" s="1"/>
  <c r="EF97" i="25"/>
  <c r="EW97" i="25" s="1"/>
  <c r="EG95" i="25"/>
  <c r="EX95" i="25" s="1"/>
  <c r="EE131" i="25"/>
  <c r="EV131" i="25" s="1"/>
  <c r="EF74" i="25"/>
  <c r="EW74" i="25" s="1"/>
  <c r="EF83" i="25"/>
  <c r="EW83" i="25" s="1"/>
  <c r="EF93" i="25"/>
  <c r="EW93" i="25" s="1"/>
  <c r="EA126" i="24"/>
  <c r="EE95" i="25"/>
  <c r="EV95" i="25" s="1"/>
  <c r="EG185" i="25"/>
  <c r="EX185" i="25" s="1"/>
  <c r="EE17" i="25"/>
  <c r="EI17" i="25" s="1"/>
  <c r="EO17" i="25" s="1"/>
  <c r="EF17" i="25"/>
  <c r="EW17" i="25" s="1"/>
  <c r="EG17" i="25"/>
  <c r="EX17" i="25" s="1"/>
  <c r="EG74" i="25"/>
  <c r="EX74" i="25" s="1"/>
  <c r="EF131" i="25"/>
  <c r="EW131" i="25" s="1"/>
  <c r="EE74" i="25"/>
  <c r="EV74" i="25" s="1"/>
  <c r="EG131" i="25"/>
  <c r="EX131" i="25" s="1"/>
  <c r="EA37" i="24"/>
  <c r="EA52" i="24"/>
  <c r="EA172" i="24"/>
  <c r="FL172" i="24" s="1"/>
  <c r="EG33" i="25"/>
  <c r="EX33" i="25" s="1"/>
  <c r="EF90" i="25"/>
  <c r="EW90" i="25" s="1"/>
  <c r="EE33" i="25"/>
  <c r="EV33" i="25" s="1"/>
  <c r="EG90" i="25"/>
  <c r="EX90" i="25" s="1"/>
  <c r="EE90" i="25"/>
  <c r="EI90" i="25" s="1"/>
  <c r="EO90" i="25" s="1"/>
  <c r="CG216" i="24"/>
  <c r="EG93" i="25"/>
  <c r="EX93" i="25" s="1"/>
  <c r="EE93" i="25"/>
  <c r="EV93" i="25" s="1"/>
  <c r="EA90" i="24"/>
  <c r="EG73" i="25"/>
  <c r="EX73" i="25" s="1"/>
  <c r="EE73" i="25"/>
  <c r="EV73" i="25" s="1"/>
  <c r="EG58" i="25"/>
  <c r="EX58" i="25" s="1"/>
  <c r="EE58" i="25"/>
  <c r="EV58" i="25" s="1"/>
  <c r="CH275" i="25"/>
  <c r="CG287" i="25"/>
  <c r="CH313" i="25"/>
  <c r="CH267" i="25"/>
  <c r="CG231" i="25"/>
  <c r="CG236" i="25"/>
  <c r="CH229" i="25"/>
  <c r="CH240" i="25"/>
  <c r="CH225" i="25"/>
  <c r="CH252" i="25"/>
  <c r="CG286" i="25"/>
  <c r="CH268" i="25"/>
  <c r="CG282" i="25"/>
  <c r="CH273" i="25"/>
  <c r="CG316" i="25"/>
  <c r="CH254" i="25"/>
  <c r="CH274" i="25"/>
  <c r="CG277" i="25"/>
  <c r="CH266" i="25"/>
  <c r="CG279" i="25"/>
  <c r="CG260" i="25"/>
  <c r="CG299" i="25"/>
  <c r="CG251" i="25"/>
  <c r="CG244" i="25"/>
  <c r="CG300" i="25"/>
  <c r="CG220" i="25"/>
  <c r="CG249" i="25"/>
  <c r="CG237" i="25"/>
  <c r="CH270" i="25"/>
  <c r="CG296" i="25"/>
  <c r="CG276" i="25"/>
  <c r="CG297" i="25"/>
  <c r="CG311" i="25"/>
  <c r="CH314" i="25"/>
  <c r="CG293" i="25"/>
  <c r="CG255" i="25"/>
  <c r="CG241" i="25"/>
  <c r="CG221" i="25"/>
  <c r="CH298" i="25"/>
  <c r="CG281" i="25"/>
  <c r="CG217" i="25"/>
  <c r="CG239" i="25"/>
  <c r="CH250" i="25"/>
  <c r="CG308" i="25"/>
  <c r="CG263" i="25"/>
  <c r="CH242" i="25"/>
  <c r="CG256" i="25"/>
  <c r="CG285" i="25"/>
  <c r="CH290" i="25"/>
  <c r="CH278" i="25"/>
  <c r="CG284" i="25"/>
  <c r="CG264" i="25"/>
  <c r="CH310" i="25"/>
  <c r="CG272" i="25"/>
  <c r="CG269" i="25"/>
  <c r="CG291" i="25"/>
  <c r="CH306" i="25"/>
  <c r="CG216" i="25"/>
  <c r="CG235" i="25"/>
  <c r="CH302" i="25"/>
  <c r="CG243" i="25"/>
  <c r="CG303" i="25"/>
  <c r="CH230" i="25"/>
  <c r="CH294" i="25"/>
  <c r="CG305" i="25"/>
  <c r="CG219" i="25"/>
  <c r="CG280" i="25"/>
  <c r="CG259" i="25"/>
  <c r="CH226" i="25"/>
  <c r="CH238" i="25"/>
  <c r="CG301" i="25"/>
  <c r="CH218" i="25"/>
  <c r="CG312" i="25"/>
  <c r="CG292" i="25"/>
  <c r="CG309" i="25"/>
  <c r="CG253" i="25"/>
  <c r="CG228" i="25"/>
  <c r="CG247" i="25"/>
  <c r="CG304" i="25"/>
  <c r="CG289" i="25"/>
  <c r="CG295" i="25"/>
  <c r="CG288" i="25"/>
  <c r="CH258" i="25"/>
  <c r="CG257" i="25"/>
  <c r="CG265" i="25"/>
  <c r="CH222" i="25"/>
  <c r="CG307" i="25"/>
  <c r="CG233" i="25"/>
  <c r="CG283" i="25"/>
  <c r="CH246" i="25"/>
  <c r="CG232" i="25"/>
  <c r="CH262" i="25"/>
  <c r="CH234" i="25"/>
  <c r="CG227" i="25"/>
  <c r="CG315" i="25"/>
  <c r="CG224" i="25"/>
  <c r="CG223" i="25"/>
  <c r="CG245" i="25"/>
  <c r="CG248" i="25"/>
  <c r="CG261" i="25"/>
  <c r="CG271" i="25"/>
  <c r="EA63" i="24"/>
  <c r="EA133" i="24"/>
  <c r="EF56" i="25"/>
  <c r="EW56" i="25" s="1"/>
  <c r="EE56" i="25"/>
  <c r="EI56" i="25" s="1"/>
  <c r="EO56" i="25" s="1"/>
  <c r="EE37" i="25"/>
  <c r="EV37" i="25" s="1"/>
  <c r="EF37" i="25"/>
  <c r="EW37" i="25" s="1"/>
  <c r="EF171" i="25"/>
  <c r="EW171" i="25" s="1"/>
  <c r="EV182" i="25"/>
  <c r="FB182" i="25" s="1"/>
  <c r="EG77" i="25"/>
  <c r="EX77" i="25" s="1"/>
  <c r="EF164" i="25"/>
  <c r="EW164" i="25" s="1"/>
  <c r="EG199" i="25"/>
  <c r="EX199" i="25" s="1"/>
  <c r="EE199" i="25"/>
  <c r="EV199" i="25" s="1"/>
  <c r="EE25" i="25"/>
  <c r="EV25" i="25" s="1"/>
  <c r="EK110" i="24"/>
  <c r="EW110" i="24"/>
  <c r="FB110" i="24" s="1"/>
  <c r="EK5" i="24"/>
  <c r="EQ5" i="24" s="1"/>
  <c r="EW5" i="24"/>
  <c r="EZ5" i="24" s="1"/>
  <c r="FB5" i="24" s="1"/>
  <c r="EF194" i="25"/>
  <c r="EW194" i="25" s="1"/>
  <c r="EG23" i="25"/>
  <c r="EX23" i="25" s="1"/>
  <c r="EG87" i="25"/>
  <c r="EX87" i="25" s="1"/>
  <c r="EE34" i="25"/>
  <c r="EV34" i="25" s="1"/>
  <c r="EE47" i="25"/>
  <c r="EV47" i="25" s="1"/>
  <c r="EE42" i="25"/>
  <c r="EI42" i="25" s="1"/>
  <c r="EO42" i="25" s="1"/>
  <c r="EE83" i="25"/>
  <c r="EV83" i="25" s="1"/>
  <c r="EE129" i="25"/>
  <c r="EV129" i="25" s="1"/>
  <c r="EA71" i="24"/>
  <c r="EE156" i="25"/>
  <c r="EI156" i="25" s="1"/>
  <c r="EG156" i="25"/>
  <c r="EX156" i="25" s="1"/>
  <c r="EA55" i="24"/>
  <c r="EG178" i="25"/>
  <c r="EX178" i="25" s="1"/>
  <c r="EA186" i="24"/>
  <c r="EG83" i="25"/>
  <c r="EX83" i="25" s="1"/>
  <c r="EG137" i="25"/>
  <c r="EX137" i="25" s="1"/>
  <c r="EE137" i="25"/>
  <c r="EV137" i="25" s="1"/>
  <c r="EA142" i="24"/>
  <c r="EE141" i="25"/>
  <c r="EV141" i="25" s="1"/>
  <c r="EE81" i="25"/>
  <c r="EV81" i="25" s="1"/>
  <c r="EF156" i="25"/>
  <c r="EW156" i="25" s="1"/>
  <c r="EG81" i="25"/>
  <c r="EX81" i="25" s="1"/>
  <c r="EG194" i="25"/>
  <c r="EX194" i="25" s="1"/>
  <c r="EG141" i="25"/>
  <c r="EX141" i="25" s="1"/>
  <c r="EA199" i="24"/>
  <c r="EA136" i="24"/>
  <c r="EF141" i="25"/>
  <c r="EW141" i="25" s="1"/>
  <c r="EE194" i="25"/>
  <c r="EI194" i="25" s="1"/>
  <c r="EG42" i="25"/>
  <c r="EX42" i="25" s="1"/>
  <c r="EE173" i="25"/>
  <c r="EV173" i="25" s="1"/>
  <c r="EF173" i="25"/>
  <c r="EW173" i="25" s="1"/>
  <c r="EF42" i="25"/>
  <c r="EW42" i="25" s="1"/>
  <c r="EE171" i="25"/>
  <c r="EI171" i="25" s="1"/>
  <c r="EF178" i="25"/>
  <c r="EW178" i="25" s="1"/>
  <c r="EA111" i="24"/>
  <c r="EA48" i="24"/>
  <c r="EA67" i="24"/>
  <c r="EA160" i="24"/>
  <c r="EA30" i="24"/>
  <c r="EA104" i="24"/>
  <c r="EA170" i="24"/>
  <c r="EF111" i="25"/>
  <c r="EW111" i="25" s="1"/>
  <c r="EA83" i="24"/>
  <c r="FL83" i="24" s="1"/>
  <c r="EA14" i="24"/>
  <c r="FL14" i="24" s="1"/>
  <c r="EA147" i="24"/>
  <c r="EA132" i="24"/>
  <c r="EA192" i="24"/>
  <c r="EE178" i="25"/>
  <c r="EV178" i="25" s="1"/>
  <c r="EA124" i="24"/>
  <c r="EF169" i="25"/>
  <c r="EW169" i="25" s="1"/>
  <c r="EG180" i="25"/>
  <c r="EX180" i="25" s="1"/>
  <c r="EG169" i="25"/>
  <c r="EX169" i="25" s="1"/>
  <c r="EE180" i="25"/>
  <c r="EV180" i="25" s="1"/>
  <c r="EE169" i="25"/>
  <c r="EI169" i="25" s="1"/>
  <c r="EF180" i="25"/>
  <c r="EW180" i="25" s="1"/>
  <c r="EG129" i="25"/>
  <c r="EX129" i="25" s="1"/>
  <c r="EF9" i="25"/>
  <c r="EW9" i="25" s="1"/>
  <c r="EG9" i="25"/>
  <c r="EX9" i="25" s="1"/>
  <c r="EF34" i="25"/>
  <c r="EW34" i="25" s="1"/>
  <c r="EG111" i="25"/>
  <c r="EX111" i="25" s="1"/>
  <c r="EG25" i="25"/>
  <c r="EX25" i="25" s="1"/>
  <c r="EF129" i="25"/>
  <c r="EW129" i="25" s="1"/>
  <c r="EE111" i="25"/>
  <c r="EV111" i="25" s="1"/>
  <c r="EF87" i="25"/>
  <c r="EW87" i="25" s="1"/>
  <c r="EE23" i="25"/>
  <c r="EV23" i="25" s="1"/>
  <c r="EF23" i="25"/>
  <c r="EW23" i="25" s="1"/>
  <c r="EF49" i="25"/>
  <c r="EW49" i="25" s="1"/>
  <c r="EE9" i="25"/>
  <c r="EV9" i="25" s="1"/>
  <c r="EG49" i="25"/>
  <c r="EX49" i="25" s="1"/>
  <c r="EE49" i="25"/>
  <c r="EV49" i="25" s="1"/>
  <c r="EG34" i="25"/>
  <c r="EX34" i="25" s="1"/>
  <c r="EE87" i="25"/>
  <c r="EV87" i="25" s="1"/>
  <c r="EG94" i="25"/>
  <c r="EX94" i="25" s="1"/>
  <c r="EF94" i="25"/>
  <c r="EW94" i="25" s="1"/>
  <c r="EE94" i="25"/>
  <c r="EG196" i="25"/>
  <c r="EX196" i="25" s="1"/>
  <c r="EF196" i="25"/>
  <c r="EW196" i="25" s="1"/>
  <c r="EE196" i="25"/>
  <c r="EG118" i="25"/>
  <c r="EX118" i="25" s="1"/>
  <c r="EF118" i="25"/>
  <c r="EW118" i="25" s="1"/>
  <c r="EE118" i="25"/>
  <c r="EE147" i="25"/>
  <c r="EF147" i="25"/>
  <c r="EW147" i="25" s="1"/>
  <c r="EG147" i="25"/>
  <c r="EX147" i="25" s="1"/>
  <c r="EE154" i="25"/>
  <c r="EG154" i="25"/>
  <c r="EX154" i="25" s="1"/>
  <c r="EF154" i="25"/>
  <c r="EW154" i="25" s="1"/>
  <c r="EE62" i="25"/>
  <c r="EG62" i="25"/>
  <c r="EX62" i="25" s="1"/>
  <c r="EF62" i="25"/>
  <c r="EW62" i="25" s="1"/>
  <c r="EF86" i="25"/>
  <c r="EW86" i="25" s="1"/>
  <c r="EE86" i="25"/>
  <c r="EG86" i="25"/>
  <c r="EX86" i="25" s="1"/>
  <c r="EG174" i="25"/>
  <c r="EX174" i="25" s="1"/>
  <c r="EF174" i="25"/>
  <c r="EW174" i="25" s="1"/>
  <c r="EE174" i="25"/>
  <c r="EG160" i="25"/>
  <c r="EX160" i="25" s="1"/>
  <c r="EF160" i="25"/>
  <c r="EW160" i="25" s="1"/>
  <c r="EE160" i="25"/>
  <c r="EE115" i="25"/>
  <c r="EG115" i="25"/>
  <c r="EX115" i="25" s="1"/>
  <c r="EF115" i="25"/>
  <c r="EW115" i="25" s="1"/>
  <c r="EG144" i="25"/>
  <c r="EX144" i="25" s="1"/>
  <c r="EF144" i="25"/>
  <c r="EW144" i="25" s="1"/>
  <c r="EE144" i="25"/>
  <c r="EG187" i="25"/>
  <c r="EX187" i="25" s="1"/>
  <c r="EF187" i="25"/>
  <c r="EW187" i="25" s="1"/>
  <c r="EE187" i="25"/>
  <c r="EE146" i="25"/>
  <c r="EF146" i="25"/>
  <c r="EW146" i="25" s="1"/>
  <c r="EG146" i="25"/>
  <c r="EX146" i="25" s="1"/>
  <c r="EF59" i="25"/>
  <c r="EW59" i="25" s="1"/>
  <c r="EE59" i="25"/>
  <c r="EG59" i="25"/>
  <c r="EX59" i="25" s="1"/>
  <c r="EG18" i="25"/>
  <c r="EX18" i="25" s="1"/>
  <c r="EE18" i="25"/>
  <c r="EF18" i="25"/>
  <c r="EW18" i="25" s="1"/>
  <c r="EE209" i="25"/>
  <c r="EG209" i="25"/>
  <c r="EX209" i="25" s="1"/>
  <c r="EF209" i="25"/>
  <c r="EW209" i="25" s="1"/>
  <c r="EF125" i="25"/>
  <c r="EW125" i="25" s="1"/>
  <c r="EE125" i="25"/>
  <c r="EG125" i="25"/>
  <c r="EX125" i="25" s="1"/>
  <c r="EF207" i="25"/>
  <c r="EW207" i="25" s="1"/>
  <c r="EE207" i="25"/>
  <c r="EG207" i="25"/>
  <c r="EX207" i="25" s="1"/>
  <c r="EG119" i="25"/>
  <c r="EX119" i="25" s="1"/>
  <c r="EF119" i="25"/>
  <c r="EW119" i="25" s="1"/>
  <c r="EE119" i="25"/>
  <c r="EF161" i="25"/>
  <c r="EW161" i="25" s="1"/>
  <c r="EE161" i="25"/>
  <c r="EG161" i="25"/>
  <c r="EX161" i="25" s="1"/>
  <c r="EE66" i="25"/>
  <c r="EG66" i="25"/>
  <c r="EX66" i="25" s="1"/>
  <c r="EF66" i="25"/>
  <c r="EW66" i="25" s="1"/>
  <c r="EE177" i="25"/>
  <c r="EG177" i="25"/>
  <c r="EX177" i="25" s="1"/>
  <c r="EF177" i="25"/>
  <c r="EW177" i="25" s="1"/>
  <c r="EF140" i="25"/>
  <c r="EW140" i="25" s="1"/>
  <c r="EE140" i="25"/>
  <c r="EG140" i="25"/>
  <c r="EX140" i="25" s="1"/>
  <c r="EG188" i="25"/>
  <c r="EX188" i="25" s="1"/>
  <c r="EF188" i="25"/>
  <c r="EW188" i="25" s="1"/>
  <c r="EE188" i="25"/>
  <c r="EV138" i="25"/>
  <c r="FB138" i="25" s="1"/>
  <c r="EI138" i="25"/>
  <c r="EE12" i="25"/>
  <c r="EF12" i="25"/>
  <c r="EW12" i="25" s="1"/>
  <c r="EG12" i="25"/>
  <c r="EX12" i="25" s="1"/>
  <c r="EG69" i="25"/>
  <c r="EX69" i="25" s="1"/>
  <c r="EE69" i="25"/>
  <c r="EF69" i="25"/>
  <c r="EW69" i="25" s="1"/>
  <c r="EE149" i="25"/>
  <c r="EF149" i="25"/>
  <c r="EW149" i="25" s="1"/>
  <c r="EG149" i="25"/>
  <c r="EX149" i="25" s="1"/>
  <c r="EE162" i="25"/>
  <c r="EG162" i="25"/>
  <c r="EX162" i="25" s="1"/>
  <c r="EF162" i="25"/>
  <c r="EW162" i="25" s="1"/>
  <c r="EE78" i="25"/>
  <c r="EG78" i="25"/>
  <c r="EX78" i="25" s="1"/>
  <c r="EF78" i="25"/>
  <c r="EW78" i="25" s="1"/>
  <c r="EG6" i="25"/>
  <c r="EX6" i="25" s="1"/>
  <c r="EF6" i="25"/>
  <c r="EW6" i="25" s="1"/>
  <c r="EE6" i="25"/>
  <c r="EG123" i="25"/>
  <c r="EX123" i="25" s="1"/>
  <c r="EF123" i="25"/>
  <c r="EW123" i="25" s="1"/>
  <c r="EE123" i="25"/>
  <c r="EV181" i="25"/>
  <c r="FB181" i="25" s="1"/>
  <c r="EI181" i="25"/>
  <c r="EG163" i="25"/>
  <c r="EX163" i="25" s="1"/>
  <c r="EF163" i="25"/>
  <c r="EW163" i="25" s="1"/>
  <c r="EE163" i="25"/>
  <c r="EG27" i="25"/>
  <c r="EX27" i="25" s="1"/>
  <c r="EF27" i="25"/>
  <c r="EW27" i="25" s="1"/>
  <c r="EE27" i="25"/>
  <c r="EF40" i="25"/>
  <c r="EW40" i="25" s="1"/>
  <c r="EE40" i="25"/>
  <c r="EG40" i="25"/>
  <c r="EX40" i="25" s="1"/>
  <c r="EF191" i="25"/>
  <c r="EW191" i="25" s="1"/>
  <c r="EG191" i="25"/>
  <c r="EX191" i="25" s="1"/>
  <c r="EE191" i="25"/>
  <c r="EG51" i="25"/>
  <c r="EX51" i="25" s="1"/>
  <c r="EE51" i="25"/>
  <c r="EF51" i="25"/>
  <c r="EW51" i="25" s="1"/>
  <c r="EF63" i="25"/>
  <c r="EW63" i="25" s="1"/>
  <c r="EE63" i="25"/>
  <c r="EG63" i="25"/>
  <c r="EX63" i="25" s="1"/>
  <c r="EE110" i="25"/>
  <c r="EG110" i="25"/>
  <c r="EX110" i="25" s="1"/>
  <c r="EF110" i="25"/>
  <c r="EW110" i="25" s="1"/>
  <c r="EE150" i="25"/>
  <c r="EG150" i="25"/>
  <c r="EX150" i="25" s="1"/>
  <c r="EF150" i="25"/>
  <c r="EW150" i="25" s="1"/>
  <c r="EE186" i="25"/>
  <c r="EG186" i="25"/>
  <c r="EX186" i="25" s="1"/>
  <c r="EF186" i="25"/>
  <c r="EW186" i="25" s="1"/>
  <c r="EF120" i="25"/>
  <c r="EW120" i="25" s="1"/>
  <c r="EE120" i="25"/>
  <c r="EG120" i="25"/>
  <c r="EX120" i="25" s="1"/>
  <c r="EE104" i="25"/>
  <c r="EG104" i="25"/>
  <c r="EX104" i="25" s="1"/>
  <c r="EF104" i="25"/>
  <c r="EW104" i="25" s="1"/>
  <c r="EF8" i="25"/>
  <c r="EW8" i="25" s="1"/>
  <c r="EG8" i="25"/>
  <c r="EX8" i="25" s="1"/>
  <c r="EE8" i="25"/>
  <c r="EE55" i="25"/>
  <c r="EG55" i="25"/>
  <c r="EX55" i="25" s="1"/>
  <c r="EF55" i="25"/>
  <c r="EW55" i="25" s="1"/>
  <c r="EE41" i="25"/>
  <c r="EG41" i="25"/>
  <c r="EX41" i="25" s="1"/>
  <c r="EF41" i="25"/>
  <c r="EW41" i="25" s="1"/>
  <c r="EG151" i="25"/>
  <c r="EX151" i="25" s="1"/>
  <c r="EF151" i="25"/>
  <c r="EW151" i="25" s="1"/>
  <c r="EE151" i="25"/>
  <c r="EG208" i="25"/>
  <c r="EX208" i="25" s="1"/>
  <c r="EF208" i="25"/>
  <c r="EW208" i="25" s="1"/>
  <c r="EE208" i="25"/>
  <c r="EE159" i="25"/>
  <c r="EG159" i="25"/>
  <c r="EX159" i="25" s="1"/>
  <c r="EF159" i="25"/>
  <c r="EW159" i="25" s="1"/>
  <c r="EF43" i="25"/>
  <c r="EW43" i="25" s="1"/>
  <c r="EE43" i="25"/>
  <c r="EG43" i="25"/>
  <c r="EX43" i="25" s="1"/>
  <c r="EE13" i="25"/>
  <c r="EG13" i="25"/>
  <c r="EX13" i="25" s="1"/>
  <c r="EF13" i="25"/>
  <c r="EW13" i="25" s="1"/>
  <c r="EF26" i="25"/>
  <c r="EW26" i="25" s="1"/>
  <c r="EE26" i="25"/>
  <c r="EG26" i="25"/>
  <c r="EX26" i="25" s="1"/>
  <c r="EE21" i="25"/>
  <c r="EG21" i="25"/>
  <c r="EX21" i="25" s="1"/>
  <c r="EF21" i="25"/>
  <c r="EW21" i="25" s="1"/>
  <c r="EE175" i="25"/>
  <c r="EG175" i="25"/>
  <c r="EX175" i="25" s="1"/>
  <c r="EF175" i="25"/>
  <c r="EW175" i="25" s="1"/>
  <c r="EE82" i="25"/>
  <c r="EG82" i="25"/>
  <c r="EX82" i="25" s="1"/>
  <c r="EF82" i="25"/>
  <c r="EW82" i="25" s="1"/>
  <c r="EF176" i="25"/>
  <c r="EW176" i="25" s="1"/>
  <c r="EE176" i="25"/>
  <c r="EG176" i="25"/>
  <c r="EX176" i="25" s="1"/>
  <c r="EF121" i="25"/>
  <c r="EW121" i="25" s="1"/>
  <c r="EE121" i="25"/>
  <c r="EG121" i="25"/>
  <c r="EX121" i="25" s="1"/>
  <c r="EE195" i="25"/>
  <c r="EG195" i="25"/>
  <c r="EX195" i="25" s="1"/>
  <c r="EF195" i="25"/>
  <c r="EW195" i="25" s="1"/>
  <c r="EF24" i="25"/>
  <c r="EW24" i="25" s="1"/>
  <c r="EE24" i="25"/>
  <c r="EG24" i="25"/>
  <c r="EX24" i="25" s="1"/>
  <c r="EG189" i="25"/>
  <c r="EX189" i="25" s="1"/>
  <c r="EF189" i="25"/>
  <c r="EW189" i="25" s="1"/>
  <c r="EE189" i="25"/>
  <c r="EV143" i="25"/>
  <c r="FB143" i="25" s="1"/>
  <c r="EI143" i="25"/>
  <c r="EF57" i="25"/>
  <c r="EW57" i="25" s="1"/>
  <c r="EG57" i="25"/>
  <c r="EX57" i="25" s="1"/>
  <c r="EE57" i="25"/>
  <c r="EE124" i="25"/>
  <c r="EG124" i="25"/>
  <c r="EX124" i="25" s="1"/>
  <c r="EF124" i="25"/>
  <c r="EW124" i="25" s="1"/>
  <c r="EF126" i="25"/>
  <c r="EW126" i="25" s="1"/>
  <c r="EG126" i="25"/>
  <c r="EX126" i="25" s="1"/>
  <c r="EE126" i="25"/>
  <c r="EG135" i="25"/>
  <c r="EX135" i="25" s="1"/>
  <c r="EF135" i="25"/>
  <c r="EW135" i="25" s="1"/>
  <c r="EE135" i="25"/>
  <c r="EF79" i="25"/>
  <c r="EW79" i="25" s="1"/>
  <c r="EG79" i="25"/>
  <c r="EX79" i="25" s="1"/>
  <c r="EE79" i="25"/>
  <c r="EE31" i="25"/>
  <c r="EG31" i="25"/>
  <c r="EX31" i="25" s="1"/>
  <c r="EF31" i="25"/>
  <c r="EW31" i="25" s="1"/>
  <c r="EE105" i="25"/>
  <c r="EG105" i="25"/>
  <c r="EX105" i="25" s="1"/>
  <c r="EF105" i="25"/>
  <c r="EW105" i="25" s="1"/>
  <c r="EF11" i="25"/>
  <c r="EW11" i="25" s="1"/>
  <c r="EE11" i="25"/>
  <c r="EG11" i="25"/>
  <c r="EX11" i="25" s="1"/>
  <c r="EG84" i="25"/>
  <c r="EX84" i="25" s="1"/>
  <c r="EF84" i="25"/>
  <c r="EW84" i="25" s="1"/>
  <c r="EE84" i="25"/>
  <c r="EG133" i="25"/>
  <c r="EX133" i="25" s="1"/>
  <c r="EF133" i="25"/>
  <c r="EW133" i="25" s="1"/>
  <c r="EE133" i="25"/>
  <c r="EG19" i="25"/>
  <c r="EX19" i="25" s="1"/>
  <c r="EF19" i="25"/>
  <c r="EW19" i="25" s="1"/>
  <c r="EE19" i="25"/>
  <c r="EE50" i="25"/>
  <c r="EG50" i="25"/>
  <c r="EX50" i="25" s="1"/>
  <c r="EF50" i="25"/>
  <c r="EW50" i="25" s="1"/>
  <c r="EF71" i="25"/>
  <c r="EW71" i="25" s="1"/>
  <c r="EE71" i="25"/>
  <c r="EG71" i="25"/>
  <c r="EX71" i="25" s="1"/>
  <c r="EF10" i="25"/>
  <c r="EW10" i="25" s="1"/>
  <c r="EE10" i="25"/>
  <c r="EG10" i="25"/>
  <c r="EX10" i="25" s="1"/>
  <c r="EF46" i="25"/>
  <c r="EW46" i="25" s="1"/>
  <c r="EE46" i="25"/>
  <c r="EG46" i="25"/>
  <c r="EX46" i="25" s="1"/>
  <c r="EF155" i="25"/>
  <c r="EW155" i="25" s="1"/>
  <c r="EE155" i="25"/>
  <c r="EG155" i="25"/>
  <c r="EX155" i="25" s="1"/>
  <c r="EG28" i="25"/>
  <c r="EX28" i="25" s="1"/>
  <c r="EF28" i="25"/>
  <c r="EW28" i="25" s="1"/>
  <c r="EE28" i="25"/>
  <c r="EG15" i="25"/>
  <c r="EX15" i="25" s="1"/>
  <c r="EF15" i="25"/>
  <c r="EW15" i="25" s="1"/>
  <c r="EE15" i="25"/>
  <c r="EE202" i="25"/>
  <c r="EG202" i="25"/>
  <c r="EX202" i="25" s="1"/>
  <c r="EF202" i="25"/>
  <c r="EW202" i="25" s="1"/>
  <c r="EF7" i="25"/>
  <c r="EW7" i="25" s="1"/>
  <c r="EE7" i="25"/>
  <c r="EG7" i="25"/>
  <c r="EX7" i="25" s="1"/>
  <c r="EE14" i="25"/>
  <c r="EG14" i="25"/>
  <c r="EX14" i="25" s="1"/>
  <c r="EF14" i="25"/>
  <c r="EW14" i="25" s="1"/>
  <c r="EE205" i="25"/>
  <c r="EG205" i="25"/>
  <c r="EX205" i="25" s="1"/>
  <c r="EF205" i="25"/>
  <c r="EW205" i="25" s="1"/>
  <c r="EE116" i="25"/>
  <c r="EG116" i="25"/>
  <c r="EX116" i="25" s="1"/>
  <c r="EF116" i="25"/>
  <c r="EW116" i="25" s="1"/>
  <c r="EE88" i="25"/>
  <c r="EG88" i="25"/>
  <c r="EX88" i="25" s="1"/>
  <c r="EF88" i="25"/>
  <c r="EW88" i="25" s="1"/>
  <c r="EG142" i="25"/>
  <c r="EX142" i="25" s="1"/>
  <c r="EF142" i="25"/>
  <c r="EW142" i="25" s="1"/>
  <c r="EE142" i="25"/>
  <c r="EE193" i="25"/>
  <c r="EG193" i="25"/>
  <c r="EX193" i="25" s="1"/>
  <c r="EF193" i="25"/>
  <c r="EW193" i="25" s="1"/>
  <c r="EG75" i="25"/>
  <c r="EX75" i="25" s="1"/>
  <c r="EE75" i="25"/>
  <c r="EF75" i="25"/>
  <c r="EW75" i="25" s="1"/>
  <c r="EF190" i="25"/>
  <c r="EW190" i="25" s="1"/>
  <c r="EG190" i="25"/>
  <c r="EX190" i="25" s="1"/>
  <c r="EE190" i="25"/>
  <c r="EF29" i="25"/>
  <c r="EW29" i="25" s="1"/>
  <c r="EE29" i="25"/>
  <c r="EG29" i="25"/>
  <c r="EX29" i="25" s="1"/>
  <c r="EF35" i="25"/>
  <c r="EW35" i="25" s="1"/>
  <c r="EE35" i="25"/>
  <c r="EG35" i="25"/>
  <c r="EX35" i="25" s="1"/>
  <c r="EF92" i="25"/>
  <c r="EW92" i="25" s="1"/>
  <c r="EE92" i="25"/>
  <c r="EG92" i="25"/>
  <c r="EX92" i="25" s="1"/>
  <c r="EF114" i="25"/>
  <c r="EW114" i="25" s="1"/>
  <c r="EE114" i="25"/>
  <c r="EG114" i="25"/>
  <c r="EX114" i="25" s="1"/>
  <c r="EG166" i="25"/>
  <c r="EX166" i="25" s="1"/>
  <c r="EF166" i="25"/>
  <c r="EW166" i="25" s="1"/>
  <c r="EE166" i="25"/>
  <c r="EF206" i="25"/>
  <c r="EW206" i="25" s="1"/>
  <c r="EG206" i="25"/>
  <c r="EX206" i="25" s="1"/>
  <c r="EE206" i="25"/>
  <c r="EF203" i="25"/>
  <c r="EW203" i="25" s="1"/>
  <c r="EE203" i="25"/>
  <c r="EG203" i="25"/>
  <c r="EX203" i="25" s="1"/>
  <c r="EF76" i="25"/>
  <c r="EW76" i="25" s="1"/>
  <c r="EE76" i="25"/>
  <c r="EG76" i="25"/>
  <c r="EX76" i="25" s="1"/>
  <c r="EF36" i="25"/>
  <c r="EW36" i="25" s="1"/>
  <c r="EE36" i="25"/>
  <c r="EG36" i="25"/>
  <c r="EX36" i="25" s="1"/>
  <c r="EG134" i="25"/>
  <c r="EX134" i="25" s="1"/>
  <c r="EE134" i="25"/>
  <c r="EF134" i="25"/>
  <c r="EW134" i="25" s="1"/>
  <c r="EG152" i="25"/>
  <c r="EX152" i="25" s="1"/>
  <c r="EF152" i="25"/>
  <c r="EW152" i="25" s="1"/>
  <c r="EE152" i="25"/>
  <c r="EP182" i="25"/>
  <c r="EE170" i="25"/>
  <c r="EG170" i="25"/>
  <c r="EX170" i="25" s="1"/>
  <c r="EF170" i="25"/>
  <c r="EW170" i="25" s="1"/>
  <c r="EG85" i="25"/>
  <c r="EX85" i="25" s="1"/>
  <c r="EE85" i="25"/>
  <c r="EF85" i="25"/>
  <c r="EW85" i="25" s="1"/>
  <c r="EE168" i="25"/>
  <c r="EG168" i="25"/>
  <c r="EX168" i="25" s="1"/>
  <c r="EF168" i="25"/>
  <c r="EW168" i="25" s="1"/>
  <c r="EE184" i="25"/>
  <c r="EF184" i="25"/>
  <c r="EW184" i="25" s="1"/>
  <c r="EG184" i="25"/>
  <c r="EX184" i="25" s="1"/>
  <c r="EE16" i="25"/>
  <c r="EF16" i="25"/>
  <c r="EW16" i="25" s="1"/>
  <c r="EG16" i="25"/>
  <c r="EX16" i="25" s="1"/>
  <c r="EE167" i="25"/>
  <c r="EG167" i="25"/>
  <c r="EX167" i="25" s="1"/>
  <c r="EF167" i="25"/>
  <c r="EW167" i="25" s="1"/>
  <c r="EG210" i="25"/>
  <c r="EX210" i="25" s="1"/>
  <c r="EF210" i="25"/>
  <c r="EW210" i="25" s="1"/>
  <c r="EE210" i="25"/>
  <c r="EG165" i="25"/>
  <c r="EX165" i="25" s="1"/>
  <c r="EF165" i="25"/>
  <c r="EW165" i="25" s="1"/>
  <c r="EE165" i="25"/>
  <c r="EF30" i="25"/>
  <c r="EW30" i="25" s="1"/>
  <c r="EE30" i="25"/>
  <c r="EG30" i="25"/>
  <c r="EX30" i="25" s="1"/>
  <c r="EG157" i="25"/>
  <c r="EX157" i="25" s="1"/>
  <c r="EF157" i="25"/>
  <c r="EW157" i="25" s="1"/>
  <c r="EE157" i="25"/>
  <c r="EG117" i="25"/>
  <c r="EX117" i="25" s="1"/>
  <c r="EF117" i="25"/>
  <c r="EW117" i="25" s="1"/>
  <c r="EE117" i="25"/>
  <c r="EG122" i="25"/>
  <c r="EX122" i="25" s="1"/>
  <c r="EE122" i="25"/>
  <c r="EF122" i="25"/>
  <c r="EW122" i="25" s="1"/>
  <c r="EF22" i="25"/>
  <c r="EW22" i="25" s="1"/>
  <c r="EE22" i="25"/>
  <c r="EG22" i="25"/>
  <c r="EX22" i="25" s="1"/>
  <c r="EF204" i="25"/>
  <c r="EW204" i="25" s="1"/>
  <c r="EE204" i="25"/>
  <c r="EG204" i="25"/>
  <c r="EX204" i="25" s="1"/>
  <c r="EF98" i="25"/>
  <c r="EW98" i="25" s="1"/>
  <c r="EG98" i="25"/>
  <c r="EX98" i="25" s="1"/>
  <c r="EE98" i="25"/>
  <c r="EF100" i="25"/>
  <c r="EW100" i="25" s="1"/>
  <c r="EE100" i="25"/>
  <c r="EG100" i="25"/>
  <c r="EX100" i="25" s="1"/>
  <c r="EG39" i="25"/>
  <c r="EX39" i="25" s="1"/>
  <c r="EE39" i="25"/>
  <c r="EF39" i="25"/>
  <c r="EW39" i="25" s="1"/>
  <c r="EF153" i="25"/>
  <c r="EW153" i="25" s="1"/>
  <c r="EE153" i="25"/>
  <c r="EG153" i="25"/>
  <c r="EX153" i="25" s="1"/>
  <c r="EE130" i="25"/>
  <c r="EG130" i="25"/>
  <c r="EX130" i="25" s="1"/>
  <c r="EF130" i="25"/>
  <c r="EW130" i="25" s="1"/>
  <c r="EF52" i="25"/>
  <c r="EW52" i="25" s="1"/>
  <c r="EE52" i="25"/>
  <c r="EG52" i="25"/>
  <c r="EX52" i="25" s="1"/>
  <c r="EE72" i="25"/>
  <c r="EF72" i="25"/>
  <c r="EW72" i="25" s="1"/>
  <c r="EG72" i="25"/>
  <c r="EX72" i="25" s="1"/>
  <c r="EF45" i="25"/>
  <c r="EW45" i="25" s="1"/>
  <c r="EE45" i="25"/>
  <c r="EG45" i="25"/>
  <c r="EX45" i="25" s="1"/>
  <c r="EE198" i="25"/>
  <c r="EF198" i="25"/>
  <c r="EW198" i="25" s="1"/>
  <c r="EG198" i="25"/>
  <c r="EX198" i="25" s="1"/>
  <c r="EE60" i="25"/>
  <c r="EG60" i="25"/>
  <c r="EX60" i="25" s="1"/>
  <c r="EF60" i="25"/>
  <c r="EW60" i="25" s="1"/>
  <c r="EF201" i="25"/>
  <c r="EW201" i="25" s="1"/>
  <c r="EE201" i="25"/>
  <c r="EG201" i="25"/>
  <c r="EX201" i="25" s="1"/>
  <c r="EG179" i="25"/>
  <c r="EX179" i="25" s="1"/>
  <c r="EE179" i="25"/>
  <c r="EF179" i="25"/>
  <c r="EW179" i="25" s="1"/>
  <c r="EG53" i="25"/>
  <c r="EX53" i="25" s="1"/>
  <c r="EF53" i="25"/>
  <c r="EW53" i="25" s="1"/>
  <c r="EE53" i="25"/>
  <c r="EF200" i="25"/>
  <c r="EW200" i="25" s="1"/>
  <c r="EE200" i="25"/>
  <c r="EG200" i="25"/>
  <c r="EX200" i="25" s="1"/>
  <c r="EF139" i="25"/>
  <c r="EW139" i="25" s="1"/>
  <c r="EE139" i="25"/>
  <c r="EG139" i="25"/>
  <c r="EX139" i="25" s="1"/>
  <c r="EG113" i="25"/>
  <c r="EX113" i="25" s="1"/>
  <c r="EF113" i="25"/>
  <c r="EW113" i="25" s="1"/>
  <c r="EE113" i="25"/>
  <c r="EE172" i="25"/>
  <c r="EG172" i="25"/>
  <c r="EX172" i="25" s="1"/>
  <c r="EF172" i="25"/>
  <c r="EW172" i="25" s="1"/>
  <c r="EF91" i="25"/>
  <c r="EW91" i="25" s="1"/>
  <c r="EE91" i="25"/>
  <c r="EG91" i="25"/>
  <c r="EX91" i="25" s="1"/>
  <c r="EE68" i="25"/>
  <c r="EF68" i="25"/>
  <c r="EW68" i="25" s="1"/>
  <c r="EG68" i="25"/>
  <c r="EX68" i="25" s="1"/>
  <c r="EG132" i="25"/>
  <c r="EX132" i="25" s="1"/>
  <c r="EE132" i="25"/>
  <c r="EF132" i="25"/>
  <c r="EW132" i="25" s="1"/>
  <c r="EF65" i="25"/>
  <c r="EW65" i="25" s="1"/>
  <c r="EE65" i="25"/>
  <c r="EG65" i="25"/>
  <c r="EX65" i="25" s="1"/>
  <c r="EE101" i="25"/>
  <c r="EG101" i="25"/>
  <c r="EX101" i="25" s="1"/>
  <c r="EF101" i="25"/>
  <c r="EW101" i="25" s="1"/>
  <c r="EG197" i="25"/>
  <c r="EX197" i="25" s="1"/>
  <c r="EE197" i="25"/>
  <c r="EF197" i="25"/>
  <c r="EW197" i="25" s="1"/>
  <c r="EG102" i="25"/>
  <c r="EX102" i="25" s="1"/>
  <c r="EE102" i="25"/>
  <c r="EF102" i="25"/>
  <c r="EW102" i="25" s="1"/>
  <c r="EE48" i="25"/>
  <c r="EG48" i="25"/>
  <c r="EX48" i="25" s="1"/>
  <c r="EF48" i="25"/>
  <c r="EW48" i="25" s="1"/>
  <c r="EF67" i="25"/>
  <c r="EW67" i="25" s="1"/>
  <c r="EE67" i="25"/>
  <c r="EG67" i="25"/>
  <c r="EX67" i="25" s="1"/>
  <c r="EG70" i="25"/>
  <c r="EX70" i="25" s="1"/>
  <c r="EE70" i="25"/>
  <c r="EF70" i="25"/>
  <c r="EW70" i="25" s="1"/>
  <c r="EF148" i="25"/>
  <c r="EW148" i="25" s="1"/>
  <c r="EG148" i="25"/>
  <c r="EX148" i="25" s="1"/>
  <c r="EE148" i="25"/>
  <c r="EF38" i="25"/>
  <c r="EW38" i="25" s="1"/>
  <c r="EE38" i="25"/>
  <c r="EG38" i="25"/>
  <c r="EX38" i="25" s="1"/>
  <c r="EF192" i="25"/>
  <c r="EW192" i="25" s="1"/>
  <c r="EE192" i="25"/>
  <c r="EG192" i="25"/>
  <c r="EX192" i="25" s="1"/>
  <c r="EF32" i="25"/>
  <c r="EW32" i="25" s="1"/>
  <c r="EE32" i="25"/>
  <c r="EG32" i="25"/>
  <c r="EX32" i="25" s="1"/>
  <c r="EF61" i="25"/>
  <c r="EW61" i="25" s="1"/>
  <c r="EG61" i="25"/>
  <c r="EX61" i="25" s="1"/>
  <c r="EE61" i="25"/>
  <c r="EF80" i="25"/>
  <c r="EW80" i="25" s="1"/>
  <c r="EE80" i="25"/>
  <c r="EG80" i="25"/>
  <c r="EX80" i="25" s="1"/>
  <c r="EE54" i="25"/>
  <c r="EG54" i="25"/>
  <c r="EX54" i="25" s="1"/>
  <c r="EF54" i="25"/>
  <c r="EW54" i="25" s="1"/>
  <c r="EF44" i="25"/>
  <c r="EW44" i="25" s="1"/>
  <c r="EE44" i="25"/>
  <c r="EG44" i="25"/>
  <c r="EX44" i="25" s="1"/>
  <c r="EG127" i="25"/>
  <c r="EX127" i="25" s="1"/>
  <c r="EF127" i="25"/>
  <c r="EW127" i="25" s="1"/>
  <c r="EE127" i="25"/>
  <c r="EG20" i="25"/>
  <c r="EX20" i="25" s="1"/>
  <c r="EF20" i="25"/>
  <c r="EW20" i="25" s="1"/>
  <c r="EE20" i="25"/>
  <c r="EA40" i="24"/>
  <c r="EA152" i="24"/>
  <c r="EA13" i="24"/>
  <c r="EA99" i="24"/>
  <c r="EA29" i="24"/>
  <c r="EA62" i="24"/>
  <c r="EA10" i="24"/>
  <c r="EA77" i="24"/>
  <c r="EA43" i="24"/>
  <c r="EA134" i="24"/>
  <c r="FL134" i="24" s="1"/>
  <c r="EA23" i="24"/>
  <c r="EA81" i="24"/>
  <c r="FL81" i="24" s="1"/>
  <c r="EA201" i="24"/>
  <c r="EA159" i="24"/>
  <c r="DY6" i="24"/>
  <c r="EF6" i="24" s="1"/>
  <c r="EA6" i="24"/>
  <c r="DY245" i="24"/>
  <c r="EF245" i="24" s="1"/>
  <c r="EA245" i="24"/>
  <c r="EA128" i="24"/>
  <c r="DY141" i="24"/>
  <c r="EF141" i="24" s="1"/>
  <c r="EA141" i="24"/>
  <c r="DY28" i="24"/>
  <c r="EF28" i="24" s="1"/>
  <c r="EA28" i="24"/>
  <c r="DY282" i="24"/>
  <c r="EF282" i="24" s="1"/>
  <c r="EA282" i="24"/>
  <c r="EA174" i="24"/>
  <c r="EA26" i="24"/>
  <c r="DY32" i="24"/>
  <c r="EF32" i="24" s="1"/>
  <c r="EA32" i="24"/>
  <c r="DY31" i="24"/>
  <c r="EF31" i="24" s="1"/>
  <c r="EA31" i="24"/>
  <c r="EA123" i="24"/>
  <c r="DY299" i="24"/>
  <c r="EF299" i="24" s="1"/>
  <c r="EA299" i="24"/>
  <c r="DY290" i="24"/>
  <c r="EF290" i="24" s="1"/>
  <c r="EA290" i="24"/>
  <c r="DY69" i="24"/>
  <c r="EF69" i="24" s="1"/>
  <c r="EA69" i="24"/>
  <c r="DY95" i="24"/>
  <c r="EF95" i="24" s="1"/>
  <c r="EA95" i="24"/>
  <c r="DY225" i="24"/>
  <c r="EF225" i="24" s="1"/>
  <c r="EA225" i="24"/>
  <c r="DY316" i="24"/>
  <c r="EF316" i="24" s="1"/>
  <c r="EA316" i="24"/>
  <c r="DY251" i="24"/>
  <c r="EF251" i="24" s="1"/>
  <c r="EA251" i="24"/>
  <c r="DY257" i="24"/>
  <c r="EF257" i="24" s="1"/>
  <c r="EA257" i="24"/>
  <c r="DY304" i="24"/>
  <c r="EF304" i="24" s="1"/>
  <c r="EA304" i="24"/>
  <c r="DY168" i="24"/>
  <c r="EF168" i="24" s="1"/>
  <c r="EA168" i="24"/>
  <c r="DY146" i="24"/>
  <c r="EF146" i="24" s="1"/>
  <c r="EA146" i="24"/>
  <c r="DY19" i="24"/>
  <c r="EF19" i="24" s="1"/>
  <c r="EA19" i="24"/>
  <c r="DY182" i="24"/>
  <c r="EF182" i="24" s="1"/>
  <c r="EA182" i="24"/>
  <c r="DY226" i="24"/>
  <c r="EF226" i="24" s="1"/>
  <c r="EA226" i="24"/>
  <c r="DY227" i="24"/>
  <c r="EF227" i="24" s="1"/>
  <c r="EA227" i="24"/>
  <c r="DY85" i="24"/>
  <c r="EF85" i="24" s="1"/>
  <c r="EA85" i="24"/>
  <c r="DY51" i="24"/>
  <c r="EF51" i="24" s="1"/>
  <c r="EA51" i="24"/>
  <c r="DY261" i="24"/>
  <c r="EF261" i="24" s="1"/>
  <c r="EA261" i="24"/>
  <c r="DY195" i="24"/>
  <c r="EF195" i="24" s="1"/>
  <c r="EA195" i="24"/>
  <c r="DY20" i="24"/>
  <c r="EF20" i="24" s="1"/>
  <c r="EA20" i="24"/>
  <c r="DY279" i="24"/>
  <c r="EF279" i="24" s="1"/>
  <c r="EA279" i="24"/>
  <c r="DY93" i="24"/>
  <c r="EF93" i="24" s="1"/>
  <c r="EA93" i="24"/>
  <c r="EA209" i="24"/>
  <c r="EA177" i="24"/>
  <c r="DY269" i="24"/>
  <c r="EF269" i="24" s="1"/>
  <c r="EA269" i="24"/>
  <c r="DY148" i="24"/>
  <c r="EF148" i="24" s="1"/>
  <c r="EA148" i="24"/>
  <c r="EA41" i="24"/>
  <c r="EA53" i="24"/>
  <c r="EA114" i="24"/>
  <c r="EA202" i="24"/>
  <c r="EA161" i="24"/>
  <c r="DY137" i="24"/>
  <c r="EF137" i="24" s="1"/>
  <c r="EA137" i="24"/>
  <c r="DY234" i="24"/>
  <c r="EF234" i="24" s="1"/>
  <c r="EA234" i="24"/>
  <c r="DY249" i="24"/>
  <c r="EF249" i="24" s="1"/>
  <c r="EA249" i="24"/>
  <c r="DY206" i="24"/>
  <c r="EF206" i="24" s="1"/>
  <c r="EA206" i="24"/>
  <c r="DY295" i="24"/>
  <c r="EF295" i="24" s="1"/>
  <c r="EA295" i="24"/>
  <c r="DY256" i="24"/>
  <c r="EF256" i="24" s="1"/>
  <c r="EA256" i="24"/>
  <c r="DY223" i="24"/>
  <c r="EF223" i="24" s="1"/>
  <c r="EA223" i="24"/>
  <c r="DY139" i="24"/>
  <c r="EF139" i="24" s="1"/>
  <c r="EA139" i="24"/>
  <c r="DY179" i="24"/>
  <c r="EF179" i="24" s="1"/>
  <c r="EA179" i="24"/>
  <c r="DY260" i="24"/>
  <c r="EF260" i="24" s="1"/>
  <c r="EA260" i="24"/>
  <c r="DY258" i="24"/>
  <c r="EF258" i="24" s="1"/>
  <c r="EA258" i="24"/>
  <c r="EA122" i="24"/>
  <c r="DY73" i="24"/>
  <c r="EF73" i="24" s="1"/>
  <c r="EA73" i="24"/>
  <c r="DY16" i="24"/>
  <c r="EF16" i="24" s="1"/>
  <c r="EA16" i="24"/>
  <c r="DY21" i="24"/>
  <c r="EF21" i="24" s="1"/>
  <c r="EA21" i="24"/>
  <c r="DY289" i="24"/>
  <c r="EF289" i="24" s="1"/>
  <c r="EA289" i="24"/>
  <c r="DY270" i="24"/>
  <c r="EF270" i="24" s="1"/>
  <c r="EA270" i="24"/>
  <c r="DY222" i="24"/>
  <c r="EF222" i="24" s="1"/>
  <c r="EA222" i="24"/>
  <c r="EA197" i="24"/>
  <c r="EA185" i="24"/>
  <c r="DY276" i="24"/>
  <c r="EF276" i="24" s="1"/>
  <c r="EA276" i="24"/>
  <c r="DY156" i="24"/>
  <c r="EF156" i="24" s="1"/>
  <c r="EA156" i="24"/>
  <c r="DY229" i="24"/>
  <c r="EF229" i="24" s="1"/>
  <c r="EA229" i="24"/>
  <c r="DY300" i="24"/>
  <c r="EF300" i="24" s="1"/>
  <c r="EA300" i="24"/>
  <c r="EA50" i="24"/>
  <c r="DY9" i="24"/>
  <c r="EF9" i="24" s="1"/>
  <c r="EA9" i="24"/>
  <c r="DY84" i="24"/>
  <c r="EF84" i="24" s="1"/>
  <c r="EA84" i="24"/>
  <c r="DY22" i="24"/>
  <c r="EF22" i="24" s="1"/>
  <c r="EA22" i="24"/>
  <c r="DY58" i="24"/>
  <c r="EF58" i="24" s="1"/>
  <c r="EA58" i="24"/>
  <c r="DY306" i="24"/>
  <c r="EF306" i="24" s="1"/>
  <c r="EA306" i="24"/>
  <c r="DY102" i="24"/>
  <c r="EF102" i="24" s="1"/>
  <c r="EA102" i="24"/>
  <c r="DY307" i="24"/>
  <c r="EF307" i="24" s="1"/>
  <c r="EA307" i="24"/>
  <c r="EA145" i="24"/>
  <c r="DY238" i="24"/>
  <c r="EF238" i="24" s="1"/>
  <c r="EA238" i="24"/>
  <c r="DY151" i="24"/>
  <c r="EF151" i="24" s="1"/>
  <c r="EA151" i="24"/>
  <c r="DY305" i="24"/>
  <c r="EF305" i="24" s="1"/>
  <c r="EA305" i="24"/>
  <c r="DY228" i="24"/>
  <c r="EF228" i="24" s="1"/>
  <c r="EA228" i="24"/>
  <c r="DY292" i="24"/>
  <c r="EF292" i="24" s="1"/>
  <c r="EA292" i="24"/>
  <c r="DY188" i="24"/>
  <c r="EF188" i="24" s="1"/>
  <c r="EA188" i="24"/>
  <c r="DY15" i="24"/>
  <c r="EF15" i="24" s="1"/>
  <c r="EA15" i="24"/>
  <c r="EA167" i="24"/>
  <c r="EA61" i="24"/>
  <c r="DY246" i="24"/>
  <c r="EF246" i="24" s="1"/>
  <c r="EA246" i="24"/>
  <c r="EH190" i="24"/>
  <c r="EC190" i="24"/>
  <c r="ED190" i="24" s="1"/>
  <c r="EI190" i="24"/>
  <c r="EX190" i="24" s="1"/>
  <c r="EA100" i="24"/>
  <c r="DY11" i="24"/>
  <c r="EF11" i="24" s="1"/>
  <c r="EA11" i="24"/>
  <c r="DY235" i="24"/>
  <c r="EF235" i="24" s="1"/>
  <c r="EA235" i="24"/>
  <c r="DY239" i="24"/>
  <c r="EF239" i="24" s="1"/>
  <c r="EA239" i="24"/>
  <c r="EA158" i="24"/>
  <c r="DY217" i="24"/>
  <c r="EF217" i="24" s="1"/>
  <c r="EA217" i="24"/>
  <c r="EA54" i="24"/>
  <c r="DY76" i="24"/>
  <c r="EF76" i="24" s="1"/>
  <c r="EA76" i="24"/>
  <c r="DY255" i="24"/>
  <c r="EF255" i="24" s="1"/>
  <c r="EA255" i="24"/>
  <c r="DY278" i="24"/>
  <c r="EF278" i="24" s="1"/>
  <c r="EA278" i="24"/>
  <c r="DY247" i="24"/>
  <c r="EF247" i="24" s="1"/>
  <c r="EA247" i="24"/>
  <c r="DY232" i="24"/>
  <c r="EF232" i="24" s="1"/>
  <c r="EA232" i="24"/>
  <c r="DY259" i="24"/>
  <c r="EF259" i="24" s="1"/>
  <c r="EA259" i="24"/>
  <c r="DY97" i="24"/>
  <c r="EF97" i="24" s="1"/>
  <c r="EA97" i="24"/>
  <c r="DY224" i="24"/>
  <c r="EF224" i="24" s="1"/>
  <c r="EA224" i="24"/>
  <c r="EA155" i="24"/>
  <c r="DY189" i="24"/>
  <c r="EF189" i="24" s="1"/>
  <c r="EA189" i="24"/>
  <c r="DY117" i="24"/>
  <c r="EF117" i="24" s="1"/>
  <c r="EA117" i="24"/>
  <c r="DY27" i="24"/>
  <c r="EF27" i="24" s="1"/>
  <c r="EA27" i="24"/>
  <c r="DY273" i="24"/>
  <c r="EF273" i="24" s="1"/>
  <c r="EA273" i="24"/>
  <c r="DY218" i="24"/>
  <c r="EF218" i="24" s="1"/>
  <c r="EA218" i="24"/>
  <c r="EA173" i="24"/>
  <c r="EA80" i="24"/>
  <c r="DY296" i="24"/>
  <c r="EF296" i="24" s="1"/>
  <c r="EA296" i="24"/>
  <c r="DY241" i="24"/>
  <c r="EF241" i="24" s="1"/>
  <c r="EA241" i="24"/>
  <c r="DY82" i="24"/>
  <c r="EF82" i="24" s="1"/>
  <c r="EA82" i="24"/>
  <c r="DY194" i="24"/>
  <c r="EF194" i="24" s="1"/>
  <c r="EA194" i="24"/>
  <c r="DY88" i="24"/>
  <c r="EF88" i="24" s="1"/>
  <c r="EA88" i="24"/>
  <c r="DY264" i="24"/>
  <c r="EF264" i="24" s="1"/>
  <c r="EA264" i="24"/>
  <c r="DY301" i="24"/>
  <c r="EF301" i="24" s="1"/>
  <c r="EA301" i="24"/>
  <c r="DY252" i="24"/>
  <c r="EF252" i="24" s="1"/>
  <c r="EA252" i="24"/>
  <c r="EA103" i="24"/>
  <c r="DY87" i="24"/>
  <c r="EF87" i="24" s="1"/>
  <c r="EA87" i="24"/>
  <c r="DY120" i="24"/>
  <c r="EF120" i="24" s="1"/>
  <c r="EA120" i="24"/>
  <c r="DY143" i="24"/>
  <c r="EF143" i="24" s="1"/>
  <c r="EA143" i="24"/>
  <c r="DY287" i="24"/>
  <c r="EF287" i="24" s="1"/>
  <c r="EA287" i="24"/>
  <c r="DY262" i="24"/>
  <c r="EF262" i="24" s="1"/>
  <c r="EA262" i="24"/>
  <c r="DY57" i="24"/>
  <c r="EF57" i="24" s="1"/>
  <c r="EA57" i="24"/>
  <c r="EA98" i="24"/>
  <c r="DY105" i="24"/>
  <c r="EF105" i="24" s="1"/>
  <c r="EA105" i="24"/>
  <c r="EA157" i="24"/>
  <c r="EA42" i="24"/>
  <c r="DY310" i="24"/>
  <c r="EF310" i="24" s="1"/>
  <c r="EA310" i="24"/>
  <c r="DY176" i="24"/>
  <c r="EF176" i="24" s="1"/>
  <c r="EA176" i="24"/>
  <c r="DY200" i="24"/>
  <c r="EF200" i="24" s="1"/>
  <c r="EA200" i="24"/>
  <c r="EA47" i="24"/>
  <c r="DY248" i="24"/>
  <c r="EF248" i="24" s="1"/>
  <c r="EA248" i="24"/>
  <c r="DY311" i="24"/>
  <c r="EF311" i="24" s="1"/>
  <c r="EA311" i="24"/>
  <c r="DY180" i="24"/>
  <c r="EF180" i="24" s="1"/>
  <c r="EA180" i="24"/>
  <c r="DY253" i="24"/>
  <c r="EF253" i="24" s="1"/>
  <c r="EA253" i="24"/>
  <c r="DY312" i="24"/>
  <c r="EF312" i="24" s="1"/>
  <c r="EA312" i="24"/>
  <c r="DY265" i="24"/>
  <c r="EF265" i="24" s="1"/>
  <c r="EA265" i="24"/>
  <c r="DY181" i="24"/>
  <c r="EF181" i="24" s="1"/>
  <c r="EA181" i="24"/>
  <c r="EA175" i="24"/>
  <c r="DY36" i="24"/>
  <c r="EF36" i="24" s="1"/>
  <c r="EA36" i="24"/>
  <c r="DY207" i="24"/>
  <c r="EF207" i="24" s="1"/>
  <c r="EA207" i="24"/>
  <c r="EA183" i="24"/>
  <c r="DY45" i="24"/>
  <c r="EF45" i="24" s="1"/>
  <c r="EA45" i="24"/>
  <c r="DY297" i="24"/>
  <c r="EF297" i="24" s="1"/>
  <c r="EA297" i="24"/>
  <c r="DY271" i="24"/>
  <c r="EF271" i="24" s="1"/>
  <c r="EA271" i="24"/>
  <c r="EA171" i="24"/>
  <c r="DY184" i="24"/>
  <c r="EF184" i="24" s="1"/>
  <c r="EA184" i="24"/>
  <c r="DY125" i="24"/>
  <c r="EF125" i="24" s="1"/>
  <c r="EA125" i="24"/>
  <c r="EA68" i="24"/>
  <c r="DY313" i="24"/>
  <c r="EF313" i="24" s="1"/>
  <c r="EA313" i="24"/>
  <c r="DY18" i="24"/>
  <c r="EF18" i="24" s="1"/>
  <c r="EA18" i="24"/>
  <c r="EA33" i="24"/>
  <c r="DY233" i="24"/>
  <c r="EF233" i="24" s="1"/>
  <c r="EA233" i="24"/>
  <c r="DY308" i="24"/>
  <c r="EF308" i="24" s="1"/>
  <c r="EA308" i="24"/>
  <c r="DY38" i="24"/>
  <c r="EF38" i="24" s="1"/>
  <c r="EA38" i="24"/>
  <c r="DY293" i="24"/>
  <c r="EF293" i="24" s="1"/>
  <c r="EA293" i="24"/>
  <c r="DY56" i="24"/>
  <c r="EF56" i="24" s="1"/>
  <c r="EA56" i="24"/>
  <c r="DY208" i="24"/>
  <c r="EF208" i="24" s="1"/>
  <c r="EA208" i="24"/>
  <c r="DY66" i="24"/>
  <c r="EF66" i="24" s="1"/>
  <c r="EA66" i="24"/>
  <c r="DY267" i="24"/>
  <c r="EF267" i="24" s="1"/>
  <c r="EA267" i="24"/>
  <c r="DY210" i="24"/>
  <c r="EF210" i="24" s="1"/>
  <c r="EA210" i="24"/>
  <c r="DY254" i="24"/>
  <c r="EF254" i="24" s="1"/>
  <c r="EA254" i="24"/>
  <c r="DY86" i="24"/>
  <c r="EF86" i="24" s="1"/>
  <c r="EA86" i="24"/>
  <c r="DY205" i="24"/>
  <c r="EF205" i="24" s="1"/>
  <c r="EA205" i="24"/>
  <c r="DY219" i="24"/>
  <c r="EF219" i="24" s="1"/>
  <c r="EA219" i="24"/>
  <c r="DY130" i="24"/>
  <c r="EF130" i="24" s="1"/>
  <c r="EA130" i="24"/>
  <c r="DY49" i="24"/>
  <c r="EF49" i="24" s="1"/>
  <c r="EA49" i="24"/>
  <c r="DY140" i="24"/>
  <c r="EF140" i="24" s="1"/>
  <c r="EA140" i="24"/>
  <c r="DY220" i="24"/>
  <c r="EF220" i="24" s="1"/>
  <c r="EA220" i="24"/>
  <c r="DY113" i="24"/>
  <c r="EF113" i="24" s="1"/>
  <c r="EA113" i="24"/>
  <c r="DY281" i="24"/>
  <c r="EF281" i="24" s="1"/>
  <c r="EA281" i="24"/>
  <c r="DY288" i="24"/>
  <c r="EF288" i="24" s="1"/>
  <c r="EA288" i="24"/>
  <c r="DY165" i="24"/>
  <c r="EF165" i="24" s="1"/>
  <c r="EA165" i="24"/>
  <c r="DY149" i="24"/>
  <c r="EF149" i="24" s="1"/>
  <c r="EA149" i="24"/>
  <c r="DY196" i="24"/>
  <c r="EF196" i="24" s="1"/>
  <c r="EA196" i="24"/>
  <c r="DY46" i="24"/>
  <c r="EF46" i="24" s="1"/>
  <c r="EA46" i="24"/>
  <c r="DY291" i="24"/>
  <c r="EF291" i="24" s="1"/>
  <c r="EA291" i="24"/>
  <c r="DY203" i="24"/>
  <c r="EF203" i="24" s="1"/>
  <c r="EA203" i="24"/>
  <c r="DY162" i="24"/>
  <c r="EF162" i="24" s="1"/>
  <c r="EA162" i="24"/>
  <c r="DY277" i="24"/>
  <c r="EF277" i="24" s="1"/>
  <c r="EA277" i="24"/>
  <c r="DY121" i="24"/>
  <c r="EF121" i="24" s="1"/>
  <c r="EA121" i="24"/>
  <c r="DY244" i="24"/>
  <c r="EF244" i="24" s="1"/>
  <c r="EA244" i="24"/>
  <c r="DY230" i="24"/>
  <c r="EF230" i="24" s="1"/>
  <c r="EA230" i="24"/>
  <c r="DY59" i="24"/>
  <c r="EF59" i="24" s="1"/>
  <c r="EA59" i="24"/>
  <c r="DY283" i="24"/>
  <c r="EF283" i="24" s="1"/>
  <c r="EA283" i="24"/>
  <c r="DY221" i="24"/>
  <c r="EF221" i="24" s="1"/>
  <c r="EA221" i="24"/>
  <c r="DY75" i="24"/>
  <c r="EF75" i="24" s="1"/>
  <c r="EA75" i="24"/>
  <c r="DY119" i="24"/>
  <c r="EF119" i="24" s="1"/>
  <c r="EA119" i="24"/>
  <c r="DY263" i="24"/>
  <c r="EF263" i="24" s="1"/>
  <c r="EA263" i="24"/>
  <c r="DY178" i="24"/>
  <c r="EF178" i="24" s="1"/>
  <c r="EA178" i="24"/>
  <c r="DY236" i="24"/>
  <c r="EF236" i="24" s="1"/>
  <c r="EA236" i="24"/>
  <c r="DY91" i="24"/>
  <c r="EF91" i="24" s="1"/>
  <c r="EA91" i="24"/>
  <c r="EA25" i="24"/>
  <c r="EA8" i="24"/>
  <c r="DY144" i="24"/>
  <c r="EF144" i="24" s="1"/>
  <c r="EA144" i="24"/>
  <c r="DY166" i="24"/>
  <c r="EF166" i="24" s="1"/>
  <c r="EA166" i="24"/>
  <c r="DY298" i="24"/>
  <c r="EF298" i="24" s="1"/>
  <c r="EA298" i="24"/>
  <c r="DY231" i="24"/>
  <c r="EF231" i="24" s="1"/>
  <c r="EA231" i="24"/>
  <c r="EA193" i="24"/>
  <c r="EA89" i="24"/>
  <c r="DY204" i="24"/>
  <c r="EF204" i="24" s="1"/>
  <c r="EA204" i="24"/>
  <c r="EA138" i="24"/>
  <c r="DY12" i="24"/>
  <c r="EF12" i="24" s="1"/>
  <c r="EA12" i="24"/>
  <c r="DY135" i="24"/>
  <c r="EF135" i="24" s="1"/>
  <c r="EA135" i="24"/>
  <c r="DY309" i="24"/>
  <c r="EF309" i="24" s="1"/>
  <c r="EA309" i="24"/>
  <c r="DY116" i="24"/>
  <c r="EF116" i="24" s="1"/>
  <c r="EA116" i="24"/>
  <c r="EA164" i="24"/>
  <c r="DY7" i="24"/>
  <c r="EF7" i="24" s="1"/>
  <c r="EA7" i="24"/>
  <c r="DY94" i="24"/>
  <c r="EF94" i="24" s="1"/>
  <c r="EA94" i="24"/>
  <c r="EA150" i="24"/>
  <c r="DY115" i="24"/>
  <c r="EF115" i="24" s="1"/>
  <c r="EA115" i="24"/>
  <c r="EA129" i="24"/>
  <c r="DY302" i="24"/>
  <c r="EF302" i="24" s="1"/>
  <c r="EA302" i="24"/>
  <c r="DY286" i="24"/>
  <c r="EF286" i="24" s="1"/>
  <c r="EA286" i="24"/>
  <c r="EA112" i="24"/>
  <c r="EA70" i="24"/>
  <c r="DY314" i="24"/>
  <c r="EF314" i="24" s="1"/>
  <c r="EA314" i="24"/>
  <c r="DY274" i="24"/>
  <c r="EF274" i="24" s="1"/>
  <c r="EA274" i="24"/>
  <c r="DY275" i="24"/>
  <c r="EF275" i="24" s="1"/>
  <c r="EA275" i="24"/>
  <c r="DY72" i="24"/>
  <c r="EF72" i="24" s="1"/>
  <c r="EA72" i="24"/>
  <c r="DY163" i="24"/>
  <c r="EF163" i="24" s="1"/>
  <c r="EA163" i="24"/>
  <c r="DY272" i="24"/>
  <c r="EF272" i="24" s="1"/>
  <c r="EA272" i="24"/>
  <c r="DY294" i="24"/>
  <c r="EF294" i="24" s="1"/>
  <c r="EA294" i="24"/>
  <c r="EA24" i="24"/>
  <c r="DY34" i="24"/>
  <c r="EF34" i="24" s="1"/>
  <c r="EA34" i="24"/>
  <c r="EA35" i="24"/>
  <c r="DY266" i="24"/>
  <c r="EF266" i="24" s="1"/>
  <c r="EA266" i="24"/>
  <c r="DY118" i="24"/>
  <c r="EF118" i="24" s="1"/>
  <c r="EA118" i="24"/>
  <c r="DY250" i="24"/>
  <c r="EF250" i="24" s="1"/>
  <c r="EA250" i="24"/>
  <c r="DY131" i="24"/>
  <c r="EF131" i="24" s="1"/>
  <c r="EA131" i="24"/>
  <c r="DY284" i="24"/>
  <c r="EF284" i="24" s="1"/>
  <c r="EA284" i="24"/>
  <c r="DY237" i="24"/>
  <c r="EF237" i="24" s="1"/>
  <c r="EA237" i="24"/>
  <c r="DY101" i="24"/>
  <c r="EF101" i="24" s="1"/>
  <c r="EA101" i="24"/>
  <c r="DY187" i="24"/>
  <c r="EF187" i="24" s="1"/>
  <c r="EA187" i="24"/>
  <c r="DY280" i="24"/>
  <c r="EF280" i="24" s="1"/>
  <c r="EA280" i="24"/>
  <c r="DY79" i="24"/>
  <c r="EF79" i="24" s="1"/>
  <c r="EA79" i="24"/>
  <c r="DY315" i="24"/>
  <c r="EF315" i="24" s="1"/>
  <c r="EA315" i="24"/>
  <c r="DY303" i="24"/>
  <c r="EF303" i="24" s="1"/>
  <c r="EA303" i="24"/>
  <c r="DY268" i="24"/>
  <c r="EF268" i="24" s="1"/>
  <c r="EA268" i="24"/>
  <c r="DY153" i="24"/>
  <c r="EF153" i="24" s="1"/>
  <c r="EA153" i="24"/>
  <c r="DY17" i="24"/>
  <c r="EF17" i="24" s="1"/>
  <c r="EA17" i="24"/>
  <c r="DY198" i="24"/>
  <c r="EF198" i="24" s="1"/>
  <c r="EA198" i="24"/>
  <c r="DY240" i="24"/>
  <c r="EF240" i="24" s="1"/>
  <c r="EA240" i="24"/>
  <c r="DY191" i="24"/>
  <c r="EF191" i="24" s="1"/>
  <c r="EA191" i="24"/>
  <c r="EA154" i="24"/>
  <c r="DY64" i="24"/>
  <c r="EF64" i="24" s="1"/>
  <c r="EA64" i="24"/>
  <c r="EA65" i="24"/>
  <c r="F64" i="19"/>
  <c r="F65" i="19"/>
  <c r="CG242" i="24" l="1"/>
  <c r="CG243" i="24"/>
  <c r="EV212" i="25"/>
  <c r="FB212" i="25" s="1"/>
  <c r="EI212" i="25"/>
  <c r="EC96" i="24"/>
  <c r="ED96" i="24" s="1"/>
  <c r="EH96" i="24"/>
  <c r="EW96" i="24" s="1"/>
  <c r="EI96" i="24"/>
  <c r="EX96" i="24" s="1"/>
  <c r="FL96" i="24"/>
  <c r="CG285" i="24"/>
  <c r="EI243" i="24"/>
  <c r="EX243" i="24" s="1"/>
  <c r="EC243" i="24"/>
  <c r="ED243" i="24" s="1"/>
  <c r="EH243" i="24"/>
  <c r="EK243" i="24" s="1"/>
  <c r="EC78" i="24"/>
  <c r="ED78" i="24" s="1"/>
  <c r="EH78" i="24"/>
  <c r="EW78" i="24" s="1"/>
  <c r="EI78" i="24"/>
  <c r="EX78" i="24" s="1"/>
  <c r="EH60" i="24"/>
  <c r="EW60" i="24" s="1"/>
  <c r="EV136" i="25"/>
  <c r="FC136" i="25" s="1"/>
  <c r="FE136" i="25" s="1"/>
  <c r="FF136" i="25" s="1"/>
  <c r="EH285" i="24"/>
  <c r="EK285" i="24" s="1"/>
  <c r="EI60" i="24"/>
  <c r="EX60" i="24" s="1"/>
  <c r="EC242" i="24"/>
  <c r="ED242" i="24" s="1"/>
  <c r="EI242" i="24"/>
  <c r="EX242" i="24" s="1"/>
  <c r="FL242" i="24"/>
  <c r="FL285" i="24"/>
  <c r="EI285" i="24"/>
  <c r="EX285" i="24" s="1"/>
  <c r="EW216" i="24"/>
  <c r="FB216" i="24" s="1"/>
  <c r="EK216" i="24"/>
  <c r="EI89" i="25"/>
  <c r="EO89" i="25" s="1"/>
  <c r="EP89" i="25" s="1"/>
  <c r="S110" i="24"/>
  <c r="T110" i="24" s="1"/>
  <c r="J110" i="24" s="1"/>
  <c r="K110" i="24"/>
  <c r="EC92" i="24"/>
  <c r="ED92" i="24" s="1"/>
  <c r="CG92" i="24"/>
  <c r="EH92" i="24"/>
  <c r="EW92" i="24" s="1"/>
  <c r="FL237" i="24"/>
  <c r="EH237" i="24"/>
  <c r="EI237" i="24"/>
  <c r="EX237" i="24" s="1"/>
  <c r="EC237" i="24"/>
  <c r="ED237" i="24" s="1"/>
  <c r="FL275" i="24"/>
  <c r="EI275" i="24"/>
  <c r="EX275" i="24" s="1"/>
  <c r="EC275" i="24"/>
  <c r="ED275" i="24" s="1"/>
  <c r="EH275" i="24"/>
  <c r="FL221" i="24"/>
  <c r="EH221" i="24"/>
  <c r="EI221" i="24"/>
  <c r="EX221" i="24" s="1"/>
  <c r="EC221" i="24"/>
  <c r="ED221" i="24" s="1"/>
  <c r="FL244" i="24"/>
  <c r="EH244" i="24"/>
  <c r="EI244" i="24"/>
  <c r="EX244" i="24" s="1"/>
  <c r="EC244" i="24"/>
  <c r="ED244" i="24" s="1"/>
  <c r="FL254" i="24"/>
  <c r="EH254" i="24"/>
  <c r="EI254" i="24"/>
  <c r="EX254" i="24" s="1"/>
  <c r="EC254" i="24"/>
  <c r="ED254" i="24" s="1"/>
  <c r="FL265" i="24"/>
  <c r="EH265" i="24"/>
  <c r="EC265" i="24"/>
  <c r="ED265" i="24" s="1"/>
  <c r="EI265" i="24"/>
  <c r="EX265" i="24" s="1"/>
  <c r="FL311" i="24"/>
  <c r="EI311" i="24"/>
  <c r="EX311" i="24" s="1"/>
  <c r="EH311" i="24"/>
  <c r="EC311" i="24"/>
  <c r="ED311" i="24" s="1"/>
  <c r="FL224" i="24"/>
  <c r="EI224" i="24"/>
  <c r="EX224" i="24" s="1"/>
  <c r="EH224" i="24"/>
  <c r="EC224" i="24"/>
  <c r="ED224" i="24" s="1"/>
  <c r="FL247" i="24"/>
  <c r="EH247" i="24"/>
  <c r="EI247" i="24"/>
  <c r="EX247" i="24" s="1"/>
  <c r="EC247" i="24"/>
  <c r="ED247" i="24" s="1"/>
  <c r="FL228" i="24"/>
  <c r="EH228" i="24"/>
  <c r="EC228" i="24"/>
  <c r="ED228" i="24" s="1"/>
  <c r="EI228" i="24"/>
  <c r="EX228" i="24" s="1"/>
  <c r="FL300" i="24"/>
  <c r="EI300" i="24"/>
  <c r="EX300" i="24" s="1"/>
  <c r="EC300" i="24"/>
  <c r="ED300" i="24" s="1"/>
  <c r="EH300" i="24"/>
  <c r="FL261" i="24"/>
  <c r="EH261" i="24"/>
  <c r="EI261" i="24"/>
  <c r="EX261" i="24" s="1"/>
  <c r="EC261" i="24"/>
  <c r="ED261" i="24" s="1"/>
  <c r="FL226" i="24"/>
  <c r="EH226" i="24"/>
  <c r="EI226" i="24"/>
  <c r="EX226" i="24" s="1"/>
  <c r="EC226" i="24"/>
  <c r="ED226" i="24" s="1"/>
  <c r="FL316" i="24"/>
  <c r="EC316" i="24"/>
  <c r="ED316" i="24" s="1"/>
  <c r="EH316" i="24"/>
  <c r="EI316" i="24"/>
  <c r="EX316" i="24" s="1"/>
  <c r="FL290" i="24"/>
  <c r="EH290" i="24"/>
  <c r="EI290" i="24"/>
  <c r="EX290" i="24" s="1"/>
  <c r="EC290" i="24"/>
  <c r="ED290" i="24" s="1"/>
  <c r="FL294" i="24"/>
  <c r="EH294" i="24"/>
  <c r="EI294" i="24"/>
  <c r="EX294" i="24" s="1"/>
  <c r="EC294" i="24"/>
  <c r="ED294" i="24" s="1"/>
  <c r="FL217" i="24"/>
  <c r="EH217" i="24"/>
  <c r="EI217" i="24"/>
  <c r="EX217" i="24" s="1"/>
  <c r="EC217" i="24"/>
  <c r="ED217" i="24" s="1"/>
  <c r="FL307" i="24"/>
  <c r="EI307" i="24"/>
  <c r="EX307" i="24" s="1"/>
  <c r="EC307" i="24"/>
  <c r="ED307" i="24" s="1"/>
  <c r="EH307" i="24"/>
  <c r="FL260" i="24"/>
  <c r="EH260" i="24"/>
  <c r="EI260" i="24"/>
  <c r="EX260" i="24" s="1"/>
  <c r="EC260" i="24"/>
  <c r="ED260" i="24" s="1"/>
  <c r="FL256" i="24"/>
  <c r="EI256" i="24"/>
  <c r="EX256" i="24" s="1"/>
  <c r="EC256" i="24"/>
  <c r="ED256" i="24" s="1"/>
  <c r="EH256" i="24"/>
  <c r="FL234" i="24"/>
  <c r="EI234" i="24"/>
  <c r="EX234" i="24" s="1"/>
  <c r="EH234" i="24"/>
  <c r="EC234" i="24"/>
  <c r="ED234" i="24" s="1"/>
  <c r="FL250" i="24"/>
  <c r="EC250" i="24"/>
  <c r="ED250" i="24" s="1"/>
  <c r="EH250" i="24"/>
  <c r="EI250" i="24"/>
  <c r="EX250" i="24" s="1"/>
  <c r="FL286" i="24"/>
  <c r="EH286" i="24"/>
  <c r="EC286" i="24"/>
  <c r="ED286" i="24" s="1"/>
  <c r="EI286" i="24"/>
  <c r="EX286" i="24" s="1"/>
  <c r="FL310" i="24"/>
  <c r="EH310" i="24"/>
  <c r="EI310" i="24"/>
  <c r="EX310" i="24" s="1"/>
  <c r="EC310" i="24"/>
  <c r="ED310" i="24" s="1"/>
  <c r="FL240" i="24"/>
  <c r="EH240" i="24"/>
  <c r="EI240" i="24"/>
  <c r="EX240" i="24" s="1"/>
  <c r="EC240" i="24"/>
  <c r="ED240" i="24" s="1"/>
  <c r="FL268" i="24"/>
  <c r="EH268" i="24"/>
  <c r="EC268" i="24"/>
  <c r="ED268" i="24" s="1"/>
  <c r="EI268" i="24"/>
  <c r="EX268" i="24" s="1"/>
  <c r="FL280" i="24"/>
  <c r="EI280" i="24"/>
  <c r="EX280" i="24" s="1"/>
  <c r="EH280" i="24"/>
  <c r="EC280" i="24"/>
  <c r="ED280" i="24" s="1"/>
  <c r="FL284" i="24"/>
  <c r="EH284" i="24"/>
  <c r="EI284" i="24"/>
  <c r="EX284" i="24" s="1"/>
  <c r="EC284" i="24"/>
  <c r="ED284" i="24" s="1"/>
  <c r="FL266" i="24"/>
  <c r="EC266" i="24"/>
  <c r="ED266" i="24" s="1"/>
  <c r="EI266" i="24"/>
  <c r="EX266" i="24" s="1"/>
  <c r="EH266" i="24"/>
  <c r="FL272" i="24"/>
  <c r="EI272" i="24"/>
  <c r="EX272" i="24" s="1"/>
  <c r="EC272" i="24"/>
  <c r="ED272" i="24" s="1"/>
  <c r="EH272" i="24"/>
  <c r="FL274" i="24"/>
  <c r="EH274" i="24"/>
  <c r="EI274" i="24"/>
  <c r="EX274" i="24" s="1"/>
  <c r="EC274" i="24"/>
  <c r="ED274" i="24" s="1"/>
  <c r="FL302" i="24"/>
  <c r="EI302" i="24"/>
  <c r="EX302" i="24" s="1"/>
  <c r="EH302" i="24"/>
  <c r="EC302" i="24"/>
  <c r="ED302" i="24" s="1"/>
  <c r="FL231" i="24"/>
  <c r="EI231" i="24"/>
  <c r="EX231" i="24" s="1"/>
  <c r="EH231" i="24"/>
  <c r="EC231" i="24"/>
  <c r="ED231" i="24" s="1"/>
  <c r="FL263" i="24"/>
  <c r="EH263" i="24"/>
  <c r="EC263" i="24"/>
  <c r="ED263" i="24" s="1"/>
  <c r="EI263" i="24"/>
  <c r="EX263" i="24" s="1"/>
  <c r="FL283" i="24"/>
  <c r="EC283" i="24"/>
  <c r="ED283" i="24" s="1"/>
  <c r="EH283" i="24"/>
  <c r="EI283" i="24"/>
  <c r="EX283" i="24" s="1"/>
  <c r="FL291" i="24"/>
  <c r="EC291" i="24"/>
  <c r="ED291" i="24" s="1"/>
  <c r="EH291" i="24"/>
  <c r="EI291" i="24"/>
  <c r="EX291" i="24" s="1"/>
  <c r="FL220" i="24"/>
  <c r="EH220" i="24"/>
  <c r="EI220" i="24"/>
  <c r="EX220" i="24" s="1"/>
  <c r="EC220" i="24"/>
  <c r="ED220" i="24" s="1"/>
  <c r="FL219" i="24"/>
  <c r="EH219" i="24"/>
  <c r="EC219" i="24"/>
  <c r="ED219" i="24" s="1"/>
  <c r="EI219" i="24"/>
  <c r="EX219" i="24" s="1"/>
  <c r="FL313" i="24"/>
  <c r="EH313" i="24"/>
  <c r="EI313" i="24"/>
  <c r="EX313" i="24" s="1"/>
  <c r="EC313" i="24"/>
  <c r="ED313" i="24" s="1"/>
  <c r="FL271" i="24"/>
  <c r="EH271" i="24"/>
  <c r="EC271" i="24"/>
  <c r="ED271" i="24" s="1"/>
  <c r="EI271" i="24"/>
  <c r="EX271" i="24" s="1"/>
  <c r="FL312" i="24"/>
  <c r="EH312" i="24"/>
  <c r="EI312" i="24"/>
  <c r="EX312" i="24" s="1"/>
  <c r="EC312" i="24"/>
  <c r="ED312" i="24" s="1"/>
  <c r="FL248" i="24"/>
  <c r="EH248" i="24"/>
  <c r="EI248" i="24"/>
  <c r="EX248" i="24" s="1"/>
  <c r="EC248" i="24"/>
  <c r="ED248" i="24" s="1"/>
  <c r="FL262" i="24"/>
  <c r="EI262" i="24"/>
  <c r="EX262" i="24" s="1"/>
  <c r="EC262" i="24"/>
  <c r="ED262" i="24" s="1"/>
  <c r="EH262" i="24"/>
  <c r="FL301" i="24"/>
  <c r="EH301" i="24"/>
  <c r="EI301" i="24"/>
  <c r="EX301" i="24" s="1"/>
  <c r="EC301" i="24"/>
  <c r="ED301" i="24" s="1"/>
  <c r="FL218" i="24"/>
  <c r="EI218" i="24"/>
  <c r="EX218" i="24" s="1"/>
  <c r="EC218" i="24"/>
  <c r="ED218" i="24" s="1"/>
  <c r="EH218" i="24"/>
  <c r="FL278" i="24"/>
  <c r="EH278" i="24"/>
  <c r="EI278" i="24"/>
  <c r="EX278" i="24" s="1"/>
  <c r="EC278" i="24"/>
  <c r="ED278" i="24" s="1"/>
  <c r="FL305" i="24"/>
  <c r="EH305" i="24"/>
  <c r="EI305" i="24"/>
  <c r="EX305" i="24" s="1"/>
  <c r="EC305" i="24"/>
  <c r="ED305" i="24" s="1"/>
  <c r="FL229" i="24"/>
  <c r="EH229" i="24"/>
  <c r="EI229" i="24"/>
  <c r="EX229" i="24" s="1"/>
  <c r="EC229" i="24"/>
  <c r="ED229" i="24" s="1"/>
  <c r="FL222" i="24"/>
  <c r="EH222" i="24"/>
  <c r="EI222" i="24"/>
  <c r="EX222" i="24" s="1"/>
  <c r="EC222" i="24"/>
  <c r="ED222" i="24" s="1"/>
  <c r="FL279" i="24"/>
  <c r="EH279" i="24"/>
  <c r="EC279" i="24"/>
  <c r="ED279" i="24" s="1"/>
  <c r="EI279" i="24"/>
  <c r="EX279" i="24" s="1"/>
  <c r="FL304" i="24"/>
  <c r="EC304" i="24"/>
  <c r="ED304" i="24" s="1"/>
  <c r="EH304" i="24"/>
  <c r="EI304" i="24"/>
  <c r="EX304" i="24" s="1"/>
  <c r="FL225" i="24"/>
  <c r="EH225" i="24"/>
  <c r="EC225" i="24"/>
  <c r="ED225" i="24" s="1"/>
  <c r="EI225" i="24"/>
  <c r="EX225" i="24" s="1"/>
  <c r="FL299" i="24"/>
  <c r="EC299" i="24"/>
  <c r="ED299" i="24" s="1"/>
  <c r="EH299" i="24"/>
  <c r="EI299" i="24"/>
  <c r="EX299" i="24" s="1"/>
  <c r="FL245" i="24"/>
  <c r="EH245" i="24"/>
  <c r="EI245" i="24"/>
  <c r="EX245" i="24" s="1"/>
  <c r="EC245" i="24"/>
  <c r="ED245" i="24" s="1"/>
  <c r="FL308" i="24"/>
  <c r="EH308" i="24"/>
  <c r="EI308" i="24"/>
  <c r="EX308" i="24" s="1"/>
  <c r="EC308" i="24"/>
  <c r="ED308" i="24" s="1"/>
  <c r="FL303" i="24"/>
  <c r="EH303" i="24"/>
  <c r="EI303" i="24"/>
  <c r="EX303" i="24" s="1"/>
  <c r="EC303" i="24"/>
  <c r="ED303" i="24" s="1"/>
  <c r="FL267" i="24"/>
  <c r="EC267" i="24"/>
  <c r="ED267" i="24" s="1"/>
  <c r="EH267" i="24"/>
  <c r="EI267" i="24"/>
  <c r="EX267" i="24" s="1"/>
  <c r="FL297" i="24"/>
  <c r="EH297" i="24"/>
  <c r="EI297" i="24"/>
  <c r="EX297" i="24" s="1"/>
  <c r="EC297" i="24"/>
  <c r="ED297" i="24" s="1"/>
  <c r="FL253" i="24"/>
  <c r="EC253" i="24"/>
  <c r="ED253" i="24" s="1"/>
  <c r="EH253" i="24"/>
  <c r="EI253" i="24"/>
  <c r="EX253" i="24" s="1"/>
  <c r="FL287" i="24"/>
  <c r="EH287" i="24"/>
  <c r="EI287" i="24"/>
  <c r="EX287" i="24" s="1"/>
  <c r="EC287" i="24"/>
  <c r="ED287" i="24" s="1"/>
  <c r="FL264" i="24"/>
  <c r="EI264" i="24"/>
  <c r="EX264" i="24" s="1"/>
  <c r="EH264" i="24"/>
  <c r="EC264" i="24"/>
  <c r="ED264" i="24" s="1"/>
  <c r="FL241" i="24"/>
  <c r="EH241" i="24"/>
  <c r="EI241" i="24"/>
  <c r="EX241" i="24" s="1"/>
  <c r="EC241" i="24"/>
  <c r="ED241" i="24" s="1"/>
  <c r="FL273" i="24"/>
  <c r="EH273" i="24"/>
  <c r="EI273" i="24"/>
  <c r="EX273" i="24" s="1"/>
  <c r="EC273" i="24"/>
  <c r="ED273" i="24" s="1"/>
  <c r="FL259" i="24"/>
  <c r="EI259" i="24"/>
  <c r="EX259" i="24" s="1"/>
  <c r="EC259" i="24"/>
  <c r="ED259" i="24" s="1"/>
  <c r="EH259" i="24"/>
  <c r="FL255" i="24"/>
  <c r="EH255" i="24"/>
  <c r="EC255" i="24"/>
  <c r="ED255" i="24" s="1"/>
  <c r="EI255" i="24"/>
  <c r="EX255" i="24" s="1"/>
  <c r="FL239" i="24"/>
  <c r="EI239" i="24"/>
  <c r="EX239" i="24" s="1"/>
  <c r="EC239" i="24"/>
  <c r="ED239" i="24" s="1"/>
  <c r="EH239" i="24"/>
  <c r="FL270" i="24"/>
  <c r="EI270" i="24"/>
  <c r="EX270" i="24" s="1"/>
  <c r="EH270" i="24"/>
  <c r="EC270" i="24"/>
  <c r="ED270" i="24" s="1"/>
  <c r="FL269" i="24"/>
  <c r="EH269" i="24"/>
  <c r="EC269" i="24"/>
  <c r="ED269" i="24" s="1"/>
  <c r="EI269" i="24"/>
  <c r="EX269" i="24" s="1"/>
  <c r="FL257" i="24"/>
  <c r="EH257" i="24"/>
  <c r="EC257" i="24"/>
  <c r="ED257" i="24" s="1"/>
  <c r="EI257" i="24"/>
  <c r="EX257" i="24" s="1"/>
  <c r="FL295" i="24"/>
  <c r="EH295" i="24"/>
  <c r="EI295" i="24"/>
  <c r="EX295" i="24" s="1"/>
  <c r="EC295" i="24"/>
  <c r="ED295" i="24" s="1"/>
  <c r="FL282" i="24"/>
  <c r="EC282" i="24"/>
  <c r="ED282" i="24" s="1"/>
  <c r="EH282" i="24"/>
  <c r="EI282" i="24"/>
  <c r="EX282" i="24" s="1"/>
  <c r="FL314" i="24"/>
  <c r="EH314" i="24"/>
  <c r="EI314" i="24"/>
  <c r="EX314" i="24" s="1"/>
  <c r="EC314" i="24"/>
  <c r="ED314" i="24" s="1"/>
  <c r="FL298" i="24"/>
  <c r="EI298" i="24"/>
  <c r="EX298" i="24" s="1"/>
  <c r="EH298" i="24"/>
  <c r="EC298" i="24"/>
  <c r="ED298" i="24" s="1"/>
  <c r="FL277" i="24"/>
  <c r="EI277" i="24"/>
  <c r="EX277" i="24" s="1"/>
  <c r="EH277" i="24"/>
  <c r="EC277" i="24"/>
  <c r="ED277" i="24" s="1"/>
  <c r="FL288" i="24"/>
  <c r="EH288" i="24"/>
  <c r="EI288" i="24"/>
  <c r="EX288" i="24" s="1"/>
  <c r="EC288" i="24"/>
  <c r="ED288" i="24" s="1"/>
  <c r="FL293" i="24"/>
  <c r="EH293" i="24"/>
  <c r="EI293" i="24"/>
  <c r="EX293" i="24" s="1"/>
  <c r="EC293" i="24"/>
  <c r="ED293" i="24" s="1"/>
  <c r="FL233" i="24"/>
  <c r="EH233" i="24"/>
  <c r="EI233" i="24"/>
  <c r="EX233" i="24" s="1"/>
  <c r="EC233" i="24"/>
  <c r="ED233" i="24" s="1"/>
  <c r="FL252" i="24"/>
  <c r="EH252" i="24"/>
  <c r="EC252" i="24"/>
  <c r="ED252" i="24" s="1"/>
  <c r="EI252" i="24"/>
  <c r="EX252" i="24" s="1"/>
  <c r="FL306" i="24"/>
  <c r="EC306" i="24"/>
  <c r="ED306" i="24" s="1"/>
  <c r="EH306" i="24"/>
  <c r="EI306" i="24"/>
  <c r="EX306" i="24" s="1"/>
  <c r="FL315" i="24"/>
  <c r="EH315" i="24"/>
  <c r="EI315" i="24"/>
  <c r="EX315" i="24" s="1"/>
  <c r="EC315" i="24"/>
  <c r="ED315" i="24" s="1"/>
  <c r="FL281" i="24"/>
  <c r="EH281" i="24"/>
  <c r="EI281" i="24"/>
  <c r="EX281" i="24" s="1"/>
  <c r="EC281" i="24"/>
  <c r="ED281" i="24" s="1"/>
  <c r="FL296" i="24"/>
  <c r="EI296" i="24"/>
  <c r="EX296" i="24" s="1"/>
  <c r="EC296" i="24"/>
  <c r="ED296" i="24" s="1"/>
  <c r="EH296" i="24"/>
  <c r="FL232" i="24"/>
  <c r="EH232" i="24"/>
  <c r="EI232" i="24"/>
  <c r="EX232" i="24" s="1"/>
  <c r="EC232" i="24"/>
  <c r="ED232" i="24" s="1"/>
  <c r="FL235" i="24"/>
  <c r="EH235" i="24"/>
  <c r="EI235" i="24"/>
  <c r="EX235" i="24" s="1"/>
  <c r="EC235" i="24"/>
  <c r="ED235" i="24" s="1"/>
  <c r="FL246" i="24"/>
  <c r="EH246" i="24"/>
  <c r="EI246" i="24"/>
  <c r="EX246" i="24" s="1"/>
  <c r="EC246" i="24"/>
  <c r="ED246" i="24" s="1"/>
  <c r="FL292" i="24"/>
  <c r="EH292" i="24"/>
  <c r="EI292" i="24"/>
  <c r="EX292" i="24" s="1"/>
  <c r="EC292" i="24"/>
  <c r="ED292" i="24" s="1"/>
  <c r="FL238" i="24"/>
  <c r="EH238" i="24"/>
  <c r="EI238" i="24"/>
  <c r="EX238" i="24" s="1"/>
  <c r="EC238" i="24"/>
  <c r="ED238" i="24" s="1"/>
  <c r="FL276" i="24"/>
  <c r="EH276" i="24"/>
  <c r="EI276" i="24"/>
  <c r="EX276" i="24" s="1"/>
  <c r="EC276" i="24"/>
  <c r="ED276" i="24" s="1"/>
  <c r="FL289" i="24"/>
  <c r="EH289" i="24"/>
  <c r="EI289" i="24"/>
  <c r="EX289" i="24" s="1"/>
  <c r="EC289" i="24"/>
  <c r="ED289" i="24" s="1"/>
  <c r="FL227" i="24"/>
  <c r="EH227" i="24"/>
  <c r="EC227" i="24"/>
  <c r="ED227" i="24" s="1"/>
  <c r="EI227" i="24"/>
  <c r="EX227" i="24" s="1"/>
  <c r="FL251" i="24"/>
  <c r="EH251" i="24"/>
  <c r="EI251" i="24"/>
  <c r="EX251" i="24" s="1"/>
  <c r="EC251" i="24"/>
  <c r="ED251" i="24" s="1"/>
  <c r="FL236" i="24"/>
  <c r="EI236" i="24"/>
  <c r="EX236" i="24" s="1"/>
  <c r="EC236" i="24"/>
  <c r="ED236" i="24" s="1"/>
  <c r="EH236" i="24"/>
  <c r="FL230" i="24"/>
  <c r="EH230" i="24"/>
  <c r="EI230" i="24"/>
  <c r="EX230" i="24" s="1"/>
  <c r="EC230" i="24"/>
  <c r="ED230" i="24" s="1"/>
  <c r="FL309" i="24"/>
  <c r="EH309" i="24"/>
  <c r="EI309" i="24"/>
  <c r="EX309" i="24" s="1"/>
  <c r="EC309" i="24"/>
  <c r="ED309" i="24" s="1"/>
  <c r="FL258" i="24"/>
  <c r="EH258" i="24"/>
  <c r="EI258" i="24"/>
  <c r="EX258" i="24" s="1"/>
  <c r="EC258" i="24"/>
  <c r="ED258" i="24" s="1"/>
  <c r="FL223" i="24"/>
  <c r="EH223" i="24"/>
  <c r="EC223" i="24"/>
  <c r="ED223" i="24" s="1"/>
  <c r="EI223" i="24"/>
  <c r="EX223" i="24" s="1"/>
  <c r="FL249" i="24"/>
  <c r="EH249" i="24"/>
  <c r="EI249" i="24"/>
  <c r="EX249" i="24" s="1"/>
  <c r="EC249" i="24"/>
  <c r="ED249" i="24" s="1"/>
  <c r="EK242" i="24"/>
  <c r="EW242" i="24"/>
  <c r="EV216" i="25"/>
  <c r="FB216" i="25" s="1"/>
  <c r="EI216" i="25"/>
  <c r="EV299" i="25"/>
  <c r="FB299" i="25" s="1"/>
  <c r="EI299" i="25"/>
  <c r="EV252" i="25"/>
  <c r="FB252" i="25" s="1"/>
  <c r="EI252" i="25"/>
  <c r="EI308" i="25"/>
  <c r="EV308" i="25"/>
  <c r="FB308" i="25" s="1"/>
  <c r="EI281" i="25"/>
  <c r="EV281" i="25"/>
  <c r="FB281" i="25" s="1"/>
  <c r="EI274" i="25"/>
  <c r="EV274" i="25"/>
  <c r="FB274" i="25" s="1"/>
  <c r="EI300" i="25"/>
  <c r="EV300" i="25"/>
  <c r="FB300" i="25" s="1"/>
  <c r="EV303" i="25"/>
  <c r="FB303" i="25" s="1"/>
  <c r="EI303" i="25"/>
  <c r="EI296" i="25"/>
  <c r="EV296" i="25"/>
  <c r="FB296" i="25" s="1"/>
  <c r="EV228" i="25"/>
  <c r="FB228" i="25" s="1"/>
  <c r="EI228" i="25"/>
  <c r="EI219" i="25"/>
  <c r="EV219" i="25"/>
  <c r="FB219" i="25" s="1"/>
  <c r="EI315" i="25"/>
  <c r="EV315" i="25"/>
  <c r="FB315" i="25" s="1"/>
  <c r="EI291" i="25"/>
  <c r="EV291" i="25"/>
  <c r="FB291" i="25" s="1"/>
  <c r="EI292" i="25"/>
  <c r="EV292" i="25"/>
  <c r="FB292" i="25" s="1"/>
  <c r="EI283" i="25"/>
  <c r="EV283" i="25"/>
  <c r="FB283" i="25" s="1"/>
  <c r="EI279" i="25"/>
  <c r="EV279" i="25"/>
  <c r="FB279" i="25" s="1"/>
  <c r="EV298" i="25"/>
  <c r="FB298" i="25" s="1"/>
  <c r="EI298" i="25"/>
  <c r="EI251" i="25"/>
  <c r="EV251" i="25"/>
  <c r="FB251" i="25" s="1"/>
  <c r="EI259" i="25"/>
  <c r="EV259" i="25"/>
  <c r="FB259" i="25" s="1"/>
  <c r="EV266" i="25"/>
  <c r="FB266" i="25" s="1"/>
  <c r="EI266" i="25"/>
  <c r="EI242" i="25"/>
  <c r="EV242" i="25"/>
  <c r="FB242" i="25" s="1"/>
  <c r="EV290" i="25"/>
  <c r="FB290" i="25" s="1"/>
  <c r="EI290" i="25"/>
  <c r="EI301" i="25"/>
  <c r="EV301" i="25"/>
  <c r="FB301" i="25" s="1"/>
  <c r="EV295" i="25"/>
  <c r="FB295" i="25" s="1"/>
  <c r="EI295" i="25"/>
  <c r="EI218" i="25"/>
  <c r="EV218" i="25"/>
  <c r="FB218" i="25" s="1"/>
  <c r="EI286" i="25"/>
  <c r="EV286" i="25"/>
  <c r="FB286" i="25" s="1"/>
  <c r="EI227" i="25"/>
  <c r="EV227" i="25"/>
  <c r="FB227" i="25" s="1"/>
  <c r="EI258" i="25"/>
  <c r="EV258" i="25"/>
  <c r="FB258" i="25" s="1"/>
  <c r="EI253" i="25"/>
  <c r="EV253" i="25"/>
  <c r="FB253" i="25" s="1"/>
  <c r="EV282" i="25"/>
  <c r="FB282" i="25" s="1"/>
  <c r="EI282" i="25"/>
  <c r="EI278" i="25"/>
  <c r="EV278" i="25"/>
  <c r="FB278" i="25" s="1"/>
  <c r="EV223" i="25"/>
  <c r="FB223" i="25" s="1"/>
  <c r="EI223" i="25"/>
  <c r="EV239" i="25"/>
  <c r="FB239" i="25" s="1"/>
  <c r="EI239" i="25"/>
  <c r="EI275" i="25"/>
  <c r="EV275" i="25"/>
  <c r="FB275" i="25" s="1"/>
  <c r="EI294" i="25"/>
  <c r="EV294" i="25"/>
  <c r="FB294" i="25" s="1"/>
  <c r="EI225" i="25"/>
  <c r="EV225" i="25"/>
  <c r="FB225" i="25" s="1"/>
  <c r="EV316" i="25"/>
  <c r="FB316" i="25" s="1"/>
  <c r="EI316" i="25"/>
  <c r="EI243" i="25"/>
  <c r="EV243" i="25"/>
  <c r="FB243" i="25" s="1"/>
  <c r="EV268" i="25"/>
  <c r="FB268" i="25" s="1"/>
  <c r="EI268" i="25"/>
  <c r="EV249" i="25"/>
  <c r="FB249" i="25" s="1"/>
  <c r="EI249" i="25"/>
  <c r="EV270" i="25"/>
  <c r="FB270" i="25" s="1"/>
  <c r="EI270" i="25"/>
  <c r="EI302" i="25"/>
  <c r="EV302" i="25"/>
  <c r="FB302" i="25" s="1"/>
  <c r="EI307" i="25"/>
  <c r="EV307" i="25"/>
  <c r="FB307" i="25" s="1"/>
  <c r="EI312" i="25"/>
  <c r="EV312" i="25"/>
  <c r="FB312" i="25" s="1"/>
  <c r="EI237" i="25"/>
  <c r="EV237" i="25"/>
  <c r="FB237" i="25" s="1"/>
  <c r="EV244" i="25"/>
  <c r="FB244" i="25" s="1"/>
  <c r="EI244" i="25"/>
  <c r="EI250" i="25"/>
  <c r="EV250" i="25"/>
  <c r="FB250" i="25" s="1"/>
  <c r="EI293" i="25"/>
  <c r="EV293" i="25"/>
  <c r="FB293" i="25" s="1"/>
  <c r="EV267" i="25"/>
  <c r="FB267" i="25" s="1"/>
  <c r="EI267" i="25"/>
  <c r="EI261" i="25"/>
  <c r="EV261" i="25"/>
  <c r="FB261" i="25" s="1"/>
  <c r="EV313" i="25"/>
  <c r="FB313" i="25" s="1"/>
  <c r="EI313" i="25"/>
  <c r="EI232" i="25"/>
  <c r="EV232" i="25"/>
  <c r="FB232" i="25" s="1"/>
  <c r="EV263" i="25"/>
  <c r="FB263" i="25" s="1"/>
  <c r="EI263" i="25"/>
  <c r="EV305" i="25"/>
  <c r="FB305" i="25" s="1"/>
  <c r="EI305" i="25"/>
  <c r="EI231" i="25"/>
  <c r="EV231" i="25"/>
  <c r="FB231" i="25" s="1"/>
  <c r="EV246" i="25"/>
  <c r="FB246" i="25" s="1"/>
  <c r="EI246" i="25"/>
  <c r="EV230" i="25"/>
  <c r="FB230" i="25" s="1"/>
  <c r="EI230" i="25"/>
  <c r="EI262" i="25"/>
  <c r="EV262" i="25"/>
  <c r="FB262" i="25" s="1"/>
  <c r="EI285" i="25"/>
  <c r="EV285" i="25"/>
  <c r="FB285" i="25" s="1"/>
  <c r="EI310" i="25"/>
  <c r="EV310" i="25"/>
  <c r="FB310" i="25" s="1"/>
  <c r="EI280" i="25"/>
  <c r="EV280" i="25"/>
  <c r="FB280" i="25" s="1"/>
  <c r="EI289" i="25"/>
  <c r="EV289" i="25"/>
  <c r="FB289" i="25" s="1"/>
  <c r="EV271" i="25"/>
  <c r="FB271" i="25" s="1"/>
  <c r="EI271" i="25"/>
  <c r="EI222" i="25"/>
  <c r="EV222" i="25"/>
  <c r="FB222" i="25" s="1"/>
  <c r="EI240" i="25"/>
  <c r="EV240" i="25"/>
  <c r="FB240" i="25" s="1"/>
  <c r="EI229" i="25"/>
  <c r="EV229" i="25"/>
  <c r="FB229" i="25" s="1"/>
  <c r="EI241" i="25"/>
  <c r="EV241" i="25"/>
  <c r="FB241" i="25" s="1"/>
  <c r="EI226" i="25"/>
  <c r="EV226" i="25"/>
  <c r="FB226" i="25" s="1"/>
  <c r="EI304" i="25"/>
  <c r="EV304" i="25"/>
  <c r="FB304" i="25" s="1"/>
  <c r="EI272" i="25"/>
  <c r="EV272" i="25"/>
  <c r="FB272" i="25" s="1"/>
  <c r="EI288" i="25"/>
  <c r="EV288" i="25"/>
  <c r="FB288" i="25" s="1"/>
  <c r="EV264" i="25"/>
  <c r="FB264" i="25" s="1"/>
  <c r="EI264" i="25"/>
  <c r="EV306" i="25"/>
  <c r="FB306" i="25" s="1"/>
  <c r="EI306" i="25"/>
  <c r="EI255" i="25"/>
  <c r="EV255" i="25"/>
  <c r="FB255" i="25" s="1"/>
  <c r="EV314" i="25"/>
  <c r="FB314" i="25" s="1"/>
  <c r="EI314" i="25"/>
  <c r="EI224" i="25"/>
  <c r="EV224" i="25"/>
  <c r="FB224" i="25" s="1"/>
  <c r="EV221" i="25"/>
  <c r="FB221" i="25" s="1"/>
  <c r="EI221" i="25"/>
  <c r="EV311" i="25"/>
  <c r="FB311" i="25" s="1"/>
  <c r="EI311" i="25"/>
  <c r="EV257" i="25"/>
  <c r="FB257" i="25" s="1"/>
  <c r="EI257" i="25"/>
  <c r="EV287" i="25"/>
  <c r="FB287" i="25" s="1"/>
  <c r="EI287" i="25"/>
  <c r="EI297" i="25"/>
  <c r="EV297" i="25"/>
  <c r="FB297" i="25" s="1"/>
  <c r="EV284" i="25"/>
  <c r="FB284" i="25" s="1"/>
  <c r="EI284" i="25"/>
  <c r="EV238" i="25"/>
  <c r="FB238" i="25" s="1"/>
  <c r="EI238" i="25"/>
  <c r="EV236" i="25"/>
  <c r="FB236" i="25" s="1"/>
  <c r="EI236" i="25"/>
  <c r="EV260" i="25"/>
  <c r="FB260" i="25" s="1"/>
  <c r="EI260" i="25"/>
  <c r="EV273" i="25"/>
  <c r="FB273" i="25" s="1"/>
  <c r="EI273" i="25"/>
  <c r="EI248" i="25"/>
  <c r="EV248" i="25"/>
  <c r="FB248" i="25" s="1"/>
  <c r="EV245" i="25"/>
  <c r="FB245" i="25" s="1"/>
  <c r="EI245" i="25"/>
  <c r="EI309" i="25"/>
  <c r="EV309" i="25"/>
  <c r="FB309" i="25" s="1"/>
  <c r="EV269" i="25"/>
  <c r="FB269" i="25" s="1"/>
  <c r="EI269" i="25"/>
  <c r="EV220" i="25"/>
  <c r="FB220" i="25" s="1"/>
  <c r="EI220" i="25"/>
  <c r="EV234" i="25"/>
  <c r="FB234" i="25" s="1"/>
  <c r="EI234" i="25"/>
  <c r="EV256" i="25"/>
  <c r="FB256" i="25" s="1"/>
  <c r="EI256" i="25"/>
  <c r="EV277" i="25"/>
  <c r="FB277" i="25" s="1"/>
  <c r="EI277" i="25"/>
  <c r="EI247" i="25"/>
  <c r="EV247" i="25"/>
  <c r="FB247" i="25" s="1"/>
  <c r="EV233" i="25"/>
  <c r="FB233" i="25" s="1"/>
  <c r="EI233" i="25"/>
  <c r="EV276" i="25"/>
  <c r="FB276" i="25" s="1"/>
  <c r="EI276" i="25"/>
  <c r="EV265" i="25"/>
  <c r="FB265" i="25" s="1"/>
  <c r="EI265" i="25"/>
  <c r="EV254" i="25"/>
  <c r="FB254" i="25" s="1"/>
  <c r="EI254" i="25"/>
  <c r="EI217" i="25"/>
  <c r="EV217" i="25"/>
  <c r="FB217" i="25" s="1"/>
  <c r="EI235" i="25"/>
  <c r="EV235" i="25"/>
  <c r="FB235" i="25" s="1"/>
  <c r="CG78" i="24"/>
  <c r="EC74" i="24"/>
  <c r="ED74" i="24" s="1"/>
  <c r="EI112" i="25"/>
  <c r="EV112" i="25"/>
  <c r="FB112" i="25" s="1"/>
  <c r="EI103" i="25"/>
  <c r="EO103" i="25" s="1"/>
  <c r="EP103" i="25" s="1"/>
  <c r="EH74" i="24"/>
  <c r="EW74" i="24" s="1"/>
  <c r="BK110" i="24"/>
  <c r="EI74" i="24"/>
  <c r="EX74" i="24" s="1"/>
  <c r="EI64" i="25"/>
  <c r="EO64" i="25" s="1"/>
  <c r="EP64" i="25" s="1"/>
  <c r="CG89" i="24"/>
  <c r="FL89" i="24"/>
  <c r="CG149" i="24"/>
  <c r="FL149" i="24"/>
  <c r="CG120" i="24"/>
  <c r="FL120" i="24"/>
  <c r="CG93" i="24"/>
  <c r="FL93" i="24"/>
  <c r="CG135" i="24"/>
  <c r="FL135" i="24"/>
  <c r="CG193" i="24"/>
  <c r="FL193" i="24"/>
  <c r="CG38" i="24"/>
  <c r="FL38" i="24"/>
  <c r="CG171" i="24"/>
  <c r="FL171" i="24"/>
  <c r="CG207" i="24"/>
  <c r="FL207" i="24"/>
  <c r="CG173" i="24"/>
  <c r="FL173" i="24"/>
  <c r="CG27" i="24"/>
  <c r="FL27" i="24"/>
  <c r="CG167" i="24"/>
  <c r="FL167" i="24"/>
  <c r="CG22" i="24"/>
  <c r="FL22" i="24"/>
  <c r="CG197" i="24"/>
  <c r="FL197" i="24"/>
  <c r="CG41" i="24"/>
  <c r="FL41" i="24"/>
  <c r="CG26" i="24"/>
  <c r="FL26" i="24"/>
  <c r="CG128" i="24"/>
  <c r="FL128" i="24"/>
  <c r="EC23" i="24"/>
  <c r="ED23" i="24" s="1"/>
  <c r="FL23" i="24"/>
  <c r="CG13" i="24"/>
  <c r="FL13" i="24"/>
  <c r="CG132" i="24"/>
  <c r="FL132" i="24"/>
  <c r="CG160" i="24"/>
  <c r="FL160" i="24"/>
  <c r="CG186" i="24"/>
  <c r="FL186" i="24"/>
  <c r="CG52" i="24"/>
  <c r="FL52" i="24"/>
  <c r="CG144" i="24"/>
  <c r="FL144" i="24"/>
  <c r="CG208" i="24"/>
  <c r="FL208" i="24"/>
  <c r="CG145" i="24"/>
  <c r="FL145" i="24"/>
  <c r="CG53" i="24"/>
  <c r="FL53" i="24"/>
  <c r="CG168" i="24"/>
  <c r="FL168" i="24"/>
  <c r="CG87" i="24"/>
  <c r="FL87" i="24"/>
  <c r="CG100" i="24"/>
  <c r="FL100" i="24"/>
  <c r="CG15" i="24"/>
  <c r="FL15" i="24"/>
  <c r="CG16" i="24"/>
  <c r="FL16" i="24"/>
  <c r="CG148" i="24"/>
  <c r="FL148" i="24"/>
  <c r="CG51" i="24"/>
  <c r="FL51" i="24"/>
  <c r="CG182" i="24"/>
  <c r="FL182" i="24"/>
  <c r="CG174" i="24"/>
  <c r="FL174" i="24"/>
  <c r="CG152" i="24"/>
  <c r="FL152" i="24"/>
  <c r="CG147" i="24"/>
  <c r="FL147" i="24"/>
  <c r="EH67" i="24"/>
  <c r="EW67" i="24" s="1"/>
  <c r="FL67" i="24"/>
  <c r="EZ47" i="25"/>
  <c r="FB47" i="25" s="1"/>
  <c r="CG37" i="24"/>
  <c r="FL37" i="24"/>
  <c r="CG60" i="24"/>
  <c r="FL60" i="24"/>
  <c r="CG191" i="24"/>
  <c r="FL191" i="24"/>
  <c r="CG118" i="24"/>
  <c r="FL118" i="24"/>
  <c r="CG18" i="24"/>
  <c r="FL18" i="24"/>
  <c r="CG61" i="24"/>
  <c r="FL61" i="24"/>
  <c r="CG21" i="24"/>
  <c r="FL21" i="24"/>
  <c r="CG7" i="24"/>
  <c r="FL7" i="24"/>
  <c r="CG36" i="24"/>
  <c r="FL36" i="24"/>
  <c r="CG42" i="24"/>
  <c r="FL42" i="24"/>
  <c r="CG117" i="24"/>
  <c r="FL117" i="24"/>
  <c r="CG158" i="24"/>
  <c r="FL158" i="24"/>
  <c r="CG102" i="24"/>
  <c r="FL102" i="24"/>
  <c r="CG84" i="24"/>
  <c r="FL84" i="24"/>
  <c r="CG179" i="24"/>
  <c r="FL179" i="24"/>
  <c r="CG137" i="24"/>
  <c r="FL137" i="24"/>
  <c r="EI43" i="24"/>
  <c r="EX43" i="24" s="1"/>
  <c r="FL43" i="24"/>
  <c r="EC40" i="24"/>
  <c r="ED40" i="24" s="1"/>
  <c r="FL40" i="24"/>
  <c r="CG124" i="24"/>
  <c r="FL124" i="24"/>
  <c r="CG48" i="24"/>
  <c r="FL48" i="24"/>
  <c r="CG55" i="24"/>
  <c r="FL55" i="24"/>
  <c r="CG94" i="24"/>
  <c r="FL94" i="24"/>
  <c r="CG178" i="24"/>
  <c r="FL178" i="24"/>
  <c r="CG194" i="24"/>
  <c r="FL194" i="24"/>
  <c r="CG121" i="24"/>
  <c r="FL121" i="24"/>
  <c r="CG165" i="24"/>
  <c r="FL165" i="24"/>
  <c r="CG82" i="24"/>
  <c r="FL82" i="24"/>
  <c r="CG164" i="24"/>
  <c r="FL164" i="24"/>
  <c r="CG46" i="24"/>
  <c r="FL46" i="24"/>
  <c r="CG140" i="24"/>
  <c r="FL140" i="24"/>
  <c r="CG205" i="24"/>
  <c r="FL205" i="24"/>
  <c r="CG47" i="24"/>
  <c r="FL47" i="24"/>
  <c r="CG157" i="24"/>
  <c r="FL157" i="24"/>
  <c r="CG103" i="24"/>
  <c r="FL103" i="24"/>
  <c r="CG188" i="24"/>
  <c r="FL188" i="24"/>
  <c r="CG151" i="24"/>
  <c r="FL151" i="24"/>
  <c r="CG156" i="24"/>
  <c r="FL156" i="24"/>
  <c r="CG73" i="24"/>
  <c r="FL73" i="24"/>
  <c r="CG20" i="24"/>
  <c r="FL20" i="24"/>
  <c r="CG85" i="24"/>
  <c r="FL85" i="24"/>
  <c r="CG19" i="24"/>
  <c r="FL19" i="24"/>
  <c r="CG95" i="24"/>
  <c r="FL95" i="24"/>
  <c r="CG123" i="24"/>
  <c r="FL123" i="24"/>
  <c r="CG6" i="24"/>
  <c r="FL6" i="24"/>
  <c r="EH77" i="24"/>
  <c r="EW77" i="24" s="1"/>
  <c r="FL77" i="24"/>
  <c r="CG111" i="24"/>
  <c r="FL111" i="24"/>
  <c r="CG133" i="24"/>
  <c r="FL133" i="24"/>
  <c r="CG44" i="24"/>
  <c r="FL44" i="24"/>
  <c r="CG79" i="24"/>
  <c r="FL79" i="24"/>
  <c r="CG203" i="24"/>
  <c r="FL203" i="24"/>
  <c r="CG130" i="24"/>
  <c r="FL130" i="24"/>
  <c r="CG183" i="24"/>
  <c r="FL183" i="24"/>
  <c r="CG57" i="24"/>
  <c r="FL57" i="24"/>
  <c r="CG80" i="24"/>
  <c r="FL80" i="24"/>
  <c r="CG54" i="24"/>
  <c r="FL54" i="24"/>
  <c r="CG97" i="24"/>
  <c r="FL97" i="24"/>
  <c r="CG65" i="24"/>
  <c r="FL65" i="24"/>
  <c r="CG198" i="24"/>
  <c r="FL198" i="24"/>
  <c r="CG187" i="24"/>
  <c r="FL187" i="24"/>
  <c r="CG131" i="24"/>
  <c r="FL131" i="24"/>
  <c r="CG163" i="24"/>
  <c r="FL163" i="24"/>
  <c r="CG129" i="24"/>
  <c r="FL129" i="24"/>
  <c r="CG68" i="24"/>
  <c r="FL68" i="24"/>
  <c r="CG64" i="24"/>
  <c r="FL64" i="24"/>
  <c r="CG34" i="24"/>
  <c r="FL34" i="24"/>
  <c r="CG115" i="24"/>
  <c r="FL115" i="24"/>
  <c r="CG116" i="24"/>
  <c r="FL116" i="24"/>
  <c r="CG138" i="24"/>
  <c r="FL138" i="24"/>
  <c r="CG125" i="24"/>
  <c r="FL125" i="24"/>
  <c r="CG175" i="24"/>
  <c r="FL175" i="24"/>
  <c r="CG200" i="24"/>
  <c r="FL200" i="24"/>
  <c r="CG105" i="24"/>
  <c r="FL105" i="24"/>
  <c r="CG189" i="24"/>
  <c r="FL189" i="24"/>
  <c r="CG9" i="24"/>
  <c r="FL9" i="24"/>
  <c r="CG139" i="24"/>
  <c r="FL139" i="24"/>
  <c r="CG206" i="24"/>
  <c r="FL206" i="24"/>
  <c r="CG161" i="24"/>
  <c r="FL161" i="24"/>
  <c r="CG31" i="24"/>
  <c r="FL31" i="24"/>
  <c r="CG28" i="24"/>
  <c r="FL28" i="24"/>
  <c r="CG10" i="24"/>
  <c r="FL10" i="24"/>
  <c r="EI136" i="24"/>
  <c r="EX136" i="24" s="1"/>
  <c r="FL136" i="24"/>
  <c r="EH142" i="24"/>
  <c r="EW142" i="24" s="1"/>
  <c r="FL142" i="24"/>
  <c r="CG63" i="24"/>
  <c r="FL63" i="24"/>
  <c r="CG90" i="24"/>
  <c r="FL90" i="24"/>
  <c r="CG39" i="24"/>
  <c r="FL39" i="24"/>
  <c r="CG8" i="24"/>
  <c r="FL8" i="24"/>
  <c r="CG210" i="24"/>
  <c r="FL210" i="24"/>
  <c r="CG56" i="24"/>
  <c r="FL56" i="24"/>
  <c r="CG12" i="24"/>
  <c r="FL12" i="24"/>
  <c r="CG25" i="24"/>
  <c r="FL25" i="24"/>
  <c r="CG35" i="24"/>
  <c r="FL35" i="24"/>
  <c r="CG91" i="24"/>
  <c r="FL91" i="24"/>
  <c r="CG119" i="24"/>
  <c r="FL119" i="24"/>
  <c r="CG59" i="24"/>
  <c r="FL59" i="24"/>
  <c r="CG17" i="24"/>
  <c r="FL17" i="24"/>
  <c r="CG101" i="24"/>
  <c r="FL101" i="24"/>
  <c r="CG72" i="24"/>
  <c r="FL72" i="24"/>
  <c r="CG70" i="24"/>
  <c r="FL70" i="24"/>
  <c r="CG204" i="24"/>
  <c r="FL204" i="24"/>
  <c r="CG166" i="24"/>
  <c r="FL166" i="24"/>
  <c r="CG75" i="24"/>
  <c r="FL75" i="24"/>
  <c r="CG162" i="24"/>
  <c r="FL162" i="24"/>
  <c r="CG196" i="24"/>
  <c r="FL196" i="24"/>
  <c r="CG49" i="24"/>
  <c r="FL49" i="24"/>
  <c r="CG86" i="24"/>
  <c r="FL86" i="24"/>
  <c r="CG66" i="24"/>
  <c r="FL66" i="24"/>
  <c r="CG45" i="24"/>
  <c r="FL45" i="24"/>
  <c r="CG181" i="24"/>
  <c r="FL181" i="24"/>
  <c r="CG180" i="24"/>
  <c r="FL180" i="24"/>
  <c r="CG143" i="24"/>
  <c r="FL143" i="24"/>
  <c r="CG88" i="24"/>
  <c r="FL88" i="24"/>
  <c r="CG76" i="24"/>
  <c r="FL76" i="24"/>
  <c r="CG122" i="24"/>
  <c r="FL122" i="24"/>
  <c r="CG202" i="24"/>
  <c r="FL202" i="24"/>
  <c r="CG177" i="24"/>
  <c r="FL177" i="24"/>
  <c r="CG195" i="24"/>
  <c r="FL195" i="24"/>
  <c r="CG146" i="24"/>
  <c r="FL146" i="24"/>
  <c r="CG69" i="24"/>
  <c r="FL69" i="24"/>
  <c r="EH159" i="24"/>
  <c r="EW159" i="24" s="1"/>
  <c r="FL159" i="24"/>
  <c r="EC62" i="24"/>
  <c r="ED62" i="24" s="1"/>
  <c r="FL62" i="24"/>
  <c r="CG170" i="24"/>
  <c r="FL170" i="24"/>
  <c r="CG199" i="24"/>
  <c r="FL199" i="24"/>
  <c r="CG71" i="24"/>
  <c r="FL71" i="24"/>
  <c r="CG126" i="24"/>
  <c r="FL126" i="24"/>
  <c r="EC169" i="24"/>
  <c r="ED169" i="24" s="1"/>
  <c r="FL169" i="24"/>
  <c r="CG153" i="24"/>
  <c r="FL153" i="24"/>
  <c r="CG113" i="24"/>
  <c r="FL113" i="24"/>
  <c r="CG11" i="24"/>
  <c r="FL11" i="24"/>
  <c r="CG185" i="24"/>
  <c r="FL185" i="24"/>
  <c r="CG99" i="24"/>
  <c r="FL99" i="24"/>
  <c r="CG30" i="24"/>
  <c r="FL30" i="24"/>
  <c r="CG154" i="24"/>
  <c r="FL154" i="24"/>
  <c r="CG24" i="24"/>
  <c r="FL24" i="24"/>
  <c r="CG112" i="24"/>
  <c r="FL112" i="24"/>
  <c r="CG150" i="24"/>
  <c r="FL150" i="24"/>
  <c r="CG33" i="24"/>
  <c r="FL33" i="24"/>
  <c r="CG184" i="24"/>
  <c r="FL184" i="24"/>
  <c r="CG176" i="24"/>
  <c r="FL176" i="24"/>
  <c r="CG98" i="24"/>
  <c r="FL98" i="24"/>
  <c r="CG155" i="24"/>
  <c r="FL155" i="24"/>
  <c r="CG58" i="24"/>
  <c r="FL58" i="24"/>
  <c r="CG50" i="24"/>
  <c r="FL50" i="24"/>
  <c r="CG114" i="24"/>
  <c r="FL114" i="24"/>
  <c r="CG209" i="24"/>
  <c r="FL209" i="24"/>
  <c r="CG32" i="24"/>
  <c r="FL32" i="24"/>
  <c r="CG141" i="24"/>
  <c r="FL141" i="24"/>
  <c r="CG201" i="24"/>
  <c r="FL201" i="24"/>
  <c r="EI29" i="24"/>
  <c r="EX29" i="24" s="1"/>
  <c r="FL29" i="24"/>
  <c r="CG192" i="24"/>
  <c r="FL192" i="24"/>
  <c r="CG104" i="24"/>
  <c r="FL104" i="24"/>
  <c r="EI39" i="24"/>
  <c r="EX39" i="24" s="1"/>
  <c r="EH39" i="24"/>
  <c r="EW39" i="24" s="1"/>
  <c r="EC39" i="24"/>
  <c r="ED39" i="24" s="1"/>
  <c r="EI92" i="24"/>
  <c r="EX92" i="24" s="1"/>
  <c r="CG74" i="24"/>
  <c r="EH132" i="24"/>
  <c r="EK132" i="24" s="1"/>
  <c r="EH44" i="24"/>
  <c r="EW44" i="24" s="1"/>
  <c r="EC44" i="24"/>
  <c r="ED44" i="24" s="1"/>
  <c r="EI44" i="24"/>
  <c r="EX44" i="24" s="1"/>
  <c r="EV17" i="25"/>
  <c r="EZ17" i="25" s="1"/>
  <c r="FB17" i="25" s="1"/>
  <c r="EI33" i="25"/>
  <c r="EO33" i="25" s="1"/>
  <c r="EP33" i="25" s="1"/>
  <c r="EI169" i="24"/>
  <c r="EX169" i="24" s="1"/>
  <c r="EH169" i="24"/>
  <c r="CG169" i="24"/>
  <c r="EI132" i="24"/>
  <c r="EX132" i="24" s="1"/>
  <c r="EH160" i="24"/>
  <c r="EK160" i="24" s="1"/>
  <c r="EI160" i="24"/>
  <c r="EX160" i="24" s="1"/>
  <c r="EI127" i="24"/>
  <c r="EX127" i="24" s="1"/>
  <c r="EC160" i="24"/>
  <c r="ED160" i="24" s="1"/>
  <c r="EC132" i="24"/>
  <c r="ED132" i="24" s="1"/>
  <c r="EV164" i="25"/>
  <c r="FB164" i="25" s="1"/>
  <c r="EC52" i="24"/>
  <c r="ED52" i="24" s="1"/>
  <c r="EI52" i="24"/>
  <c r="EX52" i="24" s="1"/>
  <c r="EH52" i="24"/>
  <c r="EW52" i="24" s="1"/>
  <c r="EI133" i="24"/>
  <c r="EX133" i="24" s="1"/>
  <c r="EC133" i="24"/>
  <c r="ED133" i="24" s="1"/>
  <c r="EH133" i="24"/>
  <c r="EW133" i="24" s="1"/>
  <c r="EC104" i="24"/>
  <c r="ED104" i="24" s="1"/>
  <c r="EC37" i="24"/>
  <c r="ED37" i="24" s="1"/>
  <c r="EZ103" i="25"/>
  <c r="FB103" i="25" s="1"/>
  <c r="EC127" i="24"/>
  <c r="ED127" i="24" s="1"/>
  <c r="EI58" i="25"/>
  <c r="EO58" i="25" s="1"/>
  <c r="EP58" i="25" s="1"/>
  <c r="EH152" i="24"/>
  <c r="EK152" i="24" s="1"/>
  <c r="EZ64" i="25"/>
  <c r="FB64" i="25" s="1"/>
  <c r="EI77" i="25"/>
  <c r="EO77" i="25" s="1"/>
  <c r="EP77" i="25" s="1"/>
  <c r="EH127" i="24"/>
  <c r="EK127" i="24" s="1"/>
  <c r="CG127" i="24"/>
  <c r="EI55" i="24"/>
  <c r="EX55" i="24" s="1"/>
  <c r="EH83" i="24"/>
  <c r="EK83" i="24" s="1"/>
  <c r="EQ83" i="24" s="1"/>
  <c r="EZ89" i="25"/>
  <c r="FB89" i="25" s="1"/>
  <c r="EH48" i="24"/>
  <c r="EK48" i="24" s="1"/>
  <c r="EQ48" i="24" s="1"/>
  <c r="EZ96" i="25"/>
  <c r="FB96" i="25" s="1"/>
  <c r="EH37" i="24"/>
  <c r="EK37" i="24" s="1"/>
  <c r="EQ37" i="24" s="1"/>
  <c r="EI37" i="24"/>
  <c r="EX37" i="24" s="1"/>
  <c r="EV90" i="25"/>
  <c r="EZ90" i="25" s="1"/>
  <c r="FB90" i="25" s="1"/>
  <c r="EI172" i="24"/>
  <c r="EX172" i="24" s="1"/>
  <c r="EI96" i="25"/>
  <c r="EO96" i="25" s="1"/>
  <c r="EI183" i="25"/>
  <c r="EP183" i="25" s="1"/>
  <c r="EH29" i="24"/>
  <c r="EK29" i="24" s="1"/>
  <c r="EQ29" i="24" s="1"/>
  <c r="EI201" i="24"/>
  <c r="EX201" i="24" s="1"/>
  <c r="EI128" i="25"/>
  <c r="EP128" i="25" s="1"/>
  <c r="EV145" i="25"/>
  <c r="FB145" i="25" s="1"/>
  <c r="EH126" i="24"/>
  <c r="EK126" i="24" s="1"/>
  <c r="FB183" i="25"/>
  <c r="EI99" i="25"/>
  <c r="EO99" i="25" s="1"/>
  <c r="EP99" i="25" s="1"/>
  <c r="EI126" i="24"/>
  <c r="EX126" i="24" s="1"/>
  <c r="EC126" i="24"/>
  <c r="ED126" i="24" s="1"/>
  <c r="FB128" i="25"/>
  <c r="EH63" i="24"/>
  <c r="EW63" i="24" s="1"/>
  <c r="EV185" i="25"/>
  <c r="FB185" i="25" s="1"/>
  <c r="EC111" i="24"/>
  <c r="ED111" i="24" s="1"/>
  <c r="EC63" i="24"/>
  <c r="ED63" i="24" s="1"/>
  <c r="EH30" i="24"/>
  <c r="EK30" i="24" s="1"/>
  <c r="EQ30" i="24" s="1"/>
  <c r="EI63" i="24"/>
  <c r="EX63" i="24" s="1"/>
  <c r="EI30" i="24"/>
  <c r="EX30" i="24" s="1"/>
  <c r="EC30" i="24"/>
  <c r="ED30" i="24" s="1"/>
  <c r="EI83" i="24"/>
  <c r="EX83" i="24" s="1"/>
  <c r="EH111" i="24"/>
  <c r="EW111" i="24" s="1"/>
  <c r="EI111" i="24"/>
  <c r="EX111" i="24" s="1"/>
  <c r="EI47" i="25"/>
  <c r="EO47" i="25" s="1"/>
  <c r="EI37" i="25"/>
  <c r="EO37" i="25" s="1"/>
  <c r="EP37" i="25" s="1"/>
  <c r="EZ33" i="25"/>
  <c r="FB33" i="25" s="1"/>
  <c r="EZ95" i="25"/>
  <c r="FB95" i="25" s="1"/>
  <c r="EZ97" i="25"/>
  <c r="FB97" i="25" s="1"/>
  <c r="FB158" i="25"/>
  <c r="EI81" i="24"/>
  <c r="EX81" i="24" s="1"/>
  <c r="EH71" i="24"/>
  <c r="EK71" i="24" s="1"/>
  <c r="EQ71" i="24" s="1"/>
  <c r="EI95" i="25"/>
  <c r="EO95" i="25" s="1"/>
  <c r="EI74" i="25"/>
  <c r="EO74" i="25" s="1"/>
  <c r="EP74" i="25" s="1"/>
  <c r="EI97" i="25"/>
  <c r="EO97" i="25" s="1"/>
  <c r="EP97" i="25" s="1"/>
  <c r="EI158" i="25"/>
  <c r="FC158" i="25" s="1"/>
  <c r="FE158" i="25" s="1"/>
  <c r="FF158" i="25" s="1"/>
  <c r="EI93" i="25"/>
  <c r="EO93" i="25" s="1"/>
  <c r="EP93" i="25" s="1"/>
  <c r="FB131" i="25"/>
  <c r="EI131" i="25"/>
  <c r="EP131" i="25" s="1"/>
  <c r="EZ99" i="25"/>
  <c r="FB99" i="25" s="1"/>
  <c r="FC182" i="25"/>
  <c r="FE182" i="25" s="1"/>
  <c r="FF182" i="25" s="1"/>
  <c r="EC172" i="24"/>
  <c r="ED172" i="24" s="1"/>
  <c r="CG172" i="24"/>
  <c r="EZ58" i="25"/>
  <c r="FB58" i="25" s="1"/>
  <c r="EH172" i="24"/>
  <c r="EW172" i="24" s="1"/>
  <c r="EI71" i="24"/>
  <c r="EX71" i="24" s="1"/>
  <c r="EZ74" i="25"/>
  <c r="FB74" i="25" s="1"/>
  <c r="EC71" i="24"/>
  <c r="ED71" i="24" s="1"/>
  <c r="EZ93" i="25"/>
  <c r="FB93" i="25" s="1"/>
  <c r="EI173" i="25"/>
  <c r="EP173" i="25" s="1"/>
  <c r="EI137" i="25"/>
  <c r="FC137" i="25" s="1"/>
  <c r="FE137" i="25" s="1"/>
  <c r="FF137" i="25" s="1"/>
  <c r="EV42" i="25"/>
  <c r="EZ42" i="25" s="1"/>
  <c r="FB42" i="25" s="1"/>
  <c r="EI192" i="24"/>
  <c r="EX192" i="24" s="1"/>
  <c r="CG275" i="24"/>
  <c r="CG265" i="24"/>
  <c r="I216" i="24"/>
  <c r="EC192" i="24"/>
  <c r="ED192" i="24" s="1"/>
  <c r="CG240" i="24"/>
  <c r="CG14" i="24"/>
  <c r="CG29" i="24"/>
  <c r="CG252" i="24"/>
  <c r="EI104" i="24"/>
  <c r="EX104" i="24" s="1"/>
  <c r="EH192" i="24"/>
  <c r="EW192" i="24" s="1"/>
  <c r="EV56" i="25"/>
  <c r="EZ56" i="25" s="1"/>
  <c r="FB56" i="25" s="1"/>
  <c r="CG277" i="24"/>
  <c r="CG239" i="24"/>
  <c r="CG293" i="24"/>
  <c r="CG278" i="24"/>
  <c r="CG249" i="24"/>
  <c r="EH104" i="24"/>
  <c r="EK104" i="24" s="1"/>
  <c r="EQ104" i="24" s="1"/>
  <c r="CG297" i="24"/>
  <c r="EZ73" i="25"/>
  <c r="FB73" i="25" s="1"/>
  <c r="EH90" i="24"/>
  <c r="EC90" i="24"/>
  <c r="ED90" i="24" s="1"/>
  <c r="EI90" i="24"/>
  <c r="EX90" i="24" s="1"/>
  <c r="CG251" i="24"/>
  <c r="CG290" i="24"/>
  <c r="CG232" i="24"/>
  <c r="CG222" i="24"/>
  <c r="CG272" i="24"/>
  <c r="CG40" i="24"/>
  <c r="CG62" i="24"/>
  <c r="CG254" i="24"/>
  <c r="CG260" i="24"/>
  <c r="CG219" i="24"/>
  <c r="CG269" i="24"/>
  <c r="CG231" i="24"/>
  <c r="CG223" i="24"/>
  <c r="CG314" i="24"/>
  <c r="CG83" i="24"/>
  <c r="CG264" i="24"/>
  <c r="CG292" i="24"/>
  <c r="CG263" i="24"/>
  <c r="CG281" i="24"/>
  <c r="CG77" i="24"/>
  <c r="CG273" i="24"/>
  <c r="CG271" i="24"/>
  <c r="CG230" i="24"/>
  <c r="CG258" i="24"/>
  <c r="CG234" i="24"/>
  <c r="CG298" i="24"/>
  <c r="CG283" i="24"/>
  <c r="CG142" i="24"/>
  <c r="CG227" i="24"/>
  <c r="CG228" i="24"/>
  <c r="CG287" i="24"/>
  <c r="CG279" i="24"/>
  <c r="CG303" i="24"/>
  <c r="CG315" i="24"/>
  <c r="CG246" i="24"/>
  <c r="CG244" i="24"/>
  <c r="CG304" i="24"/>
  <c r="CG256" i="24"/>
  <c r="CG81" i="24"/>
  <c r="CG253" i="24"/>
  <c r="CG312" i="24"/>
  <c r="CG274" i="24"/>
  <c r="CG309" i="24"/>
  <c r="CG276" i="24"/>
  <c r="CG313" i="24"/>
  <c r="CG316" i="24"/>
  <c r="CG302" i="24"/>
  <c r="EI142" i="24"/>
  <c r="EX142" i="24" s="1"/>
  <c r="EC136" i="24"/>
  <c r="ED136" i="24" s="1"/>
  <c r="CG301" i="24"/>
  <c r="CG307" i="24"/>
  <c r="CG218" i="24"/>
  <c r="CG257" i="24"/>
  <c r="CG295" i="24"/>
  <c r="CG268" i="24"/>
  <c r="CG294" i="24"/>
  <c r="CG220" i="24"/>
  <c r="CG308" i="24"/>
  <c r="CG289" i="24"/>
  <c r="CG267" i="24"/>
  <c r="CG224" i="24"/>
  <c r="CG262" i="24"/>
  <c r="CG235" i="24"/>
  <c r="CG259" i="24"/>
  <c r="CG221" i="24"/>
  <c r="EH40" i="24"/>
  <c r="EW40" i="24" s="1"/>
  <c r="EC142" i="24"/>
  <c r="ED142" i="24" s="1"/>
  <c r="EV156" i="25"/>
  <c r="FB156" i="25" s="1"/>
  <c r="CG229" i="24"/>
  <c r="CG136" i="24"/>
  <c r="CG238" i="24"/>
  <c r="CG241" i="24"/>
  <c r="CG261" i="24"/>
  <c r="CG236" i="24"/>
  <c r="CG255" i="24"/>
  <c r="CG226" i="24"/>
  <c r="CG282" i="24"/>
  <c r="CG233" i="24"/>
  <c r="CG280" i="24"/>
  <c r="CG310" i="24"/>
  <c r="CG306" i="24"/>
  <c r="CG300" i="24"/>
  <c r="CG225" i="24"/>
  <c r="CG250" i="24"/>
  <c r="CG43" i="24"/>
  <c r="EH136" i="24"/>
  <c r="EK136" i="24" s="1"/>
  <c r="EI73" i="25"/>
  <c r="EO73" i="25" s="1"/>
  <c r="EP73" i="25" s="1"/>
  <c r="CG134" i="24"/>
  <c r="CG247" i="24"/>
  <c r="CG296" i="24"/>
  <c r="CG311" i="24"/>
  <c r="CG286" i="24"/>
  <c r="CG217" i="24"/>
  <c r="CG237" i="24"/>
  <c r="CG270" i="24"/>
  <c r="CG305" i="24"/>
  <c r="CG291" i="24"/>
  <c r="CG23" i="24"/>
  <c r="CG288" i="24"/>
  <c r="CG248" i="24"/>
  <c r="CG284" i="24"/>
  <c r="CG299" i="24"/>
  <c r="CG159" i="24"/>
  <c r="CG266" i="24"/>
  <c r="CG245" i="24"/>
  <c r="CG67" i="24"/>
  <c r="EZ77" i="25"/>
  <c r="FB77" i="25" s="1"/>
  <c r="EI25" i="25"/>
  <c r="EO25" i="25" s="1"/>
  <c r="EP25" i="25" s="1"/>
  <c r="EZ37" i="25"/>
  <c r="FB37" i="25" s="1"/>
  <c r="EI40" i="24"/>
  <c r="EX40" i="24" s="1"/>
  <c r="EI48" i="24"/>
  <c r="EX48" i="24" s="1"/>
  <c r="EC83" i="24"/>
  <c r="ED83" i="24" s="1"/>
  <c r="EI129" i="25"/>
  <c r="EP129" i="25" s="1"/>
  <c r="EI186" i="24"/>
  <c r="EX186" i="24" s="1"/>
  <c r="EC48" i="24"/>
  <c r="ED48" i="24" s="1"/>
  <c r="EI34" i="25"/>
  <c r="EO34" i="25" s="1"/>
  <c r="EP34" i="25" s="1"/>
  <c r="EC43" i="24"/>
  <c r="ED43" i="24" s="1"/>
  <c r="EH186" i="24"/>
  <c r="EK186" i="24" s="1"/>
  <c r="EH43" i="24"/>
  <c r="EW43" i="24" s="1"/>
  <c r="EC186" i="24"/>
  <c r="ED186" i="24" s="1"/>
  <c r="EI9" i="25"/>
  <c r="EO9" i="25" s="1"/>
  <c r="EP9" i="25" s="1"/>
  <c r="EH170" i="24"/>
  <c r="EW170" i="24" s="1"/>
  <c r="EH99" i="24"/>
  <c r="EW99" i="24" s="1"/>
  <c r="EH55" i="24"/>
  <c r="EW55" i="24" s="1"/>
  <c r="EI170" i="24"/>
  <c r="EX170" i="24" s="1"/>
  <c r="EC55" i="24"/>
  <c r="ED55" i="24" s="1"/>
  <c r="EC170" i="24"/>
  <c r="ED170" i="24" s="1"/>
  <c r="EZ83" i="25"/>
  <c r="FB83" i="25" s="1"/>
  <c r="EH23" i="24"/>
  <c r="EW23" i="24" s="1"/>
  <c r="EH124" i="24"/>
  <c r="EK124" i="24" s="1"/>
  <c r="EI14" i="24"/>
  <c r="EX14" i="24" s="1"/>
  <c r="EC67" i="24"/>
  <c r="ED67" i="24" s="1"/>
  <c r="EI83" i="25"/>
  <c r="EO83" i="25" s="1"/>
  <c r="EP83" i="25" s="1"/>
  <c r="EC99" i="24"/>
  <c r="ED99" i="24" s="1"/>
  <c r="EH14" i="24"/>
  <c r="EW14" i="24" s="1"/>
  <c r="EI67" i="24"/>
  <c r="EX67" i="24" s="1"/>
  <c r="EC124" i="24"/>
  <c r="ED124" i="24" s="1"/>
  <c r="EI99" i="24"/>
  <c r="EX99" i="24" s="1"/>
  <c r="EI23" i="24"/>
  <c r="EX23" i="24" s="1"/>
  <c r="EC14" i="24"/>
  <c r="ED14" i="24" s="1"/>
  <c r="EI124" i="24"/>
  <c r="EX124" i="24" s="1"/>
  <c r="EI81" i="25"/>
  <c r="EO81" i="25" s="1"/>
  <c r="EP81" i="25" s="1"/>
  <c r="EV169" i="25"/>
  <c r="FC169" i="25" s="1"/>
  <c r="FE169" i="25" s="1"/>
  <c r="FF169" i="25" s="1"/>
  <c r="EI199" i="25"/>
  <c r="FC199" i="25" s="1"/>
  <c r="FE199" i="25" s="1"/>
  <c r="FF199" i="25" s="1"/>
  <c r="EI178" i="25"/>
  <c r="EP178" i="25" s="1"/>
  <c r="FB199" i="25"/>
  <c r="EV194" i="25"/>
  <c r="FB194" i="25" s="1"/>
  <c r="EI141" i="25"/>
  <c r="FC141" i="25" s="1"/>
  <c r="FE141" i="25" s="1"/>
  <c r="FF141" i="25" s="1"/>
  <c r="EV171" i="25"/>
  <c r="FB171" i="25" s="1"/>
  <c r="ER5" i="24"/>
  <c r="FC5" i="24"/>
  <c r="FE5" i="24" s="1"/>
  <c r="FF5" i="24" s="1"/>
  <c r="U110" i="24"/>
  <c r="N110" i="24"/>
  <c r="ER110" i="24"/>
  <c r="FC110" i="24"/>
  <c r="FE110" i="24" s="1"/>
  <c r="FF110" i="24" s="1"/>
  <c r="FB178" i="25"/>
  <c r="FB141" i="25"/>
  <c r="FB137" i="25"/>
  <c r="EC159" i="24"/>
  <c r="ED159" i="24" s="1"/>
  <c r="EI159" i="24"/>
  <c r="EX159" i="24" s="1"/>
  <c r="EI152" i="24"/>
  <c r="EX152" i="24" s="1"/>
  <c r="EC81" i="24"/>
  <c r="ED81" i="24" s="1"/>
  <c r="EC29" i="24"/>
  <c r="ED29" i="24" s="1"/>
  <c r="EC152" i="24"/>
  <c r="ED152" i="24" s="1"/>
  <c r="EZ81" i="25"/>
  <c r="FB81" i="25" s="1"/>
  <c r="EC199" i="24"/>
  <c r="ED199" i="24" s="1"/>
  <c r="EH199" i="24"/>
  <c r="EK199" i="24" s="1"/>
  <c r="EH147" i="24"/>
  <c r="EK147" i="24" s="1"/>
  <c r="EH81" i="24"/>
  <c r="EW81" i="24" s="1"/>
  <c r="EI147" i="24"/>
  <c r="EX147" i="24" s="1"/>
  <c r="EI199" i="24"/>
  <c r="EX199" i="24" s="1"/>
  <c r="EC147" i="24"/>
  <c r="ED147" i="24" s="1"/>
  <c r="FB173" i="25"/>
  <c r="FB129" i="25"/>
  <c r="EC201" i="24"/>
  <c r="ED201" i="24" s="1"/>
  <c r="FB180" i="25"/>
  <c r="EH134" i="24"/>
  <c r="EK134" i="24" s="1"/>
  <c r="EI49" i="25"/>
  <c r="EO49" i="25" s="1"/>
  <c r="EP49" i="25" s="1"/>
  <c r="EI180" i="25"/>
  <c r="FC180" i="25" s="1"/>
  <c r="FE180" i="25" s="1"/>
  <c r="FF180" i="25" s="1"/>
  <c r="EI87" i="25"/>
  <c r="EO87" i="25" s="1"/>
  <c r="EP87" i="25" s="1"/>
  <c r="EI77" i="24"/>
  <c r="EX77" i="24" s="1"/>
  <c r="EZ9" i="25"/>
  <c r="FB9" i="25" s="1"/>
  <c r="EC77" i="24"/>
  <c r="ED77" i="24" s="1"/>
  <c r="EH13" i="24"/>
  <c r="EK13" i="24" s="1"/>
  <c r="EQ13" i="24" s="1"/>
  <c r="EC13" i="24"/>
  <c r="ED13" i="24" s="1"/>
  <c r="EI13" i="24"/>
  <c r="EX13" i="24" s="1"/>
  <c r="EZ49" i="25"/>
  <c r="FB49" i="25" s="1"/>
  <c r="EZ23" i="25"/>
  <c r="FB23" i="25" s="1"/>
  <c r="EZ25" i="25"/>
  <c r="FB25" i="25" s="1"/>
  <c r="FB111" i="25"/>
  <c r="EI23" i="25"/>
  <c r="EO23" i="25" s="1"/>
  <c r="EP23" i="25" s="1"/>
  <c r="EI111" i="25"/>
  <c r="EP111" i="25" s="1"/>
  <c r="EZ87" i="25"/>
  <c r="FB87" i="25" s="1"/>
  <c r="EZ34" i="25"/>
  <c r="FB34" i="25" s="1"/>
  <c r="EH201" i="24"/>
  <c r="EK201" i="24" s="1"/>
  <c r="EH62" i="24"/>
  <c r="EW62" i="24" s="1"/>
  <c r="EP185" i="25"/>
  <c r="EV70" i="25"/>
  <c r="EZ70" i="25" s="1"/>
  <c r="FB70" i="25" s="1"/>
  <c r="EI70" i="25"/>
  <c r="EO70" i="25" s="1"/>
  <c r="EV48" i="25"/>
  <c r="EZ48" i="25" s="1"/>
  <c r="FB48" i="25" s="1"/>
  <c r="EI48" i="25"/>
  <c r="EO48" i="25" s="1"/>
  <c r="EV200" i="25"/>
  <c r="FB200" i="25" s="1"/>
  <c r="EI200" i="25"/>
  <c r="EV53" i="25"/>
  <c r="EZ53" i="25" s="1"/>
  <c r="FB53" i="25" s="1"/>
  <c r="EI53" i="25"/>
  <c r="EO53" i="25" s="1"/>
  <c r="EV204" i="25"/>
  <c r="FB204" i="25" s="1"/>
  <c r="EI204" i="25"/>
  <c r="EV22" i="25"/>
  <c r="EZ22" i="25" s="1"/>
  <c r="FB22" i="25" s="1"/>
  <c r="EI22" i="25"/>
  <c r="EO22" i="25" s="1"/>
  <c r="EV157" i="25"/>
  <c r="FB157" i="25" s="1"/>
  <c r="EI157" i="25"/>
  <c r="EV165" i="25"/>
  <c r="FB165" i="25" s="1"/>
  <c r="EI165" i="25"/>
  <c r="EV190" i="25"/>
  <c r="FB190" i="25" s="1"/>
  <c r="EI190" i="25"/>
  <c r="EV142" i="25"/>
  <c r="FB142" i="25" s="1"/>
  <c r="EI142" i="25"/>
  <c r="EV116" i="25"/>
  <c r="FB116" i="25" s="1"/>
  <c r="EI116" i="25"/>
  <c r="EV14" i="25"/>
  <c r="EZ14" i="25" s="1"/>
  <c r="FB14" i="25" s="1"/>
  <c r="EI14" i="25"/>
  <c r="EO14" i="25" s="1"/>
  <c r="EV28" i="25"/>
  <c r="EZ28" i="25" s="1"/>
  <c r="FB28" i="25" s="1"/>
  <c r="EI28" i="25"/>
  <c r="EO28" i="25" s="1"/>
  <c r="EV79" i="25"/>
  <c r="EZ79" i="25" s="1"/>
  <c r="FB79" i="25" s="1"/>
  <c r="EI79" i="25"/>
  <c r="EO79" i="25" s="1"/>
  <c r="EP156" i="25"/>
  <c r="EV159" i="25"/>
  <c r="FB159" i="25" s="1"/>
  <c r="EI159" i="25"/>
  <c r="EV149" i="25"/>
  <c r="FB149" i="25" s="1"/>
  <c r="EI149" i="25"/>
  <c r="EV12" i="25"/>
  <c r="EZ12" i="25" s="1"/>
  <c r="FB12" i="25" s="1"/>
  <c r="EI12" i="25"/>
  <c r="EO12" i="25" s="1"/>
  <c r="EV146" i="25"/>
  <c r="FB146" i="25" s="1"/>
  <c r="EI146" i="25"/>
  <c r="EI62" i="24"/>
  <c r="EX62" i="24" s="1"/>
  <c r="EV65" i="25"/>
  <c r="EZ65" i="25" s="1"/>
  <c r="FB65" i="25" s="1"/>
  <c r="EI65" i="25"/>
  <c r="EO65" i="25" s="1"/>
  <c r="EV139" i="25"/>
  <c r="FB139" i="25" s="1"/>
  <c r="EI139" i="25"/>
  <c r="EV201" i="25"/>
  <c r="FB201" i="25" s="1"/>
  <c r="EI201" i="25"/>
  <c r="EV153" i="25"/>
  <c r="FB153" i="25" s="1"/>
  <c r="EI153" i="25"/>
  <c r="EV122" i="25"/>
  <c r="FB122" i="25" s="1"/>
  <c r="EI122" i="25"/>
  <c r="EV206" i="25"/>
  <c r="FB206" i="25" s="1"/>
  <c r="EI206" i="25"/>
  <c r="EV114" i="25"/>
  <c r="FB114" i="25" s="1"/>
  <c r="EI114" i="25"/>
  <c r="EV92" i="25"/>
  <c r="EZ92" i="25" s="1"/>
  <c r="FB92" i="25" s="1"/>
  <c r="EI92" i="25"/>
  <c r="EO92" i="25" s="1"/>
  <c r="EV29" i="25"/>
  <c r="EZ29" i="25" s="1"/>
  <c r="FB29" i="25" s="1"/>
  <c r="EI29" i="25"/>
  <c r="EO29" i="25" s="1"/>
  <c r="EV7" i="25"/>
  <c r="EZ7" i="25" s="1"/>
  <c r="FB7" i="25" s="1"/>
  <c r="EI7" i="25"/>
  <c r="EO7" i="25" s="1"/>
  <c r="EV15" i="25"/>
  <c r="EZ15" i="25" s="1"/>
  <c r="FB15" i="25" s="1"/>
  <c r="EI15" i="25"/>
  <c r="EO15" i="25" s="1"/>
  <c r="EP169" i="25"/>
  <c r="EV133" i="25"/>
  <c r="FB133" i="25" s="1"/>
  <c r="EI133" i="25"/>
  <c r="EV11" i="25"/>
  <c r="EZ11" i="25" s="1"/>
  <c r="FB11" i="25" s="1"/>
  <c r="EI11" i="25"/>
  <c r="EO11" i="25" s="1"/>
  <c r="EV186" i="25"/>
  <c r="FB186" i="25" s="1"/>
  <c r="EI186" i="25"/>
  <c r="EP145" i="25"/>
  <c r="FC181" i="25"/>
  <c r="FE181" i="25" s="1"/>
  <c r="FF181" i="25" s="1"/>
  <c r="EP181" i="25"/>
  <c r="EV123" i="25"/>
  <c r="FB123" i="25" s="1"/>
  <c r="EI123" i="25"/>
  <c r="EV162" i="25"/>
  <c r="FB162" i="25" s="1"/>
  <c r="EI162" i="25"/>
  <c r="EV209" i="25"/>
  <c r="FB209" i="25" s="1"/>
  <c r="EI209" i="25"/>
  <c r="EV144" i="25"/>
  <c r="FB144" i="25" s="1"/>
  <c r="EI144" i="25"/>
  <c r="EV115" i="25"/>
  <c r="FB115" i="25" s="1"/>
  <c r="EI115" i="25"/>
  <c r="EV86" i="25"/>
  <c r="EZ86" i="25" s="1"/>
  <c r="FB86" i="25" s="1"/>
  <c r="EI86" i="25"/>
  <c r="EO86" i="25" s="1"/>
  <c r="EV118" i="25"/>
  <c r="FB118" i="25" s="1"/>
  <c r="EI118" i="25"/>
  <c r="EV20" i="25"/>
  <c r="EZ20" i="25" s="1"/>
  <c r="FB20" i="25" s="1"/>
  <c r="EI20" i="25"/>
  <c r="EO20" i="25" s="1"/>
  <c r="EV80" i="25"/>
  <c r="EZ80" i="25" s="1"/>
  <c r="FB80" i="25" s="1"/>
  <c r="EI80" i="25"/>
  <c r="EO80" i="25" s="1"/>
  <c r="EV32" i="25"/>
  <c r="EZ32" i="25" s="1"/>
  <c r="FB32" i="25" s="1"/>
  <c r="EI32" i="25"/>
  <c r="EO32" i="25" s="1"/>
  <c r="EV192" i="25"/>
  <c r="FB192" i="25" s="1"/>
  <c r="EI192" i="25"/>
  <c r="EV148" i="25"/>
  <c r="FB148" i="25" s="1"/>
  <c r="EI148" i="25"/>
  <c r="EV68" i="25"/>
  <c r="EZ68" i="25" s="1"/>
  <c r="FB68" i="25" s="1"/>
  <c r="EI68" i="25"/>
  <c r="EO68" i="25" s="1"/>
  <c r="EV113" i="25"/>
  <c r="FB113" i="25" s="1"/>
  <c r="EI113" i="25"/>
  <c r="EV45" i="25"/>
  <c r="EZ45" i="25" s="1"/>
  <c r="FB45" i="25" s="1"/>
  <c r="EI45" i="25"/>
  <c r="EO45" i="25" s="1"/>
  <c r="EP164" i="25"/>
  <c r="EV170" i="25"/>
  <c r="FB170" i="25" s="1"/>
  <c r="EI170" i="25"/>
  <c r="EV71" i="25"/>
  <c r="EZ71" i="25" s="1"/>
  <c r="FB71" i="25" s="1"/>
  <c r="EI71" i="25"/>
  <c r="EO71" i="25" s="1"/>
  <c r="EV50" i="25"/>
  <c r="EZ50" i="25" s="1"/>
  <c r="FB50" i="25" s="1"/>
  <c r="EI50" i="25"/>
  <c r="EO50" i="25" s="1"/>
  <c r="EV121" i="25"/>
  <c r="FB121" i="25" s="1"/>
  <c r="EI121" i="25"/>
  <c r="EV26" i="25"/>
  <c r="EZ26" i="25" s="1"/>
  <c r="FB26" i="25" s="1"/>
  <c r="EI26" i="25"/>
  <c r="EO26" i="25" s="1"/>
  <c r="EV208" i="25"/>
  <c r="FB208" i="25" s="1"/>
  <c r="EI208" i="25"/>
  <c r="EV41" i="25"/>
  <c r="EZ41" i="25" s="1"/>
  <c r="FB41" i="25" s="1"/>
  <c r="EI41" i="25"/>
  <c r="EO41" i="25" s="1"/>
  <c r="EV150" i="25"/>
  <c r="FB150" i="25" s="1"/>
  <c r="EI150" i="25"/>
  <c r="EV6" i="25"/>
  <c r="EZ6" i="25" s="1"/>
  <c r="FB6" i="25" s="1"/>
  <c r="EI6" i="25"/>
  <c r="EO6" i="25" s="1"/>
  <c r="EV188" i="25"/>
  <c r="FB188" i="25" s="1"/>
  <c r="EI188" i="25"/>
  <c r="EV177" i="25"/>
  <c r="FB177" i="25" s="1"/>
  <c r="EI177" i="25"/>
  <c r="EP90" i="25"/>
  <c r="EV154" i="25"/>
  <c r="FB154" i="25" s="1"/>
  <c r="EI154" i="25"/>
  <c r="EV44" i="25"/>
  <c r="EZ44" i="25" s="1"/>
  <c r="FB44" i="25" s="1"/>
  <c r="EI44" i="25"/>
  <c r="EO44" i="25" s="1"/>
  <c r="EV38" i="25"/>
  <c r="EZ38" i="25" s="1"/>
  <c r="FB38" i="25" s="1"/>
  <c r="EI38" i="25"/>
  <c r="EO38" i="25" s="1"/>
  <c r="EV172" i="25"/>
  <c r="FB172" i="25" s="1"/>
  <c r="EI172" i="25"/>
  <c r="EV60" i="25"/>
  <c r="EZ60" i="25" s="1"/>
  <c r="FB60" i="25" s="1"/>
  <c r="EI60" i="25"/>
  <c r="EO60" i="25" s="1"/>
  <c r="EV100" i="25"/>
  <c r="EZ100" i="25" s="1"/>
  <c r="FB100" i="25" s="1"/>
  <c r="EI100" i="25"/>
  <c r="EO100" i="25" s="1"/>
  <c r="EV98" i="25"/>
  <c r="EZ98" i="25" s="1"/>
  <c r="FB98" i="25" s="1"/>
  <c r="EI98" i="25"/>
  <c r="EO98" i="25" s="1"/>
  <c r="EV184" i="25"/>
  <c r="FB184" i="25" s="1"/>
  <c r="EI184" i="25"/>
  <c r="EV134" i="25"/>
  <c r="FB134" i="25" s="1"/>
  <c r="EI134" i="25"/>
  <c r="EV76" i="25"/>
  <c r="EZ76" i="25" s="1"/>
  <c r="FB76" i="25" s="1"/>
  <c r="EI76" i="25"/>
  <c r="EO76" i="25" s="1"/>
  <c r="EP136" i="25"/>
  <c r="EV126" i="25"/>
  <c r="FB126" i="25" s="1"/>
  <c r="EI126" i="25"/>
  <c r="FC143" i="25"/>
  <c r="FE143" i="25" s="1"/>
  <c r="FF143" i="25" s="1"/>
  <c r="EP143" i="25"/>
  <c r="EV24" i="25"/>
  <c r="EZ24" i="25" s="1"/>
  <c r="FB24" i="25" s="1"/>
  <c r="EI24" i="25"/>
  <c r="EO24" i="25" s="1"/>
  <c r="EV195" i="25"/>
  <c r="FB195" i="25" s="1"/>
  <c r="EI195" i="25"/>
  <c r="EV175" i="25"/>
  <c r="FB175" i="25" s="1"/>
  <c r="EI175" i="25"/>
  <c r="EV43" i="25"/>
  <c r="EZ43" i="25" s="1"/>
  <c r="FB43" i="25" s="1"/>
  <c r="EI43" i="25"/>
  <c r="EO43" i="25" s="1"/>
  <c r="EV104" i="25"/>
  <c r="EZ104" i="25" s="1"/>
  <c r="FB104" i="25" s="1"/>
  <c r="EI104" i="25"/>
  <c r="EO104" i="25" s="1"/>
  <c r="EV120" i="25"/>
  <c r="FB120" i="25" s="1"/>
  <c r="EI120" i="25"/>
  <c r="EV119" i="25"/>
  <c r="FB119" i="25" s="1"/>
  <c r="EI119" i="25"/>
  <c r="EP194" i="25"/>
  <c r="EV59" i="25"/>
  <c r="EZ59" i="25" s="1"/>
  <c r="FB59" i="25" s="1"/>
  <c r="EI59" i="25"/>
  <c r="EO59" i="25" s="1"/>
  <c r="EV160" i="25"/>
  <c r="FB160" i="25" s="1"/>
  <c r="EI160" i="25"/>
  <c r="EV102" i="25"/>
  <c r="EZ102" i="25" s="1"/>
  <c r="FB102" i="25" s="1"/>
  <c r="EI102" i="25"/>
  <c r="EO102" i="25" s="1"/>
  <c r="EP171" i="25"/>
  <c r="EV52" i="25"/>
  <c r="EZ52" i="25" s="1"/>
  <c r="FB52" i="25" s="1"/>
  <c r="EI52" i="25"/>
  <c r="EO52" i="25" s="1"/>
  <c r="EV117" i="25"/>
  <c r="FB117" i="25" s="1"/>
  <c r="EI117" i="25"/>
  <c r="EV210" i="25"/>
  <c r="FB210" i="25" s="1"/>
  <c r="EI210" i="25"/>
  <c r="EV193" i="25"/>
  <c r="FB193" i="25" s="1"/>
  <c r="EI193" i="25"/>
  <c r="EV205" i="25"/>
  <c r="FB205" i="25" s="1"/>
  <c r="EI205" i="25"/>
  <c r="EV19" i="25"/>
  <c r="EZ19" i="25" s="1"/>
  <c r="FB19" i="25" s="1"/>
  <c r="EI19" i="25"/>
  <c r="EO19" i="25" s="1"/>
  <c r="EV13" i="25"/>
  <c r="EZ13" i="25" s="1"/>
  <c r="FB13" i="25" s="1"/>
  <c r="EI13" i="25"/>
  <c r="EO13" i="25" s="1"/>
  <c r="EV40" i="25"/>
  <c r="EZ40" i="25" s="1"/>
  <c r="FB40" i="25" s="1"/>
  <c r="EI40" i="25"/>
  <c r="EO40" i="25" s="1"/>
  <c r="EP56" i="25"/>
  <c r="EV78" i="25"/>
  <c r="EZ78" i="25" s="1"/>
  <c r="FB78" i="25" s="1"/>
  <c r="EI78" i="25"/>
  <c r="EO78" i="25" s="1"/>
  <c r="EP138" i="25"/>
  <c r="FC138" i="25"/>
  <c r="FE138" i="25" s="1"/>
  <c r="FF138" i="25" s="1"/>
  <c r="EV140" i="25"/>
  <c r="FB140" i="25" s="1"/>
  <c r="EI140" i="25"/>
  <c r="EV66" i="25"/>
  <c r="EZ66" i="25" s="1"/>
  <c r="FB66" i="25" s="1"/>
  <c r="EI66" i="25"/>
  <c r="EO66" i="25" s="1"/>
  <c r="EV125" i="25"/>
  <c r="FB125" i="25" s="1"/>
  <c r="EI125" i="25"/>
  <c r="EV18" i="25"/>
  <c r="EZ18" i="25" s="1"/>
  <c r="FB18" i="25" s="1"/>
  <c r="EI18" i="25"/>
  <c r="EO18" i="25" s="1"/>
  <c r="EV174" i="25"/>
  <c r="FB174" i="25" s="1"/>
  <c r="EI174" i="25"/>
  <c r="EV54" i="25"/>
  <c r="EZ54" i="25" s="1"/>
  <c r="FB54" i="25" s="1"/>
  <c r="EI54" i="25"/>
  <c r="EO54" i="25" s="1"/>
  <c r="EV61" i="25"/>
  <c r="EZ61" i="25" s="1"/>
  <c r="FB61" i="25" s="1"/>
  <c r="EI61" i="25"/>
  <c r="EO61" i="25" s="1"/>
  <c r="EV197" i="25"/>
  <c r="FB197" i="25" s="1"/>
  <c r="EI197" i="25"/>
  <c r="EV132" i="25"/>
  <c r="FB132" i="25" s="1"/>
  <c r="EI132" i="25"/>
  <c r="EV91" i="25"/>
  <c r="EZ91" i="25" s="1"/>
  <c r="FB91" i="25" s="1"/>
  <c r="EI91" i="25"/>
  <c r="EO91" i="25" s="1"/>
  <c r="EV179" i="25"/>
  <c r="FB179" i="25" s="1"/>
  <c r="EI179" i="25"/>
  <c r="EV39" i="25"/>
  <c r="EZ39" i="25" s="1"/>
  <c r="FB39" i="25" s="1"/>
  <c r="EI39" i="25"/>
  <c r="EO39" i="25" s="1"/>
  <c r="EV30" i="25"/>
  <c r="EZ30" i="25" s="1"/>
  <c r="FB30" i="25" s="1"/>
  <c r="EI30" i="25"/>
  <c r="EO30" i="25" s="1"/>
  <c r="EV35" i="25"/>
  <c r="EZ35" i="25" s="1"/>
  <c r="FB35" i="25" s="1"/>
  <c r="EI35" i="25"/>
  <c r="EO35" i="25" s="1"/>
  <c r="EV75" i="25"/>
  <c r="EZ75" i="25" s="1"/>
  <c r="FB75" i="25" s="1"/>
  <c r="EI75" i="25"/>
  <c r="EO75" i="25" s="1"/>
  <c r="EV124" i="25"/>
  <c r="FB124" i="25" s="1"/>
  <c r="EI124" i="25"/>
  <c r="EV82" i="25"/>
  <c r="EZ82" i="25" s="1"/>
  <c r="FB82" i="25" s="1"/>
  <c r="EI82" i="25"/>
  <c r="EO82" i="25" s="1"/>
  <c r="EV8" i="25"/>
  <c r="EZ8" i="25" s="1"/>
  <c r="FB8" i="25" s="1"/>
  <c r="EI8" i="25"/>
  <c r="EO8" i="25" s="1"/>
  <c r="EV110" i="25"/>
  <c r="FB110" i="25" s="1"/>
  <c r="EI110" i="25"/>
  <c r="EV63" i="25"/>
  <c r="EZ63" i="25" s="1"/>
  <c r="FB63" i="25" s="1"/>
  <c r="EI63" i="25"/>
  <c r="EO63" i="25" s="1"/>
  <c r="EV163" i="25"/>
  <c r="FB163" i="25" s="1"/>
  <c r="EI163" i="25"/>
  <c r="EV161" i="25"/>
  <c r="FB161" i="25" s="1"/>
  <c r="EI161" i="25"/>
  <c r="EV187" i="25"/>
  <c r="FB187" i="25" s="1"/>
  <c r="EI187" i="25"/>
  <c r="EV94" i="25"/>
  <c r="EZ94" i="25" s="1"/>
  <c r="FB94" i="25" s="1"/>
  <c r="EI94" i="25"/>
  <c r="EO94" i="25" s="1"/>
  <c r="EV127" i="25"/>
  <c r="FB127" i="25" s="1"/>
  <c r="EI127" i="25"/>
  <c r="EV67" i="25"/>
  <c r="EZ67" i="25" s="1"/>
  <c r="FB67" i="25" s="1"/>
  <c r="EI67" i="25"/>
  <c r="EO67" i="25" s="1"/>
  <c r="EV130" i="25"/>
  <c r="FB130" i="25" s="1"/>
  <c r="EI130" i="25"/>
  <c r="EV167" i="25"/>
  <c r="FB167" i="25" s="1"/>
  <c r="EI167" i="25"/>
  <c r="EV85" i="25"/>
  <c r="EZ85" i="25" s="1"/>
  <c r="FB85" i="25" s="1"/>
  <c r="EI85" i="25"/>
  <c r="EO85" i="25" s="1"/>
  <c r="EV152" i="25"/>
  <c r="FB152" i="25" s="1"/>
  <c r="EI152" i="25"/>
  <c r="EV88" i="25"/>
  <c r="EZ88" i="25" s="1"/>
  <c r="FB88" i="25" s="1"/>
  <c r="EI88" i="25"/>
  <c r="EO88" i="25" s="1"/>
  <c r="EV202" i="25"/>
  <c r="FB202" i="25" s="1"/>
  <c r="EI202" i="25"/>
  <c r="EV155" i="25"/>
  <c r="FB155" i="25" s="1"/>
  <c r="EI155" i="25"/>
  <c r="EV46" i="25"/>
  <c r="EZ46" i="25" s="1"/>
  <c r="FB46" i="25" s="1"/>
  <c r="EI46" i="25"/>
  <c r="EO46" i="25" s="1"/>
  <c r="EV10" i="25"/>
  <c r="EZ10" i="25" s="1"/>
  <c r="FB10" i="25" s="1"/>
  <c r="EI10" i="25"/>
  <c r="EO10" i="25" s="1"/>
  <c r="EV105" i="25"/>
  <c r="EZ105" i="25" s="1"/>
  <c r="FB105" i="25" s="1"/>
  <c r="EI105" i="25"/>
  <c r="EO105" i="25" s="1"/>
  <c r="EV31" i="25"/>
  <c r="EZ31" i="25" s="1"/>
  <c r="FB31" i="25" s="1"/>
  <c r="EI31" i="25"/>
  <c r="EO31" i="25" s="1"/>
  <c r="EV189" i="25"/>
  <c r="FB189" i="25" s="1"/>
  <c r="EI189" i="25"/>
  <c r="EV176" i="25"/>
  <c r="FB176" i="25" s="1"/>
  <c r="EI176" i="25"/>
  <c r="EV151" i="25"/>
  <c r="FB151" i="25" s="1"/>
  <c r="EI151" i="25"/>
  <c r="EV55" i="25"/>
  <c r="EZ55" i="25" s="1"/>
  <c r="FB55" i="25" s="1"/>
  <c r="EI55" i="25"/>
  <c r="EO55" i="25" s="1"/>
  <c r="EV51" i="25"/>
  <c r="EZ51" i="25" s="1"/>
  <c r="FB51" i="25" s="1"/>
  <c r="EI51" i="25"/>
  <c r="EO51" i="25" s="1"/>
  <c r="EV62" i="25"/>
  <c r="EZ62" i="25" s="1"/>
  <c r="FB62" i="25" s="1"/>
  <c r="EI62" i="25"/>
  <c r="EO62" i="25" s="1"/>
  <c r="EV147" i="25"/>
  <c r="FB147" i="25" s="1"/>
  <c r="EI147" i="25"/>
  <c r="EV101" i="25"/>
  <c r="EZ101" i="25" s="1"/>
  <c r="FB101" i="25" s="1"/>
  <c r="EI101" i="25"/>
  <c r="EO101" i="25" s="1"/>
  <c r="EP42" i="25"/>
  <c r="EV198" i="25"/>
  <c r="FB198" i="25" s="1"/>
  <c r="EI198" i="25"/>
  <c r="EV72" i="25"/>
  <c r="EZ72" i="25" s="1"/>
  <c r="FB72" i="25" s="1"/>
  <c r="EI72" i="25"/>
  <c r="EO72" i="25" s="1"/>
  <c r="EV16" i="25"/>
  <c r="EZ16" i="25" s="1"/>
  <c r="FB16" i="25" s="1"/>
  <c r="EI16" i="25"/>
  <c r="EO16" i="25" s="1"/>
  <c r="EV168" i="25"/>
  <c r="FB168" i="25" s="1"/>
  <c r="EI168" i="25"/>
  <c r="EV36" i="25"/>
  <c r="EZ36" i="25" s="1"/>
  <c r="FB36" i="25" s="1"/>
  <c r="EI36" i="25"/>
  <c r="EO36" i="25" s="1"/>
  <c r="EV203" i="25"/>
  <c r="FB203" i="25" s="1"/>
  <c r="EI203" i="25"/>
  <c r="EV166" i="25"/>
  <c r="FB166" i="25" s="1"/>
  <c r="EI166" i="25"/>
  <c r="EV84" i="25"/>
  <c r="EZ84" i="25" s="1"/>
  <c r="FB84" i="25" s="1"/>
  <c r="EI84" i="25"/>
  <c r="EO84" i="25" s="1"/>
  <c r="EV135" i="25"/>
  <c r="FB135" i="25" s="1"/>
  <c r="EI135" i="25"/>
  <c r="EV57" i="25"/>
  <c r="EZ57" i="25" s="1"/>
  <c r="FB57" i="25" s="1"/>
  <c r="EI57" i="25"/>
  <c r="EO57" i="25" s="1"/>
  <c r="EV21" i="25"/>
  <c r="EZ21" i="25" s="1"/>
  <c r="FB21" i="25" s="1"/>
  <c r="EI21" i="25"/>
  <c r="EO21" i="25" s="1"/>
  <c r="EV191" i="25"/>
  <c r="FB191" i="25" s="1"/>
  <c r="EI191" i="25"/>
  <c r="EV27" i="25"/>
  <c r="EZ27" i="25" s="1"/>
  <c r="FB27" i="25" s="1"/>
  <c r="EI27" i="25"/>
  <c r="EO27" i="25" s="1"/>
  <c r="EV69" i="25"/>
  <c r="EZ69" i="25" s="1"/>
  <c r="FB69" i="25" s="1"/>
  <c r="EI69" i="25"/>
  <c r="EO69" i="25" s="1"/>
  <c r="EP17" i="25"/>
  <c r="EV207" i="25"/>
  <c r="FB207" i="25" s="1"/>
  <c r="EI207" i="25"/>
  <c r="EV196" i="25"/>
  <c r="FB196" i="25" s="1"/>
  <c r="EI196" i="25"/>
  <c r="EH10" i="24"/>
  <c r="EK10" i="24" s="1"/>
  <c r="EQ10" i="24" s="1"/>
  <c r="EI10" i="24"/>
  <c r="EX10" i="24" s="1"/>
  <c r="EC10" i="24"/>
  <c r="ED10" i="24" s="1"/>
  <c r="EI134" i="24"/>
  <c r="EX134" i="24" s="1"/>
  <c r="EC134" i="24"/>
  <c r="ED134" i="24" s="1"/>
  <c r="EH79" i="24"/>
  <c r="EC79" i="24"/>
  <c r="ED79" i="24" s="1"/>
  <c r="EI79" i="24"/>
  <c r="EX79" i="24" s="1"/>
  <c r="EI72" i="24"/>
  <c r="EX72" i="24" s="1"/>
  <c r="EH72" i="24"/>
  <c r="EC72" i="24"/>
  <c r="ED72" i="24" s="1"/>
  <c r="EH115" i="24"/>
  <c r="EC115" i="24"/>
  <c r="ED115" i="24" s="1"/>
  <c r="EI115" i="24"/>
  <c r="EX115" i="24" s="1"/>
  <c r="EC116" i="24"/>
  <c r="ED116" i="24" s="1"/>
  <c r="EH116" i="24"/>
  <c r="EI116" i="24"/>
  <c r="EX116" i="24" s="1"/>
  <c r="EC91" i="24"/>
  <c r="ED91" i="24" s="1"/>
  <c r="EI91" i="24"/>
  <c r="EX91" i="24" s="1"/>
  <c r="EH91" i="24"/>
  <c r="EC121" i="24"/>
  <c r="ED121" i="24" s="1"/>
  <c r="EI121" i="24"/>
  <c r="EX121" i="24" s="1"/>
  <c r="EH121" i="24"/>
  <c r="EH46" i="24"/>
  <c r="EC46" i="24"/>
  <c r="ED46" i="24" s="1"/>
  <c r="EI46" i="24"/>
  <c r="EX46" i="24" s="1"/>
  <c r="EI113" i="24"/>
  <c r="EX113" i="24" s="1"/>
  <c r="EH113" i="24"/>
  <c r="EC113" i="24"/>
  <c r="ED113" i="24" s="1"/>
  <c r="EI86" i="24"/>
  <c r="EX86" i="24" s="1"/>
  <c r="EC86" i="24"/>
  <c r="ED86" i="24" s="1"/>
  <c r="EH86" i="24"/>
  <c r="EC33" i="24"/>
  <c r="ED33" i="24" s="1"/>
  <c r="EI33" i="24"/>
  <c r="EX33" i="24" s="1"/>
  <c r="EH33" i="24"/>
  <c r="EI45" i="24"/>
  <c r="EX45" i="24" s="1"/>
  <c r="EH45" i="24"/>
  <c r="EC45" i="24"/>
  <c r="ED45" i="24" s="1"/>
  <c r="EH105" i="24"/>
  <c r="EI105" i="24"/>
  <c r="EX105" i="24" s="1"/>
  <c r="EC105" i="24"/>
  <c r="ED105" i="24" s="1"/>
  <c r="EH120" i="24"/>
  <c r="EI120" i="24"/>
  <c r="EX120" i="24" s="1"/>
  <c r="EC120" i="24"/>
  <c r="ED120" i="24" s="1"/>
  <c r="EI27" i="24"/>
  <c r="EX27" i="24" s="1"/>
  <c r="EC27" i="24"/>
  <c r="ED27" i="24" s="1"/>
  <c r="EH27" i="24"/>
  <c r="EH97" i="24"/>
  <c r="EI97" i="24"/>
  <c r="EX97" i="24" s="1"/>
  <c r="EC97" i="24"/>
  <c r="ED97" i="24" s="1"/>
  <c r="EH100" i="24"/>
  <c r="EC100" i="24"/>
  <c r="ED100" i="24" s="1"/>
  <c r="EI100" i="24"/>
  <c r="EX100" i="24" s="1"/>
  <c r="EH61" i="24"/>
  <c r="EC61" i="24"/>
  <c r="ED61" i="24" s="1"/>
  <c r="EI61" i="24"/>
  <c r="EX61" i="24" s="1"/>
  <c r="EH84" i="24"/>
  <c r="EC84" i="24"/>
  <c r="ED84" i="24" s="1"/>
  <c r="EI84" i="24"/>
  <c r="EX84" i="24" s="1"/>
  <c r="EC197" i="24"/>
  <c r="ED197" i="24" s="1"/>
  <c r="EI197" i="24"/>
  <c r="EX197" i="24" s="1"/>
  <c r="EH197" i="24"/>
  <c r="EC21" i="24"/>
  <c r="ED21" i="24" s="1"/>
  <c r="EH21" i="24"/>
  <c r="EI21" i="24"/>
  <c r="EX21" i="24" s="1"/>
  <c r="EI139" i="24"/>
  <c r="EX139" i="24" s="1"/>
  <c r="EC139" i="24"/>
  <c r="ED139" i="24" s="1"/>
  <c r="EH139" i="24"/>
  <c r="EC20" i="24"/>
  <c r="ED20" i="24" s="1"/>
  <c r="EI20" i="24"/>
  <c r="EX20" i="24" s="1"/>
  <c r="EH20" i="24"/>
  <c r="EH26" i="24"/>
  <c r="EC26" i="24"/>
  <c r="ED26" i="24" s="1"/>
  <c r="EI26" i="24"/>
  <c r="EX26" i="24" s="1"/>
  <c r="EI154" i="24"/>
  <c r="EX154" i="24" s="1"/>
  <c r="EH154" i="24"/>
  <c r="EC154" i="24"/>
  <c r="ED154" i="24" s="1"/>
  <c r="EC17" i="24"/>
  <c r="ED17" i="24" s="1"/>
  <c r="EI17" i="24"/>
  <c r="EX17" i="24" s="1"/>
  <c r="EH17" i="24"/>
  <c r="EI35" i="24"/>
  <c r="EX35" i="24" s="1"/>
  <c r="EH35" i="24"/>
  <c r="EC35" i="24"/>
  <c r="ED35" i="24" s="1"/>
  <c r="EI70" i="24"/>
  <c r="EX70" i="24" s="1"/>
  <c r="EH70" i="24"/>
  <c r="EC70" i="24"/>
  <c r="ED70" i="24" s="1"/>
  <c r="EH138" i="24"/>
  <c r="EI138" i="24"/>
  <c r="EX138" i="24" s="1"/>
  <c r="EC138" i="24"/>
  <c r="ED138" i="24" s="1"/>
  <c r="EI119" i="24"/>
  <c r="EX119" i="24" s="1"/>
  <c r="EC119" i="24"/>
  <c r="ED119" i="24" s="1"/>
  <c r="EH119" i="24"/>
  <c r="EI18" i="24"/>
  <c r="EX18" i="24" s="1"/>
  <c r="EH18" i="24"/>
  <c r="EC18" i="24"/>
  <c r="ED18" i="24" s="1"/>
  <c r="EC184" i="24"/>
  <c r="ED184" i="24" s="1"/>
  <c r="EI184" i="24"/>
  <c r="EX184" i="24" s="1"/>
  <c r="EH184" i="24"/>
  <c r="EC189" i="24"/>
  <c r="ED189" i="24" s="1"/>
  <c r="EH189" i="24"/>
  <c r="EI189" i="24"/>
  <c r="EX189" i="24" s="1"/>
  <c r="EH158" i="24"/>
  <c r="EI158" i="24"/>
  <c r="EX158" i="24" s="1"/>
  <c r="EC158" i="24"/>
  <c r="ED158" i="24" s="1"/>
  <c r="EI167" i="24"/>
  <c r="EX167" i="24" s="1"/>
  <c r="EH167" i="24"/>
  <c r="EC167" i="24"/>
  <c r="ED167" i="24" s="1"/>
  <c r="EH188" i="24"/>
  <c r="EC188" i="24"/>
  <c r="ED188" i="24" s="1"/>
  <c r="EI188" i="24"/>
  <c r="EX188" i="24" s="1"/>
  <c r="EH50" i="24"/>
  <c r="EC50" i="24"/>
  <c r="ED50" i="24" s="1"/>
  <c r="EI50" i="24"/>
  <c r="EX50" i="24" s="1"/>
  <c r="EH122" i="24"/>
  <c r="EI122" i="24"/>
  <c r="EX122" i="24" s="1"/>
  <c r="EC122" i="24"/>
  <c r="ED122" i="24" s="1"/>
  <c r="EI161" i="24"/>
  <c r="EX161" i="24" s="1"/>
  <c r="EH161" i="24"/>
  <c r="EC161" i="24"/>
  <c r="ED161" i="24" s="1"/>
  <c r="EC168" i="24"/>
  <c r="ED168" i="24" s="1"/>
  <c r="EH168" i="24"/>
  <c r="EI168" i="24"/>
  <c r="EX168" i="24" s="1"/>
  <c r="EC174" i="24"/>
  <c r="ED174" i="24" s="1"/>
  <c r="EH174" i="24"/>
  <c r="EI174" i="24"/>
  <c r="EX174" i="24" s="1"/>
  <c r="EC141" i="24"/>
  <c r="ED141" i="24" s="1"/>
  <c r="EH141" i="24"/>
  <c r="EI141" i="24"/>
  <c r="EX141" i="24" s="1"/>
  <c r="EH191" i="24"/>
  <c r="EI191" i="24"/>
  <c r="EX191" i="24" s="1"/>
  <c r="EC191" i="24"/>
  <c r="ED191" i="24" s="1"/>
  <c r="EC112" i="24"/>
  <c r="ED112" i="24" s="1"/>
  <c r="EI112" i="24"/>
  <c r="EX112" i="24" s="1"/>
  <c r="EH112" i="24"/>
  <c r="EI150" i="24"/>
  <c r="EX150" i="24" s="1"/>
  <c r="EH150" i="24"/>
  <c r="EC150" i="24"/>
  <c r="ED150" i="24" s="1"/>
  <c r="EC204" i="24"/>
  <c r="ED204" i="24" s="1"/>
  <c r="EH204" i="24"/>
  <c r="EI204" i="24"/>
  <c r="EX204" i="24" s="1"/>
  <c r="EH166" i="24"/>
  <c r="EC166" i="24"/>
  <c r="ED166" i="24" s="1"/>
  <c r="EI166" i="24"/>
  <c r="EX166" i="24" s="1"/>
  <c r="EH59" i="24"/>
  <c r="EC59" i="24"/>
  <c r="ED59" i="24" s="1"/>
  <c r="EI59" i="24"/>
  <c r="EX59" i="24" s="1"/>
  <c r="EH196" i="24"/>
  <c r="EI196" i="24"/>
  <c r="EX196" i="24" s="1"/>
  <c r="EC196" i="24"/>
  <c r="ED196" i="24" s="1"/>
  <c r="EH38" i="24"/>
  <c r="EI38" i="24"/>
  <c r="EX38" i="24" s="1"/>
  <c r="EC38" i="24"/>
  <c r="ED38" i="24" s="1"/>
  <c r="EI183" i="24"/>
  <c r="EX183" i="24" s="1"/>
  <c r="EC183" i="24"/>
  <c r="ED183" i="24" s="1"/>
  <c r="EH183" i="24"/>
  <c r="EH200" i="24"/>
  <c r="EC200" i="24"/>
  <c r="ED200" i="24" s="1"/>
  <c r="EI200" i="24"/>
  <c r="EX200" i="24" s="1"/>
  <c r="EI98" i="24"/>
  <c r="EX98" i="24" s="1"/>
  <c r="EC98" i="24"/>
  <c r="ED98" i="24" s="1"/>
  <c r="EH98" i="24"/>
  <c r="EH87" i="24"/>
  <c r="EI87" i="24"/>
  <c r="EX87" i="24" s="1"/>
  <c r="EC87" i="24"/>
  <c r="ED87" i="24" s="1"/>
  <c r="EH117" i="24"/>
  <c r="EI117" i="24"/>
  <c r="EX117" i="24" s="1"/>
  <c r="EC117" i="24"/>
  <c r="ED117" i="24" s="1"/>
  <c r="EI15" i="24"/>
  <c r="EX15" i="24" s="1"/>
  <c r="EH15" i="24"/>
  <c r="EC15" i="24"/>
  <c r="ED15" i="24" s="1"/>
  <c r="EH185" i="24"/>
  <c r="EI185" i="24"/>
  <c r="EX185" i="24" s="1"/>
  <c r="EC185" i="24"/>
  <c r="ED185" i="24" s="1"/>
  <c r="EI16" i="24"/>
  <c r="EX16" i="24" s="1"/>
  <c r="EC16" i="24"/>
  <c r="ED16" i="24" s="1"/>
  <c r="EH16" i="24"/>
  <c r="EH202" i="24"/>
  <c r="EC202" i="24"/>
  <c r="ED202" i="24" s="1"/>
  <c r="EI202" i="24"/>
  <c r="EX202" i="24" s="1"/>
  <c r="EI177" i="24"/>
  <c r="EX177" i="24" s="1"/>
  <c r="EH177" i="24"/>
  <c r="EC177" i="24"/>
  <c r="ED177" i="24" s="1"/>
  <c r="EH195" i="24"/>
  <c r="EC195" i="24"/>
  <c r="ED195" i="24" s="1"/>
  <c r="EI195" i="24"/>
  <c r="EX195" i="24" s="1"/>
  <c r="EI153" i="24"/>
  <c r="EX153" i="24" s="1"/>
  <c r="EH153" i="24"/>
  <c r="EC153" i="24"/>
  <c r="ED153" i="24" s="1"/>
  <c r="EH94" i="24"/>
  <c r="EC94" i="24"/>
  <c r="ED94" i="24" s="1"/>
  <c r="EI94" i="24"/>
  <c r="EX94" i="24" s="1"/>
  <c r="EC178" i="24"/>
  <c r="ED178" i="24" s="1"/>
  <c r="EI178" i="24"/>
  <c r="EX178" i="24" s="1"/>
  <c r="EH178" i="24"/>
  <c r="EC210" i="24"/>
  <c r="ED210" i="24" s="1"/>
  <c r="EI210" i="24"/>
  <c r="EX210" i="24" s="1"/>
  <c r="EH210" i="24"/>
  <c r="EC171" i="24"/>
  <c r="ED171" i="24" s="1"/>
  <c r="EI171" i="24"/>
  <c r="EX171" i="24" s="1"/>
  <c r="EH171" i="24"/>
  <c r="EC57" i="24"/>
  <c r="ED57" i="24" s="1"/>
  <c r="EH57" i="24"/>
  <c r="EI57" i="24"/>
  <c r="EX57" i="24" s="1"/>
  <c r="EC88" i="24"/>
  <c r="ED88" i="24" s="1"/>
  <c r="EH88" i="24"/>
  <c r="EI88" i="24"/>
  <c r="EX88" i="24" s="1"/>
  <c r="EH155" i="24"/>
  <c r="EI155" i="24"/>
  <c r="EX155" i="24" s="1"/>
  <c r="EC155" i="24"/>
  <c r="ED155" i="24" s="1"/>
  <c r="EH145" i="24"/>
  <c r="EC145" i="24"/>
  <c r="ED145" i="24" s="1"/>
  <c r="EI145" i="24"/>
  <c r="EX145" i="24" s="1"/>
  <c r="EH58" i="24"/>
  <c r="EI58" i="24"/>
  <c r="EX58" i="24" s="1"/>
  <c r="EC58" i="24"/>
  <c r="ED58" i="24" s="1"/>
  <c r="EH114" i="24"/>
  <c r="EC114" i="24"/>
  <c r="ED114" i="24" s="1"/>
  <c r="EI114" i="24"/>
  <c r="EX114" i="24" s="1"/>
  <c r="EH209" i="24"/>
  <c r="EC209" i="24"/>
  <c r="ED209" i="24" s="1"/>
  <c r="EI209" i="24"/>
  <c r="EX209" i="24" s="1"/>
  <c r="EC182" i="24"/>
  <c r="ED182" i="24" s="1"/>
  <c r="EI182" i="24"/>
  <c r="EX182" i="24" s="1"/>
  <c r="EH182" i="24"/>
  <c r="EH123" i="24"/>
  <c r="EC123" i="24"/>
  <c r="ED123" i="24" s="1"/>
  <c r="EI123" i="24"/>
  <c r="EX123" i="24" s="1"/>
  <c r="EC128" i="24"/>
  <c r="ED128" i="24" s="1"/>
  <c r="EI128" i="24"/>
  <c r="EX128" i="24" s="1"/>
  <c r="EH128" i="24"/>
  <c r="EC187" i="24"/>
  <c r="ED187" i="24" s="1"/>
  <c r="EI187" i="24"/>
  <c r="EX187" i="24" s="1"/>
  <c r="EH187" i="24"/>
  <c r="EC131" i="24"/>
  <c r="ED131" i="24" s="1"/>
  <c r="EI131" i="24"/>
  <c r="EX131" i="24" s="1"/>
  <c r="EH131" i="24"/>
  <c r="EH89" i="24"/>
  <c r="EC89" i="24"/>
  <c r="ED89" i="24" s="1"/>
  <c r="EI89" i="24"/>
  <c r="EX89" i="24" s="1"/>
  <c r="EH144" i="24"/>
  <c r="EC144" i="24"/>
  <c r="ED144" i="24" s="1"/>
  <c r="EI144" i="24"/>
  <c r="EX144" i="24" s="1"/>
  <c r="EC75" i="24"/>
  <c r="ED75" i="24" s="1"/>
  <c r="EH75" i="24"/>
  <c r="EI75" i="24"/>
  <c r="EX75" i="24" s="1"/>
  <c r="EC162" i="24"/>
  <c r="ED162" i="24" s="1"/>
  <c r="EI162" i="24"/>
  <c r="EX162" i="24" s="1"/>
  <c r="EH162" i="24"/>
  <c r="EH203" i="24"/>
  <c r="EC203" i="24"/>
  <c r="ED203" i="24" s="1"/>
  <c r="EI203" i="24"/>
  <c r="EX203" i="24" s="1"/>
  <c r="EC149" i="24"/>
  <c r="ED149" i="24" s="1"/>
  <c r="EI149" i="24"/>
  <c r="EX149" i="24" s="1"/>
  <c r="EH149" i="24"/>
  <c r="EC140" i="24"/>
  <c r="ED140" i="24" s="1"/>
  <c r="EI140" i="24"/>
  <c r="EX140" i="24" s="1"/>
  <c r="EH140" i="24"/>
  <c r="EI36" i="24"/>
  <c r="EX36" i="24" s="1"/>
  <c r="EH36" i="24"/>
  <c r="EC36" i="24"/>
  <c r="ED36" i="24" s="1"/>
  <c r="EC103" i="24"/>
  <c r="ED103" i="24" s="1"/>
  <c r="EH103" i="24"/>
  <c r="EI103" i="24"/>
  <c r="EX103" i="24" s="1"/>
  <c r="EH76" i="24"/>
  <c r="EC76" i="24"/>
  <c r="ED76" i="24" s="1"/>
  <c r="EI76" i="24"/>
  <c r="EX76" i="24" s="1"/>
  <c r="EW190" i="24"/>
  <c r="FB190" i="24" s="1"/>
  <c r="EK190" i="24"/>
  <c r="EI73" i="24"/>
  <c r="EX73" i="24" s="1"/>
  <c r="EC73" i="24"/>
  <c r="ED73" i="24" s="1"/>
  <c r="EH73" i="24"/>
  <c r="EI53" i="24"/>
  <c r="EX53" i="24" s="1"/>
  <c r="EC53" i="24"/>
  <c r="ED53" i="24" s="1"/>
  <c r="EH53" i="24"/>
  <c r="EC93" i="24"/>
  <c r="ED93" i="24" s="1"/>
  <c r="EI93" i="24"/>
  <c r="EX93" i="24" s="1"/>
  <c r="EH93" i="24"/>
  <c r="EH31" i="24"/>
  <c r="EI31" i="24"/>
  <c r="EX31" i="24" s="1"/>
  <c r="EC31" i="24"/>
  <c r="ED31" i="24" s="1"/>
  <c r="EH6" i="24"/>
  <c r="EI6" i="24"/>
  <c r="EX6" i="24" s="1"/>
  <c r="EC6" i="24"/>
  <c r="ED6" i="24" s="1"/>
  <c r="EI118" i="24"/>
  <c r="EX118" i="24" s="1"/>
  <c r="EH118" i="24"/>
  <c r="EC118" i="24"/>
  <c r="ED118" i="24" s="1"/>
  <c r="EI34" i="24"/>
  <c r="EX34" i="24" s="1"/>
  <c r="EH34" i="24"/>
  <c r="EC34" i="24"/>
  <c r="ED34" i="24" s="1"/>
  <c r="EH7" i="24"/>
  <c r="EC7" i="24"/>
  <c r="ED7" i="24" s="1"/>
  <c r="EI7" i="24"/>
  <c r="EX7" i="24" s="1"/>
  <c r="EI135" i="24"/>
  <c r="EX135" i="24" s="1"/>
  <c r="EH135" i="24"/>
  <c r="EC135" i="24"/>
  <c r="ED135" i="24" s="1"/>
  <c r="EC193" i="24"/>
  <c r="ED193" i="24" s="1"/>
  <c r="EI193" i="24"/>
  <c r="EX193" i="24" s="1"/>
  <c r="EH193" i="24"/>
  <c r="EI130" i="24"/>
  <c r="EX130" i="24" s="1"/>
  <c r="EC130" i="24"/>
  <c r="ED130" i="24" s="1"/>
  <c r="EH130" i="24"/>
  <c r="EC208" i="24"/>
  <c r="ED208" i="24" s="1"/>
  <c r="EI208" i="24"/>
  <c r="EX208" i="24" s="1"/>
  <c r="EH208" i="24"/>
  <c r="EC207" i="24"/>
  <c r="ED207" i="24" s="1"/>
  <c r="EI207" i="24"/>
  <c r="EX207" i="24" s="1"/>
  <c r="EH207" i="24"/>
  <c r="EI47" i="24"/>
  <c r="EX47" i="24" s="1"/>
  <c r="EH47" i="24"/>
  <c r="EC47" i="24"/>
  <c r="ED47" i="24" s="1"/>
  <c r="EH176" i="24"/>
  <c r="EC176" i="24"/>
  <c r="ED176" i="24" s="1"/>
  <c r="EI176" i="24"/>
  <c r="EX176" i="24" s="1"/>
  <c r="EC194" i="24"/>
  <c r="ED194" i="24" s="1"/>
  <c r="EH194" i="24"/>
  <c r="EI194" i="24"/>
  <c r="EX194" i="24" s="1"/>
  <c r="EH80" i="24"/>
  <c r="EI80" i="24"/>
  <c r="EX80" i="24" s="1"/>
  <c r="EC80" i="24"/>
  <c r="ED80" i="24" s="1"/>
  <c r="EC22" i="24"/>
  <c r="ED22" i="24" s="1"/>
  <c r="EI22" i="24"/>
  <c r="EX22" i="24" s="1"/>
  <c r="EH22" i="24"/>
  <c r="EI41" i="24"/>
  <c r="EX41" i="24" s="1"/>
  <c r="EC41" i="24"/>
  <c r="ED41" i="24" s="1"/>
  <c r="EH41" i="24"/>
  <c r="EI85" i="24"/>
  <c r="EX85" i="24" s="1"/>
  <c r="EC85" i="24"/>
  <c r="ED85" i="24" s="1"/>
  <c r="EH85" i="24"/>
  <c r="EI19" i="24"/>
  <c r="EX19" i="24" s="1"/>
  <c r="EC19" i="24"/>
  <c r="ED19" i="24" s="1"/>
  <c r="EH19" i="24"/>
  <c r="EC95" i="24"/>
  <c r="ED95" i="24" s="1"/>
  <c r="EH95" i="24"/>
  <c r="EI95" i="24"/>
  <c r="EX95" i="24" s="1"/>
  <c r="EI65" i="24"/>
  <c r="EX65" i="24" s="1"/>
  <c r="EC65" i="24"/>
  <c r="ED65" i="24" s="1"/>
  <c r="EH65" i="24"/>
  <c r="EC101" i="24"/>
  <c r="ED101" i="24" s="1"/>
  <c r="EH101" i="24"/>
  <c r="EI101" i="24"/>
  <c r="EX101" i="24" s="1"/>
  <c r="EC163" i="24"/>
  <c r="ED163" i="24" s="1"/>
  <c r="EH163" i="24"/>
  <c r="EI163" i="24"/>
  <c r="EX163" i="24" s="1"/>
  <c r="EH8" i="24"/>
  <c r="EC8" i="24"/>
  <c r="ED8" i="24" s="1"/>
  <c r="EI8" i="24"/>
  <c r="EX8" i="24" s="1"/>
  <c r="EC165" i="24"/>
  <c r="ED165" i="24" s="1"/>
  <c r="EI165" i="24"/>
  <c r="EX165" i="24" s="1"/>
  <c r="EH165" i="24"/>
  <c r="EI49" i="24"/>
  <c r="EX49" i="24" s="1"/>
  <c r="EC49" i="24"/>
  <c r="ED49" i="24" s="1"/>
  <c r="EH49" i="24"/>
  <c r="EC205" i="24"/>
  <c r="ED205" i="24" s="1"/>
  <c r="EI205" i="24"/>
  <c r="EX205" i="24" s="1"/>
  <c r="EH205" i="24"/>
  <c r="EH68" i="24"/>
  <c r="EI68" i="24"/>
  <c r="EX68" i="24" s="1"/>
  <c r="EC68" i="24"/>
  <c r="ED68" i="24" s="1"/>
  <c r="EH175" i="24"/>
  <c r="EC175" i="24"/>
  <c r="ED175" i="24" s="1"/>
  <c r="EI175" i="24"/>
  <c r="EX175" i="24" s="1"/>
  <c r="EI42" i="24"/>
  <c r="EX42" i="24" s="1"/>
  <c r="EH42" i="24"/>
  <c r="EC42" i="24"/>
  <c r="ED42" i="24" s="1"/>
  <c r="EC143" i="24"/>
  <c r="ED143" i="24" s="1"/>
  <c r="EI143" i="24"/>
  <c r="EX143" i="24" s="1"/>
  <c r="EH143" i="24"/>
  <c r="EI173" i="24"/>
  <c r="EX173" i="24" s="1"/>
  <c r="EH173" i="24"/>
  <c r="EC173" i="24"/>
  <c r="ED173" i="24" s="1"/>
  <c r="EC54" i="24"/>
  <c r="ED54" i="24" s="1"/>
  <c r="EI54" i="24"/>
  <c r="EX54" i="24" s="1"/>
  <c r="EH54" i="24"/>
  <c r="EI11" i="24"/>
  <c r="EX11" i="24" s="1"/>
  <c r="EC11" i="24"/>
  <c r="ED11" i="24" s="1"/>
  <c r="EH11" i="24"/>
  <c r="EC102" i="24"/>
  <c r="ED102" i="24" s="1"/>
  <c r="EI102" i="24"/>
  <c r="EX102" i="24" s="1"/>
  <c r="EH102" i="24"/>
  <c r="EH156" i="24"/>
  <c r="EC156" i="24"/>
  <c r="ED156" i="24" s="1"/>
  <c r="EI156" i="24"/>
  <c r="EX156" i="24" s="1"/>
  <c r="EC179" i="24"/>
  <c r="ED179" i="24" s="1"/>
  <c r="EI179" i="24"/>
  <c r="EX179" i="24" s="1"/>
  <c r="EH179" i="24"/>
  <c r="EC148" i="24"/>
  <c r="ED148" i="24" s="1"/>
  <c r="EH148" i="24"/>
  <c r="EI148" i="24"/>
  <c r="EX148" i="24" s="1"/>
  <c r="EI51" i="24"/>
  <c r="EX51" i="24" s="1"/>
  <c r="EC51" i="24"/>
  <c r="ED51" i="24" s="1"/>
  <c r="EH51" i="24"/>
  <c r="EH32" i="24"/>
  <c r="EI32" i="24"/>
  <c r="EX32" i="24" s="1"/>
  <c r="EC32" i="24"/>
  <c r="ED32" i="24" s="1"/>
  <c r="EI64" i="24"/>
  <c r="EX64" i="24" s="1"/>
  <c r="EH64" i="24"/>
  <c r="EC64" i="24"/>
  <c r="ED64" i="24" s="1"/>
  <c r="EH198" i="24"/>
  <c r="EC198" i="24"/>
  <c r="ED198" i="24" s="1"/>
  <c r="EI198" i="24"/>
  <c r="EX198" i="24" s="1"/>
  <c r="EC24" i="24"/>
  <c r="ED24" i="24" s="1"/>
  <c r="EH24" i="24"/>
  <c r="EI24" i="24"/>
  <c r="EX24" i="24" s="1"/>
  <c r="EI129" i="24"/>
  <c r="EX129" i="24" s="1"/>
  <c r="EH129" i="24"/>
  <c r="EC129" i="24"/>
  <c r="ED129" i="24" s="1"/>
  <c r="EC164" i="24"/>
  <c r="ED164" i="24" s="1"/>
  <c r="EI164" i="24"/>
  <c r="EX164" i="24" s="1"/>
  <c r="EH164" i="24"/>
  <c r="EI12" i="24"/>
  <c r="EX12" i="24" s="1"/>
  <c r="EH12" i="24"/>
  <c r="EC12" i="24"/>
  <c r="ED12" i="24" s="1"/>
  <c r="EC25" i="24"/>
  <c r="ED25" i="24" s="1"/>
  <c r="EH25" i="24"/>
  <c r="EI25" i="24"/>
  <c r="EX25" i="24" s="1"/>
  <c r="EC66" i="24"/>
  <c r="ED66" i="24" s="1"/>
  <c r="EI66" i="24"/>
  <c r="EX66" i="24" s="1"/>
  <c r="EH66" i="24"/>
  <c r="EC56" i="24"/>
  <c r="ED56" i="24" s="1"/>
  <c r="EH56" i="24"/>
  <c r="EI56" i="24"/>
  <c r="EX56" i="24" s="1"/>
  <c r="EH125" i="24"/>
  <c r="EC125" i="24"/>
  <c r="ED125" i="24" s="1"/>
  <c r="EI125" i="24"/>
  <c r="EX125" i="24" s="1"/>
  <c r="EH181" i="24"/>
  <c r="EI181" i="24"/>
  <c r="EX181" i="24" s="1"/>
  <c r="EC181" i="24"/>
  <c r="ED181" i="24" s="1"/>
  <c r="EI180" i="24"/>
  <c r="EX180" i="24" s="1"/>
  <c r="EH180" i="24"/>
  <c r="EC180" i="24"/>
  <c r="ED180" i="24" s="1"/>
  <c r="EI157" i="24"/>
  <c r="EX157" i="24" s="1"/>
  <c r="EH157" i="24"/>
  <c r="EC157" i="24"/>
  <c r="ED157" i="24" s="1"/>
  <c r="EI82" i="24"/>
  <c r="EX82" i="24" s="1"/>
  <c r="EH82" i="24"/>
  <c r="EC82" i="24"/>
  <c r="ED82" i="24" s="1"/>
  <c r="EC151" i="24"/>
  <c r="ED151" i="24" s="1"/>
  <c r="EH151" i="24"/>
  <c r="EI151" i="24"/>
  <c r="EX151" i="24" s="1"/>
  <c r="EI9" i="24"/>
  <c r="EX9" i="24" s="1"/>
  <c r="EC9" i="24"/>
  <c r="ED9" i="24" s="1"/>
  <c r="EH9" i="24"/>
  <c r="EC206" i="24"/>
  <c r="ED206" i="24" s="1"/>
  <c r="EH206" i="24"/>
  <c r="EI206" i="24"/>
  <c r="EX206" i="24" s="1"/>
  <c r="EI137" i="24"/>
  <c r="EX137" i="24" s="1"/>
  <c r="EH137" i="24"/>
  <c r="EC137" i="24"/>
  <c r="ED137" i="24" s="1"/>
  <c r="EC146" i="24"/>
  <c r="ED146" i="24" s="1"/>
  <c r="EI146" i="24"/>
  <c r="EX146" i="24" s="1"/>
  <c r="EH146" i="24"/>
  <c r="EI69" i="24"/>
  <c r="EX69" i="24" s="1"/>
  <c r="EH69" i="24"/>
  <c r="EC69" i="24"/>
  <c r="ED69" i="24" s="1"/>
  <c r="EH28" i="24"/>
  <c r="EC28" i="24"/>
  <c r="ED28" i="24" s="1"/>
  <c r="EI28" i="24"/>
  <c r="EX28" i="24" s="1"/>
  <c r="AZ106" i="19"/>
  <c r="BL106" i="19" s="1"/>
  <c r="BM106" i="19" s="1"/>
  <c r="BZ106" i="19" s="1"/>
  <c r="BK106" i="19"/>
  <c r="B273" i="2"/>
  <c r="BI106" i="19"/>
  <c r="BJ106" i="19"/>
  <c r="BC106" i="19"/>
  <c r="BB106" i="19"/>
  <c r="BD106" i="19"/>
  <c r="BG106" i="19"/>
  <c r="BU106" i="19"/>
  <c r="CA106" i="19" s="1"/>
  <c r="BH106" i="19"/>
  <c r="BA106" i="19"/>
  <c r="BF106" i="19"/>
  <c r="BS106" i="19"/>
  <c r="BE106" i="19"/>
  <c r="EK96" i="24" l="1"/>
  <c r="EQ96" i="24" s="1"/>
  <c r="EK92" i="24"/>
  <c r="EQ92" i="24" s="1"/>
  <c r="ER92" i="24" s="1"/>
  <c r="EZ96" i="24"/>
  <c r="FB96" i="24" s="1"/>
  <c r="EP212" i="25"/>
  <c r="FC212" i="25"/>
  <c r="FE212" i="25" s="1"/>
  <c r="FF212" i="25" s="1"/>
  <c r="EW243" i="24"/>
  <c r="FB243" i="24" s="1"/>
  <c r="EK67" i="24"/>
  <c r="EQ67" i="24" s="1"/>
  <c r="ER67" i="24" s="1"/>
  <c r="EK159" i="24"/>
  <c r="ER159" i="24" s="1"/>
  <c r="EW132" i="24"/>
  <c r="FB132" i="24" s="1"/>
  <c r="O110" i="24"/>
  <c r="BZ110" i="24" s="1"/>
  <c r="EW285" i="24"/>
  <c r="FB285" i="24" s="1"/>
  <c r="EZ92" i="24"/>
  <c r="FB92" i="24" s="1"/>
  <c r="EZ78" i="24"/>
  <c r="FB78" i="24" s="1"/>
  <c r="EK78" i="24"/>
  <c r="EQ78" i="24" s="1"/>
  <c r="ER78" i="24" s="1"/>
  <c r="FB242" i="24"/>
  <c r="EK60" i="24"/>
  <c r="EQ60" i="24" s="1"/>
  <c r="EZ60" i="24"/>
  <c r="FB60" i="24" s="1"/>
  <c r="FB136" i="25"/>
  <c r="EK77" i="24"/>
  <c r="EQ77" i="24" s="1"/>
  <c r="ER77" i="24" s="1"/>
  <c r="EK74" i="24"/>
  <c r="EQ74" i="24" s="1"/>
  <c r="ER74" i="24" s="1"/>
  <c r="FC216" i="24"/>
  <c r="FE216" i="24" s="1"/>
  <c r="FF216" i="24" s="1"/>
  <c r="ER216" i="24"/>
  <c r="BK216" i="24"/>
  <c r="K216" i="24"/>
  <c r="ER285" i="24"/>
  <c r="EW245" i="24"/>
  <c r="FB245" i="24" s="1"/>
  <c r="EK245" i="24"/>
  <c r="EW225" i="24"/>
  <c r="FB225" i="24" s="1"/>
  <c r="EK225" i="24"/>
  <c r="EW279" i="24"/>
  <c r="FB279" i="24" s="1"/>
  <c r="EK279" i="24"/>
  <c r="EK229" i="24"/>
  <c r="EW229" i="24"/>
  <c r="FB229" i="24" s="1"/>
  <c r="EW278" i="24"/>
  <c r="FB278" i="24" s="1"/>
  <c r="EK278" i="24"/>
  <c r="EK301" i="24"/>
  <c r="EW301" i="24"/>
  <c r="FB301" i="24" s="1"/>
  <c r="EK248" i="24"/>
  <c r="EW248" i="24"/>
  <c r="FB248" i="24" s="1"/>
  <c r="EK271" i="24"/>
  <c r="EW271" i="24"/>
  <c r="FB271" i="24" s="1"/>
  <c r="EK219" i="24"/>
  <c r="EW219" i="24"/>
  <c r="FB219" i="24" s="1"/>
  <c r="EK263" i="24"/>
  <c r="EW263" i="24"/>
  <c r="FB263" i="24" s="1"/>
  <c r="EK284" i="24"/>
  <c r="EW284" i="24"/>
  <c r="FB284" i="24" s="1"/>
  <c r="EW268" i="24"/>
  <c r="FB268" i="24" s="1"/>
  <c r="EK268" i="24"/>
  <c r="EW310" i="24"/>
  <c r="FB310" i="24" s="1"/>
  <c r="EK310" i="24"/>
  <c r="EK294" i="24"/>
  <c r="EW294" i="24"/>
  <c r="FB294" i="24" s="1"/>
  <c r="EK275" i="24"/>
  <c r="EW275" i="24"/>
  <c r="FB275" i="24" s="1"/>
  <c r="EW249" i="24"/>
  <c r="FB249" i="24" s="1"/>
  <c r="EK249" i="24"/>
  <c r="EK258" i="24"/>
  <c r="EW258" i="24"/>
  <c r="FB258" i="24" s="1"/>
  <c r="EK230" i="24"/>
  <c r="EW230" i="24"/>
  <c r="FB230" i="24" s="1"/>
  <c r="EW306" i="24"/>
  <c r="FB306" i="24" s="1"/>
  <c r="EK306" i="24"/>
  <c r="EW298" i="24"/>
  <c r="FB298" i="24" s="1"/>
  <c r="EK298" i="24"/>
  <c r="EK282" i="24"/>
  <c r="EW282" i="24"/>
  <c r="FB282" i="24" s="1"/>
  <c r="EW270" i="24"/>
  <c r="FB270" i="24" s="1"/>
  <c r="EK270" i="24"/>
  <c r="EK264" i="24"/>
  <c r="EW264" i="24"/>
  <c r="FB264" i="24" s="1"/>
  <c r="EW253" i="24"/>
  <c r="FB253" i="24" s="1"/>
  <c r="EK253" i="24"/>
  <c r="EK267" i="24"/>
  <c r="EW267" i="24"/>
  <c r="FB267" i="24" s="1"/>
  <c r="EW316" i="24"/>
  <c r="FB316" i="24" s="1"/>
  <c r="EK316" i="24"/>
  <c r="EK224" i="24"/>
  <c r="EW224" i="24"/>
  <c r="FB224" i="24" s="1"/>
  <c r="EW251" i="24"/>
  <c r="FB251" i="24" s="1"/>
  <c r="EK251" i="24"/>
  <c r="EW289" i="24"/>
  <c r="FB289" i="24" s="1"/>
  <c r="EK289" i="24"/>
  <c r="EK238" i="24"/>
  <c r="EW238" i="24"/>
  <c r="FB238" i="24" s="1"/>
  <c r="EK246" i="24"/>
  <c r="EW246" i="24"/>
  <c r="FB246" i="24" s="1"/>
  <c r="EK232" i="24"/>
  <c r="EW232" i="24"/>
  <c r="FB232" i="24" s="1"/>
  <c r="EK281" i="24"/>
  <c r="EW281" i="24"/>
  <c r="FB281" i="24" s="1"/>
  <c r="EK233" i="24"/>
  <c r="EW233" i="24"/>
  <c r="FB233" i="24" s="1"/>
  <c r="EW288" i="24"/>
  <c r="FB288" i="24" s="1"/>
  <c r="EK288" i="24"/>
  <c r="EW257" i="24"/>
  <c r="FB257" i="24" s="1"/>
  <c r="EK257" i="24"/>
  <c r="EW255" i="24"/>
  <c r="FB255" i="24" s="1"/>
  <c r="EK255" i="24"/>
  <c r="EK273" i="24"/>
  <c r="EW273" i="24"/>
  <c r="FB273" i="24" s="1"/>
  <c r="EK218" i="24"/>
  <c r="EW218" i="24"/>
  <c r="FB218" i="24" s="1"/>
  <c r="EW262" i="24"/>
  <c r="FB262" i="24" s="1"/>
  <c r="EK262" i="24"/>
  <c r="EK266" i="24"/>
  <c r="EW266" i="24"/>
  <c r="FB266" i="24" s="1"/>
  <c r="ER243" i="24"/>
  <c r="EK261" i="24"/>
  <c r="EW261" i="24"/>
  <c r="FB261" i="24" s="1"/>
  <c r="EK228" i="24"/>
  <c r="EW228" i="24"/>
  <c r="FB228" i="24" s="1"/>
  <c r="EK265" i="24"/>
  <c r="EW265" i="24"/>
  <c r="FB265" i="24" s="1"/>
  <c r="EK244" i="24"/>
  <c r="EW244" i="24"/>
  <c r="FB244" i="24" s="1"/>
  <c r="EK236" i="24"/>
  <c r="EW236" i="24"/>
  <c r="FB236" i="24" s="1"/>
  <c r="EK299" i="24"/>
  <c r="EW299" i="24"/>
  <c r="FB299" i="24" s="1"/>
  <c r="EW304" i="24"/>
  <c r="FB304" i="24" s="1"/>
  <c r="EK304" i="24"/>
  <c r="EK283" i="24"/>
  <c r="EW283" i="24"/>
  <c r="FB283" i="24" s="1"/>
  <c r="EW231" i="24"/>
  <c r="FB231" i="24" s="1"/>
  <c r="EK231" i="24"/>
  <c r="EK280" i="24"/>
  <c r="EW280" i="24"/>
  <c r="FB280" i="24" s="1"/>
  <c r="EK234" i="24"/>
  <c r="EW234" i="24"/>
  <c r="FB234" i="24" s="1"/>
  <c r="EK296" i="24"/>
  <c r="EW296" i="24"/>
  <c r="FB296" i="24" s="1"/>
  <c r="EK239" i="24"/>
  <c r="EW239" i="24"/>
  <c r="FB239" i="24" s="1"/>
  <c r="EW259" i="24"/>
  <c r="FB259" i="24" s="1"/>
  <c r="EK259" i="24"/>
  <c r="EW308" i="24"/>
  <c r="FB308" i="24" s="1"/>
  <c r="EK308" i="24"/>
  <c r="EK222" i="24"/>
  <c r="EW222" i="24"/>
  <c r="FB222" i="24" s="1"/>
  <c r="EK305" i="24"/>
  <c r="EW305" i="24"/>
  <c r="FB305" i="24" s="1"/>
  <c r="EW312" i="24"/>
  <c r="FB312" i="24" s="1"/>
  <c r="EK312" i="24"/>
  <c r="EK313" i="24"/>
  <c r="EW313" i="24"/>
  <c r="FB313" i="24" s="1"/>
  <c r="EK220" i="24"/>
  <c r="EW220" i="24"/>
  <c r="FB220" i="24" s="1"/>
  <c r="EW274" i="24"/>
  <c r="FB274" i="24" s="1"/>
  <c r="EK274" i="24"/>
  <c r="EK240" i="24"/>
  <c r="EW240" i="24"/>
  <c r="FB240" i="24" s="1"/>
  <c r="EK286" i="24"/>
  <c r="EW286" i="24"/>
  <c r="FB286" i="24" s="1"/>
  <c r="EK260" i="24"/>
  <c r="EW260" i="24"/>
  <c r="FB260" i="24" s="1"/>
  <c r="EK217" i="24"/>
  <c r="EW217" i="24"/>
  <c r="FB217" i="24" s="1"/>
  <c r="EW300" i="24"/>
  <c r="FB300" i="24" s="1"/>
  <c r="EK300" i="24"/>
  <c r="EK223" i="24"/>
  <c r="EW223" i="24"/>
  <c r="FB223" i="24" s="1"/>
  <c r="EK309" i="24"/>
  <c r="EW309" i="24"/>
  <c r="FB309" i="24" s="1"/>
  <c r="EK277" i="24"/>
  <c r="EW277" i="24"/>
  <c r="FB277" i="24" s="1"/>
  <c r="EK311" i="24"/>
  <c r="EW311" i="24"/>
  <c r="FB311" i="24" s="1"/>
  <c r="ER242" i="24"/>
  <c r="FC242" i="24"/>
  <c r="FE242" i="24" s="1"/>
  <c r="FF242" i="24" s="1"/>
  <c r="EK227" i="24"/>
  <c r="EW227" i="24"/>
  <c r="FB227" i="24" s="1"/>
  <c r="EW276" i="24"/>
  <c r="FB276" i="24" s="1"/>
  <c r="EK276" i="24"/>
  <c r="EK292" i="24"/>
  <c r="EW292" i="24"/>
  <c r="FB292" i="24" s="1"/>
  <c r="EW235" i="24"/>
  <c r="FB235" i="24" s="1"/>
  <c r="EK235" i="24"/>
  <c r="EK315" i="24"/>
  <c r="EW315" i="24"/>
  <c r="FB315" i="24" s="1"/>
  <c r="EK252" i="24"/>
  <c r="EW252" i="24"/>
  <c r="FB252" i="24" s="1"/>
  <c r="EW293" i="24"/>
  <c r="FB293" i="24" s="1"/>
  <c r="EK293" i="24"/>
  <c r="EW314" i="24"/>
  <c r="FB314" i="24" s="1"/>
  <c r="EK314" i="24"/>
  <c r="EW295" i="24"/>
  <c r="FB295" i="24" s="1"/>
  <c r="EK295" i="24"/>
  <c r="EK269" i="24"/>
  <c r="EW269" i="24"/>
  <c r="FB269" i="24" s="1"/>
  <c r="EW241" i="24"/>
  <c r="FB241" i="24" s="1"/>
  <c r="EK241" i="24"/>
  <c r="EW287" i="24"/>
  <c r="FB287" i="24" s="1"/>
  <c r="EK287" i="24"/>
  <c r="EK297" i="24"/>
  <c r="EW297" i="24"/>
  <c r="FB297" i="24" s="1"/>
  <c r="EK303" i="24"/>
  <c r="EW303" i="24"/>
  <c r="FB303" i="24" s="1"/>
  <c r="EK272" i="24"/>
  <c r="EW272" i="24"/>
  <c r="FB272" i="24" s="1"/>
  <c r="EK256" i="24"/>
  <c r="EW256" i="24"/>
  <c r="FB256" i="24" s="1"/>
  <c r="EK307" i="24"/>
  <c r="EW307" i="24"/>
  <c r="FB307" i="24" s="1"/>
  <c r="EW290" i="24"/>
  <c r="FB290" i="24" s="1"/>
  <c r="EK290" i="24"/>
  <c r="EK226" i="24"/>
  <c r="EW226" i="24"/>
  <c r="FB226" i="24" s="1"/>
  <c r="EW247" i="24"/>
  <c r="FB247" i="24" s="1"/>
  <c r="EK247" i="24"/>
  <c r="EK254" i="24"/>
  <c r="EW254" i="24"/>
  <c r="FB254" i="24" s="1"/>
  <c r="EK221" i="24"/>
  <c r="EW221" i="24"/>
  <c r="FB221" i="24" s="1"/>
  <c r="EW237" i="24"/>
  <c r="FB237" i="24" s="1"/>
  <c r="EK237" i="24"/>
  <c r="EK291" i="24"/>
  <c r="EW291" i="24"/>
  <c r="FB291" i="24" s="1"/>
  <c r="EW302" i="24"/>
  <c r="FB302" i="24" s="1"/>
  <c r="EK302" i="24"/>
  <c r="EK250" i="24"/>
  <c r="EW250" i="24"/>
  <c r="FB250" i="24" s="1"/>
  <c r="EP217" i="25"/>
  <c r="FC217" i="25"/>
  <c r="FE217" i="25" s="1"/>
  <c r="FF217" i="25" s="1"/>
  <c r="EP256" i="25"/>
  <c r="FC256" i="25"/>
  <c r="FE256" i="25" s="1"/>
  <c r="FF256" i="25" s="1"/>
  <c r="EP273" i="25"/>
  <c r="FC273" i="25"/>
  <c r="FE273" i="25" s="1"/>
  <c r="FF273" i="25" s="1"/>
  <c r="FC221" i="25"/>
  <c r="FE221" i="25" s="1"/>
  <c r="FF221" i="25" s="1"/>
  <c r="EP221" i="25"/>
  <c r="FC226" i="25"/>
  <c r="FE226" i="25" s="1"/>
  <c r="FF226" i="25" s="1"/>
  <c r="EP226" i="25"/>
  <c r="EP240" i="25"/>
  <c r="FC240" i="25"/>
  <c r="FE240" i="25" s="1"/>
  <c r="FF240" i="25" s="1"/>
  <c r="EP249" i="25"/>
  <c r="FC249" i="25"/>
  <c r="FE249" i="25" s="1"/>
  <c r="FF249" i="25" s="1"/>
  <c r="FC282" i="25"/>
  <c r="FE282" i="25" s="1"/>
  <c r="FF282" i="25" s="1"/>
  <c r="EP282" i="25"/>
  <c r="EP227" i="25"/>
  <c r="FC227" i="25"/>
  <c r="FE227" i="25" s="1"/>
  <c r="FF227" i="25" s="1"/>
  <c r="EP301" i="25"/>
  <c r="FC301" i="25"/>
  <c r="FE301" i="25" s="1"/>
  <c r="FF301" i="25" s="1"/>
  <c r="FC279" i="25"/>
  <c r="FE279" i="25" s="1"/>
  <c r="FF279" i="25" s="1"/>
  <c r="EP279" i="25"/>
  <c r="FC233" i="25"/>
  <c r="FE233" i="25" s="1"/>
  <c r="FF233" i="25" s="1"/>
  <c r="EP233" i="25"/>
  <c r="EP284" i="25"/>
  <c r="FC284" i="25"/>
  <c r="FE284" i="25" s="1"/>
  <c r="FF284" i="25" s="1"/>
  <c r="FC311" i="25"/>
  <c r="FE311" i="25" s="1"/>
  <c r="FF311" i="25" s="1"/>
  <c r="EP311" i="25"/>
  <c r="EP306" i="25"/>
  <c r="FC306" i="25"/>
  <c r="FE306" i="25" s="1"/>
  <c r="FF306" i="25" s="1"/>
  <c r="EP280" i="25"/>
  <c r="FC280" i="25"/>
  <c r="FE280" i="25" s="1"/>
  <c r="FF280" i="25" s="1"/>
  <c r="FC246" i="25"/>
  <c r="FE246" i="25" s="1"/>
  <c r="FF246" i="25" s="1"/>
  <c r="EP246" i="25"/>
  <c r="EP263" i="25"/>
  <c r="FC263" i="25"/>
  <c r="FE263" i="25" s="1"/>
  <c r="FF263" i="25" s="1"/>
  <c r="EP312" i="25"/>
  <c r="FC312" i="25"/>
  <c r="FE312" i="25" s="1"/>
  <c r="FF312" i="25" s="1"/>
  <c r="FC243" i="25"/>
  <c r="FE243" i="25" s="1"/>
  <c r="FF243" i="25" s="1"/>
  <c r="EP243" i="25"/>
  <c r="EP275" i="25"/>
  <c r="FC275" i="25"/>
  <c r="FE275" i="25" s="1"/>
  <c r="FF275" i="25" s="1"/>
  <c r="EP259" i="25"/>
  <c r="FC259" i="25"/>
  <c r="FE259" i="25" s="1"/>
  <c r="FF259" i="25" s="1"/>
  <c r="EP315" i="25"/>
  <c r="FC315" i="25"/>
  <c r="FE315" i="25" s="1"/>
  <c r="FF315" i="25" s="1"/>
  <c r="EP296" i="25"/>
  <c r="FC296" i="25"/>
  <c r="FE296" i="25" s="1"/>
  <c r="FF296" i="25" s="1"/>
  <c r="EP281" i="25"/>
  <c r="FC281" i="25"/>
  <c r="FE281" i="25" s="1"/>
  <c r="FF281" i="25" s="1"/>
  <c r="EP254" i="25"/>
  <c r="FC254" i="25"/>
  <c r="FE254" i="25" s="1"/>
  <c r="FF254" i="25" s="1"/>
  <c r="EP234" i="25"/>
  <c r="FC234" i="25"/>
  <c r="FE234" i="25" s="1"/>
  <c r="FF234" i="25" s="1"/>
  <c r="EP309" i="25"/>
  <c r="FC309" i="25"/>
  <c r="FE309" i="25" s="1"/>
  <c r="FF309" i="25" s="1"/>
  <c r="EP288" i="25"/>
  <c r="FC288" i="25"/>
  <c r="FE288" i="25" s="1"/>
  <c r="FF288" i="25" s="1"/>
  <c r="FC222" i="25"/>
  <c r="FE222" i="25" s="1"/>
  <c r="FF222" i="25" s="1"/>
  <c r="EP222" i="25"/>
  <c r="EP261" i="25"/>
  <c r="FC261" i="25"/>
  <c r="FE261" i="25" s="1"/>
  <c r="FF261" i="25" s="1"/>
  <c r="EP316" i="25"/>
  <c r="FC316" i="25"/>
  <c r="FE316" i="25" s="1"/>
  <c r="FF316" i="25" s="1"/>
  <c r="EP239" i="25"/>
  <c r="FC239" i="25"/>
  <c r="FE239" i="25" s="1"/>
  <c r="FF239" i="25" s="1"/>
  <c r="EP253" i="25"/>
  <c r="FC253" i="25"/>
  <c r="FE253" i="25" s="1"/>
  <c r="FF253" i="25" s="1"/>
  <c r="FC286" i="25"/>
  <c r="FE286" i="25" s="1"/>
  <c r="FF286" i="25" s="1"/>
  <c r="EP286" i="25"/>
  <c r="EP290" i="25"/>
  <c r="FC290" i="25"/>
  <c r="FE290" i="25" s="1"/>
  <c r="FF290" i="25" s="1"/>
  <c r="EP283" i="25"/>
  <c r="FC283" i="25"/>
  <c r="FE283" i="25" s="1"/>
  <c r="FF283" i="25" s="1"/>
  <c r="EP303" i="25"/>
  <c r="FC303" i="25"/>
  <c r="FE303" i="25" s="1"/>
  <c r="FF303" i="25" s="1"/>
  <c r="EP245" i="25"/>
  <c r="FC245" i="25"/>
  <c r="FE245" i="25" s="1"/>
  <c r="FF245" i="25" s="1"/>
  <c r="FC260" i="25"/>
  <c r="FE260" i="25" s="1"/>
  <c r="FF260" i="25" s="1"/>
  <c r="EP260" i="25"/>
  <c r="FC224" i="25"/>
  <c r="FE224" i="25" s="1"/>
  <c r="FF224" i="25" s="1"/>
  <c r="EP224" i="25"/>
  <c r="EP241" i="25"/>
  <c r="FC241" i="25"/>
  <c r="FE241" i="25" s="1"/>
  <c r="FF241" i="25" s="1"/>
  <c r="FC271" i="25"/>
  <c r="FE271" i="25" s="1"/>
  <c r="FF271" i="25" s="1"/>
  <c r="EP271" i="25"/>
  <c r="EP267" i="25"/>
  <c r="FC267" i="25"/>
  <c r="FE267" i="25" s="1"/>
  <c r="FF267" i="25" s="1"/>
  <c r="EP250" i="25"/>
  <c r="FC250" i="25"/>
  <c r="FE250" i="25" s="1"/>
  <c r="FF250" i="25" s="1"/>
  <c r="EP307" i="25"/>
  <c r="FC307" i="25"/>
  <c r="FE307" i="25" s="1"/>
  <c r="FF307" i="25" s="1"/>
  <c r="EP268" i="25"/>
  <c r="FC268" i="25"/>
  <c r="FE268" i="25" s="1"/>
  <c r="FF268" i="25" s="1"/>
  <c r="FC251" i="25"/>
  <c r="FE251" i="25" s="1"/>
  <c r="FF251" i="25" s="1"/>
  <c r="EP251" i="25"/>
  <c r="EP299" i="25"/>
  <c r="FC299" i="25"/>
  <c r="FE299" i="25" s="1"/>
  <c r="FF299" i="25" s="1"/>
  <c r="FC247" i="25"/>
  <c r="FE247" i="25" s="1"/>
  <c r="FF247" i="25" s="1"/>
  <c r="EP247" i="25"/>
  <c r="EP220" i="25"/>
  <c r="FC220" i="25"/>
  <c r="FE220" i="25" s="1"/>
  <c r="FF220" i="25" s="1"/>
  <c r="EP297" i="25"/>
  <c r="FC297" i="25"/>
  <c r="FE297" i="25" s="1"/>
  <c r="FF297" i="25" s="1"/>
  <c r="EP314" i="25"/>
  <c r="FC314" i="25"/>
  <c r="FE314" i="25" s="1"/>
  <c r="FF314" i="25" s="1"/>
  <c r="FC272" i="25"/>
  <c r="FE272" i="25" s="1"/>
  <c r="FF272" i="25" s="1"/>
  <c r="EP272" i="25"/>
  <c r="FC310" i="25"/>
  <c r="FE310" i="25" s="1"/>
  <c r="FF310" i="25" s="1"/>
  <c r="EP310" i="25"/>
  <c r="EP285" i="25"/>
  <c r="FC285" i="25"/>
  <c r="FE285" i="25" s="1"/>
  <c r="FF285" i="25" s="1"/>
  <c r="FC232" i="25"/>
  <c r="FE232" i="25" s="1"/>
  <c r="FF232" i="25" s="1"/>
  <c r="EP232" i="25"/>
  <c r="EP244" i="25"/>
  <c r="FC244" i="25"/>
  <c r="FE244" i="25" s="1"/>
  <c r="FF244" i="25" s="1"/>
  <c r="FC223" i="25"/>
  <c r="FE223" i="25" s="1"/>
  <c r="FF223" i="25" s="1"/>
  <c r="EP223" i="25"/>
  <c r="FC218" i="25"/>
  <c r="FE218" i="25" s="1"/>
  <c r="FF218" i="25" s="1"/>
  <c r="EP218" i="25"/>
  <c r="EP242" i="25"/>
  <c r="FC242" i="25"/>
  <c r="FE242" i="25" s="1"/>
  <c r="FF242" i="25" s="1"/>
  <c r="EP292" i="25"/>
  <c r="FC292" i="25"/>
  <c r="FE292" i="25" s="1"/>
  <c r="FF292" i="25" s="1"/>
  <c r="EP308" i="25"/>
  <c r="FC308" i="25"/>
  <c r="FE308" i="25" s="1"/>
  <c r="FF308" i="25" s="1"/>
  <c r="EP265" i="25"/>
  <c r="FC265" i="25"/>
  <c r="FE265" i="25" s="1"/>
  <c r="FF265" i="25" s="1"/>
  <c r="FC277" i="25"/>
  <c r="FE277" i="25" s="1"/>
  <c r="FF277" i="25" s="1"/>
  <c r="EP277" i="25"/>
  <c r="EP236" i="25"/>
  <c r="FC236" i="25"/>
  <c r="FE236" i="25" s="1"/>
  <c r="FF236" i="25" s="1"/>
  <c r="EP287" i="25"/>
  <c r="FC287" i="25"/>
  <c r="FE287" i="25" s="1"/>
  <c r="FF287" i="25" s="1"/>
  <c r="EP264" i="25"/>
  <c r="FC264" i="25"/>
  <c r="FE264" i="25" s="1"/>
  <c r="FF264" i="25" s="1"/>
  <c r="EP313" i="25"/>
  <c r="FC313" i="25"/>
  <c r="FE313" i="25" s="1"/>
  <c r="FF313" i="25" s="1"/>
  <c r="FC302" i="25"/>
  <c r="FE302" i="25" s="1"/>
  <c r="FF302" i="25" s="1"/>
  <c r="EP302" i="25"/>
  <c r="EP225" i="25"/>
  <c r="FC225" i="25"/>
  <c r="FE225" i="25" s="1"/>
  <c r="FF225" i="25" s="1"/>
  <c r="FC295" i="25"/>
  <c r="FE295" i="25" s="1"/>
  <c r="FF295" i="25" s="1"/>
  <c r="EP295" i="25"/>
  <c r="FC266" i="25"/>
  <c r="FE266" i="25" s="1"/>
  <c r="FF266" i="25" s="1"/>
  <c r="EP266" i="25"/>
  <c r="EP298" i="25"/>
  <c r="FC298" i="25"/>
  <c r="FE298" i="25" s="1"/>
  <c r="FF298" i="25" s="1"/>
  <c r="FC219" i="25"/>
  <c r="FE219" i="25" s="1"/>
  <c r="FF219" i="25" s="1"/>
  <c r="EP219" i="25"/>
  <c r="FC300" i="25"/>
  <c r="FE300" i="25" s="1"/>
  <c r="FF300" i="25" s="1"/>
  <c r="EP300" i="25"/>
  <c r="FC235" i="25"/>
  <c r="FE235" i="25" s="1"/>
  <c r="FF235" i="25" s="1"/>
  <c r="EP235" i="25"/>
  <c r="EP269" i="25"/>
  <c r="FC269" i="25"/>
  <c r="FE269" i="25" s="1"/>
  <c r="FF269" i="25" s="1"/>
  <c r="EP304" i="25"/>
  <c r="FC304" i="25"/>
  <c r="FE304" i="25" s="1"/>
  <c r="FF304" i="25" s="1"/>
  <c r="EP229" i="25"/>
  <c r="FC229" i="25"/>
  <c r="FE229" i="25" s="1"/>
  <c r="FF229" i="25" s="1"/>
  <c r="EP289" i="25"/>
  <c r="FC289" i="25"/>
  <c r="FE289" i="25" s="1"/>
  <c r="FF289" i="25" s="1"/>
  <c r="FC262" i="25"/>
  <c r="FE262" i="25" s="1"/>
  <c r="FF262" i="25" s="1"/>
  <c r="EP262" i="25"/>
  <c r="FC231" i="25"/>
  <c r="FE231" i="25" s="1"/>
  <c r="FF231" i="25" s="1"/>
  <c r="EP231" i="25"/>
  <c r="EP293" i="25"/>
  <c r="FC293" i="25"/>
  <c r="FE293" i="25" s="1"/>
  <c r="FF293" i="25" s="1"/>
  <c r="EP270" i="25"/>
  <c r="FC270" i="25"/>
  <c r="FE270" i="25" s="1"/>
  <c r="FF270" i="25" s="1"/>
  <c r="FC258" i="25"/>
  <c r="FE258" i="25" s="1"/>
  <c r="FF258" i="25" s="1"/>
  <c r="EP258" i="25"/>
  <c r="EP291" i="25"/>
  <c r="FC291" i="25"/>
  <c r="FE291" i="25" s="1"/>
  <c r="FF291" i="25" s="1"/>
  <c r="EP228" i="25"/>
  <c r="FC228" i="25"/>
  <c r="FE228" i="25" s="1"/>
  <c r="FF228" i="25" s="1"/>
  <c r="EP216" i="25"/>
  <c r="FC216" i="25"/>
  <c r="FE216" i="25" s="1"/>
  <c r="FF216" i="25" s="1"/>
  <c r="EP276" i="25"/>
  <c r="FC276" i="25"/>
  <c r="FE276" i="25" s="1"/>
  <c r="FF276" i="25" s="1"/>
  <c r="EP248" i="25"/>
  <c r="FC248" i="25"/>
  <c r="FE248" i="25" s="1"/>
  <c r="FF248" i="25" s="1"/>
  <c r="EP238" i="25"/>
  <c r="FC238" i="25"/>
  <c r="FE238" i="25" s="1"/>
  <c r="FF238" i="25" s="1"/>
  <c r="FC257" i="25"/>
  <c r="FE257" i="25" s="1"/>
  <c r="FF257" i="25" s="1"/>
  <c r="EP257" i="25"/>
  <c r="EP255" i="25"/>
  <c r="FC255" i="25"/>
  <c r="FE255" i="25" s="1"/>
  <c r="FF255" i="25" s="1"/>
  <c r="FC230" i="25"/>
  <c r="FE230" i="25" s="1"/>
  <c r="FF230" i="25" s="1"/>
  <c r="EP230" i="25"/>
  <c r="EP305" i="25"/>
  <c r="FC305" i="25"/>
  <c r="FE305" i="25" s="1"/>
  <c r="FF305" i="25" s="1"/>
  <c r="EP237" i="25"/>
  <c r="FC237" i="25"/>
  <c r="FE237" i="25" s="1"/>
  <c r="FF237" i="25" s="1"/>
  <c r="FC294" i="25"/>
  <c r="FE294" i="25" s="1"/>
  <c r="FF294" i="25" s="1"/>
  <c r="EP294" i="25"/>
  <c r="FC278" i="25"/>
  <c r="FE278" i="25" s="1"/>
  <c r="FF278" i="25" s="1"/>
  <c r="EP278" i="25"/>
  <c r="FC274" i="25"/>
  <c r="FE274" i="25" s="1"/>
  <c r="FF274" i="25" s="1"/>
  <c r="EP274" i="25"/>
  <c r="EP252" i="25"/>
  <c r="FC252" i="25"/>
  <c r="FE252" i="25" s="1"/>
  <c r="FF252" i="25" s="1"/>
  <c r="EZ74" i="24"/>
  <c r="FB74" i="24" s="1"/>
  <c r="EK142" i="24"/>
  <c r="FC142" i="24" s="1"/>
  <c r="FE142" i="24" s="1"/>
  <c r="FF142" i="24" s="1"/>
  <c r="FC112" i="25"/>
  <c r="FE112" i="25" s="1"/>
  <c r="FF112" i="25" s="1"/>
  <c r="EP112" i="25"/>
  <c r="EZ43" i="24"/>
  <c r="FB43" i="24" s="1"/>
  <c r="EK39" i="24"/>
  <c r="EQ39" i="24" s="1"/>
  <c r="ER39" i="24" s="1"/>
  <c r="EZ39" i="24"/>
  <c r="FB39" i="24" s="1"/>
  <c r="EW152" i="24"/>
  <c r="FB152" i="24" s="1"/>
  <c r="EK52" i="24"/>
  <c r="EQ52" i="24" s="1"/>
  <c r="ER52" i="24" s="1"/>
  <c r="FC47" i="25"/>
  <c r="FE47" i="25" s="1"/>
  <c r="FF47" i="25" s="1"/>
  <c r="EK63" i="24"/>
  <c r="EQ63" i="24" s="1"/>
  <c r="ER63" i="24" s="1"/>
  <c r="EZ55" i="24"/>
  <c r="FB55" i="24" s="1"/>
  <c r="EW37" i="24"/>
  <c r="EZ37" i="24" s="1"/>
  <c r="FB37" i="24" s="1"/>
  <c r="EK44" i="24"/>
  <c r="EQ44" i="24" s="1"/>
  <c r="ER44" i="24" s="1"/>
  <c r="EZ44" i="24"/>
  <c r="FB44" i="24" s="1"/>
  <c r="FC96" i="25"/>
  <c r="FE96" i="25" s="1"/>
  <c r="FF96" i="25" s="1"/>
  <c r="EW83" i="24"/>
  <c r="EZ83" i="24" s="1"/>
  <c r="FB83" i="24" s="1"/>
  <c r="EW186" i="24"/>
  <c r="FB186" i="24" s="1"/>
  <c r="EW134" i="24"/>
  <c r="FC134" i="24" s="1"/>
  <c r="FE134" i="24" s="1"/>
  <c r="FF134" i="24" s="1"/>
  <c r="EW160" i="24"/>
  <c r="FB160" i="24" s="1"/>
  <c r="FB133" i="24"/>
  <c r="FC164" i="25"/>
  <c r="FE164" i="25" s="1"/>
  <c r="FF164" i="25" s="1"/>
  <c r="EK169" i="24"/>
  <c r="EW169" i="24"/>
  <c r="FB169" i="24" s="1"/>
  <c r="EK133" i="24"/>
  <c r="ER133" i="24" s="1"/>
  <c r="EK111" i="24"/>
  <c r="FC111" i="24" s="1"/>
  <c r="FE111" i="24" s="1"/>
  <c r="FF111" i="24" s="1"/>
  <c r="EZ52" i="24"/>
  <c r="FB52" i="24" s="1"/>
  <c r="EW126" i="24"/>
  <c r="FB126" i="24" s="1"/>
  <c r="EW127" i="24"/>
  <c r="FB127" i="24" s="1"/>
  <c r="FC128" i="25"/>
  <c r="FE128" i="25" s="1"/>
  <c r="FF128" i="25" s="1"/>
  <c r="FC64" i="25"/>
  <c r="FE64" i="25" s="1"/>
  <c r="FF64" i="25" s="1"/>
  <c r="FC103" i="25"/>
  <c r="FE103" i="25" s="1"/>
  <c r="FF103" i="25" s="1"/>
  <c r="EP96" i="25"/>
  <c r="EW104" i="24"/>
  <c r="EZ104" i="24" s="1"/>
  <c r="FB104" i="24" s="1"/>
  <c r="EW136" i="24"/>
  <c r="FB136" i="24" s="1"/>
  <c r="FC89" i="25"/>
  <c r="FE89" i="25" s="1"/>
  <c r="FF89" i="25" s="1"/>
  <c r="EW48" i="24"/>
  <c r="EZ48" i="24" s="1"/>
  <c r="EW30" i="24"/>
  <c r="EZ30" i="24" s="1"/>
  <c r="FB30" i="24" s="1"/>
  <c r="FC93" i="25"/>
  <c r="FE93" i="25" s="1"/>
  <c r="FF93" i="25" s="1"/>
  <c r="FC145" i="25"/>
  <c r="FE145" i="25" s="1"/>
  <c r="FF145" i="25" s="1"/>
  <c r="FB111" i="24"/>
  <c r="EP47" i="25"/>
  <c r="FC156" i="25"/>
  <c r="FE156" i="25" s="1"/>
  <c r="FF156" i="25" s="1"/>
  <c r="FC183" i="25"/>
  <c r="FE183" i="25" s="1"/>
  <c r="FF183" i="25" s="1"/>
  <c r="EK14" i="24"/>
  <c r="EQ14" i="24" s="1"/>
  <c r="FB192" i="24"/>
  <c r="EZ63" i="24"/>
  <c r="FB63" i="24" s="1"/>
  <c r="EK55" i="24"/>
  <c r="EQ55" i="24" s="1"/>
  <c r="ER55" i="24" s="1"/>
  <c r="EK40" i="24"/>
  <c r="EQ40" i="24" s="1"/>
  <c r="ER40" i="24" s="1"/>
  <c r="EW71" i="24"/>
  <c r="EZ71" i="24" s="1"/>
  <c r="FB172" i="24"/>
  <c r="EW29" i="24"/>
  <c r="EZ29" i="24" s="1"/>
  <c r="FB29" i="24" s="1"/>
  <c r="EW199" i="24"/>
  <c r="FB199" i="24" s="1"/>
  <c r="EZ14" i="24"/>
  <c r="FB14" i="24" s="1"/>
  <c r="FC131" i="25"/>
  <c r="FE131" i="25" s="1"/>
  <c r="FF131" i="25" s="1"/>
  <c r="FC74" i="25"/>
  <c r="FE74" i="25" s="1"/>
  <c r="FF74" i="25" s="1"/>
  <c r="EK62" i="24"/>
  <c r="EQ62" i="24" s="1"/>
  <c r="ER62" i="24" s="1"/>
  <c r="FC185" i="25"/>
  <c r="FE185" i="25" s="1"/>
  <c r="FF185" i="25" s="1"/>
  <c r="EZ81" i="24"/>
  <c r="FB81" i="24" s="1"/>
  <c r="EK192" i="24"/>
  <c r="ER192" i="24" s="1"/>
  <c r="EK172" i="24"/>
  <c r="ER172" i="24" s="1"/>
  <c r="FB159" i="24"/>
  <c r="EW147" i="24"/>
  <c r="FC147" i="24" s="1"/>
  <c r="FE147" i="24" s="1"/>
  <c r="FF147" i="24" s="1"/>
  <c r="FC173" i="25"/>
  <c r="FE173" i="25" s="1"/>
  <c r="FF173" i="25" s="1"/>
  <c r="FC17" i="25"/>
  <c r="FE17" i="25" s="1"/>
  <c r="FF17" i="25" s="1"/>
  <c r="FC33" i="25"/>
  <c r="FE33" i="25" s="1"/>
  <c r="FF33" i="25" s="1"/>
  <c r="EP158" i="25"/>
  <c r="FC97" i="25"/>
  <c r="FE97" i="25" s="1"/>
  <c r="FF97" i="25" s="1"/>
  <c r="FB170" i="24"/>
  <c r="FC95" i="25"/>
  <c r="FE95" i="25" s="1"/>
  <c r="FF95" i="25" s="1"/>
  <c r="EP95" i="25"/>
  <c r="EK170" i="24"/>
  <c r="FC170" i="24" s="1"/>
  <c r="FE170" i="24" s="1"/>
  <c r="FF170" i="24" s="1"/>
  <c r="EK81" i="24"/>
  <c r="EQ81" i="24" s="1"/>
  <c r="ER81" i="24" s="1"/>
  <c r="EK43" i="24"/>
  <c r="EQ43" i="24" s="1"/>
  <c r="ER43" i="24" s="1"/>
  <c r="EK23" i="24"/>
  <c r="EQ23" i="24" s="1"/>
  <c r="ER23" i="24" s="1"/>
  <c r="FC99" i="25"/>
  <c r="FE99" i="25" s="1"/>
  <c r="FF99" i="25" s="1"/>
  <c r="FC90" i="25"/>
  <c r="FE90" i="25" s="1"/>
  <c r="FF90" i="25" s="1"/>
  <c r="EP199" i="25"/>
  <c r="FC77" i="25"/>
  <c r="FE77" i="25" s="1"/>
  <c r="FF77" i="25" s="1"/>
  <c r="FC58" i="25"/>
  <c r="FE58" i="25" s="1"/>
  <c r="FF58" i="25" s="1"/>
  <c r="EP137" i="25"/>
  <c r="FC37" i="25"/>
  <c r="FE37" i="25" s="1"/>
  <c r="FF37" i="25" s="1"/>
  <c r="FC42" i="25"/>
  <c r="FE42" i="25" s="1"/>
  <c r="FF42" i="25" s="1"/>
  <c r="FC73" i="25"/>
  <c r="FE73" i="25" s="1"/>
  <c r="FF73" i="25" s="1"/>
  <c r="FC56" i="25"/>
  <c r="FE56" i="25" s="1"/>
  <c r="FF56" i="25" s="1"/>
  <c r="EW10" i="24"/>
  <c r="EZ10" i="24" s="1"/>
  <c r="FB10" i="24" s="1"/>
  <c r="FB169" i="25"/>
  <c r="FC178" i="25"/>
  <c r="FE178" i="25" s="1"/>
  <c r="FF178" i="25" s="1"/>
  <c r="EZ40" i="24"/>
  <c r="FB40" i="24" s="1"/>
  <c r="FC194" i="25"/>
  <c r="FE194" i="25" s="1"/>
  <c r="FF194" i="25" s="1"/>
  <c r="S216" i="24"/>
  <c r="T216" i="24" s="1"/>
  <c r="M216" i="24"/>
  <c r="N216" i="24" s="1"/>
  <c r="EK90" i="24"/>
  <c r="EQ90" i="24" s="1"/>
  <c r="EW90" i="24"/>
  <c r="EZ90" i="24" s="1"/>
  <c r="FB90" i="24" s="1"/>
  <c r="FB142" i="24"/>
  <c r="EK99" i="24"/>
  <c r="EQ99" i="24" s="1"/>
  <c r="ER99" i="24" s="1"/>
  <c r="EW124" i="24"/>
  <c r="FB124" i="24" s="1"/>
  <c r="FC171" i="25"/>
  <c r="FE171" i="25" s="1"/>
  <c r="FF171" i="25" s="1"/>
  <c r="EZ99" i="24"/>
  <c r="FB99" i="24" s="1"/>
  <c r="FC83" i="25"/>
  <c r="FE83" i="25" s="1"/>
  <c r="FF83" i="25" s="1"/>
  <c r="FC129" i="25"/>
  <c r="FE129" i="25" s="1"/>
  <c r="FF129" i="25" s="1"/>
  <c r="EP141" i="25"/>
  <c r="EZ23" i="24"/>
  <c r="FB23" i="24" s="1"/>
  <c r="EW201" i="24"/>
  <c r="FB201" i="24" s="1"/>
  <c r="EZ67" i="24"/>
  <c r="FB67" i="24" s="1"/>
  <c r="EZ77" i="24"/>
  <c r="FB77" i="24" s="1"/>
  <c r="FC25" i="25"/>
  <c r="FE25" i="25" s="1"/>
  <c r="FF25" i="25" s="1"/>
  <c r="Q110" i="24"/>
  <c r="AP110" i="24"/>
  <c r="P110" i="24"/>
  <c r="V110" i="24"/>
  <c r="W110" i="24"/>
  <c r="AE110" i="24"/>
  <c r="AI110" i="24"/>
  <c r="X110" i="24"/>
  <c r="AA110" i="24" s="1"/>
  <c r="AB110" i="24" s="1"/>
  <c r="AC110" i="24" s="1"/>
  <c r="FC49" i="25"/>
  <c r="FE49" i="25" s="1"/>
  <c r="FF49" i="25" s="1"/>
  <c r="FC34" i="25"/>
  <c r="FE34" i="25" s="1"/>
  <c r="FF34" i="25" s="1"/>
  <c r="FC81" i="25"/>
  <c r="FE81" i="25" s="1"/>
  <c r="FF81" i="25" s="1"/>
  <c r="EP180" i="25"/>
  <c r="FC87" i="25"/>
  <c r="FE87" i="25" s="1"/>
  <c r="FF87" i="25" s="1"/>
  <c r="FC9" i="25"/>
  <c r="FE9" i="25" s="1"/>
  <c r="FF9" i="25" s="1"/>
  <c r="FC111" i="25"/>
  <c r="FE111" i="25" s="1"/>
  <c r="FF111" i="25" s="1"/>
  <c r="FC23" i="25"/>
  <c r="FE23" i="25" s="1"/>
  <c r="FF23" i="25" s="1"/>
  <c r="EW13" i="24"/>
  <c r="EZ13" i="24" s="1"/>
  <c r="FB13" i="24" s="1"/>
  <c r="EZ62" i="24"/>
  <c r="FB62" i="24" s="1"/>
  <c r="FC72" i="25"/>
  <c r="FE72" i="25" s="1"/>
  <c r="FF72" i="25" s="1"/>
  <c r="EP72" i="25"/>
  <c r="EP10" i="25"/>
  <c r="FC10" i="25"/>
  <c r="FE10" i="25" s="1"/>
  <c r="FF10" i="25" s="1"/>
  <c r="EP210" i="25"/>
  <c r="FC210" i="25"/>
  <c r="FE210" i="25" s="1"/>
  <c r="FF210" i="25" s="1"/>
  <c r="FC195" i="25"/>
  <c r="FE195" i="25" s="1"/>
  <c r="FF195" i="25" s="1"/>
  <c r="EP195" i="25"/>
  <c r="EP134" i="25"/>
  <c r="FC134" i="25"/>
  <c r="FE134" i="25" s="1"/>
  <c r="FF134" i="25" s="1"/>
  <c r="FC60" i="25"/>
  <c r="FE60" i="25" s="1"/>
  <c r="FF60" i="25" s="1"/>
  <c r="EP60" i="25"/>
  <c r="EP154" i="25"/>
  <c r="FC154" i="25"/>
  <c r="FE154" i="25" s="1"/>
  <c r="FF154" i="25" s="1"/>
  <c r="EP150" i="25"/>
  <c r="FC150" i="25"/>
  <c r="FE150" i="25" s="1"/>
  <c r="FF150" i="25" s="1"/>
  <c r="FC113" i="25"/>
  <c r="FE113" i="25" s="1"/>
  <c r="FF113" i="25" s="1"/>
  <c r="EP113" i="25"/>
  <c r="FC148" i="25"/>
  <c r="FE148" i="25" s="1"/>
  <c r="FF148" i="25" s="1"/>
  <c r="EP148" i="25"/>
  <c r="EP20" i="25"/>
  <c r="FC20" i="25"/>
  <c r="FE20" i="25" s="1"/>
  <c r="FF20" i="25" s="1"/>
  <c r="EP142" i="25"/>
  <c r="FC142" i="25"/>
  <c r="FE142" i="25" s="1"/>
  <c r="FF142" i="25" s="1"/>
  <c r="EP53" i="25"/>
  <c r="FC53" i="25"/>
  <c r="FE53" i="25" s="1"/>
  <c r="FF53" i="25" s="1"/>
  <c r="EP196" i="25"/>
  <c r="FC196" i="25"/>
  <c r="FE196" i="25" s="1"/>
  <c r="FF196" i="25" s="1"/>
  <c r="FC16" i="25"/>
  <c r="FE16" i="25" s="1"/>
  <c r="FF16" i="25" s="1"/>
  <c r="EP16" i="25"/>
  <c r="FC202" i="25"/>
  <c r="FE202" i="25" s="1"/>
  <c r="FF202" i="25" s="1"/>
  <c r="EP202" i="25"/>
  <c r="FC152" i="25"/>
  <c r="FE152" i="25" s="1"/>
  <c r="FF152" i="25" s="1"/>
  <c r="EP152" i="25"/>
  <c r="EP167" i="25"/>
  <c r="FC167" i="25"/>
  <c r="FE167" i="25" s="1"/>
  <c r="FF167" i="25" s="1"/>
  <c r="FC127" i="25"/>
  <c r="FE127" i="25" s="1"/>
  <c r="FF127" i="25" s="1"/>
  <c r="EP127" i="25"/>
  <c r="FC163" i="25"/>
  <c r="FE163" i="25" s="1"/>
  <c r="FF163" i="25" s="1"/>
  <c r="EP163" i="25"/>
  <c r="FC110" i="25"/>
  <c r="FE110" i="25" s="1"/>
  <c r="FF110" i="25" s="1"/>
  <c r="EP110" i="25"/>
  <c r="FC124" i="25"/>
  <c r="FE124" i="25" s="1"/>
  <c r="FF124" i="25" s="1"/>
  <c r="EP124" i="25"/>
  <c r="EP125" i="25"/>
  <c r="FC125" i="25"/>
  <c r="FE125" i="25" s="1"/>
  <c r="FF125" i="25" s="1"/>
  <c r="FC52" i="25"/>
  <c r="FE52" i="25" s="1"/>
  <c r="FF52" i="25" s="1"/>
  <c r="EP52" i="25"/>
  <c r="FC126" i="25"/>
  <c r="FE126" i="25" s="1"/>
  <c r="FF126" i="25" s="1"/>
  <c r="EP126" i="25"/>
  <c r="FC184" i="25"/>
  <c r="FE184" i="25" s="1"/>
  <c r="FF184" i="25" s="1"/>
  <c r="EP184" i="25"/>
  <c r="EP188" i="25"/>
  <c r="FC188" i="25"/>
  <c r="FE188" i="25" s="1"/>
  <c r="FF188" i="25" s="1"/>
  <c r="EP86" i="25"/>
  <c r="FC86" i="25"/>
  <c r="FE86" i="25" s="1"/>
  <c r="FF86" i="25" s="1"/>
  <c r="EP114" i="25"/>
  <c r="FC114" i="25"/>
  <c r="FE114" i="25" s="1"/>
  <c r="FF114" i="25" s="1"/>
  <c r="EP65" i="25"/>
  <c r="FC65" i="25"/>
  <c r="FE65" i="25" s="1"/>
  <c r="FF65" i="25" s="1"/>
  <c r="FC79" i="25"/>
  <c r="FE79" i="25" s="1"/>
  <c r="FF79" i="25" s="1"/>
  <c r="EP79" i="25"/>
  <c r="FC166" i="25"/>
  <c r="FE166" i="25" s="1"/>
  <c r="FF166" i="25" s="1"/>
  <c r="EP166" i="25"/>
  <c r="FC203" i="25"/>
  <c r="FE203" i="25" s="1"/>
  <c r="FF203" i="25" s="1"/>
  <c r="EP203" i="25"/>
  <c r="FC198" i="25"/>
  <c r="FE198" i="25" s="1"/>
  <c r="FF198" i="25" s="1"/>
  <c r="EP198" i="25"/>
  <c r="EP51" i="25"/>
  <c r="FC51" i="25"/>
  <c r="FE51" i="25" s="1"/>
  <c r="FF51" i="25" s="1"/>
  <c r="FC55" i="25"/>
  <c r="FE55" i="25" s="1"/>
  <c r="FF55" i="25" s="1"/>
  <c r="EP55" i="25"/>
  <c r="FC31" i="25"/>
  <c r="FE31" i="25" s="1"/>
  <c r="FF31" i="25" s="1"/>
  <c r="EP31" i="25"/>
  <c r="EP82" i="25"/>
  <c r="FC82" i="25"/>
  <c r="FE82" i="25" s="1"/>
  <c r="FF82" i="25" s="1"/>
  <c r="EP61" i="25"/>
  <c r="FC61" i="25"/>
  <c r="FE61" i="25" s="1"/>
  <c r="FF61" i="25" s="1"/>
  <c r="FC140" i="25"/>
  <c r="FE140" i="25" s="1"/>
  <c r="FF140" i="25" s="1"/>
  <c r="EP140" i="25"/>
  <c r="EP193" i="25"/>
  <c r="FC193" i="25"/>
  <c r="FE193" i="25" s="1"/>
  <c r="FF193" i="25" s="1"/>
  <c r="FC117" i="25"/>
  <c r="FE117" i="25" s="1"/>
  <c r="FF117" i="25" s="1"/>
  <c r="EP117" i="25"/>
  <c r="FC175" i="25"/>
  <c r="FE175" i="25" s="1"/>
  <c r="FF175" i="25" s="1"/>
  <c r="EP175" i="25"/>
  <c r="FC172" i="25"/>
  <c r="FE172" i="25" s="1"/>
  <c r="FF172" i="25" s="1"/>
  <c r="EP172" i="25"/>
  <c r="EP26" i="25"/>
  <c r="FC26" i="25"/>
  <c r="FE26" i="25" s="1"/>
  <c r="FF26" i="25" s="1"/>
  <c r="EP68" i="25"/>
  <c r="FC68" i="25"/>
  <c r="FE68" i="25" s="1"/>
  <c r="FF68" i="25" s="1"/>
  <c r="EP192" i="25"/>
  <c r="FC192" i="25"/>
  <c r="FE192" i="25" s="1"/>
  <c r="FF192" i="25" s="1"/>
  <c r="EP209" i="25"/>
  <c r="FC209" i="25"/>
  <c r="FE209" i="25" s="1"/>
  <c r="FF209" i="25" s="1"/>
  <c r="FC186" i="25"/>
  <c r="FE186" i="25" s="1"/>
  <c r="FF186" i="25" s="1"/>
  <c r="EP186" i="25"/>
  <c r="FC7" i="25"/>
  <c r="FE7" i="25" s="1"/>
  <c r="FF7" i="25" s="1"/>
  <c r="EP7" i="25"/>
  <c r="EP122" i="25"/>
  <c r="FC122" i="25"/>
  <c r="FE122" i="25" s="1"/>
  <c r="FF122" i="25" s="1"/>
  <c r="EP146" i="25"/>
  <c r="FC146" i="25"/>
  <c r="FE146" i="25" s="1"/>
  <c r="FF146" i="25" s="1"/>
  <c r="EP12" i="25"/>
  <c r="FC12" i="25"/>
  <c r="FE12" i="25" s="1"/>
  <c r="FF12" i="25" s="1"/>
  <c r="FC190" i="25"/>
  <c r="FE190" i="25" s="1"/>
  <c r="FF190" i="25" s="1"/>
  <c r="EP190" i="25"/>
  <c r="FC22" i="25"/>
  <c r="FE22" i="25" s="1"/>
  <c r="FF22" i="25" s="1"/>
  <c r="EP22" i="25"/>
  <c r="EP200" i="25"/>
  <c r="FC200" i="25"/>
  <c r="FE200" i="25" s="1"/>
  <c r="FF200" i="25" s="1"/>
  <c r="EP21" i="25"/>
  <c r="FC21" i="25"/>
  <c r="FE21" i="25" s="1"/>
  <c r="FF21" i="25" s="1"/>
  <c r="EP57" i="25"/>
  <c r="FC57" i="25"/>
  <c r="FE57" i="25" s="1"/>
  <c r="FF57" i="25" s="1"/>
  <c r="FC46" i="25"/>
  <c r="FE46" i="25" s="1"/>
  <c r="FF46" i="25" s="1"/>
  <c r="EP46" i="25"/>
  <c r="EP8" i="25"/>
  <c r="FC8" i="25"/>
  <c r="FE8" i="25" s="1"/>
  <c r="FF8" i="25" s="1"/>
  <c r="FC35" i="25"/>
  <c r="FE35" i="25" s="1"/>
  <c r="FF35" i="25" s="1"/>
  <c r="EP35" i="25"/>
  <c r="EP91" i="25"/>
  <c r="FC91" i="25"/>
  <c r="FE91" i="25" s="1"/>
  <c r="FF91" i="25" s="1"/>
  <c r="EP40" i="25"/>
  <c r="FC40" i="25"/>
  <c r="FE40" i="25" s="1"/>
  <c r="FF40" i="25" s="1"/>
  <c r="EP19" i="25"/>
  <c r="FC19" i="25"/>
  <c r="FE19" i="25" s="1"/>
  <c r="FF19" i="25" s="1"/>
  <c r="FC6" i="25"/>
  <c r="FE6" i="25" s="1"/>
  <c r="FF6" i="25" s="1"/>
  <c r="EP6" i="25"/>
  <c r="EP41" i="25"/>
  <c r="FC41" i="25"/>
  <c r="FE41" i="25" s="1"/>
  <c r="FF41" i="25" s="1"/>
  <c r="EP123" i="25"/>
  <c r="FC123" i="25"/>
  <c r="FE123" i="25" s="1"/>
  <c r="FF123" i="25" s="1"/>
  <c r="EP11" i="25"/>
  <c r="FC11" i="25"/>
  <c r="FE11" i="25" s="1"/>
  <c r="FF11" i="25" s="1"/>
  <c r="EP29" i="25"/>
  <c r="FC29" i="25"/>
  <c r="FE29" i="25" s="1"/>
  <c r="FF29" i="25" s="1"/>
  <c r="FC206" i="25"/>
  <c r="FE206" i="25" s="1"/>
  <c r="FF206" i="25" s="1"/>
  <c r="EP206" i="25"/>
  <c r="EP139" i="25"/>
  <c r="FC139" i="25"/>
  <c r="FE139" i="25" s="1"/>
  <c r="FF139" i="25" s="1"/>
  <c r="EP36" i="25"/>
  <c r="FC36" i="25"/>
  <c r="FE36" i="25" s="1"/>
  <c r="FF36" i="25" s="1"/>
  <c r="FC189" i="25"/>
  <c r="FE189" i="25" s="1"/>
  <c r="FF189" i="25" s="1"/>
  <c r="EP189" i="25"/>
  <c r="EP105" i="25"/>
  <c r="FC105" i="25"/>
  <c r="FE105" i="25" s="1"/>
  <c r="FF105" i="25" s="1"/>
  <c r="FC94" i="25"/>
  <c r="FE94" i="25" s="1"/>
  <c r="FF94" i="25" s="1"/>
  <c r="EP94" i="25"/>
  <c r="FC30" i="25"/>
  <c r="FE30" i="25" s="1"/>
  <c r="FF30" i="25" s="1"/>
  <c r="EP30" i="25"/>
  <c r="FC197" i="25"/>
  <c r="FE197" i="25" s="1"/>
  <c r="FF197" i="25" s="1"/>
  <c r="EP197" i="25"/>
  <c r="EP54" i="25"/>
  <c r="FC54" i="25"/>
  <c r="FE54" i="25" s="1"/>
  <c r="FF54" i="25" s="1"/>
  <c r="FC174" i="25"/>
  <c r="FE174" i="25" s="1"/>
  <c r="FF174" i="25" s="1"/>
  <c r="EP174" i="25"/>
  <c r="FC24" i="25"/>
  <c r="FE24" i="25" s="1"/>
  <c r="FF24" i="25" s="1"/>
  <c r="EP24" i="25"/>
  <c r="FC98" i="25"/>
  <c r="FE98" i="25" s="1"/>
  <c r="FF98" i="25" s="1"/>
  <c r="EP98" i="25"/>
  <c r="FC121" i="25"/>
  <c r="FE121" i="25" s="1"/>
  <c r="FF121" i="25" s="1"/>
  <c r="EP121" i="25"/>
  <c r="EP50" i="25"/>
  <c r="FC50" i="25"/>
  <c r="FE50" i="25" s="1"/>
  <c r="FF50" i="25" s="1"/>
  <c r="FC32" i="25"/>
  <c r="FE32" i="25" s="1"/>
  <c r="FF32" i="25" s="1"/>
  <c r="EP32" i="25"/>
  <c r="EP149" i="25"/>
  <c r="FC149" i="25"/>
  <c r="FE149" i="25" s="1"/>
  <c r="FF149" i="25" s="1"/>
  <c r="FC14" i="25"/>
  <c r="FE14" i="25" s="1"/>
  <c r="FF14" i="25" s="1"/>
  <c r="EP14" i="25"/>
  <c r="FC165" i="25"/>
  <c r="FE165" i="25" s="1"/>
  <c r="FF165" i="25" s="1"/>
  <c r="EP165" i="25"/>
  <c r="FC204" i="25"/>
  <c r="FE204" i="25" s="1"/>
  <c r="FF204" i="25" s="1"/>
  <c r="EP204" i="25"/>
  <c r="EP207" i="25"/>
  <c r="FC207" i="25"/>
  <c r="FE207" i="25" s="1"/>
  <c r="FF207" i="25" s="1"/>
  <c r="FC27" i="25"/>
  <c r="FE27" i="25" s="1"/>
  <c r="FF27" i="25" s="1"/>
  <c r="EP27" i="25"/>
  <c r="FC135" i="25"/>
  <c r="FE135" i="25" s="1"/>
  <c r="FF135" i="25" s="1"/>
  <c r="EP135" i="25"/>
  <c r="FC84" i="25"/>
  <c r="FE84" i="25" s="1"/>
  <c r="FF84" i="25" s="1"/>
  <c r="EP84" i="25"/>
  <c r="EP147" i="25"/>
  <c r="FC147" i="25"/>
  <c r="FE147" i="25" s="1"/>
  <c r="FF147" i="25" s="1"/>
  <c r="EP155" i="25"/>
  <c r="FC155" i="25"/>
  <c r="FE155" i="25" s="1"/>
  <c r="FF155" i="25" s="1"/>
  <c r="FC88" i="25"/>
  <c r="FE88" i="25" s="1"/>
  <c r="FF88" i="25" s="1"/>
  <c r="EP88" i="25"/>
  <c r="FC85" i="25"/>
  <c r="FE85" i="25" s="1"/>
  <c r="FF85" i="25" s="1"/>
  <c r="EP85" i="25"/>
  <c r="FC67" i="25"/>
  <c r="FE67" i="25" s="1"/>
  <c r="FF67" i="25" s="1"/>
  <c r="EP67" i="25"/>
  <c r="EP39" i="25"/>
  <c r="FC39" i="25"/>
  <c r="FE39" i="25" s="1"/>
  <c r="FF39" i="25" s="1"/>
  <c r="FC132" i="25"/>
  <c r="FE132" i="25" s="1"/>
  <c r="FF132" i="25" s="1"/>
  <c r="EP132" i="25"/>
  <c r="FC205" i="25"/>
  <c r="FE205" i="25" s="1"/>
  <c r="FF205" i="25" s="1"/>
  <c r="EP205" i="25"/>
  <c r="FC102" i="25"/>
  <c r="FE102" i="25" s="1"/>
  <c r="FF102" i="25" s="1"/>
  <c r="EP102" i="25"/>
  <c r="EP160" i="25"/>
  <c r="FC160" i="25"/>
  <c r="FE160" i="25" s="1"/>
  <c r="FF160" i="25" s="1"/>
  <c r="FC120" i="25"/>
  <c r="FE120" i="25" s="1"/>
  <c r="FF120" i="25" s="1"/>
  <c r="EP120" i="25"/>
  <c r="EP44" i="25"/>
  <c r="FC44" i="25"/>
  <c r="FE44" i="25" s="1"/>
  <c r="FF44" i="25" s="1"/>
  <c r="FC177" i="25"/>
  <c r="FE177" i="25" s="1"/>
  <c r="FF177" i="25" s="1"/>
  <c r="EP177" i="25"/>
  <c r="EP208" i="25"/>
  <c r="FC208" i="25"/>
  <c r="FE208" i="25" s="1"/>
  <c r="FF208" i="25" s="1"/>
  <c r="EP170" i="25"/>
  <c r="FC170" i="25"/>
  <c r="FE170" i="25" s="1"/>
  <c r="FF170" i="25" s="1"/>
  <c r="EP45" i="25"/>
  <c r="FC45" i="25"/>
  <c r="FE45" i="25" s="1"/>
  <c r="FF45" i="25" s="1"/>
  <c r="FC115" i="25"/>
  <c r="FE115" i="25" s="1"/>
  <c r="FF115" i="25" s="1"/>
  <c r="EP115" i="25"/>
  <c r="EP162" i="25"/>
  <c r="FC162" i="25"/>
  <c r="FE162" i="25" s="1"/>
  <c r="FF162" i="25" s="1"/>
  <c r="EP201" i="25"/>
  <c r="FC201" i="25"/>
  <c r="FE201" i="25" s="1"/>
  <c r="FF201" i="25" s="1"/>
  <c r="EP69" i="25"/>
  <c r="FC69" i="25"/>
  <c r="FE69" i="25" s="1"/>
  <c r="FF69" i="25" s="1"/>
  <c r="FC151" i="25"/>
  <c r="FE151" i="25" s="1"/>
  <c r="FF151" i="25" s="1"/>
  <c r="EP151" i="25"/>
  <c r="EP176" i="25"/>
  <c r="FC176" i="25"/>
  <c r="FE176" i="25" s="1"/>
  <c r="FF176" i="25" s="1"/>
  <c r="EP130" i="25"/>
  <c r="FC130" i="25"/>
  <c r="FE130" i="25" s="1"/>
  <c r="FF130" i="25" s="1"/>
  <c r="FC187" i="25"/>
  <c r="FE187" i="25" s="1"/>
  <c r="FF187" i="25" s="1"/>
  <c r="EP187" i="25"/>
  <c r="EP161" i="25"/>
  <c r="FC161" i="25"/>
  <c r="FE161" i="25" s="1"/>
  <c r="FF161" i="25" s="1"/>
  <c r="EP179" i="25"/>
  <c r="FC179" i="25"/>
  <c r="FE179" i="25" s="1"/>
  <c r="FF179" i="25" s="1"/>
  <c r="FC66" i="25"/>
  <c r="FE66" i="25" s="1"/>
  <c r="FF66" i="25" s="1"/>
  <c r="EP66" i="25"/>
  <c r="EP78" i="25"/>
  <c r="FC78" i="25"/>
  <c r="FE78" i="25" s="1"/>
  <c r="FF78" i="25" s="1"/>
  <c r="FC119" i="25"/>
  <c r="FE119" i="25" s="1"/>
  <c r="FF119" i="25" s="1"/>
  <c r="EP119" i="25"/>
  <c r="EP76" i="25"/>
  <c r="FC76" i="25"/>
  <c r="FE76" i="25" s="1"/>
  <c r="FF76" i="25" s="1"/>
  <c r="EP100" i="25"/>
  <c r="FC100" i="25"/>
  <c r="FE100" i="25" s="1"/>
  <c r="FF100" i="25" s="1"/>
  <c r="EP71" i="25"/>
  <c r="FC71" i="25"/>
  <c r="FE71" i="25" s="1"/>
  <c r="FF71" i="25" s="1"/>
  <c r="EP80" i="25"/>
  <c r="FC80" i="25"/>
  <c r="FE80" i="25" s="1"/>
  <c r="FF80" i="25" s="1"/>
  <c r="EP15" i="25"/>
  <c r="FC15" i="25"/>
  <c r="FE15" i="25" s="1"/>
  <c r="FF15" i="25" s="1"/>
  <c r="FC153" i="25"/>
  <c r="FE153" i="25" s="1"/>
  <c r="FF153" i="25" s="1"/>
  <c r="EP153" i="25"/>
  <c r="EP159" i="25"/>
  <c r="FC159" i="25"/>
  <c r="FE159" i="25" s="1"/>
  <c r="FF159" i="25" s="1"/>
  <c r="FC28" i="25"/>
  <c r="FE28" i="25" s="1"/>
  <c r="FF28" i="25" s="1"/>
  <c r="EP28" i="25"/>
  <c r="EP116" i="25"/>
  <c r="FC116" i="25"/>
  <c r="FE116" i="25" s="1"/>
  <c r="FF116" i="25" s="1"/>
  <c r="EP157" i="25"/>
  <c r="FC157" i="25"/>
  <c r="FE157" i="25" s="1"/>
  <c r="FF157" i="25" s="1"/>
  <c r="EP70" i="25"/>
  <c r="FC70" i="25"/>
  <c r="FE70" i="25" s="1"/>
  <c r="FF70" i="25" s="1"/>
  <c r="FC191" i="25"/>
  <c r="FE191" i="25" s="1"/>
  <c r="FF191" i="25" s="1"/>
  <c r="EP191" i="25"/>
  <c r="EP168" i="25"/>
  <c r="FC168" i="25"/>
  <c r="FE168" i="25" s="1"/>
  <c r="FF168" i="25" s="1"/>
  <c r="EP101" i="25"/>
  <c r="FC101" i="25"/>
  <c r="FE101" i="25" s="1"/>
  <c r="FF101" i="25" s="1"/>
  <c r="FC62" i="25"/>
  <c r="FE62" i="25" s="1"/>
  <c r="FF62" i="25" s="1"/>
  <c r="EP62" i="25"/>
  <c r="FC63" i="25"/>
  <c r="FE63" i="25" s="1"/>
  <c r="FF63" i="25" s="1"/>
  <c r="EP63" i="25"/>
  <c r="FC75" i="25"/>
  <c r="FE75" i="25" s="1"/>
  <c r="FF75" i="25" s="1"/>
  <c r="EP75" i="25"/>
  <c r="EP18" i="25"/>
  <c r="FC18" i="25"/>
  <c r="FE18" i="25" s="1"/>
  <c r="FF18" i="25" s="1"/>
  <c r="FC13" i="25"/>
  <c r="FE13" i="25" s="1"/>
  <c r="FF13" i="25" s="1"/>
  <c r="EP13" i="25"/>
  <c r="FC59" i="25"/>
  <c r="FE59" i="25" s="1"/>
  <c r="FF59" i="25" s="1"/>
  <c r="EP59" i="25"/>
  <c r="FC104" i="25"/>
  <c r="FE104" i="25" s="1"/>
  <c r="FF104" i="25" s="1"/>
  <c r="EP104" i="25"/>
  <c r="FC43" i="25"/>
  <c r="FE43" i="25" s="1"/>
  <c r="FF43" i="25" s="1"/>
  <c r="EP43" i="25"/>
  <c r="EP38" i="25"/>
  <c r="FC38" i="25"/>
  <c r="FE38" i="25" s="1"/>
  <c r="FF38" i="25" s="1"/>
  <c r="EP118" i="25"/>
  <c r="FC118" i="25"/>
  <c r="FE118" i="25" s="1"/>
  <c r="FF118" i="25" s="1"/>
  <c r="EP144" i="25"/>
  <c r="FC144" i="25"/>
  <c r="FE144" i="25" s="1"/>
  <c r="FF144" i="25" s="1"/>
  <c r="EP133" i="25"/>
  <c r="FC133" i="25"/>
  <c r="FE133" i="25" s="1"/>
  <c r="FF133" i="25" s="1"/>
  <c r="EP92" i="25"/>
  <c r="FC92" i="25"/>
  <c r="FE92" i="25" s="1"/>
  <c r="FF92" i="25" s="1"/>
  <c r="FC48" i="25"/>
  <c r="FE48" i="25" s="1"/>
  <c r="FF48" i="25" s="1"/>
  <c r="EP48" i="25"/>
  <c r="EW125" i="24"/>
  <c r="FB125" i="24" s="1"/>
  <c r="EK125" i="24"/>
  <c r="EK151" i="24"/>
  <c r="EW151" i="24"/>
  <c r="FB151" i="24" s="1"/>
  <c r="EK137" i="24"/>
  <c r="EW137" i="24"/>
  <c r="FB137" i="24" s="1"/>
  <c r="EW180" i="24"/>
  <c r="FB180" i="24" s="1"/>
  <c r="EK180" i="24"/>
  <c r="EK129" i="24"/>
  <c r="EW129" i="24"/>
  <c r="FB129" i="24" s="1"/>
  <c r="EW64" i="24"/>
  <c r="EZ64" i="24" s="1"/>
  <c r="FB64" i="24" s="1"/>
  <c r="EK64" i="24"/>
  <c r="EQ64" i="24" s="1"/>
  <c r="EK205" i="24"/>
  <c r="EW205" i="24"/>
  <c r="FB205" i="24" s="1"/>
  <c r="EW7" i="24"/>
  <c r="EZ7" i="24" s="1"/>
  <c r="FB7" i="24" s="1"/>
  <c r="EK7" i="24"/>
  <c r="EQ7" i="24" s="1"/>
  <c r="ER30" i="24"/>
  <c r="EK187" i="24"/>
  <c r="EW187" i="24"/>
  <c r="FB187" i="24" s="1"/>
  <c r="EW128" i="24"/>
  <c r="FB128" i="24" s="1"/>
  <c r="EK128" i="24"/>
  <c r="EW88" i="24"/>
  <c r="EZ88" i="24" s="1"/>
  <c r="FB88" i="24" s="1"/>
  <c r="EK88" i="24"/>
  <c r="EQ88" i="24" s="1"/>
  <c r="EK188" i="24"/>
  <c r="EW188" i="24"/>
  <c r="FB188" i="24" s="1"/>
  <c r="EK189" i="24"/>
  <c r="EW189" i="24"/>
  <c r="FB189" i="24" s="1"/>
  <c r="EW20" i="24"/>
  <c r="EZ20" i="24" s="1"/>
  <c r="FB20" i="24" s="1"/>
  <c r="EK20" i="24"/>
  <c r="EQ20" i="24" s="1"/>
  <c r="EK120" i="24"/>
  <c r="EW120" i="24"/>
  <c r="FB120" i="24" s="1"/>
  <c r="EW86" i="24"/>
  <c r="EZ86" i="24" s="1"/>
  <c r="FB86" i="24" s="1"/>
  <c r="EK86" i="24"/>
  <c r="EQ86" i="24" s="1"/>
  <c r="EW113" i="24"/>
  <c r="FB113" i="24" s="1"/>
  <c r="EK113" i="24"/>
  <c r="EK46" i="24"/>
  <c r="EQ46" i="24" s="1"/>
  <c r="EW46" i="24"/>
  <c r="EZ46" i="24" s="1"/>
  <c r="FB46" i="24" s="1"/>
  <c r="EW116" i="24"/>
  <c r="FB116" i="24" s="1"/>
  <c r="EK116" i="24"/>
  <c r="EK206" i="24"/>
  <c r="EW206" i="24"/>
  <c r="FB206" i="24" s="1"/>
  <c r="EK157" i="24"/>
  <c r="EW157" i="24"/>
  <c r="FB157" i="24" s="1"/>
  <c r="EK25" i="24"/>
  <c r="EQ25" i="24" s="1"/>
  <c r="EW25" i="24"/>
  <c r="EZ25" i="24" s="1"/>
  <c r="FB25" i="24" s="1"/>
  <c r="EW54" i="24"/>
  <c r="EZ54" i="24" s="1"/>
  <c r="FB54" i="24" s="1"/>
  <c r="EK54" i="24"/>
  <c r="EQ54" i="24" s="1"/>
  <c r="EK173" i="24"/>
  <c r="EW173" i="24"/>
  <c r="FB173" i="24" s="1"/>
  <c r="EK163" i="24"/>
  <c r="EW163" i="24"/>
  <c r="FB163" i="24" s="1"/>
  <c r="EW65" i="24"/>
  <c r="EZ65" i="24" s="1"/>
  <c r="FB65" i="24" s="1"/>
  <c r="EK65" i="24"/>
  <c r="EQ65" i="24" s="1"/>
  <c r="EK118" i="24"/>
  <c r="EW118" i="24"/>
  <c r="FB118" i="24" s="1"/>
  <c r="EK53" i="24"/>
  <c r="EQ53" i="24" s="1"/>
  <c r="EW53" i="24"/>
  <c r="EZ53" i="24" s="1"/>
  <c r="FB53" i="24" s="1"/>
  <c r="EW155" i="24"/>
  <c r="FB155" i="24" s="1"/>
  <c r="EK155" i="24"/>
  <c r="EK210" i="24"/>
  <c r="EW210" i="24"/>
  <c r="FB210" i="24" s="1"/>
  <c r="EW98" i="24"/>
  <c r="EZ98" i="24" s="1"/>
  <c r="FB98" i="24" s="1"/>
  <c r="EK98" i="24"/>
  <c r="EQ98" i="24" s="1"/>
  <c r="EK200" i="24"/>
  <c r="EW200" i="24"/>
  <c r="FB200" i="24" s="1"/>
  <c r="ER199" i="24"/>
  <c r="EK70" i="24"/>
  <c r="EQ70" i="24" s="1"/>
  <c r="EW70" i="24"/>
  <c r="EZ70" i="24" s="1"/>
  <c r="FB70" i="24" s="1"/>
  <c r="EW26" i="24"/>
  <c r="EZ26" i="24" s="1"/>
  <c r="FB26" i="24" s="1"/>
  <c r="EK26" i="24"/>
  <c r="EQ26" i="24" s="1"/>
  <c r="EK97" i="24"/>
  <c r="EQ97" i="24" s="1"/>
  <c r="EW97" i="24"/>
  <c r="EZ97" i="24" s="1"/>
  <c r="FB97" i="24" s="1"/>
  <c r="EK28" i="24"/>
  <c r="EQ28" i="24" s="1"/>
  <c r="EW28" i="24"/>
  <c r="EZ28" i="24" s="1"/>
  <c r="FB28" i="24" s="1"/>
  <c r="EK146" i="24"/>
  <c r="EW146" i="24"/>
  <c r="FB146" i="24" s="1"/>
  <c r="EK82" i="24"/>
  <c r="EQ82" i="24" s="1"/>
  <c r="EW82" i="24"/>
  <c r="EZ82" i="24" s="1"/>
  <c r="FB82" i="24" s="1"/>
  <c r="ER134" i="24"/>
  <c r="EW164" i="24"/>
  <c r="FB164" i="24" s="1"/>
  <c r="EK164" i="24"/>
  <c r="EW32" i="24"/>
  <c r="EZ32" i="24" s="1"/>
  <c r="FB32" i="24" s="1"/>
  <c r="EK32" i="24"/>
  <c r="EQ32" i="24" s="1"/>
  <c r="EW143" i="24"/>
  <c r="FB143" i="24" s="1"/>
  <c r="EK143" i="24"/>
  <c r="EK68" i="24"/>
  <c r="EQ68" i="24" s="1"/>
  <c r="EW68" i="24"/>
  <c r="EZ68" i="24" s="1"/>
  <c r="FB68" i="24" s="1"/>
  <c r="EK95" i="24"/>
  <c r="EQ95" i="24" s="1"/>
  <c r="EW95" i="24"/>
  <c r="EZ95" i="24" s="1"/>
  <c r="FB95" i="24" s="1"/>
  <c r="ER96" i="24"/>
  <c r="EK194" i="24"/>
  <c r="EW194" i="24"/>
  <c r="FB194" i="24" s="1"/>
  <c r="EW208" i="24"/>
  <c r="FB208" i="24" s="1"/>
  <c r="EK208" i="24"/>
  <c r="EK135" i="24"/>
  <c r="EW135" i="24"/>
  <c r="FB135" i="24" s="1"/>
  <c r="EW89" i="24"/>
  <c r="EZ89" i="24" s="1"/>
  <c r="FB89" i="24" s="1"/>
  <c r="EK89" i="24"/>
  <c r="EQ89" i="24" s="1"/>
  <c r="EW123" i="24"/>
  <c r="FB123" i="24" s="1"/>
  <c r="EK123" i="24"/>
  <c r="EW58" i="24"/>
  <c r="EZ58" i="24" s="1"/>
  <c r="FB58" i="24" s="1"/>
  <c r="EK58" i="24"/>
  <c r="EQ58" i="24" s="1"/>
  <c r="EW57" i="24"/>
  <c r="EZ57" i="24" s="1"/>
  <c r="FB57" i="24" s="1"/>
  <c r="EK57" i="24"/>
  <c r="EQ57" i="24" s="1"/>
  <c r="ER10" i="24"/>
  <c r="EK174" i="24"/>
  <c r="EW174" i="24"/>
  <c r="FB174" i="24" s="1"/>
  <c r="EK158" i="24"/>
  <c r="EW158" i="24"/>
  <c r="FB158" i="24" s="1"/>
  <c r="ER71" i="24"/>
  <c r="EK18" i="24"/>
  <c r="EQ18" i="24" s="1"/>
  <c r="EW18" i="24"/>
  <c r="EZ18" i="24" s="1"/>
  <c r="FB18" i="24" s="1"/>
  <c r="EK154" i="24"/>
  <c r="EW154" i="24"/>
  <c r="FB154" i="24" s="1"/>
  <c r="EW84" i="24"/>
  <c r="EZ84" i="24" s="1"/>
  <c r="FB84" i="24" s="1"/>
  <c r="EK84" i="24"/>
  <c r="EQ84" i="24" s="1"/>
  <c r="EW91" i="24"/>
  <c r="EZ91" i="24" s="1"/>
  <c r="FB91" i="24" s="1"/>
  <c r="EK91" i="24"/>
  <c r="EQ91" i="24" s="1"/>
  <c r="EW148" i="24"/>
  <c r="FB148" i="24" s="1"/>
  <c r="EK148" i="24"/>
  <c r="ER132" i="24"/>
  <c r="EW85" i="24"/>
  <c r="EZ85" i="24" s="1"/>
  <c r="FB85" i="24" s="1"/>
  <c r="EK85" i="24"/>
  <c r="EQ85" i="24" s="1"/>
  <c r="EK47" i="24"/>
  <c r="EQ47" i="24" s="1"/>
  <c r="EW47" i="24"/>
  <c r="EZ47" i="24" s="1"/>
  <c r="FB47" i="24" s="1"/>
  <c r="EK130" i="24"/>
  <c r="EW130" i="24"/>
  <c r="FB130" i="24" s="1"/>
  <c r="EK36" i="24"/>
  <c r="EQ36" i="24" s="1"/>
  <c r="EW36" i="24"/>
  <c r="EZ36" i="24" s="1"/>
  <c r="FB36" i="24" s="1"/>
  <c r="EW131" i="24"/>
  <c r="FB131" i="24" s="1"/>
  <c r="EK131" i="24"/>
  <c r="EK114" i="24"/>
  <c r="EW114" i="24"/>
  <c r="FB114" i="24" s="1"/>
  <c r="EK196" i="24"/>
  <c r="EW196" i="24"/>
  <c r="FB196" i="24" s="1"/>
  <c r="EK166" i="24"/>
  <c r="EW166" i="24"/>
  <c r="FB166" i="24" s="1"/>
  <c r="EK150" i="24"/>
  <c r="EW150" i="24"/>
  <c r="FB150" i="24" s="1"/>
  <c r="EK161" i="24"/>
  <c r="EW161" i="24"/>
  <c r="FB161" i="24" s="1"/>
  <c r="EK50" i="24"/>
  <c r="EQ50" i="24" s="1"/>
  <c r="EW50" i="24"/>
  <c r="EZ50" i="24" s="1"/>
  <c r="FB50" i="24" s="1"/>
  <c r="EW197" i="24"/>
  <c r="FB197" i="24" s="1"/>
  <c r="EK197" i="24"/>
  <c r="EW27" i="24"/>
  <c r="EZ27" i="24" s="1"/>
  <c r="FB27" i="24" s="1"/>
  <c r="EK27" i="24"/>
  <c r="EQ27" i="24" s="1"/>
  <c r="EW45" i="24"/>
  <c r="EZ45" i="24" s="1"/>
  <c r="FB45" i="24" s="1"/>
  <c r="EK45" i="24"/>
  <c r="EQ45" i="24" s="1"/>
  <c r="EK198" i="24"/>
  <c r="EW198" i="24"/>
  <c r="FB198" i="24" s="1"/>
  <c r="EW165" i="24"/>
  <c r="FB165" i="24" s="1"/>
  <c r="EK165" i="24"/>
  <c r="EK193" i="24"/>
  <c r="EW193" i="24"/>
  <c r="FB193" i="24" s="1"/>
  <c r="EK34" i="24"/>
  <c r="EQ34" i="24" s="1"/>
  <c r="EW34" i="24"/>
  <c r="EZ34" i="24" s="1"/>
  <c r="FB34" i="24" s="1"/>
  <c r="EW31" i="24"/>
  <c r="EZ31" i="24" s="1"/>
  <c r="FB31" i="24" s="1"/>
  <c r="EK31" i="24"/>
  <c r="EQ31" i="24" s="1"/>
  <c r="EK76" i="24"/>
  <c r="EQ76" i="24" s="1"/>
  <c r="EW76" i="24"/>
  <c r="EZ76" i="24" s="1"/>
  <c r="FB76" i="24" s="1"/>
  <c r="EW140" i="24"/>
  <c r="FB140" i="24" s="1"/>
  <c r="EK140" i="24"/>
  <c r="EW203" i="24"/>
  <c r="FB203" i="24" s="1"/>
  <c r="EK203" i="24"/>
  <c r="ER147" i="24"/>
  <c r="EK178" i="24"/>
  <c r="EW178" i="24"/>
  <c r="FB178" i="24" s="1"/>
  <c r="EK153" i="24"/>
  <c r="EW153" i="24"/>
  <c r="FB153" i="24" s="1"/>
  <c r="EK195" i="24"/>
  <c r="EW195" i="24"/>
  <c r="FB195" i="24" s="1"/>
  <c r="EW185" i="24"/>
  <c r="FB185" i="24" s="1"/>
  <c r="EK185" i="24"/>
  <c r="EK59" i="24"/>
  <c r="EQ59" i="24" s="1"/>
  <c r="EW59" i="24"/>
  <c r="EZ59" i="24" s="1"/>
  <c r="FB59" i="24" s="1"/>
  <c r="EW167" i="24"/>
  <c r="FB167" i="24" s="1"/>
  <c r="EK167" i="24"/>
  <c r="EK184" i="24"/>
  <c r="EW184" i="24"/>
  <c r="FB184" i="24" s="1"/>
  <c r="ER152" i="24"/>
  <c r="EW100" i="24"/>
  <c r="EZ100" i="24" s="1"/>
  <c r="FB100" i="24" s="1"/>
  <c r="EK100" i="24"/>
  <c r="EQ100" i="24" s="1"/>
  <c r="EK72" i="24"/>
  <c r="EQ72" i="24" s="1"/>
  <c r="EW72" i="24"/>
  <c r="EZ72" i="24" s="1"/>
  <c r="FB72" i="24" s="1"/>
  <c r="EW79" i="24"/>
  <c r="EZ79" i="24" s="1"/>
  <c r="FB79" i="24" s="1"/>
  <c r="EK79" i="24"/>
  <c r="EQ79" i="24" s="1"/>
  <c r="EW9" i="24"/>
  <c r="EZ9" i="24" s="1"/>
  <c r="FB9" i="24" s="1"/>
  <c r="EK9" i="24"/>
  <c r="EQ9" i="24" s="1"/>
  <c r="EK56" i="24"/>
  <c r="EQ56" i="24" s="1"/>
  <c r="EW56" i="24"/>
  <c r="EZ56" i="24" s="1"/>
  <c r="FB56" i="24" s="1"/>
  <c r="EK51" i="24"/>
  <c r="EQ51" i="24" s="1"/>
  <c r="EW51" i="24"/>
  <c r="EZ51" i="24" s="1"/>
  <c r="FB51" i="24" s="1"/>
  <c r="EW11" i="24"/>
  <c r="EZ11" i="24" s="1"/>
  <c r="FB11" i="24" s="1"/>
  <c r="EK11" i="24"/>
  <c r="EQ11" i="24" s="1"/>
  <c r="EK49" i="24"/>
  <c r="EQ49" i="24" s="1"/>
  <c r="EW49" i="24"/>
  <c r="EZ49" i="24" s="1"/>
  <c r="FB49" i="24" s="1"/>
  <c r="EK8" i="24"/>
  <c r="EQ8" i="24" s="1"/>
  <c r="EW8" i="24"/>
  <c r="EZ8" i="24" s="1"/>
  <c r="FB8" i="24" s="1"/>
  <c r="ER136" i="24"/>
  <c r="EW22" i="24"/>
  <c r="EZ22" i="24" s="1"/>
  <c r="FB22" i="24" s="1"/>
  <c r="EK22" i="24"/>
  <c r="EQ22" i="24" s="1"/>
  <c r="EW80" i="24"/>
  <c r="EZ80" i="24" s="1"/>
  <c r="FB80" i="24" s="1"/>
  <c r="EK80" i="24"/>
  <c r="EQ80" i="24" s="1"/>
  <c r="EW93" i="24"/>
  <c r="EZ93" i="24" s="1"/>
  <c r="FB93" i="24" s="1"/>
  <c r="EK93" i="24"/>
  <c r="EQ93" i="24" s="1"/>
  <c r="EK103" i="24"/>
  <c r="EQ103" i="24" s="1"/>
  <c r="EW103" i="24"/>
  <c r="EZ103" i="24" s="1"/>
  <c r="FB103" i="24" s="1"/>
  <c r="EK149" i="24"/>
  <c r="EW149" i="24"/>
  <c r="FB149" i="24" s="1"/>
  <c r="EW75" i="24"/>
  <c r="EZ75" i="24" s="1"/>
  <c r="FB75" i="24" s="1"/>
  <c r="EK75" i="24"/>
  <c r="EQ75" i="24" s="1"/>
  <c r="EW144" i="24"/>
  <c r="FB144" i="24" s="1"/>
  <c r="EK144" i="24"/>
  <c r="EK182" i="24"/>
  <c r="EW182" i="24"/>
  <c r="FB182" i="24" s="1"/>
  <c r="EK209" i="24"/>
  <c r="EW209" i="24"/>
  <c r="FB209" i="24" s="1"/>
  <c r="ER104" i="24"/>
  <c r="EW94" i="24"/>
  <c r="EZ94" i="24" s="1"/>
  <c r="FB94" i="24" s="1"/>
  <c r="EK94" i="24"/>
  <c r="EQ94" i="24" s="1"/>
  <c r="ER127" i="24"/>
  <c r="EK202" i="24"/>
  <c r="EW202" i="24"/>
  <c r="FB202" i="24" s="1"/>
  <c r="EK16" i="24"/>
  <c r="EQ16" i="24" s="1"/>
  <c r="EW16" i="24"/>
  <c r="EZ16" i="24" s="1"/>
  <c r="FB16" i="24" s="1"/>
  <c r="EK87" i="24"/>
  <c r="EQ87" i="24" s="1"/>
  <c r="EW87" i="24"/>
  <c r="EZ87" i="24" s="1"/>
  <c r="FB87" i="24" s="1"/>
  <c r="EW183" i="24"/>
  <c r="FB183" i="24" s="1"/>
  <c r="EK183" i="24"/>
  <c r="EW38" i="24"/>
  <c r="EZ38" i="24" s="1"/>
  <c r="FB38" i="24" s="1"/>
  <c r="EK38" i="24"/>
  <c r="EQ38" i="24" s="1"/>
  <c r="EW141" i="24"/>
  <c r="FB141" i="24" s="1"/>
  <c r="EK141" i="24"/>
  <c r="EK138" i="24"/>
  <c r="EW138" i="24"/>
  <c r="FB138" i="24" s="1"/>
  <c r="EK17" i="24"/>
  <c r="EQ17" i="24" s="1"/>
  <c r="EW17" i="24"/>
  <c r="EZ17" i="24" s="1"/>
  <c r="FB17" i="24" s="1"/>
  <c r="ER48" i="24"/>
  <c r="EW105" i="24"/>
  <c r="EZ105" i="24" s="1"/>
  <c r="FB105" i="24" s="1"/>
  <c r="EK105" i="24"/>
  <c r="EQ105" i="24" s="1"/>
  <c r="ER29" i="24"/>
  <c r="EW121" i="24"/>
  <c r="FB121" i="24" s="1"/>
  <c r="EK121" i="24"/>
  <c r="EW69" i="24"/>
  <c r="EZ69" i="24" s="1"/>
  <c r="FB69" i="24" s="1"/>
  <c r="EK69" i="24"/>
  <c r="EQ69" i="24" s="1"/>
  <c r="EK181" i="24"/>
  <c r="EW181" i="24"/>
  <c r="FB181" i="24" s="1"/>
  <c r="EK24" i="24"/>
  <c r="EQ24" i="24" s="1"/>
  <c r="EW24" i="24"/>
  <c r="EZ24" i="24" s="1"/>
  <c r="FB24" i="24" s="1"/>
  <c r="EW179" i="24"/>
  <c r="FB179" i="24" s="1"/>
  <c r="EK179" i="24"/>
  <c r="EW102" i="24"/>
  <c r="EZ102" i="24" s="1"/>
  <c r="FB102" i="24" s="1"/>
  <c r="EK102" i="24"/>
  <c r="EQ102" i="24" s="1"/>
  <c r="EK175" i="24"/>
  <c r="EW175" i="24"/>
  <c r="FB175" i="24" s="1"/>
  <c r="EK101" i="24"/>
  <c r="EQ101" i="24" s="1"/>
  <c r="EW101" i="24"/>
  <c r="EZ101" i="24" s="1"/>
  <c r="FB101" i="24" s="1"/>
  <c r="ER83" i="24"/>
  <c r="EK19" i="24"/>
  <c r="EQ19" i="24" s="1"/>
  <c r="EW19" i="24"/>
  <c r="EZ19" i="24" s="1"/>
  <c r="FB19" i="24" s="1"/>
  <c r="EW73" i="24"/>
  <c r="EZ73" i="24" s="1"/>
  <c r="FB73" i="24" s="1"/>
  <c r="EK73" i="24"/>
  <c r="EQ73" i="24" s="1"/>
  <c r="ER126" i="24"/>
  <c r="EK15" i="24"/>
  <c r="EQ15" i="24" s="1"/>
  <c r="EW15" i="24"/>
  <c r="EZ15" i="24" s="1"/>
  <c r="FB15" i="24" s="1"/>
  <c r="EW117" i="24"/>
  <c r="FB117" i="24" s="1"/>
  <c r="EK117" i="24"/>
  <c r="EK122" i="24"/>
  <c r="EW122" i="24"/>
  <c r="FB122" i="24" s="1"/>
  <c r="EK119" i="24"/>
  <c r="EW119" i="24"/>
  <c r="FB119" i="24" s="1"/>
  <c r="EW35" i="24"/>
  <c r="EZ35" i="24" s="1"/>
  <c r="FB35" i="24" s="1"/>
  <c r="EK35" i="24"/>
  <c r="EQ35" i="24" s="1"/>
  <c r="EW33" i="24"/>
  <c r="EZ33" i="24" s="1"/>
  <c r="FB33" i="24" s="1"/>
  <c r="EK33" i="24"/>
  <c r="EQ33" i="24" s="1"/>
  <c r="EW115" i="24"/>
  <c r="FB115" i="24" s="1"/>
  <c r="EK115" i="24"/>
  <c r="EK66" i="24"/>
  <c r="EQ66" i="24" s="1"/>
  <c r="EW66" i="24"/>
  <c r="EZ66" i="24" s="1"/>
  <c r="FB66" i="24" s="1"/>
  <c r="EK12" i="24"/>
  <c r="EQ12" i="24" s="1"/>
  <c r="EW12" i="24"/>
  <c r="EZ12" i="24" s="1"/>
  <c r="FB12" i="24" s="1"/>
  <c r="EW156" i="24"/>
  <c r="FB156" i="24" s="1"/>
  <c r="EK156" i="24"/>
  <c r="EW42" i="24"/>
  <c r="EZ42" i="24" s="1"/>
  <c r="FB42" i="24" s="1"/>
  <c r="EK42" i="24"/>
  <c r="EQ42" i="24" s="1"/>
  <c r="EW41" i="24"/>
  <c r="EZ41" i="24" s="1"/>
  <c r="FB41" i="24" s="1"/>
  <c r="EK41" i="24"/>
  <c r="EQ41" i="24" s="1"/>
  <c r="ER160" i="24"/>
  <c r="ER186" i="24"/>
  <c r="EW176" i="24"/>
  <c r="FB176" i="24" s="1"/>
  <c r="EK176" i="24"/>
  <c r="EK207" i="24"/>
  <c r="EW207" i="24"/>
  <c r="FB207" i="24" s="1"/>
  <c r="ER37" i="24"/>
  <c r="EK6" i="24"/>
  <c r="EQ6" i="24" s="1"/>
  <c r="EW6" i="24"/>
  <c r="EZ6" i="24" s="1"/>
  <c r="FB6" i="24" s="1"/>
  <c r="ER190" i="24"/>
  <c r="FC190" i="24"/>
  <c r="FE190" i="24" s="1"/>
  <c r="FF190" i="24" s="1"/>
  <c r="EK162" i="24"/>
  <c r="EW162" i="24"/>
  <c r="FB162" i="24" s="1"/>
  <c r="EK145" i="24"/>
  <c r="EW145" i="24"/>
  <c r="FB145" i="24" s="1"/>
  <c r="EK171" i="24"/>
  <c r="EW171" i="24"/>
  <c r="FB171" i="24" s="1"/>
  <c r="EW177" i="24"/>
  <c r="FB177" i="24" s="1"/>
  <c r="EK177" i="24"/>
  <c r="ER201" i="24"/>
  <c r="EK204" i="24"/>
  <c r="EW204" i="24"/>
  <c r="FB204" i="24" s="1"/>
  <c r="EW112" i="24"/>
  <c r="FB112" i="24" s="1"/>
  <c r="EK112" i="24"/>
  <c r="EK191" i="24"/>
  <c r="EW191" i="24"/>
  <c r="FB191" i="24" s="1"/>
  <c r="EW168" i="24"/>
  <c r="FB168" i="24" s="1"/>
  <c r="EK168" i="24"/>
  <c r="EK139" i="24"/>
  <c r="EW139" i="24"/>
  <c r="FB139" i="24" s="1"/>
  <c r="EK21" i="24"/>
  <c r="EQ21" i="24" s="1"/>
  <c r="EW21" i="24"/>
  <c r="EZ21" i="24" s="1"/>
  <c r="FB21" i="24" s="1"/>
  <c r="ER13" i="24"/>
  <c r="EW61" i="24"/>
  <c r="EZ61" i="24" s="1"/>
  <c r="FB61" i="24" s="1"/>
  <c r="EK61" i="24"/>
  <c r="EQ61" i="24" s="1"/>
  <c r="ER124" i="24"/>
  <c r="F66" i="19"/>
  <c r="J9" i="8"/>
  <c r="Y110" i="24" l="1"/>
  <c r="FC96" i="24"/>
  <c r="FE96" i="24" s="1"/>
  <c r="FF96" i="24" s="1"/>
  <c r="FC159" i="24"/>
  <c r="FE159" i="24" s="1"/>
  <c r="FF159" i="24" s="1"/>
  <c r="FC243" i="24"/>
  <c r="FE243" i="24" s="1"/>
  <c r="FF243" i="24" s="1"/>
  <c r="FC132" i="24"/>
  <c r="FE132" i="24" s="1"/>
  <c r="FF132" i="24" s="1"/>
  <c r="ER142" i="24"/>
  <c r="CL212" i="24"/>
  <c r="DQ212" i="24"/>
  <c r="ES212" i="24"/>
  <c r="EV212" i="24" s="1"/>
  <c r="CW212" i="24"/>
  <c r="CX212" i="24" s="1"/>
  <c r="CY212" i="24"/>
  <c r="CU212" i="24"/>
  <c r="FC285" i="24"/>
  <c r="FE285" i="24" s="1"/>
  <c r="FF285" i="24" s="1"/>
  <c r="F212" i="24"/>
  <c r="FC92" i="24"/>
  <c r="FE92" i="24" s="1"/>
  <c r="FF92" i="24" s="1"/>
  <c r="FC78" i="24"/>
  <c r="FE78" i="24" s="1"/>
  <c r="FF78" i="24" s="1"/>
  <c r="FC60" i="24"/>
  <c r="FE60" i="24" s="1"/>
  <c r="FF60" i="24" s="1"/>
  <c r="ER60" i="24"/>
  <c r="FC74" i="24"/>
  <c r="FE74" i="24" s="1"/>
  <c r="FF74" i="24" s="1"/>
  <c r="ER221" i="24"/>
  <c r="FC221" i="24"/>
  <c r="FE221" i="24" s="1"/>
  <c r="FF221" i="24" s="1"/>
  <c r="ER290" i="24"/>
  <c r="FC290" i="24"/>
  <c r="FE290" i="24" s="1"/>
  <c r="FF290" i="24" s="1"/>
  <c r="ER276" i="24"/>
  <c r="FC276" i="24"/>
  <c r="FE276" i="24" s="1"/>
  <c r="FF276" i="24" s="1"/>
  <c r="FC277" i="24"/>
  <c r="FE277" i="24" s="1"/>
  <c r="FF277" i="24" s="1"/>
  <c r="ER277" i="24"/>
  <c r="ER286" i="24"/>
  <c r="FC286" i="24"/>
  <c r="FE286" i="24" s="1"/>
  <c r="FF286" i="24" s="1"/>
  <c r="FC313" i="24"/>
  <c r="FE313" i="24" s="1"/>
  <c r="FF313" i="24" s="1"/>
  <c r="ER313" i="24"/>
  <c r="ER304" i="24"/>
  <c r="FC304" i="24"/>
  <c r="FE304" i="24" s="1"/>
  <c r="FF304" i="24" s="1"/>
  <c r="ER244" i="24"/>
  <c r="FC244" i="24"/>
  <c r="FE244" i="24" s="1"/>
  <c r="FF244" i="24" s="1"/>
  <c r="ER230" i="24"/>
  <c r="FC230" i="24"/>
  <c r="FE230" i="24" s="1"/>
  <c r="FF230" i="24" s="1"/>
  <c r="ER294" i="24"/>
  <c r="FC294" i="24"/>
  <c r="FE294" i="24" s="1"/>
  <c r="FF294" i="24" s="1"/>
  <c r="ER225" i="24"/>
  <c r="FC225" i="24"/>
  <c r="FE225" i="24" s="1"/>
  <c r="FF225" i="24" s="1"/>
  <c r="FC250" i="24"/>
  <c r="FE250" i="24" s="1"/>
  <c r="FF250" i="24" s="1"/>
  <c r="ER250" i="24"/>
  <c r="ER303" i="24"/>
  <c r="FC303" i="24"/>
  <c r="FE303" i="24" s="1"/>
  <c r="FF303" i="24" s="1"/>
  <c r="ER269" i="24"/>
  <c r="FC269" i="24"/>
  <c r="FE269" i="24" s="1"/>
  <c r="FF269" i="24" s="1"/>
  <c r="ER252" i="24"/>
  <c r="FC252" i="24"/>
  <c r="FE252" i="24" s="1"/>
  <c r="FF252" i="24" s="1"/>
  <c r="ER300" i="24"/>
  <c r="FC300" i="24"/>
  <c r="FE300" i="24" s="1"/>
  <c r="FF300" i="24" s="1"/>
  <c r="ER312" i="24"/>
  <c r="FC312" i="24"/>
  <c r="FE312" i="24" s="1"/>
  <c r="FF312" i="24" s="1"/>
  <c r="FC259" i="24"/>
  <c r="FE259" i="24" s="1"/>
  <c r="FF259" i="24" s="1"/>
  <c r="ER259" i="24"/>
  <c r="ER280" i="24"/>
  <c r="FC280" i="24"/>
  <c r="FE280" i="24" s="1"/>
  <c r="FF280" i="24" s="1"/>
  <c r="ER273" i="24"/>
  <c r="FC273" i="24"/>
  <c r="FE273" i="24" s="1"/>
  <c r="FF273" i="24" s="1"/>
  <c r="ER233" i="24"/>
  <c r="FC233" i="24"/>
  <c r="FE233" i="24" s="1"/>
  <c r="FF233" i="24" s="1"/>
  <c r="FC238" i="24"/>
  <c r="FE238" i="24" s="1"/>
  <c r="FF238" i="24" s="1"/>
  <c r="ER238" i="24"/>
  <c r="ER263" i="24"/>
  <c r="FC263" i="24"/>
  <c r="FE263" i="24" s="1"/>
  <c r="FF263" i="24" s="1"/>
  <c r="ER301" i="24"/>
  <c r="FC301" i="24"/>
  <c r="FE301" i="24" s="1"/>
  <c r="FF301" i="24" s="1"/>
  <c r="ER302" i="24"/>
  <c r="FC302" i="24"/>
  <c r="FE302" i="24" s="1"/>
  <c r="FF302" i="24" s="1"/>
  <c r="FC254" i="24"/>
  <c r="FE254" i="24" s="1"/>
  <c r="FF254" i="24" s="1"/>
  <c r="ER254" i="24"/>
  <c r="FC295" i="24"/>
  <c r="FE295" i="24" s="1"/>
  <c r="FF295" i="24" s="1"/>
  <c r="ER295" i="24"/>
  <c r="ER240" i="24"/>
  <c r="FC240" i="24"/>
  <c r="FE240" i="24" s="1"/>
  <c r="FF240" i="24" s="1"/>
  <c r="ER231" i="24"/>
  <c r="FC231" i="24"/>
  <c r="FE231" i="24" s="1"/>
  <c r="FF231" i="24" s="1"/>
  <c r="FC265" i="24"/>
  <c r="FE265" i="24" s="1"/>
  <c r="FF265" i="24" s="1"/>
  <c r="ER265" i="24"/>
  <c r="ER266" i="24"/>
  <c r="FC266" i="24"/>
  <c r="FE266" i="24" s="1"/>
  <c r="FF266" i="24" s="1"/>
  <c r="FC255" i="24"/>
  <c r="FE255" i="24" s="1"/>
  <c r="FF255" i="24" s="1"/>
  <c r="ER255" i="24"/>
  <c r="FC289" i="24"/>
  <c r="FE289" i="24" s="1"/>
  <c r="FF289" i="24" s="1"/>
  <c r="ER289" i="24"/>
  <c r="FC267" i="24"/>
  <c r="FE267" i="24" s="1"/>
  <c r="FF267" i="24" s="1"/>
  <c r="ER267" i="24"/>
  <c r="ER282" i="24"/>
  <c r="FC282" i="24"/>
  <c r="FE282" i="24" s="1"/>
  <c r="FF282" i="24" s="1"/>
  <c r="FC258" i="24"/>
  <c r="FE258" i="24" s="1"/>
  <c r="FF258" i="24" s="1"/>
  <c r="ER258" i="24"/>
  <c r="ER310" i="24"/>
  <c r="FC310" i="24"/>
  <c r="FE310" i="24" s="1"/>
  <c r="FF310" i="24" s="1"/>
  <c r="ER278" i="24"/>
  <c r="FC278" i="24"/>
  <c r="FE278" i="24" s="1"/>
  <c r="FF278" i="24" s="1"/>
  <c r="FC245" i="24"/>
  <c r="FE245" i="24" s="1"/>
  <c r="FF245" i="24" s="1"/>
  <c r="ER245" i="24"/>
  <c r="ER307" i="24"/>
  <c r="FC307" i="24"/>
  <c r="FE307" i="24" s="1"/>
  <c r="FF307" i="24" s="1"/>
  <c r="ER297" i="24"/>
  <c r="FC297" i="24"/>
  <c r="FE297" i="24" s="1"/>
  <c r="FF297" i="24" s="1"/>
  <c r="ER315" i="24"/>
  <c r="FC315" i="24"/>
  <c r="FE315" i="24" s="1"/>
  <c r="FF315" i="24" s="1"/>
  <c r="ER227" i="24"/>
  <c r="FC227" i="24"/>
  <c r="FE227" i="24" s="1"/>
  <c r="FF227" i="24" s="1"/>
  <c r="ER309" i="24"/>
  <c r="FC309" i="24"/>
  <c r="FE309" i="24" s="1"/>
  <c r="FF309" i="24" s="1"/>
  <c r="FC274" i="24"/>
  <c r="FE274" i="24" s="1"/>
  <c r="FF274" i="24" s="1"/>
  <c r="ER274" i="24"/>
  <c r="ER299" i="24"/>
  <c r="FC299" i="24"/>
  <c r="FE299" i="24" s="1"/>
  <c r="FF299" i="24" s="1"/>
  <c r="ER262" i="24"/>
  <c r="FC262" i="24"/>
  <c r="FE262" i="24" s="1"/>
  <c r="FF262" i="24" s="1"/>
  <c r="FC281" i="24"/>
  <c r="FE281" i="24" s="1"/>
  <c r="FF281" i="24" s="1"/>
  <c r="ER281" i="24"/>
  <c r="ER253" i="24"/>
  <c r="FC253" i="24"/>
  <c r="FE253" i="24" s="1"/>
  <c r="FF253" i="24" s="1"/>
  <c r="ER298" i="24"/>
  <c r="FC298" i="24"/>
  <c r="FE298" i="24" s="1"/>
  <c r="FF298" i="24" s="1"/>
  <c r="FC249" i="24"/>
  <c r="FE249" i="24" s="1"/>
  <c r="FF249" i="24" s="1"/>
  <c r="ER249" i="24"/>
  <c r="ER219" i="24"/>
  <c r="FC219" i="24"/>
  <c r="FE219" i="24" s="1"/>
  <c r="FF219" i="24" s="1"/>
  <c r="FC247" i="24"/>
  <c r="FE247" i="24" s="1"/>
  <c r="FF247" i="24" s="1"/>
  <c r="ER247" i="24"/>
  <c r="FC287" i="24"/>
  <c r="FE287" i="24" s="1"/>
  <c r="FF287" i="24" s="1"/>
  <c r="ER287" i="24"/>
  <c r="FC314" i="24"/>
  <c r="FE314" i="24" s="1"/>
  <c r="FF314" i="24" s="1"/>
  <c r="ER314" i="24"/>
  <c r="FC235" i="24"/>
  <c r="FE235" i="24" s="1"/>
  <c r="FF235" i="24" s="1"/>
  <c r="ER235" i="24"/>
  <c r="ER311" i="24"/>
  <c r="FC311" i="24"/>
  <c r="FE311" i="24" s="1"/>
  <c r="FF311" i="24" s="1"/>
  <c r="ER217" i="24"/>
  <c r="FC217" i="24"/>
  <c r="FE217" i="24" s="1"/>
  <c r="FF217" i="24" s="1"/>
  <c r="ER305" i="24"/>
  <c r="FC305" i="24"/>
  <c r="FE305" i="24" s="1"/>
  <c r="FF305" i="24" s="1"/>
  <c r="ER239" i="24"/>
  <c r="FC239" i="24"/>
  <c r="FE239" i="24" s="1"/>
  <c r="FF239" i="24" s="1"/>
  <c r="FC228" i="24"/>
  <c r="FE228" i="24" s="1"/>
  <c r="FF228" i="24" s="1"/>
  <c r="ER228" i="24"/>
  <c r="ER257" i="24"/>
  <c r="FC257" i="24"/>
  <c r="FE257" i="24" s="1"/>
  <c r="FF257" i="24" s="1"/>
  <c r="FC251" i="24"/>
  <c r="FE251" i="24" s="1"/>
  <c r="FF251" i="24" s="1"/>
  <c r="ER251" i="24"/>
  <c r="ER268" i="24"/>
  <c r="FC268" i="24"/>
  <c r="FE268" i="24" s="1"/>
  <c r="FF268" i="24" s="1"/>
  <c r="ER291" i="24"/>
  <c r="FC291" i="24"/>
  <c r="FE291" i="24" s="1"/>
  <c r="FF291" i="24" s="1"/>
  <c r="ER237" i="24"/>
  <c r="FC237" i="24"/>
  <c r="FE237" i="24" s="1"/>
  <c r="FF237" i="24" s="1"/>
  <c r="ER256" i="24"/>
  <c r="FC256" i="24"/>
  <c r="FE256" i="24" s="1"/>
  <c r="FF256" i="24" s="1"/>
  <c r="ER223" i="24"/>
  <c r="FC223" i="24"/>
  <c r="FE223" i="24" s="1"/>
  <c r="FF223" i="24" s="1"/>
  <c r="ER283" i="24"/>
  <c r="FC283" i="24"/>
  <c r="FE283" i="24" s="1"/>
  <c r="FF283" i="24" s="1"/>
  <c r="FC236" i="24"/>
  <c r="FE236" i="24" s="1"/>
  <c r="FF236" i="24" s="1"/>
  <c r="ER236" i="24"/>
  <c r="FC232" i="24"/>
  <c r="FE232" i="24" s="1"/>
  <c r="FF232" i="24" s="1"/>
  <c r="ER232" i="24"/>
  <c r="FC306" i="24"/>
  <c r="FE306" i="24" s="1"/>
  <c r="FF306" i="24" s="1"/>
  <c r="ER306" i="24"/>
  <c r="FC271" i="24"/>
  <c r="FE271" i="24" s="1"/>
  <c r="FF271" i="24" s="1"/>
  <c r="ER271" i="24"/>
  <c r="FC229" i="24"/>
  <c r="FE229" i="24" s="1"/>
  <c r="FF229" i="24" s="1"/>
  <c r="ER229" i="24"/>
  <c r="FC241" i="24"/>
  <c r="FE241" i="24" s="1"/>
  <c r="FF241" i="24" s="1"/>
  <c r="ER241" i="24"/>
  <c r="FC293" i="24"/>
  <c r="FE293" i="24" s="1"/>
  <c r="FF293" i="24" s="1"/>
  <c r="ER293" i="24"/>
  <c r="ER260" i="24"/>
  <c r="FC260" i="24"/>
  <c r="FE260" i="24" s="1"/>
  <c r="FF260" i="24" s="1"/>
  <c r="ER220" i="24"/>
  <c r="FC220" i="24"/>
  <c r="FE220" i="24" s="1"/>
  <c r="FF220" i="24" s="1"/>
  <c r="ER222" i="24"/>
  <c r="FC222" i="24"/>
  <c r="FE222" i="24" s="1"/>
  <c r="FF222" i="24" s="1"/>
  <c r="ER296" i="24"/>
  <c r="FC296" i="24"/>
  <c r="FE296" i="24" s="1"/>
  <c r="FF296" i="24" s="1"/>
  <c r="FC261" i="24"/>
  <c r="FE261" i="24" s="1"/>
  <c r="FF261" i="24" s="1"/>
  <c r="ER261" i="24"/>
  <c r="ER218" i="24"/>
  <c r="FC218" i="24"/>
  <c r="FE218" i="24" s="1"/>
  <c r="FF218" i="24" s="1"/>
  <c r="FC288" i="24"/>
  <c r="FE288" i="24" s="1"/>
  <c r="FF288" i="24" s="1"/>
  <c r="ER288" i="24"/>
  <c r="FC224" i="24"/>
  <c r="FE224" i="24" s="1"/>
  <c r="FF224" i="24" s="1"/>
  <c r="ER224" i="24"/>
  <c r="ER264" i="24"/>
  <c r="FC264" i="24"/>
  <c r="FE264" i="24" s="1"/>
  <c r="FF264" i="24" s="1"/>
  <c r="FC275" i="24"/>
  <c r="FE275" i="24" s="1"/>
  <c r="FF275" i="24" s="1"/>
  <c r="ER275" i="24"/>
  <c r="FC279" i="24"/>
  <c r="FE279" i="24" s="1"/>
  <c r="FF279" i="24" s="1"/>
  <c r="ER279" i="24"/>
  <c r="FC226" i="24"/>
  <c r="FE226" i="24" s="1"/>
  <c r="FF226" i="24" s="1"/>
  <c r="ER226" i="24"/>
  <c r="ER272" i="24"/>
  <c r="FC272" i="24"/>
  <c r="FE272" i="24" s="1"/>
  <c r="FF272" i="24" s="1"/>
  <c r="ER292" i="24"/>
  <c r="FC292" i="24"/>
  <c r="FE292" i="24" s="1"/>
  <c r="FF292" i="24" s="1"/>
  <c r="FC308" i="24"/>
  <c r="FE308" i="24" s="1"/>
  <c r="FF308" i="24" s="1"/>
  <c r="ER308" i="24"/>
  <c r="FC234" i="24"/>
  <c r="FE234" i="24" s="1"/>
  <c r="FF234" i="24" s="1"/>
  <c r="ER234" i="24"/>
  <c r="FC246" i="24"/>
  <c r="FE246" i="24" s="1"/>
  <c r="FF246" i="24" s="1"/>
  <c r="ER246" i="24"/>
  <c r="FC316" i="24"/>
  <c r="FE316" i="24" s="1"/>
  <c r="FF316" i="24" s="1"/>
  <c r="ER316" i="24"/>
  <c r="ER270" i="24"/>
  <c r="FC270" i="24"/>
  <c r="FE270" i="24" s="1"/>
  <c r="FF270" i="24" s="1"/>
  <c r="FC284" i="24"/>
  <c r="FE284" i="24" s="1"/>
  <c r="FF284" i="24" s="1"/>
  <c r="ER284" i="24"/>
  <c r="ER248" i="24"/>
  <c r="FC248" i="24"/>
  <c r="FE248" i="24" s="1"/>
  <c r="FF248" i="24" s="1"/>
  <c r="FC39" i="24"/>
  <c r="FE39" i="24" s="1"/>
  <c r="FF39" i="24" s="1"/>
  <c r="FC152" i="24"/>
  <c r="FE152" i="24" s="1"/>
  <c r="FF152" i="24" s="1"/>
  <c r="FC44" i="24"/>
  <c r="FE44" i="24" s="1"/>
  <c r="FF44" i="24" s="1"/>
  <c r="FC199" i="24"/>
  <c r="FE199" i="24" s="1"/>
  <c r="FF199" i="24" s="1"/>
  <c r="FC160" i="24"/>
  <c r="FE160" i="24" s="1"/>
  <c r="FF160" i="24" s="1"/>
  <c r="FB134" i="24"/>
  <c r="ER111" i="24"/>
  <c r="FC23" i="24"/>
  <c r="FE23" i="24" s="1"/>
  <c r="FF23" i="24" s="1"/>
  <c r="FC192" i="24"/>
  <c r="FE192" i="24" s="1"/>
  <c r="FF192" i="24" s="1"/>
  <c r="FC186" i="24"/>
  <c r="FE186" i="24" s="1"/>
  <c r="FF186" i="24" s="1"/>
  <c r="FC133" i="24"/>
  <c r="FE133" i="24" s="1"/>
  <c r="FF133" i="24" s="1"/>
  <c r="FC126" i="24"/>
  <c r="FE126" i="24" s="1"/>
  <c r="FF126" i="24" s="1"/>
  <c r="FC127" i="24"/>
  <c r="FE127" i="24" s="1"/>
  <c r="FF127" i="24" s="1"/>
  <c r="FC52" i="24"/>
  <c r="FE52" i="24" s="1"/>
  <c r="FF52" i="24" s="1"/>
  <c r="ER169" i="24"/>
  <c r="FC169" i="24"/>
  <c r="FE169" i="24" s="1"/>
  <c r="FF169" i="24" s="1"/>
  <c r="FC104" i="24"/>
  <c r="FE104" i="24" s="1"/>
  <c r="FF104" i="24" s="1"/>
  <c r="FC63" i="24"/>
  <c r="FE63" i="24" s="1"/>
  <c r="FF63" i="24" s="1"/>
  <c r="FC201" i="24"/>
  <c r="FE201" i="24" s="1"/>
  <c r="FF201" i="24" s="1"/>
  <c r="FC14" i="24"/>
  <c r="FE14" i="24" s="1"/>
  <c r="FF14" i="24" s="1"/>
  <c r="FC136" i="24"/>
  <c r="FE136" i="24" s="1"/>
  <c r="FF136" i="24" s="1"/>
  <c r="FC124" i="24"/>
  <c r="FE124" i="24" s="1"/>
  <c r="FF124" i="24" s="1"/>
  <c r="ER170" i="24"/>
  <c r="ER14" i="24"/>
  <c r="FB147" i="24"/>
  <c r="FC29" i="24"/>
  <c r="FE29" i="24" s="1"/>
  <c r="FF29" i="24" s="1"/>
  <c r="FC43" i="24"/>
  <c r="FE43" i="24" s="1"/>
  <c r="FF43" i="24" s="1"/>
  <c r="FC81" i="24"/>
  <c r="FE81" i="24" s="1"/>
  <c r="FF81" i="24" s="1"/>
  <c r="FC37" i="24"/>
  <c r="FE37" i="24" s="1"/>
  <c r="FF37" i="24" s="1"/>
  <c r="FC30" i="24"/>
  <c r="FE30" i="24" s="1"/>
  <c r="FF30" i="24" s="1"/>
  <c r="FC55" i="24"/>
  <c r="FE55" i="24" s="1"/>
  <c r="FF55" i="24" s="1"/>
  <c r="FB71" i="24"/>
  <c r="FC71" i="24"/>
  <c r="FE71" i="24" s="1"/>
  <c r="FF71" i="24" s="1"/>
  <c r="FB48" i="24"/>
  <c r="FC48" i="24"/>
  <c r="FE48" i="24" s="1"/>
  <c r="FF48" i="24" s="1"/>
  <c r="FC77" i="24"/>
  <c r="FE77" i="24" s="1"/>
  <c r="FF77" i="24" s="1"/>
  <c r="FC172" i="24"/>
  <c r="FE172" i="24" s="1"/>
  <c r="FF172" i="24" s="1"/>
  <c r="FC40" i="24"/>
  <c r="FE40" i="24" s="1"/>
  <c r="FF40" i="24" s="1"/>
  <c r="FC99" i="24"/>
  <c r="FE99" i="24" s="1"/>
  <c r="FF99" i="24" s="1"/>
  <c r="FC83" i="24"/>
  <c r="FE83" i="24" s="1"/>
  <c r="FF83" i="24" s="1"/>
  <c r="FC90" i="24"/>
  <c r="FE90" i="24" s="1"/>
  <c r="FF90" i="24" s="1"/>
  <c r="ER90" i="24"/>
  <c r="U216" i="24"/>
  <c r="J216" i="24"/>
  <c r="O216" i="24"/>
  <c r="BZ216" i="24" s="1"/>
  <c r="FC67" i="24"/>
  <c r="FE67" i="24" s="1"/>
  <c r="FF67" i="24" s="1"/>
  <c r="FC13" i="24"/>
  <c r="FE13" i="24" s="1"/>
  <c r="FF13" i="24" s="1"/>
  <c r="AJ110" i="24"/>
  <c r="AG110" i="24"/>
  <c r="AF110" i="24"/>
  <c r="FJ263" i="24"/>
  <c r="FJ170" i="24"/>
  <c r="FI184" i="24"/>
  <c r="FJ114" i="24"/>
  <c r="FJ232" i="24"/>
  <c r="FJ142" i="24"/>
  <c r="FI206" i="24"/>
  <c r="FJ117" i="24"/>
  <c r="FJ159" i="24"/>
  <c r="FJ192" i="24"/>
  <c r="FI209" i="24"/>
  <c r="FJ132" i="24"/>
  <c r="FJ301" i="24"/>
  <c r="FJ224" i="24"/>
  <c r="FI141" i="24"/>
  <c r="FI144" i="24"/>
  <c r="FI152" i="24"/>
  <c r="FJ242" i="24"/>
  <c r="FJ306" i="24"/>
  <c r="FI167" i="24"/>
  <c r="FI208" i="24"/>
  <c r="FJ287" i="24"/>
  <c r="FJ146" i="24"/>
  <c r="FJ225" i="24"/>
  <c r="FJ299" i="24"/>
  <c r="FJ294" i="24"/>
  <c r="FJ155" i="24"/>
  <c r="FJ238" i="24"/>
  <c r="FI189" i="24"/>
  <c r="FJ311" i="24"/>
  <c r="FI130" i="24"/>
  <c r="FI150" i="24"/>
  <c r="FI197" i="24"/>
  <c r="FJ234" i="24"/>
  <c r="FJ255" i="24"/>
  <c r="FJ169" i="24"/>
  <c r="FI170" i="24"/>
  <c r="FI108" i="24"/>
  <c r="FJ228" i="24"/>
  <c r="FJ118" i="24"/>
  <c r="FJ133" i="24"/>
  <c r="FJ199" i="24"/>
  <c r="FI116" i="24"/>
  <c r="FJ154" i="24"/>
  <c r="FI174" i="24"/>
  <c r="FJ131" i="24"/>
  <c r="FJ291" i="24"/>
  <c r="FI207" i="24"/>
  <c r="FI132" i="24"/>
  <c r="FI204" i="24"/>
  <c r="FJ261" i="24"/>
  <c r="FJ112" i="24"/>
  <c r="FJ136" i="24"/>
  <c r="FJ270" i="24"/>
  <c r="FJ122" i="24"/>
  <c r="FI175" i="24"/>
  <c r="FJ265" i="24"/>
  <c r="FJ269" i="24"/>
  <c r="FJ175" i="24"/>
  <c r="FJ217" i="24"/>
  <c r="FJ115" i="24"/>
  <c r="FJ229" i="24"/>
  <c r="FJ123" i="24"/>
  <c r="FI143" i="24"/>
  <c r="FJ165" i="24"/>
  <c r="FJ315" i="24"/>
  <c r="FJ245" i="24"/>
  <c r="FJ187" i="24"/>
  <c r="FJ237" i="24"/>
  <c r="FJ227" i="24"/>
  <c r="FI169" i="24"/>
  <c r="FJ249" i="24"/>
  <c r="FJ216" i="24"/>
  <c r="FJ116" i="24"/>
  <c r="FJ290" i="24"/>
  <c r="FI110" i="24"/>
  <c r="FJ153" i="24"/>
  <c r="FJ283" i="24"/>
  <c r="FI182" i="24"/>
  <c r="FJ126" i="24"/>
  <c r="FJ280" i="24"/>
  <c r="FI115" i="24"/>
  <c r="FJ174" i="24"/>
  <c r="FJ250" i="24"/>
  <c r="FI165" i="24"/>
  <c r="FI139" i="24"/>
  <c r="FJ296" i="24"/>
  <c r="FJ113" i="24"/>
  <c r="FI188" i="24"/>
  <c r="FJ239" i="24"/>
  <c r="FJ276" i="24"/>
  <c r="FJ186" i="24"/>
  <c r="FJ246" i="24"/>
  <c r="FI140" i="24"/>
  <c r="FJ171" i="24"/>
  <c r="FI210" i="24"/>
  <c r="FJ244" i="24"/>
  <c r="FI121" i="24"/>
  <c r="FI149" i="24"/>
  <c r="FJ304" i="24"/>
  <c r="FJ272" i="24"/>
  <c r="FI179" i="24"/>
  <c r="FJ262" i="24"/>
  <c r="FJ222" i="24"/>
  <c r="FI138" i="24"/>
  <c r="FJ148" i="24"/>
  <c r="FJ190" i="24"/>
  <c r="FI114" i="24"/>
  <c r="FJ277" i="24"/>
  <c r="FJ266" i="24"/>
  <c r="FJ144" i="24"/>
  <c r="FJ271" i="24"/>
  <c r="FI125" i="24"/>
  <c r="FJ278" i="24"/>
  <c r="FI193" i="24"/>
  <c r="FI123" i="24"/>
  <c r="FI191" i="24"/>
  <c r="FJ297" i="24"/>
  <c r="FJ163" i="24"/>
  <c r="FI160" i="24"/>
  <c r="FI194" i="24"/>
  <c r="FJ121" i="24"/>
  <c r="FJ240" i="24"/>
  <c r="FJ300" i="24"/>
  <c r="FI171" i="24"/>
  <c r="FJ274" i="24"/>
  <c r="FJ120" i="24"/>
  <c r="FI177" i="24"/>
  <c r="FJ260" i="24"/>
  <c r="FI199" i="24"/>
  <c r="FI124" i="24"/>
  <c r="FJ194" i="24"/>
  <c r="FI126" i="24"/>
  <c r="FJ292" i="24"/>
  <c r="FI181" i="24"/>
  <c r="CE108" i="24"/>
  <c r="FI201" i="24"/>
  <c r="FI133" i="24"/>
  <c r="FI145" i="24"/>
  <c r="FI176" i="24"/>
  <c r="FI113" i="24"/>
  <c r="FJ256" i="24"/>
  <c r="FI172" i="24"/>
  <c r="FJ251" i="24"/>
  <c r="FI159" i="24"/>
  <c r="FI111" i="24"/>
  <c r="FJ273" i="24"/>
  <c r="FI186" i="24"/>
  <c r="FI112" i="24"/>
  <c r="FJ189" i="24"/>
  <c r="FJ289" i="24"/>
  <c r="FI155" i="24"/>
  <c r="FI183" i="24"/>
  <c r="FJ147" i="24"/>
  <c r="FJ254" i="24"/>
  <c r="FJ201" i="24"/>
  <c r="FJ149" i="24"/>
  <c r="FJ314" i="24"/>
  <c r="FI135" i="24"/>
  <c r="FJ197" i="24"/>
  <c r="FI137" i="24"/>
  <c r="FJ129" i="24"/>
  <c r="FI173" i="24"/>
  <c r="FI122" i="24"/>
  <c r="FI153" i="24"/>
  <c r="FJ235" i="24"/>
  <c r="CF110" i="24"/>
  <c r="FI196" i="24"/>
  <c r="FJ128" i="24"/>
  <c r="FJ134" i="24"/>
  <c r="FI146" i="24"/>
  <c r="FJ172" i="24"/>
  <c r="FJ110" i="24"/>
  <c r="FJ243" i="24"/>
  <c r="FI198" i="24"/>
  <c r="FI117" i="24"/>
  <c r="FJ236" i="24"/>
  <c r="FJ156" i="24"/>
  <c r="FI162" i="24"/>
  <c r="FJ259" i="24"/>
  <c r="FI178" i="24"/>
  <c r="FI129" i="24"/>
  <c r="FJ293" i="24"/>
  <c r="FJ264" i="24"/>
  <c r="FI163" i="24"/>
  <c r="FJ140" i="24"/>
  <c r="FJ137" i="24"/>
  <c r="FI202" i="24"/>
  <c r="FJ310" i="24"/>
  <c r="FI147" i="24"/>
  <c r="FJ150" i="24"/>
  <c r="FI157" i="24"/>
  <c r="FJ258" i="24"/>
  <c r="FI195" i="24"/>
  <c r="FI120" i="24"/>
  <c r="FI119" i="24"/>
  <c r="FJ143" i="24"/>
  <c r="FI185" i="24"/>
  <c r="CF216" i="24"/>
  <c r="FI192" i="24"/>
  <c r="FI128" i="24"/>
  <c r="FJ286" i="24"/>
  <c r="FJ164" i="24"/>
  <c r="FJ281" i="24"/>
  <c r="FJ233" i="24"/>
  <c r="FI164" i="24"/>
  <c r="FJ188" i="24"/>
  <c r="FJ111" i="24"/>
  <c r="FJ220" i="24"/>
  <c r="FI154" i="24"/>
  <c r="FJ313" i="24"/>
  <c r="FJ257" i="24"/>
  <c r="FI158" i="24"/>
  <c r="FJ152" i="24"/>
  <c r="FJ248" i="24"/>
  <c r="FJ230" i="24"/>
  <c r="FI134" i="24"/>
  <c r="FJ176" i="24"/>
  <c r="FI127" i="24"/>
  <c r="FJ295" i="24"/>
  <c r="FI205" i="24"/>
  <c r="FI161" i="24"/>
  <c r="FJ312" i="24"/>
  <c r="FI190" i="24"/>
  <c r="FJ218" i="24"/>
  <c r="FJ298" i="24"/>
  <c r="FJ282" i="24"/>
  <c r="FI200" i="24"/>
  <c r="FJ160" i="24"/>
  <c r="FI151" i="24"/>
  <c r="FJ226" i="24"/>
  <c r="FJ275" i="24"/>
  <c r="FJ184" i="24"/>
  <c r="FJ305" i="24"/>
  <c r="FJ127" i="24"/>
  <c r="FJ247" i="24"/>
  <c r="FI148" i="24"/>
  <c r="FJ221" i="24"/>
  <c r="FI136" i="24"/>
  <c r="FI166" i="24"/>
  <c r="FJ267" i="24"/>
  <c r="FJ141" i="24"/>
  <c r="FJ309" i="24"/>
  <c r="FJ252" i="24"/>
  <c r="FI156" i="24"/>
  <c r="FJ124" i="24"/>
  <c r="FJ130" i="24"/>
  <c r="FJ231" i="24"/>
  <c r="FJ303" i="24"/>
  <c r="FI142" i="24"/>
  <c r="FJ223" i="24"/>
  <c r="FJ308" i="24"/>
  <c r="FI131" i="24"/>
  <c r="FJ307" i="24"/>
  <c r="FJ253" i="24"/>
  <c r="FI187" i="24"/>
  <c r="FI118" i="24"/>
  <c r="FI168" i="24"/>
  <c r="FI203" i="24"/>
  <c r="FJ302" i="24"/>
  <c r="FJ316" i="24"/>
  <c r="FJ145" i="24"/>
  <c r="FJ219" i="24"/>
  <c r="FJ158" i="24"/>
  <c r="FJ138" i="24"/>
  <c r="FJ196" i="24"/>
  <c r="CE110" i="24"/>
  <c r="FI180" i="24"/>
  <c r="FC62" i="24"/>
  <c r="FE62" i="24" s="1"/>
  <c r="FF62" i="24" s="1"/>
  <c r="FC10" i="24"/>
  <c r="FE10" i="24" s="1"/>
  <c r="FF10" i="24" s="1"/>
  <c r="ER6" i="24"/>
  <c r="FC6" i="24"/>
  <c r="FE6" i="24" s="1"/>
  <c r="FF6" i="24" s="1"/>
  <c r="ER207" i="24"/>
  <c r="FC207" i="24"/>
  <c r="FE207" i="24" s="1"/>
  <c r="FF207" i="24" s="1"/>
  <c r="ER115" i="24"/>
  <c r="FC115" i="24"/>
  <c r="FE115" i="24" s="1"/>
  <c r="FF115" i="24" s="1"/>
  <c r="ER117" i="24"/>
  <c r="FC117" i="24"/>
  <c r="FE117" i="24" s="1"/>
  <c r="FF117" i="24" s="1"/>
  <c r="ER19" i="24"/>
  <c r="FC19" i="24"/>
  <c r="FE19" i="24" s="1"/>
  <c r="FF19" i="24" s="1"/>
  <c r="FC179" i="24"/>
  <c r="FE179" i="24" s="1"/>
  <c r="FF179" i="24" s="1"/>
  <c r="ER179" i="24"/>
  <c r="ER75" i="24"/>
  <c r="FC75" i="24"/>
  <c r="FE75" i="24" s="1"/>
  <c r="FF75" i="24" s="1"/>
  <c r="ER80" i="24"/>
  <c r="FC80" i="24"/>
  <c r="FE80" i="24" s="1"/>
  <c r="FF80" i="24" s="1"/>
  <c r="ER49" i="24"/>
  <c r="FC49" i="24"/>
  <c r="FE49" i="24" s="1"/>
  <c r="FF49" i="24" s="1"/>
  <c r="ER59" i="24"/>
  <c r="FC59" i="24"/>
  <c r="FE59" i="24" s="1"/>
  <c r="FF59" i="24" s="1"/>
  <c r="ER178" i="24"/>
  <c r="FC178" i="24"/>
  <c r="FE178" i="24" s="1"/>
  <c r="FF178" i="24" s="1"/>
  <c r="ER27" i="24"/>
  <c r="FC27" i="24"/>
  <c r="FE27" i="24" s="1"/>
  <c r="FF27" i="24" s="1"/>
  <c r="ER161" i="24"/>
  <c r="FC161" i="24"/>
  <c r="FE161" i="24" s="1"/>
  <c r="FF161" i="24" s="1"/>
  <c r="ER150" i="24"/>
  <c r="FC150" i="24"/>
  <c r="FE150" i="24" s="1"/>
  <c r="FF150" i="24" s="1"/>
  <c r="ER18" i="24"/>
  <c r="FC18" i="24"/>
  <c r="FE18" i="24" s="1"/>
  <c r="FF18" i="24" s="1"/>
  <c r="ER158" i="24"/>
  <c r="FC158" i="24"/>
  <c r="FE158" i="24" s="1"/>
  <c r="FF158" i="24" s="1"/>
  <c r="ER194" i="24"/>
  <c r="FC194" i="24"/>
  <c r="FE194" i="24" s="1"/>
  <c r="FF194" i="24" s="1"/>
  <c r="ER95" i="24"/>
  <c r="FC95" i="24"/>
  <c r="FE95" i="24" s="1"/>
  <c r="FF95" i="24" s="1"/>
  <c r="ER146" i="24"/>
  <c r="FC146" i="24"/>
  <c r="FE146" i="24" s="1"/>
  <c r="FF146" i="24" s="1"/>
  <c r="ER97" i="24"/>
  <c r="FC97" i="24"/>
  <c r="FE97" i="24" s="1"/>
  <c r="FF97" i="24" s="1"/>
  <c r="ER70" i="24"/>
  <c r="FC70" i="24"/>
  <c r="FE70" i="24" s="1"/>
  <c r="FF70" i="24" s="1"/>
  <c r="ER210" i="24"/>
  <c r="FC210" i="24"/>
  <c r="FE210" i="24" s="1"/>
  <c r="FF210" i="24" s="1"/>
  <c r="ER187" i="24"/>
  <c r="FC187" i="24"/>
  <c r="FE187" i="24" s="1"/>
  <c r="FF187" i="24" s="1"/>
  <c r="ER7" i="24"/>
  <c r="FC7" i="24"/>
  <c r="FE7" i="24" s="1"/>
  <c r="FF7" i="24" s="1"/>
  <c r="ER125" i="24"/>
  <c r="FC125" i="24"/>
  <c r="FE125" i="24" s="1"/>
  <c r="FF125" i="24" s="1"/>
  <c r="ER21" i="24"/>
  <c r="FC21" i="24"/>
  <c r="FE21" i="24" s="1"/>
  <c r="FF21" i="24" s="1"/>
  <c r="ER176" i="24"/>
  <c r="FC176" i="24"/>
  <c r="FE176" i="24" s="1"/>
  <c r="FF176" i="24" s="1"/>
  <c r="ER122" i="24"/>
  <c r="FC122" i="24"/>
  <c r="FE122" i="24" s="1"/>
  <c r="FF122" i="24" s="1"/>
  <c r="ER209" i="24"/>
  <c r="FC209" i="24"/>
  <c r="FE209" i="24" s="1"/>
  <c r="FF209" i="24" s="1"/>
  <c r="ER103" i="24"/>
  <c r="FC103" i="24"/>
  <c r="FE103" i="24" s="1"/>
  <c r="FF103" i="24" s="1"/>
  <c r="ER9" i="24"/>
  <c r="FC9" i="24"/>
  <c r="FE9" i="24" s="1"/>
  <c r="FF9" i="24" s="1"/>
  <c r="ER31" i="24"/>
  <c r="FC31" i="24"/>
  <c r="FE31" i="24" s="1"/>
  <c r="FF31" i="24" s="1"/>
  <c r="ER130" i="24"/>
  <c r="FC130" i="24"/>
  <c r="FE130" i="24" s="1"/>
  <c r="FF130" i="24" s="1"/>
  <c r="FC148" i="24"/>
  <c r="FE148" i="24" s="1"/>
  <c r="FF148" i="24" s="1"/>
  <c r="ER148" i="24"/>
  <c r="ER84" i="24"/>
  <c r="FC84" i="24"/>
  <c r="FE84" i="24" s="1"/>
  <c r="FF84" i="24" s="1"/>
  <c r="ER82" i="24"/>
  <c r="FC82" i="24"/>
  <c r="FE82" i="24" s="1"/>
  <c r="FF82" i="24" s="1"/>
  <c r="ER26" i="24"/>
  <c r="FC26" i="24"/>
  <c r="FE26" i="24" s="1"/>
  <c r="FF26" i="24" s="1"/>
  <c r="ER200" i="24"/>
  <c r="FC200" i="24"/>
  <c r="FE200" i="24" s="1"/>
  <c r="FF200" i="24" s="1"/>
  <c r="ER157" i="24"/>
  <c r="FC157" i="24"/>
  <c r="FE157" i="24" s="1"/>
  <c r="FF157" i="24" s="1"/>
  <c r="ER205" i="24"/>
  <c r="FC205" i="24"/>
  <c r="FE205" i="24" s="1"/>
  <c r="FF205" i="24" s="1"/>
  <c r="ER137" i="24"/>
  <c r="FC137" i="24"/>
  <c r="FE137" i="24" s="1"/>
  <c r="FF137" i="24" s="1"/>
  <c r="ER162" i="24"/>
  <c r="FC162" i="24"/>
  <c r="FE162" i="24" s="1"/>
  <c r="FF162" i="24" s="1"/>
  <c r="ER156" i="24"/>
  <c r="FC156" i="24"/>
  <c r="FE156" i="24" s="1"/>
  <c r="FF156" i="24" s="1"/>
  <c r="ER35" i="24"/>
  <c r="FC35" i="24"/>
  <c r="FE35" i="24" s="1"/>
  <c r="FF35" i="24" s="1"/>
  <c r="ER105" i="24"/>
  <c r="FC105" i="24"/>
  <c r="FE105" i="24" s="1"/>
  <c r="FF105" i="24" s="1"/>
  <c r="ER17" i="24"/>
  <c r="FC17" i="24"/>
  <c r="FE17" i="24" s="1"/>
  <c r="FF17" i="24" s="1"/>
  <c r="ER16" i="24"/>
  <c r="FC16" i="24"/>
  <c r="FE16" i="24" s="1"/>
  <c r="FF16" i="24" s="1"/>
  <c r="ER56" i="24"/>
  <c r="FC56" i="24"/>
  <c r="FE56" i="24" s="1"/>
  <c r="FF56" i="24" s="1"/>
  <c r="ER72" i="24"/>
  <c r="FC72" i="24"/>
  <c r="FE72" i="24" s="1"/>
  <c r="FF72" i="24" s="1"/>
  <c r="ER166" i="24"/>
  <c r="FC166" i="24"/>
  <c r="FE166" i="24" s="1"/>
  <c r="FF166" i="24" s="1"/>
  <c r="ER114" i="24"/>
  <c r="FC114" i="24"/>
  <c r="FE114" i="24" s="1"/>
  <c r="FF114" i="24" s="1"/>
  <c r="ER131" i="24"/>
  <c r="FC131" i="24"/>
  <c r="FE131" i="24" s="1"/>
  <c r="FF131" i="24" s="1"/>
  <c r="ER68" i="24"/>
  <c r="FC68" i="24"/>
  <c r="FE68" i="24" s="1"/>
  <c r="FF68" i="24" s="1"/>
  <c r="ER28" i="24"/>
  <c r="FC28" i="24"/>
  <c r="FE28" i="24" s="1"/>
  <c r="FF28" i="24" s="1"/>
  <c r="ER98" i="24"/>
  <c r="FC98" i="24"/>
  <c r="FE98" i="24" s="1"/>
  <c r="FF98" i="24" s="1"/>
  <c r="ER61" i="24"/>
  <c r="FC61" i="24"/>
  <c r="FE61" i="24" s="1"/>
  <c r="FF61" i="24" s="1"/>
  <c r="ER139" i="24"/>
  <c r="FC139" i="24"/>
  <c r="FE139" i="24" s="1"/>
  <c r="FF139" i="24" s="1"/>
  <c r="ER191" i="24"/>
  <c r="FC191" i="24"/>
  <c r="FE191" i="24" s="1"/>
  <c r="FF191" i="24" s="1"/>
  <c r="ER145" i="24"/>
  <c r="FC145" i="24"/>
  <c r="FE145" i="24" s="1"/>
  <c r="FF145" i="24" s="1"/>
  <c r="ER15" i="24"/>
  <c r="FC15" i="24"/>
  <c r="FE15" i="24" s="1"/>
  <c r="FF15" i="24" s="1"/>
  <c r="ER175" i="24"/>
  <c r="FC175" i="24"/>
  <c r="FE175" i="24" s="1"/>
  <c r="FF175" i="24" s="1"/>
  <c r="ER38" i="24"/>
  <c r="FC38" i="24"/>
  <c r="FE38" i="24" s="1"/>
  <c r="FF38" i="24" s="1"/>
  <c r="ER94" i="24"/>
  <c r="FC94" i="24"/>
  <c r="FE94" i="24" s="1"/>
  <c r="FF94" i="24" s="1"/>
  <c r="ER182" i="24"/>
  <c r="FC182" i="24"/>
  <c r="FE182" i="24" s="1"/>
  <c r="FF182" i="24" s="1"/>
  <c r="ER22" i="24"/>
  <c r="FC22" i="24"/>
  <c r="FE22" i="24" s="1"/>
  <c r="FF22" i="24" s="1"/>
  <c r="ER11" i="24"/>
  <c r="FC11" i="24"/>
  <c r="FE11" i="24" s="1"/>
  <c r="FF11" i="24" s="1"/>
  <c r="ER140" i="24"/>
  <c r="FC140" i="24"/>
  <c r="FE140" i="24" s="1"/>
  <c r="FF140" i="24" s="1"/>
  <c r="ER165" i="24"/>
  <c r="FC165" i="24"/>
  <c r="FE165" i="24" s="1"/>
  <c r="FF165" i="24" s="1"/>
  <c r="ER57" i="24"/>
  <c r="FC57" i="24"/>
  <c r="FE57" i="24" s="1"/>
  <c r="FF57" i="24" s="1"/>
  <c r="ER89" i="24"/>
  <c r="FC89" i="24"/>
  <c r="FE89" i="24" s="1"/>
  <c r="FF89" i="24" s="1"/>
  <c r="ER155" i="24"/>
  <c r="FC155" i="24"/>
  <c r="FE155" i="24" s="1"/>
  <c r="FF155" i="24" s="1"/>
  <c r="ER118" i="24"/>
  <c r="FC118" i="24"/>
  <c r="FE118" i="24" s="1"/>
  <c r="FF118" i="24" s="1"/>
  <c r="ER65" i="24"/>
  <c r="FC65" i="24"/>
  <c r="FE65" i="24" s="1"/>
  <c r="FF65" i="24" s="1"/>
  <c r="ER206" i="24"/>
  <c r="FC206" i="24"/>
  <c r="FE206" i="24" s="1"/>
  <c r="FF206" i="24" s="1"/>
  <c r="ER129" i="24"/>
  <c r="FC129" i="24"/>
  <c r="FE129" i="24" s="1"/>
  <c r="FF129" i="24" s="1"/>
  <c r="ER151" i="24"/>
  <c r="FC151" i="24"/>
  <c r="FE151" i="24" s="1"/>
  <c r="FF151" i="24" s="1"/>
  <c r="ER112" i="24"/>
  <c r="FC112" i="24"/>
  <c r="FE112" i="24" s="1"/>
  <c r="FF112" i="24" s="1"/>
  <c r="ER42" i="24"/>
  <c r="FC42" i="24"/>
  <c r="FE42" i="24" s="1"/>
  <c r="FF42" i="24" s="1"/>
  <c r="ER101" i="24"/>
  <c r="FC101" i="24"/>
  <c r="FE101" i="24" s="1"/>
  <c r="FF101" i="24" s="1"/>
  <c r="ER69" i="24"/>
  <c r="FC69" i="24"/>
  <c r="FE69" i="24" s="1"/>
  <c r="FF69" i="24" s="1"/>
  <c r="ER138" i="24"/>
  <c r="FC138" i="24"/>
  <c r="FE138" i="24" s="1"/>
  <c r="FF138" i="24" s="1"/>
  <c r="ER87" i="24"/>
  <c r="FC87" i="24"/>
  <c r="FE87" i="24" s="1"/>
  <c r="FF87" i="24" s="1"/>
  <c r="ER202" i="24"/>
  <c r="FC202" i="24"/>
  <c r="FE202" i="24" s="1"/>
  <c r="FF202" i="24" s="1"/>
  <c r="ER184" i="24"/>
  <c r="FC184" i="24"/>
  <c r="FE184" i="24" s="1"/>
  <c r="FF184" i="24" s="1"/>
  <c r="ER195" i="24"/>
  <c r="FC195" i="24"/>
  <c r="FE195" i="24" s="1"/>
  <c r="FF195" i="24" s="1"/>
  <c r="ER193" i="24"/>
  <c r="FC193" i="24"/>
  <c r="FE193" i="24" s="1"/>
  <c r="FF193" i="24" s="1"/>
  <c r="ER45" i="24"/>
  <c r="FC45" i="24"/>
  <c r="FE45" i="24" s="1"/>
  <c r="FF45" i="24" s="1"/>
  <c r="ER197" i="24"/>
  <c r="FC197" i="24"/>
  <c r="FE197" i="24" s="1"/>
  <c r="FF197" i="24" s="1"/>
  <c r="ER196" i="24"/>
  <c r="FC196" i="24"/>
  <c r="FE196" i="24" s="1"/>
  <c r="FF196" i="24" s="1"/>
  <c r="ER116" i="24"/>
  <c r="FC116" i="24"/>
  <c r="FE116" i="24" s="1"/>
  <c r="FF116" i="24" s="1"/>
  <c r="ER46" i="24"/>
  <c r="FC46" i="24"/>
  <c r="FE46" i="24" s="1"/>
  <c r="FF46" i="24" s="1"/>
  <c r="ER64" i="24"/>
  <c r="FC64" i="24"/>
  <c r="FE64" i="24" s="1"/>
  <c r="FF64" i="24" s="1"/>
  <c r="ER180" i="24"/>
  <c r="FC180" i="24"/>
  <c r="FE180" i="24" s="1"/>
  <c r="ER168" i="24"/>
  <c r="FC168" i="24"/>
  <c r="FE168" i="24" s="1"/>
  <c r="FF168" i="24" s="1"/>
  <c r="ER66" i="24"/>
  <c r="FC66" i="24"/>
  <c r="FE66" i="24" s="1"/>
  <c r="FF66" i="24" s="1"/>
  <c r="ER73" i="24"/>
  <c r="FC73" i="24"/>
  <c r="FE73" i="24" s="1"/>
  <c r="FF73" i="24" s="1"/>
  <c r="ER24" i="24"/>
  <c r="FC24" i="24"/>
  <c r="FE24" i="24" s="1"/>
  <c r="FF24" i="24" s="1"/>
  <c r="ER183" i="24"/>
  <c r="FC183" i="24"/>
  <c r="FE183" i="24" s="1"/>
  <c r="FF183" i="24" s="1"/>
  <c r="ER100" i="24"/>
  <c r="FC100" i="24"/>
  <c r="FE100" i="24" s="1"/>
  <c r="FF100" i="24" s="1"/>
  <c r="ER198" i="24"/>
  <c r="FC198" i="24"/>
  <c r="FE198" i="24" s="1"/>
  <c r="FF198" i="24" s="1"/>
  <c r="ER91" i="24"/>
  <c r="FC91" i="24"/>
  <c r="FE91" i="24" s="1"/>
  <c r="FF91" i="24" s="1"/>
  <c r="ER58" i="24"/>
  <c r="FC58" i="24"/>
  <c r="FE58" i="24" s="1"/>
  <c r="FF58" i="24" s="1"/>
  <c r="ER164" i="24"/>
  <c r="FC164" i="24"/>
  <c r="FE164" i="24" s="1"/>
  <c r="FF164" i="24" s="1"/>
  <c r="ER25" i="24"/>
  <c r="FC25" i="24"/>
  <c r="FE25" i="24" s="1"/>
  <c r="FF25" i="24" s="1"/>
  <c r="ER113" i="24"/>
  <c r="FC113" i="24"/>
  <c r="FE113" i="24" s="1"/>
  <c r="FF113" i="24" s="1"/>
  <c r="FC120" i="24"/>
  <c r="FE120" i="24" s="1"/>
  <c r="FF120" i="24" s="1"/>
  <c r="ER120" i="24"/>
  <c r="FC189" i="24"/>
  <c r="FE189" i="24" s="1"/>
  <c r="FF189" i="24" s="1"/>
  <c r="ER189" i="24"/>
  <c r="ER88" i="24"/>
  <c r="FC88" i="24"/>
  <c r="FE88" i="24" s="1"/>
  <c r="FF88" i="24" s="1"/>
  <c r="ER128" i="24"/>
  <c r="FC128" i="24"/>
  <c r="FE128" i="24" s="1"/>
  <c r="FF128" i="24" s="1"/>
  <c r="ER177" i="24"/>
  <c r="FC177" i="24"/>
  <c r="FE177" i="24" s="1"/>
  <c r="FF177" i="24" s="1"/>
  <c r="ER33" i="24"/>
  <c r="FC33" i="24"/>
  <c r="FE33" i="24" s="1"/>
  <c r="FF33" i="24" s="1"/>
  <c r="ER102" i="24"/>
  <c r="FC102" i="24"/>
  <c r="FE102" i="24" s="1"/>
  <c r="FF102" i="24" s="1"/>
  <c r="ER121" i="24"/>
  <c r="FC121" i="24"/>
  <c r="FE121" i="24" s="1"/>
  <c r="FF121" i="24" s="1"/>
  <c r="ER144" i="24"/>
  <c r="FC144" i="24"/>
  <c r="FE144" i="24" s="1"/>
  <c r="FF144" i="24" s="1"/>
  <c r="ER93" i="24"/>
  <c r="FC93" i="24"/>
  <c r="FE93" i="24" s="1"/>
  <c r="FF93" i="24" s="1"/>
  <c r="ER8" i="24"/>
  <c r="FC8" i="24"/>
  <c r="FE8" i="24" s="1"/>
  <c r="FF8" i="24" s="1"/>
  <c r="ER51" i="24"/>
  <c r="FC51" i="24"/>
  <c r="FE51" i="24" s="1"/>
  <c r="FF51" i="24" s="1"/>
  <c r="ER167" i="24"/>
  <c r="FC167" i="24"/>
  <c r="FE167" i="24" s="1"/>
  <c r="FF167" i="24" s="1"/>
  <c r="ER153" i="24"/>
  <c r="FC153" i="24"/>
  <c r="FE153" i="24" s="1"/>
  <c r="FF153" i="24" s="1"/>
  <c r="ER34" i="24"/>
  <c r="FC34" i="24"/>
  <c r="FE34" i="24" s="1"/>
  <c r="FF34" i="24" s="1"/>
  <c r="ER50" i="24"/>
  <c r="FC50" i="24"/>
  <c r="FE50" i="24" s="1"/>
  <c r="FF50" i="24" s="1"/>
  <c r="ER85" i="24"/>
  <c r="FC85" i="24"/>
  <c r="FE85" i="24" s="1"/>
  <c r="FF85" i="24" s="1"/>
  <c r="ER154" i="24"/>
  <c r="FC154" i="24"/>
  <c r="FE154" i="24" s="1"/>
  <c r="FF154" i="24" s="1"/>
  <c r="ER174" i="24"/>
  <c r="FC174" i="24"/>
  <c r="FE174" i="24" s="1"/>
  <c r="FF174" i="24" s="1"/>
  <c r="ER143" i="24"/>
  <c r="FC143" i="24"/>
  <c r="FE143" i="24" s="1"/>
  <c r="FF143" i="24" s="1"/>
  <c r="ER32" i="24"/>
  <c r="FC32" i="24"/>
  <c r="FE32" i="24" s="1"/>
  <c r="FF32" i="24" s="1"/>
  <c r="ER163" i="24"/>
  <c r="FC163" i="24"/>
  <c r="FE163" i="24" s="1"/>
  <c r="FF163" i="24" s="1"/>
  <c r="FC173" i="24"/>
  <c r="FE173" i="24" s="1"/>
  <c r="FF173" i="24" s="1"/>
  <c r="ER173" i="24"/>
  <c r="ER20" i="24"/>
  <c r="FC20" i="24"/>
  <c r="FE20" i="24" s="1"/>
  <c r="FF20" i="24" s="1"/>
  <c r="ER204" i="24"/>
  <c r="FC204" i="24"/>
  <c r="FE204" i="24" s="1"/>
  <c r="FF204" i="24" s="1"/>
  <c r="ER171" i="24"/>
  <c r="FC171" i="24"/>
  <c r="FE171" i="24" s="1"/>
  <c r="FF171" i="24" s="1"/>
  <c r="ER41" i="24"/>
  <c r="FC41" i="24"/>
  <c r="FE41" i="24" s="1"/>
  <c r="FF41" i="24" s="1"/>
  <c r="ER12" i="24"/>
  <c r="FC12" i="24"/>
  <c r="FE12" i="24" s="1"/>
  <c r="FF12" i="24" s="1"/>
  <c r="ER119" i="24"/>
  <c r="FC119" i="24"/>
  <c r="FE119" i="24" s="1"/>
  <c r="FF119" i="24" s="1"/>
  <c r="ER181" i="24"/>
  <c r="FC181" i="24"/>
  <c r="FE181" i="24" s="1"/>
  <c r="FF181" i="24" s="1"/>
  <c r="ER141" i="24"/>
  <c r="FC141" i="24"/>
  <c r="FE141" i="24" s="1"/>
  <c r="FF141" i="24" s="1"/>
  <c r="ER149" i="24"/>
  <c r="FC149" i="24"/>
  <c r="FE149" i="24" s="1"/>
  <c r="FF149" i="24" s="1"/>
  <c r="ER79" i="24"/>
  <c r="FC79" i="24"/>
  <c r="FE79" i="24" s="1"/>
  <c r="FF79" i="24" s="1"/>
  <c r="ER185" i="24"/>
  <c r="FC185" i="24"/>
  <c r="FE185" i="24" s="1"/>
  <c r="FF185" i="24" s="1"/>
  <c r="FC203" i="24"/>
  <c r="FE203" i="24" s="1"/>
  <c r="FF203" i="24" s="1"/>
  <c r="ER203" i="24"/>
  <c r="ER76" i="24"/>
  <c r="FC76" i="24"/>
  <c r="FE76" i="24" s="1"/>
  <c r="FF76" i="24" s="1"/>
  <c r="ER36" i="24"/>
  <c r="FC36" i="24"/>
  <c r="FE36" i="24" s="1"/>
  <c r="FF36" i="24" s="1"/>
  <c r="ER47" i="24"/>
  <c r="FC47" i="24"/>
  <c r="FE47" i="24" s="1"/>
  <c r="FF47" i="24" s="1"/>
  <c r="ER123" i="24"/>
  <c r="FC123" i="24"/>
  <c r="FE123" i="24" s="1"/>
  <c r="FF123" i="24" s="1"/>
  <c r="ER135" i="24"/>
  <c r="FC135" i="24"/>
  <c r="FE135" i="24" s="1"/>
  <c r="FF135" i="24" s="1"/>
  <c r="ER208" i="24"/>
  <c r="FC208" i="24"/>
  <c r="FE208" i="24" s="1"/>
  <c r="FF208" i="24" s="1"/>
  <c r="ER53" i="24"/>
  <c r="FC53" i="24"/>
  <c r="FE53" i="24" s="1"/>
  <c r="FF53" i="24" s="1"/>
  <c r="ER54" i="24"/>
  <c r="FC54" i="24"/>
  <c r="FE54" i="24" s="1"/>
  <c r="FF54" i="24" s="1"/>
  <c r="ER86" i="24"/>
  <c r="FC86" i="24"/>
  <c r="FE86" i="24" s="1"/>
  <c r="FF86" i="24" s="1"/>
  <c r="ER188" i="24"/>
  <c r="FC188" i="24"/>
  <c r="FE188" i="24" s="1"/>
  <c r="FF188" i="24" s="1"/>
  <c r="B183" i="2"/>
  <c r="C50" i="16" s="1"/>
  <c r="FJ161" i="24" l="1"/>
  <c r="FJ151" i="24"/>
  <c r="FJ182" i="24"/>
  <c r="FJ288" i="24"/>
  <c r="FJ193" i="24"/>
  <c r="FJ202" i="24"/>
  <c r="FJ191" i="24"/>
  <c r="FJ200" i="24"/>
  <c r="FJ241" i="24"/>
  <c r="FJ139" i="24"/>
  <c r="FJ209" i="24"/>
  <c r="FJ135" i="24"/>
  <c r="FJ284" i="24"/>
  <c r="FJ178" i="24"/>
  <c r="FJ185" i="24"/>
  <c r="FJ268" i="24"/>
  <c r="FJ166" i="24"/>
  <c r="FJ162" i="24"/>
  <c r="FJ157" i="24"/>
  <c r="FJ285" i="24"/>
  <c r="CZ212" i="24"/>
  <c r="CS212" i="24"/>
  <c r="FD212" i="24" s="1"/>
  <c r="CN212" i="24"/>
  <c r="DA212" i="24" s="1"/>
  <c r="DT212" i="24"/>
  <c r="BO212" i="24"/>
  <c r="BR212" i="24" s="1"/>
  <c r="H212" i="24"/>
  <c r="AM212" i="24"/>
  <c r="FJ119" i="24"/>
  <c r="FJ203" i="24"/>
  <c r="FJ279" i="24"/>
  <c r="FJ173" i="24"/>
  <c r="FJ125" i="24"/>
  <c r="AT110" i="24"/>
  <c r="BA110" i="24" s="1"/>
  <c r="FJ179" i="24"/>
  <c r="FJ168" i="24"/>
  <c r="FJ181" i="24"/>
  <c r="FJ177" i="24"/>
  <c r="FJ167" i="24"/>
  <c r="FJ198" i="24"/>
  <c r="FJ210" i="24"/>
  <c r="B98" i="2"/>
  <c r="B102" i="2" s="1"/>
  <c r="E16" i="1" s="1"/>
  <c r="FJ207" i="24"/>
  <c r="FJ183" i="24"/>
  <c r="FJ206" i="24"/>
  <c r="FJ195" i="24"/>
  <c r="FJ208" i="24"/>
  <c r="AE216" i="24"/>
  <c r="AI216" i="24"/>
  <c r="X216" i="24"/>
  <c r="AA216" i="24" s="1"/>
  <c r="AB216" i="24" s="1"/>
  <c r="AC216" i="24" s="1"/>
  <c r="V216" i="24"/>
  <c r="W216" i="24"/>
  <c r="Q216" i="24"/>
  <c r="P216" i="24"/>
  <c r="AP216" i="24"/>
  <c r="FJ205" i="24"/>
  <c r="FJ204" i="24"/>
  <c r="AN110" i="24"/>
  <c r="BH110" i="24" s="1"/>
  <c r="AK110" i="24"/>
  <c r="FF180" i="24"/>
  <c r="FJ180" i="24"/>
  <c r="B249" i="2"/>
  <c r="D50" i="16" s="1"/>
  <c r="E46" i="1"/>
  <c r="A249" i="2"/>
  <c r="Y216" i="24" l="1"/>
  <c r="DC212" i="24"/>
  <c r="E57" i="1" s="1"/>
  <c r="DI212" i="24"/>
  <c r="DB212" i="24"/>
  <c r="DE212" i="24" s="1"/>
  <c r="DF212" i="24" s="1"/>
  <c r="DG212" i="24" s="1"/>
  <c r="DM212" i="24"/>
  <c r="AJ216" i="24"/>
  <c r="AF216" i="24"/>
  <c r="AG216" i="24"/>
  <c r="FI312" i="24"/>
  <c r="FI302" i="24"/>
  <c r="FI285" i="24"/>
  <c r="FI301" i="24"/>
  <c r="FI234" i="24"/>
  <c r="FI267" i="24"/>
  <c r="FI230" i="24"/>
  <c r="FI293" i="24"/>
  <c r="FI281" i="24"/>
  <c r="FI276" i="24"/>
  <c r="FI294" i="24"/>
  <c r="FI266" i="24"/>
  <c r="FI227" i="24"/>
  <c r="FI287" i="24"/>
  <c r="FI237" i="24"/>
  <c r="FI289" i="24"/>
  <c r="FI246" i="24"/>
  <c r="FI251" i="24"/>
  <c r="FI217" i="24"/>
  <c r="FI243" i="24"/>
  <c r="FI232" i="24"/>
  <c r="FI256" i="24"/>
  <c r="FI316" i="24"/>
  <c r="FI261" i="24"/>
  <c r="FI296" i="24"/>
  <c r="FI240" i="24"/>
  <c r="FI288" i="24"/>
  <c r="FI307" i="24"/>
  <c r="FI314" i="24"/>
  <c r="FI263" i="24"/>
  <c r="FI298" i="24"/>
  <c r="FI218" i="24"/>
  <c r="FI220" i="24"/>
  <c r="FI216" i="24"/>
  <c r="FI221" i="24"/>
  <c r="FI235" i="24"/>
  <c r="FI225" i="24"/>
  <c r="FI297" i="24"/>
  <c r="FI229" i="24"/>
  <c r="FI231" i="24"/>
  <c r="FI249" i="24"/>
  <c r="FI269" i="24"/>
  <c r="FI291" i="24"/>
  <c r="FI248" i="24"/>
  <c r="FI250" i="24"/>
  <c r="FI241" i="24"/>
  <c r="FI223" i="24"/>
  <c r="FI260" i="24"/>
  <c r="FI268" i="24"/>
  <c r="FI278" i="24"/>
  <c r="FI265" i="24"/>
  <c r="FI228" i="24"/>
  <c r="FI279" i="24"/>
  <c r="FI247" i="24"/>
  <c r="CE216" i="24"/>
  <c r="FI310" i="24"/>
  <c r="FI238" i="24"/>
  <c r="FI264" i="24"/>
  <c r="FI239" i="24"/>
  <c r="FI308" i="24"/>
  <c r="FI299" i="24"/>
  <c r="FI219" i="24"/>
  <c r="FI259" i="24"/>
  <c r="FI286" i="24"/>
  <c r="FI262" i="24"/>
  <c r="FI222" i="24"/>
  <c r="FI304" i="24"/>
  <c r="FI236" i="24"/>
  <c r="FI258" i="24"/>
  <c r="FI252" i="24"/>
  <c r="FI242" i="24"/>
  <c r="FI255" i="24"/>
  <c r="FI309" i="24"/>
  <c r="FI272" i="24"/>
  <c r="FI277" i="24"/>
  <c r="FI282" i="24"/>
  <c r="FI283" i="24"/>
  <c r="FI271" i="24"/>
  <c r="FI226" i="24"/>
  <c r="FI245" i="24"/>
  <c r="FI311" i="24"/>
  <c r="FI224" i="24"/>
  <c r="FI244" i="24"/>
  <c r="FI295" i="24"/>
  <c r="FI292" i="24"/>
  <c r="FI313" i="24"/>
  <c r="FI274" i="24"/>
  <c r="FI233" i="24"/>
  <c r="FI253" i="24"/>
  <c r="FI280" i="24"/>
  <c r="FI303" i="24"/>
  <c r="FI270" i="24"/>
  <c r="FI300" i="24"/>
  <c r="FI284" i="24"/>
  <c r="FI254" i="24"/>
  <c r="FI290" i="24"/>
  <c r="FI315" i="24"/>
  <c r="FI257" i="24"/>
  <c r="FI275" i="24"/>
  <c r="FI306" i="24"/>
  <c r="FI305" i="24"/>
  <c r="FI273" i="24"/>
  <c r="BI110" i="24"/>
  <c r="BL110" i="24" s="1"/>
  <c r="AS110" i="24"/>
  <c r="BJ110" i="24"/>
  <c r="AQ110" i="24"/>
  <c r="BU110" i="24"/>
  <c r="AX110" i="24"/>
  <c r="BW110" i="24"/>
  <c r="DN212" i="24" l="1"/>
  <c r="DX212" i="24" s="1"/>
  <c r="DK212" i="24"/>
  <c r="DJ212" i="24"/>
  <c r="AT216" i="24"/>
  <c r="BA216" i="24" s="1"/>
  <c r="AN216" i="24"/>
  <c r="BW216" i="24" s="1"/>
  <c r="AK216" i="24"/>
  <c r="AU110" i="24"/>
  <c r="BB110" i="24" s="1"/>
  <c r="AW110" i="24"/>
  <c r="DO212" i="24" l="1"/>
  <c r="DR212" i="24"/>
  <c r="EE212" i="24"/>
  <c r="BH216" i="24"/>
  <c r="BU216" i="24"/>
  <c r="BJ216" i="24"/>
  <c r="BI216" i="24"/>
  <c r="BL216" i="24" s="1"/>
  <c r="AX216" i="24"/>
  <c r="AS216" i="24"/>
  <c r="AQ216" i="24"/>
  <c r="AY110" i="24"/>
  <c r="AZ110" i="24" s="1"/>
  <c r="BD110" i="24"/>
  <c r="BE110" i="24"/>
  <c r="BT110" i="24" s="1"/>
  <c r="DW212" i="24" l="1"/>
  <c r="EM212" i="24"/>
  <c r="EP212" i="24" s="1"/>
  <c r="EN212" i="24"/>
  <c r="FI212" i="24"/>
  <c r="DU212" i="24"/>
  <c r="EB212" i="24"/>
  <c r="EL212" i="24"/>
  <c r="EY212" i="24"/>
  <c r="FA212" i="24"/>
  <c r="AU216" i="24"/>
  <c r="BB216" i="24" s="1"/>
  <c r="AW216" i="24"/>
  <c r="BS110" i="24"/>
  <c r="BX110" i="24" s="1"/>
  <c r="BG110" i="24"/>
  <c r="DY212" i="24" l="1"/>
  <c r="EF212" i="24" s="1"/>
  <c r="EA212" i="24"/>
  <c r="L4" i="29"/>
  <c r="W3" i="29" s="1"/>
  <c r="BM110" i="24"/>
  <c r="BN110" i="24" s="1"/>
  <c r="BE216" i="24"/>
  <c r="BT216" i="24" s="1"/>
  <c r="BD216" i="24"/>
  <c r="AY216" i="24"/>
  <c r="AZ216" i="24" s="1"/>
  <c r="BY110" i="24"/>
  <c r="CA110" i="24" s="1"/>
  <c r="CB110" i="24" s="1"/>
  <c r="EH212" i="24" l="1"/>
  <c r="EC212" i="24"/>
  <c r="ED212" i="24" s="1"/>
  <c r="EI212" i="24"/>
  <c r="EX212" i="24" s="1"/>
  <c r="FL212" i="24"/>
  <c r="CG212" i="24"/>
  <c r="I212" i="24" s="1"/>
  <c r="B41" i="29"/>
  <c r="D41" i="29" s="1"/>
  <c r="BG216" i="24"/>
  <c r="BM216" i="24" s="1"/>
  <c r="BS216" i="24"/>
  <c r="BX216" i="24" s="1"/>
  <c r="I388" i="29"/>
  <c r="J507" i="29"/>
  <c r="I318" i="29"/>
  <c r="J157" i="29"/>
  <c r="J196" i="29"/>
  <c r="I481" i="29"/>
  <c r="I511" i="29"/>
  <c r="I152" i="29"/>
  <c r="I345" i="29"/>
  <c r="I495" i="29"/>
  <c r="I129" i="29"/>
  <c r="I435" i="29"/>
  <c r="I469" i="29"/>
  <c r="I133" i="29"/>
  <c r="J550" i="29"/>
  <c r="I611" i="29"/>
  <c r="J306" i="29"/>
  <c r="J464" i="29"/>
  <c r="J482" i="29"/>
  <c r="I560" i="29"/>
  <c r="J541" i="29"/>
  <c r="I217" i="29"/>
  <c r="J25" i="29"/>
  <c r="J564" i="29"/>
  <c r="J123" i="29"/>
  <c r="I238" i="29"/>
  <c r="I321" i="29"/>
  <c r="I550" i="29"/>
  <c r="I104" i="29"/>
  <c r="J524" i="29"/>
  <c r="I527" i="29"/>
  <c r="I513" i="29"/>
  <c r="I276" i="29"/>
  <c r="J86" i="29"/>
  <c r="I632" i="29"/>
  <c r="J609" i="29"/>
  <c r="I360" i="29"/>
  <c r="I69" i="29"/>
  <c r="J437" i="29"/>
  <c r="I361" i="29"/>
  <c r="I164" i="29"/>
  <c r="J254" i="29"/>
  <c r="I300" i="29"/>
  <c r="I194" i="29"/>
  <c r="I42" i="29"/>
  <c r="J601" i="29"/>
  <c r="I428" i="29"/>
  <c r="J506" i="29"/>
  <c r="J38" i="29"/>
  <c r="J375" i="29"/>
  <c r="J430" i="29"/>
  <c r="I517" i="29"/>
  <c r="J250" i="29"/>
  <c r="I38" i="29"/>
  <c r="J372" i="29"/>
  <c r="J516" i="29"/>
  <c r="J314" i="29"/>
  <c r="I431" i="29"/>
  <c r="J521" i="29"/>
  <c r="I608" i="29"/>
  <c r="I461" i="29"/>
  <c r="I105" i="29"/>
  <c r="I475" i="29"/>
  <c r="J101" i="29"/>
  <c r="J361" i="29"/>
  <c r="J73" i="29"/>
  <c r="I233" i="29"/>
  <c r="I602" i="29"/>
  <c r="I604" i="29"/>
  <c r="J279" i="29"/>
  <c r="I525" i="29"/>
  <c r="I569" i="29"/>
  <c r="I319" i="29"/>
  <c r="I75" i="29"/>
  <c r="J119" i="29"/>
  <c r="J152" i="29"/>
  <c r="J590" i="29"/>
  <c r="I64" i="29"/>
  <c r="J585" i="29"/>
  <c r="J455" i="29"/>
  <c r="I440" i="29"/>
  <c r="J83" i="29"/>
  <c r="I239" i="29"/>
  <c r="J339" i="29"/>
  <c r="J300" i="29"/>
  <c r="I599" i="29"/>
  <c r="I379" i="29"/>
  <c r="I579" i="29"/>
  <c r="I524" i="29"/>
  <c r="I561" i="29"/>
  <c r="I267" i="29"/>
  <c r="I582" i="29"/>
  <c r="I314" i="29"/>
  <c r="J287" i="29"/>
  <c r="J393" i="29"/>
  <c r="J131" i="29"/>
  <c r="I220" i="29"/>
  <c r="I107" i="29"/>
  <c r="I137" i="29"/>
  <c r="J124" i="29"/>
  <c r="J535" i="29"/>
  <c r="I474" i="29"/>
  <c r="J344" i="29"/>
  <c r="I106" i="29"/>
  <c r="I412" i="29"/>
  <c r="J510" i="29"/>
  <c r="J331" i="29"/>
  <c r="J45" i="29"/>
  <c r="I203" i="29"/>
  <c r="J198" i="29"/>
  <c r="J569" i="29"/>
  <c r="I92" i="29"/>
  <c r="J177" i="29"/>
  <c r="J527" i="29"/>
  <c r="I576" i="29"/>
  <c r="J309" i="29"/>
  <c r="I515" i="29"/>
  <c r="I349" i="29"/>
  <c r="J357" i="29"/>
  <c r="J68" i="29"/>
  <c r="J226" i="29"/>
  <c r="I274" i="29"/>
  <c r="I154" i="29"/>
  <c r="J409" i="29"/>
  <c r="I355" i="29"/>
  <c r="J589" i="29"/>
  <c r="I393" i="29"/>
  <c r="J42" i="29"/>
  <c r="J360" i="29"/>
  <c r="I391" i="29"/>
  <c r="J401" i="29"/>
  <c r="I554" i="29"/>
  <c r="I464" i="29"/>
  <c r="J350" i="29"/>
  <c r="J284" i="29"/>
  <c r="I55" i="29"/>
  <c r="J330" i="29"/>
  <c r="I390" i="29"/>
  <c r="J548" i="29"/>
  <c r="I398" i="29"/>
  <c r="I135" i="29"/>
  <c r="J70" i="29"/>
  <c r="I472" i="29"/>
  <c r="I505" i="29"/>
  <c r="J171" i="29"/>
  <c r="J325" i="29"/>
  <c r="I504" i="29"/>
  <c r="I357" i="29"/>
  <c r="I130" i="29"/>
  <c r="I273" i="29"/>
  <c r="J607" i="29"/>
  <c r="I593" i="29"/>
  <c r="I97" i="29"/>
  <c r="J194" i="29"/>
  <c r="J195" i="29"/>
  <c r="J90" i="29"/>
  <c r="I91" i="29"/>
  <c r="I483" i="29"/>
  <c r="J588" i="29"/>
  <c r="J435" i="29"/>
  <c r="J130" i="29"/>
  <c r="I271" i="29"/>
  <c r="J258" i="29"/>
  <c r="I375" i="29"/>
  <c r="I538" i="29"/>
  <c r="I364" i="29"/>
  <c r="J263" i="29"/>
  <c r="I383" i="29"/>
  <c r="I502" i="29"/>
  <c r="J320" i="29"/>
  <c r="J425" i="29"/>
  <c r="I493" i="29"/>
  <c r="I555" i="29"/>
  <c r="I497" i="29"/>
  <c r="J52" i="29"/>
  <c r="J277" i="29"/>
  <c r="J442" i="29"/>
  <c r="J504" i="29"/>
  <c r="I329" i="29"/>
  <c r="I77" i="29"/>
  <c r="J602" i="29"/>
  <c r="I313" i="29"/>
  <c r="I114" i="29"/>
  <c r="I304" i="29"/>
  <c r="J253" i="29"/>
  <c r="J576" i="29"/>
  <c r="J346" i="29"/>
  <c r="J519" i="29"/>
  <c r="J203" i="29"/>
  <c r="I119" i="29"/>
  <c r="J210" i="29"/>
  <c r="I242" i="29"/>
  <c r="I596" i="29"/>
  <c r="J359" i="29"/>
  <c r="I162" i="29"/>
  <c r="I261" i="29"/>
  <c r="I459" i="29"/>
  <c r="I585" i="29"/>
  <c r="I406" i="29"/>
  <c r="J493" i="29"/>
  <c r="I577" i="29"/>
  <c r="J65" i="29"/>
  <c r="J160" i="29"/>
  <c r="J72" i="29"/>
  <c r="I277" i="29"/>
  <c r="J252" i="29"/>
  <c r="I334" i="29"/>
  <c r="I373" i="29"/>
  <c r="I374" i="29"/>
  <c r="I592" i="29"/>
  <c r="J322" i="29"/>
  <c r="J575" i="29"/>
  <c r="J231" i="29"/>
  <c r="J221" i="29"/>
  <c r="I150" i="29"/>
  <c r="I327" i="29"/>
  <c r="I446" i="29"/>
  <c r="J61" i="29"/>
  <c r="I117" i="29"/>
  <c r="J102" i="29"/>
  <c r="I370" i="29"/>
  <c r="I422" i="29"/>
  <c r="I199" i="29"/>
  <c r="I284" i="29"/>
  <c r="J354" i="29"/>
  <c r="I49" i="29"/>
  <c r="I102" i="29"/>
  <c r="J161" i="29"/>
  <c r="J562" i="29"/>
  <c r="J563" i="29"/>
  <c r="J79" i="29"/>
  <c r="J381" i="29"/>
  <c r="J474" i="29"/>
  <c r="I248" i="29"/>
  <c r="I32" i="29"/>
  <c r="J338" i="29"/>
  <c r="J530" i="29"/>
  <c r="I74" i="29"/>
  <c r="J53" i="29"/>
  <c r="I542" i="29"/>
  <c r="J584" i="29"/>
  <c r="I303" i="29"/>
  <c r="I587" i="29"/>
  <c r="J297" i="29"/>
  <c r="I240" i="29"/>
  <c r="J176" i="29"/>
  <c r="J158" i="29"/>
  <c r="J247" i="29"/>
  <c r="J289" i="29"/>
  <c r="I414" i="29"/>
  <c r="J587" i="29"/>
  <c r="J491" i="29"/>
  <c r="J579" i="29"/>
  <c r="I403" i="29"/>
  <c r="J366" i="29"/>
  <c r="J486" i="29"/>
  <c r="I170" i="29"/>
  <c r="I432" i="29"/>
  <c r="I603" i="29"/>
  <c r="I58" i="29"/>
  <c r="J168" i="29"/>
  <c r="I479" i="29"/>
  <c r="I454" i="29"/>
  <c r="I567" i="29"/>
  <c r="J423" i="29"/>
  <c r="I378" i="29"/>
  <c r="J389" i="29"/>
  <c r="I24" i="29"/>
  <c r="J369" i="29"/>
  <c r="I168" i="29"/>
  <c r="I213" i="29"/>
  <c r="I558" i="29"/>
  <c r="I251" i="29"/>
  <c r="J432" i="29"/>
  <c r="J311" i="29"/>
  <c r="I487" i="29"/>
  <c r="I138" i="29"/>
  <c r="J345" i="29"/>
  <c r="J262" i="29"/>
  <c r="J106" i="29"/>
  <c r="I266" i="29"/>
  <c r="I306" i="29"/>
  <c r="I54" i="29"/>
  <c r="E54" i="1"/>
  <c r="I336" i="29"/>
  <c r="I18" i="29"/>
  <c r="I275" i="29"/>
  <c r="J379" i="29"/>
  <c r="J449" i="29"/>
  <c r="J32" i="29"/>
  <c r="J417" i="29"/>
  <c r="I37" i="29"/>
  <c r="I282" i="29"/>
  <c r="J334" i="29"/>
  <c r="J60" i="29"/>
  <c r="J374" i="29"/>
  <c r="J436" i="29"/>
  <c r="I320" i="29"/>
  <c r="I407" i="29"/>
  <c r="J385" i="29"/>
  <c r="I441" i="29"/>
  <c r="I589" i="29"/>
  <c r="I547" i="29"/>
  <c r="I389" i="29"/>
  <c r="I293" i="29"/>
  <c r="I404" i="29"/>
  <c r="I365" i="29"/>
  <c r="J467" i="29"/>
  <c r="I581" i="29"/>
  <c r="I292" i="29"/>
  <c r="J164" i="29"/>
  <c r="I160" i="29"/>
  <c r="I521" i="29"/>
  <c r="I79" i="29"/>
  <c r="I399" i="29"/>
  <c r="J336" i="29"/>
  <c r="I546" i="29"/>
  <c r="J243" i="29"/>
  <c r="I229" i="29"/>
  <c r="I280" i="29"/>
  <c r="J348" i="29"/>
  <c r="J597" i="29"/>
  <c r="J139" i="29"/>
  <c r="J492" i="29"/>
  <c r="I132" i="29"/>
  <c r="I559" i="29"/>
  <c r="I433" i="29"/>
  <c r="J233" i="29"/>
  <c r="J407" i="29"/>
  <c r="J571" i="29"/>
  <c r="J501" i="29"/>
  <c r="J44" i="29"/>
  <c r="I312" i="29"/>
  <c r="J460" i="29"/>
  <c r="I331" i="29"/>
  <c r="J111" i="29"/>
  <c r="J328" i="29"/>
  <c r="J377" i="29"/>
  <c r="J135" i="29"/>
  <c r="I333" i="29"/>
  <c r="I457" i="29"/>
  <c r="I514" i="29"/>
  <c r="I605" i="29"/>
  <c r="J595" i="29"/>
  <c r="J145" i="29"/>
  <c r="J421" i="29"/>
  <c r="J605" i="29"/>
  <c r="J303" i="29"/>
  <c r="I439" i="29"/>
  <c r="I573" i="29"/>
  <c r="I144" i="29"/>
  <c r="I197" i="29"/>
  <c r="I241" i="29"/>
  <c r="I510" i="29"/>
  <c r="J556" i="29"/>
  <c r="I536" i="29"/>
  <c r="I445" i="29"/>
  <c r="I609" i="29"/>
  <c r="I353" i="29"/>
  <c r="I245" i="29"/>
  <c r="I122" i="29"/>
  <c r="I359" i="29"/>
  <c r="I316" i="29"/>
  <c r="I13" i="29"/>
  <c r="J275" i="29"/>
  <c r="I78" i="29"/>
  <c r="I473" i="29"/>
  <c r="I20" i="29"/>
  <c r="J20" i="29"/>
  <c r="I448" i="29"/>
  <c r="J539" i="29"/>
  <c r="I366" i="29"/>
  <c r="J450" i="29"/>
  <c r="I444" i="29"/>
  <c r="I15" i="29"/>
  <c r="J384" i="29"/>
  <c r="I568" i="29"/>
  <c r="J537" i="29"/>
  <c r="I143" i="29"/>
  <c r="I410" i="29"/>
  <c r="I408" i="29"/>
  <c r="J30" i="29"/>
  <c r="J367" i="29"/>
  <c r="J351" i="29"/>
  <c r="J302" i="29"/>
  <c r="J472" i="29"/>
  <c r="I337" i="29"/>
  <c r="J480" i="29"/>
  <c r="I392" i="29"/>
  <c r="J91" i="29"/>
  <c r="J136" i="29"/>
  <c r="J445" i="29"/>
  <c r="J465" i="29"/>
  <c r="J536" i="29"/>
  <c r="I315" i="29"/>
  <c r="I405" i="29"/>
  <c r="I61" i="29"/>
  <c r="J117" i="29"/>
  <c r="I201" i="29"/>
  <c r="I612" i="29"/>
  <c r="G622" i="29"/>
  <c r="J318" i="29"/>
  <c r="I421" i="29"/>
  <c r="I484" i="29"/>
  <c r="J390" i="29"/>
  <c r="J433" i="29"/>
  <c r="I232" i="29"/>
  <c r="J559" i="29"/>
  <c r="I580" i="29"/>
  <c r="I299" i="29"/>
  <c r="J608" i="29"/>
  <c r="I317" i="29"/>
  <c r="J326" i="29"/>
  <c r="I413" i="29"/>
  <c r="I286" i="29"/>
  <c r="I174" i="29"/>
  <c r="J185" i="29"/>
  <c r="I171" i="29"/>
  <c r="J553" i="29"/>
  <c r="J380" i="29"/>
  <c r="J466" i="29"/>
  <c r="I185" i="29"/>
  <c r="I372" i="29"/>
  <c r="J84" i="29"/>
  <c r="I437" i="29"/>
  <c r="J606" i="29"/>
  <c r="I184" i="29"/>
  <c r="I350" i="29"/>
  <c r="J458" i="29"/>
  <c r="J19" i="29"/>
  <c r="J85" i="29"/>
  <c r="J228" i="29"/>
  <c r="J522" i="29"/>
  <c r="J503" i="29"/>
  <c r="J175" i="29"/>
  <c r="I397" i="29"/>
  <c r="J500" i="29"/>
  <c r="J146" i="29"/>
  <c r="J35" i="29"/>
  <c r="I134" i="29"/>
  <c r="I578" i="29"/>
  <c r="I551" i="29"/>
  <c r="I116" i="29"/>
  <c r="J517" i="29"/>
  <c r="J496" i="29"/>
  <c r="I65" i="29"/>
  <c r="I209" i="29"/>
  <c r="I145" i="29"/>
  <c r="J129" i="29"/>
  <c r="J16" i="29"/>
  <c r="I33" i="29"/>
  <c r="J128" i="29"/>
  <c r="J446" i="29"/>
  <c r="I436" i="29"/>
  <c r="J534" i="29"/>
  <c r="I305" i="29"/>
  <c r="I482" i="29"/>
  <c r="I76" i="29"/>
  <c r="J133" i="29"/>
  <c r="J321" i="29"/>
  <c r="I395" i="29"/>
  <c r="I236" i="29"/>
  <c r="J402" i="29"/>
  <c r="J77" i="29"/>
  <c r="J163" i="29"/>
  <c r="J426" i="29"/>
  <c r="I471" i="29"/>
  <c r="I67" i="29"/>
  <c r="I386" i="29"/>
  <c r="I425" i="29"/>
  <c r="I476" i="29"/>
  <c r="I25" i="29"/>
  <c r="J80" i="29"/>
  <c r="I491" i="29"/>
  <c r="J438" i="29"/>
  <c r="I56" i="29"/>
  <c r="J89" i="29"/>
  <c r="I499" i="29"/>
  <c r="I565" i="29"/>
  <c r="I109" i="29"/>
  <c r="I453" i="29"/>
  <c r="J444" i="29"/>
  <c r="I532" i="29"/>
  <c r="J54" i="29"/>
  <c r="J304" i="29"/>
  <c r="J580" i="29"/>
  <c r="I540" i="29"/>
  <c r="I206" i="29"/>
  <c r="J469" i="29"/>
  <c r="I583" i="29"/>
  <c r="J358" i="29"/>
  <c r="I158" i="29"/>
  <c r="J192" i="29"/>
  <c r="I252" i="29"/>
  <c r="I151" i="29"/>
  <c r="I595" i="29"/>
  <c r="I443" i="29"/>
  <c r="I562" i="29"/>
  <c r="J422" i="29"/>
  <c r="J179" i="29"/>
  <c r="J285" i="29"/>
  <c r="I344" i="29"/>
  <c r="I411" i="29"/>
  <c r="J40" i="29"/>
  <c r="I376" i="29"/>
  <c r="I255" i="29"/>
  <c r="J199" i="29"/>
  <c r="I215" i="29"/>
  <c r="I307" i="29"/>
  <c r="J411" i="29"/>
  <c r="I523" i="29"/>
  <c r="I72" i="29"/>
  <c r="I85" i="29"/>
  <c r="I387" i="29"/>
  <c r="J412" i="29"/>
  <c r="J137" i="29"/>
  <c r="J74" i="29"/>
  <c r="I533" i="29"/>
  <c r="J484" i="29"/>
  <c r="J546" i="29"/>
  <c r="J36" i="29"/>
  <c r="I465" i="29"/>
  <c r="J497" i="29"/>
  <c r="J544" i="29"/>
  <c r="J298" i="29"/>
  <c r="I156" i="29"/>
  <c r="I51" i="29"/>
  <c r="I552" i="29"/>
  <c r="J249" i="29"/>
  <c r="I458" i="29"/>
  <c r="I548" i="29"/>
  <c r="J386" i="29"/>
  <c r="I358" i="29"/>
  <c r="J272" i="29"/>
  <c r="I294" i="29"/>
  <c r="J28" i="29"/>
  <c r="I382" i="29"/>
  <c r="J591" i="29"/>
  <c r="I189" i="29"/>
  <c r="I48" i="29"/>
  <c r="J582" i="29"/>
  <c r="I343" i="29"/>
  <c r="J327" i="29"/>
  <c r="I534" i="29"/>
  <c r="J578" i="29"/>
  <c r="J343" i="29"/>
  <c r="J125" i="29"/>
  <c r="I169" i="29"/>
  <c r="J27" i="29"/>
  <c r="I342" i="29"/>
  <c r="I485" i="29"/>
  <c r="J463" i="29"/>
  <c r="J462" i="29"/>
  <c r="I478" i="29"/>
  <c r="I178" i="29"/>
  <c r="I400" i="29"/>
  <c r="J349" i="29"/>
  <c r="I427" i="29"/>
  <c r="J232" i="29"/>
  <c r="J542" i="29"/>
  <c r="J481" i="29"/>
  <c r="J489" i="29"/>
  <c r="I351" i="29"/>
  <c r="J64" i="29"/>
  <c r="J363" i="29"/>
  <c r="I52" i="29"/>
  <c r="I244" i="29"/>
  <c r="I442" i="29"/>
  <c r="J394" i="29"/>
  <c r="I460" i="29"/>
  <c r="J568" i="29"/>
  <c r="I600" i="29"/>
  <c r="J230" i="29"/>
  <c r="J305" i="29"/>
  <c r="J404" i="29"/>
  <c r="I352" i="29"/>
  <c r="J281" i="29"/>
  <c r="I62" i="29"/>
  <c r="J554" i="29"/>
  <c r="I623" i="29"/>
  <c r="J397" i="29"/>
  <c r="J520" i="29"/>
  <c r="J362" i="29"/>
  <c r="I19" i="29"/>
  <c r="J41" i="29"/>
  <c r="I191" i="29"/>
  <c r="I208" i="29"/>
  <c r="I449" i="29"/>
  <c r="I46" i="29"/>
  <c r="I234" i="29"/>
  <c r="I123" i="29"/>
  <c r="J167" i="29"/>
  <c r="J103" i="29"/>
  <c r="J212" i="29"/>
  <c r="I173" i="29"/>
  <c r="J26" i="29"/>
  <c r="J188" i="29"/>
  <c r="I332" i="29"/>
  <c r="J270" i="29"/>
  <c r="I57" i="29"/>
  <c r="J213" i="29"/>
  <c r="I17" i="29"/>
  <c r="J209" i="29"/>
  <c r="I41" i="29"/>
  <c r="J291" i="29"/>
  <c r="I371" i="29"/>
  <c r="I503" i="29"/>
  <c r="I509" i="29"/>
  <c r="J315" i="29"/>
  <c r="I363" i="29"/>
  <c r="J88" i="29"/>
  <c r="J126" i="29"/>
  <c r="I80" i="29"/>
  <c r="I356" i="29"/>
  <c r="J97" i="29"/>
  <c r="J109" i="29"/>
  <c r="I526" i="29"/>
  <c r="I501" i="29"/>
  <c r="J256" i="29"/>
  <c r="I205" i="29"/>
  <c r="I47" i="29"/>
  <c r="J528" i="29"/>
  <c r="J335" i="29"/>
  <c r="J47" i="29"/>
  <c r="J29" i="29"/>
  <c r="J242" i="29"/>
  <c r="I246" i="29"/>
  <c r="J549" i="29"/>
  <c r="I225" i="29"/>
  <c r="J278" i="29"/>
  <c r="I35" i="29"/>
  <c r="J169" i="29"/>
  <c r="J205" i="29"/>
  <c r="J222" i="29"/>
  <c r="I588" i="29"/>
  <c r="J365" i="29"/>
  <c r="J182" i="29"/>
  <c r="I396" i="29"/>
  <c r="J392" i="29"/>
  <c r="I530" i="29"/>
  <c r="I228" i="29"/>
  <c r="J416" i="29"/>
  <c r="J329" i="29"/>
  <c r="J547" i="29"/>
  <c r="I279" i="29"/>
  <c r="J116" i="29"/>
  <c r="I179" i="29"/>
  <c r="J95" i="29"/>
  <c r="J98" i="29"/>
  <c r="J93" i="29"/>
  <c r="I237" i="29"/>
  <c r="J67" i="29"/>
  <c r="J217" i="29"/>
  <c r="J76" i="29"/>
  <c r="I60" i="29"/>
  <c r="I16" i="29"/>
  <c r="J457" i="29"/>
  <c r="J418" i="29"/>
  <c r="I30" i="29"/>
  <c r="I153" i="29"/>
  <c r="I149" i="29"/>
  <c r="I101" i="29"/>
  <c r="I572" i="29"/>
  <c r="I470" i="29"/>
  <c r="I26" i="29"/>
  <c r="J154" i="29"/>
  <c r="J356" i="29"/>
  <c r="J81" i="29"/>
  <c r="I338" i="29"/>
  <c r="I256" i="29"/>
  <c r="J251" i="29"/>
  <c r="J475" i="29"/>
  <c r="I218" i="29"/>
  <c r="J479" i="29"/>
  <c r="J403" i="29"/>
  <c r="I126" i="29"/>
  <c r="J276" i="29"/>
  <c r="J264" i="29"/>
  <c r="I381" i="29"/>
  <c r="I268" i="29"/>
  <c r="I254" i="29"/>
  <c r="I348" i="29"/>
  <c r="I624" i="29"/>
  <c r="I166" i="29"/>
  <c r="J112" i="29"/>
  <c r="J245" i="29"/>
  <c r="J560" i="29"/>
  <c r="J323" i="29"/>
  <c r="I247" i="29"/>
  <c r="I98" i="29"/>
  <c r="I270" i="29"/>
  <c r="J593" i="29"/>
  <c r="I295" i="29"/>
  <c r="J147" i="29"/>
  <c r="I207" i="29"/>
  <c r="J428" i="29"/>
  <c r="J420" i="29"/>
  <c r="I597" i="29"/>
  <c r="I146" i="29"/>
  <c r="I447" i="29"/>
  <c r="I88" i="29"/>
  <c r="J200" i="29"/>
  <c r="J260" i="29"/>
  <c r="I31" i="29"/>
  <c r="J573" i="29"/>
  <c r="J50" i="29"/>
  <c r="J513" i="29"/>
  <c r="I161" i="29"/>
  <c r="J237" i="29"/>
  <c r="J355" i="29"/>
  <c r="J483" i="29"/>
  <c r="J148" i="29"/>
  <c r="I219" i="29"/>
  <c r="I257" i="29"/>
  <c r="J92" i="29"/>
  <c r="I553" i="29"/>
  <c r="J166" i="29"/>
  <c r="I297" i="29"/>
  <c r="I269" i="29"/>
  <c r="J219" i="29"/>
  <c r="I628" i="29"/>
  <c r="I328" i="29"/>
  <c r="I456" i="29"/>
  <c r="J257" i="29"/>
  <c r="J69" i="29"/>
  <c r="I455" i="29"/>
  <c r="I182" i="29"/>
  <c r="I71" i="29"/>
  <c r="J312" i="29"/>
  <c r="I486" i="29"/>
  <c r="I607" i="29"/>
  <c r="I380" i="29"/>
  <c r="J594" i="29"/>
  <c r="I462" i="29"/>
  <c r="J307" i="29"/>
  <c r="J488" i="29"/>
  <c r="J505" i="29"/>
  <c r="I498" i="29"/>
  <c r="I265" i="29"/>
  <c r="J448" i="29"/>
  <c r="J561" i="29"/>
  <c r="J427" i="29"/>
  <c r="I211" i="29"/>
  <c r="J603" i="29"/>
  <c r="I556" i="29"/>
  <c r="J261" i="29"/>
  <c r="I296" i="29"/>
  <c r="J509" i="29"/>
  <c r="J197" i="29"/>
  <c r="J159" i="29"/>
  <c r="J162" i="29"/>
  <c r="J255" i="29"/>
  <c r="I346" i="29"/>
  <c r="J273" i="29"/>
  <c r="I28" i="29"/>
  <c r="I262" i="29"/>
  <c r="J512" i="29"/>
  <c r="I167" i="29"/>
  <c r="I204" i="29"/>
  <c r="J225" i="29"/>
  <c r="I289" i="29"/>
  <c r="I163" i="29"/>
  <c r="J57" i="29"/>
  <c r="I235" i="29"/>
  <c r="J508" i="29"/>
  <c r="J39" i="29"/>
  <c r="J405" i="29"/>
  <c r="I128" i="29"/>
  <c r="J337" i="29"/>
  <c r="J51" i="29"/>
  <c r="J18" i="29"/>
  <c r="J268" i="29"/>
  <c r="I141" i="29"/>
  <c r="I93" i="29"/>
  <c r="J499" i="29"/>
  <c r="J211" i="29"/>
  <c r="J141" i="29"/>
  <c r="J583" i="29"/>
  <c r="J470" i="29"/>
  <c r="J529" i="29"/>
  <c r="J58" i="29"/>
  <c r="I230" i="29"/>
  <c r="J319" i="29"/>
  <c r="J113" i="29"/>
  <c r="I157" i="29"/>
  <c r="J347" i="29"/>
  <c r="I82" i="29"/>
  <c r="I212" i="29"/>
  <c r="I200" i="29"/>
  <c r="I311" i="29"/>
  <c r="J105" i="29"/>
  <c r="I221" i="29"/>
  <c r="J453" i="29"/>
  <c r="J478" i="29"/>
  <c r="J43" i="29"/>
  <c r="J94" i="29"/>
  <c r="J485" i="29"/>
  <c r="J596" i="29"/>
  <c r="J138" i="29"/>
  <c r="I142" i="29"/>
  <c r="I298" i="29"/>
  <c r="I216" i="29"/>
  <c r="J600" i="29"/>
  <c r="J628" i="29"/>
  <c r="J240" i="29"/>
  <c r="J316" i="29"/>
  <c r="J540" i="29"/>
  <c r="I606" i="29"/>
  <c r="J395" i="29"/>
  <c r="J216" i="29"/>
  <c r="J459" i="29"/>
  <c r="J391" i="29"/>
  <c r="I259" i="29"/>
  <c r="J543" i="29"/>
  <c r="I196" i="29"/>
  <c r="I430" i="29"/>
  <c r="J244" i="29"/>
  <c r="I531" i="29"/>
  <c r="J290" i="29"/>
  <c r="I544" i="29"/>
  <c r="J75" i="29"/>
  <c r="J295" i="29"/>
  <c r="J523" i="29"/>
  <c r="I584" i="29"/>
  <c r="J241" i="29"/>
  <c r="I263" i="29"/>
  <c r="I369" i="29"/>
  <c r="I258" i="29"/>
  <c r="J364" i="29"/>
  <c r="J186" i="29"/>
  <c r="J37" i="29"/>
  <c r="J238" i="29"/>
  <c r="J239" i="29"/>
  <c r="I103" i="29"/>
  <c r="I155" i="29"/>
  <c r="I420" i="29"/>
  <c r="I339" i="29"/>
  <c r="I626" i="29"/>
  <c r="J15" i="29"/>
  <c r="J34" i="29"/>
  <c r="I264" i="29"/>
  <c r="I535" i="29"/>
  <c r="I118" i="29"/>
  <c r="J441" i="29"/>
  <c r="I610" i="29"/>
  <c r="I415" i="29"/>
  <c r="J190" i="29"/>
  <c r="J398" i="29"/>
  <c r="J623" i="29"/>
  <c r="J502" i="29"/>
  <c r="I494" i="29"/>
  <c r="I467" i="29"/>
  <c r="I508" i="29"/>
  <c r="I385" i="29"/>
  <c r="J333" i="29"/>
  <c r="J202" i="29"/>
  <c r="J156" i="29"/>
  <c r="I516" i="29"/>
  <c r="I278" i="29"/>
  <c r="I202" i="29"/>
  <c r="J515" i="29"/>
  <c r="J173" i="29"/>
  <c r="I564" i="29"/>
  <c r="J494" i="29"/>
  <c r="J332" i="29"/>
  <c r="I394" i="29"/>
  <c r="J439" i="29"/>
  <c r="I549" i="29"/>
  <c r="J269" i="29"/>
  <c r="I243" i="29"/>
  <c r="I224" i="29"/>
  <c r="J267" i="29"/>
  <c r="I231" i="29"/>
  <c r="I73" i="29"/>
  <c r="J108" i="29"/>
  <c r="I100" i="29"/>
  <c r="I507" i="29"/>
  <c r="I496" i="29"/>
  <c r="J599" i="29"/>
  <c r="J142" i="29"/>
  <c r="J149" i="29"/>
  <c r="J31" i="29"/>
  <c r="J626" i="29"/>
  <c r="I84" i="29"/>
  <c r="J220" i="29"/>
  <c r="I172" i="29"/>
  <c r="J324" i="29"/>
  <c r="I89" i="29"/>
  <c r="I330" i="29"/>
  <c r="J17" i="29"/>
  <c r="J414" i="29"/>
  <c r="J518" i="29"/>
  <c r="I426" i="29"/>
  <c r="J132" i="29"/>
  <c r="I63" i="29"/>
  <c r="J286" i="29"/>
  <c r="J22" i="29"/>
  <c r="I325" i="29"/>
  <c r="J259" i="29"/>
  <c r="I111" i="29"/>
  <c r="J236" i="29"/>
  <c r="I468" i="29"/>
  <c r="J227" i="29"/>
  <c r="J400" i="29"/>
  <c r="I418" i="29"/>
  <c r="I302" i="29"/>
  <c r="J246" i="29"/>
  <c r="J352" i="29"/>
  <c r="I347" i="29"/>
  <c r="J14" i="29"/>
  <c r="I480" i="29"/>
  <c r="I522" i="29"/>
  <c r="I377" i="29"/>
  <c r="J308" i="29"/>
  <c r="I291" i="29"/>
  <c r="I539" i="29"/>
  <c r="J193" i="29"/>
  <c r="I335" i="29"/>
  <c r="I424" i="29"/>
  <c r="I108" i="29"/>
  <c r="J288" i="29"/>
  <c r="I340" i="29"/>
  <c r="I308" i="29"/>
  <c r="J424" i="29"/>
  <c r="J214" i="29"/>
  <c r="J342" i="29"/>
  <c r="J82" i="29"/>
  <c r="J447" i="29"/>
  <c r="I341" i="29"/>
  <c r="J180" i="29"/>
  <c r="J473" i="29"/>
  <c r="J46" i="29"/>
  <c r="I490" i="29"/>
  <c r="I324" i="29"/>
  <c r="J96" i="29"/>
  <c r="J408" i="29"/>
  <c r="J293" i="29"/>
  <c r="I148" i="29"/>
  <c r="J206" i="29"/>
  <c r="J187" i="29"/>
  <c r="I59" i="29"/>
  <c r="J371" i="29"/>
  <c r="I417" i="29"/>
  <c r="I195" i="29"/>
  <c r="I416" i="29"/>
  <c r="I574" i="29"/>
  <c r="J296" i="29"/>
  <c r="J570" i="29"/>
  <c r="I124" i="29"/>
  <c r="I99" i="29"/>
  <c r="J477" i="29"/>
  <c r="J495" i="29"/>
  <c r="J78" i="29"/>
  <c r="I354" i="29"/>
  <c r="J368" i="29"/>
  <c r="J413" i="29"/>
  <c r="J134" i="29"/>
  <c r="I489" i="29"/>
  <c r="I34" i="29"/>
  <c r="J292" i="29"/>
  <c r="I110" i="29"/>
  <c r="I83" i="29"/>
  <c r="J23" i="29"/>
  <c r="I520" i="29"/>
  <c r="J155" i="29"/>
  <c r="J545" i="29"/>
  <c r="J140" i="29"/>
  <c r="J533" i="29"/>
  <c r="J63" i="29"/>
  <c r="J178" i="29"/>
  <c r="I175" i="29"/>
  <c r="I463" i="29"/>
  <c r="I165" i="29"/>
  <c r="J604" i="29"/>
  <c r="I96" i="29"/>
  <c r="J598" i="29"/>
  <c r="I423" i="29"/>
  <c r="J565" i="29"/>
  <c r="I512" i="29"/>
  <c r="I557" i="29"/>
  <c r="I613" i="29"/>
  <c r="I541" i="29"/>
  <c r="I131" i="29"/>
  <c r="J410" i="29"/>
  <c r="J170" i="29"/>
  <c r="J611" i="29"/>
  <c r="I113" i="29"/>
  <c r="J234" i="29"/>
  <c r="I466" i="29"/>
  <c r="I452" i="29"/>
  <c r="J555" i="29"/>
  <c r="J388" i="29"/>
  <c r="I27" i="29"/>
  <c r="J613" i="29"/>
  <c r="I367" i="29"/>
  <c r="I81" i="29"/>
  <c r="I272" i="29"/>
  <c r="J431" i="29"/>
  <c r="I362" i="29"/>
  <c r="I86" i="29"/>
  <c r="I159" i="29"/>
  <c r="I594" i="29"/>
  <c r="I95" i="29"/>
  <c r="J151" i="29"/>
  <c r="I451" i="29"/>
  <c r="J376" i="29"/>
  <c r="I186" i="29"/>
  <c r="J55" i="29"/>
  <c r="J120" i="29"/>
  <c r="I188" i="29"/>
  <c r="J150" i="29"/>
  <c r="I309" i="29"/>
  <c r="I125" i="29"/>
  <c r="J382" i="29"/>
  <c r="I384" i="29"/>
  <c r="J208" i="29"/>
  <c r="I223" i="29"/>
  <c r="I120" i="29"/>
  <c r="I140" i="29"/>
  <c r="I591" i="29"/>
  <c r="J317" i="29"/>
  <c r="I283" i="29"/>
  <c r="J271" i="29"/>
  <c r="J71" i="29"/>
  <c r="J399" i="29"/>
  <c r="J440" i="29"/>
  <c r="J266" i="29"/>
  <c r="J370" i="29"/>
  <c r="I112" i="29"/>
  <c r="J434" i="29"/>
  <c r="J174" i="29"/>
  <c r="J592" i="29"/>
  <c r="J378" i="29"/>
  <c r="J340" i="29"/>
  <c r="J586" i="29"/>
  <c r="I14" i="29"/>
  <c r="J248" i="29"/>
  <c r="J490" i="29"/>
  <c r="I192" i="29"/>
  <c r="I70" i="29"/>
  <c r="I87" i="29"/>
  <c r="J87" i="29"/>
  <c r="J104" i="29"/>
  <c r="I68" i="29"/>
  <c r="J299" i="29"/>
  <c r="I601" i="29"/>
  <c r="J566" i="29"/>
  <c r="I537" i="29"/>
  <c r="I180" i="29"/>
  <c r="J341" i="29"/>
  <c r="I409" i="29"/>
  <c r="J21" i="29"/>
  <c r="I590" i="29"/>
  <c r="I402" i="29"/>
  <c r="J282" i="29"/>
  <c r="J454" i="29"/>
  <c r="I401" i="29"/>
  <c r="J476" i="29"/>
  <c r="I529" i="29"/>
  <c r="I222" i="29"/>
  <c r="I519" i="29"/>
  <c r="I285" i="29"/>
  <c r="I176" i="29"/>
  <c r="J33" i="29"/>
  <c r="I281" i="29"/>
  <c r="I310" i="29"/>
  <c r="J461" i="29"/>
  <c r="J66" i="29"/>
  <c r="J115" i="29"/>
  <c r="J373" i="29"/>
  <c r="I40" i="29"/>
  <c r="J419" i="29"/>
  <c r="J511" i="29"/>
  <c r="J415" i="29"/>
  <c r="I518" i="29"/>
  <c r="I39" i="29"/>
  <c r="J577" i="29"/>
  <c r="I288" i="29"/>
  <c r="I434" i="29"/>
  <c r="J49" i="29"/>
  <c r="I545" i="29"/>
  <c r="I147" i="29"/>
  <c r="I500" i="29"/>
  <c r="J110" i="29"/>
  <c r="I438" i="29"/>
  <c r="J625" i="29"/>
  <c r="I566" i="29"/>
  <c r="I419" i="29"/>
  <c r="J567" i="29"/>
  <c r="I45" i="29"/>
  <c r="I543" i="29"/>
  <c r="J204" i="29"/>
  <c r="I249" i="29"/>
  <c r="J201" i="29"/>
  <c r="I121" i="29"/>
  <c r="I136" i="29"/>
  <c r="J456" i="29"/>
  <c r="J468" i="29"/>
  <c r="I575" i="29"/>
  <c r="I250" i="29"/>
  <c r="I227" i="29"/>
  <c r="I226" i="29"/>
  <c r="J525" i="29"/>
  <c r="J383" i="29"/>
  <c r="J215" i="29"/>
  <c r="I287" i="29"/>
  <c r="I50" i="29"/>
  <c r="I506" i="29"/>
  <c r="I598" i="29"/>
  <c r="J387" i="29"/>
  <c r="J452" i="29"/>
  <c r="I528" i="29"/>
  <c r="J487" i="29"/>
  <c r="I563" i="29"/>
  <c r="J153" i="29"/>
  <c r="J396" i="29"/>
  <c r="J429" i="29"/>
  <c r="J62" i="29"/>
  <c r="J191" i="29"/>
  <c r="J557" i="29"/>
  <c r="I53" i="29"/>
  <c r="I94" i="29"/>
  <c r="J498" i="29"/>
  <c r="J118" i="29"/>
  <c r="I210" i="29"/>
  <c r="J183" i="29"/>
  <c r="J59" i="29"/>
  <c r="J552" i="29"/>
  <c r="J514" i="29"/>
  <c r="J56" i="29"/>
  <c r="J143" i="29"/>
  <c r="I187" i="29"/>
  <c r="I301" i="29"/>
  <c r="J406" i="29"/>
  <c r="J558" i="29"/>
  <c r="J144" i="29"/>
  <c r="J224" i="29"/>
  <c r="I260" i="29"/>
  <c r="J223" i="29"/>
  <c r="I198" i="29"/>
  <c r="I290" i="29"/>
  <c r="I627" i="29"/>
  <c r="I29" i="29"/>
  <c r="J526" i="29"/>
  <c r="I477" i="29"/>
  <c r="I21" i="29"/>
  <c r="I326" i="29"/>
  <c r="J581" i="29"/>
  <c r="I183" i="29"/>
  <c r="J24" i="29"/>
  <c r="I190" i="29"/>
  <c r="J48" i="29"/>
  <c r="J184" i="29"/>
  <c r="I625" i="29"/>
  <c r="I492" i="29"/>
  <c r="I586" i="29"/>
  <c r="J100" i="29"/>
  <c r="J13" i="29"/>
  <c r="J624" i="29"/>
  <c r="I90" i="29"/>
  <c r="J353" i="29"/>
  <c r="I571" i="29"/>
  <c r="J114" i="29"/>
  <c r="J471" i="29"/>
  <c r="J165" i="29"/>
  <c r="J551" i="29"/>
  <c r="J235" i="29"/>
  <c r="I139" i="29"/>
  <c r="I322" i="29"/>
  <c r="I429" i="29"/>
  <c r="J301" i="29"/>
  <c r="J451" i="29"/>
  <c r="J99" i="29"/>
  <c r="I570" i="29"/>
  <c r="J229" i="29"/>
  <c r="I181" i="29"/>
  <c r="I253" i="29"/>
  <c r="J218" i="29"/>
  <c r="I66" i="29"/>
  <c r="I193" i="29"/>
  <c r="J572" i="29"/>
  <c r="J627" i="29"/>
  <c r="J274" i="29"/>
  <c r="J189" i="29"/>
  <c r="J283" i="29"/>
  <c r="J532" i="29"/>
  <c r="J313" i="29"/>
  <c r="I450" i="29"/>
  <c r="J443" i="29"/>
  <c r="I36" i="29"/>
  <c r="J610" i="29"/>
  <c r="J280" i="29"/>
  <c r="J310" i="29"/>
  <c r="J574" i="29"/>
  <c r="I323" i="29"/>
  <c r="J538" i="29"/>
  <c r="J122" i="29"/>
  <c r="J181" i="29"/>
  <c r="J107" i="29"/>
  <c r="I23" i="29"/>
  <c r="J531" i="29"/>
  <c r="J612" i="29"/>
  <c r="J121" i="29"/>
  <c r="I488" i="29"/>
  <c r="I115" i="29"/>
  <c r="J265" i="29"/>
  <c r="I127" i="29"/>
  <c r="J172" i="29"/>
  <c r="I214" i="29"/>
  <c r="I44" i="29"/>
  <c r="I43" i="29"/>
  <c r="I368" i="29"/>
  <c r="J127" i="29"/>
  <c r="J207" i="29"/>
  <c r="J294" i="29"/>
  <c r="I177" i="29"/>
  <c r="I22" i="29"/>
  <c r="K212" i="24" l="1"/>
  <c r="BK212" i="24"/>
  <c r="S212" i="24"/>
  <c r="T212" i="24" s="1"/>
  <c r="M212" i="24"/>
  <c r="EK212" i="24"/>
  <c r="EW212" i="24"/>
  <c r="FB212" i="24" s="1"/>
  <c r="BN216" i="24"/>
  <c r="BY216" i="24"/>
  <c r="CA216" i="24" s="1"/>
  <c r="CB216" i="24" s="1"/>
  <c r="X623" i="29"/>
  <c r="Y623" i="29" s="1"/>
  <c r="AH623" i="29"/>
  <c r="W628" i="29"/>
  <c r="AG628" i="29"/>
  <c r="V622" i="29"/>
  <c r="K622" i="29"/>
  <c r="P622" i="29"/>
  <c r="R622" i="29"/>
  <c r="U622" i="29"/>
  <c r="T622" i="29"/>
  <c r="Q622" i="29"/>
  <c r="I622" i="29"/>
  <c r="O622" i="29"/>
  <c r="S622" i="29"/>
  <c r="J622" i="29"/>
  <c r="L622" i="29"/>
  <c r="AH625" i="29"/>
  <c r="X625" i="29"/>
  <c r="Y625" i="29" s="1"/>
  <c r="X624" i="29"/>
  <c r="Y624" i="29" s="1"/>
  <c r="AH624" i="29"/>
  <c r="AH627" i="29"/>
  <c r="X627" i="29"/>
  <c r="Y627" i="29" s="1"/>
  <c r="AH628" i="29"/>
  <c r="X628" i="29"/>
  <c r="Y628" i="29" s="1"/>
  <c r="W623" i="29"/>
  <c r="J633" i="29" s="1"/>
  <c r="AG623" i="29"/>
  <c r="K633" i="29" s="1"/>
  <c r="W627" i="29"/>
  <c r="AG627" i="29"/>
  <c r="X626" i="29"/>
  <c r="Y626" i="29" s="1"/>
  <c r="AH626" i="29"/>
  <c r="AG624" i="29"/>
  <c r="K634" i="29" s="1"/>
  <c r="W624" i="29"/>
  <c r="J634" i="29" s="1"/>
  <c r="W626" i="29"/>
  <c r="J636" i="29" s="1"/>
  <c r="AG626" i="29"/>
  <c r="K636" i="29" s="1"/>
  <c r="AG625" i="29"/>
  <c r="K635" i="29" s="1"/>
  <c r="W625" i="29"/>
  <c r="J635" i="29" s="1"/>
  <c r="BK5" i="24"/>
  <c r="S5" i="24"/>
  <c r="T5" i="24" s="1"/>
  <c r="J5" i="24" s="1"/>
  <c r="ER212" i="24" l="1"/>
  <c r="FC212" i="24"/>
  <c r="FE212" i="24" s="1"/>
  <c r="U212" i="24"/>
  <c r="N212" i="24"/>
  <c r="J212" i="24"/>
  <c r="O212" i="24"/>
  <c r="BZ212" i="24" s="1"/>
  <c r="AD622" i="29"/>
  <c r="X622" i="29"/>
  <c r="Y622" i="29" s="1"/>
  <c r="AH622" i="29"/>
  <c r="AE622" i="29"/>
  <c r="W622" i="29"/>
  <c r="J632" i="29" s="1"/>
  <c r="AG622" i="29"/>
  <c r="K632" i="29" s="1"/>
  <c r="N5" i="24"/>
  <c r="P5" i="24" s="1"/>
  <c r="FI24" i="24" s="1"/>
  <c r="O5" i="24"/>
  <c r="BZ5" i="24" s="1"/>
  <c r="V5" i="24"/>
  <c r="W5" i="24"/>
  <c r="Y5" i="24" l="1"/>
  <c r="AE212" i="24"/>
  <c r="AI212" i="24"/>
  <c r="X212" i="24"/>
  <c r="AA212" i="24" s="1"/>
  <c r="AB212" i="24" s="1"/>
  <c r="AC212" i="24" s="1"/>
  <c r="Q212" i="24"/>
  <c r="AP212" i="24"/>
  <c r="P212" i="24"/>
  <c r="V212" i="24"/>
  <c r="W212" i="24"/>
  <c r="FF212" i="24"/>
  <c r="FJ212" i="24"/>
  <c r="Q5" i="24"/>
  <c r="R5" i="24" s="1"/>
  <c r="FI58" i="24"/>
  <c r="FJ62" i="24"/>
  <c r="FJ77" i="24"/>
  <c r="FJ35" i="24"/>
  <c r="FI51" i="24"/>
  <c r="FJ69" i="24"/>
  <c r="FJ24" i="24"/>
  <c r="FJ72" i="24"/>
  <c r="FI91" i="24"/>
  <c r="FI54" i="24"/>
  <c r="FI18" i="24"/>
  <c r="FJ27" i="24"/>
  <c r="FJ41" i="24"/>
  <c r="FJ103" i="24"/>
  <c r="FI60" i="24"/>
  <c r="FJ51" i="24"/>
  <c r="FJ5" i="24"/>
  <c r="FI87" i="24"/>
  <c r="FJ21" i="24"/>
  <c r="FI63" i="24"/>
  <c r="FJ29" i="24"/>
  <c r="FJ38" i="24"/>
  <c r="FI85" i="24"/>
  <c r="FJ64" i="24"/>
  <c r="FI36" i="24"/>
  <c r="FJ63" i="24"/>
  <c r="FI15" i="24"/>
  <c r="FJ99" i="24"/>
  <c r="FJ42" i="24"/>
  <c r="FJ19" i="24"/>
  <c r="FI62" i="24"/>
  <c r="FJ48" i="24"/>
  <c r="FI19" i="24"/>
  <c r="FJ88" i="24"/>
  <c r="FI11" i="24"/>
  <c r="FJ57" i="24"/>
  <c r="FI55" i="24"/>
  <c r="FI14" i="24"/>
  <c r="FI61" i="24"/>
  <c r="FJ45" i="24"/>
  <c r="FI69" i="24"/>
  <c r="FI89" i="24"/>
  <c r="FI70" i="24"/>
  <c r="FJ92" i="24"/>
  <c r="FI9" i="24"/>
  <c r="FI50" i="24"/>
  <c r="FJ60" i="24"/>
  <c r="FI47" i="24"/>
  <c r="FJ49" i="24"/>
  <c r="FI72" i="24"/>
  <c r="CF5" i="24"/>
  <c r="FJ58" i="24"/>
  <c r="FI90" i="24"/>
  <c r="FJ32" i="24"/>
  <c r="FJ95" i="24"/>
  <c r="FJ23" i="24"/>
  <c r="FI81" i="24"/>
  <c r="FJ16" i="24"/>
  <c r="FJ85" i="24"/>
  <c r="FJ82" i="24"/>
  <c r="FJ61" i="24"/>
  <c r="FJ71" i="24"/>
  <c r="FJ90" i="24"/>
  <c r="FI43" i="24"/>
  <c r="FJ12" i="24"/>
  <c r="FI25" i="24"/>
  <c r="FJ83" i="24"/>
  <c r="FJ40" i="24"/>
  <c r="FI68" i="24"/>
  <c r="FI59" i="24"/>
  <c r="FJ87" i="24"/>
  <c r="FI42" i="24"/>
  <c r="FI57" i="24"/>
  <c r="FI95" i="24"/>
  <c r="FI33" i="24"/>
  <c r="FI77" i="24"/>
  <c r="FJ43" i="24"/>
  <c r="FJ74" i="24"/>
  <c r="FJ6" i="24"/>
  <c r="FI92" i="24"/>
  <c r="FI103" i="24"/>
  <c r="FJ76" i="24"/>
  <c r="FJ56" i="24"/>
  <c r="FJ84" i="24"/>
  <c r="FI49" i="24"/>
  <c r="FJ78" i="24"/>
  <c r="FJ54" i="24"/>
  <c r="FI41" i="24"/>
  <c r="FI40" i="24"/>
  <c r="FJ89" i="24"/>
  <c r="FJ18" i="24"/>
  <c r="FI79" i="24"/>
  <c r="FI26" i="24"/>
  <c r="FI80" i="24"/>
  <c r="FI35" i="24"/>
  <c r="FJ37" i="24"/>
  <c r="FI27" i="24"/>
  <c r="FJ36" i="24"/>
  <c r="FI32" i="24"/>
  <c r="FI39" i="24"/>
  <c r="FJ44" i="24"/>
  <c r="FI30" i="24"/>
  <c r="FI78" i="24"/>
  <c r="FJ101" i="24"/>
  <c r="FJ104" i="24"/>
  <c r="FI13" i="24"/>
  <c r="FI7" i="24"/>
  <c r="FI45" i="24"/>
  <c r="FI48" i="24"/>
  <c r="FJ13" i="24"/>
  <c r="FI34" i="24"/>
  <c r="FJ33" i="24"/>
  <c r="FI8" i="24"/>
  <c r="FJ52" i="24"/>
  <c r="FJ86" i="24"/>
  <c r="CE5" i="24"/>
  <c r="FJ73" i="24"/>
  <c r="FJ17" i="24"/>
  <c r="FJ80" i="24"/>
  <c r="FJ20" i="24"/>
  <c r="FJ46" i="24"/>
  <c r="FJ22" i="24"/>
  <c r="FI94" i="24"/>
  <c r="FI97" i="24"/>
  <c r="FI88" i="24"/>
  <c r="FI105" i="24"/>
  <c r="FI22" i="24"/>
  <c r="FI46" i="24"/>
  <c r="FI38" i="24"/>
  <c r="FJ15" i="24"/>
  <c r="FI96" i="24"/>
  <c r="FI5" i="24"/>
  <c r="FI37" i="24"/>
  <c r="FJ81" i="24"/>
  <c r="FJ97" i="24"/>
  <c r="FJ34" i="24"/>
  <c r="FJ100" i="24"/>
  <c r="FI23" i="24"/>
  <c r="FI93" i="24"/>
  <c r="FI53" i="24"/>
  <c r="FI44" i="24"/>
  <c r="FI71" i="24"/>
  <c r="FJ50" i="24"/>
  <c r="FI99" i="24"/>
  <c r="FI104" i="24"/>
  <c r="FJ102" i="24"/>
  <c r="FJ25" i="24"/>
  <c r="FI83" i="24"/>
  <c r="FJ14" i="24"/>
  <c r="FI102" i="24"/>
  <c r="FJ31" i="24"/>
  <c r="FJ96" i="24"/>
  <c r="FJ59" i="24"/>
  <c r="FI100" i="24"/>
  <c r="FJ67" i="24"/>
  <c r="FI16" i="24"/>
  <c r="FJ70" i="24"/>
  <c r="FI31" i="24"/>
  <c r="FJ39" i="24"/>
  <c r="FI73" i="24"/>
  <c r="FJ55" i="24"/>
  <c r="FJ79" i="24"/>
  <c r="FI101" i="24"/>
  <c r="FI98" i="24"/>
  <c r="FJ7" i="24"/>
  <c r="FI29" i="24"/>
  <c r="FI86" i="24"/>
  <c r="FI21" i="24"/>
  <c r="FI66" i="24"/>
  <c r="FI64" i="24"/>
  <c r="FI10" i="24"/>
  <c r="FI12" i="24"/>
  <c r="FJ26" i="24"/>
  <c r="FJ30" i="24"/>
  <c r="FJ94" i="24"/>
  <c r="FJ8" i="24"/>
  <c r="AP5" i="24"/>
  <c r="FJ91" i="24"/>
  <c r="FJ66" i="24"/>
  <c r="FI17" i="24"/>
  <c r="FJ53" i="24"/>
  <c r="FJ98" i="24"/>
  <c r="FJ11" i="24"/>
  <c r="FI74" i="24"/>
  <c r="FI20" i="24"/>
  <c r="FI52" i="24"/>
  <c r="FI67" i="24"/>
  <c r="FI84" i="24"/>
  <c r="FI65" i="24"/>
  <c r="FJ47" i="24"/>
  <c r="FJ9" i="24"/>
  <c r="FI75" i="24"/>
  <c r="FJ75" i="24"/>
  <c r="FJ65" i="24"/>
  <c r="FI28" i="24"/>
  <c r="FI76" i="24"/>
  <c r="FJ93" i="24"/>
  <c r="FI56" i="24"/>
  <c r="FI82" i="24"/>
  <c r="FJ105" i="24"/>
  <c r="FJ28" i="24"/>
  <c r="FJ10" i="24"/>
  <c r="FJ68" i="24"/>
  <c r="FI6" i="24"/>
  <c r="AE5" i="24"/>
  <c r="AI5" i="24"/>
  <c r="X5" i="24"/>
  <c r="AA5" i="24" s="1"/>
  <c r="AB5" i="24" s="1"/>
  <c r="AC5" i="24" s="1"/>
  <c r="Y212" i="24" l="1"/>
  <c r="AA3" i="29" s="1"/>
  <c r="AJ212" i="24"/>
  <c r="AT212" i="24" s="1"/>
  <c r="AG212" i="24"/>
  <c r="AF212" i="24"/>
  <c r="AJ5" i="24"/>
  <c r="AG5" i="24"/>
  <c r="AF5" i="24"/>
  <c r="AK212" i="24" l="1"/>
  <c r="AN212" i="24"/>
  <c r="BA212" i="24"/>
  <c r="AT5" i="24"/>
  <c r="BA5" i="24" s="1"/>
  <c r="AV5" i="24"/>
  <c r="AN5" i="24"/>
  <c r="BH5" i="24" s="1"/>
  <c r="AK5" i="24"/>
  <c r="BU5" i="24" l="1"/>
  <c r="AQ212" i="24"/>
  <c r="CE212" i="24"/>
  <c r="BI212" i="24"/>
  <c r="BL212" i="24" s="1"/>
  <c r="AS212" i="24"/>
  <c r="BJ212" i="24"/>
  <c r="BW212" i="24"/>
  <c r="BU212" i="24"/>
  <c r="BH212" i="24"/>
  <c r="AX212" i="24"/>
  <c r="BI5" i="24"/>
  <c r="BL5" i="24" s="1"/>
  <c r="AS5" i="24"/>
  <c r="BJ5" i="24"/>
  <c r="AQ5" i="24"/>
  <c r="AX5" i="24"/>
  <c r="BW5" i="24"/>
  <c r="AU212" i="24" l="1"/>
  <c r="BB212" i="24" s="1"/>
  <c r="AW212" i="24"/>
  <c r="AU5" i="24"/>
  <c r="BB5" i="24" s="1"/>
  <c r="AW5" i="24"/>
  <c r="BE212" i="24" l="1"/>
  <c r="BT212" i="24" s="1"/>
  <c r="AY212" i="24"/>
  <c r="AZ212" i="24" s="1"/>
  <c r="BD212" i="24"/>
  <c r="BE5" i="24"/>
  <c r="BT5" i="24" s="1"/>
  <c r="BD5" i="24"/>
  <c r="AY5" i="24"/>
  <c r="AZ5" i="24" s="1"/>
  <c r="BG212" i="24" l="1"/>
  <c r="BS212" i="24"/>
  <c r="BX212" i="24" s="1"/>
  <c r="BS5" i="24"/>
  <c r="BV5" i="24" s="1"/>
  <c r="BX5" i="24" s="1"/>
  <c r="BG5" i="24"/>
  <c r="BM5" i="24" s="1"/>
  <c r="BY212" i="24" l="1"/>
  <c r="CA212" i="24" s="1"/>
  <c r="BM212" i="24"/>
  <c r="BN212" i="24" s="1"/>
  <c r="BY5" i="24"/>
  <c r="CA5" i="24" s="1"/>
  <c r="CB5" i="24" s="1"/>
  <c r="BN5" i="24"/>
  <c r="CB212" i="24" l="1"/>
  <c r="CF212" i="24"/>
  <c r="EM5" i="25" l="1"/>
  <c r="CX5" i="25" l="1"/>
  <c r="CS5" i="25"/>
  <c r="CT5" i="25"/>
  <c r="CU5" i="25" l="1"/>
  <c r="CW5" i="25"/>
  <c r="CV5" i="25"/>
  <c r="DS5" i="25"/>
  <c r="FD5" i="25"/>
  <c r="CY5" i="25"/>
  <c r="CO5" i="25" l="1"/>
  <c r="CZ5" i="25" s="1"/>
  <c r="DB5" i="25" s="1"/>
  <c r="DA5" i="25" l="1"/>
  <c r="DD5" i="25" s="1"/>
  <c r="DE5" i="25" s="1"/>
  <c r="DF5" i="25" s="1"/>
  <c r="DM5" i="25" s="1"/>
  <c r="DW5" i="25" s="1"/>
  <c r="DH5" i="25"/>
  <c r="DJ5" i="25" l="1"/>
  <c r="DI5" i="25"/>
  <c r="EB5" i="25"/>
  <c r="EA5" i="25"/>
  <c r="DQ5" i="25" l="1"/>
  <c r="DV5" i="25" s="1"/>
  <c r="DN5" i="25"/>
  <c r="FA5" i="25" l="1"/>
  <c r="EJ5" i="25"/>
  <c r="EL5" i="25"/>
  <c r="EY5" i="25"/>
  <c r="EK5" i="25"/>
  <c r="EN5" i="25" s="1"/>
  <c r="DT5" i="25"/>
  <c r="DX5" i="25"/>
  <c r="EC5" i="25" s="1"/>
  <c r="DY5" i="25"/>
  <c r="FL5" i="25" s="1"/>
  <c r="CH5" i="25" l="1"/>
  <c r="CG5" i="25"/>
  <c r="EF5" i="25"/>
  <c r="EW5" i="25" s="1"/>
  <c r="EG5" i="25"/>
  <c r="EX5" i="25" s="1"/>
  <c r="EE5" i="25"/>
  <c r="J5" i="25" l="1"/>
  <c r="N5" i="25" s="1"/>
  <c r="EV5" i="25"/>
  <c r="EZ5" i="25" s="1"/>
  <c r="FB5" i="25" s="1"/>
  <c r="EI5" i="25"/>
  <c r="EO5" i="25" s="1"/>
  <c r="L5" i="25" l="1"/>
  <c r="BI5" i="25"/>
  <c r="EP5" i="25"/>
  <c r="FC5" i="25"/>
  <c r="FE5" i="25" s="1"/>
  <c r="FF5" i="25" s="1"/>
  <c r="P5" i="25"/>
  <c r="O5" i="25"/>
  <c r="T5" i="25"/>
  <c r="Q5" i="25" l="1"/>
  <c r="BZ5" i="25"/>
  <c r="R5" i="25"/>
  <c r="AO5" i="25"/>
  <c r="S5" i="25"/>
  <c r="K5" i="25" s="1"/>
  <c r="U5" i="25"/>
  <c r="V5" i="25" l="1"/>
  <c r="X5" i="25" s="1"/>
  <c r="FI63" i="25"/>
  <c r="FJ62" i="25"/>
  <c r="FI39" i="25"/>
  <c r="FI79" i="25"/>
  <c r="FJ71" i="25"/>
  <c r="FI14" i="25"/>
  <c r="FJ57" i="25"/>
  <c r="FI56" i="25"/>
  <c r="FI43" i="25"/>
  <c r="FI60" i="25"/>
  <c r="FI69" i="25"/>
  <c r="FJ33" i="25"/>
  <c r="FJ98" i="25"/>
  <c r="FJ94" i="25"/>
  <c r="FJ89" i="25"/>
  <c r="FI16" i="25"/>
  <c r="FJ40" i="25"/>
  <c r="FI24" i="25"/>
  <c r="FI38" i="25"/>
  <c r="FJ48" i="25"/>
  <c r="FJ42" i="25"/>
  <c r="FJ8" i="25"/>
  <c r="FJ12" i="25"/>
  <c r="FJ83" i="25"/>
  <c r="FJ26" i="25"/>
  <c r="FJ60" i="25"/>
  <c r="FJ101" i="25"/>
  <c r="FJ73" i="25"/>
  <c r="FJ19" i="25"/>
  <c r="FJ69" i="25"/>
  <c r="FJ53" i="25"/>
  <c r="FI94" i="25"/>
  <c r="FI15" i="25"/>
  <c r="FI95" i="25"/>
  <c r="FI17" i="25"/>
  <c r="CE5" i="25"/>
  <c r="FI47" i="25"/>
  <c r="FJ27" i="25"/>
  <c r="FI20" i="25"/>
  <c r="FI66" i="25"/>
  <c r="FJ97" i="25"/>
  <c r="FI75" i="25"/>
  <c r="FJ88" i="25"/>
  <c r="FJ15" i="25"/>
  <c r="FJ16" i="25"/>
  <c r="FJ86" i="25"/>
  <c r="FJ52" i="25"/>
  <c r="FI102" i="25"/>
  <c r="FI32" i="25"/>
  <c r="FI104" i="25"/>
  <c r="FJ22" i="25"/>
  <c r="FJ96" i="25"/>
  <c r="FI55" i="25"/>
  <c r="FI54" i="25"/>
  <c r="FI40" i="25"/>
  <c r="FJ63" i="25"/>
  <c r="FJ32" i="25"/>
  <c r="FJ92" i="25"/>
  <c r="FI35" i="25"/>
  <c r="FI71" i="25"/>
  <c r="FJ25" i="25"/>
  <c r="FI96" i="25"/>
  <c r="FI61" i="25"/>
  <c r="FI22" i="25"/>
  <c r="FI19" i="25"/>
  <c r="FJ38" i="25"/>
  <c r="FI82" i="25"/>
  <c r="FJ76" i="25"/>
  <c r="FJ20" i="25"/>
  <c r="FI8" i="25"/>
  <c r="FI84" i="25"/>
  <c r="FI41" i="25"/>
  <c r="FI59" i="25"/>
  <c r="FJ78" i="25"/>
  <c r="FJ11" i="25"/>
  <c r="FJ100" i="25"/>
  <c r="FJ66" i="25"/>
  <c r="FI76" i="25"/>
  <c r="FI45" i="25"/>
  <c r="FI92" i="25"/>
  <c r="FI70" i="25"/>
  <c r="FI74" i="25"/>
  <c r="FI27" i="25"/>
  <c r="FJ43" i="25"/>
  <c r="FJ34" i="25"/>
  <c r="FI7" i="25"/>
  <c r="FI87" i="25"/>
  <c r="FJ75" i="25"/>
  <c r="FJ64" i="25"/>
  <c r="FI52" i="25"/>
  <c r="FI18" i="25"/>
  <c r="FI53" i="25"/>
  <c r="FI28" i="25"/>
  <c r="FJ37" i="25"/>
  <c r="FJ90" i="25"/>
  <c r="FI10" i="25"/>
  <c r="FI97" i="25"/>
  <c r="FJ36" i="25"/>
  <c r="FI49" i="25"/>
  <c r="FI44" i="25"/>
  <c r="FJ24" i="25"/>
  <c r="FJ58" i="25"/>
  <c r="FJ45" i="25"/>
  <c r="FI25" i="25"/>
  <c r="FI67" i="25"/>
  <c r="FJ72" i="25"/>
  <c r="FI85" i="25"/>
  <c r="FJ55" i="25"/>
  <c r="FI103" i="25"/>
  <c r="FI83" i="25"/>
  <c r="FJ91" i="25"/>
  <c r="FI42" i="25"/>
  <c r="FI5" i="25"/>
  <c r="FI23" i="25"/>
  <c r="FJ93" i="25"/>
  <c r="FJ29" i="25"/>
  <c r="FI80" i="25"/>
  <c r="FJ61" i="25"/>
  <c r="FI58" i="25"/>
  <c r="FJ56" i="25"/>
  <c r="FJ28" i="25"/>
  <c r="FI34" i="25"/>
  <c r="FI91" i="25"/>
  <c r="FI62" i="25"/>
  <c r="FI36" i="25"/>
  <c r="FJ7" i="25"/>
  <c r="FJ47" i="25"/>
  <c r="FI46" i="25"/>
  <c r="FI101" i="25"/>
  <c r="FI30" i="25"/>
  <c r="FJ30" i="25"/>
  <c r="FJ14" i="25"/>
  <c r="FI48" i="25"/>
  <c r="FJ74" i="25"/>
  <c r="FI50" i="25"/>
  <c r="FJ84" i="25"/>
  <c r="FI6" i="25"/>
  <c r="FI90" i="25"/>
  <c r="FI21" i="25"/>
  <c r="FJ23" i="25"/>
  <c r="FJ18" i="25"/>
  <c r="FI105" i="25"/>
  <c r="FJ67" i="25"/>
  <c r="FI78" i="25"/>
  <c r="FI81" i="25"/>
  <c r="FJ65" i="25"/>
  <c r="FJ13" i="25"/>
  <c r="FJ31" i="25"/>
  <c r="FI89" i="25"/>
  <c r="FI13" i="25"/>
  <c r="FI29" i="25"/>
  <c r="FI64" i="25"/>
  <c r="FJ87" i="25"/>
  <c r="FI93" i="25"/>
  <c r="FJ105" i="25"/>
  <c r="FJ104" i="25"/>
  <c r="CF5" i="25"/>
  <c r="FJ9" i="25"/>
  <c r="FJ85" i="25"/>
  <c r="FJ21" i="25"/>
  <c r="FI72" i="25"/>
  <c r="FJ68" i="25"/>
  <c r="FJ5" i="25"/>
  <c r="FJ95" i="25"/>
  <c r="FJ10" i="25"/>
  <c r="FI11" i="25"/>
  <c r="FJ6" i="25"/>
  <c r="FJ51" i="25"/>
  <c r="FI31" i="25"/>
  <c r="FI37" i="25"/>
  <c r="FJ59" i="25"/>
  <c r="FJ77" i="25"/>
  <c r="FI73" i="25"/>
  <c r="FJ103" i="25"/>
  <c r="FI9" i="25"/>
  <c r="FJ70" i="25"/>
  <c r="FJ49" i="25"/>
  <c r="FJ50" i="25"/>
  <c r="FJ17" i="25"/>
  <c r="FJ35" i="25"/>
  <c r="FJ39" i="25"/>
  <c r="FJ99" i="25"/>
  <c r="FJ81" i="25"/>
  <c r="FI100" i="25"/>
  <c r="FI33" i="25"/>
  <c r="FI86" i="25"/>
  <c r="FI68" i="25"/>
  <c r="FI57" i="25"/>
  <c r="FJ80" i="25"/>
  <c r="FJ41" i="25"/>
  <c r="FI12" i="25"/>
  <c r="FJ54" i="25"/>
  <c r="FJ44" i="25"/>
  <c r="FI99" i="25"/>
  <c r="FJ102" i="25"/>
  <c r="FI26" i="25"/>
  <c r="FI88" i="25"/>
  <c r="FI98" i="25"/>
  <c r="FI77" i="25"/>
  <c r="FJ82" i="25"/>
  <c r="FI51" i="25"/>
  <c r="FJ79" i="25"/>
  <c r="FI65" i="25"/>
  <c r="FJ46" i="25"/>
  <c r="W5" i="25" l="1"/>
  <c r="Z5" i="25" s="1"/>
  <c r="AA5" i="25" s="1"/>
  <c r="AB5" i="25" s="1"/>
  <c r="AI5" i="25" s="1"/>
  <c r="AD5" i="25"/>
  <c r="AE5" i="25" s="1"/>
  <c r="AS5" i="25" l="1"/>
  <c r="AW5" i="25" s="1"/>
  <c r="AF5" i="25"/>
  <c r="AM5" i="25" s="1"/>
  <c r="BF5" i="25" s="1"/>
  <c r="AX5" i="25" l="1"/>
  <c r="AJ5" i="25"/>
  <c r="BG5" i="25"/>
  <c r="BJ5" i="25" s="1"/>
  <c r="AR5" i="25"/>
  <c r="BH5" i="25"/>
  <c r="AP5" i="25"/>
  <c r="BU5" i="25"/>
  <c r="BW5" i="25"/>
  <c r="AT5" i="25" l="1"/>
  <c r="AY5" i="25" s="1"/>
  <c r="AU5" i="25"/>
  <c r="BC5" i="25" l="1"/>
  <c r="BT5" i="25" s="1"/>
  <c r="BB5" i="25"/>
  <c r="BS5" i="25" s="1"/>
  <c r="BA5" i="25"/>
  <c r="BR5" i="25" l="1"/>
  <c r="BV5" i="25" s="1"/>
  <c r="BX5" i="25" s="1"/>
  <c r="BE5" i="25"/>
  <c r="BK5" i="25" s="1"/>
  <c r="BY5" i="25" l="1"/>
  <c r="CA5" i="25" s="1"/>
  <c r="CB5" i="25" s="1"/>
  <c r="BL5" i="25"/>
  <c r="G17" i="25"/>
  <c r="F192" i="25"/>
  <c r="G192" i="25"/>
  <c r="G63" i="25"/>
  <c r="F122" i="25"/>
  <c r="G122" i="25"/>
  <c r="F137" i="25"/>
  <c r="G137" i="25"/>
  <c r="G80" i="25"/>
  <c r="F93" i="25"/>
  <c r="BM93" i="25" s="1"/>
  <c r="G93" i="25"/>
  <c r="F138" i="24"/>
  <c r="F272" i="24"/>
  <c r="F157" i="24"/>
  <c r="F111" i="24"/>
  <c r="CF111" i="24" s="1"/>
  <c r="F145" i="24"/>
  <c r="BO145" i="24" s="1"/>
  <c r="BR145" i="24" s="1"/>
  <c r="F223" i="24"/>
  <c r="BO223" i="24" s="1"/>
  <c r="BR223" i="24" s="1"/>
  <c r="F253" i="24"/>
  <c r="F143" i="24"/>
  <c r="F160" i="24"/>
  <c r="BO160" i="24" s="1"/>
  <c r="BR160" i="24" s="1"/>
  <c r="F62" i="24"/>
  <c r="F158" i="24"/>
  <c r="BO158" i="24" s="1"/>
  <c r="BR158" i="24" s="1"/>
  <c r="F292" i="24"/>
  <c r="I292" i="24" s="1"/>
  <c r="F67" i="24"/>
  <c r="F224" i="24"/>
  <c r="F104" i="24"/>
  <c r="F22" i="24"/>
  <c r="I22" i="24" s="1"/>
  <c r="F241" i="24"/>
  <c r="BO241" i="24" s="1"/>
  <c r="BR241" i="24" s="1"/>
  <c r="F252" i="24"/>
  <c r="F114" i="24"/>
  <c r="F101" i="24"/>
  <c r="I101" i="24" s="1"/>
  <c r="F250" i="24"/>
  <c r="BO250" i="24" s="1"/>
  <c r="BR250" i="24" s="1"/>
  <c r="F165" i="24"/>
  <c r="F169" i="24"/>
  <c r="F97" i="24"/>
  <c r="F96" i="24"/>
  <c r="F14" i="24"/>
  <c r="BO14" i="24" s="1"/>
  <c r="BR14" i="24" s="1"/>
  <c r="F233" i="24"/>
  <c r="I233" i="24" s="1"/>
  <c r="F298" i="24"/>
  <c r="BO298" i="24" s="1"/>
  <c r="BR298" i="24" s="1"/>
  <c r="F263" i="24"/>
  <c r="F237" i="25"/>
  <c r="G237" i="25"/>
  <c r="BN237" i="25" s="1"/>
  <c r="F42" i="25"/>
  <c r="G42" i="25"/>
  <c r="F71" i="25"/>
  <c r="G71" i="25"/>
  <c r="F16" i="25"/>
  <c r="BM16" i="25" s="1"/>
  <c r="G16" i="25"/>
  <c r="G53" i="25"/>
  <c r="BN53" i="25" s="1"/>
  <c r="F94" i="25"/>
  <c r="G94" i="25"/>
  <c r="I94" i="25" s="1"/>
  <c r="F38" i="25"/>
  <c r="BM38" i="25" s="1"/>
  <c r="G38" i="25"/>
  <c r="I38" i="25" s="1"/>
  <c r="F145" i="25"/>
  <c r="G145" i="25"/>
  <c r="F190" i="25"/>
  <c r="G190" i="25"/>
  <c r="I190" i="25" s="1"/>
  <c r="F236" i="25"/>
  <c r="G236" i="25"/>
  <c r="BN236" i="25" s="1"/>
  <c r="F105" i="25"/>
  <c r="G105" i="25"/>
  <c r="G87" i="25"/>
  <c r="BN87" i="25" s="1"/>
  <c r="F83" i="25"/>
  <c r="BM83" i="25" s="1"/>
  <c r="G83" i="25"/>
  <c r="BN83" i="25" s="1"/>
  <c r="G29" i="25"/>
  <c r="BN29" i="25" s="1"/>
  <c r="G82" i="25"/>
  <c r="BN82" i="25" s="1"/>
  <c r="F125" i="25"/>
  <c r="G125" i="25"/>
  <c r="BN125" i="25" s="1"/>
  <c r="F9" i="25"/>
  <c r="G9" i="25"/>
  <c r="F162" i="25"/>
  <c r="G162" i="25"/>
  <c r="G111" i="25"/>
  <c r="F163" i="25"/>
  <c r="G163" i="25"/>
  <c r="I163" i="25" s="1"/>
  <c r="F157" i="25"/>
  <c r="G157" i="25"/>
  <c r="I157" i="25" s="1"/>
  <c r="F245" i="25"/>
  <c r="G245" i="25"/>
  <c r="I245" i="25" s="1"/>
  <c r="F129" i="25"/>
  <c r="G129" i="25"/>
  <c r="F241" i="25"/>
  <c r="G241" i="25"/>
  <c r="BN241" i="25" s="1"/>
  <c r="F58" i="25"/>
  <c r="BM58" i="25" s="1"/>
  <c r="G58" i="25"/>
  <c r="BN58" i="25" s="1"/>
  <c r="G69" i="25"/>
  <c r="BN69" i="25" s="1"/>
  <c r="F8" i="25"/>
  <c r="G8" i="25"/>
  <c r="BN8" i="25" s="1"/>
  <c r="F186" i="25"/>
  <c r="BM186" i="25" s="1"/>
  <c r="G186" i="25"/>
  <c r="I186" i="25" s="1"/>
  <c r="F164" i="25"/>
  <c r="G164" i="25"/>
  <c r="BN164" i="25" s="1"/>
  <c r="F202" i="25"/>
  <c r="BM202" i="25" s="1"/>
  <c r="G202" i="25"/>
  <c r="I202" i="25" s="1"/>
  <c r="F195" i="25"/>
  <c r="G195" i="25"/>
  <c r="G257" i="25"/>
  <c r="BN257" i="25" s="1"/>
  <c r="F279" i="25"/>
  <c r="BM279" i="25" s="1"/>
  <c r="G279" i="25"/>
  <c r="I279" i="25" s="1"/>
  <c r="F11" i="25"/>
  <c r="G11" i="25"/>
  <c r="G30" i="25"/>
  <c r="BN30" i="25" s="1"/>
  <c r="F23" i="25"/>
  <c r="G23" i="25"/>
  <c r="BN23" i="25" s="1"/>
  <c r="F52" i="25"/>
  <c r="G52" i="25"/>
  <c r="I52" i="25" s="1"/>
  <c r="G310" i="25"/>
  <c r="I310" i="25" s="1"/>
  <c r="G34" i="25"/>
  <c r="F270" i="25"/>
  <c r="G270" i="25"/>
  <c r="I270" i="25" s="1"/>
  <c r="F226" i="25"/>
  <c r="G226" i="25"/>
  <c r="F53" i="25"/>
  <c r="BM53" i="25" s="1"/>
  <c r="F257" i="25"/>
  <c r="F188" i="24"/>
  <c r="F29" i="25"/>
  <c r="F277" i="24"/>
  <c r="BO277" i="24" s="1"/>
  <c r="BR277" i="24" s="1"/>
  <c r="F41" i="24"/>
  <c r="F74" i="24"/>
  <c r="BO74" i="24" s="1"/>
  <c r="BR74" i="24" s="1"/>
  <c r="F147" i="24"/>
  <c r="BO147" i="24" s="1"/>
  <c r="BR147" i="24" s="1"/>
  <c r="F261" i="24"/>
  <c r="F190" i="24"/>
  <c r="I190" i="24" s="1"/>
  <c r="F159" i="24"/>
  <c r="F286" i="24"/>
  <c r="F259" i="24"/>
  <c r="BO259" i="24" s="1"/>
  <c r="BR259" i="24" s="1"/>
  <c r="F77" i="24"/>
  <c r="F21" i="24"/>
  <c r="I21" i="24" s="1"/>
  <c r="F88" i="24"/>
  <c r="F56" i="24"/>
  <c r="F24" i="24"/>
  <c r="BO24" i="24" s="1"/>
  <c r="BR24" i="24" s="1"/>
  <c r="F38" i="24"/>
  <c r="F6" i="24"/>
  <c r="BO6" i="24" s="1"/>
  <c r="BR6" i="24" s="1"/>
  <c r="F134" i="24"/>
  <c r="F225" i="24"/>
  <c r="F268" i="24"/>
  <c r="F274" i="24"/>
  <c r="BO274" i="24" s="1"/>
  <c r="BR274" i="24" s="1"/>
  <c r="F130" i="24"/>
  <c r="F132" i="24"/>
  <c r="I132" i="24" s="1"/>
  <c r="F75" i="24"/>
  <c r="BO75" i="24" s="1"/>
  <c r="BR75" i="24" s="1"/>
  <c r="F129" i="24"/>
  <c r="BO129" i="24" s="1"/>
  <c r="BR129" i="24" s="1"/>
  <c r="F162" i="24"/>
  <c r="I162" i="24" s="1"/>
  <c r="F266" i="24"/>
  <c r="F296" i="24"/>
  <c r="F206" i="24"/>
  <c r="BO206" i="24" s="1"/>
  <c r="BR206" i="24" s="1"/>
  <c r="F192" i="24"/>
  <c r="BO192" i="24" s="1"/>
  <c r="BR192" i="24" s="1"/>
  <c r="F251" i="24"/>
  <c r="BO251" i="24" s="1"/>
  <c r="BR251" i="24" s="1"/>
  <c r="F71" i="24"/>
  <c r="F39" i="24"/>
  <c r="F7" i="24"/>
  <c r="I7" i="24" s="1"/>
  <c r="F94" i="24"/>
  <c r="BO94" i="24" s="1"/>
  <c r="BR94" i="24" s="1"/>
  <c r="F125" i="24"/>
  <c r="BO125" i="24" s="1"/>
  <c r="BR125" i="24" s="1"/>
  <c r="F281" i="24"/>
  <c r="BO281" i="24" s="1"/>
  <c r="BR281" i="24" s="1"/>
  <c r="F254" i="24"/>
  <c r="F228" i="24"/>
  <c r="BO228" i="24" s="1"/>
  <c r="BR228" i="24" s="1"/>
  <c r="F194" i="24"/>
  <c r="BO194" i="24" s="1"/>
  <c r="BR194" i="24" s="1"/>
  <c r="F12" i="24"/>
  <c r="F99" i="24"/>
  <c r="F117" i="24"/>
  <c r="F186" i="24"/>
  <c r="F133" i="24"/>
  <c r="F246" i="24"/>
  <c r="F118" i="24"/>
  <c r="F243" i="24"/>
  <c r="BO243" i="24" s="1"/>
  <c r="BR243" i="24" s="1"/>
  <c r="F45" i="24"/>
  <c r="I45" i="24" s="1"/>
  <c r="F54" i="24"/>
  <c r="F191" i="24"/>
  <c r="I191" i="24" s="1"/>
  <c r="F314" i="24"/>
  <c r="F177" i="24"/>
  <c r="BO177" i="24" s="1"/>
  <c r="BR177" i="24" s="1"/>
  <c r="F33" i="24"/>
  <c r="F100" i="24"/>
  <c r="BO100" i="24" s="1"/>
  <c r="BR100" i="24" s="1"/>
  <c r="F68" i="24"/>
  <c r="F36" i="24"/>
  <c r="BO36" i="24" s="1"/>
  <c r="BR36" i="24" s="1"/>
  <c r="F50" i="24"/>
  <c r="BO50" i="24" s="1"/>
  <c r="BR50" i="24" s="1"/>
  <c r="F18" i="24"/>
  <c r="F146" i="24"/>
  <c r="F280" i="24"/>
  <c r="F302" i="24"/>
  <c r="BO302" i="24" s="1"/>
  <c r="BR302" i="24" s="1"/>
  <c r="F176" i="24"/>
  <c r="F267" i="24"/>
  <c r="F46" i="24"/>
  <c r="F163" i="24"/>
  <c r="BO163" i="24" s="1"/>
  <c r="BR163" i="24" s="1"/>
  <c r="F142" i="24"/>
  <c r="I142" i="24" s="1"/>
  <c r="F198" i="24"/>
  <c r="BO198" i="24" s="1"/>
  <c r="BR198" i="24" s="1"/>
  <c r="F276" i="24"/>
  <c r="F115" i="24"/>
  <c r="F255" i="25"/>
  <c r="G255" i="25"/>
  <c r="I255" i="25" s="1"/>
  <c r="F266" i="25"/>
  <c r="G266" i="25"/>
  <c r="BN266" i="25" s="1"/>
  <c r="F182" i="25"/>
  <c r="G182" i="25"/>
  <c r="F210" i="25"/>
  <c r="G210" i="25"/>
  <c r="F269" i="25"/>
  <c r="G269" i="25"/>
  <c r="BN269" i="25" s="1"/>
  <c r="F152" i="25"/>
  <c r="BM152" i="25" s="1"/>
  <c r="G152" i="25"/>
  <c r="F300" i="25"/>
  <c r="G300" i="25"/>
  <c r="BN300" i="25" s="1"/>
  <c r="F37" i="25"/>
  <c r="G37" i="25"/>
  <c r="F180" i="25"/>
  <c r="BM180" i="25" s="1"/>
  <c r="G180" i="25"/>
  <c r="F165" i="25"/>
  <c r="G165" i="25"/>
  <c r="F189" i="25"/>
  <c r="G189" i="25"/>
  <c r="I189" i="25" s="1"/>
  <c r="G277" i="25"/>
  <c r="BN277" i="25" s="1"/>
  <c r="F70" i="25"/>
  <c r="G70" i="25"/>
  <c r="BN70" i="25" s="1"/>
  <c r="F232" i="25"/>
  <c r="BM232" i="25" s="1"/>
  <c r="G232" i="25"/>
  <c r="F6" i="25"/>
  <c r="BM6" i="25" s="1"/>
  <c r="G6" i="25"/>
  <c r="F265" i="25"/>
  <c r="G265" i="25"/>
  <c r="I265" i="25" s="1"/>
  <c r="F31" i="25"/>
  <c r="G31" i="25"/>
  <c r="I31" i="25" s="1"/>
  <c r="F59" i="25"/>
  <c r="G59" i="25"/>
  <c r="I59" i="25" s="1"/>
  <c r="F188" i="25"/>
  <c r="G188" i="25"/>
  <c r="F167" i="24"/>
  <c r="BO167" i="24" s="1"/>
  <c r="BR167" i="24" s="1"/>
  <c r="F237" i="24"/>
  <c r="F30" i="25"/>
  <c r="BM30" i="25" s="1"/>
  <c r="F230" i="24"/>
  <c r="F307" i="24"/>
  <c r="BO307" i="24" s="1"/>
  <c r="BR307" i="24" s="1"/>
  <c r="F83" i="24"/>
  <c r="BO83" i="24" s="1"/>
  <c r="BR83" i="24" s="1"/>
  <c r="F19" i="24"/>
  <c r="F170" i="24"/>
  <c r="F304" i="24"/>
  <c r="F205" i="24"/>
  <c r="F70" i="24"/>
  <c r="BO70" i="24" s="1"/>
  <c r="BR70" i="24" s="1"/>
  <c r="F131" i="24"/>
  <c r="BO131" i="24" s="1"/>
  <c r="BR131" i="24" s="1"/>
  <c r="F123" i="24"/>
  <c r="F201" i="24"/>
  <c r="F255" i="24"/>
  <c r="F52" i="24"/>
  <c r="F37" i="24"/>
  <c r="F285" i="24"/>
  <c r="BO285" i="24" s="1"/>
  <c r="BR285" i="24" s="1"/>
  <c r="F232" i="24"/>
  <c r="F103" i="24"/>
  <c r="F202" i="24"/>
  <c r="F137" i="24"/>
  <c r="F122" i="24"/>
  <c r="F44" i="24"/>
  <c r="I44" i="24" s="1"/>
  <c r="F309" i="24"/>
  <c r="F256" i="24"/>
  <c r="F152" i="24"/>
  <c r="BO152" i="24" s="1"/>
  <c r="BR152" i="24" s="1"/>
  <c r="F63" i="24"/>
  <c r="F273" i="24"/>
  <c r="F82" i="24"/>
  <c r="F179" i="24"/>
  <c r="F116" i="24"/>
  <c r="F119" i="24"/>
  <c r="I119" i="24" s="1"/>
  <c r="F55" i="24"/>
  <c r="BO55" i="24" s="1"/>
  <c r="BR55" i="24" s="1"/>
  <c r="F265" i="24"/>
  <c r="F171" i="24"/>
  <c r="F295" i="24"/>
  <c r="F13" i="25"/>
  <c r="G13" i="25"/>
  <c r="I13" i="25" s="1"/>
  <c r="F26" i="25"/>
  <c r="G26" i="25"/>
  <c r="BN26" i="25" s="1"/>
  <c r="F77" i="25"/>
  <c r="G77" i="25"/>
  <c r="I77" i="25" s="1"/>
  <c r="F203" i="25"/>
  <c r="BM203" i="25" s="1"/>
  <c r="G203" i="25"/>
  <c r="BN203" i="25" s="1"/>
  <c r="F206" i="25"/>
  <c r="G206" i="25"/>
  <c r="BN206" i="25" s="1"/>
  <c r="F160" i="25"/>
  <c r="G160" i="25"/>
  <c r="BN160" i="25" s="1"/>
  <c r="F280" i="25"/>
  <c r="G280" i="25"/>
  <c r="BN280" i="25" s="1"/>
  <c r="F174" i="25"/>
  <c r="G174" i="25"/>
  <c r="F208" i="25"/>
  <c r="G208" i="25"/>
  <c r="I208" i="25" s="1"/>
  <c r="F132" i="25"/>
  <c r="G132" i="25"/>
  <c r="I132" i="25" s="1"/>
  <c r="F194" i="25"/>
  <c r="G194" i="25"/>
  <c r="I194" i="25" s="1"/>
  <c r="F120" i="25"/>
  <c r="G120" i="25"/>
  <c r="I120" i="25" s="1"/>
  <c r="G218" i="25"/>
  <c r="BN218" i="25" s="1"/>
  <c r="F315" i="25"/>
  <c r="BM315" i="25" s="1"/>
  <c r="G315" i="25"/>
  <c r="BN315" i="25" s="1"/>
  <c r="F271" i="25"/>
  <c r="G271" i="25"/>
  <c r="I271" i="25" s="1"/>
  <c r="F62" i="25"/>
  <c r="G62" i="25"/>
  <c r="I62" i="25" s="1"/>
  <c r="F204" i="25"/>
  <c r="G204" i="25"/>
  <c r="I204" i="25" s="1"/>
  <c r="F74" i="25"/>
  <c r="G74" i="25"/>
  <c r="F177" i="25"/>
  <c r="G177" i="25"/>
  <c r="I177" i="25" s="1"/>
  <c r="F246" i="25"/>
  <c r="BM246" i="25" s="1"/>
  <c r="G246" i="25"/>
  <c r="F126" i="25"/>
  <c r="G126" i="25"/>
  <c r="G15" i="25"/>
  <c r="I15" i="25" s="1"/>
  <c r="F176" i="25"/>
  <c r="G176" i="25"/>
  <c r="F73" i="25"/>
  <c r="G73" i="25"/>
  <c r="F159" i="25"/>
  <c r="BM159" i="25" s="1"/>
  <c r="G159" i="25"/>
  <c r="BN159" i="25" s="1"/>
  <c r="F185" i="25"/>
  <c r="G185" i="25"/>
  <c r="BN185" i="25" s="1"/>
  <c r="F141" i="25"/>
  <c r="BM141" i="25" s="1"/>
  <c r="G141" i="25"/>
  <c r="BN141" i="25" s="1"/>
  <c r="F151" i="25"/>
  <c r="BM151" i="25" s="1"/>
  <c r="G151" i="25"/>
  <c r="BN151" i="25" s="1"/>
  <c r="F168" i="25"/>
  <c r="BM168" i="25" s="1"/>
  <c r="G168" i="25"/>
  <c r="BN168" i="25" s="1"/>
  <c r="F193" i="25"/>
  <c r="BM193" i="25" s="1"/>
  <c r="G193" i="25"/>
  <c r="BN193" i="25" s="1"/>
  <c r="F143" i="25"/>
  <c r="G143" i="25"/>
  <c r="BN143" i="25" s="1"/>
  <c r="F169" i="25"/>
  <c r="G169" i="25"/>
  <c r="BN169" i="25" s="1"/>
  <c r="F273" i="25"/>
  <c r="G273" i="25"/>
  <c r="BN273" i="25" s="1"/>
  <c r="F239" i="25"/>
  <c r="BM239" i="25" s="1"/>
  <c r="G239" i="25"/>
  <c r="I239" i="25" s="1"/>
  <c r="F44" i="25"/>
  <c r="BM44" i="25" s="1"/>
  <c r="G44" i="25"/>
  <c r="I44" i="25" s="1"/>
  <c r="F81" i="25"/>
  <c r="BM81" i="25" s="1"/>
  <c r="G81" i="25"/>
  <c r="I81" i="25" s="1"/>
  <c r="F219" i="25"/>
  <c r="G219" i="25"/>
  <c r="I219" i="25" s="1"/>
  <c r="F230" i="25"/>
  <c r="G230" i="25"/>
  <c r="BN230" i="25" s="1"/>
  <c r="F104" i="25"/>
  <c r="G104" i="25"/>
  <c r="I104" i="25" s="1"/>
  <c r="F21" i="25"/>
  <c r="G21" i="25"/>
  <c r="BN21" i="25" s="1"/>
  <c r="F179" i="25"/>
  <c r="G179" i="25"/>
  <c r="BN179" i="25" s="1"/>
  <c r="F198" i="25"/>
  <c r="G198" i="25"/>
  <c r="I198" i="25" s="1"/>
  <c r="F96" i="25"/>
  <c r="G96" i="25"/>
  <c r="F197" i="25"/>
  <c r="G197" i="25"/>
  <c r="BN197" i="25" s="1"/>
  <c r="F118" i="25"/>
  <c r="G118" i="25"/>
  <c r="BN118" i="25" s="1"/>
  <c r="F115" i="25"/>
  <c r="G115" i="25"/>
  <c r="BN115" i="25" s="1"/>
  <c r="F205" i="25"/>
  <c r="G205" i="25"/>
  <c r="BN205" i="25" s="1"/>
  <c r="F183" i="25"/>
  <c r="G183" i="25"/>
  <c r="BN183" i="25" s="1"/>
  <c r="F200" i="25"/>
  <c r="G200" i="25"/>
  <c r="BN200" i="25" s="1"/>
  <c r="F114" i="25"/>
  <c r="G114" i="25"/>
  <c r="BN114" i="25" s="1"/>
  <c r="F207" i="25"/>
  <c r="G207" i="25"/>
  <c r="BN207" i="25" s="1"/>
  <c r="F130" i="25"/>
  <c r="G130" i="25"/>
  <c r="BN130" i="25" s="1"/>
  <c r="F116" i="25"/>
  <c r="G116" i="25"/>
  <c r="BN116" i="25" s="1"/>
  <c r="F218" i="25"/>
  <c r="BM218" i="25" s="1"/>
  <c r="BQ218" i="25" s="1"/>
  <c r="F168" i="24"/>
  <c r="BO168" i="24" s="1"/>
  <c r="BR168" i="24" s="1"/>
  <c r="F43" i="24"/>
  <c r="F86" i="24"/>
  <c r="BO86" i="24" s="1"/>
  <c r="BR86" i="24" s="1"/>
  <c r="F239" i="24"/>
  <c r="F73" i="24"/>
  <c r="F51" i="24"/>
  <c r="F195" i="24"/>
  <c r="BO195" i="24" s="1"/>
  <c r="BR195" i="24" s="1"/>
  <c r="F290" i="24"/>
  <c r="F291" i="24"/>
  <c r="BO291" i="24" s="1"/>
  <c r="BR291" i="24" s="1"/>
  <c r="F102" i="24"/>
  <c r="F257" i="24"/>
  <c r="I257" i="24" s="1"/>
  <c r="M257" i="24" s="1"/>
  <c r="N257" i="24" s="1"/>
  <c r="F151" i="24"/>
  <c r="F164" i="24"/>
  <c r="BO164" i="24" s="1"/>
  <c r="BR164" i="24" s="1"/>
  <c r="F84" i="24"/>
  <c r="F20" i="24"/>
  <c r="F120" i="24"/>
  <c r="F141" i="24"/>
  <c r="F126" i="24"/>
  <c r="BO126" i="24" s="1"/>
  <c r="BR126" i="24" s="1"/>
  <c r="F283" i="24"/>
  <c r="BO283" i="24" s="1"/>
  <c r="BR283" i="24" s="1"/>
  <c r="F16" i="24"/>
  <c r="F187" i="24"/>
  <c r="F258" i="24"/>
  <c r="F247" i="24"/>
  <c r="F76" i="24"/>
  <c r="F58" i="24"/>
  <c r="F282" i="24"/>
  <c r="F185" i="24"/>
  <c r="BO185" i="24" s="1"/>
  <c r="BR185" i="24" s="1"/>
  <c r="F181" i="24"/>
  <c r="BO181" i="24" s="1"/>
  <c r="BR181" i="24" s="1"/>
  <c r="F95" i="24"/>
  <c r="F31" i="24"/>
  <c r="F182" i="24"/>
  <c r="F271" i="24"/>
  <c r="F69" i="24"/>
  <c r="F269" i="24"/>
  <c r="F175" i="24"/>
  <c r="BO175" i="24" s="1"/>
  <c r="BR175" i="24" s="1"/>
  <c r="F299" i="24"/>
  <c r="F87" i="24"/>
  <c r="F23" i="24"/>
  <c r="F174" i="24"/>
  <c r="F308" i="24"/>
  <c r="F204" i="24"/>
  <c r="F290" i="25"/>
  <c r="G290" i="25"/>
  <c r="BN290" i="25" s="1"/>
  <c r="F117" i="25"/>
  <c r="G117" i="25"/>
  <c r="I117" i="25" s="1"/>
  <c r="F297" i="25"/>
  <c r="G297" i="25"/>
  <c r="I297" i="25" s="1"/>
  <c r="F312" i="25"/>
  <c r="G312" i="25"/>
  <c r="BN312" i="25" s="1"/>
  <c r="F221" i="25"/>
  <c r="G221" i="25"/>
  <c r="I221" i="25" s="1"/>
  <c r="F49" i="25"/>
  <c r="G49" i="25"/>
  <c r="F35" i="25"/>
  <c r="G35" i="25"/>
  <c r="BN35" i="25" s="1"/>
  <c r="F48" i="25"/>
  <c r="BM48" i="25" s="1"/>
  <c r="G48" i="25"/>
  <c r="BN48" i="25" s="1"/>
  <c r="F85" i="25"/>
  <c r="G85" i="25"/>
  <c r="BN85" i="25" s="1"/>
  <c r="F91" i="25"/>
  <c r="G91" i="25"/>
  <c r="BN91" i="25" s="1"/>
  <c r="F20" i="25"/>
  <c r="G20" i="25"/>
  <c r="BN20" i="25" s="1"/>
  <c r="F57" i="25"/>
  <c r="G57" i="25"/>
  <c r="BN57" i="25" s="1"/>
  <c r="F98" i="25"/>
  <c r="G98" i="25"/>
  <c r="BN98" i="25" s="1"/>
  <c r="F24" i="25"/>
  <c r="G24" i="25"/>
  <c r="BN24" i="25" s="1"/>
  <c r="F22" i="25"/>
  <c r="G22" i="25"/>
  <c r="BN22" i="25" s="1"/>
  <c r="F123" i="25"/>
  <c r="G123" i="25"/>
  <c r="BN123" i="25" s="1"/>
  <c r="F140" i="25"/>
  <c r="G140" i="25"/>
  <c r="BN140" i="25" s="1"/>
  <c r="F149" i="25"/>
  <c r="G149" i="25"/>
  <c r="BN149" i="25" s="1"/>
  <c r="F127" i="25"/>
  <c r="G127" i="25"/>
  <c r="BN127" i="25" s="1"/>
  <c r="F153" i="25"/>
  <c r="G153" i="25"/>
  <c r="BN153" i="25" s="1"/>
  <c r="F196" i="25"/>
  <c r="G196" i="25"/>
  <c r="BN196" i="25" s="1"/>
  <c r="F135" i="25"/>
  <c r="G135" i="25"/>
  <c r="BN135" i="25" s="1"/>
  <c r="F307" i="25"/>
  <c r="G307" i="25"/>
  <c r="I307" i="25" s="1"/>
  <c r="F99" i="25"/>
  <c r="G99" i="25"/>
  <c r="F43" i="25"/>
  <c r="G43" i="25"/>
  <c r="BN43" i="25" s="1"/>
  <c r="F40" i="25"/>
  <c r="G40" i="25"/>
  <c r="BN40" i="25" s="1"/>
  <c r="F54" i="25"/>
  <c r="G54" i="25"/>
  <c r="BN54" i="25" s="1"/>
  <c r="F139" i="25"/>
  <c r="G139" i="25"/>
  <c r="BN139" i="25" s="1"/>
  <c r="F156" i="25"/>
  <c r="G156" i="25"/>
  <c r="I156" i="25" s="1"/>
  <c r="F278" i="25"/>
  <c r="G278" i="25"/>
  <c r="I278" i="25" s="1"/>
  <c r="F32" i="25"/>
  <c r="G32" i="25"/>
  <c r="F311" i="25"/>
  <c r="G311" i="25"/>
  <c r="I311" i="25" s="1"/>
  <c r="F150" i="25"/>
  <c r="G150" i="25"/>
  <c r="F260" i="25"/>
  <c r="G260" i="25"/>
  <c r="I260" i="25" s="1"/>
  <c r="F227" i="25"/>
  <c r="G227" i="25"/>
  <c r="I227" i="25" s="1"/>
  <c r="G97" i="25"/>
  <c r="F46" i="25"/>
  <c r="G46" i="25"/>
  <c r="BN46" i="25" s="1"/>
  <c r="F79" i="25"/>
  <c r="G79" i="25"/>
  <c r="BN79" i="25" s="1"/>
  <c r="F68" i="25"/>
  <c r="G68" i="25"/>
  <c r="BN68" i="25" s="1"/>
  <c r="F18" i="25"/>
  <c r="G18" i="25"/>
  <c r="BN18" i="25" s="1"/>
  <c r="F51" i="25"/>
  <c r="G51" i="25"/>
  <c r="BN51" i="25" s="1"/>
  <c r="F72" i="25"/>
  <c r="G72" i="25"/>
  <c r="BN72" i="25" s="1"/>
  <c r="F67" i="25"/>
  <c r="G67" i="25"/>
  <c r="BN67" i="25" s="1"/>
  <c r="F171" i="25"/>
  <c r="G171" i="25"/>
  <c r="BN171" i="25" s="1"/>
  <c r="F295" i="25"/>
  <c r="G295" i="25"/>
  <c r="BN295" i="25" s="1"/>
  <c r="F82" i="25"/>
  <c r="BM82" i="25" s="1"/>
  <c r="F34" i="25"/>
  <c r="BM34" i="25" s="1"/>
  <c r="F80" i="25"/>
  <c r="BM80" i="25" s="1"/>
  <c r="F284" i="24"/>
  <c r="BO284" i="24" s="1"/>
  <c r="BR284" i="24" s="1"/>
  <c r="F311" i="24"/>
  <c r="BO311" i="24" s="1"/>
  <c r="BR311" i="24" s="1"/>
  <c r="F148" i="24"/>
  <c r="BO148" i="24" s="1"/>
  <c r="BR148" i="24" s="1"/>
  <c r="F127" i="24"/>
  <c r="BO127" i="24" s="1"/>
  <c r="BR127" i="24" s="1"/>
  <c r="F150" i="24"/>
  <c r="BO150" i="24" s="1"/>
  <c r="BR150" i="24" s="1"/>
  <c r="F87" i="25"/>
  <c r="BM87" i="25" s="1"/>
  <c r="F61" i="24"/>
  <c r="BO61" i="24" s="1"/>
  <c r="BR61" i="24" s="1"/>
  <c r="F42" i="24"/>
  <c r="BO42" i="24" s="1"/>
  <c r="BR42" i="24" s="1"/>
  <c r="F60" i="24"/>
  <c r="BO60" i="24" s="1"/>
  <c r="BR60" i="24" s="1"/>
  <c r="F53" i="24"/>
  <c r="BO53" i="24" s="1"/>
  <c r="BR53" i="24" s="1"/>
  <c r="F81" i="24"/>
  <c r="BO81" i="24" s="1"/>
  <c r="BR81" i="24" s="1"/>
  <c r="F92" i="24"/>
  <c r="F293" i="24"/>
  <c r="F240" i="24"/>
  <c r="F200" i="24"/>
  <c r="F15" i="24"/>
  <c r="F166" i="24"/>
  <c r="F300" i="24"/>
  <c r="F17" i="24"/>
  <c r="F34" i="24"/>
  <c r="F221" i="24"/>
  <c r="F270" i="24"/>
  <c r="F13" i="24"/>
  <c r="F313" i="24"/>
  <c r="F260" i="24"/>
  <c r="F156" i="24"/>
  <c r="F90" i="24"/>
  <c r="F245" i="24"/>
  <c r="F217" i="24"/>
  <c r="F275" i="24"/>
  <c r="BO275" i="24" s="1"/>
  <c r="BR275" i="24" s="1"/>
  <c r="F8" i="24"/>
  <c r="F199" i="24"/>
  <c r="F155" i="24"/>
  <c r="F220" i="24"/>
  <c r="F180" i="24"/>
  <c r="F27" i="24"/>
  <c r="F178" i="24"/>
  <c r="BO178" i="24" s="1"/>
  <c r="BR178" i="24" s="1"/>
  <c r="F312" i="24"/>
  <c r="F208" i="24"/>
  <c r="F89" i="24"/>
  <c r="F113" i="24"/>
  <c r="F306" i="24"/>
  <c r="F128" i="24"/>
  <c r="F231" i="24"/>
  <c r="F286" i="25"/>
  <c r="G286" i="25"/>
  <c r="F276" i="25"/>
  <c r="G276" i="25"/>
  <c r="I276" i="25" s="1"/>
  <c r="F288" i="25"/>
  <c r="G288" i="25"/>
  <c r="BN288" i="25" s="1"/>
  <c r="F259" i="25"/>
  <c r="BM259" i="25" s="1"/>
  <c r="G259" i="25"/>
  <c r="I259" i="25" s="1"/>
  <c r="F308" i="25"/>
  <c r="G308" i="25"/>
  <c r="F283" i="25"/>
  <c r="G283" i="25"/>
  <c r="I283" i="25" s="1"/>
  <c r="F301" i="25"/>
  <c r="G301" i="25"/>
  <c r="F287" i="25"/>
  <c r="G287" i="25"/>
  <c r="I287" i="25" s="1"/>
  <c r="F268" i="25"/>
  <c r="G268" i="25"/>
  <c r="F12" i="25"/>
  <c r="G12" i="25"/>
  <c r="F314" i="25"/>
  <c r="G314" i="25"/>
  <c r="F274" i="25"/>
  <c r="G274" i="25"/>
  <c r="BN274" i="25" s="1"/>
  <c r="F263" i="25"/>
  <c r="G263" i="25"/>
  <c r="F253" i="25"/>
  <c r="G253" i="25"/>
  <c r="BN253" i="25" s="1"/>
  <c r="F100" i="25"/>
  <c r="G100" i="25"/>
  <c r="I100" i="25" s="1"/>
  <c r="F76" i="25"/>
  <c r="G76" i="25"/>
  <c r="I76" i="25" s="1"/>
  <c r="F84" i="25"/>
  <c r="G84" i="25"/>
  <c r="BN84" i="25" s="1"/>
  <c r="F90" i="25"/>
  <c r="G90" i="25"/>
  <c r="F45" i="25"/>
  <c r="G45" i="25"/>
  <c r="F64" i="25"/>
  <c r="G64" i="25"/>
  <c r="F14" i="25"/>
  <c r="G14" i="25"/>
  <c r="F36" i="25"/>
  <c r="G36" i="25"/>
  <c r="I36" i="25" s="1"/>
  <c r="F306" i="25"/>
  <c r="G306" i="25"/>
  <c r="F231" i="25"/>
  <c r="G231" i="25"/>
  <c r="BN231" i="25" s="1"/>
  <c r="F285" i="25"/>
  <c r="G285" i="25"/>
  <c r="F101" i="25"/>
  <c r="G101" i="25"/>
  <c r="F19" i="25"/>
  <c r="G19" i="25"/>
  <c r="F187" i="25"/>
  <c r="G187" i="25"/>
  <c r="F55" i="25"/>
  <c r="G55" i="25"/>
  <c r="G50" i="25"/>
  <c r="F142" i="25"/>
  <c r="G142" i="25"/>
  <c r="F166" i="25"/>
  <c r="G166" i="25"/>
  <c r="F256" i="25"/>
  <c r="BM256" i="25" s="1"/>
  <c r="G256" i="25"/>
  <c r="I256" i="25" s="1"/>
  <c r="F41" i="25"/>
  <c r="G41" i="25"/>
  <c r="BN41" i="25" s="1"/>
  <c r="F133" i="25"/>
  <c r="G133" i="25"/>
  <c r="I133" i="25" s="1"/>
  <c r="F119" i="25"/>
  <c r="G119" i="25"/>
  <c r="BN119" i="25" s="1"/>
  <c r="F131" i="25"/>
  <c r="G131" i="25"/>
  <c r="I131" i="25" s="1"/>
  <c r="F167" i="25"/>
  <c r="G167" i="25"/>
  <c r="F184" i="25"/>
  <c r="G184" i="25"/>
  <c r="F209" i="25"/>
  <c r="G209" i="25"/>
  <c r="F175" i="25"/>
  <c r="G175" i="25"/>
  <c r="F201" i="25"/>
  <c r="G201" i="25"/>
  <c r="F289" i="25"/>
  <c r="G289" i="25"/>
  <c r="I289" i="25" s="1"/>
  <c r="F238" i="25"/>
  <c r="G238" i="25"/>
  <c r="I238" i="25" s="1"/>
  <c r="F234" i="25"/>
  <c r="G234" i="25"/>
  <c r="F313" i="25"/>
  <c r="G313" i="25"/>
  <c r="I313" i="25" s="1"/>
  <c r="F304" i="25"/>
  <c r="G304" i="25"/>
  <c r="F60" i="25"/>
  <c r="G60" i="25"/>
  <c r="F75" i="25"/>
  <c r="G75" i="25"/>
  <c r="I75" i="25" s="1"/>
  <c r="F95" i="25"/>
  <c r="G95" i="25"/>
  <c r="I95" i="25" s="1"/>
  <c r="F264" i="25"/>
  <c r="G264" i="25"/>
  <c r="BN264" i="25" s="1"/>
  <c r="F235" i="25"/>
  <c r="G235" i="25"/>
  <c r="I235" i="25" s="1"/>
  <c r="F183" i="24"/>
  <c r="BO183" i="24" s="1"/>
  <c r="BR183" i="24" s="1"/>
  <c r="F105" i="24"/>
  <c r="F63" i="25"/>
  <c r="BM63" i="25" s="1"/>
  <c r="F26" i="24"/>
  <c r="BO26" i="24" s="1"/>
  <c r="BR26" i="24" s="1"/>
  <c r="F9" i="24"/>
  <c r="F48" i="24"/>
  <c r="BO48" i="24" s="1"/>
  <c r="BR48" i="24" s="1"/>
  <c r="F11" i="24"/>
  <c r="BO11" i="24" s="1"/>
  <c r="BR11" i="24" s="1"/>
  <c r="F28" i="24"/>
  <c r="BO28" i="24" s="1"/>
  <c r="BR28" i="24" s="1"/>
  <c r="F78" i="24"/>
  <c r="BO78" i="24" s="1"/>
  <c r="BR78" i="24" s="1"/>
  <c r="F29" i="24"/>
  <c r="BO29" i="24" s="1"/>
  <c r="BR29" i="24" s="1"/>
  <c r="F277" i="25"/>
  <c r="BM277" i="25" s="1"/>
  <c r="F310" i="25"/>
  <c r="BM310" i="25" s="1"/>
  <c r="F111" i="25"/>
  <c r="BM111" i="25" s="1"/>
  <c r="F69" i="25"/>
  <c r="BM69" i="25" s="1"/>
  <c r="F25" i="24"/>
  <c r="F226" i="24"/>
  <c r="F149" i="24"/>
  <c r="F124" i="24"/>
  <c r="F227" i="24"/>
  <c r="F47" i="24"/>
  <c r="F121" i="24"/>
  <c r="F278" i="24"/>
  <c r="F210" i="24"/>
  <c r="F287" i="24"/>
  <c r="F65" i="24"/>
  <c r="BO65" i="24" s="1"/>
  <c r="BR65" i="24" s="1"/>
  <c r="F66" i="24"/>
  <c r="F218" i="24"/>
  <c r="F264" i="24"/>
  <c r="I264" i="24" s="1"/>
  <c r="F219" i="24"/>
  <c r="F57" i="24"/>
  <c r="F80" i="24"/>
  <c r="F294" i="24"/>
  <c r="I294" i="24" s="1"/>
  <c r="F197" i="24"/>
  <c r="F189" i="24"/>
  <c r="F49" i="24"/>
  <c r="F93" i="24"/>
  <c r="F154" i="24"/>
  <c r="F288" i="24"/>
  <c r="F184" i="24"/>
  <c r="F40" i="24"/>
  <c r="F305" i="24"/>
  <c r="F316" i="24"/>
  <c r="F203" i="24"/>
  <c r="F139" i="24"/>
  <c r="F222" i="24"/>
  <c r="F235" i="24"/>
  <c r="BO235" i="24" s="1"/>
  <c r="BR235" i="24" s="1"/>
  <c r="F32" i="24"/>
  <c r="F297" i="24"/>
  <c r="F244" i="24"/>
  <c r="F140" i="24"/>
  <c r="F240" i="25"/>
  <c r="G240" i="25"/>
  <c r="BN240" i="25" s="1"/>
  <c r="F284" i="25"/>
  <c r="G284" i="25"/>
  <c r="F267" i="25"/>
  <c r="G267" i="25"/>
  <c r="F251" i="25"/>
  <c r="G251" i="25"/>
  <c r="F33" i="25"/>
  <c r="G33" i="25"/>
  <c r="F27" i="25"/>
  <c r="G27" i="25"/>
  <c r="F154" i="25"/>
  <c r="G154" i="25"/>
  <c r="F261" i="25"/>
  <c r="G261" i="25"/>
  <c r="F249" i="25"/>
  <c r="G249" i="25"/>
  <c r="F217" i="25"/>
  <c r="G217" i="25"/>
  <c r="BN217" i="25" s="1"/>
  <c r="F28" i="25"/>
  <c r="G28" i="25"/>
  <c r="F65" i="25"/>
  <c r="G65" i="25"/>
  <c r="F228" i="25"/>
  <c r="G228" i="25"/>
  <c r="F299" i="25"/>
  <c r="BM299" i="25" s="1"/>
  <c r="G299" i="25"/>
  <c r="F155" i="25"/>
  <c r="G155" i="25"/>
  <c r="F172" i="25"/>
  <c r="G172" i="25"/>
  <c r="F181" i="25"/>
  <c r="G181" i="25"/>
  <c r="I181" i="25" s="1"/>
  <c r="F191" i="25"/>
  <c r="G191" i="25"/>
  <c r="F178" i="25"/>
  <c r="G178" i="25"/>
  <c r="F173" i="25"/>
  <c r="G173" i="25"/>
  <c r="F309" i="25"/>
  <c r="G309" i="25"/>
  <c r="F7" i="25"/>
  <c r="G7" i="25"/>
  <c r="F92" i="25"/>
  <c r="G92" i="25"/>
  <c r="F78" i="25"/>
  <c r="G78" i="25"/>
  <c r="F229" i="25"/>
  <c r="G229" i="25"/>
  <c r="BN229" i="25" s="1"/>
  <c r="F303" i="25"/>
  <c r="BM303" i="25" s="1"/>
  <c r="G303" i="25"/>
  <c r="F282" i="25"/>
  <c r="G282" i="25"/>
  <c r="BN282" i="25" s="1"/>
  <c r="F172" i="24"/>
  <c r="BO172" i="24" s="1"/>
  <c r="BR172" i="24" s="1"/>
  <c r="F50" i="25"/>
  <c r="BM50" i="25" s="1"/>
  <c r="F17" i="25"/>
  <c r="BM17" i="25" s="1"/>
  <c r="F97" i="25"/>
  <c r="BM97" i="25" s="1"/>
  <c r="F59" i="24"/>
  <c r="BO59" i="24" s="1"/>
  <c r="BR59" i="24" s="1"/>
  <c r="F15" i="25"/>
  <c r="BM15" i="25" s="1"/>
  <c r="F85" i="24"/>
  <c r="F10" i="24"/>
  <c r="F229" i="24"/>
  <c r="F136" i="24"/>
  <c r="F79" i="24"/>
  <c r="F289" i="24"/>
  <c r="F236" i="24"/>
  <c r="I236" i="24" s="1"/>
  <c r="F196" i="24"/>
  <c r="F98" i="24"/>
  <c r="BO98" i="24" s="1"/>
  <c r="BR98" i="24" s="1"/>
  <c r="F310" i="24"/>
  <c r="F209" i="24"/>
  <c r="F193" i="24"/>
  <c r="F315" i="24"/>
  <c r="F30" i="24"/>
  <c r="F249" i="24"/>
  <c r="F135" i="24"/>
  <c r="F279" i="24"/>
  <c r="F35" i="24"/>
  <c r="F207" i="24"/>
  <c r="F238" i="24"/>
  <c r="F112" i="24"/>
  <c r="F72" i="24"/>
  <c r="F262" i="24"/>
  <c r="F173" i="24"/>
  <c r="F234" i="24"/>
  <c r="F303" i="24"/>
  <c r="F91" i="24"/>
  <c r="F301" i="24"/>
  <c r="F248" i="24"/>
  <c r="F144" i="24"/>
  <c r="F64" i="24"/>
  <c r="F242" i="24"/>
  <c r="F153" i="24"/>
  <c r="F161" i="24"/>
  <c r="F250" i="25"/>
  <c r="G250" i="25"/>
  <c r="F25" i="25"/>
  <c r="G25" i="25"/>
  <c r="F66" i="25"/>
  <c r="G66" i="25"/>
  <c r="F39" i="25"/>
  <c r="G39" i="25"/>
  <c r="F61" i="25"/>
  <c r="G61" i="25"/>
  <c r="F170" i="25"/>
  <c r="G170" i="25"/>
  <c r="F272" i="25"/>
  <c r="G272" i="25"/>
  <c r="F242" i="25"/>
  <c r="G242" i="25"/>
  <c r="I242" i="25" s="1"/>
  <c r="F252" i="25"/>
  <c r="G252" i="25"/>
  <c r="F225" i="25"/>
  <c r="G225" i="25"/>
  <c r="F247" i="25"/>
  <c r="G247" i="25"/>
  <c r="BN247" i="25" s="1"/>
  <c r="F316" i="25"/>
  <c r="G316" i="25"/>
  <c r="F293" i="25"/>
  <c r="G293" i="25"/>
  <c r="F281" i="25"/>
  <c r="G281" i="25"/>
  <c r="I281" i="25" s="1"/>
  <c r="F89" i="25"/>
  <c r="G89" i="25"/>
  <c r="F47" i="25"/>
  <c r="G47" i="25"/>
  <c r="F56" i="25"/>
  <c r="G56" i="25"/>
  <c r="I56" i="25" s="1"/>
  <c r="F86" i="25"/>
  <c r="G86" i="25"/>
  <c r="G110" i="25"/>
  <c r="BN110" i="25" s="1"/>
  <c r="BQ110" i="25" s="1"/>
  <c r="F305" i="25"/>
  <c r="G305" i="25"/>
  <c r="F124" i="25"/>
  <c r="G124" i="25"/>
  <c r="F121" i="25"/>
  <c r="G121" i="25"/>
  <c r="F136" i="25"/>
  <c r="G136" i="25"/>
  <c r="F161" i="25"/>
  <c r="G161" i="25"/>
  <c r="F292" i="25"/>
  <c r="G292" i="25"/>
  <c r="F243" i="25"/>
  <c r="G243" i="25"/>
  <c r="G216" i="25"/>
  <c r="BN216" i="25" s="1"/>
  <c r="BQ216" i="25" s="1"/>
  <c r="F298" i="25"/>
  <c r="G298" i="25"/>
  <c r="BN298" i="25" s="1"/>
  <c r="F113" i="25"/>
  <c r="G113" i="25"/>
  <c r="F148" i="25"/>
  <c r="G148" i="25"/>
  <c r="F233" i="25"/>
  <c r="G233" i="25"/>
  <c r="BN233" i="25" s="1"/>
  <c r="F291" i="25"/>
  <c r="G291" i="25"/>
  <c r="I291" i="25" s="1"/>
  <c r="F262" i="25"/>
  <c r="BM262" i="25" s="1"/>
  <c r="G262" i="25"/>
  <c r="F144" i="25"/>
  <c r="G144" i="25"/>
  <c r="F199" i="25"/>
  <c r="G199" i="25"/>
  <c r="I199" i="25" s="1"/>
  <c r="F146" i="25"/>
  <c r="G146" i="25"/>
  <c r="BN146" i="25" s="1"/>
  <c r="F220" i="25"/>
  <c r="G220" i="25"/>
  <c r="I220" i="25" s="1"/>
  <c r="F258" i="25"/>
  <c r="G258" i="25"/>
  <c r="BN258" i="25" s="1"/>
  <c r="F296" i="25"/>
  <c r="G296" i="25"/>
  <c r="I296" i="25" s="1"/>
  <c r="F248" i="25"/>
  <c r="G248" i="25"/>
  <c r="I248" i="25" s="1"/>
  <c r="F134" i="25"/>
  <c r="G134" i="25"/>
  <c r="I134" i="25" s="1"/>
  <c r="F128" i="25"/>
  <c r="G128" i="25"/>
  <c r="BN128" i="25" s="1"/>
  <c r="F302" i="25"/>
  <c r="G302" i="25"/>
  <c r="I302" i="25" s="1"/>
  <c r="F254" i="25"/>
  <c r="G254" i="25"/>
  <c r="I254" i="25" s="1"/>
  <c r="F112" i="25"/>
  <c r="G112" i="25"/>
  <c r="F103" i="25"/>
  <c r="G103" i="25"/>
  <c r="F88" i="25"/>
  <c r="G88" i="25"/>
  <c r="F147" i="25"/>
  <c r="G147" i="25"/>
  <c r="F138" i="25"/>
  <c r="G138" i="25"/>
  <c r="I138" i="25" s="1"/>
  <c r="F224" i="25"/>
  <c r="BM224" i="25" s="1"/>
  <c r="G224" i="25"/>
  <c r="BN224" i="25" s="1"/>
  <c r="F275" i="25"/>
  <c r="G275" i="25"/>
  <c r="I275" i="25" s="1"/>
  <c r="F223" i="25"/>
  <c r="G223" i="25"/>
  <c r="I223" i="25" s="1"/>
  <c r="F158" i="25"/>
  <c r="G158" i="25"/>
  <c r="F222" i="25"/>
  <c r="G222" i="25"/>
  <c r="I222" i="25" s="1"/>
  <c r="F102" i="25"/>
  <c r="G102" i="25"/>
  <c r="F10" i="25"/>
  <c r="BM10" i="25" s="1"/>
  <c r="G10" i="25"/>
  <c r="F244" i="25"/>
  <c r="G244" i="25"/>
  <c r="I244" i="25" s="1"/>
  <c r="F294" i="25"/>
  <c r="G294" i="25"/>
  <c r="I294" i="25" s="1"/>
  <c r="BO105" i="24" l="1"/>
  <c r="BR105" i="24" s="1"/>
  <c r="BQ82" i="25"/>
  <c r="BQ69" i="25"/>
  <c r="BQ87" i="25"/>
  <c r="J29" i="25"/>
  <c r="BI29" i="25" s="1"/>
  <c r="J257" i="25"/>
  <c r="N257" i="25" s="1"/>
  <c r="T257" i="25" s="1"/>
  <c r="J179" i="25"/>
  <c r="BI179" i="25" s="1"/>
  <c r="J143" i="25"/>
  <c r="N143" i="25" s="1"/>
  <c r="P143" i="25" s="1"/>
  <c r="I69" i="25"/>
  <c r="J293" i="25"/>
  <c r="N293" i="25" s="1"/>
  <c r="T293" i="25" s="1"/>
  <c r="BQ30" i="25"/>
  <c r="I274" i="25"/>
  <c r="I43" i="25"/>
  <c r="J110" i="25"/>
  <c r="N110" i="25" s="1"/>
  <c r="O110" i="25" s="1"/>
  <c r="J265" i="25"/>
  <c r="BI265" i="25" s="1"/>
  <c r="BQ193" i="25"/>
  <c r="J11" i="25"/>
  <c r="L11" i="25" s="1"/>
  <c r="BN202" i="25"/>
  <c r="BQ202" i="25" s="1"/>
  <c r="BQ141" i="25"/>
  <c r="I253" i="25"/>
  <c r="BN186" i="25"/>
  <c r="BQ186" i="25" s="1"/>
  <c r="J129" i="25"/>
  <c r="N129" i="25" s="1"/>
  <c r="O129" i="25" s="1"/>
  <c r="I41" i="24"/>
  <c r="M41" i="24" s="1"/>
  <c r="BN81" i="25"/>
  <c r="BQ81" i="25" s="1"/>
  <c r="I40" i="25"/>
  <c r="I35" i="25"/>
  <c r="I230" i="25"/>
  <c r="I141" i="25"/>
  <c r="J77" i="25"/>
  <c r="BI77" i="25" s="1"/>
  <c r="BN52" i="25"/>
  <c r="I257" i="25"/>
  <c r="BQ224" i="25"/>
  <c r="J258" i="25"/>
  <c r="BI258" i="25" s="1"/>
  <c r="J131" i="25"/>
  <c r="N131" i="25" s="1"/>
  <c r="I290" i="25"/>
  <c r="BQ159" i="25"/>
  <c r="J237" i="25"/>
  <c r="L237" i="25" s="1"/>
  <c r="BO45" i="24"/>
  <c r="BR45" i="24" s="1"/>
  <c r="BN235" i="25"/>
  <c r="I119" i="25"/>
  <c r="BN156" i="25"/>
  <c r="I149" i="25"/>
  <c r="I280" i="25"/>
  <c r="I203" i="25"/>
  <c r="J189" i="25"/>
  <c r="BI189" i="25" s="1"/>
  <c r="BQ53" i="25"/>
  <c r="I164" i="25"/>
  <c r="I8" i="25"/>
  <c r="I241" i="25"/>
  <c r="I125" i="25"/>
  <c r="I87" i="25"/>
  <c r="I55" i="24"/>
  <c r="BK55" i="24" s="1"/>
  <c r="J28" i="25"/>
  <c r="BI28" i="25" s="1"/>
  <c r="I24" i="25"/>
  <c r="I193" i="25"/>
  <c r="J177" i="25"/>
  <c r="N177" i="25" s="1"/>
  <c r="T177" i="25" s="1"/>
  <c r="J280" i="25"/>
  <c r="L280" i="25" s="1"/>
  <c r="I72" i="25"/>
  <c r="I54" i="25"/>
  <c r="I207" i="25"/>
  <c r="BN239" i="25"/>
  <c r="BQ239" i="25" s="1"/>
  <c r="BN95" i="25"/>
  <c r="J104" i="25"/>
  <c r="L104" i="25" s="1"/>
  <c r="I206" i="25"/>
  <c r="I277" i="25"/>
  <c r="I83" i="25"/>
  <c r="J94" i="25"/>
  <c r="BI94" i="25" s="1"/>
  <c r="BO233" i="24"/>
  <c r="BR233" i="24" s="1"/>
  <c r="I160" i="24"/>
  <c r="S160" i="24" s="1"/>
  <c r="T160" i="24" s="1"/>
  <c r="I233" i="25"/>
  <c r="BN276" i="25"/>
  <c r="I171" i="25"/>
  <c r="I18" i="25"/>
  <c r="I79" i="25"/>
  <c r="I135" i="25"/>
  <c r="I153" i="25"/>
  <c r="I123" i="25"/>
  <c r="I57" i="25"/>
  <c r="I91" i="25"/>
  <c r="I48" i="25"/>
  <c r="I205" i="25"/>
  <c r="BN44" i="25"/>
  <c r="BQ44" i="25" s="1"/>
  <c r="I185" i="25"/>
  <c r="I218" i="25"/>
  <c r="BN77" i="25"/>
  <c r="BN13" i="25"/>
  <c r="I269" i="25"/>
  <c r="BM257" i="25"/>
  <c r="BQ257" i="25" s="1"/>
  <c r="I236" i="25"/>
  <c r="BM143" i="25"/>
  <c r="BQ143" i="25" s="1"/>
  <c r="BN131" i="25"/>
  <c r="BN133" i="25"/>
  <c r="BN256" i="25"/>
  <c r="BQ256" i="25" s="1"/>
  <c r="I231" i="25"/>
  <c r="BN287" i="25"/>
  <c r="I130" i="25"/>
  <c r="I197" i="25"/>
  <c r="BN198" i="25"/>
  <c r="BN104" i="25"/>
  <c r="I160" i="25"/>
  <c r="I26" i="25"/>
  <c r="BN245" i="25"/>
  <c r="BN38" i="25"/>
  <c r="BQ38" i="25" s="1"/>
  <c r="BN220" i="25"/>
  <c r="I146" i="25"/>
  <c r="I41" i="25"/>
  <c r="BN36" i="25"/>
  <c r="BN76" i="25"/>
  <c r="BN311" i="25"/>
  <c r="BQ48" i="25"/>
  <c r="I200" i="25"/>
  <c r="I179" i="25"/>
  <c r="I143" i="25"/>
  <c r="I151" i="25"/>
  <c r="BN177" i="25"/>
  <c r="BN270" i="25"/>
  <c r="I23" i="25"/>
  <c r="BN294" i="25"/>
  <c r="I128" i="25"/>
  <c r="I84" i="25"/>
  <c r="BN100" i="25"/>
  <c r="BN259" i="25"/>
  <c r="BQ259" i="25" s="1"/>
  <c r="BN227" i="25"/>
  <c r="I139" i="25"/>
  <c r="I115" i="25"/>
  <c r="I159" i="25"/>
  <c r="BN271" i="25"/>
  <c r="I300" i="25"/>
  <c r="I58" i="25"/>
  <c r="BN302" i="25"/>
  <c r="I67" i="25"/>
  <c r="I51" i="25"/>
  <c r="I68" i="25"/>
  <c r="I46" i="25"/>
  <c r="I196" i="25"/>
  <c r="I127" i="25"/>
  <c r="I140" i="25"/>
  <c r="I22" i="25"/>
  <c r="I98" i="25"/>
  <c r="I20" i="25"/>
  <c r="I85" i="25"/>
  <c r="I312" i="25"/>
  <c r="I315" i="25"/>
  <c r="I70" i="25"/>
  <c r="BN189" i="25"/>
  <c r="BN255" i="25"/>
  <c r="J190" i="25"/>
  <c r="L190" i="25" s="1"/>
  <c r="BN94" i="25"/>
  <c r="BQ277" i="25"/>
  <c r="I183" i="25"/>
  <c r="I273" i="25"/>
  <c r="BM29" i="25"/>
  <c r="BQ29" i="25" s="1"/>
  <c r="BN310" i="25"/>
  <c r="BQ310" i="25" s="1"/>
  <c r="BQ58" i="25"/>
  <c r="I237" i="25"/>
  <c r="BN134" i="25"/>
  <c r="BN283" i="25"/>
  <c r="I116" i="25"/>
  <c r="I118" i="25"/>
  <c r="I21" i="25"/>
  <c r="BQ315" i="25"/>
  <c r="I30" i="25"/>
  <c r="I82" i="25"/>
  <c r="I258" i="25"/>
  <c r="BN248" i="25"/>
  <c r="I282" i="25"/>
  <c r="BN75" i="25"/>
  <c r="BN307" i="25"/>
  <c r="I114" i="25"/>
  <c r="BN265" i="25"/>
  <c r="I266" i="25"/>
  <c r="BK264" i="24"/>
  <c r="S264" i="24"/>
  <c r="T264" i="24" s="1"/>
  <c r="BK294" i="24"/>
  <c r="S294" i="24"/>
  <c r="T294" i="24" s="1"/>
  <c r="P257" i="24"/>
  <c r="Q257" i="24"/>
  <c r="BK44" i="24"/>
  <c r="S44" i="24"/>
  <c r="T44" i="24" s="1"/>
  <c r="BK236" i="24"/>
  <c r="S236" i="24"/>
  <c r="T236" i="24" s="1"/>
  <c r="M236" i="24"/>
  <c r="N236" i="24" s="1"/>
  <c r="AL291" i="25"/>
  <c r="CC291" i="25"/>
  <c r="H291" i="25"/>
  <c r="J291" i="25"/>
  <c r="L291" i="25" s="1"/>
  <c r="BM291" i="25"/>
  <c r="BN305" i="25"/>
  <c r="I305" i="25"/>
  <c r="BN275" i="25"/>
  <c r="BN161" i="25"/>
  <c r="K72" i="24"/>
  <c r="AM72" i="24"/>
  <c r="H72" i="24"/>
  <c r="CE72" i="24"/>
  <c r="CF72" i="24"/>
  <c r="I72" i="24"/>
  <c r="M72" i="24" s="1"/>
  <c r="N72" i="24" s="1"/>
  <c r="BO72" i="24"/>
  <c r="BR72" i="24" s="1"/>
  <c r="K30" i="24"/>
  <c r="AM30" i="24"/>
  <c r="H30" i="24"/>
  <c r="CF30" i="24"/>
  <c r="CE30" i="24"/>
  <c r="I30" i="24"/>
  <c r="M30" i="24" s="1"/>
  <c r="N30" i="24" s="1"/>
  <c r="BO30" i="24"/>
  <c r="BR30" i="24" s="1"/>
  <c r="CE289" i="24"/>
  <c r="CF289" i="24"/>
  <c r="H289" i="24"/>
  <c r="AM289" i="24"/>
  <c r="I289" i="24"/>
  <c r="K289" i="24" s="1"/>
  <c r="BO289" i="24"/>
  <c r="BR289" i="24" s="1"/>
  <c r="I28" i="25"/>
  <c r="BN28" i="25"/>
  <c r="CC154" i="25"/>
  <c r="AL154" i="25"/>
  <c r="H154" i="25"/>
  <c r="J154" i="25"/>
  <c r="L154" i="25" s="1"/>
  <c r="BM154" i="25"/>
  <c r="I267" i="25"/>
  <c r="BN267" i="25"/>
  <c r="AM219" i="24"/>
  <c r="H219" i="24"/>
  <c r="CE219" i="24"/>
  <c r="CF219" i="24"/>
  <c r="I219" i="24"/>
  <c r="M219" i="24" s="1"/>
  <c r="N219" i="24" s="1"/>
  <c r="BO219" i="24"/>
  <c r="BR219" i="24" s="1"/>
  <c r="CF121" i="24"/>
  <c r="AM121" i="24"/>
  <c r="H121" i="24"/>
  <c r="CE121" i="24"/>
  <c r="I121" i="24"/>
  <c r="M121" i="24" s="1"/>
  <c r="N121" i="24" s="1"/>
  <c r="BO121" i="24"/>
  <c r="BR121" i="24" s="1"/>
  <c r="CF9" i="24"/>
  <c r="CE9" i="24"/>
  <c r="AM9" i="24"/>
  <c r="K9" i="24"/>
  <c r="H9" i="24"/>
  <c r="I9" i="24"/>
  <c r="I187" i="25"/>
  <c r="BN187" i="25"/>
  <c r="AL222" i="25"/>
  <c r="H222" i="25"/>
  <c r="CC222" i="25"/>
  <c r="BM222" i="25"/>
  <c r="J222" i="25"/>
  <c r="CE103" i="25"/>
  <c r="H103" i="25"/>
  <c r="CF103" i="25"/>
  <c r="AL103" i="25"/>
  <c r="CC103" i="25"/>
  <c r="J103" i="25"/>
  <c r="CC128" i="25"/>
  <c r="H128" i="25"/>
  <c r="AL128" i="25"/>
  <c r="J128" i="25"/>
  <c r="I148" i="25"/>
  <c r="BN199" i="25"/>
  <c r="CC136" i="25"/>
  <c r="AL136" i="25"/>
  <c r="H136" i="25"/>
  <c r="J136" i="25"/>
  <c r="BM136" i="25"/>
  <c r="H56" i="25"/>
  <c r="AL56" i="25"/>
  <c r="CC56" i="25"/>
  <c r="BM56" i="25"/>
  <c r="J56" i="25"/>
  <c r="L56" i="25" s="1"/>
  <c r="BN293" i="25"/>
  <c r="I293" i="25"/>
  <c r="H252" i="25"/>
  <c r="AL252" i="25"/>
  <c r="CC252" i="25"/>
  <c r="BM252" i="25"/>
  <c r="J252" i="25"/>
  <c r="L252" i="25" s="1"/>
  <c r="I61" i="25"/>
  <c r="H250" i="25"/>
  <c r="CC250" i="25"/>
  <c r="AL250" i="25"/>
  <c r="BM250" i="25"/>
  <c r="J250" i="25"/>
  <c r="L250" i="25" s="1"/>
  <c r="H91" i="24"/>
  <c r="CF91" i="24"/>
  <c r="AM91" i="24"/>
  <c r="CE91" i="24"/>
  <c r="K91" i="24"/>
  <c r="I91" i="24"/>
  <c r="AM207" i="24"/>
  <c r="CF207" i="24"/>
  <c r="CE207" i="24"/>
  <c r="H207" i="24"/>
  <c r="I207" i="24"/>
  <c r="K207" i="24" s="1"/>
  <c r="BO207" i="24"/>
  <c r="BR207" i="24" s="1"/>
  <c r="AM209" i="24"/>
  <c r="H209" i="24"/>
  <c r="I209" i="24"/>
  <c r="K209" i="24" s="1"/>
  <c r="BO209" i="24"/>
  <c r="BR209" i="24" s="1"/>
  <c r="H229" i="24"/>
  <c r="CF229" i="24"/>
  <c r="AM229" i="24"/>
  <c r="CE229" i="24"/>
  <c r="I229" i="24"/>
  <c r="K229" i="24" s="1"/>
  <c r="BO229" i="24"/>
  <c r="BR229" i="24" s="1"/>
  <c r="CE17" i="25"/>
  <c r="CF17" i="25"/>
  <c r="CC17" i="25"/>
  <c r="AL17" i="25"/>
  <c r="H17" i="25"/>
  <c r="J17" i="25"/>
  <c r="H303" i="25"/>
  <c r="AL303" i="25"/>
  <c r="CC303" i="25"/>
  <c r="J303" i="25"/>
  <c r="L303" i="25" s="1"/>
  <c r="I7" i="25"/>
  <c r="H191" i="25"/>
  <c r="AL191" i="25"/>
  <c r="CC191" i="25"/>
  <c r="BM191" i="25"/>
  <c r="I299" i="25"/>
  <c r="BN299" i="25"/>
  <c r="BQ299" i="25" s="1"/>
  <c r="AL217" i="25"/>
  <c r="CC217" i="25"/>
  <c r="H217" i="25"/>
  <c r="J217" i="25"/>
  <c r="L217" i="25" s="1"/>
  <c r="BM217" i="25"/>
  <c r="BQ217" i="25" s="1"/>
  <c r="I27" i="25"/>
  <c r="BN27" i="25"/>
  <c r="H284" i="25"/>
  <c r="AL284" i="25"/>
  <c r="CC284" i="25"/>
  <c r="J284" i="25"/>
  <c r="BM284" i="25"/>
  <c r="CF140" i="24"/>
  <c r="CE140" i="24"/>
  <c r="AM140" i="24"/>
  <c r="H140" i="24"/>
  <c r="I140" i="24"/>
  <c r="K140" i="24" s="1"/>
  <c r="BO140" i="24"/>
  <c r="BR140" i="24" s="1"/>
  <c r="AM316" i="24"/>
  <c r="H316" i="24"/>
  <c r="CE316" i="24"/>
  <c r="I316" i="24"/>
  <c r="K316" i="24" s="1"/>
  <c r="CE189" i="24"/>
  <c r="AM189" i="24"/>
  <c r="CF189" i="24"/>
  <c r="H189" i="24"/>
  <c r="I189" i="24"/>
  <c r="BO189" i="24"/>
  <c r="BR189" i="24" s="1"/>
  <c r="H66" i="24"/>
  <c r="AM66" i="24"/>
  <c r="CE66" i="24"/>
  <c r="CF66" i="24"/>
  <c r="K66" i="24"/>
  <c r="I66" i="24"/>
  <c r="BO66" i="24"/>
  <c r="BR66" i="24" s="1"/>
  <c r="CE124" i="24"/>
  <c r="H124" i="24"/>
  <c r="CF124" i="24"/>
  <c r="AM124" i="24"/>
  <c r="BO124" i="24"/>
  <c r="BR124" i="24" s="1"/>
  <c r="I124" i="24"/>
  <c r="K124" i="24" s="1"/>
  <c r="CC310" i="25"/>
  <c r="H310" i="25"/>
  <c r="AL310" i="25"/>
  <c r="J310" i="25"/>
  <c r="L310" i="25" s="1"/>
  <c r="H29" i="24"/>
  <c r="CF29" i="24"/>
  <c r="CE29" i="24"/>
  <c r="AM29" i="24"/>
  <c r="K29" i="24"/>
  <c r="I29" i="24"/>
  <c r="BO79" i="24"/>
  <c r="BR79" i="24" s="1"/>
  <c r="AM105" i="24"/>
  <c r="K105" i="24"/>
  <c r="H105" i="24"/>
  <c r="I105" i="24"/>
  <c r="H60" i="25"/>
  <c r="CF60" i="25"/>
  <c r="CE60" i="25"/>
  <c r="CC60" i="25"/>
  <c r="AL60" i="25"/>
  <c r="J60" i="25"/>
  <c r="L60" i="25" s="1"/>
  <c r="BM60" i="25"/>
  <c r="BN238" i="25"/>
  <c r="I209" i="25"/>
  <c r="BN209" i="25"/>
  <c r="BN50" i="25"/>
  <c r="BQ50" i="25" s="1"/>
  <c r="AL19" i="25"/>
  <c r="CC19" i="25"/>
  <c r="CE19" i="25"/>
  <c r="CF19" i="25"/>
  <c r="H19" i="25"/>
  <c r="J19" i="25"/>
  <c r="L19" i="25" s="1"/>
  <c r="BM19" i="25"/>
  <c r="CC231" i="25"/>
  <c r="H231" i="25"/>
  <c r="AL231" i="25"/>
  <c r="BM231" i="25"/>
  <c r="BQ231" i="25" s="1"/>
  <c r="J231" i="25"/>
  <c r="H64" i="25"/>
  <c r="AL64" i="25"/>
  <c r="CC64" i="25"/>
  <c r="J64" i="25"/>
  <c r="BM64" i="25"/>
  <c r="AL84" i="25"/>
  <c r="CC84" i="25"/>
  <c r="CF84" i="25"/>
  <c r="CE84" i="25"/>
  <c r="H84" i="25"/>
  <c r="BM84" i="25"/>
  <c r="BQ84" i="25" s="1"/>
  <c r="J84" i="25"/>
  <c r="CC76" i="25"/>
  <c r="H76" i="25"/>
  <c r="AL76" i="25"/>
  <c r="CF76" i="25"/>
  <c r="CE76" i="25"/>
  <c r="BM76" i="25"/>
  <c r="J76" i="25"/>
  <c r="L76" i="25" s="1"/>
  <c r="H100" i="25"/>
  <c r="CF100" i="25"/>
  <c r="CE100" i="25"/>
  <c r="AL100" i="25"/>
  <c r="CC100" i="25"/>
  <c r="BM100" i="25"/>
  <c r="J100" i="25"/>
  <c r="L100" i="25" s="1"/>
  <c r="CC253" i="25"/>
  <c r="H253" i="25"/>
  <c r="AL253" i="25"/>
  <c r="BM253" i="25"/>
  <c r="BQ253" i="25" s="1"/>
  <c r="J253" i="25"/>
  <c r="L253" i="25" s="1"/>
  <c r="I268" i="25"/>
  <c r="BN268" i="25"/>
  <c r="AL301" i="25"/>
  <c r="H301" i="25"/>
  <c r="CC301" i="25"/>
  <c r="BM301" i="25"/>
  <c r="J301" i="25"/>
  <c r="L301" i="25" s="1"/>
  <c r="I308" i="25"/>
  <c r="BN308" i="25"/>
  <c r="H288" i="25"/>
  <c r="AL288" i="25"/>
  <c r="CC288" i="25"/>
  <c r="J288" i="25"/>
  <c r="L288" i="25" s="1"/>
  <c r="I286" i="25"/>
  <c r="BN286" i="25"/>
  <c r="H113" i="24"/>
  <c r="CF113" i="24"/>
  <c r="CE113" i="24"/>
  <c r="AM113" i="24"/>
  <c r="I113" i="24"/>
  <c r="K113" i="24" s="1"/>
  <c r="BO113" i="24"/>
  <c r="BR113" i="24" s="1"/>
  <c r="CF155" i="24"/>
  <c r="CE155" i="24"/>
  <c r="AM155" i="24"/>
  <c r="H155" i="24"/>
  <c r="I155" i="24"/>
  <c r="K155" i="24" s="1"/>
  <c r="BO155" i="24"/>
  <c r="BR155" i="24" s="1"/>
  <c r="CE260" i="24"/>
  <c r="H260" i="24"/>
  <c r="CF260" i="24"/>
  <c r="AM260" i="24"/>
  <c r="I260" i="24"/>
  <c r="K260" i="24" s="1"/>
  <c r="BO260" i="24"/>
  <c r="BR260" i="24" s="1"/>
  <c r="AM166" i="24"/>
  <c r="H166" i="24"/>
  <c r="I166" i="24"/>
  <c r="K166" i="24" s="1"/>
  <c r="AM60" i="24"/>
  <c r="H60" i="24"/>
  <c r="CE60" i="24"/>
  <c r="K60" i="24"/>
  <c r="CF60" i="24"/>
  <c r="I60" i="24"/>
  <c r="H148" i="24"/>
  <c r="CF148" i="24"/>
  <c r="AM148" i="24"/>
  <c r="CE148" i="24"/>
  <c r="I148" i="24"/>
  <c r="K148" i="24" s="1"/>
  <c r="H171" i="25"/>
  <c r="AL171" i="25"/>
  <c r="CC171" i="25"/>
  <c r="BM171" i="25"/>
  <c r="BQ171" i="25" s="1"/>
  <c r="AL67" i="25"/>
  <c r="H67" i="25"/>
  <c r="CC67" i="25"/>
  <c r="CE67" i="25"/>
  <c r="CF67" i="25"/>
  <c r="J67" i="25"/>
  <c r="L67" i="25" s="1"/>
  <c r="BM67" i="25"/>
  <c r="BQ67" i="25" s="1"/>
  <c r="H72" i="25"/>
  <c r="CC72" i="25"/>
  <c r="AL72" i="25"/>
  <c r="BM72" i="25"/>
  <c r="BQ72" i="25" s="1"/>
  <c r="J72" i="25"/>
  <c r="L72" i="25" s="1"/>
  <c r="CC51" i="25"/>
  <c r="CF51" i="25"/>
  <c r="CE51" i="25"/>
  <c r="AL51" i="25"/>
  <c r="H51" i="25"/>
  <c r="J51" i="25"/>
  <c r="BM51" i="25"/>
  <c r="BQ51" i="25" s="1"/>
  <c r="H18" i="25"/>
  <c r="AL18" i="25"/>
  <c r="CC18" i="25"/>
  <c r="CE18" i="25"/>
  <c r="CF18" i="25"/>
  <c r="J18" i="25"/>
  <c r="BM18" i="25"/>
  <c r="BQ18" i="25" s="1"/>
  <c r="CC68" i="25"/>
  <c r="CE68" i="25"/>
  <c r="CF68" i="25"/>
  <c r="AL68" i="25"/>
  <c r="H68" i="25"/>
  <c r="BM68" i="25"/>
  <c r="BQ68" i="25" s="1"/>
  <c r="J68" i="25"/>
  <c r="L68" i="25" s="1"/>
  <c r="CC79" i="25"/>
  <c r="AL79" i="25"/>
  <c r="H79" i="25"/>
  <c r="J79" i="25"/>
  <c r="BM79" i="25"/>
  <c r="BQ79" i="25" s="1"/>
  <c r="H46" i="25"/>
  <c r="AL46" i="25"/>
  <c r="CC46" i="25"/>
  <c r="CF46" i="25"/>
  <c r="CE46" i="25"/>
  <c r="J46" i="25"/>
  <c r="L46" i="25" s="1"/>
  <c r="BM46" i="25"/>
  <c r="BQ46" i="25" s="1"/>
  <c r="H156" i="25"/>
  <c r="CC156" i="25"/>
  <c r="AL156" i="25"/>
  <c r="BM156" i="25"/>
  <c r="J156" i="25"/>
  <c r="L156" i="25" s="1"/>
  <c r="AL139" i="25"/>
  <c r="CC139" i="25"/>
  <c r="H139" i="25"/>
  <c r="J139" i="25"/>
  <c r="BM139" i="25"/>
  <c r="BQ139" i="25" s="1"/>
  <c r="CF54" i="25"/>
  <c r="AL54" i="25"/>
  <c r="CC54" i="25"/>
  <c r="CE54" i="25"/>
  <c r="H54" i="25"/>
  <c r="BM54" i="25"/>
  <c r="BQ54" i="25" s="1"/>
  <c r="H40" i="25"/>
  <c r="AL40" i="25"/>
  <c r="CC40" i="25"/>
  <c r="CE40" i="25"/>
  <c r="CF40" i="25"/>
  <c r="J40" i="25"/>
  <c r="L40" i="25" s="1"/>
  <c r="BM40" i="25"/>
  <c r="BQ40" i="25" s="1"/>
  <c r="CE43" i="25"/>
  <c r="AL43" i="25"/>
  <c r="CC43" i="25"/>
  <c r="CF43" i="25"/>
  <c r="H43" i="25"/>
  <c r="BM43" i="25"/>
  <c r="BQ43" i="25" s="1"/>
  <c r="AL312" i="25"/>
  <c r="CC312" i="25"/>
  <c r="H312" i="25"/>
  <c r="BM312" i="25"/>
  <c r="BQ312" i="25" s="1"/>
  <c r="J312" i="25"/>
  <c r="BN297" i="25"/>
  <c r="BN117" i="25"/>
  <c r="CF174" i="24"/>
  <c r="H174" i="24"/>
  <c r="CE174" i="24"/>
  <c r="AM174" i="24"/>
  <c r="I174" i="24"/>
  <c r="K174" i="24" s="1"/>
  <c r="BO174" i="24"/>
  <c r="BR174" i="24" s="1"/>
  <c r="AM151" i="24"/>
  <c r="H151" i="24"/>
  <c r="BO151" i="24"/>
  <c r="BR151" i="24" s="1"/>
  <c r="CE239" i="24"/>
  <c r="CF239" i="24"/>
  <c r="AM239" i="24"/>
  <c r="H239" i="24"/>
  <c r="I239" i="24"/>
  <c r="K239" i="24" s="1"/>
  <c r="BO239" i="24"/>
  <c r="BR239" i="24" s="1"/>
  <c r="BO49" i="24"/>
  <c r="BR49" i="24" s="1"/>
  <c r="CC205" i="25"/>
  <c r="AL205" i="25"/>
  <c r="H205" i="25"/>
  <c r="J205" i="25"/>
  <c r="L205" i="25" s="1"/>
  <c r="BM205" i="25"/>
  <c r="BQ205" i="25" s="1"/>
  <c r="BN96" i="25"/>
  <c r="I96" i="25"/>
  <c r="BN219" i="25"/>
  <c r="H273" i="25"/>
  <c r="AL273" i="25"/>
  <c r="CC273" i="25"/>
  <c r="J273" i="25"/>
  <c r="N273" i="25" s="1"/>
  <c r="BM273" i="25"/>
  <c r="BQ273" i="25" s="1"/>
  <c r="I168" i="25"/>
  <c r="BQ151" i="25"/>
  <c r="BN15" i="25"/>
  <c r="BQ15" i="25" s="1"/>
  <c r="AM52" i="24"/>
  <c r="H52" i="24"/>
  <c r="K52" i="24"/>
  <c r="CE52" i="24"/>
  <c r="CF52" i="24"/>
  <c r="I52" i="24"/>
  <c r="M52" i="24" s="1"/>
  <c r="N52" i="24" s="1"/>
  <c r="BK45" i="24"/>
  <c r="S45" i="24"/>
  <c r="T45" i="24" s="1"/>
  <c r="M45" i="24"/>
  <c r="N45" i="24" s="1"/>
  <c r="K88" i="24"/>
  <c r="AM88" i="24"/>
  <c r="H88" i="24"/>
  <c r="I88" i="24"/>
  <c r="M88" i="24" s="1"/>
  <c r="N88" i="24" s="1"/>
  <c r="BO88" i="24"/>
  <c r="BR88" i="24" s="1"/>
  <c r="BM288" i="25"/>
  <c r="BQ288" i="25" s="1"/>
  <c r="I42" i="25"/>
  <c r="BN42" i="25"/>
  <c r="CE169" i="24"/>
  <c r="AM169" i="24"/>
  <c r="CF169" i="24"/>
  <c r="H169" i="24"/>
  <c r="I169" i="24"/>
  <c r="K169" i="24" s="1"/>
  <c r="BO169" i="24"/>
  <c r="BR169" i="24" s="1"/>
  <c r="I161" i="25"/>
  <c r="BN242" i="25"/>
  <c r="BO180" i="24"/>
  <c r="BR180" i="24" s="1"/>
  <c r="J169" i="25"/>
  <c r="L169" i="25" s="1"/>
  <c r="J54" i="25"/>
  <c r="BM45" i="25"/>
  <c r="J191" i="25"/>
  <c r="I85" i="24"/>
  <c r="H296" i="25"/>
  <c r="AL296" i="25"/>
  <c r="CC296" i="25"/>
  <c r="J296" i="25"/>
  <c r="N296" i="25" s="1"/>
  <c r="BM296" i="25"/>
  <c r="BN225" i="25"/>
  <c r="I225" i="25"/>
  <c r="AL170" i="25"/>
  <c r="CC170" i="25"/>
  <c r="H170" i="25"/>
  <c r="BM170" i="25"/>
  <c r="J170" i="25"/>
  <c r="N170" i="25" s="1"/>
  <c r="I178" i="25"/>
  <c r="BN178" i="25"/>
  <c r="AL155" i="25"/>
  <c r="CC155" i="25"/>
  <c r="H155" i="25"/>
  <c r="J155" i="25"/>
  <c r="L155" i="25" s="1"/>
  <c r="BM155" i="25"/>
  <c r="CC244" i="25"/>
  <c r="H244" i="25"/>
  <c r="AL244" i="25"/>
  <c r="J244" i="25"/>
  <c r="BM244" i="25"/>
  <c r="BN158" i="25"/>
  <c r="AL138" i="25"/>
  <c r="CC138" i="25"/>
  <c r="H138" i="25"/>
  <c r="BM138" i="25"/>
  <c r="J138" i="25"/>
  <c r="L138" i="25" s="1"/>
  <c r="I112" i="25"/>
  <c r="BN112" i="25"/>
  <c r="AL199" i="25"/>
  <c r="CC199" i="25"/>
  <c r="H199" i="25"/>
  <c r="J199" i="25"/>
  <c r="N199" i="25" s="1"/>
  <c r="BM199" i="25"/>
  <c r="H233" i="25"/>
  <c r="AL233" i="25"/>
  <c r="CC233" i="25"/>
  <c r="J233" i="25"/>
  <c r="BM233" i="25"/>
  <c r="BQ233" i="25" s="1"/>
  <c r="H298" i="25"/>
  <c r="AL298" i="25"/>
  <c r="CC298" i="25"/>
  <c r="J298" i="25"/>
  <c r="J216" i="25"/>
  <c r="BN148" i="25"/>
  <c r="BN138" i="25"/>
  <c r="AL243" i="25"/>
  <c r="CC243" i="25"/>
  <c r="H243" i="25"/>
  <c r="BM243" i="25"/>
  <c r="J243" i="25"/>
  <c r="N243" i="25" s="1"/>
  <c r="I121" i="25"/>
  <c r="BN47" i="25"/>
  <c r="I47" i="25"/>
  <c r="H316" i="25"/>
  <c r="AL316" i="25"/>
  <c r="CC316" i="25"/>
  <c r="T322" i="25"/>
  <c r="J316" i="25"/>
  <c r="BM316" i="25"/>
  <c r="H39" i="25"/>
  <c r="CC39" i="25"/>
  <c r="AL39" i="25"/>
  <c r="CE39" i="25"/>
  <c r="CF39" i="25"/>
  <c r="J39" i="25"/>
  <c r="L39" i="25" s="1"/>
  <c r="BM39" i="25"/>
  <c r="AM242" i="24"/>
  <c r="H242" i="24"/>
  <c r="CE242" i="24"/>
  <c r="CF242" i="24"/>
  <c r="BO242" i="24"/>
  <c r="BR242" i="24" s="1"/>
  <c r="I242" i="24"/>
  <c r="H173" i="24"/>
  <c r="AM173" i="24"/>
  <c r="BO173" i="24"/>
  <c r="BR173" i="24" s="1"/>
  <c r="I173" i="24"/>
  <c r="K173" i="24" s="1"/>
  <c r="AM135" i="24"/>
  <c r="H135" i="24"/>
  <c r="I135" i="24"/>
  <c r="CF196" i="24"/>
  <c r="CE196" i="24"/>
  <c r="AM196" i="24"/>
  <c r="H196" i="24"/>
  <c r="I196" i="24"/>
  <c r="K196" i="24" s="1"/>
  <c r="BO196" i="24"/>
  <c r="BR196" i="24" s="1"/>
  <c r="H15" i="25"/>
  <c r="CF15" i="25"/>
  <c r="CE15" i="25"/>
  <c r="AL15" i="25"/>
  <c r="CC15" i="25"/>
  <c r="H309" i="25"/>
  <c r="AL309" i="25"/>
  <c r="CC309" i="25"/>
  <c r="J309" i="25"/>
  <c r="BM309" i="25"/>
  <c r="BN181" i="25"/>
  <c r="H228" i="25"/>
  <c r="AL228" i="25"/>
  <c r="CC228" i="25"/>
  <c r="BM228" i="25"/>
  <c r="J228" i="25"/>
  <c r="I249" i="25"/>
  <c r="BN249" i="25"/>
  <c r="CC33" i="25"/>
  <c r="AL33" i="25"/>
  <c r="CF33" i="25"/>
  <c r="CE33" i="25"/>
  <c r="H33" i="25"/>
  <c r="BM33" i="25"/>
  <c r="J33" i="25"/>
  <c r="AM32" i="24"/>
  <c r="CE32" i="24"/>
  <c r="CF32" i="24"/>
  <c r="K32" i="24"/>
  <c r="H32" i="24"/>
  <c r="I32" i="24"/>
  <c r="M32" i="24" s="1"/>
  <c r="BO32" i="24"/>
  <c r="BR32" i="24" s="1"/>
  <c r="CF184" i="24"/>
  <c r="H184" i="24"/>
  <c r="AM184" i="24"/>
  <c r="CE184" i="24"/>
  <c r="I184" i="24"/>
  <c r="K184" i="24" s="1"/>
  <c r="BO184" i="24"/>
  <c r="BR184" i="24" s="1"/>
  <c r="K80" i="24"/>
  <c r="H80" i="24"/>
  <c r="AM80" i="24"/>
  <c r="BO80" i="24"/>
  <c r="BR80" i="24" s="1"/>
  <c r="I80" i="24"/>
  <c r="M264" i="24"/>
  <c r="N264" i="24" s="1"/>
  <c r="AM210" i="24"/>
  <c r="H210" i="24"/>
  <c r="I210" i="24"/>
  <c r="K210" i="24" s="1"/>
  <c r="BO210" i="24"/>
  <c r="BR210" i="24" s="1"/>
  <c r="AM25" i="24"/>
  <c r="CE25" i="24"/>
  <c r="K25" i="24"/>
  <c r="CF25" i="24"/>
  <c r="H25" i="24"/>
  <c r="BO25" i="24"/>
  <c r="BR25" i="24" s="1"/>
  <c r="H111" i="25"/>
  <c r="AL111" i="25"/>
  <c r="CC111" i="25"/>
  <c r="J111" i="25"/>
  <c r="BM251" i="25"/>
  <c r="CC63" i="25"/>
  <c r="AL63" i="25"/>
  <c r="H63" i="25"/>
  <c r="CF63" i="25"/>
  <c r="CE63" i="25"/>
  <c r="J63" i="25"/>
  <c r="CC95" i="25"/>
  <c r="AL95" i="25"/>
  <c r="H95" i="25"/>
  <c r="CF95" i="25"/>
  <c r="CE95" i="25"/>
  <c r="BM95" i="25"/>
  <c r="J95" i="25"/>
  <c r="N95" i="25" s="1"/>
  <c r="AL75" i="25"/>
  <c r="CF75" i="25"/>
  <c r="CE75" i="25"/>
  <c r="CC75" i="25"/>
  <c r="H75" i="25"/>
  <c r="BM75" i="25"/>
  <c r="J75" i="25"/>
  <c r="L75" i="25" s="1"/>
  <c r="I304" i="25"/>
  <c r="BN304" i="25"/>
  <c r="AL234" i="25"/>
  <c r="H234" i="25"/>
  <c r="CC234" i="25"/>
  <c r="BM234" i="25"/>
  <c r="J234" i="25"/>
  <c r="CC184" i="25"/>
  <c r="AL184" i="25"/>
  <c r="H184" i="25"/>
  <c r="J184" i="25"/>
  <c r="BM184" i="25"/>
  <c r="BN101" i="25"/>
  <c r="I101" i="25"/>
  <c r="I45" i="25"/>
  <c r="BN45" i="25"/>
  <c r="H312" i="24"/>
  <c r="CE312" i="24"/>
  <c r="CF312" i="24"/>
  <c r="AM312" i="24"/>
  <c r="I312" i="24"/>
  <c r="M312" i="24" s="1"/>
  <c r="N312" i="24" s="1"/>
  <c r="BO312" i="24"/>
  <c r="BR312" i="24" s="1"/>
  <c r="CF275" i="24"/>
  <c r="AM275" i="24"/>
  <c r="H275" i="24"/>
  <c r="I275" i="24"/>
  <c r="H270" i="24"/>
  <c r="CE270" i="24"/>
  <c r="CF270" i="24"/>
  <c r="AM270" i="24"/>
  <c r="I270" i="24"/>
  <c r="M270" i="24" s="1"/>
  <c r="N270" i="24" s="1"/>
  <c r="BO270" i="24"/>
  <c r="BR270" i="24" s="1"/>
  <c r="CF240" i="24"/>
  <c r="H240" i="24"/>
  <c r="AM240" i="24"/>
  <c r="CE240" i="24"/>
  <c r="I240" i="24"/>
  <c r="K240" i="24" s="1"/>
  <c r="BO240" i="24"/>
  <c r="BR240" i="24" s="1"/>
  <c r="BO245" i="24"/>
  <c r="BR245" i="24" s="1"/>
  <c r="H295" i="25"/>
  <c r="AL295" i="25"/>
  <c r="CC295" i="25"/>
  <c r="J295" i="25"/>
  <c r="BM295" i="25"/>
  <c r="BQ295" i="25" s="1"/>
  <c r="AL260" i="25"/>
  <c r="CC260" i="25"/>
  <c r="H260" i="25"/>
  <c r="J260" i="25"/>
  <c r="L260" i="25" s="1"/>
  <c r="BM260" i="25"/>
  <c r="CC278" i="25"/>
  <c r="H278" i="25"/>
  <c r="AL278" i="25"/>
  <c r="BM278" i="25"/>
  <c r="J278" i="25"/>
  <c r="AL221" i="25"/>
  <c r="CC221" i="25"/>
  <c r="H221" i="25"/>
  <c r="BM221" i="25"/>
  <c r="J221" i="25"/>
  <c r="AM299" i="24"/>
  <c r="H299" i="24"/>
  <c r="I299" i="24"/>
  <c r="BO299" i="24"/>
  <c r="BR299" i="24" s="1"/>
  <c r="H120" i="24"/>
  <c r="CF120" i="24"/>
  <c r="CE120" i="24"/>
  <c r="AM120" i="24"/>
  <c r="I120" i="24"/>
  <c r="M120" i="24" s="1"/>
  <c r="BO120" i="24"/>
  <c r="BR120" i="24" s="1"/>
  <c r="AM290" i="24"/>
  <c r="CF290" i="24"/>
  <c r="H290" i="24"/>
  <c r="I290" i="24"/>
  <c r="M290" i="24" s="1"/>
  <c r="N290" i="24" s="1"/>
  <c r="BO290" i="24"/>
  <c r="BR290" i="24" s="1"/>
  <c r="BO58" i="24"/>
  <c r="BR58" i="24" s="1"/>
  <c r="BN244" i="25"/>
  <c r="H114" i="25"/>
  <c r="AL114" i="25"/>
  <c r="CC114" i="25"/>
  <c r="J114" i="25"/>
  <c r="N114" i="25" s="1"/>
  <c r="BM114" i="25"/>
  <c r="BQ114" i="25" s="1"/>
  <c r="I169" i="25"/>
  <c r="H204" i="25"/>
  <c r="CC204" i="25"/>
  <c r="AL204" i="25"/>
  <c r="BM204" i="25"/>
  <c r="J204" i="25"/>
  <c r="N204" i="25" s="1"/>
  <c r="BQ203" i="25"/>
  <c r="AM171" i="24"/>
  <c r="H171" i="24"/>
  <c r="CE171" i="24"/>
  <c r="CF171" i="24"/>
  <c r="I171" i="24"/>
  <c r="BO171" i="24"/>
  <c r="BR171" i="24" s="1"/>
  <c r="CF230" i="24"/>
  <c r="AM230" i="24"/>
  <c r="H230" i="24"/>
  <c r="CE230" i="24"/>
  <c r="I230" i="24"/>
  <c r="BO230" i="24"/>
  <c r="BR230" i="24" s="1"/>
  <c r="I210" i="25"/>
  <c r="BN210" i="25"/>
  <c r="BK142" i="24"/>
  <c r="S142" i="24"/>
  <c r="T142" i="24" s="1"/>
  <c r="CE254" i="24"/>
  <c r="CF254" i="24"/>
  <c r="H254" i="24"/>
  <c r="AM254" i="24"/>
  <c r="BO254" i="24"/>
  <c r="BR254" i="24" s="1"/>
  <c r="I254" i="24"/>
  <c r="BK132" i="24"/>
  <c r="S132" i="24"/>
  <c r="T132" i="24" s="1"/>
  <c r="M132" i="24"/>
  <c r="N132" i="24" s="1"/>
  <c r="CE134" i="24"/>
  <c r="AM134" i="24"/>
  <c r="H134" i="24"/>
  <c r="CF134" i="24"/>
  <c r="I134" i="24"/>
  <c r="K134" i="24" s="1"/>
  <c r="BO134" i="24"/>
  <c r="BR134" i="24" s="1"/>
  <c r="BK21" i="24"/>
  <c r="S21" i="24"/>
  <c r="T21" i="24" s="1"/>
  <c r="BK233" i="24"/>
  <c r="S233" i="24"/>
  <c r="T233" i="24" s="1"/>
  <c r="BN121" i="25"/>
  <c r="I247" i="25"/>
  <c r="I78" i="24"/>
  <c r="AL262" i="25"/>
  <c r="H262" i="25"/>
  <c r="CC262" i="25"/>
  <c r="J262" i="25"/>
  <c r="L262" i="25" s="1"/>
  <c r="AL275" i="25"/>
  <c r="CC275" i="25"/>
  <c r="H275" i="25"/>
  <c r="J275" i="25"/>
  <c r="N275" i="25" s="1"/>
  <c r="BM275" i="25"/>
  <c r="I88" i="25"/>
  <c r="BN88" i="25"/>
  <c r="AL305" i="25"/>
  <c r="CC305" i="25"/>
  <c r="H305" i="25"/>
  <c r="BM305" i="25"/>
  <c r="J305" i="25"/>
  <c r="N305" i="25" s="1"/>
  <c r="BN10" i="25"/>
  <c r="BQ10" i="25" s="1"/>
  <c r="CC223" i="25"/>
  <c r="H223" i="25"/>
  <c r="AL223" i="25"/>
  <c r="BM223" i="25"/>
  <c r="J223" i="25"/>
  <c r="I147" i="25"/>
  <c r="BN147" i="25"/>
  <c r="CC302" i="25"/>
  <c r="H302" i="25"/>
  <c r="AL302" i="25"/>
  <c r="J302" i="25"/>
  <c r="L302" i="25" s="1"/>
  <c r="BM302" i="25"/>
  <c r="AL248" i="25"/>
  <c r="CC248" i="25"/>
  <c r="H248" i="25"/>
  <c r="BM248" i="25"/>
  <c r="J248" i="25"/>
  <c r="N248" i="25" s="1"/>
  <c r="I144" i="25"/>
  <c r="I298" i="25"/>
  <c r="BN292" i="25"/>
  <c r="I292" i="25"/>
  <c r="AL124" i="25"/>
  <c r="CC124" i="25"/>
  <c r="H124" i="25"/>
  <c r="J124" i="25"/>
  <c r="L124" i="25" s="1"/>
  <c r="BM124" i="25"/>
  <c r="I110" i="25"/>
  <c r="AL89" i="25"/>
  <c r="CC89" i="25"/>
  <c r="H89" i="25"/>
  <c r="J89" i="25"/>
  <c r="N89" i="25" s="1"/>
  <c r="BM89" i="25"/>
  <c r="H272" i="25"/>
  <c r="CC272" i="25"/>
  <c r="AL272" i="25"/>
  <c r="BM272" i="25"/>
  <c r="J272" i="25"/>
  <c r="L272" i="25" s="1"/>
  <c r="BN66" i="25"/>
  <c r="I66" i="25"/>
  <c r="H248" i="24"/>
  <c r="AM248" i="24"/>
  <c r="CE248" i="24"/>
  <c r="CF248" i="24"/>
  <c r="I248" i="24"/>
  <c r="M248" i="24" s="1"/>
  <c r="CE112" i="24"/>
  <c r="CF112" i="24"/>
  <c r="AM112" i="24"/>
  <c r="H112" i="24"/>
  <c r="BO112" i="24"/>
  <c r="BR112" i="24" s="1"/>
  <c r="H315" i="24"/>
  <c r="CE315" i="24"/>
  <c r="AM315" i="24"/>
  <c r="BO315" i="24"/>
  <c r="BR315" i="24" s="1"/>
  <c r="I315" i="24"/>
  <c r="K315" i="24" s="1"/>
  <c r="H79" i="24"/>
  <c r="AM79" i="24"/>
  <c r="K79" i="24"/>
  <c r="I79" i="24"/>
  <c r="M79" i="24" s="1"/>
  <c r="H172" i="24"/>
  <c r="CF172" i="24"/>
  <c r="CE172" i="24"/>
  <c r="AM172" i="24"/>
  <c r="I172" i="24"/>
  <c r="M172" i="24" s="1"/>
  <c r="N172" i="24" s="1"/>
  <c r="H282" i="25"/>
  <c r="AL282" i="25"/>
  <c r="CC282" i="25"/>
  <c r="BM282" i="25"/>
  <c r="BQ282" i="25" s="1"/>
  <c r="J282" i="25"/>
  <c r="N282" i="25" s="1"/>
  <c r="H78" i="25"/>
  <c r="AL78" i="25"/>
  <c r="CC78" i="25"/>
  <c r="CF78" i="25"/>
  <c r="CE78" i="25"/>
  <c r="BM78" i="25"/>
  <c r="J78" i="25"/>
  <c r="L78" i="25" s="1"/>
  <c r="I173" i="25"/>
  <c r="BN173" i="25"/>
  <c r="AL172" i="25"/>
  <c r="CC172" i="25"/>
  <c r="H172" i="25"/>
  <c r="J172" i="25"/>
  <c r="BM172" i="25"/>
  <c r="I65" i="25"/>
  <c r="BN65" i="25"/>
  <c r="CC261" i="25"/>
  <c r="H261" i="25"/>
  <c r="AL261" i="25"/>
  <c r="BM261" i="25"/>
  <c r="J261" i="25"/>
  <c r="N261" i="25" s="1"/>
  <c r="I251" i="25"/>
  <c r="BN251" i="25"/>
  <c r="H139" i="24"/>
  <c r="AM139" i="24"/>
  <c r="I139" i="24"/>
  <c r="BO139" i="24"/>
  <c r="BR139" i="24" s="1"/>
  <c r="AM93" i="24"/>
  <c r="CF93" i="24"/>
  <c r="CE93" i="24"/>
  <c r="K93" i="24"/>
  <c r="H93" i="24"/>
  <c r="BO93" i="24"/>
  <c r="BR93" i="24" s="1"/>
  <c r="I93" i="24"/>
  <c r="H264" i="24"/>
  <c r="K264" i="24"/>
  <c r="CE264" i="24"/>
  <c r="CF264" i="24"/>
  <c r="AM264" i="24"/>
  <c r="BO264" i="24"/>
  <c r="BR264" i="24" s="1"/>
  <c r="K47" i="24"/>
  <c r="H47" i="24"/>
  <c r="AM47" i="24"/>
  <c r="CF47" i="24"/>
  <c r="CE47" i="24"/>
  <c r="I47" i="24"/>
  <c r="M47" i="24" s="1"/>
  <c r="N47" i="24" s="1"/>
  <c r="BO47" i="24"/>
  <c r="BR47" i="24" s="1"/>
  <c r="K28" i="24"/>
  <c r="AM28" i="24"/>
  <c r="H28" i="24"/>
  <c r="CE28" i="24"/>
  <c r="CF28" i="24"/>
  <c r="I28" i="24"/>
  <c r="AM48" i="24"/>
  <c r="K48" i="24"/>
  <c r="H48" i="24"/>
  <c r="CE48" i="24"/>
  <c r="CF48" i="24"/>
  <c r="I48" i="24"/>
  <c r="M48" i="24" s="1"/>
  <c r="N48" i="24" s="1"/>
  <c r="CC201" i="25"/>
  <c r="AL201" i="25"/>
  <c r="H201" i="25"/>
  <c r="J201" i="25"/>
  <c r="N201" i="25" s="1"/>
  <c r="BM201" i="25"/>
  <c r="BN167" i="25"/>
  <c r="I167" i="25"/>
  <c r="AL166" i="25"/>
  <c r="CC166" i="25"/>
  <c r="H166" i="25"/>
  <c r="J166" i="25"/>
  <c r="BM166" i="25"/>
  <c r="I55" i="25"/>
  <c r="BN55" i="25"/>
  <c r="H285" i="25"/>
  <c r="AL285" i="25"/>
  <c r="CC285" i="25"/>
  <c r="BM285" i="25"/>
  <c r="J285" i="25"/>
  <c r="I306" i="25"/>
  <c r="BN306" i="25"/>
  <c r="AL90" i="25"/>
  <c r="CC90" i="25"/>
  <c r="H90" i="25"/>
  <c r="J90" i="25"/>
  <c r="L90" i="25" s="1"/>
  <c r="BM90" i="25"/>
  <c r="I263" i="25"/>
  <c r="BN263" i="25"/>
  <c r="H314" i="25"/>
  <c r="AL314" i="25"/>
  <c r="CC314" i="25"/>
  <c r="BM314" i="25"/>
  <c r="J314" i="25"/>
  <c r="N314" i="25" s="1"/>
  <c r="AL287" i="25"/>
  <c r="H287" i="25"/>
  <c r="CC287" i="25"/>
  <c r="J287" i="25"/>
  <c r="L287" i="25" s="1"/>
  <c r="BM287" i="25"/>
  <c r="CC259" i="25"/>
  <c r="H259" i="25"/>
  <c r="AL259" i="25"/>
  <c r="J259" i="25"/>
  <c r="N259" i="25" s="1"/>
  <c r="CF128" i="24"/>
  <c r="CE128" i="24"/>
  <c r="AM128" i="24"/>
  <c r="H128" i="24"/>
  <c r="I128" i="24"/>
  <c r="K128" i="24" s="1"/>
  <c r="H180" i="24"/>
  <c r="AM180" i="24"/>
  <c r="I180" i="24"/>
  <c r="M180" i="24" s="1"/>
  <c r="AM90" i="24"/>
  <c r="K90" i="24"/>
  <c r="H90" i="24"/>
  <c r="CF90" i="24"/>
  <c r="CE90" i="24"/>
  <c r="I90" i="24"/>
  <c r="M90" i="24" s="1"/>
  <c r="BO90" i="24"/>
  <c r="BR90" i="24" s="1"/>
  <c r="K17" i="24"/>
  <c r="H17" i="24"/>
  <c r="AM17" i="24"/>
  <c r="CF17" i="24"/>
  <c r="CE17" i="24"/>
  <c r="I17" i="24"/>
  <c r="BO17" i="24"/>
  <c r="BR17" i="24" s="1"/>
  <c r="CE61" i="24"/>
  <c r="K61" i="24"/>
  <c r="CF61" i="24"/>
  <c r="H61" i="24"/>
  <c r="AM61" i="24"/>
  <c r="I61" i="24"/>
  <c r="M61" i="24" s="1"/>
  <c r="N61" i="24" s="1"/>
  <c r="BO316" i="24"/>
  <c r="BR316" i="24" s="1"/>
  <c r="CC34" i="25"/>
  <c r="AL34" i="25"/>
  <c r="CF34" i="25"/>
  <c r="H34" i="25"/>
  <c r="CE34" i="25"/>
  <c r="J34" i="25"/>
  <c r="N34" i="25" s="1"/>
  <c r="I295" i="25"/>
  <c r="H227" i="25"/>
  <c r="AL227" i="25"/>
  <c r="CC227" i="25"/>
  <c r="J227" i="25"/>
  <c r="L227" i="25" s="1"/>
  <c r="BM227" i="25"/>
  <c r="BQ227" i="25" s="1"/>
  <c r="BN260" i="25"/>
  <c r="BN278" i="25"/>
  <c r="BN221" i="25"/>
  <c r="AM204" i="24"/>
  <c r="H204" i="24"/>
  <c r="BO204" i="24"/>
  <c r="BR204" i="24" s="1"/>
  <c r="I204" i="24"/>
  <c r="K204" i="24" s="1"/>
  <c r="CE69" i="24"/>
  <c r="K69" i="24"/>
  <c r="H69" i="24"/>
  <c r="AM69" i="24"/>
  <c r="CF69" i="24"/>
  <c r="I69" i="24"/>
  <c r="BO69" i="24"/>
  <c r="BR69" i="24" s="1"/>
  <c r="AM31" i="24"/>
  <c r="CF31" i="24"/>
  <c r="CE31" i="24"/>
  <c r="K31" i="24"/>
  <c r="H31" i="24"/>
  <c r="I31" i="24"/>
  <c r="BO31" i="24"/>
  <c r="BR31" i="24" s="1"/>
  <c r="BK257" i="24"/>
  <c r="S257" i="24"/>
  <c r="T257" i="24" s="1"/>
  <c r="BM292" i="25"/>
  <c r="BN223" i="25"/>
  <c r="AL116" i="25"/>
  <c r="H116" i="25"/>
  <c r="CC116" i="25"/>
  <c r="J116" i="25"/>
  <c r="BM116" i="25"/>
  <c r="BQ116" i="25" s="1"/>
  <c r="AL118" i="25"/>
  <c r="CC118" i="25"/>
  <c r="H118" i="25"/>
  <c r="J118" i="25"/>
  <c r="BM118" i="25"/>
  <c r="BQ118" i="25" s="1"/>
  <c r="CF96" i="25"/>
  <c r="CE96" i="25"/>
  <c r="AL96" i="25"/>
  <c r="CC96" i="25"/>
  <c r="H96" i="25"/>
  <c r="J96" i="25"/>
  <c r="L96" i="25" s="1"/>
  <c r="BM96" i="25"/>
  <c r="CC21" i="25"/>
  <c r="H21" i="25"/>
  <c r="AL21" i="25"/>
  <c r="CF21" i="25"/>
  <c r="CE21" i="25"/>
  <c r="J21" i="25"/>
  <c r="N21" i="25" s="1"/>
  <c r="BM21" i="25"/>
  <c r="BQ21" i="25" s="1"/>
  <c r="I176" i="25"/>
  <c r="BN176" i="25"/>
  <c r="AL126" i="25"/>
  <c r="CC126" i="25"/>
  <c r="H126" i="25"/>
  <c r="BM126" i="25"/>
  <c r="H174" i="25"/>
  <c r="AL174" i="25"/>
  <c r="CC174" i="25"/>
  <c r="AM201" i="24"/>
  <c r="H201" i="24"/>
  <c r="BO201" i="24"/>
  <c r="BR201" i="24" s="1"/>
  <c r="I201" i="24"/>
  <c r="AM77" i="24"/>
  <c r="CF77" i="24"/>
  <c r="CE77" i="24"/>
  <c r="H77" i="24"/>
  <c r="K77" i="24"/>
  <c r="BO77" i="24"/>
  <c r="BR77" i="24" s="1"/>
  <c r="I77" i="24"/>
  <c r="BQ83" i="25"/>
  <c r="I240" i="25"/>
  <c r="M233" i="24"/>
  <c r="N233" i="24" s="1"/>
  <c r="I288" i="25"/>
  <c r="BO52" i="24"/>
  <c r="BR52" i="24" s="1"/>
  <c r="BM298" i="25"/>
  <c r="BQ298" i="25" s="1"/>
  <c r="J43" i="25"/>
  <c r="BK22" i="24"/>
  <c r="S22" i="24"/>
  <c r="T22" i="24" s="1"/>
  <c r="CC178" i="25"/>
  <c r="AL178" i="25"/>
  <c r="H178" i="25"/>
  <c r="BM178" i="25"/>
  <c r="J178" i="25"/>
  <c r="N178" i="25" s="1"/>
  <c r="AL267" i="25"/>
  <c r="CC267" i="25"/>
  <c r="H267" i="25"/>
  <c r="J267" i="25"/>
  <c r="N267" i="25" s="1"/>
  <c r="BM267" i="25"/>
  <c r="CF244" i="24"/>
  <c r="AM244" i="24"/>
  <c r="H244" i="24"/>
  <c r="CE244" i="24"/>
  <c r="I244" i="24"/>
  <c r="BO244" i="24"/>
  <c r="BR244" i="24" s="1"/>
  <c r="H65" i="24"/>
  <c r="CF65" i="24"/>
  <c r="CE65" i="24"/>
  <c r="K65" i="24"/>
  <c r="AM65" i="24"/>
  <c r="I65" i="24"/>
  <c r="AL187" i="25"/>
  <c r="CC187" i="25"/>
  <c r="H187" i="25"/>
  <c r="J187" i="25"/>
  <c r="BM187" i="25"/>
  <c r="H14" i="25"/>
  <c r="CC14" i="25"/>
  <c r="CE14" i="25"/>
  <c r="CF14" i="25"/>
  <c r="AL14" i="25"/>
  <c r="J14" i="25"/>
  <c r="N14" i="25" s="1"/>
  <c r="BM14" i="25"/>
  <c r="AM89" i="24"/>
  <c r="CE89" i="24"/>
  <c r="CF89" i="24"/>
  <c r="K89" i="24"/>
  <c r="H89" i="24"/>
  <c r="I89" i="24"/>
  <c r="BO89" i="24"/>
  <c r="BR89" i="24" s="1"/>
  <c r="H199" i="24"/>
  <c r="CF199" i="24"/>
  <c r="CE199" i="24"/>
  <c r="AM199" i="24"/>
  <c r="I199" i="24"/>
  <c r="M199" i="24" s="1"/>
  <c r="N199" i="24" s="1"/>
  <c r="AM313" i="24"/>
  <c r="CE313" i="24"/>
  <c r="CF313" i="24"/>
  <c r="H313" i="24"/>
  <c r="I313" i="24"/>
  <c r="M313" i="24" s="1"/>
  <c r="BO313" i="24"/>
  <c r="BR313" i="24" s="1"/>
  <c r="H15" i="24"/>
  <c r="AM15" i="24"/>
  <c r="CE15" i="24"/>
  <c r="CF15" i="24"/>
  <c r="K15" i="24"/>
  <c r="I15" i="24"/>
  <c r="BO15" i="24"/>
  <c r="BR15" i="24" s="1"/>
  <c r="BO91" i="24"/>
  <c r="BR91" i="24" s="1"/>
  <c r="CF53" i="24"/>
  <c r="AM53" i="24"/>
  <c r="CE53" i="24"/>
  <c r="K53" i="24"/>
  <c r="H53" i="24"/>
  <c r="I53" i="24"/>
  <c r="M53" i="24" s="1"/>
  <c r="N53" i="24" s="1"/>
  <c r="BO154" i="24"/>
  <c r="BR154" i="24" s="1"/>
  <c r="CF127" i="24"/>
  <c r="CE127" i="24"/>
  <c r="AM127" i="24"/>
  <c r="H127" i="24"/>
  <c r="I127" i="24"/>
  <c r="M127" i="24" s="1"/>
  <c r="N127" i="24" s="1"/>
  <c r="BO199" i="24"/>
  <c r="BR199" i="24" s="1"/>
  <c r="BN97" i="25"/>
  <c r="BQ97" i="25" s="1"/>
  <c r="I97" i="25"/>
  <c r="I150" i="25"/>
  <c r="BN150" i="25"/>
  <c r="CC32" i="25"/>
  <c r="CF32" i="25"/>
  <c r="CE32" i="25"/>
  <c r="H32" i="25"/>
  <c r="AL32" i="25"/>
  <c r="J32" i="25"/>
  <c r="N32" i="25" s="1"/>
  <c r="BM32" i="25"/>
  <c r="BN99" i="25"/>
  <c r="I99" i="25"/>
  <c r="H49" i="25"/>
  <c r="CF49" i="25"/>
  <c r="CE49" i="25"/>
  <c r="CC49" i="25"/>
  <c r="AL49" i="25"/>
  <c r="BM49" i="25"/>
  <c r="J49" i="25"/>
  <c r="L49" i="25" s="1"/>
  <c r="CE23" i="24"/>
  <c r="CF23" i="24"/>
  <c r="AM23" i="24"/>
  <c r="K23" i="24"/>
  <c r="H23" i="24"/>
  <c r="I23" i="24"/>
  <c r="BO23" i="24"/>
  <c r="BR23" i="24" s="1"/>
  <c r="CF86" i="24"/>
  <c r="K86" i="24"/>
  <c r="H86" i="24"/>
  <c r="AM86" i="24"/>
  <c r="CE86" i="24"/>
  <c r="I86" i="24"/>
  <c r="M86" i="24" s="1"/>
  <c r="N86" i="24" s="1"/>
  <c r="I224" i="25"/>
  <c r="H183" i="25"/>
  <c r="AL183" i="25"/>
  <c r="CC183" i="25"/>
  <c r="BM183" i="25"/>
  <c r="BQ183" i="25" s="1"/>
  <c r="J183" i="25"/>
  <c r="L183" i="25" s="1"/>
  <c r="H179" i="25"/>
  <c r="AL179" i="25"/>
  <c r="CC179" i="25"/>
  <c r="BM179" i="25"/>
  <c r="BQ179" i="25" s="1"/>
  <c r="BQ168" i="25"/>
  <c r="I246" i="25"/>
  <c r="BN246" i="25"/>
  <c r="BQ246" i="25" s="1"/>
  <c r="H59" i="25"/>
  <c r="AL59" i="25"/>
  <c r="CC59" i="25"/>
  <c r="CE59" i="25"/>
  <c r="CF59" i="25"/>
  <c r="BM59" i="25"/>
  <c r="J59" i="25"/>
  <c r="L59" i="25" s="1"/>
  <c r="I232" i="25"/>
  <c r="BN232" i="25"/>
  <c r="BQ232" i="25" s="1"/>
  <c r="I180" i="25"/>
  <c r="BN180" i="25"/>
  <c r="BQ180" i="25" s="1"/>
  <c r="CC255" i="25"/>
  <c r="H255" i="25"/>
  <c r="AL255" i="25"/>
  <c r="J255" i="25"/>
  <c r="N255" i="25" s="1"/>
  <c r="BM255" i="25"/>
  <c r="I162" i="25"/>
  <c r="BN162" i="25"/>
  <c r="BO135" i="24"/>
  <c r="BR135" i="24" s="1"/>
  <c r="J304" i="25"/>
  <c r="L304" i="25" s="1"/>
  <c r="CC88" i="25"/>
  <c r="AL88" i="25"/>
  <c r="CF88" i="25"/>
  <c r="CE88" i="25"/>
  <c r="H88" i="25"/>
  <c r="J88" i="25"/>
  <c r="BM88" i="25"/>
  <c r="H161" i="24"/>
  <c r="AM161" i="24"/>
  <c r="I161" i="24"/>
  <c r="K161" i="24" s="1"/>
  <c r="AM303" i="24"/>
  <c r="H303" i="24"/>
  <c r="CE303" i="24"/>
  <c r="CF303" i="24"/>
  <c r="I303" i="24"/>
  <c r="M303" i="24" s="1"/>
  <c r="BO303" i="24"/>
  <c r="BR303" i="24" s="1"/>
  <c r="H10" i="24"/>
  <c r="CF10" i="24"/>
  <c r="CE10" i="24"/>
  <c r="K10" i="24"/>
  <c r="AM10" i="24"/>
  <c r="I10" i="24"/>
  <c r="M10" i="24" s="1"/>
  <c r="AL28" i="25"/>
  <c r="H28" i="25"/>
  <c r="CE28" i="25"/>
  <c r="CF28" i="25"/>
  <c r="CC28" i="25"/>
  <c r="BM28" i="25"/>
  <c r="I154" i="25"/>
  <c r="H197" i="24"/>
  <c r="CF197" i="24"/>
  <c r="CE197" i="24"/>
  <c r="AM197" i="24"/>
  <c r="I197" i="24"/>
  <c r="BO197" i="24"/>
  <c r="BR197" i="24" s="1"/>
  <c r="H149" i="24"/>
  <c r="CF149" i="24"/>
  <c r="CE149" i="24"/>
  <c r="AM149" i="24"/>
  <c r="I149" i="24"/>
  <c r="K149" i="24" s="1"/>
  <c r="BO149" i="24"/>
  <c r="BR149" i="24" s="1"/>
  <c r="H264" i="25"/>
  <c r="AL264" i="25"/>
  <c r="CC264" i="25"/>
  <c r="J264" i="25"/>
  <c r="L264" i="25" s="1"/>
  <c r="BM264" i="25"/>
  <c r="BQ264" i="25" s="1"/>
  <c r="AL313" i="25"/>
  <c r="CC313" i="25"/>
  <c r="H313" i="25"/>
  <c r="J313" i="25"/>
  <c r="L313" i="25" s="1"/>
  <c r="I175" i="25"/>
  <c r="BN175" i="25"/>
  <c r="I142" i="25"/>
  <c r="BN142" i="25"/>
  <c r="I12" i="25"/>
  <c r="BN12" i="25"/>
  <c r="CC294" i="25"/>
  <c r="H294" i="25"/>
  <c r="AL294" i="25"/>
  <c r="J294" i="25"/>
  <c r="BM294" i="25"/>
  <c r="CC224" i="25"/>
  <c r="H224" i="25"/>
  <c r="AL224" i="25"/>
  <c r="J224" i="25"/>
  <c r="L224" i="25" s="1"/>
  <c r="BN103" i="25"/>
  <c r="I103" i="25"/>
  <c r="BN254" i="25"/>
  <c r="CC146" i="25"/>
  <c r="H146" i="25"/>
  <c r="AL146" i="25"/>
  <c r="J146" i="25"/>
  <c r="L146" i="25" s="1"/>
  <c r="BM146" i="25"/>
  <c r="BQ146" i="25" s="1"/>
  <c r="BN291" i="25"/>
  <c r="BN296" i="25"/>
  <c r="I113" i="25"/>
  <c r="BN136" i="25"/>
  <c r="I136" i="25"/>
  <c r="BN56" i="25"/>
  <c r="CC293" i="25"/>
  <c r="H293" i="25"/>
  <c r="AL293" i="25"/>
  <c r="BM293" i="25"/>
  <c r="BN252" i="25"/>
  <c r="I252" i="25"/>
  <c r="CF61" i="25"/>
  <c r="H61" i="25"/>
  <c r="AL61" i="25"/>
  <c r="CC61" i="25"/>
  <c r="CE61" i="25"/>
  <c r="J61" i="25"/>
  <c r="BM61" i="25"/>
  <c r="BN250" i="25"/>
  <c r="I250" i="25"/>
  <c r="AM64" i="24"/>
  <c r="CE64" i="24"/>
  <c r="CF64" i="24"/>
  <c r="K64" i="24"/>
  <c r="H64" i="24"/>
  <c r="BO64" i="24"/>
  <c r="BR64" i="24" s="1"/>
  <c r="I64" i="24"/>
  <c r="AM262" i="24"/>
  <c r="CE262" i="24"/>
  <c r="H262" i="24"/>
  <c r="CF262" i="24"/>
  <c r="I262" i="24"/>
  <c r="BO262" i="24"/>
  <c r="BR262" i="24" s="1"/>
  <c r="AM249" i="24"/>
  <c r="H249" i="24"/>
  <c r="CE249" i="24"/>
  <c r="CF249" i="24"/>
  <c r="I249" i="24"/>
  <c r="K249" i="24" s="1"/>
  <c r="BO249" i="24"/>
  <c r="BR249" i="24" s="1"/>
  <c r="CE236" i="24"/>
  <c r="H236" i="24"/>
  <c r="K236" i="24"/>
  <c r="CF236" i="24"/>
  <c r="AM236" i="24"/>
  <c r="BO236" i="24"/>
  <c r="BR236" i="24" s="1"/>
  <c r="I303" i="25"/>
  <c r="BN303" i="25"/>
  <c r="BQ303" i="25" s="1"/>
  <c r="AL7" i="25"/>
  <c r="CC7" i="25"/>
  <c r="H7" i="25"/>
  <c r="CF7" i="25"/>
  <c r="CE7" i="25"/>
  <c r="J7" i="25"/>
  <c r="L7" i="25" s="1"/>
  <c r="BM7" i="25"/>
  <c r="I191" i="25"/>
  <c r="BN191" i="25"/>
  <c r="AL299" i="25"/>
  <c r="CC299" i="25"/>
  <c r="H299" i="25"/>
  <c r="J299" i="25"/>
  <c r="L299" i="25" s="1"/>
  <c r="CF27" i="25"/>
  <c r="H27" i="25"/>
  <c r="AL27" i="25"/>
  <c r="CC27" i="25"/>
  <c r="CE27" i="25"/>
  <c r="BM27" i="25"/>
  <c r="J27" i="25"/>
  <c r="I284" i="25"/>
  <c r="BN284" i="25"/>
  <c r="CF235" i="24"/>
  <c r="H235" i="24"/>
  <c r="AM235" i="24"/>
  <c r="CE235" i="24"/>
  <c r="I235" i="24"/>
  <c r="CE288" i="24"/>
  <c r="AM288" i="24"/>
  <c r="H288" i="24"/>
  <c r="I288" i="24"/>
  <c r="K288" i="24" s="1"/>
  <c r="BO288" i="24"/>
  <c r="BR288" i="24" s="1"/>
  <c r="CE57" i="24"/>
  <c r="CF57" i="24"/>
  <c r="K57" i="24"/>
  <c r="H57" i="24"/>
  <c r="AM57" i="24"/>
  <c r="I57" i="24"/>
  <c r="BO57" i="24"/>
  <c r="BR57" i="24" s="1"/>
  <c r="CE278" i="24"/>
  <c r="H278" i="24"/>
  <c r="CF278" i="24"/>
  <c r="AM278" i="24"/>
  <c r="I278" i="24"/>
  <c r="K278" i="24" s="1"/>
  <c r="BO278" i="24"/>
  <c r="BR278" i="24" s="1"/>
  <c r="H69" i="25"/>
  <c r="CE69" i="25"/>
  <c r="AL69" i="25"/>
  <c r="CC69" i="25"/>
  <c r="CF69" i="25"/>
  <c r="J69" i="25"/>
  <c r="L69" i="25" s="1"/>
  <c r="K26" i="24"/>
  <c r="CF26" i="24"/>
  <c r="CE26" i="24"/>
  <c r="AM26" i="24"/>
  <c r="H26" i="24"/>
  <c r="I26" i="24"/>
  <c r="I60" i="25"/>
  <c r="BN60" i="25"/>
  <c r="BN313" i="25"/>
  <c r="AL209" i="25"/>
  <c r="CC209" i="25"/>
  <c r="H209" i="25"/>
  <c r="BM209" i="25"/>
  <c r="J209" i="25"/>
  <c r="L209" i="25" s="1"/>
  <c r="H131" i="25"/>
  <c r="AL131" i="25"/>
  <c r="CC131" i="25"/>
  <c r="BM131" i="25"/>
  <c r="CC119" i="25"/>
  <c r="H119" i="25"/>
  <c r="AL119" i="25"/>
  <c r="J119" i="25"/>
  <c r="BM119" i="25"/>
  <c r="BQ119" i="25" s="1"/>
  <c r="AL133" i="25"/>
  <c r="CC133" i="25"/>
  <c r="H133" i="25"/>
  <c r="BM133" i="25"/>
  <c r="J133" i="25"/>
  <c r="L133" i="25" s="1"/>
  <c r="AL41" i="25"/>
  <c r="H41" i="25"/>
  <c r="CC41" i="25"/>
  <c r="CE41" i="25"/>
  <c r="CF41" i="25"/>
  <c r="J41" i="25"/>
  <c r="BM41" i="25"/>
  <c r="BQ41" i="25" s="1"/>
  <c r="AL256" i="25"/>
  <c r="H256" i="25"/>
  <c r="CC256" i="25"/>
  <c r="J256" i="25"/>
  <c r="I19" i="25"/>
  <c r="AL36" i="25"/>
  <c r="CC36" i="25"/>
  <c r="CF36" i="25"/>
  <c r="CE36" i="25"/>
  <c r="H36" i="25"/>
  <c r="BM36" i="25"/>
  <c r="J36" i="25"/>
  <c r="I64" i="25"/>
  <c r="BN64" i="25"/>
  <c r="AL274" i="25"/>
  <c r="CC274" i="25"/>
  <c r="H274" i="25"/>
  <c r="BM274" i="25"/>
  <c r="BQ274" i="25" s="1"/>
  <c r="J274" i="25"/>
  <c r="L274" i="25" s="1"/>
  <c r="H268" i="25"/>
  <c r="AL268" i="25"/>
  <c r="CC268" i="25"/>
  <c r="J268" i="25"/>
  <c r="L268" i="25" s="1"/>
  <c r="BM268" i="25"/>
  <c r="I301" i="25"/>
  <c r="BN301" i="25"/>
  <c r="H308" i="25"/>
  <c r="AL308" i="25"/>
  <c r="CC308" i="25"/>
  <c r="J308" i="25"/>
  <c r="CC286" i="25"/>
  <c r="H286" i="25"/>
  <c r="AL286" i="25"/>
  <c r="J286" i="25"/>
  <c r="BM286" i="25"/>
  <c r="AM178" i="24"/>
  <c r="H178" i="24"/>
  <c r="I178" i="24"/>
  <c r="H217" i="24"/>
  <c r="CF217" i="24"/>
  <c r="AM217" i="24"/>
  <c r="CE217" i="24"/>
  <c r="BO217" i="24"/>
  <c r="BR217" i="24" s="1"/>
  <c r="I217" i="24"/>
  <c r="K217" i="24" s="1"/>
  <c r="H221" i="24"/>
  <c r="CF221" i="24"/>
  <c r="AM221" i="24"/>
  <c r="CE221" i="24"/>
  <c r="I221" i="24"/>
  <c r="K221" i="24" s="1"/>
  <c r="BO221" i="24"/>
  <c r="BR221" i="24" s="1"/>
  <c r="CE293" i="24"/>
  <c r="CF293" i="24"/>
  <c r="H293" i="24"/>
  <c r="AM293" i="24"/>
  <c r="BO293" i="24"/>
  <c r="BR293" i="24" s="1"/>
  <c r="I293" i="24"/>
  <c r="K293" i="24" s="1"/>
  <c r="H135" i="25"/>
  <c r="AL135" i="25"/>
  <c r="CC135" i="25"/>
  <c r="J135" i="25"/>
  <c r="L135" i="25" s="1"/>
  <c r="BM135" i="25"/>
  <c r="BQ135" i="25" s="1"/>
  <c r="AL196" i="25"/>
  <c r="CC196" i="25"/>
  <c r="H196" i="25"/>
  <c r="J196" i="25"/>
  <c r="BM196" i="25"/>
  <c r="BQ196" i="25" s="1"/>
  <c r="CC153" i="25"/>
  <c r="H153" i="25"/>
  <c r="AL153" i="25"/>
  <c r="J153" i="25"/>
  <c r="H127" i="25"/>
  <c r="AL127" i="25"/>
  <c r="CC127" i="25"/>
  <c r="BM127" i="25"/>
  <c r="BQ127" i="25" s="1"/>
  <c r="J127" i="25"/>
  <c r="L127" i="25" s="1"/>
  <c r="AL149" i="25"/>
  <c r="CC149" i="25"/>
  <c r="H149" i="25"/>
  <c r="J149" i="25"/>
  <c r="BM149" i="25"/>
  <c r="BQ149" i="25" s="1"/>
  <c r="AL140" i="25"/>
  <c r="CC140" i="25"/>
  <c r="H140" i="25"/>
  <c r="BM140" i="25"/>
  <c r="BQ140" i="25" s="1"/>
  <c r="J140" i="25"/>
  <c r="L140" i="25" s="1"/>
  <c r="H123" i="25"/>
  <c r="AL123" i="25"/>
  <c r="CC123" i="25"/>
  <c r="J123" i="25"/>
  <c r="BM123" i="25"/>
  <c r="BQ123" i="25" s="1"/>
  <c r="H22" i="25"/>
  <c r="CE22" i="25"/>
  <c r="AL22" i="25"/>
  <c r="CC22" i="25"/>
  <c r="CF22" i="25"/>
  <c r="J22" i="25"/>
  <c r="L22" i="25" s="1"/>
  <c r="BM22" i="25"/>
  <c r="BQ22" i="25" s="1"/>
  <c r="CE24" i="25"/>
  <c r="AL24" i="25"/>
  <c r="H24" i="25"/>
  <c r="CC24" i="25"/>
  <c r="CF24" i="25"/>
  <c r="J24" i="25"/>
  <c r="BM24" i="25"/>
  <c r="BQ24" i="25" s="1"/>
  <c r="CC98" i="25"/>
  <c r="H98" i="25"/>
  <c r="AL98" i="25"/>
  <c r="BM98" i="25"/>
  <c r="BQ98" i="25" s="1"/>
  <c r="J98" i="25"/>
  <c r="CC57" i="25"/>
  <c r="CF57" i="25"/>
  <c r="CE57" i="25"/>
  <c r="H57" i="25"/>
  <c r="AL57" i="25"/>
  <c r="BM57" i="25"/>
  <c r="BQ57" i="25" s="1"/>
  <c r="J57" i="25"/>
  <c r="L57" i="25" s="1"/>
  <c r="H20" i="25"/>
  <c r="CF20" i="25"/>
  <c r="CE20" i="25"/>
  <c r="CC20" i="25"/>
  <c r="AL20" i="25"/>
  <c r="J20" i="25"/>
  <c r="L20" i="25" s="1"/>
  <c r="BM20" i="25"/>
  <c r="BQ20" i="25" s="1"/>
  <c r="CC91" i="25"/>
  <c r="AL91" i="25"/>
  <c r="CF91" i="25"/>
  <c r="H91" i="25"/>
  <c r="CE91" i="25"/>
  <c r="J91" i="25"/>
  <c r="CC85" i="25"/>
  <c r="H85" i="25"/>
  <c r="CF85" i="25"/>
  <c r="CE85" i="25"/>
  <c r="AL85" i="25"/>
  <c r="J85" i="25"/>
  <c r="BM85" i="25"/>
  <c r="BQ85" i="25" s="1"/>
  <c r="CF48" i="25"/>
  <c r="CE48" i="25"/>
  <c r="H48" i="25"/>
  <c r="AL48" i="25"/>
  <c r="CC48" i="25"/>
  <c r="J48" i="25"/>
  <c r="CE35" i="25"/>
  <c r="CF35" i="25"/>
  <c r="H35" i="25"/>
  <c r="CC35" i="25"/>
  <c r="AL35" i="25"/>
  <c r="BM35" i="25"/>
  <c r="BQ35" i="25" s="1"/>
  <c r="J35" i="25"/>
  <c r="H175" i="24"/>
  <c r="CF175" i="24"/>
  <c r="AM175" i="24"/>
  <c r="CE175" i="24"/>
  <c r="I175" i="24"/>
  <c r="K95" i="24"/>
  <c r="H95" i="24"/>
  <c r="AM95" i="24"/>
  <c r="CE95" i="24"/>
  <c r="CF95" i="24"/>
  <c r="I95" i="24"/>
  <c r="BO95" i="24"/>
  <c r="BR95" i="24" s="1"/>
  <c r="CE258" i="24"/>
  <c r="H258" i="24"/>
  <c r="CF258" i="24"/>
  <c r="AM258" i="24"/>
  <c r="I258" i="24"/>
  <c r="BO258" i="24"/>
  <c r="BR258" i="24" s="1"/>
  <c r="BM66" i="25"/>
  <c r="BM92" i="25"/>
  <c r="BN222" i="25"/>
  <c r="CC207" i="25"/>
  <c r="AL207" i="25"/>
  <c r="H207" i="25"/>
  <c r="J207" i="25"/>
  <c r="BM207" i="25"/>
  <c r="BQ207" i="25" s="1"/>
  <c r="CC230" i="25"/>
  <c r="H230" i="25"/>
  <c r="AL230" i="25"/>
  <c r="J230" i="25"/>
  <c r="L230" i="25" s="1"/>
  <c r="BM230" i="25"/>
  <c r="BQ230" i="25" s="1"/>
  <c r="BN74" i="25"/>
  <c r="I74" i="25"/>
  <c r="AL62" i="25"/>
  <c r="CC62" i="25"/>
  <c r="H62" i="25"/>
  <c r="BM62" i="25"/>
  <c r="J62" i="25"/>
  <c r="N62" i="25" s="1"/>
  <c r="CF237" i="24"/>
  <c r="AM237" i="24"/>
  <c r="H237" i="24"/>
  <c r="CE237" i="24"/>
  <c r="BO237" i="24"/>
  <c r="BR237" i="24" s="1"/>
  <c r="I237" i="24"/>
  <c r="M237" i="24" s="1"/>
  <c r="N237" i="24" s="1"/>
  <c r="BK162" i="24"/>
  <c r="S162" i="24"/>
  <c r="T162" i="24" s="1"/>
  <c r="M162" i="24"/>
  <c r="N162" i="24" s="1"/>
  <c r="I16" i="25"/>
  <c r="BN16" i="25"/>
  <c r="BQ16" i="25" s="1"/>
  <c r="I50" i="25"/>
  <c r="BM220" i="25"/>
  <c r="BO166" i="24"/>
  <c r="BR166" i="24" s="1"/>
  <c r="BM91" i="25"/>
  <c r="BQ91" i="25" s="1"/>
  <c r="BM103" i="25"/>
  <c r="J87" i="25"/>
  <c r="N87" i="25" s="1"/>
  <c r="AL113" i="25"/>
  <c r="CC113" i="25"/>
  <c r="H113" i="25"/>
  <c r="J113" i="25"/>
  <c r="N113" i="25" s="1"/>
  <c r="BM113" i="25"/>
  <c r="AL225" i="25"/>
  <c r="CC225" i="25"/>
  <c r="H225" i="25"/>
  <c r="BM225" i="25"/>
  <c r="J225" i="25"/>
  <c r="L225" i="25" s="1"/>
  <c r="CC25" i="25"/>
  <c r="AL25" i="25"/>
  <c r="CE25" i="25"/>
  <c r="CF25" i="25"/>
  <c r="H25" i="25"/>
  <c r="BM25" i="25"/>
  <c r="J25" i="25"/>
  <c r="L25" i="25" s="1"/>
  <c r="H310" i="24"/>
  <c r="AM310" i="24"/>
  <c r="CE310" i="24"/>
  <c r="I310" i="24"/>
  <c r="M310" i="24" s="1"/>
  <c r="BO310" i="24"/>
  <c r="BR310" i="24" s="1"/>
  <c r="CC97" i="25"/>
  <c r="H97" i="25"/>
  <c r="AL97" i="25"/>
  <c r="J97" i="25"/>
  <c r="L97" i="25" s="1"/>
  <c r="I92" i="25"/>
  <c r="BN92" i="25"/>
  <c r="I155" i="25"/>
  <c r="BN155" i="25"/>
  <c r="H305" i="24"/>
  <c r="AM305" i="24"/>
  <c r="CE305" i="24"/>
  <c r="CF305" i="24"/>
  <c r="I305" i="24"/>
  <c r="K305" i="24" s="1"/>
  <c r="BO305" i="24"/>
  <c r="BR305" i="24" s="1"/>
  <c r="H158" i="25"/>
  <c r="AL158" i="25"/>
  <c r="CC158" i="25"/>
  <c r="J158" i="25"/>
  <c r="N158" i="25" s="1"/>
  <c r="H112" i="25"/>
  <c r="CC112" i="25"/>
  <c r="AL112" i="25"/>
  <c r="BM112" i="25"/>
  <c r="J112" i="25"/>
  <c r="L112" i="25" s="1"/>
  <c r="H134" i="25"/>
  <c r="AL134" i="25"/>
  <c r="CC134" i="25"/>
  <c r="J134" i="25"/>
  <c r="L134" i="25" s="1"/>
  <c r="BM134" i="25"/>
  <c r="H258" i="25"/>
  <c r="AL258" i="25"/>
  <c r="CC258" i="25"/>
  <c r="BM258" i="25"/>
  <c r="BQ258" i="25" s="1"/>
  <c r="I216" i="25"/>
  <c r="BN113" i="25"/>
  <c r="BN243" i="25"/>
  <c r="I243" i="25"/>
  <c r="H121" i="25"/>
  <c r="AL121" i="25"/>
  <c r="CC121" i="25"/>
  <c r="J121" i="25"/>
  <c r="L121" i="25" s="1"/>
  <c r="BM121" i="25"/>
  <c r="H47" i="25"/>
  <c r="CF47" i="25"/>
  <c r="CE47" i="25"/>
  <c r="AL47" i="25"/>
  <c r="CC47" i="25"/>
  <c r="J47" i="25"/>
  <c r="BM47" i="25"/>
  <c r="BN316" i="25"/>
  <c r="I316" i="25"/>
  <c r="AL242" i="25"/>
  <c r="CC242" i="25"/>
  <c r="H242" i="25"/>
  <c r="BM242" i="25"/>
  <c r="J242" i="25"/>
  <c r="BN39" i="25"/>
  <c r="I39" i="25"/>
  <c r="H301" i="24"/>
  <c r="AM301" i="24"/>
  <c r="CE301" i="24"/>
  <c r="CF301" i="24"/>
  <c r="I301" i="24"/>
  <c r="BO301" i="24"/>
  <c r="BR301" i="24" s="1"/>
  <c r="AM238" i="24"/>
  <c r="CE238" i="24"/>
  <c r="CF238" i="24"/>
  <c r="H238" i="24"/>
  <c r="I238" i="24"/>
  <c r="M238" i="24" s="1"/>
  <c r="N238" i="24" s="1"/>
  <c r="BO238" i="24"/>
  <c r="BR238" i="24" s="1"/>
  <c r="H193" i="24"/>
  <c r="AM193" i="24"/>
  <c r="I193" i="24"/>
  <c r="M193" i="24" s="1"/>
  <c r="BO193" i="24"/>
  <c r="BR193" i="24" s="1"/>
  <c r="H136" i="24"/>
  <c r="AM136" i="24"/>
  <c r="CF136" i="24"/>
  <c r="CE136" i="24"/>
  <c r="I136" i="24"/>
  <c r="BO136" i="24"/>
  <c r="BR136" i="24" s="1"/>
  <c r="CC50" i="25"/>
  <c r="AL50" i="25"/>
  <c r="H50" i="25"/>
  <c r="CE50" i="25"/>
  <c r="CF50" i="25"/>
  <c r="J50" i="25"/>
  <c r="AL229" i="25"/>
  <c r="CC229" i="25"/>
  <c r="H229" i="25"/>
  <c r="J229" i="25"/>
  <c r="N229" i="25" s="1"/>
  <c r="BM229" i="25"/>
  <c r="BQ229" i="25" s="1"/>
  <c r="I309" i="25"/>
  <c r="BN309" i="25"/>
  <c r="AL181" i="25"/>
  <c r="CC181" i="25"/>
  <c r="H181" i="25"/>
  <c r="BM181" i="25"/>
  <c r="J181" i="25"/>
  <c r="I228" i="25"/>
  <c r="BN228" i="25"/>
  <c r="AL249" i="25"/>
  <c r="CC249" i="25"/>
  <c r="H249" i="25"/>
  <c r="J249" i="25"/>
  <c r="L249" i="25" s="1"/>
  <c r="BM249" i="25"/>
  <c r="BN33" i="25"/>
  <c r="I33" i="25"/>
  <c r="H240" i="25"/>
  <c r="CC240" i="25"/>
  <c r="AL240" i="25"/>
  <c r="J240" i="25"/>
  <c r="N240" i="25" s="1"/>
  <c r="BM240" i="25"/>
  <c r="BQ240" i="25" s="1"/>
  <c r="H203" i="24"/>
  <c r="AM203" i="24"/>
  <c r="I203" i="24"/>
  <c r="K203" i="24" s="1"/>
  <c r="BO203" i="24"/>
  <c r="BR203" i="24" s="1"/>
  <c r="H49" i="24"/>
  <c r="AM49" i="24"/>
  <c r="CF49" i="24"/>
  <c r="CE49" i="24"/>
  <c r="K49" i="24"/>
  <c r="I49" i="24"/>
  <c r="M294" i="24"/>
  <c r="N294" i="24" s="1"/>
  <c r="CE218" i="24"/>
  <c r="H218" i="24"/>
  <c r="CF218" i="24"/>
  <c r="AM218" i="24"/>
  <c r="I218" i="24"/>
  <c r="M218" i="24" s="1"/>
  <c r="BO218" i="24"/>
  <c r="BR218" i="24" s="1"/>
  <c r="CF227" i="24"/>
  <c r="AM227" i="24"/>
  <c r="CE227" i="24"/>
  <c r="H227" i="24"/>
  <c r="BO227" i="24"/>
  <c r="BR227" i="24" s="1"/>
  <c r="I227" i="24"/>
  <c r="M227" i="24" s="1"/>
  <c r="BM158" i="25"/>
  <c r="AL277" i="25"/>
  <c r="CC277" i="25"/>
  <c r="H277" i="25"/>
  <c r="J277" i="25"/>
  <c r="L277" i="25" s="1"/>
  <c r="H78" i="24"/>
  <c r="CF78" i="24"/>
  <c r="CE78" i="24"/>
  <c r="AM78" i="24"/>
  <c r="K78" i="24"/>
  <c r="H11" i="24"/>
  <c r="CF11" i="24"/>
  <c r="CE11" i="24"/>
  <c r="AM11" i="24"/>
  <c r="K11" i="24"/>
  <c r="I11" i="24"/>
  <c r="CE183" i="24"/>
  <c r="H183" i="24"/>
  <c r="CF183" i="24"/>
  <c r="AM183" i="24"/>
  <c r="I183" i="24"/>
  <c r="H235" i="25"/>
  <c r="AL235" i="25"/>
  <c r="CC235" i="25"/>
  <c r="J235" i="25"/>
  <c r="L235" i="25" s="1"/>
  <c r="BM235" i="25"/>
  <c r="AL304" i="25"/>
  <c r="CC304" i="25"/>
  <c r="H304" i="25"/>
  <c r="I234" i="25"/>
  <c r="BN234" i="25"/>
  <c r="AL289" i="25"/>
  <c r="CC289" i="25"/>
  <c r="H289" i="25"/>
  <c r="BM289" i="25"/>
  <c r="J289" i="25"/>
  <c r="I184" i="25"/>
  <c r="BN184" i="25"/>
  <c r="AL101" i="25"/>
  <c r="CC101" i="25"/>
  <c r="H101" i="25"/>
  <c r="J101" i="25"/>
  <c r="BM101" i="25"/>
  <c r="H45" i="25"/>
  <c r="AL45" i="25"/>
  <c r="CC45" i="25"/>
  <c r="J45" i="25"/>
  <c r="L45" i="25" s="1"/>
  <c r="H306" i="24"/>
  <c r="AM306" i="24"/>
  <c r="I306" i="24"/>
  <c r="M306" i="24" s="1"/>
  <c r="H220" i="24"/>
  <c r="CE220" i="24"/>
  <c r="CF220" i="24"/>
  <c r="AM220" i="24"/>
  <c r="BO220" i="24"/>
  <c r="BR220" i="24" s="1"/>
  <c r="I220" i="24"/>
  <c r="K220" i="24" s="1"/>
  <c r="CE156" i="24"/>
  <c r="AM156" i="24"/>
  <c r="H156" i="24"/>
  <c r="CF156" i="24"/>
  <c r="I156" i="24"/>
  <c r="BO156" i="24"/>
  <c r="BR156" i="24" s="1"/>
  <c r="CE300" i="24"/>
  <c r="CF300" i="24"/>
  <c r="H300" i="24"/>
  <c r="AM300" i="24"/>
  <c r="I300" i="24"/>
  <c r="BO300" i="24"/>
  <c r="BR300" i="24" s="1"/>
  <c r="CF42" i="24"/>
  <c r="AM42" i="24"/>
  <c r="CE42" i="24"/>
  <c r="K42" i="24"/>
  <c r="H42" i="24"/>
  <c r="I42" i="24"/>
  <c r="AM311" i="24"/>
  <c r="H311" i="24"/>
  <c r="CE311" i="24"/>
  <c r="I311" i="24"/>
  <c r="K311" i="24" s="1"/>
  <c r="H80" i="25"/>
  <c r="CC80" i="25"/>
  <c r="AL80" i="25"/>
  <c r="J80" i="25"/>
  <c r="L80" i="25" s="1"/>
  <c r="AL311" i="25"/>
  <c r="CC311" i="25"/>
  <c r="H311" i="25"/>
  <c r="J311" i="25"/>
  <c r="L311" i="25" s="1"/>
  <c r="BM311" i="25"/>
  <c r="AL307" i="25"/>
  <c r="CC307" i="25"/>
  <c r="H307" i="25"/>
  <c r="J307" i="25"/>
  <c r="BM307" i="25"/>
  <c r="CE308" i="24"/>
  <c r="AM308" i="24"/>
  <c r="H308" i="24"/>
  <c r="I308" i="24"/>
  <c r="K308" i="24" s="1"/>
  <c r="BO308" i="24"/>
  <c r="BR308" i="24" s="1"/>
  <c r="AM271" i="24"/>
  <c r="H271" i="24"/>
  <c r="CE271" i="24"/>
  <c r="CF271" i="24"/>
  <c r="BO271" i="24"/>
  <c r="BR271" i="24" s="1"/>
  <c r="I271" i="24"/>
  <c r="M271" i="24" s="1"/>
  <c r="N271" i="24" s="1"/>
  <c r="AM181" i="24"/>
  <c r="CF181" i="24"/>
  <c r="H181" i="24"/>
  <c r="CE181" i="24"/>
  <c r="I181" i="24"/>
  <c r="M181" i="24" s="1"/>
  <c r="N181" i="24" s="1"/>
  <c r="CE58" i="24"/>
  <c r="K58" i="24"/>
  <c r="H58" i="24"/>
  <c r="AM58" i="24"/>
  <c r="CF58" i="24"/>
  <c r="I58" i="24"/>
  <c r="K84" i="24"/>
  <c r="H84" i="24"/>
  <c r="AM84" i="24"/>
  <c r="CF84" i="24"/>
  <c r="CE84" i="24"/>
  <c r="BO84" i="24"/>
  <c r="BR84" i="24" s="1"/>
  <c r="I84" i="24"/>
  <c r="K51" i="24"/>
  <c r="AM51" i="24"/>
  <c r="H51" i="24"/>
  <c r="CF51" i="24"/>
  <c r="CE51" i="24"/>
  <c r="I51" i="24"/>
  <c r="BO51" i="24"/>
  <c r="BR51" i="24" s="1"/>
  <c r="K43" i="24"/>
  <c r="H43" i="24"/>
  <c r="AM43" i="24"/>
  <c r="CE43" i="24"/>
  <c r="CF43" i="24"/>
  <c r="I43" i="24"/>
  <c r="M43" i="24" s="1"/>
  <c r="N43" i="24" s="1"/>
  <c r="BO43" i="24"/>
  <c r="BR43" i="24" s="1"/>
  <c r="I158" i="25"/>
  <c r="AL115" i="25"/>
  <c r="H115" i="25"/>
  <c r="CC115" i="25"/>
  <c r="J115" i="25"/>
  <c r="BM115" i="25"/>
  <c r="BQ115" i="25" s="1"/>
  <c r="BN7" i="25"/>
  <c r="CF44" i="24"/>
  <c r="K44" i="24"/>
  <c r="H44" i="24"/>
  <c r="AM44" i="24"/>
  <c r="CE44" i="24"/>
  <c r="M44" i="24"/>
  <c r="N44" i="24" s="1"/>
  <c r="BO44" i="24"/>
  <c r="BR44" i="24" s="1"/>
  <c r="AL31" i="25"/>
  <c r="CC31" i="25"/>
  <c r="CE31" i="25"/>
  <c r="CF31" i="25"/>
  <c r="H31" i="25"/>
  <c r="J31" i="25"/>
  <c r="N31" i="25" s="1"/>
  <c r="BM31" i="25"/>
  <c r="CF115" i="24"/>
  <c r="CE115" i="24"/>
  <c r="AM115" i="24"/>
  <c r="H115" i="24"/>
  <c r="I115" i="24"/>
  <c r="BO115" i="24"/>
  <c r="BR115" i="24" s="1"/>
  <c r="BK191" i="24"/>
  <c r="S191" i="24"/>
  <c r="T191" i="24" s="1"/>
  <c r="M191" i="24"/>
  <c r="N191" i="24" s="1"/>
  <c r="CE246" i="24"/>
  <c r="CF246" i="24"/>
  <c r="H246" i="24"/>
  <c r="AM246" i="24"/>
  <c r="I246" i="24"/>
  <c r="BO246" i="24"/>
  <c r="BR246" i="24" s="1"/>
  <c r="I229" i="25"/>
  <c r="BK101" i="24"/>
  <c r="S101" i="24"/>
  <c r="T101" i="24" s="1"/>
  <c r="BK292" i="24"/>
  <c r="S292" i="24"/>
  <c r="T292" i="24" s="1"/>
  <c r="M292" i="24"/>
  <c r="N292" i="24" s="1"/>
  <c r="BN289" i="25"/>
  <c r="BN19" i="25"/>
  <c r="BN154" i="25"/>
  <c r="BN61" i="25"/>
  <c r="BM313" i="25"/>
  <c r="BM308" i="25"/>
  <c r="BM128" i="25"/>
  <c r="BQ128" i="25" s="1"/>
  <c r="BM174" i="25"/>
  <c r="BO128" i="24"/>
  <c r="BR128" i="24" s="1"/>
  <c r="I151" i="24"/>
  <c r="K151" i="24" s="1"/>
  <c r="H102" i="25"/>
  <c r="AL102" i="25"/>
  <c r="CC102" i="25"/>
  <c r="J102" i="25"/>
  <c r="BM102" i="25"/>
  <c r="AL254" i="25"/>
  <c r="CC254" i="25"/>
  <c r="H254" i="25"/>
  <c r="BM254" i="25"/>
  <c r="J254" i="25"/>
  <c r="L254" i="25" s="1"/>
  <c r="H161" i="25"/>
  <c r="AL161" i="25"/>
  <c r="CC161" i="25"/>
  <c r="J161" i="25"/>
  <c r="N161" i="25" s="1"/>
  <c r="BM161" i="25"/>
  <c r="CF86" i="25"/>
  <c r="CE86" i="25"/>
  <c r="AL86" i="25"/>
  <c r="H86" i="25"/>
  <c r="CC86" i="25"/>
  <c r="BM86" i="25"/>
  <c r="J86" i="25"/>
  <c r="BN170" i="25"/>
  <c r="I170" i="25"/>
  <c r="AM35" i="24"/>
  <c r="CF35" i="24"/>
  <c r="CE35" i="24"/>
  <c r="K35" i="24"/>
  <c r="H35" i="24"/>
  <c r="I35" i="24"/>
  <c r="BO35" i="24"/>
  <c r="BR35" i="24" s="1"/>
  <c r="AL10" i="25"/>
  <c r="CF10" i="25"/>
  <c r="CE10" i="25"/>
  <c r="H10" i="25"/>
  <c r="CC10" i="25"/>
  <c r="J10" i="25"/>
  <c r="L10" i="25" s="1"/>
  <c r="H147" i="25"/>
  <c r="AL147" i="25"/>
  <c r="CC147" i="25"/>
  <c r="J147" i="25"/>
  <c r="N147" i="25" s="1"/>
  <c r="BM147" i="25"/>
  <c r="AL220" i="25"/>
  <c r="CC220" i="25"/>
  <c r="H220" i="25"/>
  <c r="J220" i="25"/>
  <c r="L220" i="25" s="1"/>
  <c r="CC144" i="25"/>
  <c r="AL144" i="25"/>
  <c r="H144" i="25"/>
  <c r="BM144" i="25"/>
  <c r="J144" i="25"/>
  <c r="AL148" i="25"/>
  <c r="H148" i="25"/>
  <c r="CC148" i="25"/>
  <c r="J148" i="25"/>
  <c r="N148" i="25" s="1"/>
  <c r="BM148" i="25"/>
  <c r="AL292" i="25"/>
  <c r="CC292" i="25"/>
  <c r="H292" i="25"/>
  <c r="J292" i="25"/>
  <c r="N292" i="25" s="1"/>
  <c r="BN124" i="25"/>
  <c r="I124" i="25"/>
  <c r="BN89" i="25"/>
  <c r="I89" i="25"/>
  <c r="H247" i="25"/>
  <c r="AL247" i="25"/>
  <c r="CC247" i="25"/>
  <c r="J247" i="25"/>
  <c r="N247" i="25" s="1"/>
  <c r="BN272" i="25"/>
  <c r="I272" i="25"/>
  <c r="H66" i="25"/>
  <c r="AL66" i="25"/>
  <c r="CC66" i="25"/>
  <c r="CF66" i="25"/>
  <c r="CE66" i="25"/>
  <c r="J66" i="25"/>
  <c r="L66" i="25" s="1"/>
  <c r="CF153" i="24"/>
  <c r="AM153" i="24"/>
  <c r="H153" i="24"/>
  <c r="CE153" i="24"/>
  <c r="I153" i="24"/>
  <c r="K153" i="24" s="1"/>
  <c r="BO153" i="24"/>
  <c r="BR153" i="24" s="1"/>
  <c r="CE234" i="24"/>
  <c r="H234" i="24"/>
  <c r="CF234" i="24"/>
  <c r="AM234" i="24"/>
  <c r="I234" i="24"/>
  <c r="M234" i="24" s="1"/>
  <c r="BO234" i="24"/>
  <c r="BR234" i="24" s="1"/>
  <c r="CE279" i="24"/>
  <c r="AM279" i="24"/>
  <c r="H279" i="24"/>
  <c r="I279" i="24"/>
  <c r="M279" i="24" s="1"/>
  <c r="BO279" i="24"/>
  <c r="BR279" i="24" s="1"/>
  <c r="AM98" i="24"/>
  <c r="K98" i="24"/>
  <c r="H98" i="24"/>
  <c r="I98" i="24"/>
  <c r="AM85" i="24"/>
  <c r="CF85" i="24"/>
  <c r="CE85" i="24"/>
  <c r="K85" i="24"/>
  <c r="H85" i="24"/>
  <c r="BO85" i="24"/>
  <c r="BR85" i="24" s="1"/>
  <c r="K59" i="24"/>
  <c r="AM59" i="24"/>
  <c r="H59" i="24"/>
  <c r="CF59" i="24"/>
  <c r="CE59" i="24"/>
  <c r="I59" i="24"/>
  <c r="I78" i="25"/>
  <c r="BN78" i="25"/>
  <c r="CC173" i="25"/>
  <c r="H173" i="25"/>
  <c r="AL173" i="25"/>
  <c r="J173" i="25"/>
  <c r="N173" i="25" s="1"/>
  <c r="BM173" i="25"/>
  <c r="I172" i="25"/>
  <c r="BN172" i="25"/>
  <c r="H65" i="25"/>
  <c r="CF65" i="25"/>
  <c r="AL65" i="25"/>
  <c r="CC65" i="25"/>
  <c r="CE65" i="25"/>
  <c r="BM65" i="25"/>
  <c r="J65" i="25"/>
  <c r="L65" i="25" s="1"/>
  <c r="I261" i="25"/>
  <c r="BN261" i="25"/>
  <c r="AL251" i="25"/>
  <c r="CC251" i="25"/>
  <c r="H251" i="25"/>
  <c r="J251" i="25"/>
  <c r="L251" i="25" s="1"/>
  <c r="AM297" i="24"/>
  <c r="H297" i="24"/>
  <c r="CE297" i="24"/>
  <c r="I297" i="24"/>
  <c r="BO297" i="24"/>
  <c r="BR297" i="24" s="1"/>
  <c r="AM40" i="24"/>
  <c r="K40" i="24"/>
  <c r="H40" i="24"/>
  <c r="CE40" i="24"/>
  <c r="CF40" i="24"/>
  <c r="BO40" i="24"/>
  <c r="BR40" i="24" s="1"/>
  <c r="I40" i="24"/>
  <c r="M40" i="24" s="1"/>
  <c r="H294" i="24"/>
  <c r="CE294" i="24"/>
  <c r="K294" i="24"/>
  <c r="CF294" i="24"/>
  <c r="AM294" i="24"/>
  <c r="BO294" i="24"/>
  <c r="BR294" i="24" s="1"/>
  <c r="CE287" i="24"/>
  <c r="CF287" i="24"/>
  <c r="AM287" i="24"/>
  <c r="H287" i="24"/>
  <c r="I287" i="24"/>
  <c r="M287" i="24" s="1"/>
  <c r="BO287" i="24"/>
  <c r="BR287" i="24" s="1"/>
  <c r="CE226" i="24"/>
  <c r="CF226" i="24"/>
  <c r="AM226" i="24"/>
  <c r="H226" i="24"/>
  <c r="I226" i="24"/>
  <c r="M226" i="24" s="1"/>
  <c r="BO226" i="24"/>
  <c r="BR226" i="24" s="1"/>
  <c r="BO10" i="24"/>
  <c r="BR10" i="24" s="1"/>
  <c r="BO9" i="24"/>
  <c r="BR9" i="24" s="1"/>
  <c r="I201" i="25"/>
  <c r="BN201" i="25"/>
  <c r="AL167" i="25"/>
  <c r="CC167" i="25"/>
  <c r="H167" i="25"/>
  <c r="J167" i="25"/>
  <c r="N167" i="25" s="1"/>
  <c r="BM167" i="25"/>
  <c r="I166" i="25"/>
  <c r="BN166" i="25"/>
  <c r="H55" i="25"/>
  <c r="AL55" i="25"/>
  <c r="CC55" i="25"/>
  <c r="J55" i="25"/>
  <c r="BM55" i="25"/>
  <c r="I285" i="25"/>
  <c r="BN285" i="25"/>
  <c r="H306" i="25"/>
  <c r="AL306" i="25"/>
  <c r="CC306" i="25"/>
  <c r="J306" i="25"/>
  <c r="N306" i="25" s="1"/>
  <c r="BM306" i="25"/>
  <c r="I90" i="25"/>
  <c r="BN90" i="25"/>
  <c r="H263" i="25"/>
  <c r="AL263" i="25"/>
  <c r="CC263" i="25"/>
  <c r="J263" i="25"/>
  <c r="BM263" i="25"/>
  <c r="I314" i="25"/>
  <c r="BN314" i="25"/>
  <c r="H283" i="25"/>
  <c r="CC283" i="25"/>
  <c r="AL283" i="25"/>
  <c r="J283" i="25"/>
  <c r="N283" i="25" s="1"/>
  <c r="BM283" i="25"/>
  <c r="AL276" i="25"/>
  <c r="CC276" i="25"/>
  <c r="H276" i="25"/>
  <c r="J276" i="25"/>
  <c r="N276" i="25" s="1"/>
  <c r="BM276" i="25"/>
  <c r="H208" i="24"/>
  <c r="AM208" i="24"/>
  <c r="I208" i="24"/>
  <c r="BO208" i="24"/>
  <c r="BR208" i="24" s="1"/>
  <c r="CE8" i="24"/>
  <c r="H8" i="24"/>
  <c r="CF8" i="24"/>
  <c r="AM8" i="24"/>
  <c r="K8" i="24"/>
  <c r="I8" i="24"/>
  <c r="BO8" i="24"/>
  <c r="BR8" i="24" s="1"/>
  <c r="CE13" i="24"/>
  <c r="AM13" i="24"/>
  <c r="K13" i="24"/>
  <c r="H13" i="24"/>
  <c r="CF13" i="24"/>
  <c r="BO13" i="24"/>
  <c r="BR13" i="24" s="1"/>
  <c r="I13" i="24"/>
  <c r="AM200" i="24"/>
  <c r="H200" i="24"/>
  <c r="I200" i="24"/>
  <c r="M200" i="24" s="1"/>
  <c r="BO200" i="24"/>
  <c r="BR200" i="24" s="1"/>
  <c r="AM81" i="24"/>
  <c r="K81" i="24"/>
  <c r="H81" i="24"/>
  <c r="I81" i="24"/>
  <c r="CF150" i="24"/>
  <c r="CE150" i="24"/>
  <c r="AM150" i="24"/>
  <c r="H150" i="24"/>
  <c r="I150" i="24"/>
  <c r="M150" i="24" s="1"/>
  <c r="N150" i="24" s="1"/>
  <c r="AM284" i="24"/>
  <c r="H284" i="24"/>
  <c r="CE284" i="24"/>
  <c r="I284" i="24"/>
  <c r="H117" i="25"/>
  <c r="AL117" i="25"/>
  <c r="CC117" i="25"/>
  <c r="BM117" i="25"/>
  <c r="CC290" i="25"/>
  <c r="H290" i="25"/>
  <c r="AL290" i="25"/>
  <c r="J290" i="25"/>
  <c r="BM290" i="25"/>
  <c r="BQ290" i="25" s="1"/>
  <c r="CF87" i="24"/>
  <c r="CE87" i="24"/>
  <c r="K87" i="24"/>
  <c r="H87" i="24"/>
  <c r="AM87" i="24"/>
  <c r="I87" i="24"/>
  <c r="BO87" i="24"/>
  <c r="BR87" i="24" s="1"/>
  <c r="H187" i="24"/>
  <c r="CF187" i="24"/>
  <c r="CE187" i="24"/>
  <c r="AM187" i="24"/>
  <c r="I187" i="24"/>
  <c r="K187" i="24" s="1"/>
  <c r="BO187" i="24"/>
  <c r="BR187" i="24" s="1"/>
  <c r="H200" i="25"/>
  <c r="CC200" i="25"/>
  <c r="AL200" i="25"/>
  <c r="BM200" i="25"/>
  <c r="BQ200" i="25" s="1"/>
  <c r="J200" i="25"/>
  <c r="L200" i="25" s="1"/>
  <c r="AL198" i="25"/>
  <c r="CC198" i="25"/>
  <c r="H198" i="25"/>
  <c r="J198" i="25"/>
  <c r="N198" i="25" s="1"/>
  <c r="BM198" i="25"/>
  <c r="BK119" i="24"/>
  <c r="S119" i="24"/>
  <c r="T119" i="24" s="1"/>
  <c r="M119" i="24"/>
  <c r="N119" i="24" s="1"/>
  <c r="CE159" i="24"/>
  <c r="H159" i="24"/>
  <c r="AM159" i="24"/>
  <c r="CF159" i="24"/>
  <c r="I159" i="24"/>
  <c r="BO159" i="24"/>
  <c r="BR159" i="24" s="1"/>
  <c r="H188" i="24"/>
  <c r="CE188" i="24"/>
  <c r="AM188" i="24"/>
  <c r="CF188" i="24"/>
  <c r="BO188" i="24"/>
  <c r="BR188" i="24" s="1"/>
  <c r="I188" i="24"/>
  <c r="M188" i="24" s="1"/>
  <c r="N188" i="24" s="1"/>
  <c r="BN144" i="25"/>
  <c r="BI190" i="25"/>
  <c r="N190" i="25"/>
  <c r="T190" i="25" s="1"/>
  <c r="I71" i="25"/>
  <c r="BN71" i="25"/>
  <c r="AM263" i="24"/>
  <c r="CE263" i="24"/>
  <c r="H263" i="24"/>
  <c r="BO263" i="24"/>
  <c r="BR263" i="24" s="1"/>
  <c r="K104" i="24"/>
  <c r="H104" i="24"/>
  <c r="AM104" i="24"/>
  <c r="I104" i="24"/>
  <c r="BO104" i="24"/>
  <c r="BR104" i="24" s="1"/>
  <c r="I10" i="25"/>
  <c r="BN281" i="25"/>
  <c r="I122" i="25"/>
  <c r="BN122" i="25"/>
  <c r="BM304" i="25"/>
  <c r="BM153" i="25"/>
  <c r="BQ153" i="25" s="1"/>
  <c r="BO248" i="24"/>
  <c r="BR248" i="24" s="1"/>
  <c r="J117" i="25"/>
  <c r="L117" i="25" s="1"/>
  <c r="J15" i="25"/>
  <c r="L15" i="25" s="1"/>
  <c r="I25" i="24"/>
  <c r="M25" i="24" s="1"/>
  <c r="N25" i="24" s="1"/>
  <c r="I112" i="24"/>
  <c r="I263" i="24"/>
  <c r="J171" i="25"/>
  <c r="L171" i="25" s="1"/>
  <c r="I102" i="25"/>
  <c r="BN102" i="25"/>
  <c r="I262" i="25"/>
  <c r="BN262" i="25"/>
  <c r="BQ262" i="25" s="1"/>
  <c r="BN86" i="25"/>
  <c r="I86" i="25"/>
  <c r="AL281" i="25"/>
  <c r="CC281" i="25"/>
  <c r="H281" i="25"/>
  <c r="BM281" i="25"/>
  <c r="J281" i="25"/>
  <c r="L281" i="25" s="1"/>
  <c r="BN25" i="25"/>
  <c r="I25" i="25"/>
  <c r="H144" i="24"/>
  <c r="CF144" i="24"/>
  <c r="CE144" i="24"/>
  <c r="AM144" i="24"/>
  <c r="I144" i="24"/>
  <c r="BO144" i="24"/>
  <c r="BR144" i="24" s="1"/>
  <c r="H92" i="25"/>
  <c r="AL92" i="25"/>
  <c r="CC92" i="25"/>
  <c r="J92" i="25"/>
  <c r="N92" i="25" s="1"/>
  <c r="AM222" i="24"/>
  <c r="H222" i="24"/>
  <c r="CE222" i="24"/>
  <c r="CF222" i="24"/>
  <c r="I222" i="24"/>
  <c r="BO222" i="24"/>
  <c r="BR222" i="24" s="1"/>
  <c r="H154" i="24"/>
  <c r="CF154" i="24"/>
  <c r="CE154" i="24"/>
  <c r="AM154" i="24"/>
  <c r="I154" i="24"/>
  <c r="CC238" i="25"/>
  <c r="H238" i="25"/>
  <c r="AL238" i="25"/>
  <c r="J238" i="25"/>
  <c r="N238" i="25" s="1"/>
  <c r="BM238" i="25"/>
  <c r="H175" i="25"/>
  <c r="AL175" i="25"/>
  <c r="CC175" i="25"/>
  <c r="BM175" i="25"/>
  <c r="J175" i="25"/>
  <c r="CC142" i="25"/>
  <c r="H142" i="25"/>
  <c r="AL142" i="25"/>
  <c r="BM142" i="25"/>
  <c r="J142" i="25"/>
  <c r="L142" i="25" s="1"/>
  <c r="I14" i="25"/>
  <c r="BN14" i="25"/>
  <c r="AL12" i="25"/>
  <c r="CC12" i="25"/>
  <c r="H12" i="25"/>
  <c r="CF12" i="25"/>
  <c r="CE12" i="25"/>
  <c r="J12" i="25"/>
  <c r="L12" i="25" s="1"/>
  <c r="BM12" i="25"/>
  <c r="CE231" i="24"/>
  <c r="CF231" i="24"/>
  <c r="H231" i="24"/>
  <c r="AM231" i="24"/>
  <c r="I231" i="24"/>
  <c r="M231" i="24" s="1"/>
  <c r="BO231" i="24"/>
  <c r="BR231" i="24" s="1"/>
  <c r="AM27" i="24"/>
  <c r="CF27" i="24"/>
  <c r="K27" i="24"/>
  <c r="CE27" i="24"/>
  <c r="H27" i="24"/>
  <c r="I27" i="24"/>
  <c r="M27" i="24" s="1"/>
  <c r="N27" i="24" s="1"/>
  <c r="BO27" i="24"/>
  <c r="BR27" i="24" s="1"/>
  <c r="AM245" i="24"/>
  <c r="H245" i="24"/>
  <c r="CE245" i="24"/>
  <c r="I245" i="24"/>
  <c r="AM34" i="24"/>
  <c r="CE34" i="24"/>
  <c r="CF34" i="24"/>
  <c r="K34" i="24"/>
  <c r="H34" i="24"/>
  <c r="BO34" i="24"/>
  <c r="BR34" i="24" s="1"/>
  <c r="I34" i="24"/>
  <c r="AM92" i="24"/>
  <c r="K92" i="24"/>
  <c r="H92" i="24"/>
  <c r="BO92" i="24"/>
  <c r="BR92" i="24" s="1"/>
  <c r="I92" i="24"/>
  <c r="AL87" i="25"/>
  <c r="CF87" i="25"/>
  <c r="CE87" i="25"/>
  <c r="H87" i="25"/>
  <c r="CC87" i="25"/>
  <c r="AL82" i="25"/>
  <c r="CC82" i="25"/>
  <c r="H82" i="25"/>
  <c r="J82" i="25"/>
  <c r="N82" i="25" s="1"/>
  <c r="H150" i="25"/>
  <c r="AL150" i="25"/>
  <c r="CC150" i="25"/>
  <c r="BM150" i="25"/>
  <c r="J150" i="25"/>
  <c r="L150" i="25" s="1"/>
  <c r="BN32" i="25"/>
  <c r="I32" i="25"/>
  <c r="H99" i="25"/>
  <c r="AL99" i="25"/>
  <c r="CC99" i="25"/>
  <c r="CF99" i="25"/>
  <c r="CE99" i="25"/>
  <c r="J99" i="25"/>
  <c r="L99" i="25" s="1"/>
  <c r="BM99" i="25"/>
  <c r="I49" i="25"/>
  <c r="BN49" i="25"/>
  <c r="H297" i="25"/>
  <c r="AL297" i="25"/>
  <c r="CC297" i="25"/>
  <c r="J297" i="25"/>
  <c r="BM297" i="25"/>
  <c r="CF269" i="24"/>
  <c r="H269" i="24"/>
  <c r="AM269" i="24"/>
  <c r="CE269" i="24"/>
  <c r="I269" i="24"/>
  <c r="BO269" i="24"/>
  <c r="BR269" i="24" s="1"/>
  <c r="AM182" i="24"/>
  <c r="H182" i="24"/>
  <c r="I182" i="24"/>
  <c r="M182" i="24" s="1"/>
  <c r="N182" i="24" s="1"/>
  <c r="BO182" i="24"/>
  <c r="BR182" i="24" s="1"/>
  <c r="H76" i="24"/>
  <c r="CE76" i="24"/>
  <c r="CF76" i="24"/>
  <c r="AM76" i="24"/>
  <c r="K76" i="24"/>
  <c r="I76" i="24"/>
  <c r="M76" i="24" s="1"/>
  <c r="N76" i="24" s="1"/>
  <c r="BO76" i="24"/>
  <c r="BR76" i="24" s="1"/>
  <c r="K16" i="24"/>
  <c r="H16" i="24"/>
  <c r="AM16" i="24"/>
  <c r="CF16" i="24"/>
  <c r="CE16" i="24"/>
  <c r="I16" i="24"/>
  <c r="M16" i="24" s="1"/>
  <c r="BO16" i="24"/>
  <c r="BR16" i="24" s="1"/>
  <c r="H141" i="24"/>
  <c r="CF141" i="24"/>
  <c r="CE141" i="24"/>
  <c r="AM141" i="24"/>
  <c r="I141" i="24"/>
  <c r="K141" i="24" s="1"/>
  <c r="BO141" i="24"/>
  <c r="BR141" i="24" s="1"/>
  <c r="CF164" i="24"/>
  <c r="CE164" i="24"/>
  <c r="AM164" i="24"/>
  <c r="H164" i="24"/>
  <c r="I164" i="24"/>
  <c r="K164" i="24" s="1"/>
  <c r="K73" i="24"/>
  <c r="H73" i="24"/>
  <c r="AM73" i="24"/>
  <c r="I73" i="24"/>
  <c r="BO73" i="24"/>
  <c r="BR73" i="24" s="1"/>
  <c r="BM247" i="25"/>
  <c r="BQ247" i="25" s="1"/>
  <c r="CC130" i="25"/>
  <c r="AL130" i="25"/>
  <c r="H130" i="25"/>
  <c r="J130" i="25"/>
  <c r="L130" i="25" s="1"/>
  <c r="BM130" i="25"/>
  <c r="BQ130" i="25" s="1"/>
  <c r="H197" i="25"/>
  <c r="AL197" i="25"/>
  <c r="CC197" i="25"/>
  <c r="J197" i="25"/>
  <c r="BM197" i="25"/>
  <c r="BQ197" i="25" s="1"/>
  <c r="H104" i="25"/>
  <c r="AL104" i="25"/>
  <c r="CC104" i="25"/>
  <c r="BM104" i="25"/>
  <c r="H219" i="25"/>
  <c r="AL219" i="25"/>
  <c r="CC219" i="25"/>
  <c r="J219" i="25"/>
  <c r="L219" i="25" s="1"/>
  <c r="BM219" i="25"/>
  <c r="BN73" i="25"/>
  <c r="I73" i="25"/>
  <c r="AL271" i="25"/>
  <c r="H271" i="25"/>
  <c r="CC271" i="25"/>
  <c r="BM271" i="25"/>
  <c r="J271" i="25"/>
  <c r="L271" i="25" s="1"/>
  <c r="CE137" i="24"/>
  <c r="H137" i="24"/>
  <c r="CF137" i="24"/>
  <c r="AM137" i="24"/>
  <c r="BO137" i="24"/>
  <c r="BR137" i="24" s="1"/>
  <c r="I137" i="24"/>
  <c r="K137" i="24" s="1"/>
  <c r="H265" i="25"/>
  <c r="AL265" i="25"/>
  <c r="CC265" i="25"/>
  <c r="BM265" i="25"/>
  <c r="BK7" i="24"/>
  <c r="S7" i="24"/>
  <c r="T7" i="24" s="1"/>
  <c r="BK190" i="24"/>
  <c r="S190" i="24"/>
  <c r="T190" i="24" s="1"/>
  <c r="BO161" i="24"/>
  <c r="BR161" i="24" s="1"/>
  <c r="I226" i="25"/>
  <c r="BN226" i="25"/>
  <c r="I217" i="25"/>
  <c r="CF253" i="24"/>
  <c r="AM253" i="24"/>
  <c r="H253" i="24"/>
  <c r="CE253" i="24"/>
  <c r="I253" i="24"/>
  <c r="K253" i="24" s="1"/>
  <c r="BO253" i="24"/>
  <c r="BR253" i="24" s="1"/>
  <c r="H157" i="24"/>
  <c r="AM157" i="24"/>
  <c r="I157" i="24"/>
  <c r="K157" i="24" s="1"/>
  <c r="BO157" i="24"/>
  <c r="BR157" i="24" s="1"/>
  <c r="I264" i="25"/>
  <c r="BO306" i="24"/>
  <c r="BR306" i="24" s="1"/>
  <c r="J126" i="25"/>
  <c r="J174" i="25"/>
  <c r="N174" i="25" s="1"/>
  <c r="J73" i="25"/>
  <c r="L73" i="25" s="1"/>
  <c r="AM179" i="24"/>
  <c r="H179" i="24"/>
  <c r="H309" i="24"/>
  <c r="CE309" i="24"/>
  <c r="AM309" i="24"/>
  <c r="I309" i="24"/>
  <c r="K309" i="24" s="1"/>
  <c r="H232" i="24"/>
  <c r="CF232" i="24"/>
  <c r="AM232" i="24"/>
  <c r="CE232" i="24"/>
  <c r="I232" i="24"/>
  <c r="K232" i="24" s="1"/>
  <c r="CF304" i="24"/>
  <c r="AM304" i="24"/>
  <c r="H304" i="24"/>
  <c r="CE304" i="24"/>
  <c r="I304" i="24"/>
  <c r="K304" i="24" s="1"/>
  <c r="AL30" i="25"/>
  <c r="CC30" i="25"/>
  <c r="CE30" i="25"/>
  <c r="CF30" i="25"/>
  <c r="H30" i="25"/>
  <c r="J30" i="25"/>
  <c r="N30" i="25" s="1"/>
  <c r="H300" i="25"/>
  <c r="CC300" i="25"/>
  <c r="AL300" i="25"/>
  <c r="H266" i="25"/>
  <c r="AL266" i="25"/>
  <c r="CC266" i="25"/>
  <c r="CF176" i="24"/>
  <c r="CE176" i="24"/>
  <c r="AM176" i="24"/>
  <c r="H176" i="24"/>
  <c r="CF118" i="24"/>
  <c r="AM118" i="24"/>
  <c r="CE118" i="24"/>
  <c r="H118" i="24"/>
  <c r="CF117" i="24"/>
  <c r="H117" i="24"/>
  <c r="CE117" i="24"/>
  <c r="AM117" i="24"/>
  <c r="I117" i="24"/>
  <c r="AM12" i="24"/>
  <c r="K12" i="24"/>
  <c r="CE12" i="24"/>
  <c r="H12" i="24"/>
  <c r="CF12" i="24"/>
  <c r="CE266" i="24"/>
  <c r="CF266" i="24"/>
  <c r="H266" i="24"/>
  <c r="AM266" i="24"/>
  <c r="I266" i="24"/>
  <c r="K266" i="24" s="1"/>
  <c r="CF225" i="24"/>
  <c r="H225" i="24"/>
  <c r="AM225" i="24"/>
  <c r="CE225" i="24"/>
  <c r="I225" i="24"/>
  <c r="M225" i="24" s="1"/>
  <c r="N225" i="24" s="1"/>
  <c r="AM286" i="24"/>
  <c r="H286" i="24"/>
  <c r="CE286" i="24"/>
  <c r="I286" i="24"/>
  <c r="K286" i="24" s="1"/>
  <c r="AM41" i="24"/>
  <c r="CF41" i="24"/>
  <c r="CE41" i="24"/>
  <c r="K41" i="24"/>
  <c r="H41" i="24"/>
  <c r="BN34" i="25"/>
  <c r="BQ34" i="25" s="1"/>
  <c r="I34" i="25"/>
  <c r="H129" i="25"/>
  <c r="AL129" i="25"/>
  <c r="CC129" i="25"/>
  <c r="CC245" i="25"/>
  <c r="AL245" i="25"/>
  <c r="H245" i="25"/>
  <c r="CC105" i="25"/>
  <c r="AL105" i="25"/>
  <c r="H105" i="25"/>
  <c r="AL236" i="25"/>
  <c r="CC236" i="25"/>
  <c r="H236" i="25"/>
  <c r="J236" i="25"/>
  <c r="L236" i="25" s="1"/>
  <c r="CC145" i="25"/>
  <c r="H145" i="25"/>
  <c r="AL145" i="25"/>
  <c r="K22" i="24"/>
  <c r="H22" i="24"/>
  <c r="AM22" i="24"/>
  <c r="CF22" i="24"/>
  <c r="CE22" i="24"/>
  <c r="CE224" i="24"/>
  <c r="CF224" i="24"/>
  <c r="AM224" i="24"/>
  <c r="H224" i="24"/>
  <c r="AM143" i="24"/>
  <c r="H143" i="24"/>
  <c r="CE143" i="24"/>
  <c r="CF143" i="24"/>
  <c r="BN93" i="25"/>
  <c r="BQ93" i="25" s="1"/>
  <c r="I93" i="25"/>
  <c r="BN63" i="25"/>
  <c r="BQ63" i="25" s="1"/>
  <c r="I63" i="25"/>
  <c r="BN192" i="25"/>
  <c r="I192" i="25"/>
  <c r="J71" i="25"/>
  <c r="N71" i="25" s="1"/>
  <c r="BO12" i="24"/>
  <c r="BR12" i="24" s="1"/>
  <c r="BM94" i="25"/>
  <c r="BM162" i="25"/>
  <c r="BM169" i="25"/>
  <c r="BQ169" i="25" s="1"/>
  <c r="BO162" i="24"/>
  <c r="BR162" i="24" s="1"/>
  <c r="J125" i="25"/>
  <c r="L125" i="25" s="1"/>
  <c r="J203" i="25"/>
  <c r="L203" i="25" s="1"/>
  <c r="J13" i="25"/>
  <c r="N13" i="25" s="1"/>
  <c r="I147" i="24"/>
  <c r="M147" i="24" s="1"/>
  <c r="N147" i="24" s="1"/>
  <c r="I130" i="24"/>
  <c r="M130" i="24" s="1"/>
  <c r="BM13" i="25"/>
  <c r="BO119" i="24"/>
  <c r="BR119" i="24" s="1"/>
  <c r="BO33" i="24"/>
  <c r="BR33" i="24" s="1"/>
  <c r="BO19" i="24"/>
  <c r="BR19" i="24" s="1"/>
  <c r="BM8" i="25"/>
  <c r="BQ8" i="25" s="1"/>
  <c r="BM129" i="25"/>
  <c r="BO256" i="24"/>
  <c r="BR256" i="24" s="1"/>
  <c r="BO82" i="24"/>
  <c r="BR82" i="24" s="1"/>
  <c r="BO116" i="24"/>
  <c r="BR116" i="24" s="1"/>
  <c r="BO280" i="24"/>
  <c r="BR280" i="24" s="1"/>
  <c r="BO247" i="24"/>
  <c r="BR247" i="24" s="1"/>
  <c r="BM270" i="25"/>
  <c r="BM71" i="25"/>
  <c r="BM206" i="25"/>
  <c r="BQ206" i="25" s="1"/>
  <c r="I205" i="24"/>
  <c r="M205" i="24" s="1"/>
  <c r="N205" i="24" s="1"/>
  <c r="I116" i="24"/>
  <c r="M116" i="24" s="1"/>
  <c r="I97" i="24"/>
  <c r="M97" i="24" s="1"/>
  <c r="I194" i="24"/>
  <c r="K194" i="24" s="1"/>
  <c r="AM282" i="24"/>
  <c r="CE282" i="24"/>
  <c r="CF282" i="24"/>
  <c r="H282" i="24"/>
  <c r="I282" i="24"/>
  <c r="K282" i="24" s="1"/>
  <c r="CE126" i="24"/>
  <c r="CF126" i="24"/>
  <c r="AM126" i="24"/>
  <c r="H126" i="24"/>
  <c r="I126" i="24"/>
  <c r="AM102" i="24"/>
  <c r="K102" i="24"/>
  <c r="H102" i="24"/>
  <c r="I102" i="24"/>
  <c r="AL218" i="25"/>
  <c r="CC218" i="25"/>
  <c r="H218" i="25"/>
  <c r="J218" i="25"/>
  <c r="L218" i="25" s="1"/>
  <c r="CC176" i="25"/>
  <c r="AL176" i="25"/>
  <c r="H176" i="25"/>
  <c r="I126" i="25"/>
  <c r="BN126" i="25"/>
  <c r="H74" i="25"/>
  <c r="CC74" i="25"/>
  <c r="AL74" i="25"/>
  <c r="BN204" i="25"/>
  <c r="BN62" i="25"/>
  <c r="H120" i="25"/>
  <c r="AL120" i="25"/>
  <c r="CC120" i="25"/>
  <c r="J120" i="25"/>
  <c r="L120" i="25" s="1"/>
  <c r="CC194" i="25"/>
  <c r="AL194" i="25"/>
  <c r="H194" i="25"/>
  <c r="AL132" i="25"/>
  <c r="CC132" i="25"/>
  <c r="H132" i="25"/>
  <c r="CC208" i="25"/>
  <c r="AL208" i="25"/>
  <c r="H208" i="25"/>
  <c r="J208" i="25"/>
  <c r="L208" i="25" s="1"/>
  <c r="H55" i="24"/>
  <c r="K55" i="24"/>
  <c r="AM55" i="24"/>
  <c r="H63" i="24"/>
  <c r="K63" i="24"/>
  <c r="AM63" i="24"/>
  <c r="CF63" i="24"/>
  <c r="CE63" i="24"/>
  <c r="I63" i="24"/>
  <c r="K103" i="24"/>
  <c r="H103" i="24"/>
  <c r="AM103" i="24"/>
  <c r="I103" i="24"/>
  <c r="CF131" i="24"/>
  <c r="H131" i="24"/>
  <c r="AM131" i="24"/>
  <c r="CE131" i="24"/>
  <c r="I131" i="24"/>
  <c r="K131" i="24" s="1"/>
  <c r="H188" i="25"/>
  <c r="AL188" i="25"/>
  <c r="CC188" i="25"/>
  <c r="J188" i="25"/>
  <c r="L188" i="25" s="1"/>
  <c r="BN59" i="25"/>
  <c r="BN31" i="25"/>
  <c r="I6" i="25"/>
  <c r="BN6" i="25"/>
  <c r="BQ6" i="25" s="1"/>
  <c r="BN165" i="25"/>
  <c r="I165" i="25"/>
  <c r="CF198" i="24"/>
  <c r="AM198" i="24"/>
  <c r="CE198" i="24"/>
  <c r="H198" i="24"/>
  <c r="CE267" i="24"/>
  <c r="H267" i="24"/>
  <c r="AM267" i="24"/>
  <c r="H146" i="24"/>
  <c r="CF146" i="24"/>
  <c r="CE146" i="24"/>
  <c r="AM146" i="24"/>
  <c r="AM100" i="24"/>
  <c r="CE100" i="24"/>
  <c r="CF100" i="24"/>
  <c r="H100" i="24"/>
  <c r="K100" i="24"/>
  <c r="I100" i="24"/>
  <c r="H314" i="24"/>
  <c r="CF314" i="24"/>
  <c r="AM314" i="24"/>
  <c r="CE314" i="24"/>
  <c r="I314" i="24"/>
  <c r="H186" i="24"/>
  <c r="AM186" i="24"/>
  <c r="H99" i="24"/>
  <c r="AM99" i="24"/>
  <c r="CF99" i="24"/>
  <c r="K99" i="24"/>
  <c r="CE99" i="24"/>
  <c r="I99" i="24"/>
  <c r="CF125" i="24"/>
  <c r="CE125" i="24"/>
  <c r="AM125" i="24"/>
  <c r="H125" i="24"/>
  <c r="CE39" i="24"/>
  <c r="K39" i="24"/>
  <c r="AM39" i="24"/>
  <c r="H39" i="24"/>
  <c r="CF39" i="24"/>
  <c r="H296" i="24"/>
  <c r="AM296" i="24"/>
  <c r="CE296" i="24"/>
  <c r="CF296" i="24"/>
  <c r="AM75" i="24"/>
  <c r="K75" i="24"/>
  <c r="H75" i="24"/>
  <c r="CE75" i="24"/>
  <c r="CF75" i="24"/>
  <c r="CF38" i="24"/>
  <c r="CE38" i="24"/>
  <c r="K38" i="24"/>
  <c r="H38" i="24"/>
  <c r="AM38" i="24"/>
  <c r="I38" i="24"/>
  <c r="CF259" i="24"/>
  <c r="AM259" i="24"/>
  <c r="H259" i="24"/>
  <c r="CE259" i="24"/>
  <c r="I259" i="24"/>
  <c r="K259" i="24" s="1"/>
  <c r="AM261" i="24"/>
  <c r="H261" i="24"/>
  <c r="CE261" i="24"/>
  <c r="CF261" i="24"/>
  <c r="K74" i="24"/>
  <c r="AM74" i="24"/>
  <c r="H74" i="24"/>
  <c r="H277" i="24"/>
  <c r="CF277" i="24"/>
  <c r="AM277" i="24"/>
  <c r="I277" i="24"/>
  <c r="AL53" i="25"/>
  <c r="CC53" i="25"/>
  <c r="CE53" i="25"/>
  <c r="CF53" i="25"/>
  <c r="H53" i="25"/>
  <c r="J53" i="25"/>
  <c r="L53" i="25" s="1"/>
  <c r="CE11" i="25"/>
  <c r="AL11" i="25"/>
  <c r="CC11" i="25"/>
  <c r="H11" i="25"/>
  <c r="CF11" i="25"/>
  <c r="CC279" i="25"/>
  <c r="H279" i="25"/>
  <c r="AL279" i="25"/>
  <c r="I195" i="25"/>
  <c r="BN195" i="25"/>
  <c r="H157" i="25"/>
  <c r="AL157" i="25"/>
  <c r="CC157" i="25"/>
  <c r="AL163" i="25"/>
  <c r="CC163" i="25"/>
  <c r="H163" i="25"/>
  <c r="H190" i="25"/>
  <c r="AL190" i="25"/>
  <c r="CC190" i="25"/>
  <c r="I53" i="25"/>
  <c r="AM241" i="24"/>
  <c r="H241" i="24"/>
  <c r="CE241" i="24"/>
  <c r="I241" i="24"/>
  <c r="AL137" i="25"/>
  <c r="CC137" i="25"/>
  <c r="H137" i="25"/>
  <c r="BO170" i="24"/>
  <c r="BR170" i="24" s="1"/>
  <c r="BO190" i="24"/>
  <c r="BR190" i="24" s="1"/>
  <c r="J145" i="25"/>
  <c r="J165" i="25"/>
  <c r="L165" i="25" s="1"/>
  <c r="BO102" i="24"/>
  <c r="BR102" i="24" s="1"/>
  <c r="BO142" i="24"/>
  <c r="BR142" i="24" s="1"/>
  <c r="BM26" i="25"/>
  <c r="BQ26" i="25" s="1"/>
  <c r="BM11" i="25"/>
  <c r="BO179" i="24"/>
  <c r="BR179" i="24" s="1"/>
  <c r="BO143" i="24"/>
  <c r="BR143" i="24" s="1"/>
  <c r="J246" i="25"/>
  <c r="N246" i="25" s="1"/>
  <c r="I71" i="24"/>
  <c r="J210" i="25"/>
  <c r="L210" i="25" s="1"/>
  <c r="I74" i="24"/>
  <c r="I39" i="24"/>
  <c r="I179" i="24"/>
  <c r="I206" i="24"/>
  <c r="K206" i="24" s="1"/>
  <c r="I146" i="24"/>
  <c r="K146" i="24" s="1"/>
  <c r="I198" i="24"/>
  <c r="K198" i="24" s="1"/>
  <c r="I176" i="24"/>
  <c r="I12" i="24"/>
  <c r="CE247" i="24"/>
  <c r="CF247" i="24"/>
  <c r="H247" i="24"/>
  <c r="AM247" i="24"/>
  <c r="I247" i="24"/>
  <c r="K247" i="24" s="1"/>
  <c r="CF20" i="24"/>
  <c r="K20" i="24"/>
  <c r="H20" i="24"/>
  <c r="AM20" i="24"/>
  <c r="CE20" i="24"/>
  <c r="CF195" i="24"/>
  <c r="AM195" i="24"/>
  <c r="CE195" i="24"/>
  <c r="H195" i="24"/>
  <c r="AL177" i="25"/>
  <c r="H177" i="25"/>
  <c r="CC177" i="25"/>
  <c r="CE295" i="24"/>
  <c r="CF295" i="24"/>
  <c r="AM295" i="24"/>
  <c r="H295" i="24"/>
  <c r="I295" i="24"/>
  <c r="K295" i="24" s="1"/>
  <c r="AM122" i="24"/>
  <c r="CF122" i="24"/>
  <c r="CE122" i="24"/>
  <c r="H122" i="24"/>
  <c r="CF255" i="24"/>
  <c r="AM255" i="24"/>
  <c r="CE255" i="24"/>
  <c r="H255" i="24"/>
  <c r="I255" i="24"/>
  <c r="K255" i="24" s="1"/>
  <c r="AM19" i="24"/>
  <c r="CF19" i="24"/>
  <c r="CE19" i="24"/>
  <c r="K19" i="24"/>
  <c r="H19" i="24"/>
  <c r="I19" i="24"/>
  <c r="M19" i="24" s="1"/>
  <c r="H307" i="24"/>
  <c r="AM307" i="24"/>
  <c r="I307" i="24"/>
  <c r="M307" i="24" s="1"/>
  <c r="N307" i="24" s="1"/>
  <c r="AM167" i="24"/>
  <c r="CF167" i="24"/>
  <c r="CE167" i="24"/>
  <c r="H167" i="24"/>
  <c r="I167" i="24"/>
  <c r="K167" i="24" s="1"/>
  <c r="CC70" i="25"/>
  <c r="AL70" i="25"/>
  <c r="CE70" i="25"/>
  <c r="CF70" i="25"/>
  <c r="H70" i="25"/>
  <c r="CE37" i="25"/>
  <c r="CF37" i="25"/>
  <c r="CC37" i="25"/>
  <c r="AL37" i="25"/>
  <c r="H37" i="25"/>
  <c r="J37" i="25"/>
  <c r="BN152" i="25"/>
  <c r="BQ152" i="25" s="1"/>
  <c r="I152" i="25"/>
  <c r="CC182" i="25"/>
  <c r="H182" i="25"/>
  <c r="AL182" i="25"/>
  <c r="CE276" i="24"/>
  <c r="AM276" i="24"/>
  <c r="H276" i="24"/>
  <c r="I276" i="24"/>
  <c r="K276" i="24" s="1"/>
  <c r="CF280" i="24"/>
  <c r="H280" i="24"/>
  <c r="AM280" i="24"/>
  <c r="CE280" i="24"/>
  <c r="I280" i="24"/>
  <c r="AM191" i="24"/>
  <c r="K191" i="24"/>
  <c r="H191" i="24"/>
  <c r="CE133" i="24"/>
  <c r="H133" i="24"/>
  <c r="CF133" i="24"/>
  <c r="AM133" i="24"/>
  <c r="I133" i="24"/>
  <c r="M133" i="24" s="1"/>
  <c r="N133" i="24" s="1"/>
  <c r="CE251" i="24"/>
  <c r="CF251" i="24"/>
  <c r="H251" i="24"/>
  <c r="AM251" i="24"/>
  <c r="I251" i="24"/>
  <c r="K251" i="24" s="1"/>
  <c r="CF192" i="24"/>
  <c r="CE192" i="24"/>
  <c r="AM192" i="24"/>
  <c r="H192" i="24"/>
  <c r="I192" i="24"/>
  <c r="H129" i="24"/>
  <c r="CF129" i="24"/>
  <c r="CE129" i="24"/>
  <c r="AM129" i="24"/>
  <c r="K6" i="24"/>
  <c r="H6" i="24"/>
  <c r="AM6" i="24"/>
  <c r="CF6" i="24"/>
  <c r="CE6" i="24"/>
  <c r="I6" i="24"/>
  <c r="M6" i="24" s="1"/>
  <c r="N6" i="24" s="1"/>
  <c r="M21" i="24"/>
  <c r="N21" i="24" s="1"/>
  <c r="CF190" i="24"/>
  <c r="CE190" i="24"/>
  <c r="K190" i="24"/>
  <c r="AM190" i="24"/>
  <c r="H190" i="24"/>
  <c r="BO232" i="24"/>
  <c r="BR232" i="24" s="1"/>
  <c r="BN279" i="25"/>
  <c r="BQ279" i="25" s="1"/>
  <c r="CF58" i="25"/>
  <c r="CE58" i="25"/>
  <c r="AL58" i="25"/>
  <c r="CC58" i="25"/>
  <c r="H58" i="25"/>
  <c r="J58" i="25"/>
  <c r="H241" i="25"/>
  <c r="AL241" i="25"/>
  <c r="CC241" i="25"/>
  <c r="H9" i="25"/>
  <c r="CE9" i="25"/>
  <c r="CF9" i="25"/>
  <c r="AL9" i="25"/>
  <c r="CC9" i="25"/>
  <c r="H125" i="25"/>
  <c r="AL125" i="25"/>
  <c r="CC125" i="25"/>
  <c r="I29" i="25"/>
  <c r="M22" i="24"/>
  <c r="N22" i="24" s="1"/>
  <c r="H223" i="24"/>
  <c r="CE223" i="24"/>
  <c r="CF223" i="24"/>
  <c r="AM223" i="24"/>
  <c r="I223" i="24"/>
  <c r="K223" i="24" s="1"/>
  <c r="CE111" i="24"/>
  <c r="AM111" i="24"/>
  <c r="H111" i="24"/>
  <c r="J315" i="25"/>
  <c r="L315" i="25" s="1"/>
  <c r="J44" i="25"/>
  <c r="L44" i="25" s="1"/>
  <c r="BO286" i="24"/>
  <c r="BR286" i="24" s="1"/>
  <c r="I285" i="24"/>
  <c r="K285" i="24" s="1"/>
  <c r="J182" i="25"/>
  <c r="J279" i="25"/>
  <c r="J241" i="25"/>
  <c r="BM23" i="25"/>
  <c r="BQ23" i="25" s="1"/>
  <c r="J157" i="25"/>
  <c r="J81" i="25"/>
  <c r="L81" i="25" s="1"/>
  <c r="BO99" i="24"/>
  <c r="BR99" i="24" s="1"/>
  <c r="BM160" i="25"/>
  <c r="BQ160" i="25" s="1"/>
  <c r="J105" i="25"/>
  <c r="L105" i="25" s="1"/>
  <c r="J176" i="25"/>
  <c r="BO132" i="24"/>
  <c r="BR132" i="24" s="1"/>
  <c r="BM105" i="25"/>
  <c r="BO103" i="24"/>
  <c r="BR103" i="24" s="1"/>
  <c r="BO133" i="24"/>
  <c r="BR133" i="24" s="1"/>
  <c r="BO38" i="24"/>
  <c r="BR38" i="24" s="1"/>
  <c r="BM300" i="25"/>
  <c r="BQ300" i="25" s="1"/>
  <c r="BM194" i="25"/>
  <c r="I118" i="24"/>
  <c r="K118" i="24" s="1"/>
  <c r="BM9" i="25"/>
  <c r="BO191" i="24"/>
  <c r="BR191" i="24" s="1"/>
  <c r="BO276" i="24"/>
  <c r="BR276" i="24" s="1"/>
  <c r="BO266" i="24"/>
  <c r="BR266" i="24" s="1"/>
  <c r="BO224" i="24"/>
  <c r="BR224" i="24" s="1"/>
  <c r="I129" i="24"/>
  <c r="M129" i="24" s="1"/>
  <c r="N129" i="24" s="1"/>
  <c r="AL73" i="25"/>
  <c r="H73" i="25"/>
  <c r="CF73" i="25"/>
  <c r="CE73" i="25"/>
  <c r="CC73" i="25"/>
  <c r="AL246" i="25"/>
  <c r="CC246" i="25"/>
  <c r="H246" i="25"/>
  <c r="BN120" i="25"/>
  <c r="BN194" i="25"/>
  <c r="BN132" i="25"/>
  <c r="BN208" i="25"/>
  <c r="H116" i="24"/>
  <c r="CF116" i="24"/>
  <c r="AM116" i="24"/>
  <c r="CE116" i="24"/>
  <c r="CE256" i="24"/>
  <c r="H256" i="24"/>
  <c r="CF256" i="24"/>
  <c r="AM256" i="24"/>
  <c r="I256" i="24"/>
  <c r="AM205" i="24"/>
  <c r="H205" i="24"/>
  <c r="CC232" i="25"/>
  <c r="H232" i="25"/>
  <c r="AL232" i="25"/>
  <c r="J232" i="25"/>
  <c r="N232" i="25" s="1"/>
  <c r="CC180" i="25"/>
  <c r="H180" i="25"/>
  <c r="AL180" i="25"/>
  <c r="CC210" i="25"/>
  <c r="AL210" i="25"/>
  <c r="H210" i="25"/>
  <c r="CE163" i="24"/>
  <c r="CF163" i="24"/>
  <c r="H163" i="24"/>
  <c r="AM163" i="24"/>
  <c r="I163" i="24"/>
  <c r="M163" i="24" s="1"/>
  <c r="N163" i="24" s="1"/>
  <c r="CF302" i="24"/>
  <c r="AM302" i="24"/>
  <c r="H302" i="24"/>
  <c r="I302" i="24"/>
  <c r="K302" i="24" s="1"/>
  <c r="K50" i="24"/>
  <c r="H50" i="24"/>
  <c r="AM50" i="24"/>
  <c r="CF50" i="24"/>
  <c r="CE50" i="24"/>
  <c r="AM162" i="24"/>
  <c r="K162" i="24"/>
  <c r="H162" i="24"/>
  <c r="H56" i="24"/>
  <c r="AM56" i="24"/>
  <c r="K56" i="24"/>
  <c r="H21" i="24"/>
  <c r="CF21" i="24"/>
  <c r="CE21" i="24"/>
  <c r="K21" i="24"/>
  <c r="AM21" i="24"/>
  <c r="BM177" i="25"/>
  <c r="BM266" i="25"/>
  <c r="BQ266" i="25" s="1"/>
  <c r="AL226" i="25"/>
  <c r="CC226" i="25"/>
  <c r="H226" i="25"/>
  <c r="BN157" i="25"/>
  <c r="BN163" i="25"/>
  <c r="CC162" i="25"/>
  <c r="AL162" i="25"/>
  <c r="H162" i="25"/>
  <c r="BN190" i="25"/>
  <c r="AL16" i="25"/>
  <c r="CC16" i="25"/>
  <c r="H16" i="25"/>
  <c r="CF16" i="25"/>
  <c r="CE16" i="25"/>
  <c r="AL71" i="25"/>
  <c r="H71" i="25"/>
  <c r="CC71" i="25"/>
  <c r="H42" i="25"/>
  <c r="AL42" i="25"/>
  <c r="CC42" i="25"/>
  <c r="CE42" i="25"/>
  <c r="CF42" i="25"/>
  <c r="K96" i="24"/>
  <c r="H96" i="24"/>
  <c r="AM96" i="24"/>
  <c r="CF96" i="24"/>
  <c r="CE96" i="24"/>
  <c r="CF97" i="24"/>
  <c r="CE97" i="24"/>
  <c r="AM97" i="24"/>
  <c r="H97" i="24"/>
  <c r="K97" i="24"/>
  <c r="CF145" i="24"/>
  <c r="CE145" i="24"/>
  <c r="AM145" i="24"/>
  <c r="H145" i="24"/>
  <c r="I145" i="24"/>
  <c r="H138" i="24"/>
  <c r="CF138" i="24"/>
  <c r="AM138" i="24"/>
  <c r="CE138" i="24"/>
  <c r="AL122" i="25"/>
  <c r="CC122" i="25"/>
  <c r="H122" i="25"/>
  <c r="J122" i="25"/>
  <c r="L122" i="25" s="1"/>
  <c r="BM73" i="25"/>
  <c r="BO21" i="24"/>
  <c r="BR21" i="24" s="1"/>
  <c r="BO39" i="24"/>
  <c r="BR39" i="24" s="1"/>
  <c r="BO225" i="24"/>
  <c r="BR225" i="24" s="1"/>
  <c r="BM195" i="25"/>
  <c r="BO295" i="24"/>
  <c r="BR295" i="24" s="1"/>
  <c r="BO309" i="24"/>
  <c r="BR309" i="24" s="1"/>
  <c r="J300" i="25"/>
  <c r="L300" i="25" s="1"/>
  <c r="J245" i="25"/>
  <c r="J137" i="25"/>
  <c r="J6" i="25"/>
  <c r="N6" i="25" s="1"/>
  <c r="T6" i="25" s="1"/>
  <c r="BM52" i="25"/>
  <c r="BO186" i="24"/>
  <c r="BR186" i="24" s="1"/>
  <c r="BO176" i="24"/>
  <c r="BR176" i="24" s="1"/>
  <c r="J23" i="25"/>
  <c r="L23" i="25" s="1"/>
  <c r="I20" i="24"/>
  <c r="I111" i="24"/>
  <c r="J163" i="25"/>
  <c r="J180" i="25"/>
  <c r="J132" i="25"/>
  <c r="J74" i="25"/>
  <c r="L74" i="25" s="1"/>
  <c r="I195" i="24"/>
  <c r="K195" i="24" s="1"/>
  <c r="J206" i="25"/>
  <c r="N206" i="25" s="1"/>
  <c r="H291" i="24"/>
  <c r="AM291" i="24"/>
  <c r="CE291" i="24"/>
  <c r="I291" i="24"/>
  <c r="K291" i="24" s="1"/>
  <c r="H169" i="25"/>
  <c r="AL169" i="25"/>
  <c r="CC169" i="25"/>
  <c r="CC143" i="25"/>
  <c r="AL143" i="25"/>
  <c r="H143" i="25"/>
  <c r="AL193" i="25"/>
  <c r="H193" i="25"/>
  <c r="CC193" i="25"/>
  <c r="CC168" i="25"/>
  <c r="AL168" i="25"/>
  <c r="H168" i="25"/>
  <c r="AL151" i="25"/>
  <c r="H151" i="25"/>
  <c r="CC151" i="25"/>
  <c r="CC141" i="25"/>
  <c r="H141" i="25"/>
  <c r="AL141" i="25"/>
  <c r="AL185" i="25"/>
  <c r="CC185" i="25"/>
  <c r="H185" i="25"/>
  <c r="AL159" i="25"/>
  <c r="CC159" i="25"/>
  <c r="H159" i="25"/>
  <c r="BN174" i="25"/>
  <c r="I174" i="25"/>
  <c r="CF265" i="24"/>
  <c r="AM265" i="24"/>
  <c r="H265" i="24"/>
  <c r="CE265" i="24"/>
  <c r="I265" i="24"/>
  <c r="CF273" i="24"/>
  <c r="AM273" i="24"/>
  <c r="CE273" i="24"/>
  <c r="H273" i="24"/>
  <c r="I273" i="24"/>
  <c r="H202" i="24"/>
  <c r="AM202" i="24"/>
  <c r="AM37" i="24"/>
  <c r="CF37" i="24"/>
  <c r="CE37" i="24"/>
  <c r="K37" i="24"/>
  <c r="H37" i="24"/>
  <c r="CF123" i="24"/>
  <c r="CE123" i="24"/>
  <c r="AM123" i="24"/>
  <c r="H123" i="24"/>
  <c r="I123" i="24"/>
  <c r="AL269" i="25"/>
  <c r="CC269" i="25"/>
  <c r="H269" i="25"/>
  <c r="J269" i="25"/>
  <c r="L269" i="25" s="1"/>
  <c r="K142" i="24"/>
  <c r="H142" i="24"/>
  <c r="CF142" i="24"/>
  <c r="CE142" i="24"/>
  <c r="AM142" i="24"/>
  <c r="H18" i="24"/>
  <c r="AM18" i="24"/>
  <c r="CF18" i="24"/>
  <c r="CE18" i="24"/>
  <c r="K18" i="24"/>
  <c r="I18" i="24"/>
  <c r="M18" i="24" s="1"/>
  <c r="N18" i="24" s="1"/>
  <c r="CF228" i="24"/>
  <c r="H228" i="24"/>
  <c r="AM228" i="24"/>
  <c r="CE228" i="24"/>
  <c r="M7" i="24"/>
  <c r="N7" i="24" s="1"/>
  <c r="CE24" i="24"/>
  <c r="CF24" i="24"/>
  <c r="K24" i="24"/>
  <c r="AM24" i="24"/>
  <c r="H24" i="24"/>
  <c r="I24" i="24"/>
  <c r="M24" i="24" s="1"/>
  <c r="N24" i="24" s="1"/>
  <c r="M190" i="24"/>
  <c r="N190" i="24" s="1"/>
  <c r="H147" i="24"/>
  <c r="CE147" i="24"/>
  <c r="AM147" i="24"/>
  <c r="CF147" i="24"/>
  <c r="H257" i="25"/>
  <c r="AL257" i="25"/>
  <c r="CC257" i="25"/>
  <c r="AL270" i="25"/>
  <c r="CC270" i="25"/>
  <c r="H270" i="25"/>
  <c r="BN129" i="25"/>
  <c r="I129" i="25"/>
  <c r="I111" i="25"/>
  <c r="BN111" i="25"/>
  <c r="BQ111" i="25" s="1"/>
  <c r="AL83" i="25"/>
  <c r="H83" i="25"/>
  <c r="CC83" i="25"/>
  <c r="CF83" i="25"/>
  <c r="CE83" i="25"/>
  <c r="J83" i="25"/>
  <c r="L83" i="25" s="1"/>
  <c r="I105" i="25"/>
  <c r="BN105" i="25"/>
  <c r="I145" i="25"/>
  <c r="BN145" i="25"/>
  <c r="AM14" i="24"/>
  <c r="CF14" i="24"/>
  <c r="CE14" i="24"/>
  <c r="K14" i="24"/>
  <c r="H14" i="24"/>
  <c r="I14" i="24"/>
  <c r="M14" i="24" s="1"/>
  <c r="N14" i="24" s="1"/>
  <c r="AM101" i="24"/>
  <c r="K101" i="24"/>
  <c r="H101" i="24"/>
  <c r="CF252" i="24"/>
  <c r="H252" i="24"/>
  <c r="AM252" i="24"/>
  <c r="CE252" i="24"/>
  <c r="K62" i="24"/>
  <c r="H62" i="24"/>
  <c r="AM62" i="24"/>
  <c r="CE62" i="24"/>
  <c r="CF62" i="24"/>
  <c r="I62" i="24"/>
  <c r="M62" i="24" s="1"/>
  <c r="N62" i="24" s="1"/>
  <c r="CE160" i="24"/>
  <c r="AM160" i="24"/>
  <c r="H160" i="24"/>
  <c r="CF160" i="24"/>
  <c r="CE272" i="24"/>
  <c r="AM272" i="24"/>
  <c r="H272" i="24"/>
  <c r="I272" i="24"/>
  <c r="M272" i="24" s="1"/>
  <c r="N272" i="24" s="1"/>
  <c r="CC93" i="25"/>
  <c r="AL93" i="25"/>
  <c r="CF93" i="25"/>
  <c r="H93" i="25"/>
  <c r="CE93" i="25"/>
  <c r="J93" i="25"/>
  <c r="L93" i="25" s="1"/>
  <c r="AL192" i="25"/>
  <c r="CC192" i="25"/>
  <c r="H192" i="25"/>
  <c r="J192" i="25"/>
  <c r="N192" i="25" s="1"/>
  <c r="T192" i="25" s="1"/>
  <c r="J194" i="25"/>
  <c r="L194" i="25" s="1"/>
  <c r="J193" i="25"/>
  <c r="L193" i="25" s="1"/>
  <c r="BO272" i="24"/>
  <c r="BR272" i="24" s="1"/>
  <c r="BM157" i="25"/>
  <c r="BM132" i="25"/>
  <c r="BO68" i="24"/>
  <c r="BR68" i="24" s="1"/>
  <c r="BO41" i="24"/>
  <c r="BR41" i="24" s="1"/>
  <c r="BO205" i="24"/>
  <c r="BR205" i="24" s="1"/>
  <c r="BM210" i="25"/>
  <c r="BM125" i="25"/>
  <c r="BQ125" i="25" s="1"/>
  <c r="BM190" i="25"/>
  <c r="BO96" i="24"/>
  <c r="BR96" i="24" s="1"/>
  <c r="BO101" i="24"/>
  <c r="BR101" i="24" s="1"/>
  <c r="BO255" i="24"/>
  <c r="BR255" i="24" s="1"/>
  <c r="BO314" i="24"/>
  <c r="BR314" i="24" s="1"/>
  <c r="BO20" i="24"/>
  <c r="BR20" i="24" s="1"/>
  <c r="BO62" i="24"/>
  <c r="BR62" i="24" s="1"/>
  <c r="BM42" i="25"/>
  <c r="BO138" i="24"/>
  <c r="BR138" i="24" s="1"/>
  <c r="BO117" i="24"/>
  <c r="BR117" i="24" s="1"/>
  <c r="I50" i="24"/>
  <c r="BM163" i="25"/>
  <c r="BO282" i="24"/>
  <c r="BR282" i="24" s="1"/>
  <c r="BO122" i="24"/>
  <c r="BR122" i="24" s="1"/>
  <c r="BM192" i="25"/>
  <c r="BO123" i="24"/>
  <c r="BR123" i="24" s="1"/>
  <c r="BO267" i="24"/>
  <c r="BR267" i="24" s="1"/>
  <c r="BM145" i="25"/>
  <c r="BO7" i="24"/>
  <c r="BR7" i="24" s="1"/>
  <c r="I75" i="24"/>
  <c r="I122" i="24"/>
  <c r="K122" i="24" s="1"/>
  <c r="I261" i="24"/>
  <c r="I228" i="24"/>
  <c r="K228" i="24" s="1"/>
  <c r="I138" i="24"/>
  <c r="K138" i="24" s="1"/>
  <c r="I296" i="24"/>
  <c r="I267" i="24"/>
  <c r="I202" i="24"/>
  <c r="I252" i="24"/>
  <c r="K252" i="24" s="1"/>
  <c r="H160" i="25"/>
  <c r="AL160" i="25"/>
  <c r="CC160" i="25"/>
  <c r="J160" i="25"/>
  <c r="H206" i="25"/>
  <c r="CC206" i="25"/>
  <c r="AL206" i="25"/>
  <c r="H203" i="25"/>
  <c r="AL203" i="25"/>
  <c r="CC203" i="25"/>
  <c r="AL77" i="25"/>
  <c r="CE77" i="25"/>
  <c r="CF77" i="25"/>
  <c r="CC77" i="25"/>
  <c r="H77" i="25"/>
  <c r="CC26" i="25"/>
  <c r="AL26" i="25"/>
  <c r="CE26" i="25"/>
  <c r="CF26" i="25"/>
  <c r="H26" i="25"/>
  <c r="J26" i="25"/>
  <c r="L26" i="25" s="1"/>
  <c r="H13" i="25"/>
  <c r="CC13" i="25"/>
  <c r="AL13" i="25"/>
  <c r="CE13" i="25"/>
  <c r="CF13" i="25"/>
  <c r="AM82" i="24"/>
  <c r="CF82" i="24"/>
  <c r="CE82" i="24"/>
  <c r="K82" i="24"/>
  <c r="H82" i="24"/>
  <c r="I82" i="24"/>
  <c r="CE285" i="24"/>
  <c r="H285" i="24"/>
  <c r="AM285" i="24"/>
  <c r="AM170" i="24"/>
  <c r="H170" i="24"/>
  <c r="AM83" i="24"/>
  <c r="CF83" i="24"/>
  <c r="CE83" i="24"/>
  <c r="H83" i="24"/>
  <c r="K83" i="24"/>
  <c r="I83" i="24"/>
  <c r="M83" i="24" s="1"/>
  <c r="BN188" i="25"/>
  <c r="I188" i="25"/>
  <c r="H6" i="25"/>
  <c r="CC6" i="25"/>
  <c r="CF6" i="25"/>
  <c r="CE6" i="25"/>
  <c r="AL6" i="25"/>
  <c r="AL165" i="25"/>
  <c r="H165" i="25"/>
  <c r="CC165" i="25"/>
  <c r="AM68" i="24"/>
  <c r="CE68" i="24"/>
  <c r="CF68" i="24"/>
  <c r="K68" i="24"/>
  <c r="H68" i="24"/>
  <c r="I68" i="24"/>
  <c r="M68" i="24" s="1"/>
  <c r="N68" i="24" s="1"/>
  <c r="AM33" i="24"/>
  <c r="CE33" i="24"/>
  <c r="CF33" i="24"/>
  <c r="K33" i="24"/>
  <c r="H33" i="24"/>
  <c r="CE177" i="24"/>
  <c r="H177" i="24"/>
  <c r="AM177" i="24"/>
  <c r="CF177" i="24"/>
  <c r="I177" i="24"/>
  <c r="K177" i="24" s="1"/>
  <c r="AM54" i="24"/>
  <c r="CE54" i="24"/>
  <c r="CF54" i="24"/>
  <c r="K54" i="24"/>
  <c r="H54" i="24"/>
  <c r="I54" i="24"/>
  <c r="CE243" i="24"/>
  <c r="CF243" i="24"/>
  <c r="H243" i="24"/>
  <c r="AM243" i="24"/>
  <c r="H194" i="24"/>
  <c r="CE194" i="24"/>
  <c r="AM194" i="24"/>
  <c r="CF194" i="24"/>
  <c r="CF7" i="24"/>
  <c r="K7" i="24"/>
  <c r="AM7" i="24"/>
  <c r="H7" i="24"/>
  <c r="CE7" i="24"/>
  <c r="AM71" i="24"/>
  <c r="CE71" i="24"/>
  <c r="CF71" i="24"/>
  <c r="K71" i="24"/>
  <c r="H71" i="24"/>
  <c r="CF130" i="24"/>
  <c r="CE130" i="24"/>
  <c r="AM130" i="24"/>
  <c r="H130" i="24"/>
  <c r="AM268" i="24"/>
  <c r="CE268" i="24"/>
  <c r="H268" i="24"/>
  <c r="I268" i="24"/>
  <c r="M268" i="24" s="1"/>
  <c r="N268" i="24" s="1"/>
  <c r="BO202" i="24"/>
  <c r="BR202" i="24" s="1"/>
  <c r="H52" i="25"/>
  <c r="AL52" i="25"/>
  <c r="CC52" i="25"/>
  <c r="H23" i="25"/>
  <c r="CC23" i="25"/>
  <c r="AL23" i="25"/>
  <c r="CF23" i="25"/>
  <c r="CE23" i="25"/>
  <c r="BN11" i="25"/>
  <c r="I11" i="25"/>
  <c r="H195" i="25"/>
  <c r="AL195" i="25"/>
  <c r="CC195" i="25"/>
  <c r="J195" i="25"/>
  <c r="CC202" i="25"/>
  <c r="AL202" i="25"/>
  <c r="H202" i="25"/>
  <c r="J202" i="25"/>
  <c r="L202" i="25" s="1"/>
  <c r="H164" i="25"/>
  <c r="AL164" i="25"/>
  <c r="CC164" i="25"/>
  <c r="J164" i="25"/>
  <c r="L164" i="25" s="1"/>
  <c r="H186" i="25"/>
  <c r="AL186" i="25"/>
  <c r="CC186" i="25"/>
  <c r="H8" i="25"/>
  <c r="CC8" i="25"/>
  <c r="AL8" i="25"/>
  <c r="CF8" i="25"/>
  <c r="CE8" i="25"/>
  <c r="J8" i="25"/>
  <c r="L8" i="25" s="1"/>
  <c r="H237" i="25"/>
  <c r="AL237" i="25"/>
  <c r="CC237" i="25"/>
  <c r="CE233" i="24"/>
  <c r="CF233" i="24"/>
  <c r="H233" i="24"/>
  <c r="K233" i="24"/>
  <c r="AM233" i="24"/>
  <c r="CE250" i="24"/>
  <c r="CF250" i="24"/>
  <c r="H250" i="24"/>
  <c r="AM250" i="24"/>
  <c r="I250" i="24"/>
  <c r="AM114" i="24"/>
  <c r="H114" i="24"/>
  <c r="CF114" i="24"/>
  <c r="CE114" i="24"/>
  <c r="I114" i="24"/>
  <c r="CF67" i="24"/>
  <c r="CE67" i="24"/>
  <c r="AM67" i="24"/>
  <c r="K67" i="24"/>
  <c r="H67" i="24"/>
  <c r="I67" i="24"/>
  <c r="CF158" i="24"/>
  <c r="CE158" i="24"/>
  <c r="AM158" i="24"/>
  <c r="H158" i="24"/>
  <c r="I158" i="24"/>
  <c r="K158" i="24" s="1"/>
  <c r="BN80" i="25"/>
  <c r="BQ80" i="25" s="1"/>
  <c r="I80" i="25"/>
  <c r="BN137" i="25"/>
  <c r="I137" i="25"/>
  <c r="BO265" i="24"/>
  <c r="BR265" i="24" s="1"/>
  <c r="BM269" i="25"/>
  <c r="BQ269" i="25" s="1"/>
  <c r="BO130" i="24"/>
  <c r="BR130" i="24" s="1"/>
  <c r="BO97" i="24"/>
  <c r="BR97" i="24" s="1"/>
  <c r="BO111" i="24"/>
  <c r="BR111" i="24" s="1"/>
  <c r="BM208" i="25"/>
  <c r="BO261" i="24"/>
  <c r="BR261" i="24" s="1"/>
  <c r="J270" i="25"/>
  <c r="I170" i="24"/>
  <c r="K170" i="24" s="1"/>
  <c r="J266" i="25"/>
  <c r="J16" i="25"/>
  <c r="BM226" i="25"/>
  <c r="BO118" i="24"/>
  <c r="BR118" i="24" s="1"/>
  <c r="J185" i="25"/>
  <c r="J186" i="25"/>
  <c r="N186" i="25" s="1"/>
  <c r="J52" i="25"/>
  <c r="J70" i="25"/>
  <c r="I96" i="24"/>
  <c r="J151" i="25"/>
  <c r="I224" i="24"/>
  <c r="I125" i="24"/>
  <c r="K125" i="24" s="1"/>
  <c r="I33" i="24"/>
  <c r="J159" i="25"/>
  <c r="I143" i="24"/>
  <c r="H185" i="24"/>
  <c r="AM185" i="24"/>
  <c r="I185" i="24"/>
  <c r="K185" i="24" s="1"/>
  <c r="CE283" i="24"/>
  <c r="CF283" i="24"/>
  <c r="H283" i="24"/>
  <c r="AM283" i="24"/>
  <c r="I283" i="24"/>
  <c r="H257" i="24"/>
  <c r="K257" i="24"/>
  <c r="AM257" i="24"/>
  <c r="CE257" i="24"/>
  <c r="U257" i="24"/>
  <c r="H168" i="24"/>
  <c r="AM168" i="24"/>
  <c r="AL81" i="25"/>
  <c r="CC81" i="25"/>
  <c r="H81" i="25"/>
  <c r="H44" i="25"/>
  <c r="CE44" i="25"/>
  <c r="CC44" i="25"/>
  <c r="AL44" i="25"/>
  <c r="CF44" i="25"/>
  <c r="AL239" i="25"/>
  <c r="CC239" i="25"/>
  <c r="H239" i="25"/>
  <c r="J239" i="25"/>
  <c r="L239" i="25" s="1"/>
  <c r="H315" i="25"/>
  <c r="AL315" i="25"/>
  <c r="CC315" i="25"/>
  <c r="H280" i="25"/>
  <c r="AL280" i="25"/>
  <c r="CC280" i="25"/>
  <c r="K119" i="24"/>
  <c r="CE119" i="24"/>
  <c r="H119" i="24"/>
  <c r="AM119" i="24"/>
  <c r="CF119" i="24"/>
  <c r="CF152" i="24"/>
  <c r="CE152" i="24"/>
  <c r="AM152" i="24"/>
  <c r="H152" i="24"/>
  <c r="K70" i="24"/>
  <c r="AM70" i="24"/>
  <c r="H70" i="24"/>
  <c r="CE70" i="24"/>
  <c r="CF70" i="24"/>
  <c r="I70" i="24"/>
  <c r="AL189" i="25"/>
  <c r="CC189" i="25"/>
  <c r="H189" i="25"/>
  <c r="BN37" i="25"/>
  <c r="I37" i="25"/>
  <c r="CC152" i="25"/>
  <c r="AL152" i="25"/>
  <c r="H152" i="25"/>
  <c r="J152" i="25"/>
  <c r="L152" i="25" s="1"/>
  <c r="BN182" i="25"/>
  <c r="I182" i="25"/>
  <c r="M142" i="24"/>
  <c r="AM46" i="24"/>
  <c r="CE46" i="24"/>
  <c r="CF46" i="24"/>
  <c r="K46" i="24"/>
  <c r="H46" i="24"/>
  <c r="I46" i="24"/>
  <c r="H36" i="24"/>
  <c r="CE36" i="24"/>
  <c r="CF36" i="24"/>
  <c r="AM36" i="24"/>
  <c r="K36" i="24"/>
  <c r="I36" i="24"/>
  <c r="AM45" i="24"/>
  <c r="K45" i="24"/>
  <c r="H45" i="24"/>
  <c r="CE281" i="24"/>
  <c r="CF281" i="24"/>
  <c r="AM281" i="24"/>
  <c r="H281" i="24"/>
  <c r="I281" i="24"/>
  <c r="K94" i="24"/>
  <c r="AM94" i="24"/>
  <c r="H94" i="24"/>
  <c r="CF94" i="24"/>
  <c r="CE94" i="24"/>
  <c r="I94" i="24"/>
  <c r="CE206" i="24"/>
  <c r="AM206" i="24"/>
  <c r="CF206" i="24"/>
  <c r="H206" i="24"/>
  <c r="CE132" i="24"/>
  <c r="AM132" i="24"/>
  <c r="CF132" i="24"/>
  <c r="K132" i="24"/>
  <c r="H132" i="24"/>
  <c r="CE274" i="24"/>
  <c r="H274" i="24"/>
  <c r="AM274" i="24"/>
  <c r="I274" i="24"/>
  <c r="K274" i="24" s="1"/>
  <c r="BO268" i="24"/>
  <c r="BR268" i="24" s="1"/>
  <c r="CF29" i="25"/>
  <c r="H29" i="25"/>
  <c r="AL29" i="25"/>
  <c r="CC29" i="25"/>
  <c r="CE29" i="25"/>
  <c r="BN9" i="25"/>
  <c r="I9" i="25"/>
  <c r="AL38" i="25"/>
  <c r="CC38" i="25"/>
  <c r="CE38" i="25"/>
  <c r="CF38" i="25"/>
  <c r="H38" i="25"/>
  <c r="J38" i="25"/>
  <c r="L38" i="25" s="1"/>
  <c r="CF94" i="25"/>
  <c r="AL94" i="25"/>
  <c r="CC94" i="25"/>
  <c r="L94" i="25"/>
  <c r="CE94" i="25"/>
  <c r="H94" i="25"/>
  <c r="CE298" i="24"/>
  <c r="CF298" i="24"/>
  <c r="H298" i="24"/>
  <c r="AM298" i="24"/>
  <c r="I298" i="24"/>
  <c r="K298" i="24" s="1"/>
  <c r="H165" i="24"/>
  <c r="CF165" i="24"/>
  <c r="CE165" i="24"/>
  <c r="AM165" i="24"/>
  <c r="I165" i="24"/>
  <c r="M101" i="24"/>
  <c r="CE292" i="24"/>
  <c r="AM292" i="24"/>
  <c r="H292" i="24"/>
  <c r="K292" i="24"/>
  <c r="BN17" i="25"/>
  <c r="BQ17" i="25" s="1"/>
  <c r="I17" i="25"/>
  <c r="I243" i="24"/>
  <c r="BM280" i="25"/>
  <c r="BQ280" i="25" s="1"/>
  <c r="BM122" i="25"/>
  <c r="BM165" i="25"/>
  <c r="BM164" i="25"/>
  <c r="BQ164" i="25" s="1"/>
  <c r="BO165" i="24"/>
  <c r="BR165" i="24" s="1"/>
  <c r="BM185" i="25"/>
  <c r="BQ185" i="25" s="1"/>
  <c r="I186" i="24"/>
  <c r="J42" i="25"/>
  <c r="J141" i="25"/>
  <c r="J9" i="25"/>
  <c r="BO46" i="24"/>
  <c r="BR46" i="24" s="1"/>
  <c r="BM189" i="25"/>
  <c r="BM70" i="25"/>
  <c r="BQ70" i="25" s="1"/>
  <c r="BO18" i="24"/>
  <c r="BR18" i="24" s="1"/>
  <c r="BO56" i="24"/>
  <c r="BR56" i="24" s="1"/>
  <c r="BM241" i="25"/>
  <c r="BQ241" i="25" s="1"/>
  <c r="BO146" i="24"/>
  <c r="BR146" i="24" s="1"/>
  <c r="BM237" i="25"/>
  <c r="BQ237" i="25" s="1"/>
  <c r="BO71" i="24"/>
  <c r="BR71" i="24" s="1"/>
  <c r="BO37" i="24"/>
  <c r="BR37" i="24" s="1"/>
  <c r="BM188" i="25"/>
  <c r="BM176" i="25"/>
  <c r="J226" i="25"/>
  <c r="I152" i="24"/>
  <c r="K152" i="24" s="1"/>
  <c r="I37" i="24"/>
  <c r="J162" i="25"/>
  <c r="BO54" i="24"/>
  <c r="BR54" i="24" s="1"/>
  <c r="BM245" i="25"/>
  <c r="BM74" i="25"/>
  <c r="BO63" i="24"/>
  <c r="BR63" i="24" s="1"/>
  <c r="BO273" i="24"/>
  <c r="BR273" i="24" s="1"/>
  <c r="BM182" i="25"/>
  <c r="BM236" i="25"/>
  <c r="BQ236" i="25" s="1"/>
  <c r="BM137" i="25"/>
  <c r="BO252" i="24"/>
  <c r="BR252" i="24" s="1"/>
  <c r="BO257" i="24"/>
  <c r="BR257" i="24" s="1"/>
  <c r="BO22" i="24"/>
  <c r="BR22" i="24" s="1"/>
  <c r="BO296" i="24"/>
  <c r="BR296" i="24" s="1"/>
  <c r="BM77" i="25"/>
  <c r="BO304" i="24"/>
  <c r="BR304" i="24" s="1"/>
  <c r="BM37" i="25"/>
  <c r="BO114" i="24"/>
  <c r="BR114" i="24" s="1"/>
  <c r="BO292" i="24"/>
  <c r="BR292" i="24" s="1"/>
  <c r="BO67" i="24"/>
  <c r="BR67" i="24" s="1"/>
  <c r="BM120" i="25"/>
  <c r="I168" i="24"/>
  <c r="I56" i="24"/>
  <c r="J168" i="25"/>
  <c r="K160" i="24" l="1"/>
  <c r="BK160" i="24"/>
  <c r="L29" i="25"/>
  <c r="BI257" i="25"/>
  <c r="BQ177" i="25"/>
  <c r="N94" i="25"/>
  <c r="T94" i="25" s="1"/>
  <c r="U94" i="25" s="1"/>
  <c r="BQ104" i="25"/>
  <c r="M55" i="24"/>
  <c r="N55" i="24" s="1"/>
  <c r="AP55" i="24" s="1"/>
  <c r="BQ270" i="25"/>
  <c r="S55" i="24"/>
  <c r="T55" i="24" s="1"/>
  <c r="L257" i="25"/>
  <c r="BQ161" i="25"/>
  <c r="N262" i="25"/>
  <c r="T262" i="25" s="1"/>
  <c r="M160" i="24"/>
  <c r="N160" i="24" s="1"/>
  <c r="P160" i="24" s="1"/>
  <c r="U45" i="24"/>
  <c r="V45" i="24" s="1"/>
  <c r="BQ225" i="25"/>
  <c r="BK41" i="24"/>
  <c r="BQ42" i="25"/>
  <c r="BQ308" i="25"/>
  <c r="S41" i="24"/>
  <c r="T41" i="24" s="1"/>
  <c r="J41" i="24" s="1"/>
  <c r="BQ242" i="25"/>
  <c r="U233" i="24"/>
  <c r="V233" i="24" s="1"/>
  <c r="N155" i="25"/>
  <c r="T155" i="25" s="1"/>
  <c r="BQ297" i="25"/>
  <c r="N11" i="25"/>
  <c r="T11" i="25" s="1"/>
  <c r="U11" i="25" s="1"/>
  <c r="BI280" i="25"/>
  <c r="BI11" i="25"/>
  <c r="N280" i="25"/>
  <c r="T280" i="25" s="1"/>
  <c r="U280" i="25" s="1"/>
  <c r="U119" i="24"/>
  <c r="V119" i="24" s="1"/>
  <c r="U162" i="24"/>
  <c r="V162" i="24" s="1"/>
  <c r="K130" i="24"/>
  <c r="U132" i="24"/>
  <c r="V132" i="24" s="1"/>
  <c r="BQ162" i="25"/>
  <c r="BQ37" i="25"/>
  <c r="K116" i="24"/>
  <c r="M289" i="24"/>
  <c r="N289" i="24" s="1"/>
  <c r="P289" i="24" s="1"/>
  <c r="BI143" i="25"/>
  <c r="L177" i="25"/>
  <c r="L143" i="25"/>
  <c r="BQ88" i="25"/>
  <c r="N189" i="25"/>
  <c r="T189" i="25" s="1"/>
  <c r="U189" i="25" s="1"/>
  <c r="BI237" i="25"/>
  <c r="N29" i="25"/>
  <c r="T29" i="25" s="1"/>
  <c r="U29" i="25" s="1"/>
  <c r="N237" i="25"/>
  <c r="T237" i="25" s="1"/>
  <c r="U237" i="25" s="1"/>
  <c r="BQ263" i="25"/>
  <c r="BQ189" i="25"/>
  <c r="L258" i="25"/>
  <c r="N258" i="25"/>
  <c r="P258" i="25" s="1"/>
  <c r="BQ73" i="25"/>
  <c r="T13" i="25"/>
  <c r="U13" i="25" s="1"/>
  <c r="BQ74" i="25"/>
  <c r="BQ148" i="25"/>
  <c r="BQ302" i="25"/>
  <c r="BQ255" i="25"/>
  <c r="BI293" i="25"/>
  <c r="BQ265" i="25"/>
  <c r="M223" i="24"/>
  <c r="U223" i="24" s="1"/>
  <c r="BQ219" i="25"/>
  <c r="L87" i="25"/>
  <c r="K225" i="24"/>
  <c r="BQ55" i="25"/>
  <c r="L293" i="25"/>
  <c r="BQ120" i="25"/>
  <c r="BQ167" i="25"/>
  <c r="BQ187" i="25"/>
  <c r="BQ293" i="25"/>
  <c r="T143" i="25"/>
  <c r="U143" i="25" s="1"/>
  <c r="BI177" i="25"/>
  <c r="BQ117" i="25"/>
  <c r="BQ96" i="25"/>
  <c r="N179" i="25"/>
  <c r="P179" i="25" s="1"/>
  <c r="BQ220" i="25"/>
  <c r="BQ275" i="25"/>
  <c r="N265" i="25"/>
  <c r="T265" i="25" s="1"/>
  <c r="U265" i="25" s="1"/>
  <c r="BQ313" i="25"/>
  <c r="L265" i="25"/>
  <c r="L179" i="25"/>
  <c r="BQ165" i="25"/>
  <c r="BQ137" i="25"/>
  <c r="K147" i="24"/>
  <c r="BQ122" i="25"/>
  <c r="U294" i="24"/>
  <c r="V294" i="24" s="1"/>
  <c r="BQ66" i="25"/>
  <c r="BI129" i="25"/>
  <c r="L206" i="25"/>
  <c r="U191" i="24"/>
  <c r="V191" i="24" s="1"/>
  <c r="BQ294" i="25"/>
  <c r="BQ103" i="25"/>
  <c r="O143" i="25"/>
  <c r="AO143" i="25" s="1"/>
  <c r="N97" i="25"/>
  <c r="T97" i="25" s="1"/>
  <c r="BQ77" i="25"/>
  <c r="L189" i="25"/>
  <c r="BQ306" i="25"/>
  <c r="L110" i="25"/>
  <c r="BQ112" i="25"/>
  <c r="N28" i="25"/>
  <c r="T28" i="25" s="1"/>
  <c r="U28" i="25" s="1"/>
  <c r="T110" i="25"/>
  <c r="U110" i="25" s="1"/>
  <c r="P110" i="25"/>
  <c r="BZ110" i="25" s="1"/>
  <c r="BQ176" i="25"/>
  <c r="BQ13" i="25"/>
  <c r="L129" i="25"/>
  <c r="BQ158" i="25"/>
  <c r="L28" i="25"/>
  <c r="N291" i="25"/>
  <c r="T291" i="25" s="1"/>
  <c r="BQ95" i="25"/>
  <c r="N77" i="25"/>
  <c r="L77" i="25"/>
  <c r="BQ94" i="25"/>
  <c r="BQ283" i="25"/>
  <c r="BQ311" i="25"/>
  <c r="BQ134" i="25"/>
  <c r="BQ292" i="25"/>
  <c r="BI110" i="25"/>
  <c r="BQ245" i="25"/>
  <c r="BQ304" i="25"/>
  <c r="P129" i="25"/>
  <c r="BZ129" i="25" s="1"/>
  <c r="T129" i="25"/>
  <c r="U129" i="25" s="1"/>
  <c r="BQ52" i="25"/>
  <c r="BQ47" i="25"/>
  <c r="BQ133" i="25"/>
  <c r="BQ76" i="25"/>
  <c r="BQ121" i="25"/>
  <c r="K188" i="24"/>
  <c r="M251" i="24"/>
  <c r="N251" i="24" s="1"/>
  <c r="AP251" i="24" s="1"/>
  <c r="M137" i="24"/>
  <c r="N137" i="24" s="1"/>
  <c r="Q137" i="24" s="1"/>
  <c r="K127" i="24"/>
  <c r="BQ100" i="25"/>
  <c r="BQ195" i="25"/>
  <c r="BQ156" i="25"/>
  <c r="M167" i="24"/>
  <c r="N167" i="24" s="1"/>
  <c r="P167" i="24" s="1"/>
  <c r="BQ192" i="25"/>
  <c r="BQ178" i="25"/>
  <c r="BQ99" i="25"/>
  <c r="BQ267" i="25"/>
  <c r="BQ157" i="25"/>
  <c r="BQ150" i="25"/>
  <c r="BQ181" i="25"/>
  <c r="BQ305" i="25"/>
  <c r="BQ226" i="25"/>
  <c r="N104" i="25"/>
  <c r="T104" i="25" s="1"/>
  <c r="U104" i="25" s="1"/>
  <c r="BI131" i="25"/>
  <c r="N154" i="25"/>
  <c r="P154" i="25" s="1"/>
  <c r="BQ238" i="25"/>
  <c r="L173" i="25"/>
  <c r="BQ307" i="25"/>
  <c r="BQ147" i="25"/>
  <c r="T131" i="25"/>
  <c r="U131" i="25" s="1"/>
  <c r="BQ210" i="25"/>
  <c r="BQ198" i="25"/>
  <c r="L131" i="25"/>
  <c r="BQ199" i="25"/>
  <c r="BQ12" i="25"/>
  <c r="U264" i="24"/>
  <c r="V264" i="24" s="1"/>
  <c r="L199" i="25"/>
  <c r="BQ145" i="25"/>
  <c r="BQ190" i="25"/>
  <c r="N41" i="24"/>
  <c r="AP41" i="24" s="1"/>
  <c r="U41" i="24"/>
  <c r="V41" i="24" s="1"/>
  <c r="BQ194" i="25"/>
  <c r="K200" i="24"/>
  <c r="K193" i="24"/>
  <c r="K237" i="24"/>
  <c r="K306" i="24"/>
  <c r="K313" i="24"/>
  <c r="M77" i="24"/>
  <c r="N77" i="24" s="1"/>
  <c r="AP77" i="24" s="1"/>
  <c r="N96" i="25"/>
  <c r="T96" i="25" s="1"/>
  <c r="U96" i="25" s="1"/>
  <c r="K248" i="24"/>
  <c r="U225" i="24"/>
  <c r="V225" i="24" s="1"/>
  <c r="K279" i="24"/>
  <c r="K234" i="24"/>
  <c r="BQ182" i="25"/>
  <c r="L6" i="25"/>
  <c r="M285" i="24"/>
  <c r="N285" i="24" s="1"/>
  <c r="AP285" i="24" s="1"/>
  <c r="K205" i="24"/>
  <c r="K307" i="24"/>
  <c r="BQ71" i="25"/>
  <c r="K182" i="24"/>
  <c r="L167" i="25"/>
  <c r="BQ254" i="25"/>
  <c r="K246" i="24"/>
  <c r="M84" i="24"/>
  <c r="N84" i="24" s="1"/>
  <c r="Q84" i="24" s="1"/>
  <c r="R84" i="24" s="1"/>
  <c r="BQ235" i="25"/>
  <c r="K227" i="24"/>
  <c r="BQ268" i="25"/>
  <c r="U236" i="24"/>
  <c r="V236" i="24" s="1"/>
  <c r="K303" i="24"/>
  <c r="M134" i="24"/>
  <c r="N134" i="24" s="1"/>
  <c r="AP134" i="24" s="1"/>
  <c r="U88" i="24"/>
  <c r="V88" i="24" s="1"/>
  <c r="BI104" i="25"/>
  <c r="K272" i="24"/>
  <c r="K226" i="24"/>
  <c r="K310" i="24"/>
  <c r="BQ209" i="25"/>
  <c r="BQ27" i="25"/>
  <c r="BQ287" i="25"/>
  <c r="L71" i="25"/>
  <c r="T232" i="25"/>
  <c r="U232" i="25" s="1"/>
  <c r="BQ276" i="25"/>
  <c r="BQ188" i="25"/>
  <c r="M252" i="24"/>
  <c r="N252" i="24" s="1"/>
  <c r="P252" i="24" s="1"/>
  <c r="K290" i="24"/>
  <c r="L13" i="25"/>
  <c r="BQ175" i="25"/>
  <c r="BQ173" i="25"/>
  <c r="M246" i="24"/>
  <c r="N246" i="24" s="1"/>
  <c r="AP246" i="24" s="1"/>
  <c r="M286" i="24"/>
  <c r="N286" i="24" s="1"/>
  <c r="U292" i="24"/>
  <c r="V292" i="24" s="1"/>
  <c r="U7" i="24"/>
  <c r="V7" i="24" s="1"/>
  <c r="M276" i="24"/>
  <c r="N276" i="24" s="1"/>
  <c r="AP276" i="24" s="1"/>
  <c r="M157" i="24"/>
  <c r="N157" i="24" s="1"/>
  <c r="AP157" i="24" s="1"/>
  <c r="K218" i="24"/>
  <c r="N59" i="25"/>
  <c r="T59" i="25" s="1"/>
  <c r="BQ248" i="25"/>
  <c r="BQ142" i="25"/>
  <c r="L306" i="25"/>
  <c r="BQ86" i="25"/>
  <c r="L161" i="25"/>
  <c r="BQ249" i="25"/>
  <c r="BQ113" i="25"/>
  <c r="BQ131" i="25"/>
  <c r="T255" i="25"/>
  <c r="U255" i="25" s="1"/>
  <c r="L32" i="25"/>
  <c r="L95" i="25"/>
  <c r="T296" i="25"/>
  <c r="U296" i="25" s="1"/>
  <c r="L273" i="25"/>
  <c r="BQ208" i="25"/>
  <c r="L198" i="25"/>
  <c r="BQ65" i="25"/>
  <c r="BQ286" i="25"/>
  <c r="L14" i="25"/>
  <c r="L114" i="25"/>
  <c r="BQ251" i="25"/>
  <c r="L147" i="25"/>
  <c r="L229" i="25"/>
  <c r="BQ28" i="25"/>
  <c r="L248" i="25"/>
  <c r="BQ271" i="25"/>
  <c r="L276" i="25"/>
  <c r="L247" i="25"/>
  <c r="L158" i="25"/>
  <c r="BQ36" i="25"/>
  <c r="L261" i="25"/>
  <c r="L186" i="25"/>
  <c r="L292" i="25"/>
  <c r="L148" i="25"/>
  <c r="BQ101" i="25"/>
  <c r="L113" i="25"/>
  <c r="L255" i="25"/>
  <c r="L243" i="25"/>
  <c r="L240" i="25"/>
  <c r="BQ75" i="25"/>
  <c r="T186" i="25"/>
  <c r="U186" i="25" s="1"/>
  <c r="L192" i="25"/>
  <c r="L283" i="25"/>
  <c r="U192" i="25"/>
  <c r="Q6" i="24"/>
  <c r="R6" i="24" s="1"/>
  <c r="P6" i="24"/>
  <c r="U257" i="25"/>
  <c r="BK165" i="24"/>
  <c r="S165" i="24"/>
  <c r="T165" i="24" s="1"/>
  <c r="M165" i="24"/>
  <c r="N165" i="24" s="1"/>
  <c r="AP165" i="24" s="1"/>
  <c r="BK33" i="24"/>
  <c r="S33" i="24"/>
  <c r="T33" i="24" s="1"/>
  <c r="M33" i="24"/>
  <c r="N33" i="24" s="1"/>
  <c r="AP33" i="24" s="1"/>
  <c r="BI162" i="25"/>
  <c r="N162" i="25"/>
  <c r="T162" i="25" s="1"/>
  <c r="BI9" i="25"/>
  <c r="N9" i="25"/>
  <c r="T9" i="25" s="1"/>
  <c r="L9" i="25"/>
  <c r="AP45" i="24"/>
  <c r="AH239" i="25"/>
  <c r="BK224" i="24"/>
  <c r="S224" i="24"/>
  <c r="T224" i="24" s="1"/>
  <c r="K224" i="24"/>
  <c r="AP233" i="24"/>
  <c r="U18" i="24"/>
  <c r="BK111" i="24"/>
  <c r="S111" i="24"/>
  <c r="T111" i="24" s="1"/>
  <c r="K111" i="24"/>
  <c r="M111" i="24"/>
  <c r="N111" i="24" s="1"/>
  <c r="AP111" i="24" s="1"/>
  <c r="BI245" i="25"/>
  <c r="N245" i="25"/>
  <c r="T245" i="25" s="1"/>
  <c r="L245" i="25"/>
  <c r="N97" i="24"/>
  <c r="AP97" i="24" s="1"/>
  <c r="U97" i="24"/>
  <c r="P82" i="25"/>
  <c r="O82" i="25"/>
  <c r="P27" i="24"/>
  <c r="Q27" i="24"/>
  <c r="R27" i="24" s="1"/>
  <c r="P148" i="25"/>
  <c r="O148" i="25"/>
  <c r="T148" i="25"/>
  <c r="P147" i="25"/>
  <c r="O147" i="25"/>
  <c r="AO147" i="25" s="1"/>
  <c r="P240" i="25"/>
  <c r="O240" i="25"/>
  <c r="AO240" i="25" s="1"/>
  <c r="T240" i="25"/>
  <c r="P113" i="25"/>
  <c r="O113" i="25"/>
  <c r="AO113" i="25" s="1"/>
  <c r="T113" i="25"/>
  <c r="P237" i="24"/>
  <c r="Q237" i="24"/>
  <c r="N303" i="24"/>
  <c r="AP303" i="24" s="1"/>
  <c r="U303" i="24"/>
  <c r="P267" i="25"/>
  <c r="O267" i="25"/>
  <c r="AO267" i="25" s="1"/>
  <c r="N90" i="24"/>
  <c r="AP90" i="24" s="1"/>
  <c r="U90" i="24"/>
  <c r="N79" i="24"/>
  <c r="AP79" i="24" s="1"/>
  <c r="U79" i="24"/>
  <c r="BK281" i="24"/>
  <c r="S281" i="24"/>
  <c r="T281" i="24" s="1"/>
  <c r="M281" i="24"/>
  <c r="N281" i="24" s="1"/>
  <c r="AP281" i="24" s="1"/>
  <c r="AH81" i="25"/>
  <c r="BI168" i="25"/>
  <c r="N168" i="25"/>
  <c r="T168" i="25" s="1"/>
  <c r="L168" i="25"/>
  <c r="U147" i="24"/>
  <c r="BK37" i="24"/>
  <c r="S37" i="24"/>
  <c r="T37" i="24" s="1"/>
  <c r="M37" i="24"/>
  <c r="N37" i="24" s="1"/>
  <c r="AP37" i="24" s="1"/>
  <c r="BI141" i="25"/>
  <c r="N141" i="25"/>
  <c r="T141" i="25" s="1"/>
  <c r="L141" i="25"/>
  <c r="AH38" i="25"/>
  <c r="BK94" i="24"/>
  <c r="S94" i="24"/>
  <c r="T94" i="24" s="1"/>
  <c r="M94" i="24"/>
  <c r="AH315" i="25"/>
  <c r="AH44" i="25"/>
  <c r="S283" i="24"/>
  <c r="T283" i="24" s="1"/>
  <c r="BK283" i="24"/>
  <c r="M283" i="24"/>
  <c r="N283" i="24" s="1"/>
  <c r="AP283" i="24" s="1"/>
  <c r="K283" i="24"/>
  <c r="BI151" i="25"/>
  <c r="N151" i="25"/>
  <c r="T151" i="25" s="1"/>
  <c r="L151" i="25"/>
  <c r="BI16" i="25"/>
  <c r="L16" i="25"/>
  <c r="N16" i="25"/>
  <c r="T16" i="25" s="1"/>
  <c r="AH8" i="25"/>
  <c r="N83" i="24"/>
  <c r="AP83" i="24" s="1"/>
  <c r="U83" i="24"/>
  <c r="BI160" i="25"/>
  <c r="N160" i="25"/>
  <c r="BK261" i="24"/>
  <c r="S261" i="24"/>
  <c r="T261" i="24" s="1"/>
  <c r="M261" i="24"/>
  <c r="N261" i="24" s="1"/>
  <c r="AP261" i="24" s="1"/>
  <c r="K261" i="24"/>
  <c r="U268" i="24"/>
  <c r="Q129" i="24"/>
  <c r="P129" i="24"/>
  <c r="M224" i="24"/>
  <c r="N224" i="24" s="1"/>
  <c r="AP224" i="24" s="1"/>
  <c r="N116" i="24"/>
  <c r="AP116" i="24" s="1"/>
  <c r="U116" i="24"/>
  <c r="N130" i="24"/>
  <c r="AP130" i="24" s="1"/>
  <c r="U130" i="24"/>
  <c r="P92" i="25"/>
  <c r="O92" i="25"/>
  <c r="T92" i="25"/>
  <c r="Q238" i="24"/>
  <c r="P238" i="24"/>
  <c r="N10" i="24"/>
  <c r="AP10" i="24" s="1"/>
  <c r="U10" i="24"/>
  <c r="P259" i="25"/>
  <c r="O259" i="25"/>
  <c r="T259" i="25"/>
  <c r="P89" i="25"/>
  <c r="O89" i="25"/>
  <c r="T89" i="25"/>
  <c r="N32" i="24"/>
  <c r="AP32" i="24" s="1"/>
  <c r="U32" i="24"/>
  <c r="P243" i="25"/>
  <c r="O243" i="25"/>
  <c r="AO243" i="25" s="1"/>
  <c r="T243" i="25"/>
  <c r="BK243" i="24"/>
  <c r="S243" i="24"/>
  <c r="T243" i="24" s="1"/>
  <c r="BK67" i="24"/>
  <c r="S67" i="24"/>
  <c r="T67" i="24" s="1"/>
  <c r="M67" i="24"/>
  <c r="N67" i="24" s="1"/>
  <c r="AP67" i="24" s="1"/>
  <c r="AP268" i="24"/>
  <c r="P192" i="25"/>
  <c r="O192" i="25"/>
  <c r="P307" i="24"/>
  <c r="Q307" i="24"/>
  <c r="P206" i="25"/>
  <c r="O206" i="25"/>
  <c r="T206" i="25"/>
  <c r="P246" i="25"/>
  <c r="O246" i="25"/>
  <c r="AO246" i="25" s="1"/>
  <c r="Q205" i="24"/>
  <c r="P205" i="24"/>
  <c r="P238" i="25"/>
  <c r="O238" i="25"/>
  <c r="AO238" i="25" s="1"/>
  <c r="T238" i="25"/>
  <c r="P292" i="25"/>
  <c r="O292" i="25"/>
  <c r="AO292" i="25" s="1"/>
  <c r="T292" i="25"/>
  <c r="N193" i="24"/>
  <c r="U193" i="24"/>
  <c r="P32" i="25"/>
  <c r="O32" i="25"/>
  <c r="AO32" i="25" s="1"/>
  <c r="T32" i="25"/>
  <c r="Q199" i="24"/>
  <c r="P199" i="24"/>
  <c r="P201" i="25"/>
  <c r="O201" i="25"/>
  <c r="AO201" i="25" s="1"/>
  <c r="T201" i="25"/>
  <c r="N248" i="24"/>
  <c r="AP248" i="24" s="1"/>
  <c r="U248" i="24"/>
  <c r="P95" i="25"/>
  <c r="O95" i="25"/>
  <c r="AO95" i="25" s="1"/>
  <c r="T95" i="25"/>
  <c r="BK56" i="24"/>
  <c r="S56" i="24"/>
  <c r="T56" i="24" s="1"/>
  <c r="M56" i="24"/>
  <c r="N56" i="24" s="1"/>
  <c r="BI42" i="25"/>
  <c r="N42" i="25"/>
  <c r="T42" i="25" s="1"/>
  <c r="L42" i="25"/>
  <c r="N142" i="24"/>
  <c r="AP142" i="24" s="1"/>
  <c r="U142" i="24"/>
  <c r="BK250" i="24"/>
  <c r="S250" i="24"/>
  <c r="T250" i="24" s="1"/>
  <c r="M250" i="24"/>
  <c r="N250" i="24" s="1"/>
  <c r="AP250" i="24" s="1"/>
  <c r="K165" i="24"/>
  <c r="AP132" i="24"/>
  <c r="AH189" i="25"/>
  <c r="BI70" i="25"/>
  <c r="L70" i="25"/>
  <c r="N70" i="25"/>
  <c r="BK170" i="24"/>
  <c r="S170" i="24"/>
  <c r="T170" i="24" s="1"/>
  <c r="M170" i="24"/>
  <c r="N170" i="24" s="1"/>
  <c r="BI8" i="25"/>
  <c r="N8" i="25"/>
  <c r="T8" i="25" s="1"/>
  <c r="BI164" i="25"/>
  <c r="N164" i="25"/>
  <c r="T164" i="25" s="1"/>
  <c r="BI202" i="25"/>
  <c r="N202" i="25"/>
  <c r="BI195" i="25"/>
  <c r="L195" i="25"/>
  <c r="N195" i="25"/>
  <c r="T195" i="25" s="1"/>
  <c r="AP7" i="24"/>
  <c r="K243" i="24"/>
  <c r="BK82" i="24"/>
  <c r="S82" i="24"/>
  <c r="T82" i="24" s="1"/>
  <c r="M82" i="24"/>
  <c r="N82" i="24" s="1"/>
  <c r="AP82" i="24" s="1"/>
  <c r="P163" i="24"/>
  <c r="Q163" i="24"/>
  <c r="BI81" i="25"/>
  <c r="N81" i="25"/>
  <c r="BI44" i="25"/>
  <c r="N44" i="25"/>
  <c r="AP191" i="24"/>
  <c r="P13" i="25"/>
  <c r="O13" i="25"/>
  <c r="AO13" i="25" s="1"/>
  <c r="O71" i="25"/>
  <c r="P71" i="25"/>
  <c r="T71" i="25"/>
  <c r="N200" i="24"/>
  <c r="U200" i="24"/>
  <c r="P306" i="25"/>
  <c r="O306" i="25"/>
  <c r="T306" i="25"/>
  <c r="N40" i="24"/>
  <c r="AP40" i="24" s="1"/>
  <c r="U40" i="24"/>
  <c r="P173" i="25"/>
  <c r="O173" i="25"/>
  <c r="AO173" i="25" s="1"/>
  <c r="T173" i="25"/>
  <c r="P31" i="25"/>
  <c r="O31" i="25"/>
  <c r="AO31" i="25" s="1"/>
  <c r="N227" i="24"/>
  <c r="AP227" i="24" s="1"/>
  <c r="U227" i="24"/>
  <c r="N218" i="24"/>
  <c r="AP218" i="24" s="1"/>
  <c r="U218" i="24"/>
  <c r="N310" i="24"/>
  <c r="U310" i="24"/>
  <c r="P314" i="25"/>
  <c r="O314" i="25"/>
  <c r="AO314" i="25" s="1"/>
  <c r="P47" i="24"/>
  <c r="Q47" i="24"/>
  <c r="R47" i="24" s="1"/>
  <c r="N120" i="24"/>
  <c r="AP120" i="24" s="1"/>
  <c r="U120" i="24"/>
  <c r="P270" i="24"/>
  <c r="Q270" i="24"/>
  <c r="P273" i="25"/>
  <c r="O273" i="25"/>
  <c r="AO273" i="25" s="1"/>
  <c r="T273" i="25"/>
  <c r="BK152" i="24"/>
  <c r="S152" i="24"/>
  <c r="T152" i="24" s="1"/>
  <c r="M152" i="24"/>
  <c r="N152" i="24" s="1"/>
  <c r="AP152" i="24" s="1"/>
  <c r="P147" i="24"/>
  <c r="Q147" i="24"/>
  <c r="BK70" i="24"/>
  <c r="S70" i="24"/>
  <c r="T70" i="24" s="1"/>
  <c r="M70" i="24"/>
  <c r="N70" i="24" s="1"/>
  <c r="AP70" i="24" s="1"/>
  <c r="BK186" i="24"/>
  <c r="S186" i="24"/>
  <c r="T186" i="24" s="1"/>
  <c r="M186" i="24"/>
  <c r="N186" i="24" s="1"/>
  <c r="K186" i="24"/>
  <c r="Q24" i="24"/>
  <c r="R24" i="24" s="1"/>
  <c r="P24" i="24"/>
  <c r="BK168" i="24"/>
  <c r="S168" i="24"/>
  <c r="T168" i="24" s="1"/>
  <c r="M168" i="24"/>
  <c r="N168" i="24" s="1"/>
  <c r="AP168" i="24" s="1"/>
  <c r="AP292" i="24"/>
  <c r="BK298" i="24"/>
  <c r="S298" i="24"/>
  <c r="T298" i="24" s="1"/>
  <c r="M298" i="24"/>
  <c r="AH94" i="25"/>
  <c r="BK274" i="24"/>
  <c r="S274" i="24"/>
  <c r="T274" i="24" s="1"/>
  <c r="M274" i="24"/>
  <c r="N274" i="24" s="1"/>
  <c r="K281" i="24"/>
  <c r="Q18" i="24"/>
  <c r="R18" i="24" s="1"/>
  <c r="P18" i="24"/>
  <c r="AP119" i="24"/>
  <c r="K168" i="24"/>
  <c r="BK143" i="24"/>
  <c r="S143" i="24"/>
  <c r="T143" i="24" s="1"/>
  <c r="M143" i="24"/>
  <c r="N143" i="24" s="1"/>
  <c r="AP143" i="24" s="1"/>
  <c r="K143" i="24"/>
  <c r="U6" i="25"/>
  <c r="BK202" i="24"/>
  <c r="S202" i="24"/>
  <c r="T202" i="24" s="1"/>
  <c r="M202" i="24"/>
  <c r="N202" i="24" s="1"/>
  <c r="K202" i="24"/>
  <c r="BK50" i="24"/>
  <c r="S50" i="24"/>
  <c r="T50" i="24" s="1"/>
  <c r="M50" i="24"/>
  <c r="N50" i="24" s="1"/>
  <c r="AP50" i="24" s="1"/>
  <c r="BQ132" i="25"/>
  <c r="U272" i="24"/>
  <c r="U14" i="24"/>
  <c r="AH257" i="25"/>
  <c r="AH141" i="25"/>
  <c r="AH168" i="25"/>
  <c r="P283" i="25"/>
  <c r="O283" i="25"/>
  <c r="AO283" i="25" s="1"/>
  <c r="T283" i="25"/>
  <c r="P167" i="25"/>
  <c r="O167" i="25"/>
  <c r="AO167" i="25" s="1"/>
  <c r="T167" i="25"/>
  <c r="N313" i="24"/>
  <c r="AP313" i="24" s="1"/>
  <c r="U313" i="24"/>
  <c r="P178" i="25"/>
  <c r="O178" i="25"/>
  <c r="AO178" i="25" s="1"/>
  <c r="T178" i="25"/>
  <c r="P248" i="25"/>
  <c r="O248" i="25"/>
  <c r="AO248" i="25" s="1"/>
  <c r="T248" i="25"/>
  <c r="P114" i="25"/>
  <c r="O114" i="25"/>
  <c r="AO114" i="25" s="1"/>
  <c r="T114" i="25"/>
  <c r="Q290" i="24"/>
  <c r="P290" i="24"/>
  <c r="P199" i="25"/>
  <c r="O199" i="25"/>
  <c r="AO199" i="25" s="1"/>
  <c r="AH186" i="25"/>
  <c r="BI226" i="25"/>
  <c r="L226" i="25"/>
  <c r="N226" i="25"/>
  <c r="Q14" i="24"/>
  <c r="R14" i="24" s="1"/>
  <c r="P14" i="24"/>
  <c r="AH29" i="25"/>
  <c r="BK185" i="24"/>
  <c r="S185" i="24"/>
  <c r="T185" i="24" s="1"/>
  <c r="M185" i="24"/>
  <c r="N185" i="24" s="1"/>
  <c r="N101" i="24"/>
  <c r="U101" i="24"/>
  <c r="BI38" i="25"/>
  <c r="N38" i="25"/>
  <c r="P257" i="25"/>
  <c r="O257" i="25"/>
  <c r="AO257" i="25" s="1"/>
  <c r="BK46" i="24"/>
  <c r="S46" i="24"/>
  <c r="T46" i="24" s="1"/>
  <c r="M46" i="24"/>
  <c r="AH152" i="25"/>
  <c r="BI239" i="25"/>
  <c r="N239" i="25"/>
  <c r="P186" i="25"/>
  <c r="O186" i="25"/>
  <c r="AO186" i="25" s="1"/>
  <c r="K250" i="24"/>
  <c r="L160" i="25"/>
  <c r="AH270" i="25"/>
  <c r="BK265" i="24"/>
  <c r="S265" i="24"/>
  <c r="T265" i="24" s="1"/>
  <c r="M265" i="24"/>
  <c r="N265" i="24" s="1"/>
  <c r="AP265" i="24" s="1"/>
  <c r="K265" i="24"/>
  <c r="BI132" i="25"/>
  <c r="N132" i="25"/>
  <c r="T132" i="25" s="1"/>
  <c r="L132" i="25"/>
  <c r="L162" i="25"/>
  <c r="N19" i="24"/>
  <c r="AP19" i="24" s="1"/>
  <c r="U19" i="24"/>
  <c r="P174" i="25"/>
  <c r="O174" i="25"/>
  <c r="AO174" i="25" s="1"/>
  <c r="P87" i="25"/>
  <c r="O87" i="25"/>
  <c r="T87" i="25"/>
  <c r="AH280" i="25"/>
  <c r="N185" i="25"/>
  <c r="T185" i="25" s="1"/>
  <c r="BI185" i="25"/>
  <c r="AH23" i="25"/>
  <c r="BK296" i="24"/>
  <c r="M296" i="24"/>
  <c r="N296" i="24" s="1"/>
  <c r="AP296" i="24" s="1"/>
  <c r="S296" i="24"/>
  <c r="T296" i="24" s="1"/>
  <c r="K296" i="24"/>
  <c r="U62" i="24"/>
  <c r="M243" i="24"/>
  <c r="N243" i="24" s="1"/>
  <c r="L185" i="25"/>
  <c r="AP163" i="24"/>
  <c r="BQ9" i="25"/>
  <c r="N241" i="25"/>
  <c r="T241" i="25" s="1"/>
  <c r="BI241" i="25"/>
  <c r="L241" i="25"/>
  <c r="BI58" i="25"/>
  <c r="N58" i="25"/>
  <c r="T58" i="25" s="1"/>
  <c r="L58" i="25"/>
  <c r="AH182" i="25"/>
  <c r="Q76" i="24"/>
  <c r="R76" i="24" s="1"/>
  <c r="P76" i="24"/>
  <c r="P25" i="24"/>
  <c r="Q25" i="24"/>
  <c r="R25" i="24" s="1"/>
  <c r="P276" i="25"/>
  <c r="O276" i="25"/>
  <c r="AO276" i="25" s="1"/>
  <c r="N226" i="24"/>
  <c r="AP226" i="24" s="1"/>
  <c r="U226" i="24"/>
  <c r="N287" i="24"/>
  <c r="AP287" i="24" s="1"/>
  <c r="U287" i="24"/>
  <c r="P247" i="25"/>
  <c r="O247" i="25"/>
  <c r="AO247" i="25" s="1"/>
  <c r="P161" i="25"/>
  <c r="O161" i="25"/>
  <c r="AO161" i="25" s="1"/>
  <c r="N306" i="24"/>
  <c r="U306" i="24"/>
  <c r="P158" i="25"/>
  <c r="O158" i="25"/>
  <c r="AO158" i="25" s="1"/>
  <c r="T158" i="25"/>
  <c r="P21" i="25"/>
  <c r="O21" i="25"/>
  <c r="AO21" i="25" s="1"/>
  <c r="T21" i="25"/>
  <c r="N180" i="24"/>
  <c r="U180" i="24"/>
  <c r="P282" i="25"/>
  <c r="O282" i="25"/>
  <c r="AO282" i="25" s="1"/>
  <c r="T282" i="25"/>
  <c r="Q312" i="24"/>
  <c r="P312" i="24"/>
  <c r="Q272" i="24"/>
  <c r="P272" i="24"/>
  <c r="BI152" i="25"/>
  <c r="N152" i="25"/>
  <c r="T152" i="25" s="1"/>
  <c r="Q62" i="24"/>
  <c r="R62" i="24" s="1"/>
  <c r="P62" i="24"/>
  <c r="BK36" i="24"/>
  <c r="S36" i="24"/>
  <c r="T36" i="24" s="1"/>
  <c r="M36" i="24"/>
  <c r="N36" i="24" s="1"/>
  <c r="AP36" i="24" s="1"/>
  <c r="V257" i="24"/>
  <c r="Q268" i="24"/>
  <c r="P268" i="24"/>
  <c r="BK138" i="24"/>
  <c r="S138" i="24"/>
  <c r="T138" i="24" s="1"/>
  <c r="M138" i="24"/>
  <c r="N138" i="24" s="1"/>
  <c r="AP138" i="24" s="1"/>
  <c r="BI193" i="25"/>
  <c r="N193" i="25"/>
  <c r="T193" i="25" s="1"/>
  <c r="BK273" i="24"/>
  <c r="S273" i="24"/>
  <c r="T273" i="24" s="1"/>
  <c r="M273" i="24"/>
  <c r="N273" i="24" s="1"/>
  <c r="AP273" i="24" s="1"/>
  <c r="K273" i="24"/>
  <c r="P232" i="25"/>
  <c r="O232" i="25"/>
  <c r="BK6" i="24"/>
  <c r="S6" i="24"/>
  <c r="T6" i="24" s="1"/>
  <c r="U6" i="24"/>
  <c r="N16" i="24"/>
  <c r="AP16" i="24" s="1"/>
  <c r="U16" i="24"/>
  <c r="N231" i="24"/>
  <c r="AP231" i="24" s="1"/>
  <c r="U231" i="24"/>
  <c r="P150" i="24"/>
  <c r="Q150" i="24"/>
  <c r="N279" i="24"/>
  <c r="AP279" i="24" s="1"/>
  <c r="U279" i="24"/>
  <c r="N234" i="24"/>
  <c r="AP234" i="24" s="1"/>
  <c r="U234" i="24"/>
  <c r="P271" i="24"/>
  <c r="Q271" i="24"/>
  <c r="P229" i="25"/>
  <c r="O229" i="25"/>
  <c r="AO229" i="25" s="1"/>
  <c r="T229" i="25"/>
  <c r="P14" i="25"/>
  <c r="O14" i="25"/>
  <c r="AO14" i="25" s="1"/>
  <c r="T14" i="25"/>
  <c r="P261" i="25"/>
  <c r="O261" i="25"/>
  <c r="T261" i="25"/>
  <c r="P30" i="25"/>
  <c r="O30" i="25"/>
  <c r="AO30" i="25" s="1"/>
  <c r="BK12" i="24"/>
  <c r="S12" i="24"/>
  <c r="T12" i="24" s="1"/>
  <c r="M12" i="24"/>
  <c r="N12" i="24" s="1"/>
  <c r="AP12" i="24" s="1"/>
  <c r="BK74" i="24"/>
  <c r="S74" i="24"/>
  <c r="T74" i="24" s="1"/>
  <c r="M74" i="24"/>
  <c r="N74" i="24" s="1"/>
  <c r="AP74" i="24" s="1"/>
  <c r="U190" i="25"/>
  <c r="AH208" i="25"/>
  <c r="AH74" i="25"/>
  <c r="BI203" i="25"/>
  <c r="BI30" i="25"/>
  <c r="L30" i="25"/>
  <c r="BI73" i="25"/>
  <c r="AH130" i="25"/>
  <c r="P182" i="24"/>
  <c r="Q182" i="24"/>
  <c r="AP182" i="24"/>
  <c r="BK269" i="24"/>
  <c r="S269" i="24"/>
  <c r="T269" i="24" s="1"/>
  <c r="M269" i="24"/>
  <c r="N269" i="24" s="1"/>
  <c r="AP269" i="24" s="1"/>
  <c r="BK245" i="24"/>
  <c r="S245" i="24"/>
  <c r="T245" i="24" s="1"/>
  <c r="BI175" i="25"/>
  <c r="AH238" i="25"/>
  <c r="BK222" i="24"/>
  <c r="S222" i="24"/>
  <c r="T222" i="24" s="1"/>
  <c r="Q119" i="24"/>
  <c r="P119" i="24"/>
  <c r="Q43" i="24"/>
  <c r="R43" i="24" s="1"/>
  <c r="P43" i="24"/>
  <c r="BK87" i="24"/>
  <c r="S87" i="24"/>
  <c r="T87" i="24" s="1"/>
  <c r="M87" i="24"/>
  <c r="N87" i="24" s="1"/>
  <c r="AP87" i="24" s="1"/>
  <c r="BI290" i="25"/>
  <c r="N290" i="25"/>
  <c r="T290" i="25" s="1"/>
  <c r="L290" i="25"/>
  <c r="BK284" i="24"/>
  <c r="S284" i="24"/>
  <c r="T284" i="24" s="1"/>
  <c r="BK81" i="24"/>
  <c r="S81" i="24"/>
  <c r="T81" i="24" s="1"/>
  <c r="BK208" i="24"/>
  <c r="S208" i="24"/>
  <c r="T208" i="24" s="1"/>
  <c r="BI263" i="25"/>
  <c r="AP294" i="24"/>
  <c r="BK297" i="24"/>
  <c r="S297" i="24"/>
  <c r="T297" i="24" s="1"/>
  <c r="K297" i="24"/>
  <c r="AH65" i="25"/>
  <c r="BK98" i="24"/>
  <c r="S98" i="24"/>
  <c r="T98" i="24" s="1"/>
  <c r="BI144" i="25"/>
  <c r="L144" i="25"/>
  <c r="P275" i="25"/>
  <c r="O275" i="25"/>
  <c r="AO275" i="25" s="1"/>
  <c r="BK35" i="24"/>
  <c r="S35" i="24"/>
  <c r="T35" i="24" s="1"/>
  <c r="BI102" i="25"/>
  <c r="BQ174" i="25"/>
  <c r="AH115" i="25"/>
  <c r="BK43" i="24"/>
  <c r="S43" i="24"/>
  <c r="T43" i="24" s="1"/>
  <c r="Q181" i="24"/>
  <c r="P181" i="24"/>
  <c r="AP271" i="24"/>
  <c r="BI101" i="25"/>
  <c r="BI289" i="25"/>
  <c r="BI50" i="25"/>
  <c r="N50" i="25"/>
  <c r="T50" i="25" s="1"/>
  <c r="BK136" i="24"/>
  <c r="S136" i="24"/>
  <c r="T136" i="24" s="1"/>
  <c r="BI47" i="25"/>
  <c r="AH258" i="25"/>
  <c r="AH134" i="25"/>
  <c r="AH207" i="25"/>
  <c r="BK258" i="24"/>
  <c r="S258" i="24"/>
  <c r="T258" i="24" s="1"/>
  <c r="M258" i="24"/>
  <c r="N258" i="24" s="1"/>
  <c r="AP258" i="24" s="1"/>
  <c r="BI35" i="25"/>
  <c r="N35" i="25"/>
  <c r="T35" i="25" s="1"/>
  <c r="BI91" i="25"/>
  <c r="N91" i="25"/>
  <c r="T91" i="25" s="1"/>
  <c r="AH57" i="25"/>
  <c r="BI24" i="25"/>
  <c r="N24" i="25"/>
  <c r="T24" i="25" s="1"/>
  <c r="L24" i="25"/>
  <c r="BI149" i="25"/>
  <c r="N149" i="25"/>
  <c r="T149" i="25" s="1"/>
  <c r="BK178" i="24"/>
  <c r="S178" i="24"/>
  <c r="T178" i="24" s="1"/>
  <c r="M178" i="24"/>
  <c r="N178" i="24" s="1"/>
  <c r="BI36" i="25"/>
  <c r="N36" i="25"/>
  <c r="T36" i="25" s="1"/>
  <c r="BI256" i="25"/>
  <c r="N256" i="25"/>
  <c r="T256" i="25" s="1"/>
  <c r="BI119" i="25"/>
  <c r="N119" i="25"/>
  <c r="T119" i="25" s="1"/>
  <c r="AH131" i="25"/>
  <c r="N61" i="25"/>
  <c r="T61" i="25" s="1"/>
  <c r="BI61" i="25"/>
  <c r="AH61" i="25"/>
  <c r="U293" i="25"/>
  <c r="AH146" i="25"/>
  <c r="AH294" i="25"/>
  <c r="AH264" i="25"/>
  <c r="BI88" i="25"/>
  <c r="BQ59" i="25"/>
  <c r="AH179" i="25"/>
  <c r="Q86" i="24"/>
  <c r="R86" i="24" s="1"/>
  <c r="P86" i="24"/>
  <c r="BK23" i="24"/>
  <c r="S23" i="24"/>
  <c r="T23" i="24" s="1"/>
  <c r="BK15" i="24"/>
  <c r="S15" i="24"/>
  <c r="T15" i="24" s="1"/>
  <c r="BK244" i="24"/>
  <c r="S244" i="24"/>
  <c r="T244" i="24" s="1"/>
  <c r="O22" i="24"/>
  <c r="BZ22" i="24" s="1"/>
  <c r="J22" i="24"/>
  <c r="BK201" i="24"/>
  <c r="S201" i="24"/>
  <c r="T201" i="24" s="1"/>
  <c r="T174" i="25"/>
  <c r="AH21" i="25"/>
  <c r="AH96" i="25"/>
  <c r="AH116" i="25"/>
  <c r="AH314" i="25"/>
  <c r="AH166" i="25"/>
  <c r="AH201" i="25"/>
  <c r="BK28" i="24"/>
  <c r="S28" i="24"/>
  <c r="T28" i="24" s="1"/>
  <c r="AP264" i="24"/>
  <c r="BQ261" i="25"/>
  <c r="BI172" i="25"/>
  <c r="BK172" i="24"/>
  <c r="S172" i="24"/>
  <c r="T172" i="24" s="1"/>
  <c r="AH272" i="25"/>
  <c r="AH89" i="25"/>
  <c r="AH110" i="25"/>
  <c r="BI305" i="25"/>
  <c r="BI275" i="25"/>
  <c r="AH275" i="25"/>
  <c r="AH262" i="25"/>
  <c r="BK254" i="24"/>
  <c r="S254" i="24"/>
  <c r="T254" i="24" s="1"/>
  <c r="BK230" i="24"/>
  <c r="S230" i="24"/>
  <c r="T230" i="24" s="1"/>
  <c r="BK171" i="24"/>
  <c r="S171" i="24"/>
  <c r="T171" i="24" s="1"/>
  <c r="K171" i="24"/>
  <c r="P204" i="25"/>
  <c r="O204" i="25"/>
  <c r="AO204" i="25" s="1"/>
  <c r="AH295" i="25"/>
  <c r="BK275" i="24"/>
  <c r="S275" i="24"/>
  <c r="T275" i="24" s="1"/>
  <c r="BI234" i="25"/>
  <c r="BK135" i="24"/>
  <c r="S135" i="24"/>
  <c r="T135" i="24" s="1"/>
  <c r="BI316" i="25"/>
  <c r="BI298" i="25"/>
  <c r="BI244" i="25"/>
  <c r="AH244" i="25"/>
  <c r="BK85" i="24"/>
  <c r="S85" i="24"/>
  <c r="T85" i="24" s="1"/>
  <c r="AH43" i="25"/>
  <c r="AH54" i="25"/>
  <c r="AH46" i="25"/>
  <c r="BI51" i="25"/>
  <c r="N51" i="25"/>
  <c r="T51" i="25" s="1"/>
  <c r="AH72" i="25"/>
  <c r="AH171" i="25"/>
  <c r="M81" i="24"/>
  <c r="N81" i="24" s="1"/>
  <c r="BQ301" i="25"/>
  <c r="BQ60" i="25"/>
  <c r="AH217" i="25"/>
  <c r="BI17" i="25"/>
  <c r="N17" i="25"/>
  <c r="T17" i="25" s="1"/>
  <c r="BK91" i="24"/>
  <c r="S91" i="24"/>
  <c r="T91" i="24" s="1"/>
  <c r="M91" i="24"/>
  <c r="N91" i="24" s="1"/>
  <c r="AP91" i="24" s="1"/>
  <c r="BI136" i="25"/>
  <c r="N136" i="25"/>
  <c r="T136" i="25" s="1"/>
  <c r="L136" i="25"/>
  <c r="BI128" i="25"/>
  <c r="N128" i="25"/>
  <c r="T128" i="25" s="1"/>
  <c r="L128" i="25"/>
  <c r="AH222" i="25"/>
  <c r="BK9" i="24"/>
  <c r="S9" i="24"/>
  <c r="T9" i="24" s="1"/>
  <c r="AH154" i="25"/>
  <c r="M15" i="24"/>
  <c r="N15" i="24" s="1"/>
  <c r="AP15" i="24" s="1"/>
  <c r="N75" i="25"/>
  <c r="M208" i="24"/>
  <c r="N208" i="24" s="1"/>
  <c r="M305" i="24"/>
  <c r="N305" i="24" s="1"/>
  <c r="AP305" i="24" s="1"/>
  <c r="M85" i="24"/>
  <c r="M34" i="24"/>
  <c r="N34" i="24" s="1"/>
  <c r="AP34" i="24" s="1"/>
  <c r="P131" i="25"/>
  <c r="O131" i="25"/>
  <c r="N144" i="25"/>
  <c r="T144" i="25" s="1"/>
  <c r="BI159" i="25"/>
  <c r="N159" i="25"/>
  <c r="BI52" i="25"/>
  <c r="BI270" i="25"/>
  <c r="N270" i="25"/>
  <c r="T270" i="25" s="1"/>
  <c r="BK114" i="24"/>
  <c r="S114" i="24"/>
  <c r="T114" i="24" s="1"/>
  <c r="M114" i="24"/>
  <c r="K114" i="24"/>
  <c r="BK68" i="24"/>
  <c r="S68" i="24"/>
  <c r="T68" i="24" s="1"/>
  <c r="AH13" i="25"/>
  <c r="AH160" i="25"/>
  <c r="BK122" i="24"/>
  <c r="S122" i="24"/>
  <c r="T122" i="24" s="1"/>
  <c r="AP18" i="24"/>
  <c r="P6" i="25"/>
  <c r="O6" i="25"/>
  <c r="AO6" i="25" s="1"/>
  <c r="AH193" i="25"/>
  <c r="BI180" i="25"/>
  <c r="BI6" i="25"/>
  <c r="AH122" i="25"/>
  <c r="AH16" i="25"/>
  <c r="AH162" i="25"/>
  <c r="AH226" i="25"/>
  <c r="BK302" i="24"/>
  <c r="S302" i="24"/>
  <c r="T302" i="24" s="1"/>
  <c r="M302" i="24"/>
  <c r="N302" i="24" s="1"/>
  <c r="BK256" i="24"/>
  <c r="S256" i="24"/>
  <c r="T256" i="24" s="1"/>
  <c r="AH246" i="25"/>
  <c r="AH73" i="25"/>
  <c r="BI157" i="25"/>
  <c r="N157" i="25"/>
  <c r="BI315" i="25"/>
  <c r="N315" i="25"/>
  <c r="AH125" i="25"/>
  <c r="AH241" i="25"/>
  <c r="AP6" i="24"/>
  <c r="K129" i="24"/>
  <c r="AP129" i="24"/>
  <c r="M118" i="24"/>
  <c r="N118" i="24" s="1"/>
  <c r="AP118" i="24" s="1"/>
  <c r="L182" i="25"/>
  <c r="BI37" i="25"/>
  <c r="AH70" i="25"/>
  <c r="BK307" i="24"/>
  <c r="S307" i="24"/>
  <c r="T307" i="24" s="1"/>
  <c r="BI210" i="25"/>
  <c r="K241" i="24"/>
  <c r="L157" i="25"/>
  <c r="AH53" i="25"/>
  <c r="BK99" i="24"/>
  <c r="S99" i="24"/>
  <c r="T99" i="24" s="1"/>
  <c r="M99" i="24"/>
  <c r="N99" i="24" s="1"/>
  <c r="AP99" i="24" s="1"/>
  <c r="BK314" i="24"/>
  <c r="M314" i="24"/>
  <c r="N314" i="24" s="1"/>
  <c r="AP314" i="24" s="1"/>
  <c r="S314" i="24"/>
  <c r="T314" i="24" s="1"/>
  <c r="K314" i="24"/>
  <c r="BK103" i="24"/>
  <c r="S103" i="24"/>
  <c r="T103" i="24" s="1"/>
  <c r="M103" i="24"/>
  <c r="AH194" i="25"/>
  <c r="BI120" i="25"/>
  <c r="N120" i="25"/>
  <c r="T120" i="25" s="1"/>
  <c r="BI125" i="25"/>
  <c r="U22" i="24"/>
  <c r="BK117" i="24"/>
  <c r="S117" i="24"/>
  <c r="T117" i="24" s="1"/>
  <c r="M117" i="24"/>
  <c r="T30" i="25"/>
  <c r="BI271" i="25"/>
  <c r="K269" i="24"/>
  <c r="L82" i="25"/>
  <c r="K222" i="24"/>
  <c r="L92" i="25"/>
  <c r="AH92" i="25"/>
  <c r="AH281" i="25"/>
  <c r="K159" i="24"/>
  <c r="O119" i="24"/>
  <c r="BZ119" i="24" s="1"/>
  <c r="J119" i="24"/>
  <c r="K150" i="24"/>
  <c r="AH263" i="25"/>
  <c r="BK40" i="24"/>
  <c r="S40" i="24"/>
  <c r="T40" i="24" s="1"/>
  <c r="BI66" i="25"/>
  <c r="BI247" i="25"/>
  <c r="AH148" i="25"/>
  <c r="BQ144" i="25"/>
  <c r="P296" i="25"/>
  <c r="O296" i="25"/>
  <c r="AO296" i="25" s="1"/>
  <c r="AH254" i="25"/>
  <c r="BK246" i="24"/>
  <c r="S246" i="24"/>
  <c r="T246" i="24" s="1"/>
  <c r="M115" i="24"/>
  <c r="N115" i="24" s="1"/>
  <c r="AP115" i="24" s="1"/>
  <c r="BQ31" i="25"/>
  <c r="L31" i="25"/>
  <c r="U44" i="24"/>
  <c r="AP44" i="24"/>
  <c r="BI115" i="25"/>
  <c r="U43" i="24"/>
  <c r="BI80" i="25"/>
  <c r="N80" i="25"/>
  <c r="T80" i="25" s="1"/>
  <c r="Q53" i="24"/>
  <c r="R53" i="24" s="1"/>
  <c r="P53" i="24"/>
  <c r="BK156" i="24"/>
  <c r="S156" i="24"/>
  <c r="T156" i="24" s="1"/>
  <c r="K156" i="24"/>
  <c r="BI45" i="25"/>
  <c r="BQ289" i="25"/>
  <c r="AH304" i="25"/>
  <c r="BI235" i="25"/>
  <c r="BK11" i="24"/>
  <c r="S11" i="24"/>
  <c r="T11" i="24" s="1"/>
  <c r="M11" i="24"/>
  <c r="N11" i="24" s="1"/>
  <c r="AP11" i="24" s="1"/>
  <c r="AH181" i="25"/>
  <c r="BK301" i="24"/>
  <c r="S301" i="24"/>
  <c r="T301" i="24" s="1"/>
  <c r="BI242" i="25"/>
  <c r="L242" i="25"/>
  <c r="AH121" i="25"/>
  <c r="BI112" i="25"/>
  <c r="BI97" i="25"/>
  <c r="AH25" i="25"/>
  <c r="L91" i="25"/>
  <c r="BI98" i="25"/>
  <c r="N98" i="25"/>
  <c r="AH98" i="25"/>
  <c r="BI140" i="25"/>
  <c r="N140" i="25"/>
  <c r="AH140" i="25"/>
  <c r="BI196" i="25"/>
  <c r="N196" i="25"/>
  <c r="L196" i="25"/>
  <c r="K178" i="24"/>
  <c r="BI308" i="25"/>
  <c r="N308" i="25"/>
  <c r="T308" i="25" s="1"/>
  <c r="AH308" i="25"/>
  <c r="AH268" i="25"/>
  <c r="BI133" i="25"/>
  <c r="N133" i="25"/>
  <c r="T133" i="25" s="1"/>
  <c r="AH133" i="25"/>
  <c r="P48" i="24"/>
  <c r="Q48" i="24"/>
  <c r="R48" i="24" s="1"/>
  <c r="BK278" i="24"/>
  <c r="S278" i="24"/>
  <c r="T278" i="24" s="1"/>
  <c r="M278" i="24"/>
  <c r="N278" i="24" s="1"/>
  <c r="AP278" i="24" s="1"/>
  <c r="K235" i="24"/>
  <c r="BI27" i="25"/>
  <c r="N27" i="25"/>
  <c r="AP236" i="24"/>
  <c r="BI294" i="25"/>
  <c r="N294" i="25"/>
  <c r="T294" i="25" s="1"/>
  <c r="BI183" i="25"/>
  <c r="N183" i="25"/>
  <c r="U86" i="24"/>
  <c r="BK53" i="24"/>
  <c r="S53" i="24"/>
  <c r="T53" i="24" s="1"/>
  <c r="AH187" i="25"/>
  <c r="BI178" i="25"/>
  <c r="AH126" i="25"/>
  <c r="AH118" i="25"/>
  <c r="BI116" i="25"/>
  <c r="J257" i="24"/>
  <c r="W257" i="24" s="1"/>
  <c r="O257" i="24"/>
  <c r="BZ257" i="24" s="1"/>
  <c r="BI227" i="25"/>
  <c r="N227" i="25"/>
  <c r="T227" i="25" s="1"/>
  <c r="BK17" i="24"/>
  <c r="S17" i="24"/>
  <c r="T17" i="24" s="1"/>
  <c r="BK90" i="24"/>
  <c r="S90" i="24"/>
  <c r="T90" i="24" s="1"/>
  <c r="K180" i="24"/>
  <c r="BK128" i="24"/>
  <c r="S128" i="24"/>
  <c r="T128" i="24" s="1"/>
  <c r="AP47" i="24"/>
  <c r="BK93" i="24"/>
  <c r="S93" i="24"/>
  <c r="T93" i="24" s="1"/>
  <c r="BK139" i="24"/>
  <c r="S139" i="24"/>
  <c r="T139" i="24" s="1"/>
  <c r="AH261" i="25"/>
  <c r="L172" i="25"/>
  <c r="L282" i="25"/>
  <c r="U172" i="24"/>
  <c r="BQ89" i="25"/>
  <c r="L305" i="25"/>
  <c r="T275" i="25"/>
  <c r="M254" i="24"/>
  <c r="N254" i="24" s="1"/>
  <c r="AP254" i="24" s="1"/>
  <c r="BQ204" i="25"/>
  <c r="K120" i="24"/>
  <c r="BI221" i="25"/>
  <c r="BQ260" i="25"/>
  <c r="K312" i="24"/>
  <c r="BQ234" i="25"/>
  <c r="L234" i="25"/>
  <c r="BI111" i="25"/>
  <c r="N111" i="25"/>
  <c r="T111" i="25" s="1"/>
  <c r="AP25" i="24"/>
  <c r="P264" i="24"/>
  <c r="Q264" i="24"/>
  <c r="BK184" i="24"/>
  <c r="S184" i="24"/>
  <c r="T184" i="24" s="1"/>
  <c r="AH33" i="25"/>
  <c r="AH15" i="25"/>
  <c r="BQ39" i="25"/>
  <c r="BI243" i="25"/>
  <c r="AH243" i="25"/>
  <c r="BI199" i="25"/>
  <c r="BQ138" i="25"/>
  <c r="L244" i="25"/>
  <c r="BI191" i="25"/>
  <c r="N191" i="25"/>
  <c r="T191" i="25" s="1"/>
  <c r="M169" i="24"/>
  <c r="N169" i="24" s="1"/>
  <c r="AP169" i="24" s="1"/>
  <c r="AH312" i="25"/>
  <c r="AH40" i="25"/>
  <c r="BI68" i="25"/>
  <c r="N68" i="25"/>
  <c r="BI18" i="25"/>
  <c r="N18" i="25"/>
  <c r="AH51" i="25"/>
  <c r="BK166" i="24"/>
  <c r="S166" i="24"/>
  <c r="T166" i="24" s="1"/>
  <c r="M166" i="24"/>
  <c r="N166" i="24" s="1"/>
  <c r="AH301" i="25"/>
  <c r="BI100" i="25"/>
  <c r="N100" i="25"/>
  <c r="AH84" i="25"/>
  <c r="BI231" i="25"/>
  <c r="N231" i="25"/>
  <c r="L231" i="25"/>
  <c r="N60" i="25"/>
  <c r="T60" i="25" s="1"/>
  <c r="BI60" i="25"/>
  <c r="BI310" i="25"/>
  <c r="N310" i="25"/>
  <c r="T310" i="25" s="1"/>
  <c r="BK189" i="24"/>
  <c r="S189" i="24"/>
  <c r="T189" i="24" s="1"/>
  <c r="M189" i="24"/>
  <c r="N189" i="24" s="1"/>
  <c r="AP189" i="24" s="1"/>
  <c r="BQ284" i="25"/>
  <c r="N217" i="25"/>
  <c r="BI217" i="25"/>
  <c r="BI56" i="25"/>
  <c r="N56" i="25"/>
  <c r="BI222" i="25"/>
  <c r="N222" i="25"/>
  <c r="L222" i="25"/>
  <c r="BK72" i="24"/>
  <c r="S72" i="24"/>
  <c r="T72" i="24" s="1"/>
  <c r="M210" i="24"/>
  <c r="N244" i="25"/>
  <c r="T244" i="25" s="1"/>
  <c r="N235" i="25"/>
  <c r="T235" i="25" s="1"/>
  <c r="M297" i="24"/>
  <c r="N297" i="24" s="1"/>
  <c r="M244" i="24"/>
  <c r="N244" i="24" s="1"/>
  <c r="AP244" i="24" s="1"/>
  <c r="N124" i="25"/>
  <c r="T124" i="25" s="1"/>
  <c r="M245" i="24"/>
  <c r="N245" i="24" s="1"/>
  <c r="P293" i="25"/>
  <c r="O293" i="25"/>
  <c r="N220" i="25"/>
  <c r="M275" i="24"/>
  <c r="N275" i="24" s="1"/>
  <c r="AP275" i="24" s="1"/>
  <c r="N254" i="25"/>
  <c r="T254" i="25" s="1"/>
  <c r="BI186" i="25"/>
  <c r="L52" i="25"/>
  <c r="AH52" i="25"/>
  <c r="BK177" i="24"/>
  <c r="S177" i="24"/>
  <c r="T177" i="24" s="1"/>
  <c r="AH6" i="25"/>
  <c r="AH77" i="25"/>
  <c r="AH206" i="25"/>
  <c r="BK252" i="24"/>
  <c r="S252" i="24"/>
  <c r="T252" i="24" s="1"/>
  <c r="BK75" i="24"/>
  <c r="S75" i="24"/>
  <c r="T75" i="24" s="1"/>
  <c r="M75" i="24"/>
  <c r="N75" i="24" s="1"/>
  <c r="BQ163" i="25"/>
  <c r="BI192" i="25"/>
  <c r="AH93" i="25"/>
  <c r="BK272" i="24"/>
  <c r="S272" i="24"/>
  <c r="T272" i="24" s="1"/>
  <c r="BK14" i="24"/>
  <c r="S14" i="24"/>
  <c r="T14" i="24" s="1"/>
  <c r="AP24" i="24"/>
  <c r="Q133" i="24"/>
  <c r="P133" i="24"/>
  <c r="AH143" i="25"/>
  <c r="BI163" i="25"/>
  <c r="N163" i="25"/>
  <c r="T163" i="25" s="1"/>
  <c r="BI137" i="25"/>
  <c r="N137" i="25"/>
  <c r="T137" i="25" s="1"/>
  <c r="AH42" i="25"/>
  <c r="U21" i="24"/>
  <c r="AH232" i="25"/>
  <c r="AP205" i="24"/>
  <c r="BQ105" i="25"/>
  <c r="U307" i="24"/>
  <c r="AH177" i="25"/>
  <c r="BK247" i="24"/>
  <c r="S247" i="24"/>
  <c r="T247" i="24" s="1"/>
  <c r="BK176" i="24"/>
  <c r="S176" i="24"/>
  <c r="T176" i="24" s="1"/>
  <c r="M176" i="24"/>
  <c r="N176" i="24" s="1"/>
  <c r="AP176" i="24" s="1"/>
  <c r="BK71" i="24"/>
  <c r="S71" i="24"/>
  <c r="T71" i="24" s="1"/>
  <c r="BI165" i="25"/>
  <c r="AH190" i="25"/>
  <c r="L163" i="25"/>
  <c r="AH279" i="25"/>
  <c r="BK277" i="24"/>
  <c r="S277" i="24"/>
  <c r="T277" i="24" s="1"/>
  <c r="M277" i="24"/>
  <c r="K277" i="24"/>
  <c r="M195" i="24"/>
  <c r="AH145" i="25"/>
  <c r="BK225" i="24"/>
  <c r="S225" i="24"/>
  <c r="T225" i="24" s="1"/>
  <c r="K117" i="24"/>
  <c r="BK232" i="24"/>
  <c r="S232" i="24"/>
  <c r="T232" i="24" s="1"/>
  <c r="M232" i="24"/>
  <c r="BI174" i="25"/>
  <c r="M253" i="24"/>
  <c r="N253" i="24" s="1"/>
  <c r="AP253" i="24" s="1"/>
  <c r="BK137" i="24"/>
  <c r="S137" i="24"/>
  <c r="T137" i="24" s="1"/>
  <c r="N219" i="25"/>
  <c r="BK182" i="24"/>
  <c r="S182" i="24"/>
  <c r="T182" i="24" s="1"/>
  <c r="AH150" i="25"/>
  <c r="K231" i="24"/>
  <c r="BI12" i="25"/>
  <c r="BI142" i="25"/>
  <c r="AH142" i="25"/>
  <c r="AH175" i="25"/>
  <c r="BK263" i="24"/>
  <c r="S263" i="24"/>
  <c r="T263" i="24" s="1"/>
  <c r="M263" i="24"/>
  <c r="M159" i="24"/>
  <c r="N159" i="24" s="1"/>
  <c r="AP159" i="24" s="1"/>
  <c r="AH198" i="25"/>
  <c r="BI200" i="25"/>
  <c r="N200" i="25"/>
  <c r="BK187" i="24"/>
  <c r="S187" i="24"/>
  <c r="T187" i="24" s="1"/>
  <c r="M187" i="24"/>
  <c r="BK8" i="24"/>
  <c r="S8" i="24"/>
  <c r="T8" i="24" s="1"/>
  <c r="AH276" i="25"/>
  <c r="BI283" i="25"/>
  <c r="AH283" i="25"/>
  <c r="AH167" i="25"/>
  <c r="K287" i="24"/>
  <c r="AH66" i="25"/>
  <c r="T247" i="25"/>
  <c r="BI10" i="25"/>
  <c r="AH161" i="25"/>
  <c r="P292" i="24"/>
  <c r="Q292" i="24"/>
  <c r="L115" i="25"/>
  <c r="U181" i="24"/>
  <c r="BI307" i="25"/>
  <c r="AH311" i="25"/>
  <c r="AH80" i="25"/>
  <c r="AH235" i="25"/>
  <c r="N277" i="25"/>
  <c r="BI277" i="25"/>
  <c r="P294" i="24"/>
  <c r="Q294" i="24"/>
  <c r="BK203" i="24"/>
  <c r="S203" i="24"/>
  <c r="T203" i="24" s="1"/>
  <c r="AH229" i="25"/>
  <c r="L50" i="25"/>
  <c r="AH97" i="25"/>
  <c r="BI225" i="25"/>
  <c r="AH225" i="25"/>
  <c r="P162" i="24"/>
  <c r="Q162" i="24"/>
  <c r="AP237" i="24"/>
  <c r="AH62" i="25"/>
  <c r="BI230" i="25"/>
  <c r="N230" i="25"/>
  <c r="AH20" i="25"/>
  <c r="AH22" i="25"/>
  <c r="AH123" i="25"/>
  <c r="AH135" i="25"/>
  <c r="BK217" i="24"/>
  <c r="S217" i="24"/>
  <c r="T217" i="24" s="1"/>
  <c r="M217" i="24"/>
  <c r="N217" i="24" s="1"/>
  <c r="AP217" i="24" s="1"/>
  <c r="BI274" i="25"/>
  <c r="N274" i="25"/>
  <c r="AH41" i="25"/>
  <c r="AH119" i="25"/>
  <c r="BI209" i="25"/>
  <c r="N209" i="25"/>
  <c r="M28" i="24"/>
  <c r="N28" i="24" s="1"/>
  <c r="AP28" i="24" s="1"/>
  <c r="AH27" i="25"/>
  <c r="BK262" i="24"/>
  <c r="S262" i="24"/>
  <c r="T262" i="24" s="1"/>
  <c r="M262" i="24"/>
  <c r="L61" i="25"/>
  <c r="L294" i="25"/>
  <c r="BI264" i="25"/>
  <c r="BK161" i="24"/>
  <c r="S161" i="24"/>
  <c r="T161" i="24" s="1"/>
  <c r="J160" i="24"/>
  <c r="O160" i="24"/>
  <c r="BZ160" i="24" s="1"/>
  <c r="N52" i="25"/>
  <c r="T52" i="25" s="1"/>
  <c r="BK86" i="24"/>
  <c r="S86" i="24"/>
  <c r="T86" i="24" s="1"/>
  <c r="AP86" i="24"/>
  <c r="AH49" i="25"/>
  <c r="U53" i="24"/>
  <c r="BK89" i="24"/>
  <c r="S89" i="24"/>
  <c r="T89" i="24" s="1"/>
  <c r="M201" i="24"/>
  <c r="N201" i="24" s="1"/>
  <c r="L174" i="25"/>
  <c r="L21" i="25"/>
  <c r="L116" i="25"/>
  <c r="AH34" i="25"/>
  <c r="BI287" i="25"/>
  <c r="BQ166" i="25"/>
  <c r="L201" i="25"/>
  <c r="BK315" i="24"/>
  <c r="S315" i="24"/>
  <c r="T315" i="24" s="1"/>
  <c r="BI89" i="25"/>
  <c r="L89" i="25"/>
  <c r="BQ124" i="25"/>
  <c r="AH302" i="25"/>
  <c r="BI223" i="25"/>
  <c r="T305" i="25"/>
  <c r="O21" i="24"/>
  <c r="BZ21" i="24" s="1"/>
  <c r="J21" i="24"/>
  <c r="K230" i="24"/>
  <c r="T204" i="25"/>
  <c r="M247" i="24"/>
  <c r="BQ221" i="25"/>
  <c r="AH278" i="25"/>
  <c r="BI260" i="25"/>
  <c r="AP312" i="24"/>
  <c r="BQ184" i="25"/>
  <c r="AH184" i="25"/>
  <c r="AH75" i="25"/>
  <c r="BK80" i="24"/>
  <c r="S80" i="24"/>
  <c r="T80" i="24" s="1"/>
  <c r="BQ309" i="25"/>
  <c r="BI39" i="25"/>
  <c r="AH39" i="25"/>
  <c r="AH316" i="25"/>
  <c r="BQ243" i="25"/>
  <c r="AH199" i="25"/>
  <c r="AH155" i="25"/>
  <c r="BQ45" i="25"/>
  <c r="BK239" i="24"/>
  <c r="S239" i="24"/>
  <c r="T239" i="24" s="1"/>
  <c r="M239" i="24"/>
  <c r="BI139" i="25"/>
  <c r="N139" i="25"/>
  <c r="AH18" i="25"/>
  <c r="BI67" i="25"/>
  <c r="N67" i="25"/>
  <c r="AH67" i="25"/>
  <c r="BI288" i="25"/>
  <c r="N288" i="25"/>
  <c r="AH64" i="25"/>
  <c r="AH310" i="25"/>
  <c r="AH17" i="25"/>
  <c r="BQ56" i="25"/>
  <c r="BQ222" i="25"/>
  <c r="AH291" i="25"/>
  <c r="M80" i="24"/>
  <c r="P236" i="24"/>
  <c r="Q236" i="24"/>
  <c r="AO110" i="25"/>
  <c r="R110" i="25"/>
  <c r="S110" i="25"/>
  <c r="K110" i="25" s="1"/>
  <c r="Q110" i="25"/>
  <c r="N45" i="25"/>
  <c r="T45" i="25" s="1"/>
  <c r="N115" i="25"/>
  <c r="N142" i="25"/>
  <c r="N251" i="25"/>
  <c r="N39" i="25"/>
  <c r="M128" i="24"/>
  <c r="N128" i="24" s="1"/>
  <c r="AP128" i="24" s="1"/>
  <c r="M35" i="24"/>
  <c r="N35" i="24" s="1"/>
  <c r="M301" i="24"/>
  <c r="N301" i="24" s="1"/>
  <c r="AP301" i="24" s="1"/>
  <c r="M315" i="24"/>
  <c r="N223" i="25"/>
  <c r="AP190" i="24"/>
  <c r="BK192" i="24"/>
  <c r="S192" i="24"/>
  <c r="T192" i="24" s="1"/>
  <c r="M192" i="24"/>
  <c r="N192" i="24" s="1"/>
  <c r="AP192" i="24" s="1"/>
  <c r="BK198" i="24"/>
  <c r="S198" i="24"/>
  <c r="T198" i="24" s="1"/>
  <c r="M198" i="24"/>
  <c r="N198" i="24" s="1"/>
  <c r="AP198" i="24" s="1"/>
  <c r="BI246" i="25"/>
  <c r="BI145" i="25"/>
  <c r="N145" i="25"/>
  <c r="T145" i="25" s="1"/>
  <c r="BK241" i="24"/>
  <c r="S241" i="24"/>
  <c r="T241" i="24" s="1"/>
  <c r="M241" i="24"/>
  <c r="N241" i="24" s="1"/>
  <c r="AH120" i="25"/>
  <c r="AH176" i="25"/>
  <c r="AH218" i="25"/>
  <c r="BK102" i="24"/>
  <c r="S102" i="24"/>
  <c r="T102" i="24" s="1"/>
  <c r="M102" i="24"/>
  <c r="N102" i="24" s="1"/>
  <c r="BK194" i="24"/>
  <c r="S194" i="24"/>
  <c r="T194" i="24" s="1"/>
  <c r="M194" i="24"/>
  <c r="BI236" i="25"/>
  <c r="N236" i="25"/>
  <c r="T236" i="25" s="1"/>
  <c r="AH245" i="25"/>
  <c r="AO129" i="25"/>
  <c r="AH129" i="25"/>
  <c r="BI126" i="25"/>
  <c r="AH219" i="25"/>
  <c r="AH104" i="25"/>
  <c r="BK73" i="24"/>
  <c r="S73" i="24"/>
  <c r="T73" i="24" s="1"/>
  <c r="M73" i="24"/>
  <c r="N73" i="24" s="1"/>
  <c r="BK76" i="24"/>
  <c r="S76" i="24"/>
  <c r="T76" i="24" s="1"/>
  <c r="U182" i="24"/>
  <c r="BI82" i="25"/>
  <c r="BK34" i="24"/>
  <c r="S34" i="24"/>
  <c r="T34" i="24" s="1"/>
  <c r="BK154" i="24"/>
  <c r="S154" i="24"/>
  <c r="T154" i="24" s="1"/>
  <c r="BK144" i="24"/>
  <c r="S144" i="24"/>
  <c r="T144" i="24" s="1"/>
  <c r="BI281" i="25"/>
  <c r="BK112" i="24"/>
  <c r="S112" i="24"/>
  <c r="T112" i="24" s="1"/>
  <c r="P190" i="25"/>
  <c r="O190" i="25"/>
  <c r="Q188" i="24"/>
  <c r="P188" i="24"/>
  <c r="P198" i="25"/>
  <c r="O198" i="25"/>
  <c r="AH290" i="25"/>
  <c r="BK150" i="24"/>
  <c r="S150" i="24"/>
  <c r="T150" i="24" s="1"/>
  <c r="BK13" i="24"/>
  <c r="S13" i="24"/>
  <c r="T13" i="24" s="1"/>
  <c r="AH306" i="25"/>
  <c r="P219" i="24"/>
  <c r="Q219" i="24"/>
  <c r="BI65" i="25"/>
  <c r="P305" i="25"/>
  <c r="O305" i="25"/>
  <c r="AO305" i="25" s="1"/>
  <c r="BI147" i="25"/>
  <c r="BI254" i="25"/>
  <c r="AH102" i="25"/>
  <c r="BK115" i="24"/>
  <c r="S115" i="24"/>
  <c r="T115" i="24" s="1"/>
  <c r="BI31" i="25"/>
  <c r="Q44" i="24"/>
  <c r="R44" i="24" s="1"/>
  <c r="P44" i="24"/>
  <c r="AP43" i="24"/>
  <c r="P127" i="24"/>
  <c r="Q127" i="24"/>
  <c r="BK300" i="24"/>
  <c r="S300" i="24"/>
  <c r="T300" i="24" s="1"/>
  <c r="BK49" i="24"/>
  <c r="S49" i="24"/>
  <c r="T49" i="24" s="1"/>
  <c r="BI181" i="25"/>
  <c r="L181" i="25"/>
  <c r="K136" i="24"/>
  <c r="M98" i="24"/>
  <c r="N98" i="24" s="1"/>
  <c r="BK238" i="24"/>
  <c r="S238" i="24"/>
  <c r="T238" i="24" s="1"/>
  <c r="P177" i="25"/>
  <c r="O177" i="25"/>
  <c r="J162" i="24"/>
  <c r="O162" i="24"/>
  <c r="BZ162" i="24" s="1"/>
  <c r="BK237" i="24"/>
  <c r="S237" i="24"/>
  <c r="T237" i="24" s="1"/>
  <c r="BK175" i="24"/>
  <c r="S175" i="24"/>
  <c r="T175" i="24" s="1"/>
  <c r="M175" i="24"/>
  <c r="N175" i="24" s="1"/>
  <c r="AP175" i="24" s="1"/>
  <c r="BI85" i="25"/>
  <c r="N85" i="25"/>
  <c r="T85" i="25" s="1"/>
  <c r="BI57" i="25"/>
  <c r="N57" i="25"/>
  <c r="T57" i="25" s="1"/>
  <c r="BI153" i="25"/>
  <c r="N153" i="25"/>
  <c r="T153" i="25" s="1"/>
  <c r="AH286" i="25"/>
  <c r="L119" i="25"/>
  <c r="BI69" i="25"/>
  <c r="N69" i="25"/>
  <c r="T69" i="25" s="1"/>
  <c r="BK235" i="24"/>
  <c r="S235" i="24"/>
  <c r="T235" i="24" s="1"/>
  <c r="M235" i="24"/>
  <c r="N235" i="24" s="1"/>
  <c r="AP235" i="24" s="1"/>
  <c r="AH299" i="25"/>
  <c r="BI146" i="25"/>
  <c r="N146" i="25"/>
  <c r="T146" i="25" s="1"/>
  <c r="AH224" i="25"/>
  <c r="BK197" i="24"/>
  <c r="S197" i="24"/>
  <c r="T197" i="24" s="1"/>
  <c r="BK127" i="24"/>
  <c r="S127" i="24"/>
  <c r="T127" i="24" s="1"/>
  <c r="BK199" i="24"/>
  <c r="S199" i="24"/>
  <c r="T199" i="24" s="1"/>
  <c r="AH14" i="25"/>
  <c r="L187" i="25"/>
  <c r="BK65" i="24"/>
  <c r="S65" i="24"/>
  <c r="T65" i="24" s="1"/>
  <c r="L267" i="25"/>
  <c r="BI43" i="25"/>
  <c r="N43" i="25"/>
  <c r="T43" i="25" s="1"/>
  <c r="BI118" i="25"/>
  <c r="L118" i="25"/>
  <c r="BK69" i="24"/>
  <c r="S69" i="24"/>
  <c r="T69" i="24" s="1"/>
  <c r="M69" i="24"/>
  <c r="N69" i="24" s="1"/>
  <c r="AP69" i="24" s="1"/>
  <c r="AH227" i="25"/>
  <c r="U61" i="24"/>
  <c r="AH259" i="25"/>
  <c r="AH287" i="25"/>
  <c r="BQ90" i="25"/>
  <c r="BI285" i="25"/>
  <c r="BI166" i="25"/>
  <c r="BK48" i="24"/>
  <c r="S48" i="24"/>
  <c r="T48" i="24" s="1"/>
  <c r="M65" i="24"/>
  <c r="N65" i="24" s="1"/>
  <c r="AP65" i="24" s="1"/>
  <c r="BI124" i="25"/>
  <c r="AH248" i="25"/>
  <c r="BQ223" i="25"/>
  <c r="AH223" i="25"/>
  <c r="BK270" i="24"/>
  <c r="S270" i="24"/>
  <c r="T270" i="24" s="1"/>
  <c r="BI184" i="25"/>
  <c r="L184" i="25"/>
  <c r="BI63" i="25"/>
  <c r="N63" i="25"/>
  <c r="BI309" i="25"/>
  <c r="AH309" i="25"/>
  <c r="BK196" i="24"/>
  <c r="S196" i="24"/>
  <c r="T196" i="24" s="1"/>
  <c r="BK242" i="24"/>
  <c r="S242" i="24"/>
  <c r="T242" i="24" s="1"/>
  <c r="L316" i="25"/>
  <c r="L298" i="25"/>
  <c r="BI233" i="25"/>
  <c r="AH233" i="25"/>
  <c r="BQ155" i="25"/>
  <c r="BI54" i="25"/>
  <c r="N54" i="25"/>
  <c r="T54" i="25" s="1"/>
  <c r="BK169" i="24"/>
  <c r="S169" i="24"/>
  <c r="T169" i="24" s="1"/>
  <c r="AP88" i="24"/>
  <c r="M295" i="24"/>
  <c r="N295" i="24" s="1"/>
  <c r="L54" i="25"/>
  <c r="AH156" i="25"/>
  <c r="AH79" i="25"/>
  <c r="L51" i="25"/>
  <c r="BK60" i="24"/>
  <c r="S60" i="24"/>
  <c r="T60" i="24" s="1"/>
  <c r="M60" i="24"/>
  <c r="N60" i="24" s="1"/>
  <c r="BQ64" i="25"/>
  <c r="AH231" i="25"/>
  <c r="AH19" i="25"/>
  <c r="BK66" i="24"/>
  <c r="S66" i="24"/>
  <c r="T66" i="24" s="1"/>
  <c r="M66" i="24"/>
  <c r="N66" i="24" s="1"/>
  <c r="AP66" i="24" s="1"/>
  <c r="BI284" i="25"/>
  <c r="N284" i="25"/>
  <c r="T284" i="25" s="1"/>
  <c r="AH284" i="25"/>
  <c r="BK207" i="24"/>
  <c r="S207" i="24"/>
  <c r="T207" i="24" s="1"/>
  <c r="M207" i="24"/>
  <c r="N207" i="24" s="1"/>
  <c r="AP207" i="24" s="1"/>
  <c r="BI252" i="25"/>
  <c r="N252" i="25"/>
  <c r="T252" i="25" s="1"/>
  <c r="BQ154" i="25"/>
  <c r="U30" i="24"/>
  <c r="AP30" i="24"/>
  <c r="U72" i="24"/>
  <c r="BQ291" i="25"/>
  <c r="M89" i="24"/>
  <c r="M184" i="24"/>
  <c r="O236" i="24"/>
  <c r="BZ236" i="24" s="1"/>
  <c r="J236" i="24"/>
  <c r="M299" i="24"/>
  <c r="N299" i="24" s="1"/>
  <c r="N316" i="25"/>
  <c r="T316" i="25" s="1"/>
  <c r="N12" i="25"/>
  <c r="N88" i="25"/>
  <c r="T88" i="25" s="1"/>
  <c r="M23" i="24"/>
  <c r="N23" i="24" s="1"/>
  <c r="AP23" i="24" s="1"/>
  <c r="M49" i="24"/>
  <c r="N49" i="24" s="1"/>
  <c r="AP49" i="24" s="1"/>
  <c r="J264" i="24"/>
  <c r="O264" i="24"/>
  <c r="BZ264" i="24" s="1"/>
  <c r="M112" i="24"/>
  <c r="N112" i="24" s="1"/>
  <c r="AP112" i="24" s="1"/>
  <c r="AP257" i="24"/>
  <c r="BK125" i="24"/>
  <c r="S125" i="24"/>
  <c r="T125" i="24" s="1"/>
  <c r="M125" i="24"/>
  <c r="N125" i="24" s="1"/>
  <c r="AP125" i="24" s="1"/>
  <c r="AH164" i="25"/>
  <c r="AH202" i="25"/>
  <c r="BK268" i="24"/>
  <c r="S268" i="24"/>
  <c r="T268" i="24" s="1"/>
  <c r="BK54" i="24"/>
  <c r="S54" i="24"/>
  <c r="T54" i="24" s="1"/>
  <c r="M54" i="24"/>
  <c r="AP68" i="24"/>
  <c r="AH165" i="25"/>
  <c r="BI26" i="25"/>
  <c r="BK267" i="24"/>
  <c r="S267" i="24"/>
  <c r="T267" i="24" s="1"/>
  <c r="M267" i="24"/>
  <c r="N267" i="24" s="1"/>
  <c r="AP62" i="24"/>
  <c r="AH83" i="25"/>
  <c r="AP147" i="24"/>
  <c r="M177" i="24"/>
  <c r="N177" i="24" s="1"/>
  <c r="AP177" i="24" s="1"/>
  <c r="N203" i="25"/>
  <c r="AH159" i="25"/>
  <c r="AH185" i="25"/>
  <c r="BI206" i="25"/>
  <c r="BK20" i="24"/>
  <c r="S20" i="24"/>
  <c r="T20" i="24" s="1"/>
  <c r="BI300" i="25"/>
  <c r="N300" i="25"/>
  <c r="T300" i="25" s="1"/>
  <c r="BI122" i="25"/>
  <c r="AP21" i="24"/>
  <c r="K163" i="24"/>
  <c r="L246" i="25"/>
  <c r="U190" i="24"/>
  <c r="BK118" i="24"/>
  <c r="S118" i="24"/>
  <c r="T118" i="24" s="1"/>
  <c r="N176" i="25"/>
  <c r="T176" i="25" s="1"/>
  <c r="BI176" i="25"/>
  <c r="BI279" i="25"/>
  <c r="N279" i="25"/>
  <c r="T279" i="25" s="1"/>
  <c r="Q22" i="24"/>
  <c r="R22" i="24" s="1"/>
  <c r="P22" i="24"/>
  <c r="BK133" i="24"/>
  <c r="S133" i="24"/>
  <c r="T133" i="24" s="1"/>
  <c r="BK167" i="24"/>
  <c r="S167" i="24"/>
  <c r="T167" i="24" s="1"/>
  <c r="BK255" i="24"/>
  <c r="S255" i="24"/>
  <c r="T255" i="24" s="1"/>
  <c r="BK146" i="24"/>
  <c r="S146" i="24"/>
  <c r="T146" i="24" s="1"/>
  <c r="M146" i="24"/>
  <c r="AH137" i="25"/>
  <c r="BK38" i="24"/>
  <c r="S38" i="24"/>
  <c r="T38" i="24" s="1"/>
  <c r="M38" i="24"/>
  <c r="K267" i="24"/>
  <c r="BK131" i="24"/>
  <c r="M131" i="24"/>
  <c r="S131" i="24"/>
  <c r="T131" i="24" s="1"/>
  <c r="BK282" i="24"/>
  <c r="S282" i="24"/>
  <c r="T282" i="24" s="1"/>
  <c r="M282" i="24"/>
  <c r="BK97" i="24"/>
  <c r="S97" i="24"/>
  <c r="T97" i="24" s="1"/>
  <c r="K176" i="24"/>
  <c r="K179" i="24"/>
  <c r="O190" i="24"/>
  <c r="BZ190" i="24" s="1"/>
  <c r="J190" i="24"/>
  <c r="N271" i="25"/>
  <c r="T271" i="25" s="1"/>
  <c r="AH271" i="25"/>
  <c r="BI219" i="25"/>
  <c r="BK16" i="24"/>
  <c r="S16" i="24"/>
  <c r="T16" i="24" s="1"/>
  <c r="T82" i="25"/>
  <c r="BK231" i="24"/>
  <c r="S231" i="24"/>
  <c r="T231" i="24" s="1"/>
  <c r="L175" i="25"/>
  <c r="BQ281" i="25"/>
  <c r="BK25" i="24"/>
  <c r="S25" i="24"/>
  <c r="T25" i="24" s="1"/>
  <c r="M104" i="24"/>
  <c r="N104" i="24" s="1"/>
  <c r="BK188" i="24"/>
  <c r="S188" i="24"/>
  <c r="T188" i="24" s="1"/>
  <c r="U150" i="24"/>
  <c r="K208" i="24"/>
  <c r="L263" i="25"/>
  <c r="BI167" i="25"/>
  <c r="Q121" i="24"/>
  <c r="P121" i="24"/>
  <c r="Q72" i="24"/>
  <c r="R72" i="24" s="1"/>
  <c r="P72" i="24"/>
  <c r="BK153" i="24"/>
  <c r="S153" i="24"/>
  <c r="T153" i="24" s="1"/>
  <c r="BI148" i="25"/>
  <c r="AH144" i="25"/>
  <c r="T147" i="25"/>
  <c r="J292" i="24"/>
  <c r="O292" i="24"/>
  <c r="BZ292" i="24" s="1"/>
  <c r="T31" i="25"/>
  <c r="BK84" i="24"/>
  <c r="S84" i="24"/>
  <c r="T84" i="24" s="1"/>
  <c r="BK58" i="24"/>
  <c r="S58" i="24"/>
  <c r="T58" i="24" s="1"/>
  <c r="BK308" i="24"/>
  <c r="S308" i="24"/>
  <c r="T308" i="24" s="1"/>
  <c r="BK42" i="24"/>
  <c r="S42" i="24"/>
  <c r="T42" i="24" s="1"/>
  <c r="M42" i="24"/>
  <c r="BK306" i="24"/>
  <c r="S306" i="24"/>
  <c r="T306" i="24" s="1"/>
  <c r="AH45" i="25"/>
  <c r="AH101" i="25"/>
  <c r="BK183" i="24"/>
  <c r="S183" i="24"/>
  <c r="T183" i="24" s="1"/>
  <c r="M183" i="24"/>
  <c r="BI229" i="25"/>
  <c r="U238" i="24"/>
  <c r="K301" i="24"/>
  <c r="AH47" i="25"/>
  <c r="AH112" i="25"/>
  <c r="N10" i="25"/>
  <c r="BI25" i="25"/>
  <c r="BI87" i="25"/>
  <c r="BI62" i="25"/>
  <c r="L62" i="25"/>
  <c r="AH48" i="25"/>
  <c r="AH85" i="25"/>
  <c r="L98" i="25"/>
  <c r="BI123" i="25"/>
  <c r="N123" i="25"/>
  <c r="L123" i="25"/>
  <c r="AH149" i="25"/>
  <c r="AH127" i="25"/>
  <c r="P34" i="25"/>
  <c r="O34" i="25"/>
  <c r="L308" i="25"/>
  <c r="AH36" i="25"/>
  <c r="L256" i="25"/>
  <c r="BI41" i="25"/>
  <c r="N41" i="25"/>
  <c r="BK26" i="24"/>
  <c r="S26" i="24"/>
  <c r="T26" i="24" s="1"/>
  <c r="M26" i="24"/>
  <c r="L27" i="25"/>
  <c r="BK249" i="24"/>
  <c r="S249" i="24"/>
  <c r="T249" i="24" s="1"/>
  <c r="M249" i="24"/>
  <c r="AH28" i="25"/>
  <c r="AH255" i="25"/>
  <c r="U199" i="24"/>
  <c r="K244" i="24"/>
  <c r="AH267" i="25"/>
  <c r="P233" i="24"/>
  <c r="Q233" i="24"/>
  <c r="M71" i="24"/>
  <c r="BQ126" i="25"/>
  <c r="BI96" i="25"/>
  <c r="BK61" i="24"/>
  <c r="S61" i="24"/>
  <c r="T61" i="24" s="1"/>
  <c r="AP61" i="24"/>
  <c r="BK180" i="24"/>
  <c r="S180" i="24"/>
  <c r="T180" i="24" s="1"/>
  <c r="L314" i="25"/>
  <c r="BI90" i="25"/>
  <c r="BQ285" i="25"/>
  <c r="AH285" i="25"/>
  <c r="L166" i="25"/>
  <c r="BQ201" i="25"/>
  <c r="AP48" i="24"/>
  <c r="BI282" i="25"/>
  <c r="K172" i="24"/>
  <c r="AP172" i="24"/>
  <c r="P262" i="25"/>
  <c r="BI302" i="25"/>
  <c r="BI262" i="25"/>
  <c r="J233" i="24"/>
  <c r="O233" i="24"/>
  <c r="BZ233" i="24" s="1"/>
  <c r="P132" i="24"/>
  <c r="Q132" i="24"/>
  <c r="M255" i="24"/>
  <c r="N26" i="25"/>
  <c r="AP290" i="24"/>
  <c r="L221" i="25"/>
  <c r="U270" i="24"/>
  <c r="K275" i="24"/>
  <c r="BI95" i="25"/>
  <c r="L63" i="25"/>
  <c r="BK210" i="24"/>
  <c r="S210" i="24"/>
  <c r="T210" i="24" s="1"/>
  <c r="BI33" i="25"/>
  <c r="L33" i="25"/>
  <c r="BI228" i="25"/>
  <c r="AH228" i="25"/>
  <c r="L233" i="25"/>
  <c r="AH138" i="25"/>
  <c r="BI155" i="25"/>
  <c r="BI170" i="25"/>
  <c r="AH170" i="25"/>
  <c r="BQ296" i="25"/>
  <c r="BI169" i="25"/>
  <c r="N169" i="25"/>
  <c r="P45" i="24"/>
  <c r="Q45" i="24"/>
  <c r="R45" i="24" s="1"/>
  <c r="BK52" i="24"/>
  <c r="S52" i="24"/>
  <c r="T52" i="24" s="1"/>
  <c r="AP52" i="24"/>
  <c r="BI273" i="25"/>
  <c r="AH273" i="25"/>
  <c r="BI79" i="25"/>
  <c r="N79" i="25"/>
  <c r="L79" i="25"/>
  <c r="L18" i="25"/>
  <c r="BI72" i="25"/>
  <c r="N72" i="25"/>
  <c r="M284" i="24"/>
  <c r="N284" i="24" s="1"/>
  <c r="BK113" i="24"/>
  <c r="S113" i="24"/>
  <c r="T113" i="24" s="1"/>
  <c r="M113" i="24"/>
  <c r="AH288" i="25"/>
  <c r="AH253" i="25"/>
  <c r="BI64" i="25"/>
  <c r="N64" i="25"/>
  <c r="T64" i="25" s="1"/>
  <c r="L64" i="25"/>
  <c r="BK29" i="24"/>
  <c r="S29" i="24"/>
  <c r="T29" i="24" s="1"/>
  <c r="M29" i="24"/>
  <c r="BK124" i="24"/>
  <c r="S124" i="24"/>
  <c r="T124" i="24" s="1"/>
  <c r="M124" i="24"/>
  <c r="N124" i="24" s="1"/>
  <c r="BK140" i="24"/>
  <c r="S140" i="24"/>
  <c r="T140" i="24" s="1"/>
  <c r="M140" i="24"/>
  <c r="BQ252" i="25"/>
  <c r="BK219" i="24"/>
  <c r="S219" i="24"/>
  <c r="T219" i="24" s="1"/>
  <c r="BI154" i="25"/>
  <c r="BK30" i="24"/>
  <c r="S30" i="24"/>
  <c r="T30" i="24" s="1"/>
  <c r="BI291" i="25"/>
  <c r="N233" i="25"/>
  <c r="T233" i="25" s="1"/>
  <c r="N307" i="25"/>
  <c r="M196" i="24"/>
  <c r="N196" i="24" s="1"/>
  <c r="M153" i="24"/>
  <c r="N260" i="25"/>
  <c r="N65" i="25"/>
  <c r="T65" i="25" s="1"/>
  <c r="N263" i="25"/>
  <c r="T263" i="25" s="1"/>
  <c r="M161" i="24"/>
  <c r="N166" i="25"/>
  <c r="T166" i="25" s="1"/>
  <c r="M203" i="24"/>
  <c r="M308" i="24"/>
  <c r="N264" i="25"/>
  <c r="N116" i="25"/>
  <c r="AH192" i="25"/>
  <c r="BI93" i="25"/>
  <c r="N93" i="25"/>
  <c r="BK62" i="24"/>
  <c r="S62" i="24"/>
  <c r="T62" i="24" s="1"/>
  <c r="Q190" i="24"/>
  <c r="P190" i="24"/>
  <c r="P7" i="24"/>
  <c r="Q7" i="24"/>
  <c r="R7" i="24" s="1"/>
  <c r="P68" i="24"/>
  <c r="Q68" i="24"/>
  <c r="R68" i="24" s="1"/>
  <c r="BK123" i="24"/>
  <c r="S123" i="24"/>
  <c r="T123" i="24" s="1"/>
  <c r="M123" i="24"/>
  <c r="AH169" i="25"/>
  <c r="BI23" i="25"/>
  <c r="BK145" i="24"/>
  <c r="S145" i="24"/>
  <c r="T145" i="24" s="1"/>
  <c r="M145" i="24"/>
  <c r="BI232" i="25"/>
  <c r="L232" i="25"/>
  <c r="BI105" i="25"/>
  <c r="N105" i="25"/>
  <c r="BI182" i="25"/>
  <c r="BK223" i="24"/>
  <c r="S223" i="24"/>
  <c r="T223" i="24" s="1"/>
  <c r="AH9" i="25"/>
  <c r="Q225" i="24"/>
  <c r="P225" i="24"/>
  <c r="U133" i="24"/>
  <c r="AP133" i="24"/>
  <c r="BK276" i="24"/>
  <c r="S276" i="24"/>
  <c r="T276" i="24" s="1"/>
  <c r="AH37" i="25"/>
  <c r="AP307" i="24"/>
  <c r="BK295" i="24"/>
  <c r="S295" i="24"/>
  <c r="T295" i="24" s="1"/>
  <c r="BK206" i="24"/>
  <c r="S206" i="24"/>
  <c r="T206" i="24" s="1"/>
  <c r="M206" i="24"/>
  <c r="AH11" i="25"/>
  <c r="L176" i="25"/>
  <c r="BK116" i="24"/>
  <c r="S116" i="24"/>
  <c r="T116" i="24" s="1"/>
  <c r="BK130" i="24"/>
  <c r="S130" i="24"/>
  <c r="T130" i="24" s="1"/>
  <c r="BK286" i="24"/>
  <c r="S286" i="24"/>
  <c r="T286" i="24" s="1"/>
  <c r="AP225" i="24"/>
  <c r="AH30" i="25"/>
  <c r="BK157" i="24"/>
  <c r="S157" i="24"/>
  <c r="T157" i="24" s="1"/>
  <c r="BK253" i="24"/>
  <c r="S253" i="24"/>
  <c r="T253" i="24" s="1"/>
  <c r="N37" i="25"/>
  <c r="T37" i="25" s="1"/>
  <c r="AH265" i="25"/>
  <c r="BI197" i="25"/>
  <c r="N197" i="25"/>
  <c r="AH197" i="25"/>
  <c r="BI130" i="25"/>
  <c r="N130" i="25"/>
  <c r="T130" i="25" s="1"/>
  <c r="BK141" i="24"/>
  <c r="S141" i="24"/>
  <c r="T141" i="24" s="1"/>
  <c r="M141" i="24"/>
  <c r="U76" i="24"/>
  <c r="AH297" i="25"/>
  <c r="BI150" i="25"/>
  <c r="N150" i="25"/>
  <c r="T150" i="25" s="1"/>
  <c r="BK92" i="24"/>
  <c r="S92" i="24"/>
  <c r="T92" i="24" s="1"/>
  <c r="BI92" i="25"/>
  <c r="K144" i="24"/>
  <c r="BI15" i="25"/>
  <c r="N15" i="25"/>
  <c r="T15" i="25" s="1"/>
  <c r="BK159" i="24"/>
  <c r="S159" i="24"/>
  <c r="T159" i="24" s="1"/>
  <c r="BI198" i="25"/>
  <c r="AH117" i="25"/>
  <c r="BI55" i="25"/>
  <c r="AH55" i="25"/>
  <c r="BI251" i="25"/>
  <c r="AH251" i="25"/>
  <c r="BK59" i="24"/>
  <c r="S59" i="24"/>
  <c r="T59" i="24" s="1"/>
  <c r="P30" i="24"/>
  <c r="Q30" i="24"/>
  <c r="R30" i="24" s="1"/>
  <c r="AH292" i="25"/>
  <c r="AH220" i="25"/>
  <c r="AH147" i="25"/>
  <c r="AH86" i="25"/>
  <c r="R129" i="25"/>
  <c r="S129" i="25"/>
  <c r="K129" i="25" s="1"/>
  <c r="Q129" i="25"/>
  <c r="P191" i="24"/>
  <c r="Q191" i="24"/>
  <c r="AH31" i="25"/>
  <c r="AP181" i="24"/>
  <c r="BK271" i="24"/>
  <c r="S271" i="24"/>
  <c r="T271" i="24" s="1"/>
  <c r="AH307" i="25"/>
  <c r="BK218" i="24"/>
  <c r="S218" i="24"/>
  <c r="T218" i="24" s="1"/>
  <c r="BK193" i="24"/>
  <c r="S193" i="24"/>
  <c r="T193" i="24" s="1"/>
  <c r="BI134" i="25"/>
  <c r="BQ25" i="25"/>
  <c r="U237" i="24"/>
  <c r="BQ62" i="25"/>
  <c r="BQ92" i="25"/>
  <c r="L85" i="25"/>
  <c r="BI127" i="25"/>
  <c r="N127" i="25"/>
  <c r="T127" i="25" s="1"/>
  <c r="AH153" i="25"/>
  <c r="AH196" i="25"/>
  <c r="P61" i="24"/>
  <c r="Q61" i="24"/>
  <c r="R61" i="24" s="1"/>
  <c r="BK288" i="24"/>
  <c r="S288" i="24"/>
  <c r="T288" i="24" s="1"/>
  <c r="M288" i="24"/>
  <c r="BQ7" i="25"/>
  <c r="Q172" i="24"/>
  <c r="P172" i="24"/>
  <c r="AH293" i="25"/>
  <c r="BI224" i="25"/>
  <c r="N224" i="25"/>
  <c r="BI313" i="25"/>
  <c r="AH313" i="25"/>
  <c r="BK149" i="24"/>
  <c r="S149" i="24"/>
  <c r="T149" i="24" s="1"/>
  <c r="BK303" i="24"/>
  <c r="S303" i="24"/>
  <c r="T303" i="24" s="1"/>
  <c r="AH59" i="25"/>
  <c r="AH183" i="25"/>
  <c r="BI49" i="25"/>
  <c r="AH32" i="25"/>
  <c r="U127" i="24"/>
  <c r="AP53" i="24"/>
  <c r="BK77" i="24"/>
  <c r="S77" i="24"/>
  <c r="T77" i="24" s="1"/>
  <c r="N210" i="25"/>
  <c r="N126" i="25"/>
  <c r="T126" i="25" s="1"/>
  <c r="L126" i="25"/>
  <c r="BK31" i="24"/>
  <c r="S31" i="24"/>
  <c r="T31" i="24" s="1"/>
  <c r="M31" i="24"/>
  <c r="N31" i="24" s="1"/>
  <c r="AP31" i="24" s="1"/>
  <c r="BI34" i="25"/>
  <c r="L34" i="25"/>
  <c r="BI314" i="25"/>
  <c r="BI201" i="25"/>
  <c r="U48" i="24"/>
  <c r="AH282" i="25"/>
  <c r="BK79" i="24"/>
  <c r="S79" i="24"/>
  <c r="T79" i="24" s="1"/>
  <c r="BK248" i="24"/>
  <c r="S248" i="24"/>
  <c r="T248" i="24" s="1"/>
  <c r="BI272" i="25"/>
  <c r="AH305" i="25"/>
  <c r="J132" i="24"/>
  <c r="O132" i="24"/>
  <c r="BZ132" i="24" s="1"/>
  <c r="M230" i="24"/>
  <c r="N230" i="24" s="1"/>
  <c r="AP230" i="24" s="1"/>
  <c r="AH204" i="25"/>
  <c r="BK120" i="24"/>
  <c r="S120" i="24"/>
  <c r="T120" i="24" s="1"/>
  <c r="BK299" i="24"/>
  <c r="S299" i="24"/>
  <c r="T299" i="24" s="1"/>
  <c r="K299" i="24"/>
  <c r="BI278" i="25"/>
  <c r="BK240" i="24"/>
  <c r="S240" i="24"/>
  <c r="T240" i="24" s="1"/>
  <c r="AH95" i="25"/>
  <c r="AH111" i="25"/>
  <c r="BQ33" i="25"/>
  <c r="BQ228" i="25"/>
  <c r="L309" i="25"/>
  <c r="K135" i="24"/>
  <c r="BK173" i="24"/>
  <c r="S173" i="24"/>
  <c r="T173" i="24" s="1"/>
  <c r="K242" i="24"/>
  <c r="BQ170" i="25"/>
  <c r="AH296" i="25"/>
  <c r="Q52" i="24"/>
  <c r="R52" i="24" s="1"/>
  <c r="P52" i="24"/>
  <c r="BI205" i="25"/>
  <c r="N205" i="25"/>
  <c r="BI312" i="25"/>
  <c r="N312" i="25"/>
  <c r="T312" i="25" s="1"/>
  <c r="AH139" i="25"/>
  <c r="BK148" i="24"/>
  <c r="S148" i="24"/>
  <c r="T148" i="24" s="1"/>
  <c r="M148" i="24"/>
  <c r="BK155" i="24"/>
  <c r="S155" i="24"/>
  <c r="T155" i="24" s="1"/>
  <c r="M155" i="24"/>
  <c r="N155" i="24" s="1"/>
  <c r="AP155" i="24" s="1"/>
  <c r="N253" i="25"/>
  <c r="T253" i="25" s="1"/>
  <c r="BI253" i="25"/>
  <c r="AH100" i="25"/>
  <c r="BI84" i="25"/>
  <c r="N84" i="25"/>
  <c r="L84" i="25"/>
  <c r="BQ19" i="25"/>
  <c r="AH60" i="25"/>
  <c r="AH191" i="25"/>
  <c r="BI303" i="25"/>
  <c r="N303" i="25"/>
  <c r="L17" i="25"/>
  <c r="M59" i="24"/>
  <c r="BK209" i="24"/>
  <c r="S209" i="24"/>
  <c r="T209" i="24" s="1"/>
  <c r="M209" i="24"/>
  <c r="BI250" i="25"/>
  <c r="N250" i="25"/>
  <c r="T250" i="25" s="1"/>
  <c r="AH252" i="25"/>
  <c r="AH136" i="25"/>
  <c r="AH103" i="25"/>
  <c r="AP121" i="24"/>
  <c r="U219" i="24"/>
  <c r="K219" i="24"/>
  <c r="BK289" i="24"/>
  <c r="S289" i="24"/>
  <c r="T289" i="24" s="1"/>
  <c r="N175" i="25"/>
  <c r="N278" i="25"/>
  <c r="M135" i="24"/>
  <c r="N135" i="24" s="1"/>
  <c r="N242" i="25"/>
  <c r="M300" i="24"/>
  <c r="N300" i="24" s="1"/>
  <c r="N313" i="25"/>
  <c r="N172" i="25"/>
  <c r="T172" i="25" s="1"/>
  <c r="N33" i="25"/>
  <c r="T33" i="25" s="1"/>
  <c r="M144" i="24"/>
  <c r="N144" i="24" s="1"/>
  <c r="N221" i="25"/>
  <c r="N184" i="25"/>
  <c r="T184" i="25" s="1"/>
  <c r="N302" i="25"/>
  <c r="N90" i="25"/>
  <c r="M93" i="24"/>
  <c r="N118" i="25"/>
  <c r="N49" i="25"/>
  <c r="T49" i="25" s="1"/>
  <c r="N25" i="25"/>
  <c r="M13" i="24"/>
  <c r="N13" i="24" s="1"/>
  <c r="BI83" i="25"/>
  <c r="N83" i="25"/>
  <c r="T83" i="25" s="1"/>
  <c r="BK24" i="24"/>
  <c r="S24" i="24"/>
  <c r="T24" i="24" s="1"/>
  <c r="AH269" i="25"/>
  <c r="L159" i="25"/>
  <c r="AH151" i="25"/>
  <c r="BK291" i="24"/>
  <c r="S291" i="24"/>
  <c r="T291" i="24" s="1"/>
  <c r="M291" i="24"/>
  <c r="N291" i="24" s="1"/>
  <c r="BK195" i="24"/>
  <c r="S195" i="24"/>
  <c r="T195" i="24" s="1"/>
  <c r="AP162" i="24"/>
  <c r="BK163" i="24"/>
  <c r="S163" i="24"/>
  <c r="T163" i="24" s="1"/>
  <c r="AH210" i="25"/>
  <c r="AH180" i="25"/>
  <c r="T246" i="25"/>
  <c r="BK129" i="24"/>
  <c r="S129" i="24"/>
  <c r="T129" i="24" s="1"/>
  <c r="BK285" i="24"/>
  <c r="S285" i="24"/>
  <c r="T285" i="24" s="1"/>
  <c r="P21" i="24"/>
  <c r="Q21" i="24"/>
  <c r="R21" i="24" s="1"/>
  <c r="U129" i="24"/>
  <c r="K192" i="24"/>
  <c r="N180" i="25"/>
  <c r="T180" i="25" s="1"/>
  <c r="U177" i="25"/>
  <c r="BK179" i="24"/>
  <c r="S179" i="24"/>
  <c r="T179" i="24" s="1"/>
  <c r="M179" i="24"/>
  <c r="N179" i="24" s="1"/>
  <c r="BQ11" i="25"/>
  <c r="L137" i="25"/>
  <c r="N53" i="25"/>
  <c r="BI53" i="25"/>
  <c r="AH188" i="25"/>
  <c r="AH132" i="25"/>
  <c r="BK205" i="24"/>
  <c r="S205" i="24"/>
  <c r="T205" i="24" s="1"/>
  <c r="U205" i="24"/>
  <c r="BK147" i="24"/>
  <c r="S147" i="24"/>
  <c r="T147" i="24" s="1"/>
  <c r="AP22" i="24"/>
  <c r="AH236" i="25"/>
  <c r="AH266" i="25"/>
  <c r="AH300" i="25"/>
  <c r="BK304" i="24"/>
  <c r="S304" i="24"/>
  <c r="T304" i="24" s="1"/>
  <c r="M304" i="24"/>
  <c r="N304" i="24" s="1"/>
  <c r="AP304" i="24" s="1"/>
  <c r="BI99" i="25"/>
  <c r="N99" i="25"/>
  <c r="K245" i="24"/>
  <c r="BK27" i="24"/>
  <c r="S27" i="24"/>
  <c r="T27" i="24" s="1"/>
  <c r="AP27" i="24"/>
  <c r="K154" i="24"/>
  <c r="BK104" i="24"/>
  <c r="S104" i="24"/>
  <c r="T104" i="24" s="1"/>
  <c r="U188" i="24"/>
  <c r="M122" i="24"/>
  <c r="T198" i="25"/>
  <c r="K284" i="24"/>
  <c r="AP150" i="24"/>
  <c r="BI276" i="25"/>
  <c r="BK287" i="24"/>
  <c r="S287" i="24"/>
  <c r="T287" i="24" s="1"/>
  <c r="BK234" i="24"/>
  <c r="S234" i="24"/>
  <c r="T234" i="24" s="1"/>
  <c r="P170" i="25"/>
  <c r="O170" i="25"/>
  <c r="BI220" i="25"/>
  <c r="AH10" i="25"/>
  <c r="BI161" i="25"/>
  <c r="L102" i="25"/>
  <c r="BK151" i="24"/>
  <c r="S151" i="24"/>
  <c r="T151" i="24" s="1"/>
  <c r="J101" i="24"/>
  <c r="O101" i="24"/>
  <c r="BZ101" i="24" s="1"/>
  <c r="J191" i="24"/>
  <c r="O191" i="24"/>
  <c r="BZ191" i="24" s="1"/>
  <c r="BK51" i="24"/>
  <c r="S51" i="24"/>
  <c r="T51" i="24" s="1"/>
  <c r="BI311" i="25"/>
  <c r="BK311" i="24"/>
  <c r="S311" i="24"/>
  <c r="T311" i="24" s="1"/>
  <c r="M311" i="24"/>
  <c r="N311" i="24" s="1"/>
  <c r="BK220" i="24"/>
  <c r="S220" i="24"/>
  <c r="T220" i="24" s="1"/>
  <c r="L101" i="25"/>
  <c r="AH289" i="25"/>
  <c r="AH277" i="25"/>
  <c r="BK227" i="24"/>
  <c r="S227" i="24"/>
  <c r="T227" i="24" s="1"/>
  <c r="AH240" i="25"/>
  <c r="BI249" i="25"/>
  <c r="AH249" i="25"/>
  <c r="AH50" i="25"/>
  <c r="L47" i="25"/>
  <c r="BI121" i="25"/>
  <c r="AH216" i="25"/>
  <c r="BK305" i="24"/>
  <c r="S305" i="24"/>
  <c r="T305" i="24" s="1"/>
  <c r="AH113" i="25"/>
  <c r="U68" i="24"/>
  <c r="P62" i="25"/>
  <c r="O62" i="25"/>
  <c r="AH230" i="25"/>
  <c r="BK95" i="24"/>
  <c r="S95" i="24"/>
  <c r="T95" i="24" s="1"/>
  <c r="M95" i="24"/>
  <c r="AH35" i="25"/>
  <c r="BI48" i="25"/>
  <c r="N48" i="25"/>
  <c r="T48" i="25" s="1"/>
  <c r="AH91" i="25"/>
  <c r="BI20" i="25"/>
  <c r="N20" i="25"/>
  <c r="T20" i="25" s="1"/>
  <c r="L149" i="25"/>
  <c r="BK293" i="24"/>
  <c r="S293" i="24"/>
  <c r="T293" i="24" s="1"/>
  <c r="M293" i="24"/>
  <c r="N293" i="24" s="1"/>
  <c r="BK221" i="24"/>
  <c r="S221" i="24"/>
  <c r="T221" i="24" s="1"/>
  <c r="M221" i="24"/>
  <c r="N221" i="24" s="1"/>
  <c r="AP221" i="24" s="1"/>
  <c r="AH274" i="25"/>
  <c r="AH209" i="25"/>
  <c r="BI7" i="25"/>
  <c r="N7" i="25"/>
  <c r="T7" i="25" s="1"/>
  <c r="AH88" i="25"/>
  <c r="BI304" i="25"/>
  <c r="N125" i="25"/>
  <c r="P255" i="25"/>
  <c r="O255" i="25"/>
  <c r="M20" i="24"/>
  <c r="N20" i="24" s="1"/>
  <c r="BQ49" i="25"/>
  <c r="BQ32" i="25"/>
  <c r="BQ14" i="25"/>
  <c r="BI187" i="25"/>
  <c r="BI267" i="25"/>
  <c r="AH178" i="25"/>
  <c r="N165" i="25"/>
  <c r="AH174" i="25"/>
  <c r="BI21" i="25"/>
  <c r="T34" i="25"/>
  <c r="BI259" i="25"/>
  <c r="L259" i="25"/>
  <c r="BQ314" i="25"/>
  <c r="BK47" i="24"/>
  <c r="S47" i="24"/>
  <c r="T47" i="24" s="1"/>
  <c r="BQ172" i="25"/>
  <c r="BI78" i="25"/>
  <c r="K112" i="24"/>
  <c r="BQ272" i="25"/>
  <c r="L275" i="25"/>
  <c r="M171" i="24"/>
  <c r="N171" i="24" s="1"/>
  <c r="AP171" i="24" s="1"/>
  <c r="N73" i="25"/>
  <c r="BK290" i="24"/>
  <c r="S290" i="24"/>
  <c r="T290" i="24" s="1"/>
  <c r="BQ278" i="25"/>
  <c r="AH260" i="25"/>
  <c r="BI295" i="25"/>
  <c r="L295" i="25"/>
  <c r="K270" i="24"/>
  <c r="BK312" i="24"/>
  <c r="S312" i="24"/>
  <c r="T312" i="24" s="1"/>
  <c r="BI75" i="25"/>
  <c r="BI296" i="25"/>
  <c r="Q88" i="24"/>
  <c r="R88" i="24" s="1"/>
  <c r="P88" i="24"/>
  <c r="O45" i="24"/>
  <c r="BZ45" i="24" s="1"/>
  <c r="J45" i="24"/>
  <c r="BI46" i="25"/>
  <c r="N46" i="25"/>
  <c r="T46" i="25" s="1"/>
  <c r="AH68" i="25"/>
  <c r="BI19" i="25"/>
  <c r="N19" i="25"/>
  <c r="T19" i="25" s="1"/>
  <c r="BK105" i="24"/>
  <c r="S105" i="24"/>
  <c r="T105" i="24" s="1"/>
  <c r="M105" i="24"/>
  <c r="N105" i="24" s="1"/>
  <c r="BK316" i="24"/>
  <c r="S316" i="24"/>
  <c r="T316" i="24" s="1"/>
  <c r="M316" i="24"/>
  <c r="L284" i="25"/>
  <c r="BQ191" i="25"/>
  <c r="BQ250" i="25"/>
  <c r="AH250" i="25"/>
  <c r="AH56" i="25"/>
  <c r="AH128" i="25"/>
  <c r="BI103" i="25"/>
  <c r="N103" i="25"/>
  <c r="L103" i="25"/>
  <c r="BK121" i="24"/>
  <c r="S121" i="24"/>
  <c r="T121" i="24" s="1"/>
  <c r="K121" i="24"/>
  <c r="AP219" i="24"/>
  <c r="N234" i="25"/>
  <c r="N66" i="25"/>
  <c r="N112" i="25"/>
  <c r="O44" i="24"/>
  <c r="BZ44" i="24" s="1"/>
  <c r="J44" i="24"/>
  <c r="O294" i="24"/>
  <c r="BZ294" i="24" s="1"/>
  <c r="J294" i="24"/>
  <c r="M173" i="24"/>
  <c r="N173" i="24" s="1"/>
  <c r="AP173" i="24" s="1"/>
  <c r="N47" i="25"/>
  <c r="M156" i="24"/>
  <c r="N156" i="24" s="1"/>
  <c r="M149" i="24"/>
  <c r="N228" i="25"/>
  <c r="N289" i="25"/>
  <c r="N249" i="25"/>
  <c r="N102" i="25"/>
  <c r="T102" i="25" s="1"/>
  <c r="N187" i="25"/>
  <c r="M139" i="24"/>
  <c r="N225" i="25"/>
  <c r="M58" i="24"/>
  <c r="N311" i="25"/>
  <c r="T311" i="25" s="1"/>
  <c r="M154" i="24"/>
  <c r="N154" i="24" s="1"/>
  <c r="N281" i="25"/>
  <c r="N55" i="25"/>
  <c r="BK96" i="24"/>
  <c r="S96" i="24"/>
  <c r="T96" i="24" s="1"/>
  <c r="M96" i="24"/>
  <c r="N96" i="24" s="1"/>
  <c r="AP96" i="24" s="1"/>
  <c r="BI266" i="25"/>
  <c r="N266" i="25"/>
  <c r="BK158" i="24"/>
  <c r="S158" i="24"/>
  <c r="T158" i="24" s="1"/>
  <c r="M158" i="24"/>
  <c r="AH237" i="25"/>
  <c r="AH195" i="25"/>
  <c r="K268" i="24"/>
  <c r="BK83" i="24"/>
  <c r="S83" i="24"/>
  <c r="T83" i="24" s="1"/>
  <c r="AH26" i="25"/>
  <c r="AH203" i="25"/>
  <c r="BK228" i="24"/>
  <c r="S228" i="24"/>
  <c r="T228" i="24" s="1"/>
  <c r="M228" i="24"/>
  <c r="BI194" i="25"/>
  <c r="N194" i="25"/>
  <c r="AP272" i="24"/>
  <c r="AP14" i="24"/>
  <c r="L270" i="25"/>
  <c r="U24" i="24"/>
  <c r="BK18" i="24"/>
  <c r="S18" i="24"/>
  <c r="T18" i="24" s="1"/>
  <c r="BI269" i="25"/>
  <c r="N269" i="25"/>
  <c r="T269" i="25" s="1"/>
  <c r="K123" i="24"/>
  <c r="BI74" i="25"/>
  <c r="N74" i="25"/>
  <c r="K145" i="24"/>
  <c r="AH71" i="25"/>
  <c r="U163" i="24"/>
  <c r="L180" i="25"/>
  <c r="K256" i="24"/>
  <c r="AH58" i="25"/>
  <c r="BK251" i="24"/>
  <c r="S251" i="24"/>
  <c r="T251" i="24" s="1"/>
  <c r="K133" i="24"/>
  <c r="BK280" i="24"/>
  <c r="S280" i="24"/>
  <c r="T280" i="24" s="1"/>
  <c r="K280" i="24"/>
  <c r="L37" i="25"/>
  <c r="BK19" i="24"/>
  <c r="S19" i="24"/>
  <c r="T19" i="24" s="1"/>
  <c r="BK39" i="24"/>
  <c r="S39" i="24"/>
  <c r="T39" i="24" s="1"/>
  <c r="M39" i="24"/>
  <c r="AH163" i="25"/>
  <c r="AH157" i="25"/>
  <c r="L279" i="25"/>
  <c r="BK259" i="24"/>
  <c r="S259" i="24"/>
  <c r="T259" i="24" s="1"/>
  <c r="M259" i="24"/>
  <c r="BK100" i="24"/>
  <c r="S100" i="24"/>
  <c r="T100" i="24" s="1"/>
  <c r="M100" i="24"/>
  <c r="BI188" i="25"/>
  <c r="N188" i="25"/>
  <c r="BK63" i="24"/>
  <c r="S63" i="24"/>
  <c r="T63" i="24" s="1"/>
  <c r="M63" i="24"/>
  <c r="BI208" i="25"/>
  <c r="N208" i="25"/>
  <c r="BI218" i="25"/>
  <c r="N218" i="25"/>
  <c r="BK126" i="24"/>
  <c r="S126" i="24"/>
  <c r="T126" i="24" s="1"/>
  <c r="M126" i="24"/>
  <c r="K126" i="24"/>
  <c r="BQ129" i="25"/>
  <c r="BI13" i="25"/>
  <c r="BI71" i="25"/>
  <c r="L145" i="25"/>
  <c r="AH105" i="25"/>
  <c r="BK266" i="24"/>
  <c r="S266" i="24"/>
  <c r="T266" i="24" s="1"/>
  <c r="M266" i="24"/>
  <c r="L266" i="25"/>
  <c r="BK309" i="24"/>
  <c r="S309" i="24"/>
  <c r="T309" i="24" s="1"/>
  <c r="M309" i="24"/>
  <c r="N122" i="25"/>
  <c r="N23" i="25"/>
  <c r="J7" i="24"/>
  <c r="O7" i="24"/>
  <c r="BZ7" i="24" s="1"/>
  <c r="L197" i="25"/>
  <c r="BK164" i="24"/>
  <c r="S164" i="24"/>
  <c r="T164" i="24" s="1"/>
  <c r="M164" i="24"/>
  <c r="AP76" i="24"/>
  <c r="BI297" i="25"/>
  <c r="N297" i="25"/>
  <c r="L297" i="25"/>
  <c r="AH99" i="25"/>
  <c r="AH82" i="25"/>
  <c r="AH87" i="25"/>
  <c r="U27" i="24"/>
  <c r="AH12" i="25"/>
  <c r="BI238" i="25"/>
  <c r="L238" i="25"/>
  <c r="BI171" i="25"/>
  <c r="N171" i="25"/>
  <c r="BI117" i="25"/>
  <c r="N117" i="25"/>
  <c r="T117" i="25" s="1"/>
  <c r="K263" i="24"/>
  <c r="AP188" i="24"/>
  <c r="AH200" i="25"/>
  <c r="BK200" i="24"/>
  <c r="S200" i="24"/>
  <c r="T200" i="24" s="1"/>
  <c r="T276" i="25"/>
  <c r="BI306" i="25"/>
  <c r="L55" i="25"/>
  <c r="BK226" i="24"/>
  <c r="S226" i="24"/>
  <c r="T226" i="24" s="1"/>
  <c r="BI173" i="25"/>
  <c r="AH173" i="25"/>
  <c r="BK279" i="24"/>
  <c r="S279" i="24"/>
  <c r="T279" i="24" s="1"/>
  <c r="AH247" i="25"/>
  <c r="BI292" i="25"/>
  <c r="BI86" i="25"/>
  <c r="L86" i="25"/>
  <c r="T161" i="25"/>
  <c r="BQ102" i="25"/>
  <c r="K115" i="24"/>
  <c r="N182" i="25"/>
  <c r="T182" i="25" s="1"/>
  <c r="M51" i="24"/>
  <c r="N51" i="24" s="1"/>
  <c r="BK181" i="24"/>
  <c r="S181" i="24"/>
  <c r="T181" i="24" s="1"/>
  <c r="K181" i="24"/>
  <c r="U271" i="24"/>
  <c r="K271" i="24"/>
  <c r="L307" i="25"/>
  <c r="K300" i="24"/>
  <c r="L289" i="25"/>
  <c r="K183" i="24"/>
  <c r="BI240" i="25"/>
  <c r="AP238" i="24"/>
  <c r="K238" i="24"/>
  <c r="AH242" i="25"/>
  <c r="BI158" i="25"/>
  <c r="AH158" i="25"/>
  <c r="BK310" i="24"/>
  <c r="S310" i="24"/>
  <c r="T310" i="24" s="1"/>
  <c r="BI113" i="25"/>
  <c r="J55" i="24"/>
  <c r="O55" i="24"/>
  <c r="BZ55" i="24" s="1"/>
  <c r="M280" i="24"/>
  <c r="T62" i="25"/>
  <c r="BI207" i="25"/>
  <c r="N207" i="25"/>
  <c r="L207" i="25"/>
  <c r="K258" i="24"/>
  <c r="K175" i="24"/>
  <c r="L35" i="25"/>
  <c r="L48" i="25"/>
  <c r="AH24" i="25"/>
  <c r="BI22" i="25"/>
  <c r="N22" i="25"/>
  <c r="L153" i="25"/>
  <c r="BI135" i="25"/>
  <c r="N135" i="25"/>
  <c r="BI286" i="25"/>
  <c r="N286" i="25"/>
  <c r="L286" i="25"/>
  <c r="BI268" i="25"/>
  <c r="N268" i="25"/>
  <c r="L36" i="25"/>
  <c r="AH256" i="25"/>
  <c r="L41" i="25"/>
  <c r="AH69" i="25"/>
  <c r="BK57" i="24"/>
  <c r="S57" i="24"/>
  <c r="T57" i="24" s="1"/>
  <c r="M57" i="24"/>
  <c r="BI299" i="25"/>
  <c r="N299" i="25"/>
  <c r="AH7" i="25"/>
  <c r="K262" i="24"/>
  <c r="BK64" i="24"/>
  <c r="S64" i="24"/>
  <c r="T64" i="24" s="1"/>
  <c r="M64" i="24"/>
  <c r="BQ61" i="25"/>
  <c r="K197" i="24"/>
  <c r="BK10" i="24"/>
  <c r="S10" i="24"/>
  <c r="T10" i="24" s="1"/>
  <c r="L88" i="25"/>
  <c r="BI255" i="25"/>
  <c r="BI59" i="25"/>
  <c r="BI32" i="25"/>
  <c r="AP127" i="24"/>
  <c r="BK313" i="24"/>
  <c r="S313" i="24"/>
  <c r="T313" i="24" s="1"/>
  <c r="K199" i="24"/>
  <c r="AP199" i="24"/>
  <c r="BI14" i="25"/>
  <c r="T267" i="25"/>
  <c r="L178" i="25"/>
  <c r="K201" i="24"/>
  <c r="M256" i="24"/>
  <c r="N256" i="24" s="1"/>
  <c r="BK204" i="24"/>
  <c r="S204" i="24"/>
  <c r="T204" i="24" s="1"/>
  <c r="M204" i="24"/>
  <c r="T314" i="25"/>
  <c r="AH90" i="25"/>
  <c r="L285" i="25"/>
  <c r="U47" i="24"/>
  <c r="K139" i="24"/>
  <c r="BI261" i="25"/>
  <c r="AH172" i="25"/>
  <c r="BQ78" i="25"/>
  <c r="AH78" i="25"/>
  <c r="AH124" i="25"/>
  <c r="BI248" i="25"/>
  <c r="L223" i="25"/>
  <c r="BK78" i="24"/>
  <c r="S78" i="24"/>
  <c r="T78" i="24" s="1"/>
  <c r="M78" i="24"/>
  <c r="BK134" i="24"/>
  <c r="S134" i="24"/>
  <c r="T134" i="24" s="1"/>
  <c r="K254" i="24"/>
  <c r="J142" i="24"/>
  <c r="O142" i="24"/>
  <c r="BZ142" i="24" s="1"/>
  <c r="BI204" i="25"/>
  <c r="L204" i="25"/>
  <c r="BI114" i="25"/>
  <c r="AH114" i="25"/>
  <c r="U290" i="24"/>
  <c r="AH221" i="25"/>
  <c r="L278" i="25"/>
  <c r="AP270" i="24"/>
  <c r="U312" i="24"/>
  <c r="AH234" i="25"/>
  <c r="AH63" i="25"/>
  <c r="M9" i="24"/>
  <c r="N9" i="24" s="1"/>
  <c r="AP9" i="24" s="1"/>
  <c r="L111" i="25"/>
  <c r="U25" i="24"/>
  <c r="BK32" i="24"/>
  <c r="S32" i="24"/>
  <c r="T32" i="24" s="1"/>
  <c r="L228" i="25"/>
  <c r="BQ316" i="25"/>
  <c r="L216" i="25"/>
  <c r="BI216" i="25"/>
  <c r="N216" i="25"/>
  <c r="AH298" i="25"/>
  <c r="T199" i="25"/>
  <c r="BI138" i="25"/>
  <c r="BQ244" i="25"/>
  <c r="T170" i="25"/>
  <c r="L170" i="25"/>
  <c r="L296" i="25"/>
  <c r="BK88" i="24"/>
  <c r="S88" i="24"/>
  <c r="T88" i="24" s="1"/>
  <c r="U52" i="24"/>
  <c r="AH205" i="25"/>
  <c r="M151" i="24"/>
  <c r="N151" i="24" s="1"/>
  <c r="BK174" i="24"/>
  <c r="S174" i="24"/>
  <c r="T174" i="24" s="1"/>
  <c r="M174" i="24"/>
  <c r="L312" i="25"/>
  <c r="L43" i="25"/>
  <c r="BI40" i="25"/>
  <c r="N40" i="25"/>
  <c r="L139" i="25"/>
  <c r="BI156" i="25"/>
  <c r="N156" i="25"/>
  <c r="BK260" i="24"/>
  <c r="S260" i="24"/>
  <c r="T260" i="24" s="1"/>
  <c r="M260" i="24"/>
  <c r="BI301" i="25"/>
  <c r="N301" i="25"/>
  <c r="BI76" i="25"/>
  <c r="N76" i="25"/>
  <c r="AH76" i="25"/>
  <c r="K189" i="24"/>
  <c r="L191" i="25"/>
  <c r="AH303" i="25"/>
  <c r="BK229" i="24"/>
  <c r="S229" i="24"/>
  <c r="T229" i="24" s="1"/>
  <c r="M229" i="24"/>
  <c r="BQ136" i="25"/>
  <c r="U121" i="24"/>
  <c r="AP72" i="24"/>
  <c r="N295" i="25"/>
  <c r="N272" i="25"/>
  <c r="N138" i="25"/>
  <c r="N101" i="25"/>
  <c r="M242" i="24"/>
  <c r="N242" i="24" s="1"/>
  <c r="N298" i="25"/>
  <c r="M220" i="24"/>
  <c r="M197" i="24"/>
  <c r="N197" i="24" s="1"/>
  <c r="AP197" i="24" s="1"/>
  <c r="N78" i="25"/>
  <c r="N285" i="25"/>
  <c r="T285" i="25" s="1"/>
  <c r="M17" i="24"/>
  <c r="N17" i="24" s="1"/>
  <c r="N309" i="25"/>
  <c r="T309" i="25" s="1"/>
  <c r="M92" i="24"/>
  <c r="N92" i="24" s="1"/>
  <c r="N304" i="25"/>
  <c r="N181" i="25"/>
  <c r="M8" i="24"/>
  <c r="M136" i="24"/>
  <c r="N136" i="24" s="1"/>
  <c r="N86" i="25"/>
  <c r="N287" i="25"/>
  <c r="M240" i="24"/>
  <c r="N240" i="24" s="1"/>
  <c r="M222" i="24"/>
  <c r="N222" i="24" s="1"/>
  <c r="N121" i="25"/>
  <c r="N134" i="25"/>
  <c r="T134" i="25" s="1"/>
  <c r="AP267" i="24" l="1"/>
  <c r="AP56" i="24"/>
  <c r="O262" i="25"/>
  <c r="AP208" i="24"/>
  <c r="AP193" i="24"/>
  <c r="AP299" i="24"/>
  <c r="O94" i="25"/>
  <c r="S94" i="25" s="1"/>
  <c r="K94" i="25" s="1"/>
  <c r="AP101" i="24"/>
  <c r="AP202" i="24"/>
  <c r="AP297" i="24"/>
  <c r="P55" i="24"/>
  <c r="Q55" i="24"/>
  <c r="R55" i="24" s="1"/>
  <c r="U55" i="24"/>
  <c r="V55" i="24" s="1"/>
  <c r="P94" i="25"/>
  <c r="Q160" i="24"/>
  <c r="AP286" i="24"/>
  <c r="AP81" i="24"/>
  <c r="AP180" i="24"/>
  <c r="AP310" i="24"/>
  <c r="AP98" i="24"/>
  <c r="AP306" i="24"/>
  <c r="AP200" i="24"/>
  <c r="AP160" i="24"/>
  <c r="W45" i="24"/>
  <c r="Y45" i="24" s="1"/>
  <c r="AO71" i="25"/>
  <c r="Y257" i="24"/>
  <c r="U105" i="24"/>
  <c r="V105" i="24" s="1"/>
  <c r="P11" i="25"/>
  <c r="U160" i="24"/>
  <c r="V160" i="24" s="1"/>
  <c r="O11" i="25"/>
  <c r="AO11" i="25" s="1"/>
  <c r="AP252" i="24"/>
  <c r="O41" i="24"/>
  <c r="BZ41" i="24" s="1"/>
  <c r="AP186" i="24"/>
  <c r="P280" i="25"/>
  <c r="O280" i="25"/>
  <c r="Q280" i="25" s="1"/>
  <c r="AP245" i="24"/>
  <c r="BZ273" i="25"/>
  <c r="BZ306" i="25"/>
  <c r="BZ31" i="25"/>
  <c r="AO306" i="25"/>
  <c r="U252" i="24"/>
  <c r="V252" i="24" s="1"/>
  <c r="O155" i="25"/>
  <c r="AO155" i="25" s="1"/>
  <c r="P155" i="25"/>
  <c r="AP241" i="24"/>
  <c r="AP178" i="24"/>
  <c r="U87" i="24"/>
  <c r="V87" i="24" s="1"/>
  <c r="W233" i="24"/>
  <c r="Y233" i="24" s="1"/>
  <c r="O96" i="25"/>
  <c r="AO96" i="25" s="1"/>
  <c r="U286" i="24"/>
  <c r="V286" i="24" s="1"/>
  <c r="P96" i="25"/>
  <c r="T154" i="25"/>
  <c r="U154" i="25" s="1"/>
  <c r="Q286" i="24"/>
  <c r="P286" i="24"/>
  <c r="Q252" i="24"/>
  <c r="U258" i="24"/>
  <c r="V258" i="24" s="1"/>
  <c r="P77" i="24"/>
  <c r="Q77" i="24"/>
  <c r="R77" i="24" s="1"/>
  <c r="Q285" i="24"/>
  <c r="P137" i="24"/>
  <c r="U305" i="24"/>
  <c r="V305" i="24" s="1"/>
  <c r="P246" i="24"/>
  <c r="P285" i="24"/>
  <c r="AP137" i="24"/>
  <c r="AP84" i="24"/>
  <c r="Q246" i="24"/>
  <c r="U137" i="24"/>
  <c r="V137" i="24" s="1"/>
  <c r="P84" i="24"/>
  <c r="U74" i="24"/>
  <c r="V74" i="24" s="1"/>
  <c r="BZ147" i="25"/>
  <c r="O154" i="25"/>
  <c r="AO154" i="25" s="1"/>
  <c r="U118" i="24"/>
  <c r="V118" i="24" s="1"/>
  <c r="U281" i="24"/>
  <c r="V281" i="24" s="1"/>
  <c r="U276" i="24"/>
  <c r="V276" i="24" s="1"/>
  <c r="W264" i="24"/>
  <c r="Y264" i="24" s="1"/>
  <c r="P276" i="24"/>
  <c r="P189" i="25"/>
  <c r="Q276" i="24"/>
  <c r="Q143" i="25"/>
  <c r="N223" i="24"/>
  <c r="AP223" i="24" s="1"/>
  <c r="U12" i="24"/>
  <c r="V12" i="24" s="1"/>
  <c r="U254" i="24"/>
  <c r="V254" i="24" s="1"/>
  <c r="AP170" i="24"/>
  <c r="BZ114" i="25"/>
  <c r="U35" i="24"/>
  <c r="V35" i="24" s="1"/>
  <c r="U60" i="24"/>
  <c r="V60" i="24" s="1"/>
  <c r="U230" i="24"/>
  <c r="V230" i="24" s="1"/>
  <c r="O97" i="25"/>
  <c r="AP166" i="24"/>
  <c r="Q157" i="24"/>
  <c r="Q289" i="24"/>
  <c r="AP289" i="24"/>
  <c r="P157" i="24"/>
  <c r="U251" i="24"/>
  <c r="V251" i="24" s="1"/>
  <c r="O29" i="25"/>
  <c r="R29" i="25" s="1"/>
  <c r="P251" i="24"/>
  <c r="U152" i="24"/>
  <c r="V152" i="24" s="1"/>
  <c r="AO92" i="25"/>
  <c r="P29" i="25"/>
  <c r="P134" i="24"/>
  <c r="U157" i="24"/>
  <c r="V157" i="24" s="1"/>
  <c r="Q251" i="24"/>
  <c r="BZ174" i="25"/>
  <c r="Q134" i="24"/>
  <c r="U178" i="24"/>
  <c r="V178" i="24" s="1"/>
  <c r="U289" i="24"/>
  <c r="V289" i="24" s="1"/>
  <c r="AP274" i="24"/>
  <c r="R143" i="25"/>
  <c r="S143" i="25"/>
  <c r="K143" i="25" s="1"/>
  <c r="V143" i="25" s="1"/>
  <c r="X143" i="25" s="1"/>
  <c r="BZ143" i="25"/>
  <c r="BZ267" i="25"/>
  <c r="O189" i="25"/>
  <c r="AO189" i="25" s="1"/>
  <c r="BZ292" i="25"/>
  <c r="P97" i="25"/>
  <c r="U81" i="24"/>
  <c r="V81" i="24" s="1"/>
  <c r="U284" i="24"/>
  <c r="V284" i="24" s="1"/>
  <c r="O265" i="25"/>
  <c r="AO265" i="25" s="1"/>
  <c r="U207" i="24"/>
  <c r="V207" i="24" s="1"/>
  <c r="U302" i="24"/>
  <c r="V302" i="24" s="1"/>
  <c r="AP167" i="24"/>
  <c r="P265" i="25"/>
  <c r="U267" i="24"/>
  <c r="V267" i="24" s="1"/>
  <c r="Q167" i="24"/>
  <c r="U91" i="24"/>
  <c r="V91" i="24" s="1"/>
  <c r="U166" i="24"/>
  <c r="V166" i="24" s="1"/>
  <c r="U67" i="24"/>
  <c r="V67" i="24" s="1"/>
  <c r="BZ161" i="25"/>
  <c r="BZ71" i="25"/>
  <c r="P237" i="25"/>
  <c r="BZ247" i="25"/>
  <c r="O179" i="25"/>
  <c r="R179" i="25" s="1"/>
  <c r="T179" i="25"/>
  <c r="U179" i="25" s="1"/>
  <c r="T258" i="25"/>
  <c r="U258" i="25" s="1"/>
  <c r="O237" i="25"/>
  <c r="R237" i="25" s="1"/>
  <c r="O258" i="25"/>
  <c r="BZ258" i="25" s="1"/>
  <c r="BZ167" i="25"/>
  <c r="U66" i="24"/>
  <c r="V66" i="24" s="1"/>
  <c r="BZ82" i="25"/>
  <c r="U99" i="24"/>
  <c r="V99" i="24" s="1"/>
  <c r="BZ30" i="25"/>
  <c r="BZ238" i="25"/>
  <c r="BZ32" i="25"/>
  <c r="BZ13" i="25"/>
  <c r="AO82" i="25"/>
  <c r="O104" i="25"/>
  <c r="BZ199" i="25"/>
  <c r="BZ248" i="25"/>
  <c r="P104" i="25"/>
  <c r="O291" i="25"/>
  <c r="AO291" i="25" s="1"/>
  <c r="P291" i="25"/>
  <c r="P59" i="25"/>
  <c r="O59" i="25"/>
  <c r="S59" i="25" s="1"/>
  <c r="K59" i="25" s="1"/>
  <c r="V59" i="25" s="1"/>
  <c r="O28" i="25"/>
  <c r="AO28" i="25" s="1"/>
  <c r="BZ14" i="25"/>
  <c r="P28" i="25"/>
  <c r="BZ276" i="25"/>
  <c r="BZ305" i="25"/>
  <c r="BZ178" i="25"/>
  <c r="BZ283" i="25"/>
  <c r="BZ95" i="25"/>
  <c r="BZ204" i="25"/>
  <c r="BZ206" i="25"/>
  <c r="BZ259" i="25"/>
  <c r="BZ92" i="25"/>
  <c r="BZ229" i="25"/>
  <c r="AO259" i="25"/>
  <c r="BZ243" i="25"/>
  <c r="AO206" i="25"/>
  <c r="BZ240" i="25"/>
  <c r="V129" i="25"/>
  <c r="X129" i="25" s="1"/>
  <c r="FI212" i="25"/>
  <c r="FJ212" i="25"/>
  <c r="U269" i="24"/>
  <c r="V269" i="24" s="1"/>
  <c r="BZ293" i="25"/>
  <c r="U11" i="24"/>
  <c r="V11" i="24" s="1"/>
  <c r="U314" i="24"/>
  <c r="V314" i="24" s="1"/>
  <c r="U173" i="24"/>
  <c r="V173" i="24" s="1"/>
  <c r="U20" i="24"/>
  <c r="V20" i="24" s="1"/>
  <c r="U49" i="24"/>
  <c r="V49" i="24" s="1"/>
  <c r="U125" i="24"/>
  <c r="V125" i="24" s="1"/>
  <c r="U167" i="24"/>
  <c r="V167" i="24" s="1"/>
  <c r="U175" i="24"/>
  <c r="V175" i="24" s="1"/>
  <c r="U82" i="24"/>
  <c r="V82" i="24" s="1"/>
  <c r="BZ173" i="25"/>
  <c r="BZ21" i="25"/>
  <c r="BZ201" i="25"/>
  <c r="BZ192" i="25"/>
  <c r="BZ89" i="25"/>
  <c r="P77" i="25"/>
  <c r="O77" i="25"/>
  <c r="T77" i="25"/>
  <c r="U77" i="25" s="1"/>
  <c r="AO293" i="25"/>
  <c r="BZ314" i="25"/>
  <c r="U208" i="24"/>
  <c r="V208" i="24" s="1"/>
  <c r="U278" i="24"/>
  <c r="V278" i="24" s="1"/>
  <c r="U13" i="24"/>
  <c r="V13" i="24" s="1"/>
  <c r="U201" i="24"/>
  <c r="V201" i="24" s="1"/>
  <c r="U155" i="24"/>
  <c r="V155" i="24" s="1"/>
  <c r="BZ87" i="25"/>
  <c r="BZ261" i="25"/>
  <c r="BZ232" i="25"/>
  <c r="BZ148" i="25"/>
  <c r="BZ296" i="25"/>
  <c r="BZ6" i="25"/>
  <c r="U124" i="24"/>
  <c r="AO87" i="25"/>
  <c r="U169" i="24"/>
  <c r="V169" i="24" s="1"/>
  <c r="U165" i="24"/>
  <c r="V165" i="24" s="1"/>
  <c r="BZ158" i="25"/>
  <c r="AO232" i="25"/>
  <c r="AO261" i="25"/>
  <c r="U202" i="24"/>
  <c r="V202" i="24" s="1"/>
  <c r="U70" i="24"/>
  <c r="V70" i="24" s="1"/>
  <c r="U189" i="24"/>
  <c r="V189" i="24" s="1"/>
  <c r="W236" i="24"/>
  <c r="Y236" i="24" s="1"/>
  <c r="BZ282" i="25"/>
  <c r="BZ246" i="25"/>
  <c r="BZ113" i="25"/>
  <c r="AO148" i="25"/>
  <c r="U198" i="24"/>
  <c r="V198" i="24" s="1"/>
  <c r="AO192" i="25"/>
  <c r="U217" i="24"/>
  <c r="V217" i="24" s="1"/>
  <c r="AO89" i="25"/>
  <c r="U274" i="24"/>
  <c r="V274" i="24" s="1"/>
  <c r="U311" i="24"/>
  <c r="V311" i="24" s="1"/>
  <c r="U253" i="24"/>
  <c r="V253" i="24" s="1"/>
  <c r="U15" i="24"/>
  <c r="V15" i="24" s="1"/>
  <c r="BZ34" i="25"/>
  <c r="U296" i="24"/>
  <c r="V296" i="24" s="1"/>
  <c r="U37" i="24"/>
  <c r="P41" i="24"/>
  <c r="Q41" i="24"/>
  <c r="R41" i="24" s="1"/>
  <c r="U77" i="24"/>
  <c r="V77" i="24" s="1"/>
  <c r="U50" i="24"/>
  <c r="V50" i="24" s="1"/>
  <c r="U128" i="24"/>
  <c r="V128" i="24" s="1"/>
  <c r="U273" i="24"/>
  <c r="V273" i="24" s="1"/>
  <c r="BZ275" i="25"/>
  <c r="U224" i="24"/>
  <c r="V224" i="24" s="1"/>
  <c r="U84" i="24"/>
  <c r="V84" i="24" s="1"/>
  <c r="U56" i="24"/>
  <c r="V56" i="24" s="1"/>
  <c r="U285" i="24"/>
  <c r="V285" i="24" s="1"/>
  <c r="U265" i="24"/>
  <c r="V265" i="24" s="1"/>
  <c r="U134" i="24"/>
  <c r="V134" i="24" s="1"/>
  <c r="U246" i="24"/>
  <c r="V246" i="24" s="1"/>
  <c r="BZ186" i="25"/>
  <c r="U193" i="25"/>
  <c r="U151" i="25"/>
  <c r="U245" i="25"/>
  <c r="U102" i="25"/>
  <c r="U271" i="25"/>
  <c r="U263" i="25"/>
  <c r="U284" i="25"/>
  <c r="U164" i="25"/>
  <c r="U309" i="25"/>
  <c r="U17" i="25"/>
  <c r="U311" i="25"/>
  <c r="U48" i="25"/>
  <c r="U236" i="25"/>
  <c r="U60" i="25"/>
  <c r="U152" i="25"/>
  <c r="U241" i="25"/>
  <c r="U269" i="25"/>
  <c r="U8" i="25"/>
  <c r="U16" i="25"/>
  <c r="U88" i="25"/>
  <c r="U132" i="25"/>
  <c r="U117" i="25"/>
  <c r="U182" i="25"/>
  <c r="U83" i="25"/>
  <c r="U130" i="25"/>
  <c r="U37" i="25"/>
  <c r="U141" i="25"/>
  <c r="U134" i="25"/>
  <c r="U166" i="25"/>
  <c r="U43" i="25"/>
  <c r="N220" i="24"/>
  <c r="U220" i="24"/>
  <c r="J88" i="24"/>
  <c r="O88" i="24"/>
  <c r="BZ88" i="24" s="1"/>
  <c r="U7" i="25"/>
  <c r="U20" i="25"/>
  <c r="U180" i="25"/>
  <c r="P240" i="24"/>
  <c r="Q240" i="24"/>
  <c r="Q256" i="24"/>
  <c r="P256" i="24"/>
  <c r="J19" i="24"/>
  <c r="W19" i="24" s="1"/>
  <c r="O19" i="24"/>
  <c r="BZ19" i="24" s="1"/>
  <c r="P138" i="25"/>
  <c r="O138" i="25"/>
  <c r="T138" i="25"/>
  <c r="N229" i="24"/>
  <c r="U229" i="24"/>
  <c r="U312" i="25"/>
  <c r="V312" i="24"/>
  <c r="V290" i="24"/>
  <c r="N78" i="24"/>
  <c r="U78" i="24"/>
  <c r="J204" i="24"/>
  <c r="O204" i="24"/>
  <c r="BZ204" i="24" s="1"/>
  <c r="J64" i="24"/>
  <c r="O64" i="24"/>
  <c r="BZ64" i="24" s="1"/>
  <c r="P135" i="25"/>
  <c r="O135" i="25"/>
  <c r="T135" i="25"/>
  <c r="U150" i="25"/>
  <c r="N164" i="24"/>
  <c r="U164" i="24"/>
  <c r="AE7" i="24"/>
  <c r="AI7" i="24"/>
  <c r="X7" i="24"/>
  <c r="AA7" i="24" s="1"/>
  <c r="AB7" i="24" s="1"/>
  <c r="AC7" i="24" s="1"/>
  <c r="N266" i="24"/>
  <c r="U266" i="24"/>
  <c r="P218" i="25"/>
  <c r="O218" i="25"/>
  <c r="T218" i="25"/>
  <c r="P188" i="25"/>
  <c r="O188" i="25"/>
  <c r="T188" i="25"/>
  <c r="N100" i="24"/>
  <c r="U100" i="24"/>
  <c r="N39" i="24"/>
  <c r="U39" i="24"/>
  <c r="J251" i="24"/>
  <c r="O251" i="24"/>
  <c r="BZ251" i="24" s="1"/>
  <c r="U291" i="24"/>
  <c r="J158" i="24"/>
  <c r="O158" i="24"/>
  <c r="BZ158" i="24" s="1"/>
  <c r="O96" i="24"/>
  <c r="BZ96" i="24" s="1"/>
  <c r="J96" i="24"/>
  <c r="P225" i="25"/>
  <c r="O225" i="25"/>
  <c r="T225" i="25"/>
  <c r="Q156" i="24"/>
  <c r="P156" i="24"/>
  <c r="P66" i="25"/>
  <c r="O66" i="25"/>
  <c r="Q105" i="24"/>
  <c r="R105" i="24" s="1"/>
  <c r="P105" i="24"/>
  <c r="J290" i="24"/>
  <c r="W290" i="24" s="1"/>
  <c r="O290" i="24"/>
  <c r="BZ290" i="24" s="1"/>
  <c r="Q293" i="24"/>
  <c r="P293" i="24"/>
  <c r="J234" i="24"/>
  <c r="W234" i="24" s="1"/>
  <c r="O234" i="24"/>
  <c r="BZ234" i="24" s="1"/>
  <c r="O205" i="24"/>
  <c r="BZ205" i="24" s="1"/>
  <c r="J205" i="24"/>
  <c r="W205" i="24" s="1"/>
  <c r="O179" i="24"/>
  <c r="BZ179" i="24" s="1"/>
  <c r="J179" i="24"/>
  <c r="U246" i="25"/>
  <c r="P302" i="25"/>
  <c r="O302" i="25"/>
  <c r="T302" i="25"/>
  <c r="P242" i="25"/>
  <c r="O242" i="25"/>
  <c r="T242" i="25"/>
  <c r="N209" i="24"/>
  <c r="U209" i="24"/>
  <c r="P253" i="25"/>
  <c r="O253" i="25"/>
  <c r="J248" i="24"/>
  <c r="W248" i="24" s="1"/>
  <c r="O248" i="24"/>
  <c r="BZ248" i="24" s="1"/>
  <c r="J79" i="24"/>
  <c r="O79" i="24"/>
  <c r="BZ79" i="24" s="1"/>
  <c r="O77" i="24"/>
  <c r="BZ77" i="24" s="1"/>
  <c r="J77" i="24"/>
  <c r="N288" i="24"/>
  <c r="U288" i="24"/>
  <c r="O276" i="24"/>
  <c r="BZ276" i="24" s="1"/>
  <c r="J276" i="24"/>
  <c r="J123" i="24"/>
  <c r="O123" i="24"/>
  <c r="BZ123" i="24" s="1"/>
  <c r="P93" i="25"/>
  <c r="O93" i="25"/>
  <c r="T93" i="25"/>
  <c r="P116" i="25"/>
  <c r="O116" i="25"/>
  <c r="T116" i="25"/>
  <c r="P65" i="25"/>
  <c r="O65" i="25"/>
  <c r="J30" i="24"/>
  <c r="W30" i="24" s="1"/>
  <c r="O30" i="24"/>
  <c r="BZ30" i="24" s="1"/>
  <c r="J124" i="24"/>
  <c r="O124" i="24"/>
  <c r="BZ124" i="24" s="1"/>
  <c r="P72" i="25"/>
  <c r="O72" i="25"/>
  <c r="T72" i="25"/>
  <c r="O52" i="24"/>
  <c r="BZ52" i="24" s="1"/>
  <c r="J52" i="24"/>
  <c r="W52" i="24" s="1"/>
  <c r="S262" i="25"/>
  <c r="K262" i="25" s="1"/>
  <c r="V262" i="25" s="1"/>
  <c r="R262" i="25"/>
  <c r="Q262" i="25"/>
  <c r="J61" i="24"/>
  <c r="W61" i="24" s="1"/>
  <c r="O61" i="24"/>
  <c r="BZ61" i="24" s="1"/>
  <c r="V199" i="24"/>
  <c r="O26" i="24"/>
  <c r="BZ26" i="24" s="1"/>
  <c r="J26" i="24"/>
  <c r="J183" i="24"/>
  <c r="O183" i="24"/>
  <c r="BZ183" i="24" s="1"/>
  <c r="AP154" i="24"/>
  <c r="J97" i="24"/>
  <c r="W97" i="24" s="1"/>
  <c r="O97" i="24"/>
  <c r="BZ97" i="24" s="1"/>
  <c r="W190" i="24"/>
  <c r="V190" i="24"/>
  <c r="N54" i="24"/>
  <c r="U54" i="24"/>
  <c r="P125" i="24"/>
  <c r="Q125" i="24"/>
  <c r="Q112" i="24"/>
  <c r="P112" i="24"/>
  <c r="Q299" i="24"/>
  <c r="P299" i="24"/>
  <c r="P54" i="25"/>
  <c r="O54" i="25"/>
  <c r="J196" i="24"/>
  <c r="O196" i="24"/>
  <c r="BZ196" i="24" s="1"/>
  <c r="V61" i="24"/>
  <c r="O237" i="24"/>
  <c r="BZ237" i="24" s="1"/>
  <c r="J237" i="24"/>
  <c r="W237" i="24" s="1"/>
  <c r="J238" i="24"/>
  <c r="W238" i="24" s="1"/>
  <c r="O238" i="24"/>
  <c r="BZ238" i="24" s="1"/>
  <c r="Q102" i="24"/>
  <c r="R102" i="24" s="1"/>
  <c r="P102" i="24"/>
  <c r="FJ110" i="25"/>
  <c r="FJ209" i="25"/>
  <c r="FI207" i="25"/>
  <c r="FI176" i="25"/>
  <c r="FJ164" i="25"/>
  <c r="FI113" i="25"/>
  <c r="FI204" i="25"/>
  <c r="FJ129" i="25"/>
  <c r="FI151" i="25"/>
  <c r="FI126" i="25"/>
  <c r="FI187" i="25"/>
  <c r="FI137" i="25"/>
  <c r="FJ189" i="25"/>
  <c r="FJ170" i="25"/>
  <c r="FI142" i="25"/>
  <c r="FJ158" i="25"/>
  <c r="FJ172" i="25"/>
  <c r="FI135" i="25"/>
  <c r="FI183" i="25"/>
  <c r="FJ123" i="25"/>
  <c r="FI168" i="25"/>
  <c r="FI157" i="25"/>
  <c r="FJ182" i="25"/>
  <c r="FI110" i="25"/>
  <c r="FJ141" i="25"/>
  <c r="F212" i="25"/>
  <c r="FI123" i="25"/>
  <c r="FI122" i="25"/>
  <c r="FI125" i="25"/>
  <c r="FJ190" i="25"/>
  <c r="FJ111" i="25"/>
  <c r="FJ148" i="25"/>
  <c r="FI166" i="25"/>
  <c r="FI201" i="25"/>
  <c r="FJ208" i="25"/>
  <c r="FJ203" i="25"/>
  <c r="FI190" i="25"/>
  <c r="FI174" i="25"/>
  <c r="FJ120" i="25"/>
  <c r="FI194" i="25"/>
  <c r="FJ142" i="25"/>
  <c r="FJ124" i="25"/>
  <c r="FI170" i="25"/>
  <c r="FJ121" i="25"/>
  <c r="FJ185" i="25"/>
  <c r="FJ153" i="25"/>
  <c r="FI156" i="25"/>
  <c r="FI143" i="25"/>
  <c r="FI121" i="25"/>
  <c r="FI119" i="25"/>
  <c r="FJ174" i="25"/>
  <c r="FI193" i="25"/>
  <c r="FI162" i="25"/>
  <c r="FI165" i="25"/>
  <c r="FJ161" i="25"/>
  <c r="FJ160" i="25"/>
  <c r="FJ191" i="25"/>
  <c r="FJ193" i="25"/>
  <c r="FJ207" i="25"/>
  <c r="FJ152" i="25"/>
  <c r="FJ177" i="25"/>
  <c r="FJ184" i="25"/>
  <c r="FI173" i="25"/>
  <c r="FI148" i="25"/>
  <c r="FI127" i="25"/>
  <c r="FI158" i="25"/>
  <c r="FI208" i="25"/>
  <c r="FJ130" i="25"/>
  <c r="FI167" i="25"/>
  <c r="FJ187" i="25"/>
  <c r="FI199" i="25"/>
  <c r="FJ195" i="25"/>
  <c r="FI180" i="25"/>
  <c r="FJ150" i="25"/>
  <c r="FJ127" i="25"/>
  <c r="FI131" i="25"/>
  <c r="FJ134" i="25"/>
  <c r="G212" i="25"/>
  <c r="FJ112" i="25"/>
  <c r="FI154" i="25"/>
  <c r="FI205" i="25"/>
  <c r="FJ167" i="25"/>
  <c r="FI140" i="25"/>
  <c r="FJ176" i="25"/>
  <c r="FI178" i="25"/>
  <c r="FI163" i="25"/>
  <c r="FJ114" i="25"/>
  <c r="FJ145" i="25"/>
  <c r="FI195" i="25"/>
  <c r="FJ186" i="25"/>
  <c r="FI197" i="25"/>
  <c r="FI116" i="25"/>
  <c r="FJ205" i="25"/>
  <c r="FI179" i="25"/>
  <c r="FI182" i="25"/>
  <c r="FI169" i="25"/>
  <c r="FI111" i="25"/>
  <c r="FJ157" i="25"/>
  <c r="FJ149" i="25"/>
  <c r="FJ175" i="25"/>
  <c r="FI206" i="25"/>
  <c r="FI115" i="25"/>
  <c r="FI185" i="25"/>
  <c r="FJ143" i="25"/>
  <c r="FI172" i="25"/>
  <c r="FI192" i="25"/>
  <c r="FJ173" i="25"/>
  <c r="FJ171" i="25"/>
  <c r="FJ116" i="25"/>
  <c r="FI129" i="25"/>
  <c r="FJ180" i="25"/>
  <c r="FJ163" i="25"/>
  <c r="FI198" i="25"/>
  <c r="FJ118" i="25"/>
  <c r="CE110" i="25"/>
  <c r="FI112" i="25"/>
  <c r="FI133" i="25"/>
  <c r="FJ137" i="25"/>
  <c r="FI124" i="25"/>
  <c r="FJ168" i="25"/>
  <c r="FJ178" i="25"/>
  <c r="FI164" i="25"/>
  <c r="FI175" i="25"/>
  <c r="FI186" i="25"/>
  <c r="FJ159" i="25"/>
  <c r="FI150" i="25"/>
  <c r="FI144" i="25"/>
  <c r="FJ169" i="25"/>
  <c r="FJ166" i="25"/>
  <c r="FJ181" i="25"/>
  <c r="FJ126" i="25"/>
  <c r="FJ131" i="25"/>
  <c r="FJ201" i="25"/>
  <c r="FJ128" i="25"/>
  <c r="FJ144" i="25"/>
  <c r="FI146" i="25"/>
  <c r="FI177" i="25"/>
  <c r="FI149" i="25"/>
  <c r="FJ200" i="25"/>
  <c r="FI196" i="25"/>
  <c r="FJ202" i="25"/>
  <c r="FJ198" i="25"/>
  <c r="FJ136" i="25"/>
  <c r="FI139" i="25"/>
  <c r="FI202" i="25"/>
  <c r="FJ155" i="25"/>
  <c r="FI188" i="25"/>
  <c r="FJ125" i="25"/>
  <c r="FJ117" i="25"/>
  <c r="FJ156" i="25"/>
  <c r="FJ132" i="25"/>
  <c r="FJ188" i="25"/>
  <c r="FI209" i="25"/>
  <c r="FJ140" i="25"/>
  <c r="FJ135" i="25"/>
  <c r="FI117" i="25"/>
  <c r="FJ179" i="25"/>
  <c r="FJ154" i="25"/>
  <c r="FJ194" i="25"/>
  <c r="FJ119" i="25"/>
  <c r="FJ133" i="25"/>
  <c r="FI210" i="25"/>
  <c r="FI134" i="25"/>
  <c r="FI153" i="25"/>
  <c r="FJ197" i="25"/>
  <c r="FI152" i="25"/>
  <c r="FI160" i="25"/>
  <c r="FJ204" i="25"/>
  <c r="FJ162" i="25"/>
  <c r="FI118" i="25"/>
  <c r="FI189" i="25"/>
  <c r="FI128" i="25"/>
  <c r="FI155" i="25"/>
  <c r="FI161" i="25"/>
  <c r="FJ115" i="25"/>
  <c r="FI159" i="25"/>
  <c r="FJ138" i="25"/>
  <c r="FJ183" i="25"/>
  <c r="FJ199" i="25"/>
  <c r="FJ192" i="25"/>
  <c r="FJ196" i="25"/>
  <c r="FI141" i="25"/>
  <c r="FI171" i="25"/>
  <c r="FI181" i="25"/>
  <c r="FJ147" i="25"/>
  <c r="FI114" i="25"/>
  <c r="FJ165" i="25"/>
  <c r="FI120" i="25"/>
  <c r="FI184" i="25"/>
  <c r="FJ151" i="25"/>
  <c r="FI136" i="25"/>
  <c r="FJ206" i="25"/>
  <c r="FI130" i="25"/>
  <c r="FJ210" i="25"/>
  <c r="FJ146" i="25"/>
  <c r="FI200" i="25"/>
  <c r="FI138" i="25"/>
  <c r="FJ139" i="25"/>
  <c r="FI203" i="25"/>
  <c r="FI191" i="25"/>
  <c r="FJ122" i="25"/>
  <c r="FI145" i="25"/>
  <c r="FI132" i="25"/>
  <c r="FJ113" i="25"/>
  <c r="FI147" i="25"/>
  <c r="CF110" i="25"/>
  <c r="CF128" i="25"/>
  <c r="CE136" i="25"/>
  <c r="CE118" i="25"/>
  <c r="CF118" i="25"/>
  <c r="CF126" i="25"/>
  <c r="CF119" i="25"/>
  <c r="CF123" i="25"/>
  <c r="CF121" i="25"/>
  <c r="CE115" i="25"/>
  <c r="CF117" i="25"/>
  <c r="CF142" i="25"/>
  <c r="CF150" i="25"/>
  <c r="CE130" i="25"/>
  <c r="CF130" i="25"/>
  <c r="CE125" i="25"/>
  <c r="CE141" i="25"/>
  <c r="CF206" i="25"/>
  <c r="CE114" i="25"/>
  <c r="CE119" i="25"/>
  <c r="CF133" i="25"/>
  <c r="CE140" i="25"/>
  <c r="CF158" i="25"/>
  <c r="CE121" i="25"/>
  <c r="CF115" i="25"/>
  <c r="CE167" i="25"/>
  <c r="CE150" i="25"/>
  <c r="CF157" i="25"/>
  <c r="CF125" i="25"/>
  <c r="CF162" i="25"/>
  <c r="CE128" i="25"/>
  <c r="CE124" i="25"/>
  <c r="CF116" i="25"/>
  <c r="CF178" i="25"/>
  <c r="CE146" i="25"/>
  <c r="CE133" i="25"/>
  <c r="CF127" i="25"/>
  <c r="CF140" i="25"/>
  <c r="CE123" i="25"/>
  <c r="CE158" i="25"/>
  <c r="CE117" i="25"/>
  <c r="CF188" i="25"/>
  <c r="CE157" i="25"/>
  <c r="CE162" i="25"/>
  <c r="CF122" i="25"/>
  <c r="CF136" i="25"/>
  <c r="CE155" i="25"/>
  <c r="CE178" i="25"/>
  <c r="CF131" i="25"/>
  <c r="CE149" i="25"/>
  <c r="CE197" i="25"/>
  <c r="CE188" i="25"/>
  <c r="CE139" i="25"/>
  <c r="CE116" i="25"/>
  <c r="CF146" i="25"/>
  <c r="CE127" i="25"/>
  <c r="CF149" i="25"/>
  <c r="CF113" i="25"/>
  <c r="CF112" i="25"/>
  <c r="CE134" i="25"/>
  <c r="CF111" i="25"/>
  <c r="CE131" i="25"/>
  <c r="CE113" i="25"/>
  <c r="CE112" i="25"/>
  <c r="CF134" i="25"/>
  <c r="CE144" i="25"/>
  <c r="CF148" i="25"/>
  <c r="CE122" i="25"/>
  <c r="CE143" i="25"/>
  <c r="CF139" i="25"/>
  <c r="CF155" i="25"/>
  <c r="CE111" i="25"/>
  <c r="CF124" i="25"/>
  <c r="CE187" i="25"/>
  <c r="CF144" i="25"/>
  <c r="CF129" i="25"/>
  <c r="CF145" i="25"/>
  <c r="CF120" i="25"/>
  <c r="CE137" i="25"/>
  <c r="CF143" i="25"/>
  <c r="CF141" i="25"/>
  <c r="CF114" i="25"/>
  <c r="CE126" i="25"/>
  <c r="CF187" i="25"/>
  <c r="CE148" i="25"/>
  <c r="CF167" i="25"/>
  <c r="CE142" i="25"/>
  <c r="CF197" i="25"/>
  <c r="CE129" i="25"/>
  <c r="CE145" i="25"/>
  <c r="CE120" i="25"/>
  <c r="CF137" i="25"/>
  <c r="CE206" i="25"/>
  <c r="CE152" i="25"/>
  <c r="CF152" i="25"/>
  <c r="CF195" i="25"/>
  <c r="CE195" i="25"/>
  <c r="AO34" i="25"/>
  <c r="P52" i="25"/>
  <c r="O52" i="25"/>
  <c r="U308" i="25"/>
  <c r="BZ62" i="25"/>
  <c r="U80" i="25"/>
  <c r="AP35" i="24"/>
  <c r="P200" i="25"/>
  <c r="O200" i="25"/>
  <c r="T200" i="25"/>
  <c r="BZ177" i="25"/>
  <c r="V21" i="24"/>
  <c r="W21" i="24"/>
  <c r="O177" i="24"/>
  <c r="BZ177" i="24" s="1"/>
  <c r="J177" i="24"/>
  <c r="P275" i="24"/>
  <c r="Q275" i="24"/>
  <c r="P235" i="25"/>
  <c r="O235" i="25"/>
  <c r="P222" i="25"/>
  <c r="O222" i="25"/>
  <c r="T222" i="25"/>
  <c r="P310" i="25"/>
  <c r="O310" i="25"/>
  <c r="P166" i="24"/>
  <c r="Q166" i="24"/>
  <c r="U28" i="24"/>
  <c r="P133" i="25"/>
  <c r="O133" i="25"/>
  <c r="P98" i="25"/>
  <c r="O98" i="25"/>
  <c r="T98" i="25"/>
  <c r="P80" i="25"/>
  <c r="O80" i="25"/>
  <c r="O246" i="24"/>
  <c r="BZ246" i="24" s="1"/>
  <c r="J246" i="24"/>
  <c r="U297" i="24"/>
  <c r="P118" i="24"/>
  <c r="Q118" i="24"/>
  <c r="P315" i="25"/>
  <c r="O315" i="25"/>
  <c r="T315" i="25"/>
  <c r="Q34" i="24"/>
  <c r="R34" i="24" s="1"/>
  <c r="P34" i="24"/>
  <c r="Q15" i="24"/>
  <c r="R15" i="24" s="1"/>
  <c r="P15" i="24"/>
  <c r="O85" i="24"/>
  <c r="BZ85" i="24" s="1"/>
  <c r="J85" i="24"/>
  <c r="J135" i="24"/>
  <c r="O135" i="24"/>
  <c r="BZ135" i="24" s="1"/>
  <c r="S204" i="25"/>
  <c r="K204" i="25" s="1"/>
  <c r="V204" i="25" s="1"/>
  <c r="R204" i="25"/>
  <c r="Q204" i="25"/>
  <c r="BZ262" i="25"/>
  <c r="U174" i="25"/>
  <c r="S275" i="25"/>
  <c r="K275" i="25" s="1"/>
  <c r="V275" i="25" s="1"/>
  <c r="R275" i="25"/>
  <c r="Q275" i="25"/>
  <c r="J208" i="24"/>
  <c r="O208" i="24"/>
  <c r="BZ208" i="24" s="1"/>
  <c r="P74" i="24"/>
  <c r="Q74" i="24"/>
  <c r="R74" i="24" s="1"/>
  <c r="R14" i="25"/>
  <c r="S14" i="25"/>
  <c r="K14" i="25" s="1"/>
  <c r="V14" i="25" s="1"/>
  <c r="Q14" i="25"/>
  <c r="Q16" i="24"/>
  <c r="R16" i="24" s="1"/>
  <c r="P16" i="24"/>
  <c r="Q138" i="24"/>
  <c r="P138" i="24"/>
  <c r="V180" i="24"/>
  <c r="U158" i="25"/>
  <c r="V62" i="24"/>
  <c r="P185" i="25"/>
  <c r="O185" i="25"/>
  <c r="U87" i="25"/>
  <c r="U192" i="24"/>
  <c r="P239" i="25"/>
  <c r="O239" i="25"/>
  <c r="T239" i="25"/>
  <c r="N46" i="24"/>
  <c r="U46" i="24"/>
  <c r="S248" i="25"/>
  <c r="K248" i="25" s="1"/>
  <c r="V248" i="25" s="1"/>
  <c r="R248" i="25"/>
  <c r="Q248" i="25"/>
  <c r="V272" i="24"/>
  <c r="O168" i="24"/>
  <c r="BZ168" i="24" s="1"/>
  <c r="J168" i="24"/>
  <c r="O186" i="24"/>
  <c r="BZ186" i="24" s="1"/>
  <c r="J186" i="24"/>
  <c r="Q310" i="24"/>
  <c r="P310" i="24"/>
  <c r="U306" i="25"/>
  <c r="U73" i="24"/>
  <c r="Q142" i="24"/>
  <c r="P142" i="24"/>
  <c r="V193" i="24"/>
  <c r="U243" i="25"/>
  <c r="U89" i="25"/>
  <c r="Q130" i="24"/>
  <c r="P130" i="24"/>
  <c r="U283" i="24"/>
  <c r="N94" i="24"/>
  <c r="U94" i="24"/>
  <c r="P168" i="25"/>
  <c r="O168" i="25"/>
  <c r="V79" i="24"/>
  <c r="U235" i="24"/>
  <c r="P97" i="24"/>
  <c r="Q97" i="24"/>
  <c r="R97" i="24" s="1"/>
  <c r="P165" i="24"/>
  <c r="Q165" i="24"/>
  <c r="N8" i="24"/>
  <c r="U8" i="24"/>
  <c r="P121" i="25"/>
  <c r="O121" i="25"/>
  <c r="P242" i="24"/>
  <c r="Q242" i="24"/>
  <c r="P268" i="25"/>
  <c r="O268" i="25"/>
  <c r="T268" i="25"/>
  <c r="Q51" i="24"/>
  <c r="R51" i="24" s="1"/>
  <c r="P51" i="24"/>
  <c r="V27" i="24"/>
  <c r="U300" i="25"/>
  <c r="P289" i="25"/>
  <c r="O289" i="25"/>
  <c r="U199" i="25"/>
  <c r="N64" i="24"/>
  <c r="U64" i="24"/>
  <c r="J126" i="24"/>
  <c r="O126" i="24"/>
  <c r="BZ126" i="24" s="1"/>
  <c r="P86" i="25"/>
  <c r="O86" i="25"/>
  <c r="T86" i="25"/>
  <c r="P285" i="25"/>
  <c r="O285" i="25"/>
  <c r="V121" i="24"/>
  <c r="P136" i="24"/>
  <c r="Q136" i="24"/>
  <c r="P78" i="25"/>
  <c r="O78" i="25"/>
  <c r="T78" i="25"/>
  <c r="P272" i="25"/>
  <c r="O272" i="25"/>
  <c r="T272" i="25"/>
  <c r="U128" i="25"/>
  <c r="U191" i="25"/>
  <c r="U19" i="25"/>
  <c r="J260" i="24"/>
  <c r="O260" i="24"/>
  <c r="BZ260" i="24" s="1"/>
  <c r="O32" i="24"/>
  <c r="BZ32" i="24" s="1"/>
  <c r="J32" i="24"/>
  <c r="W32" i="24" s="1"/>
  <c r="U240" i="24"/>
  <c r="J78" i="24"/>
  <c r="O78" i="24"/>
  <c r="BZ78" i="24" s="1"/>
  <c r="U314" i="25"/>
  <c r="U267" i="25"/>
  <c r="N57" i="24"/>
  <c r="U57" i="24"/>
  <c r="P286" i="25"/>
  <c r="O286" i="25"/>
  <c r="T286" i="25"/>
  <c r="O207" i="25"/>
  <c r="P207" i="25"/>
  <c r="T207" i="25"/>
  <c r="AE55" i="24"/>
  <c r="AI55" i="24"/>
  <c r="X55" i="24"/>
  <c r="AA55" i="24" s="1"/>
  <c r="AB55" i="24" s="1"/>
  <c r="AC55" i="24" s="1"/>
  <c r="U136" i="24"/>
  <c r="U276" i="25"/>
  <c r="P23" i="25"/>
  <c r="O23" i="25"/>
  <c r="T23" i="25"/>
  <c r="J266" i="24"/>
  <c r="O266" i="24"/>
  <c r="BZ266" i="24" s="1"/>
  <c r="N63" i="24"/>
  <c r="U63" i="24"/>
  <c r="O100" i="24"/>
  <c r="BZ100" i="24" s="1"/>
  <c r="J100" i="24"/>
  <c r="J259" i="24"/>
  <c r="O259" i="24"/>
  <c r="BZ259" i="24" s="1"/>
  <c r="P194" i="25"/>
  <c r="O194" i="25"/>
  <c r="T194" i="25"/>
  <c r="N139" i="24"/>
  <c r="U139" i="24"/>
  <c r="P47" i="25"/>
  <c r="O47" i="25"/>
  <c r="P234" i="25"/>
  <c r="O234" i="25"/>
  <c r="O105" i="24"/>
  <c r="BZ105" i="24" s="1"/>
  <c r="J105" i="24"/>
  <c r="AE45" i="24"/>
  <c r="X45" i="24"/>
  <c r="AA45" i="24" s="1"/>
  <c r="AB45" i="24" s="1"/>
  <c r="AC45" i="24" s="1"/>
  <c r="AI45" i="24"/>
  <c r="O293" i="24"/>
  <c r="BZ293" i="24" s="1"/>
  <c r="J293" i="24"/>
  <c r="P311" i="24"/>
  <c r="Q311" i="24"/>
  <c r="R170" i="25"/>
  <c r="S170" i="25"/>
  <c r="K170" i="25" s="1"/>
  <c r="V170" i="25" s="1"/>
  <c r="Q170" i="25"/>
  <c r="U198" i="25"/>
  <c r="P53" i="25"/>
  <c r="O53" i="25"/>
  <c r="P184" i="25"/>
  <c r="O184" i="25"/>
  <c r="Q135" i="24"/>
  <c r="P135" i="24"/>
  <c r="V219" i="24"/>
  <c r="P230" i="24"/>
  <c r="Q230" i="24"/>
  <c r="U262" i="25"/>
  <c r="V127" i="24"/>
  <c r="J303" i="24"/>
  <c r="W303" i="24" s="1"/>
  <c r="O303" i="24"/>
  <c r="BZ303" i="24" s="1"/>
  <c r="U57" i="25"/>
  <c r="P15" i="25"/>
  <c r="O15" i="25"/>
  <c r="O157" i="24"/>
  <c r="BZ157" i="24" s="1"/>
  <c r="J157" i="24"/>
  <c r="J286" i="24"/>
  <c r="O286" i="24"/>
  <c r="BZ286" i="24" s="1"/>
  <c r="O116" i="24"/>
  <c r="BZ116" i="24" s="1"/>
  <c r="J116" i="24"/>
  <c r="J223" i="24"/>
  <c r="W223" i="24" s="1"/>
  <c r="O223" i="24"/>
  <c r="BZ223" i="24" s="1"/>
  <c r="P264" i="25"/>
  <c r="O264" i="25"/>
  <c r="T264" i="25"/>
  <c r="P260" i="25"/>
  <c r="O260" i="25"/>
  <c r="T260" i="25"/>
  <c r="N113" i="24"/>
  <c r="U113" i="24"/>
  <c r="BZ255" i="25"/>
  <c r="V238" i="24"/>
  <c r="U31" i="25"/>
  <c r="N38" i="24"/>
  <c r="U38" i="24"/>
  <c r="J167" i="24"/>
  <c r="O167" i="24"/>
  <c r="BZ167" i="24" s="1"/>
  <c r="Q267" i="24"/>
  <c r="P267" i="24"/>
  <c r="O54" i="24"/>
  <c r="BZ54" i="24" s="1"/>
  <c r="J54" i="24"/>
  <c r="J268" i="24"/>
  <c r="W268" i="24" s="1"/>
  <c r="O268" i="24"/>
  <c r="BZ268" i="24" s="1"/>
  <c r="U35" i="25"/>
  <c r="Q69" i="24"/>
  <c r="R69" i="24" s="1"/>
  <c r="P69" i="24"/>
  <c r="P235" i="24"/>
  <c r="Q235" i="24"/>
  <c r="P69" i="25"/>
  <c r="O69" i="25"/>
  <c r="P153" i="25"/>
  <c r="O153" i="25"/>
  <c r="P85" i="25"/>
  <c r="O85" i="25"/>
  <c r="R198" i="25"/>
  <c r="S198" i="25"/>
  <c r="K198" i="25" s="1"/>
  <c r="Q198" i="25"/>
  <c r="O198" i="24"/>
  <c r="BZ198" i="24" s="1"/>
  <c r="J198" i="24"/>
  <c r="N239" i="24"/>
  <c r="U239" i="24"/>
  <c r="O89" i="24"/>
  <c r="BZ89" i="24" s="1"/>
  <c r="J89" i="24"/>
  <c r="N262" i="24"/>
  <c r="U262" i="24"/>
  <c r="Q217" i="24"/>
  <c r="P217" i="24"/>
  <c r="AP300" i="24"/>
  <c r="N277" i="24"/>
  <c r="U277" i="24"/>
  <c r="P176" i="24"/>
  <c r="Q176" i="24"/>
  <c r="AP291" i="24"/>
  <c r="P220" i="25"/>
  <c r="O220" i="25"/>
  <c r="T220" i="25"/>
  <c r="P244" i="25"/>
  <c r="O244" i="25"/>
  <c r="P100" i="25"/>
  <c r="O100" i="25"/>
  <c r="T100" i="25"/>
  <c r="O166" i="24"/>
  <c r="BZ166" i="24" s="1"/>
  <c r="J166" i="24"/>
  <c r="P68" i="25"/>
  <c r="O68" i="25"/>
  <c r="T68" i="25"/>
  <c r="J184" i="24"/>
  <c r="O184" i="24"/>
  <c r="BZ184" i="24" s="1"/>
  <c r="P111" i="25"/>
  <c r="O111" i="25"/>
  <c r="O93" i="24"/>
  <c r="BZ93" i="24" s="1"/>
  <c r="J93" i="24"/>
  <c r="U119" i="25"/>
  <c r="U149" i="25"/>
  <c r="W22" i="24"/>
  <c r="V22" i="24"/>
  <c r="P99" i="24"/>
  <c r="Q99" i="24"/>
  <c r="R99" i="24" s="1"/>
  <c r="P302" i="24"/>
  <c r="Q302" i="24"/>
  <c r="N114" i="24"/>
  <c r="U114" i="24"/>
  <c r="Q81" i="24"/>
  <c r="R81" i="24" s="1"/>
  <c r="P81" i="24"/>
  <c r="O254" i="24"/>
  <c r="BZ254" i="24" s="1"/>
  <c r="J254" i="24"/>
  <c r="AO262" i="25"/>
  <c r="P61" i="25"/>
  <c r="O61" i="25"/>
  <c r="AO131" i="25"/>
  <c r="P178" i="24"/>
  <c r="Q178" i="24"/>
  <c r="J74" i="24"/>
  <c r="O74" i="24"/>
  <c r="BZ74" i="24" s="1"/>
  <c r="V6" i="24"/>
  <c r="P180" i="24"/>
  <c r="Q180" i="24"/>
  <c r="R158" i="25"/>
  <c r="S158" i="25"/>
  <c r="K158" i="25" s="1"/>
  <c r="V158" i="25" s="1"/>
  <c r="Q158" i="25"/>
  <c r="V287" i="24"/>
  <c r="U154" i="24"/>
  <c r="S87" i="25"/>
  <c r="K87" i="25" s="1"/>
  <c r="V87" i="25" s="1"/>
  <c r="R87" i="25"/>
  <c r="Q87" i="25"/>
  <c r="S174" i="25"/>
  <c r="K174" i="25" s="1"/>
  <c r="R174" i="25"/>
  <c r="Q174" i="25"/>
  <c r="J46" i="24"/>
  <c r="O46" i="24"/>
  <c r="BZ46" i="24" s="1"/>
  <c r="W101" i="24"/>
  <c r="V101" i="24"/>
  <c r="P226" i="25"/>
  <c r="O226" i="25"/>
  <c r="U92" i="24"/>
  <c r="V120" i="24"/>
  <c r="R306" i="25"/>
  <c r="S306" i="25"/>
  <c r="K306" i="25" s="1"/>
  <c r="Q306" i="25"/>
  <c r="P202" i="25"/>
  <c r="O202" i="25"/>
  <c r="P70" i="25"/>
  <c r="O70" i="25"/>
  <c r="U32" i="25"/>
  <c r="P193" i="24"/>
  <c r="Q193" i="24"/>
  <c r="R243" i="25"/>
  <c r="S243" i="25"/>
  <c r="K243" i="25" s="1"/>
  <c r="V243" i="25" s="1"/>
  <c r="Q243" i="25"/>
  <c r="R89" i="25"/>
  <c r="S89" i="25"/>
  <c r="K89" i="25" s="1"/>
  <c r="V89" i="25" s="1"/>
  <c r="Q89" i="25"/>
  <c r="V116" i="24"/>
  <c r="O160" i="25"/>
  <c r="P160" i="25"/>
  <c r="T160" i="25"/>
  <c r="Q283" i="24"/>
  <c r="P283" i="24"/>
  <c r="J94" i="24"/>
  <c r="O94" i="24"/>
  <c r="BZ94" i="24" s="1"/>
  <c r="Q37" i="24"/>
  <c r="R37" i="24" s="1"/>
  <c r="P37" i="24"/>
  <c r="Q281" i="24"/>
  <c r="P281" i="24"/>
  <c r="Q79" i="24"/>
  <c r="R79" i="24" s="1"/>
  <c r="P79" i="24"/>
  <c r="J111" i="24"/>
  <c r="O111" i="24"/>
  <c r="BZ111" i="24" s="1"/>
  <c r="P9" i="25"/>
  <c r="O9" i="25"/>
  <c r="J165" i="24"/>
  <c r="O165" i="24"/>
  <c r="BZ165" i="24" s="1"/>
  <c r="P295" i="25"/>
  <c r="O295" i="25"/>
  <c r="J229" i="24"/>
  <c r="O229" i="24"/>
  <c r="BZ229" i="24" s="1"/>
  <c r="U253" i="25"/>
  <c r="N174" i="24"/>
  <c r="U174" i="24"/>
  <c r="U170" i="25"/>
  <c r="X170" i="25" s="1"/>
  <c r="T295" i="25"/>
  <c r="AE142" i="24"/>
  <c r="AI142" i="24"/>
  <c r="X142" i="24"/>
  <c r="AA142" i="24" s="1"/>
  <c r="AB142" i="24" s="1"/>
  <c r="AC142" i="24" s="1"/>
  <c r="V47" i="24"/>
  <c r="U50" i="25"/>
  <c r="U161" i="25"/>
  <c r="P171" i="25"/>
  <c r="O171" i="25"/>
  <c r="O164" i="24"/>
  <c r="BZ164" i="24" s="1"/>
  <c r="J164" i="24"/>
  <c r="P122" i="25"/>
  <c r="O122" i="25"/>
  <c r="T122" i="25"/>
  <c r="J63" i="24"/>
  <c r="O63" i="24"/>
  <c r="BZ63" i="24" s="1"/>
  <c r="J39" i="24"/>
  <c r="O39" i="24"/>
  <c r="BZ39" i="24" s="1"/>
  <c r="P269" i="25"/>
  <c r="O269" i="25"/>
  <c r="P187" i="25"/>
  <c r="O187" i="25"/>
  <c r="P173" i="24"/>
  <c r="Q173" i="24"/>
  <c r="J121" i="24"/>
  <c r="W121" i="24" s="1"/>
  <c r="O121" i="24"/>
  <c r="BZ121" i="24" s="1"/>
  <c r="P73" i="25"/>
  <c r="O73" i="25"/>
  <c r="T73" i="25"/>
  <c r="J47" i="24"/>
  <c r="O47" i="24"/>
  <c r="BZ47" i="24" s="1"/>
  <c r="N95" i="24"/>
  <c r="U95" i="24"/>
  <c r="J51" i="24"/>
  <c r="O51" i="24"/>
  <c r="BZ51" i="24" s="1"/>
  <c r="AE101" i="24"/>
  <c r="X101" i="24"/>
  <c r="AA101" i="24" s="1"/>
  <c r="AB101" i="24" s="1"/>
  <c r="AC101" i="24" s="1"/>
  <c r="AI101" i="24"/>
  <c r="N122" i="24"/>
  <c r="U122" i="24"/>
  <c r="P304" i="24"/>
  <c r="Q304" i="24"/>
  <c r="Q13" i="24"/>
  <c r="R13" i="24" s="1"/>
  <c r="P13" i="24"/>
  <c r="P221" i="25"/>
  <c r="O221" i="25"/>
  <c r="T221" i="25"/>
  <c r="P278" i="25"/>
  <c r="O278" i="25"/>
  <c r="T278" i="25"/>
  <c r="J209" i="24"/>
  <c r="O209" i="24"/>
  <c r="BZ209" i="24" s="1"/>
  <c r="U242" i="24"/>
  <c r="O288" i="24"/>
  <c r="BZ288" i="24" s="1"/>
  <c r="J288" i="24"/>
  <c r="O92" i="24"/>
  <c r="BZ92" i="24" s="1"/>
  <c r="J92" i="24"/>
  <c r="O295" i="24"/>
  <c r="BZ295" i="24" s="1"/>
  <c r="J295" i="24"/>
  <c r="N145" i="24"/>
  <c r="U145" i="24"/>
  <c r="N308" i="24"/>
  <c r="U308" i="24"/>
  <c r="N153" i="24"/>
  <c r="U153" i="24"/>
  <c r="N29" i="24"/>
  <c r="U29" i="24"/>
  <c r="P64" i="25"/>
  <c r="O64" i="25"/>
  <c r="J113" i="24"/>
  <c r="O113" i="24"/>
  <c r="BZ113" i="24" s="1"/>
  <c r="AP151" i="24"/>
  <c r="U124" i="25"/>
  <c r="J180" i="24"/>
  <c r="O180" i="24"/>
  <c r="BZ180" i="24" s="1"/>
  <c r="N71" i="24"/>
  <c r="U71" i="24"/>
  <c r="U197" i="24"/>
  <c r="O306" i="24"/>
  <c r="BZ306" i="24" s="1"/>
  <c r="J306" i="24"/>
  <c r="W306" i="24" s="1"/>
  <c r="O16" i="24"/>
  <c r="BZ16" i="24" s="1"/>
  <c r="J16" i="24"/>
  <c r="W16" i="24" s="1"/>
  <c r="U163" i="25"/>
  <c r="N146" i="24"/>
  <c r="U146" i="24"/>
  <c r="P203" i="25"/>
  <c r="O203" i="25"/>
  <c r="T203" i="25"/>
  <c r="J125" i="24"/>
  <c r="O125" i="24"/>
  <c r="BZ125" i="24" s="1"/>
  <c r="AE264" i="24"/>
  <c r="AI264" i="24"/>
  <c r="X264" i="24"/>
  <c r="AA264" i="24" s="1"/>
  <c r="AB264" i="24" s="1"/>
  <c r="AC264" i="24" s="1"/>
  <c r="AE236" i="24"/>
  <c r="AI236" i="24"/>
  <c r="X236" i="24"/>
  <c r="AA236" i="24" s="1"/>
  <c r="AB236" i="24" s="1"/>
  <c r="AC236" i="24" s="1"/>
  <c r="P252" i="25"/>
  <c r="O252" i="25"/>
  <c r="P63" i="25"/>
  <c r="O63" i="25"/>
  <c r="O270" i="24"/>
  <c r="BZ270" i="24" s="1"/>
  <c r="J270" i="24"/>
  <c r="W270" i="24" s="1"/>
  <c r="P65" i="24"/>
  <c r="Q65" i="24"/>
  <c r="R65" i="24" s="1"/>
  <c r="J69" i="24"/>
  <c r="O69" i="24"/>
  <c r="BZ69" i="24" s="1"/>
  <c r="O65" i="24"/>
  <c r="BZ65" i="24" s="1"/>
  <c r="J65" i="24"/>
  <c r="P146" i="25"/>
  <c r="O146" i="25"/>
  <c r="O112" i="24"/>
  <c r="BZ112" i="24" s="1"/>
  <c r="J112" i="24"/>
  <c r="O154" i="24"/>
  <c r="BZ154" i="24" s="1"/>
  <c r="J154" i="24"/>
  <c r="P73" i="24"/>
  <c r="Q73" i="24"/>
  <c r="R73" i="24" s="1"/>
  <c r="J102" i="24"/>
  <c r="O102" i="24"/>
  <c r="BZ102" i="24" s="1"/>
  <c r="O145" i="25"/>
  <c r="P145" i="25"/>
  <c r="AD110" i="25"/>
  <c r="W110" i="25"/>
  <c r="Z110" i="25" s="1"/>
  <c r="AA110" i="25" s="1"/>
  <c r="AB110" i="25" s="1"/>
  <c r="AI110" i="25" s="1"/>
  <c r="AP60" i="24"/>
  <c r="O239" i="24"/>
  <c r="BZ239" i="24" s="1"/>
  <c r="J239" i="24"/>
  <c r="J80" i="24"/>
  <c r="O80" i="24"/>
  <c r="BZ80" i="24" s="1"/>
  <c r="U227" i="25"/>
  <c r="AE160" i="24"/>
  <c r="AI160" i="24"/>
  <c r="X160" i="24"/>
  <c r="AA160" i="24" s="1"/>
  <c r="AB160" i="24" s="1"/>
  <c r="AC160" i="24" s="1"/>
  <c r="O262" i="24"/>
  <c r="BZ262" i="24" s="1"/>
  <c r="J262" i="24"/>
  <c r="U36" i="25"/>
  <c r="U222" i="24"/>
  <c r="AP73" i="24"/>
  <c r="O277" i="24"/>
  <c r="BZ277" i="24" s="1"/>
  <c r="J277" i="24"/>
  <c r="AO190" i="25"/>
  <c r="J176" i="24"/>
  <c r="O176" i="24"/>
  <c r="BZ176" i="24" s="1"/>
  <c r="P137" i="25"/>
  <c r="O137" i="25"/>
  <c r="O252" i="24"/>
  <c r="BZ252" i="24" s="1"/>
  <c r="J252" i="24"/>
  <c r="R293" i="25"/>
  <c r="S293" i="25"/>
  <c r="K293" i="25" s="1"/>
  <c r="Q293" i="25"/>
  <c r="N210" i="24"/>
  <c r="U210" i="24"/>
  <c r="U244" i="25"/>
  <c r="Q254" i="24"/>
  <c r="P254" i="24"/>
  <c r="V172" i="24"/>
  <c r="O139" i="24"/>
  <c r="BZ139" i="24" s="1"/>
  <c r="J139" i="24"/>
  <c r="U244" i="24"/>
  <c r="J53" i="24"/>
  <c r="W53" i="24" s="1"/>
  <c r="O53" i="24"/>
  <c r="BZ53" i="24" s="1"/>
  <c r="U256" i="25"/>
  <c r="U24" i="25"/>
  <c r="O156" i="24"/>
  <c r="BZ156" i="24" s="1"/>
  <c r="J156" i="24"/>
  <c r="S296" i="25"/>
  <c r="K296" i="25" s="1"/>
  <c r="R296" i="25"/>
  <c r="Q296" i="25"/>
  <c r="O40" i="24"/>
  <c r="BZ40" i="24" s="1"/>
  <c r="J40" i="24"/>
  <c r="W40" i="24" s="1"/>
  <c r="AP92" i="24"/>
  <c r="O99" i="24"/>
  <c r="BZ99" i="24" s="1"/>
  <c r="J99" i="24"/>
  <c r="P157" i="25"/>
  <c r="O157" i="25"/>
  <c r="O122" i="24"/>
  <c r="BZ122" i="24" s="1"/>
  <c r="J122" i="24"/>
  <c r="P159" i="25"/>
  <c r="O159" i="25"/>
  <c r="T159" i="25"/>
  <c r="Q91" i="24"/>
  <c r="R91" i="24" s="1"/>
  <c r="P91" i="24"/>
  <c r="J201" i="24"/>
  <c r="O201" i="24"/>
  <c r="BZ201" i="24" s="1"/>
  <c r="O244" i="24"/>
  <c r="BZ244" i="24" s="1"/>
  <c r="J244" i="24"/>
  <c r="O23" i="24"/>
  <c r="BZ23" i="24" s="1"/>
  <c r="J23" i="24"/>
  <c r="P36" i="25"/>
  <c r="O36" i="25"/>
  <c r="J178" i="24"/>
  <c r="O178" i="24"/>
  <c r="BZ178" i="24" s="1"/>
  <c r="O136" i="24"/>
  <c r="BZ136" i="24" s="1"/>
  <c r="J136" i="24"/>
  <c r="J43" i="24"/>
  <c r="W43" i="24" s="1"/>
  <c r="O43" i="24"/>
  <c r="BZ43" i="24" s="1"/>
  <c r="O6" i="24"/>
  <c r="BZ6" i="24" s="1"/>
  <c r="J6" i="24"/>
  <c r="Q273" i="24"/>
  <c r="P273" i="24"/>
  <c r="J138" i="24"/>
  <c r="O138" i="24"/>
  <c r="BZ138" i="24" s="1"/>
  <c r="U21" i="25"/>
  <c r="P287" i="24"/>
  <c r="Q287" i="24"/>
  <c r="P101" i="24"/>
  <c r="Q101" i="24"/>
  <c r="R101" i="24" s="1"/>
  <c r="T226" i="25"/>
  <c r="U69" i="24"/>
  <c r="U51" i="24"/>
  <c r="Q202" i="24"/>
  <c r="P202" i="24"/>
  <c r="U273" i="25"/>
  <c r="P120" i="24"/>
  <c r="Q120" i="24"/>
  <c r="U65" i="24"/>
  <c r="V218" i="24"/>
  <c r="U173" i="25"/>
  <c r="P81" i="25"/>
  <c r="O81" i="25"/>
  <c r="T81" i="25"/>
  <c r="Q82" i="24"/>
  <c r="R82" i="24" s="1"/>
  <c r="P82" i="24"/>
  <c r="T202" i="25"/>
  <c r="Q250" i="24"/>
  <c r="P250" i="24"/>
  <c r="V248" i="24"/>
  <c r="S32" i="25"/>
  <c r="K32" i="25" s="1"/>
  <c r="V32" i="25" s="1"/>
  <c r="R32" i="25"/>
  <c r="Q32" i="25"/>
  <c r="U238" i="25"/>
  <c r="U206" i="25"/>
  <c r="U177" i="24"/>
  <c r="P67" i="24"/>
  <c r="Q67" i="24"/>
  <c r="R67" i="24" s="1"/>
  <c r="Q116" i="24"/>
  <c r="P116" i="24"/>
  <c r="O281" i="24"/>
  <c r="BZ281" i="24" s="1"/>
  <c r="J281" i="24"/>
  <c r="V90" i="24"/>
  <c r="O245" i="25"/>
  <c r="P245" i="25"/>
  <c r="Q33" i="24"/>
  <c r="R33" i="24" s="1"/>
  <c r="P33" i="24"/>
  <c r="U36" i="24"/>
  <c r="P181" i="25"/>
  <c r="O181" i="25"/>
  <c r="U250" i="25"/>
  <c r="O174" i="24"/>
  <c r="BZ174" i="24" s="1"/>
  <c r="J174" i="24"/>
  <c r="V52" i="24"/>
  <c r="P216" i="25"/>
  <c r="O216" i="25"/>
  <c r="T216" i="25"/>
  <c r="O10" i="24"/>
  <c r="BZ10" i="24" s="1"/>
  <c r="J10" i="24"/>
  <c r="W10" i="24" s="1"/>
  <c r="J57" i="24"/>
  <c r="O57" i="24"/>
  <c r="BZ57" i="24" s="1"/>
  <c r="J226" i="24"/>
  <c r="W226" i="24" s="1"/>
  <c r="O226" i="24"/>
  <c r="BZ226" i="24" s="1"/>
  <c r="N309" i="24"/>
  <c r="U309" i="24"/>
  <c r="U176" i="25"/>
  <c r="J280" i="24"/>
  <c r="O280" i="24"/>
  <c r="BZ280" i="24" s="1"/>
  <c r="P266" i="25"/>
  <c r="O266" i="25"/>
  <c r="P55" i="25"/>
  <c r="O55" i="25"/>
  <c r="P102" i="25"/>
  <c r="O102" i="25"/>
  <c r="AE294" i="24"/>
  <c r="X294" i="24"/>
  <c r="AA294" i="24" s="1"/>
  <c r="AB294" i="24" s="1"/>
  <c r="AC294" i="24" s="1"/>
  <c r="AI294" i="24"/>
  <c r="N316" i="24"/>
  <c r="U316" i="24"/>
  <c r="AP242" i="24"/>
  <c r="P171" i="24"/>
  <c r="Q171" i="24"/>
  <c r="P165" i="25"/>
  <c r="O165" i="25"/>
  <c r="T165" i="25"/>
  <c r="P221" i="24"/>
  <c r="Q221" i="24"/>
  <c r="J95" i="24"/>
  <c r="O95" i="24"/>
  <c r="BZ95" i="24" s="1"/>
  <c r="R62" i="25"/>
  <c r="S62" i="25"/>
  <c r="K62" i="25" s="1"/>
  <c r="V62" i="25" s="1"/>
  <c r="Q62" i="25"/>
  <c r="O311" i="24"/>
  <c r="BZ311" i="24" s="1"/>
  <c r="J311" i="24"/>
  <c r="J151" i="24"/>
  <c r="O151" i="24"/>
  <c r="BZ151" i="24" s="1"/>
  <c r="V188" i="24"/>
  <c r="J285" i="24"/>
  <c r="O285" i="24"/>
  <c r="BZ285" i="24" s="1"/>
  <c r="O195" i="24"/>
  <c r="BZ195" i="24" s="1"/>
  <c r="J195" i="24"/>
  <c r="P25" i="25"/>
  <c r="O25" i="25"/>
  <c r="T25" i="25"/>
  <c r="Q144" i="24"/>
  <c r="P144" i="24"/>
  <c r="Q155" i="24"/>
  <c r="P155" i="24"/>
  <c r="O205" i="25"/>
  <c r="P205" i="25"/>
  <c r="T205" i="25"/>
  <c r="U184" i="25"/>
  <c r="J299" i="24"/>
  <c r="O299" i="24"/>
  <c r="BZ299" i="24" s="1"/>
  <c r="AE132" i="24"/>
  <c r="X132" i="24"/>
  <c r="AA132" i="24" s="1"/>
  <c r="AB132" i="24" s="1"/>
  <c r="AC132" i="24" s="1"/>
  <c r="AI132" i="24"/>
  <c r="J193" i="24"/>
  <c r="O193" i="24"/>
  <c r="BZ193" i="24" s="1"/>
  <c r="U65" i="25"/>
  <c r="W294" i="24"/>
  <c r="Y294" i="24" s="1"/>
  <c r="P130" i="25"/>
  <c r="O130" i="25"/>
  <c r="P197" i="25"/>
  <c r="O197" i="25"/>
  <c r="T197" i="25"/>
  <c r="O145" i="24"/>
  <c r="BZ145" i="24" s="1"/>
  <c r="J145" i="24"/>
  <c r="P196" i="24"/>
  <c r="Q196" i="24"/>
  <c r="V270" i="24"/>
  <c r="AE233" i="24"/>
  <c r="X233" i="24"/>
  <c r="AA233" i="24" s="1"/>
  <c r="AB233" i="24" s="1"/>
  <c r="AC233" i="24" s="1"/>
  <c r="AI233" i="24"/>
  <c r="AO255" i="25"/>
  <c r="U146" i="25"/>
  <c r="AP311" i="24"/>
  <c r="J308" i="24"/>
  <c r="O308" i="24"/>
  <c r="BZ308" i="24" s="1"/>
  <c r="J84" i="24"/>
  <c r="O84" i="24"/>
  <c r="BZ84" i="24" s="1"/>
  <c r="AE292" i="24"/>
  <c r="X292" i="24"/>
  <c r="AA292" i="24" s="1"/>
  <c r="AB292" i="24" s="1"/>
  <c r="AC292" i="24" s="1"/>
  <c r="AI292" i="24"/>
  <c r="O188" i="24"/>
  <c r="BZ188" i="24" s="1"/>
  <c r="J188" i="24"/>
  <c r="N282" i="24"/>
  <c r="U282" i="24"/>
  <c r="J38" i="24"/>
  <c r="O38" i="24"/>
  <c r="BZ38" i="24" s="1"/>
  <c r="P176" i="25"/>
  <c r="O176" i="25"/>
  <c r="J20" i="24"/>
  <c r="O20" i="24"/>
  <c r="BZ20" i="24" s="1"/>
  <c r="J267" i="24"/>
  <c r="O267" i="24"/>
  <c r="BZ267" i="24" s="1"/>
  <c r="Q49" i="24"/>
  <c r="R49" i="24" s="1"/>
  <c r="P49" i="24"/>
  <c r="P284" i="25"/>
  <c r="O284" i="25"/>
  <c r="J127" i="24"/>
  <c r="O127" i="24"/>
  <c r="BZ127" i="24" s="1"/>
  <c r="J235" i="24"/>
  <c r="O235" i="24"/>
  <c r="BZ235" i="24" s="1"/>
  <c r="J115" i="24"/>
  <c r="O115" i="24"/>
  <c r="BZ115" i="24" s="1"/>
  <c r="J13" i="24"/>
  <c r="O13" i="24"/>
  <c r="BZ13" i="24" s="1"/>
  <c r="V182" i="24"/>
  <c r="J73" i="24"/>
  <c r="O73" i="24"/>
  <c r="BZ73" i="24" s="1"/>
  <c r="Q192" i="24"/>
  <c r="P192" i="24"/>
  <c r="P223" i="25"/>
  <c r="O223" i="25"/>
  <c r="T223" i="25"/>
  <c r="P39" i="25"/>
  <c r="O39" i="25"/>
  <c r="T39" i="25"/>
  <c r="P67" i="25"/>
  <c r="O67" i="25"/>
  <c r="T67" i="25"/>
  <c r="AE21" i="24"/>
  <c r="AI21" i="24"/>
  <c r="X21" i="24"/>
  <c r="AA21" i="24" s="1"/>
  <c r="AB21" i="24" s="1"/>
  <c r="AC21" i="24" s="1"/>
  <c r="O315" i="24"/>
  <c r="BZ315" i="24" s="1"/>
  <c r="J315" i="24"/>
  <c r="Q28" i="24"/>
  <c r="R28" i="24" s="1"/>
  <c r="P28" i="24"/>
  <c r="P274" i="25"/>
  <c r="O274" i="25"/>
  <c r="T274" i="25"/>
  <c r="O217" i="24"/>
  <c r="BZ217" i="24" s="1"/>
  <c r="J217" i="24"/>
  <c r="P230" i="25"/>
  <c r="O230" i="25"/>
  <c r="T230" i="25"/>
  <c r="T47" i="25"/>
  <c r="U235" i="25"/>
  <c r="J263" i="24"/>
  <c r="O263" i="24"/>
  <c r="BZ263" i="24" s="1"/>
  <c r="N232" i="24"/>
  <c r="U232" i="24"/>
  <c r="N195" i="24"/>
  <c r="U195" i="24"/>
  <c r="AO177" i="25"/>
  <c r="J272" i="24"/>
  <c r="W272" i="24" s="1"/>
  <c r="O272" i="24"/>
  <c r="BZ272" i="24" s="1"/>
  <c r="U136" i="25"/>
  <c r="U275" i="25"/>
  <c r="J17" i="24"/>
  <c r="O17" i="24"/>
  <c r="BZ17" i="24" s="1"/>
  <c r="P294" i="25"/>
  <c r="O294" i="25"/>
  <c r="P27" i="25"/>
  <c r="O27" i="25"/>
  <c r="T27" i="25"/>
  <c r="P278" i="24"/>
  <c r="Q278" i="24"/>
  <c r="P308" i="25"/>
  <c r="O308" i="25"/>
  <c r="O301" i="24"/>
  <c r="BZ301" i="24" s="1"/>
  <c r="J301" i="24"/>
  <c r="P11" i="24"/>
  <c r="Q11" i="24"/>
  <c r="R11" i="24" s="1"/>
  <c r="AE119" i="24"/>
  <c r="X119" i="24"/>
  <c r="AA119" i="24" s="1"/>
  <c r="AB119" i="24" s="1"/>
  <c r="AC119" i="24" s="1"/>
  <c r="AI119" i="24"/>
  <c r="U30" i="25"/>
  <c r="J302" i="24"/>
  <c r="O302" i="24"/>
  <c r="BZ302" i="24" s="1"/>
  <c r="J68" i="24"/>
  <c r="W68" i="24" s="1"/>
  <c r="O68" i="24"/>
  <c r="BZ68" i="24" s="1"/>
  <c r="J114" i="24"/>
  <c r="O114" i="24"/>
  <c r="BZ114" i="24" s="1"/>
  <c r="N85" i="24"/>
  <c r="U85" i="24"/>
  <c r="P136" i="25"/>
  <c r="O136" i="25"/>
  <c r="P24" i="25"/>
  <c r="O24" i="25"/>
  <c r="P91" i="25"/>
  <c r="O91" i="25"/>
  <c r="O35" i="24"/>
  <c r="BZ35" i="24" s="1"/>
  <c r="J35" i="24"/>
  <c r="P290" i="25"/>
  <c r="O290" i="25"/>
  <c r="O222" i="24"/>
  <c r="BZ222" i="24" s="1"/>
  <c r="J222" i="24"/>
  <c r="R30" i="25"/>
  <c r="S30" i="25"/>
  <c r="K30" i="25" s="1"/>
  <c r="V30" i="25" s="1"/>
  <c r="Q30" i="25"/>
  <c r="U261" i="25"/>
  <c r="V234" i="24"/>
  <c r="Q36" i="24"/>
  <c r="R36" i="24" s="1"/>
  <c r="P36" i="24"/>
  <c r="S21" i="25"/>
  <c r="K21" i="25" s="1"/>
  <c r="V21" i="25" s="1"/>
  <c r="R21" i="25"/>
  <c r="Q21" i="25"/>
  <c r="V306" i="24"/>
  <c r="V226" i="24"/>
  <c r="Q243" i="24"/>
  <c r="P243" i="24"/>
  <c r="O296" i="24"/>
  <c r="BZ296" i="24" s="1"/>
  <c r="J296" i="24"/>
  <c r="U31" i="24"/>
  <c r="U304" i="24"/>
  <c r="U185" i="24"/>
  <c r="T266" i="25"/>
  <c r="U178" i="25"/>
  <c r="U167" i="25"/>
  <c r="V14" i="24"/>
  <c r="Q50" i="24"/>
  <c r="R50" i="24" s="1"/>
  <c r="P50" i="24"/>
  <c r="J202" i="24"/>
  <c r="O202" i="24"/>
  <c r="BZ202" i="24" s="1"/>
  <c r="U143" i="24"/>
  <c r="Q274" i="24"/>
  <c r="P274" i="24"/>
  <c r="Q70" i="24"/>
  <c r="R70" i="24" s="1"/>
  <c r="P70" i="24"/>
  <c r="S273" i="25"/>
  <c r="K273" i="25" s="1"/>
  <c r="V273" i="25" s="1"/>
  <c r="R273" i="25"/>
  <c r="Q273" i="25"/>
  <c r="Q218" i="24"/>
  <c r="P218" i="24"/>
  <c r="S173" i="25"/>
  <c r="K173" i="25" s="1"/>
  <c r="V173" i="25" s="1"/>
  <c r="R173" i="25"/>
  <c r="Q173" i="25"/>
  <c r="V200" i="24"/>
  <c r="U71" i="25"/>
  <c r="U168" i="25"/>
  <c r="J82" i="24"/>
  <c r="O82" i="24"/>
  <c r="BZ82" i="24" s="1"/>
  <c r="T70" i="25"/>
  <c r="P56" i="24"/>
  <c r="Q56" i="24"/>
  <c r="R56" i="24" s="1"/>
  <c r="P248" i="24"/>
  <c r="Q248" i="24"/>
  <c r="S238" i="25"/>
  <c r="K238" i="25" s="1"/>
  <c r="V238" i="25" s="1"/>
  <c r="R238" i="25"/>
  <c r="Q238" i="25"/>
  <c r="R206" i="25"/>
  <c r="S206" i="25"/>
  <c r="K206" i="25" s="1"/>
  <c r="Q206" i="25"/>
  <c r="W132" i="24"/>
  <c r="Y132" i="24" s="1"/>
  <c r="U259" i="25"/>
  <c r="U104" i="24"/>
  <c r="U176" i="24"/>
  <c r="U261" i="24"/>
  <c r="J37" i="24"/>
  <c r="O37" i="24"/>
  <c r="BZ37" i="24" s="1"/>
  <c r="Q90" i="24"/>
  <c r="R90" i="24" s="1"/>
  <c r="P90" i="24"/>
  <c r="U113" i="25"/>
  <c r="R147" i="25"/>
  <c r="S147" i="25"/>
  <c r="K147" i="25" s="1"/>
  <c r="V147" i="25" s="1"/>
  <c r="Q147" i="25"/>
  <c r="U241" i="24"/>
  <c r="V18" i="24"/>
  <c r="U33" i="24"/>
  <c r="P134" i="25"/>
  <c r="O134" i="25"/>
  <c r="P298" i="25"/>
  <c r="O298" i="25"/>
  <c r="V25" i="24"/>
  <c r="U172" i="25"/>
  <c r="J313" i="24"/>
  <c r="W313" i="24" s="1"/>
  <c r="O313" i="24"/>
  <c r="BZ313" i="24" s="1"/>
  <c r="U49" i="25"/>
  <c r="U127" i="25"/>
  <c r="U62" i="25"/>
  <c r="J310" i="24"/>
  <c r="W310" i="24" s="1"/>
  <c r="O310" i="24"/>
  <c r="BZ310" i="24" s="1"/>
  <c r="V271" i="24"/>
  <c r="U290" i="25"/>
  <c r="O309" i="24"/>
  <c r="BZ309" i="24" s="1"/>
  <c r="J309" i="24"/>
  <c r="N126" i="24"/>
  <c r="U126" i="24"/>
  <c r="P208" i="25"/>
  <c r="O208" i="25"/>
  <c r="T208" i="25"/>
  <c r="N228" i="24"/>
  <c r="U228" i="24"/>
  <c r="P281" i="25"/>
  <c r="O281" i="25"/>
  <c r="P249" i="25"/>
  <c r="O249" i="25"/>
  <c r="T249" i="25"/>
  <c r="J316" i="24"/>
  <c r="O316" i="24"/>
  <c r="BZ316" i="24" s="1"/>
  <c r="P46" i="25"/>
  <c r="O46" i="25"/>
  <c r="J312" i="24"/>
  <c r="W312" i="24" s="1"/>
  <c r="O312" i="24"/>
  <c r="BZ312" i="24" s="1"/>
  <c r="Q20" i="24"/>
  <c r="R20" i="24" s="1"/>
  <c r="P20" i="24"/>
  <c r="O305" i="24"/>
  <c r="BZ305" i="24" s="1"/>
  <c r="J305" i="24"/>
  <c r="O287" i="24"/>
  <c r="BZ287" i="24" s="1"/>
  <c r="J287" i="24"/>
  <c r="J104" i="24"/>
  <c r="O104" i="24"/>
  <c r="BZ104" i="24" s="1"/>
  <c r="P99" i="25"/>
  <c r="O99" i="25"/>
  <c r="J304" i="24"/>
  <c r="O304" i="24"/>
  <c r="BZ304" i="24" s="1"/>
  <c r="O147" i="24"/>
  <c r="BZ147" i="24" s="1"/>
  <c r="J147" i="24"/>
  <c r="W147" i="24" s="1"/>
  <c r="U137" i="25"/>
  <c r="J24" i="24"/>
  <c r="W24" i="24" s="1"/>
  <c r="O24" i="24"/>
  <c r="BZ24" i="24" s="1"/>
  <c r="P49" i="25"/>
  <c r="O49" i="25"/>
  <c r="P33" i="25"/>
  <c r="O33" i="25"/>
  <c r="P175" i="25"/>
  <c r="O175" i="25"/>
  <c r="U252" i="25"/>
  <c r="N59" i="24"/>
  <c r="U59" i="24"/>
  <c r="U64" i="25"/>
  <c r="N148" i="24"/>
  <c r="U148" i="24"/>
  <c r="O173" i="24"/>
  <c r="BZ173" i="24" s="1"/>
  <c r="J173" i="24"/>
  <c r="O149" i="24"/>
  <c r="BZ149" i="24" s="1"/>
  <c r="J149" i="24"/>
  <c r="P224" i="25"/>
  <c r="O224" i="25"/>
  <c r="T224" i="25"/>
  <c r="U69" i="25"/>
  <c r="O271" i="24"/>
  <c r="BZ271" i="24" s="1"/>
  <c r="J271" i="24"/>
  <c r="W271" i="24" s="1"/>
  <c r="AD129" i="25"/>
  <c r="W129" i="25"/>
  <c r="Z129" i="25" s="1"/>
  <c r="AA129" i="25" s="1"/>
  <c r="AB129" i="25" s="1"/>
  <c r="AI129" i="25" s="1"/>
  <c r="T281" i="25"/>
  <c r="V76" i="24"/>
  <c r="U145" i="25"/>
  <c r="N203" i="24"/>
  <c r="U203" i="24"/>
  <c r="P307" i="25"/>
  <c r="O307" i="25"/>
  <c r="T307" i="25"/>
  <c r="J29" i="24"/>
  <c r="O29" i="24"/>
  <c r="BZ29" i="24" s="1"/>
  <c r="N249" i="24"/>
  <c r="U249" i="24"/>
  <c r="P41" i="25"/>
  <c r="O41" i="25"/>
  <c r="T41" i="25"/>
  <c r="P123" i="25"/>
  <c r="O123" i="25"/>
  <c r="T123" i="25"/>
  <c r="U300" i="24"/>
  <c r="U147" i="25"/>
  <c r="O153" i="24"/>
  <c r="BZ153" i="24" s="1"/>
  <c r="J153" i="24"/>
  <c r="J282" i="24"/>
  <c r="O282" i="24"/>
  <c r="BZ282" i="24" s="1"/>
  <c r="J146" i="24"/>
  <c r="O146" i="24"/>
  <c r="BZ146" i="24" s="1"/>
  <c r="O255" i="24"/>
  <c r="BZ255" i="24" s="1"/>
  <c r="J255" i="24"/>
  <c r="Q23" i="24"/>
  <c r="R23" i="24" s="1"/>
  <c r="P23" i="24"/>
  <c r="N184" i="24"/>
  <c r="U184" i="24"/>
  <c r="V30" i="24"/>
  <c r="P295" i="24"/>
  <c r="Q295" i="24"/>
  <c r="O48" i="24"/>
  <c r="BZ48" i="24" s="1"/>
  <c r="J48" i="24"/>
  <c r="W48" i="24" s="1"/>
  <c r="O197" i="24"/>
  <c r="BZ197" i="24" s="1"/>
  <c r="J197" i="24"/>
  <c r="P175" i="24"/>
  <c r="Q175" i="24"/>
  <c r="AE162" i="24"/>
  <c r="X162" i="24"/>
  <c r="AA162" i="24" s="1"/>
  <c r="AB162" i="24" s="1"/>
  <c r="AC162" i="24" s="1"/>
  <c r="AI162" i="24"/>
  <c r="P98" i="24"/>
  <c r="Q98" i="24"/>
  <c r="R98" i="24" s="1"/>
  <c r="T175" i="25"/>
  <c r="N194" i="24"/>
  <c r="U194" i="24"/>
  <c r="AP20" i="24"/>
  <c r="N315" i="24"/>
  <c r="U315" i="24"/>
  <c r="P251" i="25"/>
  <c r="O251" i="25"/>
  <c r="T251" i="25"/>
  <c r="U316" i="25"/>
  <c r="N247" i="24"/>
  <c r="U247" i="24"/>
  <c r="U17" i="24"/>
  <c r="J86" i="24"/>
  <c r="W86" i="24" s="1"/>
  <c r="O86" i="24"/>
  <c r="BZ86" i="24" s="1"/>
  <c r="O161" i="24"/>
  <c r="BZ161" i="24" s="1"/>
  <c r="J161" i="24"/>
  <c r="P209" i="25"/>
  <c r="O209" i="25"/>
  <c r="T209" i="25"/>
  <c r="U133" i="25"/>
  <c r="U301" i="24"/>
  <c r="P277" i="25"/>
  <c r="O277" i="25"/>
  <c r="T277" i="25"/>
  <c r="T289" i="25"/>
  <c r="N187" i="24"/>
  <c r="U187" i="24"/>
  <c r="P219" i="25"/>
  <c r="O219" i="25"/>
  <c r="T219" i="25"/>
  <c r="Q253" i="24"/>
  <c r="P253" i="24"/>
  <c r="J232" i="24"/>
  <c r="O232" i="24"/>
  <c r="BZ232" i="24" s="1"/>
  <c r="U120" i="25"/>
  <c r="U256" i="24"/>
  <c r="P245" i="24"/>
  <c r="Q245" i="24"/>
  <c r="O72" i="24"/>
  <c r="BZ72" i="24" s="1"/>
  <c r="J72" i="24"/>
  <c r="W72" i="24" s="1"/>
  <c r="P56" i="25"/>
  <c r="O56" i="25"/>
  <c r="T56" i="25"/>
  <c r="Q189" i="24"/>
  <c r="P189" i="24"/>
  <c r="P60" i="25"/>
  <c r="O60" i="25"/>
  <c r="U151" i="24"/>
  <c r="J128" i="24"/>
  <c r="O128" i="24"/>
  <c r="BZ128" i="24" s="1"/>
  <c r="O278" i="24"/>
  <c r="BZ278" i="24" s="1"/>
  <c r="J278" i="24"/>
  <c r="U293" i="24"/>
  <c r="U91" i="25"/>
  <c r="V44" i="24"/>
  <c r="W44" i="24"/>
  <c r="N117" i="24"/>
  <c r="U117" i="24"/>
  <c r="J314" i="24"/>
  <c r="O314" i="24"/>
  <c r="BZ314" i="24" s="1"/>
  <c r="J307" i="24"/>
  <c r="W307" i="24" s="1"/>
  <c r="O307" i="24"/>
  <c r="BZ307" i="24" s="1"/>
  <c r="P305" i="24"/>
  <c r="Q305" i="24"/>
  <c r="J91" i="24"/>
  <c r="O91" i="24"/>
  <c r="BZ91" i="24" s="1"/>
  <c r="P17" i="25"/>
  <c r="O17" i="25"/>
  <c r="AP196" i="24"/>
  <c r="J171" i="24"/>
  <c r="O171" i="24"/>
  <c r="BZ171" i="24" s="1"/>
  <c r="P119" i="25"/>
  <c r="O119" i="25"/>
  <c r="P50" i="25"/>
  <c r="O50" i="25"/>
  <c r="J98" i="24"/>
  <c r="O98" i="24"/>
  <c r="BZ98" i="24" s="1"/>
  <c r="J81" i="24"/>
  <c r="O81" i="24"/>
  <c r="BZ81" i="24" s="1"/>
  <c r="J245" i="24"/>
  <c r="O245" i="24"/>
  <c r="BZ245" i="24" s="1"/>
  <c r="Q12" i="24"/>
  <c r="R12" i="24" s="1"/>
  <c r="P12" i="24"/>
  <c r="S261" i="25"/>
  <c r="K261" i="25" s="1"/>
  <c r="R261" i="25"/>
  <c r="Q261" i="25"/>
  <c r="U229" i="25"/>
  <c r="P234" i="24"/>
  <c r="Q234" i="24"/>
  <c r="J273" i="24"/>
  <c r="O273" i="24"/>
  <c r="BZ273" i="24" s="1"/>
  <c r="P193" i="25"/>
  <c r="O193" i="25"/>
  <c r="O152" i="25"/>
  <c r="P152" i="25"/>
  <c r="P306" i="24"/>
  <c r="Q306" i="24"/>
  <c r="P226" i="24"/>
  <c r="Q226" i="24"/>
  <c r="U102" i="24"/>
  <c r="P296" i="24"/>
  <c r="Q296" i="24"/>
  <c r="T53" i="25"/>
  <c r="P132" i="25"/>
  <c r="O132" i="25"/>
  <c r="P265" i="24"/>
  <c r="Q265" i="24"/>
  <c r="R257" i="25"/>
  <c r="S257" i="25"/>
  <c r="K257" i="25" s="1"/>
  <c r="Q257" i="25"/>
  <c r="Q185" i="24"/>
  <c r="P185" i="24"/>
  <c r="U114" i="25"/>
  <c r="S178" i="25"/>
  <c r="K178" i="25" s="1"/>
  <c r="V178" i="25" s="1"/>
  <c r="R178" i="25"/>
  <c r="Q178" i="25"/>
  <c r="S167" i="25"/>
  <c r="K167" i="25" s="1"/>
  <c r="R167" i="25"/>
  <c r="Q167" i="25"/>
  <c r="J274" i="24"/>
  <c r="O274" i="24"/>
  <c r="BZ274" i="24" s="1"/>
  <c r="N298" i="24"/>
  <c r="U298" i="24"/>
  <c r="J70" i="24"/>
  <c r="O70" i="24"/>
  <c r="BZ70" i="24" s="1"/>
  <c r="P152" i="24"/>
  <c r="Q152" i="24"/>
  <c r="V227" i="24"/>
  <c r="P200" i="24"/>
  <c r="Q200" i="24"/>
  <c r="P195" i="25"/>
  <c r="O195" i="25"/>
  <c r="P8" i="25"/>
  <c r="O8" i="25"/>
  <c r="U170" i="24"/>
  <c r="J250" i="24"/>
  <c r="O250" i="24"/>
  <c r="BZ250" i="24" s="1"/>
  <c r="O56" i="24"/>
  <c r="BZ56" i="24" s="1"/>
  <c r="J56" i="24"/>
  <c r="T63" i="25"/>
  <c r="U201" i="25"/>
  <c r="U292" i="25"/>
  <c r="S246" i="25"/>
  <c r="K246" i="25" s="1"/>
  <c r="R246" i="25"/>
  <c r="Q246" i="25"/>
  <c r="J67" i="24"/>
  <c r="O67" i="24"/>
  <c r="BZ67" i="24" s="1"/>
  <c r="R259" i="25"/>
  <c r="S259" i="25"/>
  <c r="K259" i="25" s="1"/>
  <c r="Q259" i="25"/>
  <c r="U92" i="25"/>
  <c r="Q224" i="24"/>
  <c r="P224" i="24"/>
  <c r="V83" i="24"/>
  <c r="P151" i="25"/>
  <c r="O151" i="25"/>
  <c r="O283" i="24"/>
  <c r="BZ283" i="24" s="1"/>
  <c r="J283" i="24"/>
  <c r="R267" i="25"/>
  <c r="S267" i="25"/>
  <c r="K267" i="25" s="1"/>
  <c r="V267" i="25" s="1"/>
  <c r="Q267" i="25"/>
  <c r="R113" i="25"/>
  <c r="S113" i="25"/>
  <c r="K113" i="25" s="1"/>
  <c r="V113" i="25" s="1"/>
  <c r="Q113" i="25"/>
  <c r="AP302" i="24"/>
  <c r="O162" i="25"/>
  <c r="P162" i="25"/>
  <c r="O33" i="24"/>
  <c r="BZ33" i="24" s="1"/>
  <c r="J33" i="24"/>
  <c r="Q197" i="24"/>
  <c r="P197" i="24"/>
  <c r="P304" i="25"/>
  <c r="O304" i="25"/>
  <c r="T304" i="25"/>
  <c r="P151" i="24"/>
  <c r="Q151" i="24"/>
  <c r="P74" i="25"/>
  <c r="O74" i="25"/>
  <c r="T74" i="25"/>
  <c r="P103" i="25"/>
  <c r="O103" i="25"/>
  <c r="U285" i="25"/>
  <c r="U126" i="25"/>
  <c r="R255" i="25"/>
  <c r="S255" i="25"/>
  <c r="K255" i="25" s="1"/>
  <c r="Q255" i="25"/>
  <c r="P7" i="25"/>
  <c r="O7" i="25"/>
  <c r="J221" i="24"/>
  <c r="O221" i="24"/>
  <c r="BZ221" i="24" s="1"/>
  <c r="V68" i="24"/>
  <c r="V129" i="24"/>
  <c r="J129" i="24"/>
  <c r="O129" i="24"/>
  <c r="BZ129" i="24" s="1"/>
  <c r="P291" i="24"/>
  <c r="Q291" i="24"/>
  <c r="P118" i="25"/>
  <c r="O118" i="25"/>
  <c r="P172" i="25"/>
  <c r="O172" i="25"/>
  <c r="U291" i="25"/>
  <c r="J289" i="24"/>
  <c r="O289" i="24"/>
  <c r="BZ289" i="24" s="1"/>
  <c r="P250" i="25"/>
  <c r="O250" i="25"/>
  <c r="J155" i="24"/>
  <c r="O155" i="24"/>
  <c r="BZ155" i="24" s="1"/>
  <c r="U54" i="25"/>
  <c r="U155" i="25"/>
  <c r="J240" i="24"/>
  <c r="O240" i="24"/>
  <c r="BZ240" i="24" s="1"/>
  <c r="Q31" i="24"/>
  <c r="R31" i="24" s="1"/>
  <c r="P31" i="24"/>
  <c r="P126" i="25"/>
  <c r="O126" i="25"/>
  <c r="U153" i="25"/>
  <c r="V237" i="24"/>
  <c r="T181" i="25"/>
  <c r="P150" i="25"/>
  <c r="O150" i="25"/>
  <c r="N141" i="24"/>
  <c r="U141" i="24"/>
  <c r="O105" i="25"/>
  <c r="P105" i="25"/>
  <c r="O62" i="24"/>
  <c r="BZ62" i="24" s="1"/>
  <c r="J62" i="24"/>
  <c r="W62" i="24" s="1"/>
  <c r="P166" i="25"/>
  <c r="O166" i="25"/>
  <c r="P233" i="25"/>
  <c r="O233" i="25"/>
  <c r="N140" i="24"/>
  <c r="U140" i="24"/>
  <c r="P284" i="24"/>
  <c r="Q284" i="24"/>
  <c r="P79" i="25"/>
  <c r="O79" i="25"/>
  <c r="T79" i="25"/>
  <c r="BZ170" i="25"/>
  <c r="P26" i="25"/>
  <c r="O26" i="25"/>
  <c r="T26" i="25"/>
  <c r="U85" i="25"/>
  <c r="P10" i="25"/>
  <c r="O10" i="25"/>
  <c r="T10" i="25"/>
  <c r="V150" i="24"/>
  <c r="Q104" i="24"/>
  <c r="R104" i="24" s="1"/>
  <c r="P104" i="24"/>
  <c r="AP144" i="24"/>
  <c r="J231" i="24"/>
  <c r="W231" i="24" s="1"/>
  <c r="O231" i="24"/>
  <c r="BZ231" i="24" s="1"/>
  <c r="J131" i="24"/>
  <c r="O131" i="24"/>
  <c r="BZ131" i="24" s="1"/>
  <c r="J133" i="24"/>
  <c r="W133" i="24" s="1"/>
  <c r="O133" i="24"/>
  <c r="BZ133" i="24" s="1"/>
  <c r="P88" i="25"/>
  <c r="O88" i="25"/>
  <c r="N89" i="24"/>
  <c r="U89" i="24"/>
  <c r="P207" i="24"/>
  <c r="Q207" i="24"/>
  <c r="Q60" i="24"/>
  <c r="R60" i="24" s="1"/>
  <c r="P60" i="24"/>
  <c r="J242" i="24"/>
  <c r="O242" i="24"/>
  <c r="BZ242" i="24" s="1"/>
  <c r="T234" i="25"/>
  <c r="AP17" i="24"/>
  <c r="J199" i="24"/>
  <c r="W199" i="24" s="1"/>
  <c r="O199" i="24"/>
  <c r="BZ199" i="24" s="1"/>
  <c r="J175" i="24"/>
  <c r="O175" i="24"/>
  <c r="BZ175" i="24" s="1"/>
  <c r="S177" i="25"/>
  <c r="K177" i="25" s="1"/>
  <c r="R177" i="25"/>
  <c r="Q177" i="25"/>
  <c r="S190" i="25"/>
  <c r="K190" i="25" s="1"/>
  <c r="R190" i="25"/>
  <c r="Q190" i="25"/>
  <c r="O34" i="24"/>
  <c r="BZ34" i="24" s="1"/>
  <c r="J34" i="24"/>
  <c r="J76" i="24"/>
  <c r="O76" i="24"/>
  <c r="BZ76" i="24" s="1"/>
  <c r="O236" i="25"/>
  <c r="P236" i="25"/>
  <c r="O192" i="24"/>
  <c r="BZ192" i="24" s="1"/>
  <c r="J192" i="24"/>
  <c r="P301" i="24"/>
  <c r="Q301" i="24"/>
  <c r="P142" i="25"/>
  <c r="O142" i="25"/>
  <c r="T142" i="25"/>
  <c r="O139" i="25"/>
  <c r="P139" i="25"/>
  <c r="T139" i="25"/>
  <c r="U111" i="25"/>
  <c r="U204" i="25"/>
  <c r="U305" i="25"/>
  <c r="U294" i="25"/>
  <c r="AP136" i="24"/>
  <c r="U45" i="25"/>
  <c r="T66" i="25"/>
  <c r="P159" i="24"/>
  <c r="Q159" i="24"/>
  <c r="J225" i="24"/>
  <c r="O225" i="24"/>
  <c r="BZ225" i="24" s="1"/>
  <c r="BZ190" i="25"/>
  <c r="V307" i="24"/>
  <c r="P163" i="25"/>
  <c r="O163" i="25"/>
  <c r="Q75" i="24"/>
  <c r="R75" i="24" s="1"/>
  <c r="P75" i="24"/>
  <c r="P124" i="25"/>
  <c r="O124" i="25"/>
  <c r="P217" i="25"/>
  <c r="O217" i="25"/>
  <c r="T217" i="25"/>
  <c r="O189" i="24"/>
  <c r="BZ189" i="24" s="1"/>
  <c r="J189" i="24"/>
  <c r="P18" i="25"/>
  <c r="O18" i="25"/>
  <c r="T18" i="25"/>
  <c r="P169" i="24"/>
  <c r="Q169" i="24"/>
  <c r="U135" i="24"/>
  <c r="V110" i="25"/>
  <c r="X110" i="25" s="1"/>
  <c r="AE257" i="24"/>
  <c r="X257" i="24"/>
  <c r="AA257" i="24" s="1"/>
  <c r="AB257" i="24" s="1"/>
  <c r="AC257" i="24" s="1"/>
  <c r="AI257" i="24"/>
  <c r="U23" i="24"/>
  <c r="J11" i="24"/>
  <c r="O11" i="24"/>
  <c r="BZ11" i="24" s="1"/>
  <c r="V43" i="24"/>
  <c r="Q314" i="24"/>
  <c r="P314" i="24"/>
  <c r="S6" i="25"/>
  <c r="K6" i="25" s="1"/>
  <c r="R6" i="25"/>
  <c r="Q6" i="25"/>
  <c r="P270" i="25"/>
  <c r="O270" i="25"/>
  <c r="O144" i="25"/>
  <c r="P144" i="25"/>
  <c r="P208" i="24"/>
  <c r="Q208" i="24"/>
  <c r="AP105" i="24"/>
  <c r="P51" i="25"/>
  <c r="O51" i="25"/>
  <c r="J15" i="24"/>
  <c r="O15" i="24"/>
  <c r="BZ15" i="24" s="1"/>
  <c r="Q258" i="24"/>
  <c r="P258" i="24"/>
  <c r="AP51" i="24"/>
  <c r="P269" i="24"/>
  <c r="Q269" i="24"/>
  <c r="J12" i="24"/>
  <c r="O12" i="24"/>
  <c r="BZ12" i="24" s="1"/>
  <c r="R229" i="25"/>
  <c r="S229" i="25"/>
  <c r="K229" i="25" s="1"/>
  <c r="V229" i="25" s="1"/>
  <c r="Q229" i="25"/>
  <c r="V279" i="24"/>
  <c r="V231" i="24"/>
  <c r="AP256" i="24"/>
  <c r="J36" i="24"/>
  <c r="O36" i="24"/>
  <c r="BZ36" i="24" s="1"/>
  <c r="U282" i="25"/>
  <c r="S161" i="25"/>
  <c r="K161" i="25" s="1"/>
  <c r="V161" i="25" s="1"/>
  <c r="R161" i="25"/>
  <c r="Q161" i="25"/>
  <c r="S276" i="25"/>
  <c r="K276" i="25" s="1"/>
  <c r="V276" i="25" s="1"/>
  <c r="R276" i="25"/>
  <c r="Q276" i="25"/>
  <c r="U295" i="24"/>
  <c r="P241" i="25"/>
  <c r="O241" i="25"/>
  <c r="U115" i="24"/>
  <c r="U179" i="24"/>
  <c r="J265" i="24"/>
  <c r="O265" i="24"/>
  <c r="BZ265" i="24" s="1"/>
  <c r="S186" i="25"/>
  <c r="K186" i="25" s="1"/>
  <c r="R186" i="25"/>
  <c r="Q186" i="25"/>
  <c r="S114" i="25"/>
  <c r="K114" i="25" s="1"/>
  <c r="R114" i="25"/>
  <c r="Q114" i="25"/>
  <c r="J50" i="24"/>
  <c r="O50" i="24"/>
  <c r="BZ50" i="24" s="1"/>
  <c r="P143" i="24"/>
  <c r="Q143" i="24"/>
  <c r="J298" i="24"/>
  <c r="O298" i="24"/>
  <c r="BZ298" i="24" s="1"/>
  <c r="U186" i="24"/>
  <c r="P227" i="24"/>
  <c r="Q227" i="24"/>
  <c r="V40" i="24"/>
  <c r="U34" i="24"/>
  <c r="S71" i="25"/>
  <c r="K71" i="25" s="1"/>
  <c r="R71" i="25"/>
  <c r="Q71" i="25"/>
  <c r="P170" i="24"/>
  <c r="Q170" i="24"/>
  <c r="U42" i="25"/>
  <c r="U95" i="25"/>
  <c r="R201" i="25"/>
  <c r="S201" i="25"/>
  <c r="K201" i="25" s="1"/>
  <c r="V201" i="25" s="1"/>
  <c r="Q201" i="25"/>
  <c r="S292" i="25"/>
  <c r="K292" i="25" s="1"/>
  <c r="V292" i="25" s="1"/>
  <c r="R292" i="25"/>
  <c r="Q292" i="25"/>
  <c r="T99" i="25"/>
  <c r="V32" i="24"/>
  <c r="R92" i="25"/>
  <c r="S92" i="25"/>
  <c r="K92" i="25" s="1"/>
  <c r="Q92" i="25"/>
  <c r="Q261" i="24"/>
  <c r="P261" i="24"/>
  <c r="Q83" i="24"/>
  <c r="R83" i="24" s="1"/>
  <c r="P83" i="24"/>
  <c r="U148" i="25"/>
  <c r="R82" i="25"/>
  <c r="S82" i="25"/>
  <c r="K82" i="25" s="1"/>
  <c r="V82" i="25" s="1"/>
  <c r="Q82" i="25"/>
  <c r="U111" i="24"/>
  <c r="U162" i="25"/>
  <c r="U243" i="24"/>
  <c r="P301" i="25"/>
  <c r="O301" i="25"/>
  <c r="T301" i="25"/>
  <c r="Q222" i="24"/>
  <c r="P222" i="24"/>
  <c r="N280" i="24"/>
  <c r="U280" i="24"/>
  <c r="J18" i="24"/>
  <c r="O18" i="24"/>
  <c r="BZ18" i="24" s="1"/>
  <c r="Q154" i="24"/>
  <c r="P154" i="24"/>
  <c r="AE44" i="24"/>
  <c r="X44" i="24"/>
  <c r="AA44" i="24" s="1"/>
  <c r="AB44" i="24" s="1"/>
  <c r="AC44" i="24" s="1"/>
  <c r="AI44" i="24"/>
  <c r="U46" i="25"/>
  <c r="Q9" i="24"/>
  <c r="R9" i="24" s="1"/>
  <c r="P9" i="24"/>
  <c r="P299" i="25"/>
  <c r="O299" i="25"/>
  <c r="T299" i="25"/>
  <c r="O181" i="24"/>
  <c r="BZ181" i="24" s="1"/>
  <c r="J181" i="24"/>
  <c r="W181" i="24" s="1"/>
  <c r="V163" i="24"/>
  <c r="P228" i="25"/>
  <c r="O228" i="25"/>
  <c r="T228" i="25"/>
  <c r="O19" i="25"/>
  <c r="P19" i="25"/>
  <c r="T298" i="25"/>
  <c r="U34" i="25"/>
  <c r="AE41" i="24"/>
  <c r="X41" i="24"/>
  <c r="AA41" i="24" s="1"/>
  <c r="AB41" i="24" s="1"/>
  <c r="AC41" i="24" s="1"/>
  <c r="AI41" i="24"/>
  <c r="P20" i="25"/>
  <c r="O20" i="25"/>
  <c r="P48" i="25"/>
  <c r="O48" i="25"/>
  <c r="O227" i="24"/>
  <c r="BZ227" i="24" s="1"/>
  <c r="J227" i="24"/>
  <c r="W227" i="24" s="1"/>
  <c r="AE191" i="24"/>
  <c r="AI191" i="24"/>
  <c r="X191" i="24"/>
  <c r="AA191" i="24" s="1"/>
  <c r="AB191" i="24" s="1"/>
  <c r="AC191" i="24" s="1"/>
  <c r="V205" i="24"/>
  <c r="Q179" i="24"/>
  <c r="P179" i="24"/>
  <c r="P180" i="25"/>
  <c r="O180" i="25"/>
  <c r="J163" i="24"/>
  <c r="W163" i="24" s="1"/>
  <c r="O163" i="24"/>
  <c r="BZ163" i="24" s="1"/>
  <c r="O291" i="24"/>
  <c r="BZ291" i="24" s="1"/>
  <c r="J291" i="24"/>
  <c r="N93" i="24"/>
  <c r="U93" i="24"/>
  <c r="P313" i="25"/>
  <c r="O313" i="25"/>
  <c r="T313" i="25"/>
  <c r="P303" i="25"/>
  <c r="O303" i="25"/>
  <c r="T303" i="25"/>
  <c r="P84" i="25"/>
  <c r="O84" i="25"/>
  <c r="T84" i="25"/>
  <c r="J148" i="24"/>
  <c r="O148" i="24"/>
  <c r="BZ148" i="24" s="1"/>
  <c r="P312" i="25"/>
  <c r="O312" i="25"/>
  <c r="U233" i="25"/>
  <c r="O120" i="24"/>
  <c r="BZ120" i="24" s="1"/>
  <c r="J120" i="24"/>
  <c r="B67" i="2"/>
  <c r="D67" i="2" s="1"/>
  <c r="O210" i="25"/>
  <c r="P210" i="25"/>
  <c r="T210" i="25"/>
  <c r="P127" i="25"/>
  <c r="O127" i="25"/>
  <c r="J218" i="24"/>
  <c r="O218" i="24"/>
  <c r="BZ218" i="24" s="1"/>
  <c r="O159" i="24"/>
  <c r="BZ159" i="24" s="1"/>
  <c r="J159" i="24"/>
  <c r="U144" i="24"/>
  <c r="O141" i="24"/>
  <c r="BZ141" i="24" s="1"/>
  <c r="J141" i="24"/>
  <c r="J253" i="24"/>
  <c r="O253" i="24"/>
  <c r="BZ253" i="24" s="1"/>
  <c r="O130" i="24"/>
  <c r="BZ130" i="24" s="1"/>
  <c r="J130" i="24"/>
  <c r="W130" i="24" s="1"/>
  <c r="N206" i="24"/>
  <c r="U206" i="24"/>
  <c r="V133" i="24"/>
  <c r="N123" i="24"/>
  <c r="U123" i="24"/>
  <c r="N161" i="24"/>
  <c r="U161" i="24"/>
  <c r="Q124" i="24"/>
  <c r="P124" i="24"/>
  <c r="N255" i="24"/>
  <c r="U255" i="24"/>
  <c r="T118" i="25"/>
  <c r="J249" i="24"/>
  <c r="O249" i="24"/>
  <c r="BZ249" i="24" s="1"/>
  <c r="N42" i="24"/>
  <c r="U42" i="24"/>
  <c r="P271" i="25"/>
  <c r="O271" i="25"/>
  <c r="N131" i="24"/>
  <c r="U131" i="24"/>
  <c r="J118" i="24"/>
  <c r="O118" i="24"/>
  <c r="BZ118" i="24" s="1"/>
  <c r="P12" i="25"/>
  <c r="O12" i="25"/>
  <c r="T12" i="25"/>
  <c r="O207" i="24"/>
  <c r="BZ207" i="24" s="1"/>
  <c r="J207" i="24"/>
  <c r="Q66" i="24"/>
  <c r="R66" i="24" s="1"/>
  <c r="P66" i="24"/>
  <c r="O169" i="24"/>
  <c r="BZ169" i="24" s="1"/>
  <c r="J169" i="24"/>
  <c r="P43" i="25"/>
  <c r="O43" i="25"/>
  <c r="P57" i="25"/>
  <c r="O57" i="25"/>
  <c r="O49" i="24"/>
  <c r="BZ49" i="24" s="1"/>
  <c r="J49" i="24"/>
  <c r="J300" i="24"/>
  <c r="O300" i="24"/>
  <c r="BZ300" i="24" s="1"/>
  <c r="S305" i="25"/>
  <c r="K305" i="25" s="1"/>
  <c r="V305" i="25" s="1"/>
  <c r="R305" i="25"/>
  <c r="Q305" i="25"/>
  <c r="O150" i="24"/>
  <c r="BZ150" i="24" s="1"/>
  <c r="J150" i="24"/>
  <c r="AP179" i="24"/>
  <c r="J194" i="24"/>
  <c r="O194" i="24"/>
  <c r="BZ194" i="24" s="1"/>
  <c r="Q241" i="24"/>
  <c r="P241" i="24"/>
  <c r="Q35" i="24"/>
  <c r="R35" i="24" s="1"/>
  <c r="P35" i="24"/>
  <c r="P115" i="25"/>
  <c r="O115" i="25"/>
  <c r="T115" i="25"/>
  <c r="U9" i="24"/>
  <c r="P288" i="25"/>
  <c r="O288" i="25"/>
  <c r="T288" i="25"/>
  <c r="U97" i="25"/>
  <c r="U156" i="24"/>
  <c r="U144" i="25"/>
  <c r="U98" i="24"/>
  <c r="J187" i="24"/>
  <c r="O187" i="24"/>
  <c r="BZ187" i="24" s="1"/>
  <c r="BZ198" i="25"/>
  <c r="N263" i="24"/>
  <c r="U263" i="24"/>
  <c r="J182" i="24"/>
  <c r="W182" i="24" s="1"/>
  <c r="O182" i="24"/>
  <c r="BZ182" i="24" s="1"/>
  <c r="U270" i="25"/>
  <c r="J71" i="24"/>
  <c r="O71" i="24"/>
  <c r="BZ71" i="24" s="1"/>
  <c r="J247" i="24"/>
  <c r="O247" i="24"/>
  <c r="BZ247" i="24" s="1"/>
  <c r="AP295" i="24"/>
  <c r="W162" i="24"/>
  <c r="Y162" i="24" s="1"/>
  <c r="J14" i="24"/>
  <c r="O14" i="24"/>
  <c r="BZ14" i="24" s="1"/>
  <c r="P244" i="24"/>
  <c r="Q244" i="24"/>
  <c r="P191" i="25"/>
  <c r="O191" i="25"/>
  <c r="V86" i="24"/>
  <c r="U61" i="25"/>
  <c r="P196" i="25"/>
  <c r="O196" i="25"/>
  <c r="T196" i="25"/>
  <c r="AP284" i="24"/>
  <c r="O117" i="24"/>
  <c r="BZ117" i="24" s="1"/>
  <c r="J117" i="24"/>
  <c r="P120" i="25"/>
  <c r="O120" i="25"/>
  <c r="N103" i="24"/>
  <c r="U103" i="24"/>
  <c r="O256" i="24"/>
  <c r="BZ256" i="24" s="1"/>
  <c r="J256" i="24"/>
  <c r="S131" i="25"/>
  <c r="K131" i="25" s="1"/>
  <c r="R131" i="25"/>
  <c r="Q131" i="25"/>
  <c r="P75" i="25"/>
  <c r="O75" i="25"/>
  <c r="T75" i="25"/>
  <c r="J9" i="24"/>
  <c r="O9" i="24"/>
  <c r="BZ9" i="24" s="1"/>
  <c r="J275" i="24"/>
  <c r="O275" i="24"/>
  <c r="BZ275" i="24" s="1"/>
  <c r="J230" i="24"/>
  <c r="O230" i="24"/>
  <c r="BZ230" i="24" s="1"/>
  <c r="O28" i="24"/>
  <c r="BZ28" i="24" s="1"/>
  <c r="J28" i="24"/>
  <c r="P35" i="25"/>
  <c r="O35" i="25"/>
  <c r="AP156" i="24"/>
  <c r="O297" i="24"/>
  <c r="BZ297" i="24" s="1"/>
  <c r="J297" i="24"/>
  <c r="Q87" i="24"/>
  <c r="R87" i="24" s="1"/>
  <c r="P87" i="24"/>
  <c r="T187" i="25"/>
  <c r="Q279" i="24"/>
  <c r="P279" i="24"/>
  <c r="P231" i="24"/>
  <c r="Q231" i="24"/>
  <c r="R232" i="25"/>
  <c r="S232" i="25"/>
  <c r="K232" i="25" s="1"/>
  <c r="Q232" i="25"/>
  <c r="R282" i="25"/>
  <c r="S282" i="25"/>
  <c r="K282" i="25" s="1"/>
  <c r="V282" i="25" s="1"/>
  <c r="Q282" i="25"/>
  <c r="U58" i="25"/>
  <c r="U185" i="25"/>
  <c r="U112" i="24"/>
  <c r="V19" i="24"/>
  <c r="O185" i="24"/>
  <c r="BZ185" i="24" s="1"/>
  <c r="J185" i="24"/>
  <c r="S199" i="25"/>
  <c r="K199" i="25" s="1"/>
  <c r="V199" i="25" s="1"/>
  <c r="R199" i="25"/>
  <c r="Q199" i="25"/>
  <c r="V313" i="24"/>
  <c r="U283" i="25"/>
  <c r="V223" i="24"/>
  <c r="J143" i="24"/>
  <c r="O143" i="24"/>
  <c r="BZ143" i="24" s="1"/>
  <c r="Q168" i="24"/>
  <c r="P168" i="24"/>
  <c r="P186" i="24"/>
  <c r="Q186" i="24"/>
  <c r="O152" i="24"/>
  <c r="BZ152" i="24" s="1"/>
  <c r="J152" i="24"/>
  <c r="S31" i="25"/>
  <c r="K31" i="25" s="1"/>
  <c r="R31" i="25"/>
  <c r="Q31" i="25"/>
  <c r="Q40" i="24"/>
  <c r="R40" i="24" s="1"/>
  <c r="P40" i="24"/>
  <c r="R13" i="25"/>
  <c r="S13" i="25"/>
  <c r="K13" i="25" s="1"/>
  <c r="Q13" i="25"/>
  <c r="U9" i="25"/>
  <c r="U195" i="25"/>
  <c r="P164" i="25"/>
  <c r="O164" i="25"/>
  <c r="U96" i="24"/>
  <c r="S95" i="25"/>
  <c r="K95" i="25" s="1"/>
  <c r="V95" i="25" s="1"/>
  <c r="R95" i="25"/>
  <c r="Q95" i="25"/>
  <c r="S192" i="25"/>
  <c r="K192" i="25" s="1"/>
  <c r="R192" i="25"/>
  <c r="Q192" i="25"/>
  <c r="J243" i="24"/>
  <c r="O243" i="24"/>
  <c r="BZ243" i="24" s="1"/>
  <c r="P32" i="24"/>
  <c r="Q32" i="24"/>
  <c r="R32" i="24" s="1"/>
  <c r="V10" i="24"/>
  <c r="W7" i="24"/>
  <c r="Y7" i="24" s="1"/>
  <c r="P16" i="25"/>
  <c r="O16" i="25"/>
  <c r="P141" i="25"/>
  <c r="O141" i="25"/>
  <c r="V147" i="24"/>
  <c r="T103" i="25"/>
  <c r="V303" i="24"/>
  <c r="U240" i="25"/>
  <c r="S148" i="25"/>
  <c r="K148" i="25" s="1"/>
  <c r="V148" i="25" s="1"/>
  <c r="R148" i="25"/>
  <c r="Q148" i="25"/>
  <c r="P111" i="24"/>
  <c r="Q111" i="24"/>
  <c r="J224" i="24"/>
  <c r="O224" i="24"/>
  <c r="BZ224" i="24" s="1"/>
  <c r="P40" i="25"/>
  <c r="O40" i="25"/>
  <c r="T40" i="25"/>
  <c r="P92" i="24"/>
  <c r="Q92" i="24"/>
  <c r="R92" i="24" s="1"/>
  <c r="U51" i="25"/>
  <c r="U15" i="25"/>
  <c r="P22" i="25"/>
  <c r="O22" i="25"/>
  <c r="T22" i="25"/>
  <c r="U279" i="25"/>
  <c r="V24" i="24"/>
  <c r="P309" i="25"/>
  <c r="O309" i="25"/>
  <c r="J134" i="24"/>
  <c r="O134" i="24"/>
  <c r="BZ134" i="24" s="1"/>
  <c r="N204" i="24"/>
  <c r="U204" i="24"/>
  <c r="P182" i="25"/>
  <c r="O182" i="25"/>
  <c r="J228" i="24"/>
  <c r="O228" i="24"/>
  <c r="BZ228" i="24" s="1"/>
  <c r="P311" i="25"/>
  <c r="O311" i="25"/>
  <c r="P287" i="25"/>
  <c r="O287" i="25"/>
  <c r="T287" i="25"/>
  <c r="Q17" i="24"/>
  <c r="R17" i="24" s="1"/>
  <c r="P17" i="24"/>
  <c r="P101" i="25"/>
  <c r="O101" i="25"/>
  <c r="P76" i="25"/>
  <c r="O76" i="25"/>
  <c r="T76" i="25"/>
  <c r="N260" i="24"/>
  <c r="U260" i="24"/>
  <c r="P156" i="25"/>
  <c r="O156" i="25"/>
  <c r="T156" i="25"/>
  <c r="U33" i="25"/>
  <c r="AP240" i="24"/>
  <c r="U171" i="24"/>
  <c r="T121" i="25"/>
  <c r="J279" i="24"/>
  <c r="W279" i="24" s="1"/>
  <c r="O279" i="24"/>
  <c r="BZ279" i="24" s="1"/>
  <c r="O200" i="24"/>
  <c r="BZ200" i="24" s="1"/>
  <c r="J200" i="24"/>
  <c r="W200" i="24" s="1"/>
  <c r="P117" i="25"/>
  <c r="O117" i="25"/>
  <c r="P297" i="25"/>
  <c r="O297" i="25"/>
  <c r="T297" i="25"/>
  <c r="N259" i="24"/>
  <c r="U259" i="24"/>
  <c r="J83" i="24"/>
  <c r="W83" i="24" s="1"/>
  <c r="O83" i="24"/>
  <c r="BZ83" i="24" s="1"/>
  <c r="U52" i="25"/>
  <c r="N158" i="24"/>
  <c r="U158" i="24"/>
  <c r="Q96" i="24"/>
  <c r="R96" i="24" s="1"/>
  <c r="P96" i="24"/>
  <c r="N58" i="24"/>
  <c r="U58" i="24"/>
  <c r="N149" i="24"/>
  <c r="U149" i="24"/>
  <c r="O112" i="25"/>
  <c r="P112" i="25"/>
  <c r="T112" i="25"/>
  <c r="P125" i="25"/>
  <c r="O125" i="25"/>
  <c r="T125" i="25"/>
  <c r="J220" i="24"/>
  <c r="O220" i="24"/>
  <c r="BZ220" i="24" s="1"/>
  <c r="U254" i="25"/>
  <c r="J27" i="24"/>
  <c r="O27" i="24"/>
  <c r="BZ27" i="24" s="1"/>
  <c r="P83" i="25"/>
  <c r="O83" i="25"/>
  <c r="P90" i="25"/>
  <c r="O90" i="25"/>
  <c r="T90" i="25"/>
  <c r="Q300" i="24"/>
  <c r="P300" i="24"/>
  <c r="U196" i="24"/>
  <c r="V48" i="24"/>
  <c r="O31" i="24"/>
  <c r="BZ31" i="24" s="1"/>
  <c r="J31" i="24"/>
  <c r="AP293" i="24"/>
  <c r="J59" i="24"/>
  <c r="O59" i="24"/>
  <c r="BZ59" i="24" s="1"/>
  <c r="P37" i="25"/>
  <c r="O37" i="25"/>
  <c r="O206" i="24"/>
  <c r="BZ206" i="24" s="1"/>
  <c r="J206" i="24"/>
  <c r="P263" i="25"/>
  <c r="O263" i="25"/>
  <c r="O219" i="24"/>
  <c r="BZ219" i="24" s="1"/>
  <c r="J219" i="24"/>
  <c r="W219" i="24" s="1"/>
  <c r="J140" i="24"/>
  <c r="O140" i="24"/>
  <c r="BZ140" i="24" s="1"/>
  <c r="O169" i="25"/>
  <c r="P169" i="25"/>
  <c r="T169" i="25"/>
  <c r="AO170" i="25"/>
  <c r="AP135" i="24"/>
  <c r="O210" i="24"/>
  <c r="BZ210" i="24" s="1"/>
  <c r="J210" i="24"/>
  <c r="N26" i="24"/>
  <c r="U26" i="24"/>
  <c r="R34" i="25"/>
  <c r="S34" i="25"/>
  <c r="K34" i="25" s="1"/>
  <c r="Q34" i="25"/>
  <c r="N183" i="24"/>
  <c r="U183" i="24"/>
  <c r="O42" i="24"/>
  <c r="BZ42" i="24" s="1"/>
  <c r="J42" i="24"/>
  <c r="J58" i="24"/>
  <c r="O58" i="24"/>
  <c r="BZ58" i="24" s="1"/>
  <c r="O25" i="24"/>
  <c r="BZ25" i="24" s="1"/>
  <c r="J25" i="24"/>
  <c r="W25" i="24" s="1"/>
  <c r="U82" i="25"/>
  <c r="AE190" i="24"/>
  <c r="X190" i="24"/>
  <c r="AA190" i="24" s="1"/>
  <c r="AB190" i="24" s="1"/>
  <c r="AC190" i="24" s="1"/>
  <c r="AI190" i="24"/>
  <c r="P279" i="25"/>
  <c r="O279" i="25"/>
  <c r="P300" i="25"/>
  <c r="O300" i="25"/>
  <c r="Q177" i="24"/>
  <c r="P177" i="24"/>
  <c r="P316" i="25"/>
  <c r="O316" i="25"/>
  <c r="B70" i="2"/>
  <c r="V72" i="24"/>
  <c r="J66" i="24"/>
  <c r="O66" i="24"/>
  <c r="BZ66" i="24" s="1"/>
  <c r="J60" i="24"/>
  <c r="O60" i="24"/>
  <c r="BZ60" i="24" s="1"/>
  <c r="AP13" i="24"/>
  <c r="J144" i="24"/>
  <c r="O144" i="24"/>
  <c r="BZ144" i="24" s="1"/>
  <c r="O241" i="24"/>
  <c r="BZ241" i="24" s="1"/>
  <c r="J241" i="24"/>
  <c r="P198" i="24"/>
  <c r="Q198" i="24"/>
  <c r="P128" i="24"/>
  <c r="Q128" i="24"/>
  <c r="P45" i="25"/>
  <c r="O45" i="25"/>
  <c r="N80" i="24"/>
  <c r="U80" i="24"/>
  <c r="AP124" i="24"/>
  <c r="U310" i="25"/>
  <c r="Q201" i="24"/>
  <c r="P201" i="24"/>
  <c r="V53" i="24"/>
  <c r="U59" i="25"/>
  <c r="AO62" i="25"/>
  <c r="J203" i="24"/>
  <c r="O203" i="24"/>
  <c r="BZ203" i="24" s="1"/>
  <c r="V181" i="24"/>
  <c r="U247" i="25"/>
  <c r="O8" i="24"/>
  <c r="BZ8" i="24" s="1"/>
  <c r="J8" i="24"/>
  <c r="AO198" i="25"/>
  <c r="AP104" i="24"/>
  <c r="AP222" i="24"/>
  <c r="O137" i="24"/>
  <c r="BZ137" i="24" s="1"/>
  <c r="J137" i="24"/>
  <c r="W41" i="24"/>
  <c r="Y41" i="24" s="1"/>
  <c r="AP102" i="24"/>
  <c r="U75" i="24"/>
  <c r="W191" i="24"/>
  <c r="Y191" i="24" s="1"/>
  <c r="O75" i="24"/>
  <c r="BZ75" i="24" s="1"/>
  <c r="J75" i="24"/>
  <c r="P254" i="25"/>
  <c r="O254" i="25"/>
  <c r="P297" i="24"/>
  <c r="Q297" i="24"/>
  <c r="P231" i="25"/>
  <c r="O231" i="25"/>
  <c r="T231" i="25"/>
  <c r="U275" i="24"/>
  <c r="O90" i="24"/>
  <c r="BZ90" i="24" s="1"/>
  <c r="J90" i="24"/>
  <c r="P227" i="25"/>
  <c r="O227" i="25"/>
  <c r="AP201" i="24"/>
  <c r="P183" i="25"/>
  <c r="O183" i="25"/>
  <c r="T183" i="25"/>
  <c r="P140" i="25"/>
  <c r="O140" i="25"/>
  <c r="T140" i="25"/>
  <c r="T101" i="25"/>
  <c r="P115" i="24"/>
  <c r="Q115" i="24"/>
  <c r="U245" i="24"/>
  <c r="J103" i="24"/>
  <c r="O103" i="24"/>
  <c r="BZ103" i="24" s="1"/>
  <c r="AP75" i="24"/>
  <c r="T157" i="25"/>
  <c r="P128" i="25"/>
  <c r="O128" i="25"/>
  <c r="T171" i="25"/>
  <c r="J172" i="24"/>
  <c r="O172" i="24"/>
  <c r="BZ172" i="24" s="1"/>
  <c r="AE22" i="24"/>
  <c r="X22" i="24"/>
  <c r="AA22" i="24" s="1"/>
  <c r="AB22" i="24" s="1"/>
  <c r="AC22" i="24" s="1"/>
  <c r="AI22" i="24"/>
  <c r="BZ131" i="25"/>
  <c r="P256" i="25"/>
  <c r="O256" i="25"/>
  <c r="P149" i="25"/>
  <c r="O149" i="25"/>
  <c r="O258" i="24"/>
  <c r="BZ258" i="24" s="1"/>
  <c r="J258" i="24"/>
  <c r="O284" i="24"/>
  <c r="BZ284" i="24" s="1"/>
  <c r="J284" i="24"/>
  <c r="O87" i="24"/>
  <c r="BZ87" i="24" s="1"/>
  <c r="J87" i="24"/>
  <c r="O269" i="24"/>
  <c r="BZ269" i="24" s="1"/>
  <c r="J269" i="24"/>
  <c r="U14" i="25"/>
  <c r="V16" i="24"/>
  <c r="U138" i="24"/>
  <c r="U221" i="24"/>
  <c r="R247" i="25"/>
  <c r="S247" i="25"/>
  <c r="K247" i="25" s="1"/>
  <c r="V247" i="25" s="1"/>
  <c r="Q247" i="25"/>
  <c r="P58" i="25"/>
  <c r="O58" i="25"/>
  <c r="Q19" i="24"/>
  <c r="R19" i="24" s="1"/>
  <c r="P19" i="24"/>
  <c r="U168" i="24"/>
  <c r="P38" i="25"/>
  <c r="O38" i="25"/>
  <c r="T38" i="25"/>
  <c r="U248" i="25"/>
  <c r="Q313" i="24"/>
  <c r="P313" i="24"/>
  <c r="S283" i="25"/>
  <c r="K283" i="25" s="1"/>
  <c r="V283" i="25" s="1"/>
  <c r="R283" i="25"/>
  <c r="Q283" i="25"/>
  <c r="BZ257" i="25"/>
  <c r="AP243" i="24"/>
  <c r="AP185" i="24"/>
  <c r="S314" i="25"/>
  <c r="K314" i="25" s="1"/>
  <c r="V314" i="25" s="1"/>
  <c r="R314" i="25"/>
  <c r="Q314" i="25"/>
  <c r="V310" i="24"/>
  <c r="T55" i="25"/>
  <c r="P44" i="25"/>
  <c r="O44" i="25"/>
  <c r="T44" i="25"/>
  <c r="U250" i="24"/>
  <c r="J170" i="24"/>
  <c r="O170" i="24"/>
  <c r="BZ170" i="24" s="1"/>
  <c r="W119" i="24"/>
  <c r="Y119" i="24" s="1"/>
  <c r="V142" i="24"/>
  <c r="W142" i="24"/>
  <c r="P42" i="25"/>
  <c r="O42" i="25"/>
  <c r="U159" i="24"/>
  <c r="U299" i="24"/>
  <c r="P10" i="24"/>
  <c r="Q10" i="24"/>
  <c r="R10" i="24" s="1"/>
  <c r="V130" i="24"/>
  <c r="V268" i="24"/>
  <c r="J261" i="24"/>
  <c r="O261" i="24"/>
  <c r="BZ261" i="24" s="1"/>
  <c r="Q303" i="24"/>
  <c r="P303" i="24"/>
  <c r="R240" i="25"/>
  <c r="S240" i="25"/>
  <c r="K240" i="25" s="1"/>
  <c r="V240" i="25" s="1"/>
  <c r="Q240" i="25"/>
  <c r="V97" i="24"/>
  <c r="T105" i="25"/>
  <c r="W292" i="24"/>
  <c r="Y292" i="24" s="1"/>
  <c r="Q94" i="25" l="1"/>
  <c r="BZ94" i="25"/>
  <c r="R94" i="25"/>
  <c r="AO94" i="25"/>
  <c r="Y270" i="24"/>
  <c r="W55" i="24"/>
  <c r="Y55" i="24" s="1"/>
  <c r="Y268" i="24"/>
  <c r="Y97" i="24"/>
  <c r="Y61" i="24"/>
  <c r="Y205" i="24"/>
  <c r="Y248" i="24"/>
  <c r="Y238" i="24"/>
  <c r="Y313" i="24"/>
  <c r="Y237" i="24"/>
  <c r="Y303" i="24"/>
  <c r="Y133" i="24"/>
  <c r="X62" i="25"/>
  <c r="Y130" i="24"/>
  <c r="Y52" i="24"/>
  <c r="Y32" i="24"/>
  <c r="Y24" i="24"/>
  <c r="Y30" i="24"/>
  <c r="X248" i="25"/>
  <c r="Y142" i="24"/>
  <c r="Y310" i="24"/>
  <c r="Y68" i="24"/>
  <c r="Y48" i="24"/>
  <c r="Y306" i="24"/>
  <c r="X262" i="25"/>
  <c r="Y223" i="24"/>
  <c r="Y226" i="24"/>
  <c r="Y231" i="24"/>
  <c r="X204" i="25"/>
  <c r="Y16" i="24"/>
  <c r="Y234" i="24"/>
  <c r="Y43" i="24"/>
  <c r="X147" i="25"/>
  <c r="X82" i="25"/>
  <c r="AO104" i="25"/>
  <c r="Y147" i="24"/>
  <c r="Y307" i="24"/>
  <c r="Y181" i="24"/>
  <c r="X59" i="25"/>
  <c r="X275" i="25"/>
  <c r="X14" i="25"/>
  <c r="X229" i="25"/>
  <c r="Y182" i="24"/>
  <c r="Y272" i="24"/>
  <c r="Y271" i="24"/>
  <c r="Y190" i="24"/>
  <c r="Y219" i="24"/>
  <c r="X89" i="25"/>
  <c r="Y199" i="24"/>
  <c r="Y227" i="24"/>
  <c r="Y121" i="24"/>
  <c r="X283" i="25"/>
  <c r="X161" i="25"/>
  <c r="Y279" i="24"/>
  <c r="Y290" i="24"/>
  <c r="Y163" i="24"/>
  <c r="Y200" i="24"/>
  <c r="Y312" i="24"/>
  <c r="X292" i="25"/>
  <c r="X113" i="25"/>
  <c r="X199" i="25"/>
  <c r="X201" i="25"/>
  <c r="X238" i="25"/>
  <c r="X158" i="25"/>
  <c r="X32" i="25"/>
  <c r="X267" i="25"/>
  <c r="X282" i="25"/>
  <c r="X273" i="25"/>
  <c r="X314" i="25"/>
  <c r="X247" i="25"/>
  <c r="X178" i="25"/>
  <c r="X21" i="25"/>
  <c r="X276" i="25"/>
  <c r="X87" i="25"/>
  <c r="X240" i="25"/>
  <c r="X148" i="25"/>
  <c r="X95" i="25"/>
  <c r="X305" i="25"/>
  <c r="X30" i="25"/>
  <c r="X173" i="25"/>
  <c r="X243" i="25"/>
  <c r="Y86" i="24"/>
  <c r="Y19" i="24"/>
  <c r="Y22" i="24"/>
  <c r="Y72" i="24"/>
  <c r="Y44" i="24"/>
  <c r="Y53" i="24"/>
  <c r="Y10" i="24"/>
  <c r="Y40" i="24"/>
  <c r="Y83" i="24"/>
  <c r="Y21" i="24"/>
  <c r="Y25" i="24"/>
  <c r="Y101" i="24"/>
  <c r="Y62" i="24"/>
  <c r="W160" i="24"/>
  <c r="Y160" i="24" s="1"/>
  <c r="S11" i="25"/>
  <c r="K11" i="25" s="1"/>
  <c r="V11" i="25" s="1"/>
  <c r="X11" i="25" s="1"/>
  <c r="R11" i="25"/>
  <c r="Q11" i="25"/>
  <c r="R280" i="25"/>
  <c r="S280" i="25"/>
  <c r="K280" i="25" s="1"/>
  <c r="V280" i="25" s="1"/>
  <c r="X280" i="25" s="1"/>
  <c r="BZ11" i="25"/>
  <c r="AO280" i="25"/>
  <c r="BZ280" i="25"/>
  <c r="W305" i="24"/>
  <c r="Y305" i="24" s="1"/>
  <c r="S155" i="25"/>
  <c r="K155" i="25" s="1"/>
  <c r="W155" i="25" s="1"/>
  <c r="Z155" i="25" s="1"/>
  <c r="AA155" i="25" s="1"/>
  <c r="AB155" i="25" s="1"/>
  <c r="AI155" i="25" s="1"/>
  <c r="R155" i="25"/>
  <c r="W267" i="24"/>
  <c r="Y267" i="24" s="1"/>
  <c r="AJ191" i="24"/>
  <c r="AT191" i="24" s="1"/>
  <c r="Q155" i="25"/>
  <c r="W252" i="24"/>
  <c r="Y252" i="24" s="1"/>
  <c r="AJ190" i="24"/>
  <c r="AT190" i="24" s="1"/>
  <c r="W152" i="24"/>
  <c r="Y152" i="24" s="1"/>
  <c r="Q96" i="25"/>
  <c r="W12" i="24"/>
  <c r="Y12" i="24" s="1"/>
  <c r="R96" i="25"/>
  <c r="S96" i="25"/>
  <c r="K96" i="25" s="1"/>
  <c r="AD96" i="25" s="1"/>
  <c r="W178" i="24"/>
  <c r="Y178" i="24" s="1"/>
  <c r="W128" i="24"/>
  <c r="Y128" i="24" s="1"/>
  <c r="BZ155" i="25"/>
  <c r="W87" i="24"/>
  <c r="Y87" i="24" s="1"/>
  <c r="BZ96" i="25"/>
  <c r="W137" i="24"/>
  <c r="Y137" i="24" s="1"/>
  <c r="W276" i="24"/>
  <c r="Y276" i="24" s="1"/>
  <c r="W74" i="24"/>
  <c r="Y74" i="24" s="1"/>
  <c r="W286" i="24"/>
  <c r="Y286" i="24" s="1"/>
  <c r="W254" i="24"/>
  <c r="Y254" i="24" s="1"/>
  <c r="W60" i="24"/>
  <c r="Y60" i="24" s="1"/>
  <c r="W143" i="25"/>
  <c r="Z143" i="25" s="1"/>
  <c r="AA143" i="25" s="1"/>
  <c r="AB143" i="25" s="1"/>
  <c r="AI143" i="25" s="1"/>
  <c r="AS143" i="25" s="1"/>
  <c r="Q265" i="25"/>
  <c r="AD143" i="25"/>
  <c r="AE143" i="25" s="1"/>
  <c r="AJ162" i="24"/>
  <c r="AT162" i="24" s="1"/>
  <c r="AJ160" i="24"/>
  <c r="AT160" i="24" s="1"/>
  <c r="Q154" i="25"/>
  <c r="S154" i="25"/>
  <c r="K154" i="25" s="1"/>
  <c r="V154" i="25" s="1"/>
  <c r="X154" i="25" s="1"/>
  <c r="R154" i="25"/>
  <c r="W296" i="24"/>
  <c r="Y296" i="24" s="1"/>
  <c r="BZ154" i="25"/>
  <c r="W314" i="24"/>
  <c r="Y314" i="24" s="1"/>
  <c r="AJ101" i="24"/>
  <c r="W165" i="24"/>
  <c r="Y165" i="24" s="1"/>
  <c r="W157" i="24"/>
  <c r="Y157" i="24" s="1"/>
  <c r="W217" i="24"/>
  <c r="Y217" i="24" s="1"/>
  <c r="W91" i="24"/>
  <c r="Y91" i="24" s="1"/>
  <c r="P223" i="24"/>
  <c r="Q223" i="24"/>
  <c r="BZ97" i="25"/>
  <c r="W230" i="24"/>
  <c r="Y230" i="24" s="1"/>
  <c r="Q97" i="25"/>
  <c r="R97" i="25"/>
  <c r="S97" i="25"/>
  <c r="K97" i="25" s="1"/>
  <c r="V97" i="25" s="1"/>
  <c r="X97" i="25" s="1"/>
  <c r="AO97" i="25"/>
  <c r="Q258" i="25"/>
  <c r="S258" i="25"/>
  <c r="K258" i="25" s="1"/>
  <c r="V258" i="25" s="1"/>
  <c r="X258" i="25" s="1"/>
  <c r="W302" i="24"/>
  <c r="Y302" i="24" s="1"/>
  <c r="R258" i="25"/>
  <c r="AO258" i="25"/>
  <c r="W208" i="24"/>
  <c r="Y208" i="24" s="1"/>
  <c r="W49" i="24"/>
  <c r="Y49" i="24" s="1"/>
  <c r="S265" i="25"/>
  <c r="K265" i="25" s="1"/>
  <c r="AD265" i="25" s="1"/>
  <c r="BZ29" i="25"/>
  <c r="R265" i="25"/>
  <c r="Q291" i="25"/>
  <c r="AO29" i="25"/>
  <c r="R291" i="25"/>
  <c r="Q29" i="25"/>
  <c r="S291" i="25"/>
  <c r="K291" i="25" s="1"/>
  <c r="V291" i="25" s="1"/>
  <c r="X291" i="25" s="1"/>
  <c r="S29" i="25"/>
  <c r="K29" i="25" s="1"/>
  <c r="AD29" i="25" s="1"/>
  <c r="BZ265" i="25"/>
  <c r="R59" i="25"/>
  <c r="Q189" i="25"/>
  <c r="W37" i="24"/>
  <c r="S189" i="25"/>
  <c r="K189" i="25" s="1"/>
  <c r="W189" i="25" s="1"/>
  <c r="Z189" i="25" s="1"/>
  <c r="AA189" i="25" s="1"/>
  <c r="AB189" i="25" s="1"/>
  <c r="AI189" i="25" s="1"/>
  <c r="R189" i="25"/>
  <c r="BZ189" i="25"/>
  <c r="AO179" i="25"/>
  <c r="BZ179" i="25"/>
  <c r="Q179" i="25"/>
  <c r="S179" i="25"/>
  <c r="K179" i="25" s="1"/>
  <c r="V179" i="25" s="1"/>
  <c r="X179" i="25" s="1"/>
  <c r="BZ291" i="25"/>
  <c r="V37" i="24"/>
  <c r="W125" i="24"/>
  <c r="Y125" i="24" s="1"/>
  <c r="R28" i="25"/>
  <c r="W50" i="24"/>
  <c r="Y50" i="24" s="1"/>
  <c r="W265" i="24"/>
  <c r="Y265" i="24" s="1"/>
  <c r="W11" i="24"/>
  <c r="Y11" i="24" s="1"/>
  <c r="W175" i="24"/>
  <c r="Y175" i="24" s="1"/>
  <c r="W201" i="24"/>
  <c r="Y201" i="24" s="1"/>
  <c r="Q104" i="25"/>
  <c r="Q28" i="25"/>
  <c r="S28" i="25"/>
  <c r="K28" i="25" s="1"/>
  <c r="AD28" i="25" s="1"/>
  <c r="W253" i="24"/>
  <c r="Y253" i="24" s="1"/>
  <c r="Q59" i="25"/>
  <c r="R104" i="25"/>
  <c r="S104" i="25"/>
  <c r="K104" i="25" s="1"/>
  <c r="W104" i="25" s="1"/>
  <c r="Z104" i="25" s="1"/>
  <c r="AA104" i="25" s="1"/>
  <c r="AB104" i="25" s="1"/>
  <c r="AI104" i="25" s="1"/>
  <c r="Q237" i="25"/>
  <c r="BZ237" i="25"/>
  <c r="AO237" i="25"/>
  <c r="S237" i="25"/>
  <c r="K237" i="25" s="1"/>
  <c r="V237" i="25" s="1"/>
  <c r="X237" i="25" s="1"/>
  <c r="BZ104" i="25"/>
  <c r="BZ28" i="25"/>
  <c r="BZ59" i="25"/>
  <c r="AO59" i="25"/>
  <c r="W274" i="24"/>
  <c r="Y274" i="24" s="1"/>
  <c r="W20" i="24"/>
  <c r="Y20" i="24" s="1"/>
  <c r="W70" i="24"/>
  <c r="Y70" i="24" s="1"/>
  <c r="BN212" i="25"/>
  <c r="I212" i="25"/>
  <c r="CC212" i="25"/>
  <c r="BM212" i="25"/>
  <c r="AL212" i="25"/>
  <c r="J212" i="25"/>
  <c r="L212" i="25" s="1"/>
  <c r="AJ21" i="24"/>
  <c r="W124" i="24"/>
  <c r="AJ45" i="24"/>
  <c r="W224" i="24"/>
  <c r="Y224" i="24" s="1"/>
  <c r="W198" i="24"/>
  <c r="Y198" i="24" s="1"/>
  <c r="V124" i="24"/>
  <c r="W56" i="24"/>
  <c r="Y56" i="24" s="1"/>
  <c r="W169" i="24"/>
  <c r="Y169" i="24" s="1"/>
  <c r="AO77" i="25"/>
  <c r="S77" i="25"/>
  <c r="K77" i="25" s="1"/>
  <c r="BZ77" i="25"/>
  <c r="R77" i="25"/>
  <c r="Q77" i="25"/>
  <c r="AJ44" i="24"/>
  <c r="AJ55" i="24"/>
  <c r="AJ294" i="24"/>
  <c r="AT294" i="24" s="1"/>
  <c r="AJ41" i="24"/>
  <c r="AJ257" i="24"/>
  <c r="AT257" i="24" s="1"/>
  <c r="AJ119" i="24"/>
  <c r="AT119" i="24" s="1"/>
  <c r="AJ7" i="24"/>
  <c r="AJ233" i="24"/>
  <c r="AT233" i="24" s="1"/>
  <c r="AE284" i="24"/>
  <c r="AI284" i="24"/>
  <c r="X284" i="24"/>
  <c r="AA284" i="24" s="1"/>
  <c r="AB284" i="24" s="1"/>
  <c r="AC284" i="24" s="1"/>
  <c r="AE210" i="24"/>
  <c r="AI210" i="24"/>
  <c r="X210" i="24"/>
  <c r="AA210" i="24" s="1"/>
  <c r="AB210" i="24" s="1"/>
  <c r="AC210" i="24" s="1"/>
  <c r="U288" i="25"/>
  <c r="AE120" i="24"/>
  <c r="AI120" i="24"/>
  <c r="X120" i="24"/>
  <c r="AA120" i="24" s="1"/>
  <c r="AB120" i="24" s="1"/>
  <c r="AC120" i="24" s="1"/>
  <c r="U303" i="25"/>
  <c r="AD114" i="25"/>
  <c r="W114" i="25"/>
  <c r="Z114" i="25" s="1"/>
  <c r="AA114" i="25" s="1"/>
  <c r="AB114" i="25" s="1"/>
  <c r="AI114" i="25" s="1"/>
  <c r="V295" i="24"/>
  <c r="W295" i="24"/>
  <c r="S18" i="25"/>
  <c r="K18" i="25" s="1"/>
  <c r="V18" i="25" s="1"/>
  <c r="R18" i="25"/>
  <c r="Q18" i="25"/>
  <c r="AO18" i="25"/>
  <c r="BZ18" i="25"/>
  <c r="S88" i="25"/>
  <c r="K88" i="25" s="1"/>
  <c r="R88" i="25"/>
  <c r="Q88" i="25"/>
  <c r="AO88" i="25"/>
  <c r="BZ88" i="25"/>
  <c r="AE155" i="24"/>
  <c r="AI155" i="24"/>
  <c r="X155" i="24"/>
  <c r="AA155" i="24" s="1"/>
  <c r="AB155" i="24" s="1"/>
  <c r="AC155" i="24" s="1"/>
  <c r="AE250" i="24"/>
  <c r="AI250" i="24"/>
  <c r="X250" i="24"/>
  <c r="AA250" i="24" s="1"/>
  <c r="AB250" i="24" s="1"/>
  <c r="AC250" i="24" s="1"/>
  <c r="W298" i="24"/>
  <c r="V298" i="24"/>
  <c r="AD167" i="25"/>
  <c r="W167" i="25"/>
  <c r="Z167" i="25" s="1"/>
  <c r="AA167" i="25" s="1"/>
  <c r="AB167" i="25" s="1"/>
  <c r="AI167" i="25" s="1"/>
  <c r="AE81" i="24"/>
  <c r="AI81" i="24"/>
  <c r="X81" i="24"/>
  <c r="AA81" i="24" s="1"/>
  <c r="AB81" i="24" s="1"/>
  <c r="AC81" i="24" s="1"/>
  <c r="Q117" i="24"/>
  <c r="P117" i="24"/>
  <c r="AP117" i="24"/>
  <c r="AE278" i="24"/>
  <c r="AI278" i="24"/>
  <c r="X278" i="24"/>
  <c r="AA278" i="24" s="1"/>
  <c r="AB278" i="24" s="1"/>
  <c r="AC278" i="24" s="1"/>
  <c r="S56" i="25"/>
  <c r="K56" i="25" s="1"/>
  <c r="V56" i="25" s="1"/>
  <c r="R56" i="25"/>
  <c r="Q56" i="25"/>
  <c r="BZ56" i="25"/>
  <c r="AO56" i="25"/>
  <c r="AE232" i="24"/>
  <c r="AI232" i="24"/>
  <c r="X232" i="24"/>
  <c r="AA232" i="24" s="1"/>
  <c r="AB232" i="24" s="1"/>
  <c r="AC232" i="24" s="1"/>
  <c r="Q187" i="24"/>
  <c r="P187" i="24"/>
  <c r="AP187" i="24"/>
  <c r="W17" i="24"/>
  <c r="V17" i="24"/>
  <c r="R251" i="25"/>
  <c r="S251" i="25"/>
  <c r="K251" i="25" s="1"/>
  <c r="V251" i="25" s="1"/>
  <c r="Q251" i="25"/>
  <c r="AO251" i="25"/>
  <c r="BZ251" i="25"/>
  <c r="AG162" i="24"/>
  <c r="AF162" i="24"/>
  <c r="AE282" i="24"/>
  <c r="AI282" i="24"/>
  <c r="X282" i="24"/>
  <c r="AA282" i="24" s="1"/>
  <c r="AB282" i="24" s="1"/>
  <c r="AC282" i="24" s="1"/>
  <c r="V59" i="24"/>
  <c r="W59" i="24"/>
  <c r="R49" i="25"/>
  <c r="S49" i="25"/>
  <c r="K49" i="25" s="1"/>
  <c r="Q49" i="25"/>
  <c r="AO49" i="25"/>
  <c r="BZ49" i="25"/>
  <c r="AE305" i="24"/>
  <c r="AI305" i="24"/>
  <c r="X305" i="24"/>
  <c r="AA305" i="24" s="1"/>
  <c r="AB305" i="24" s="1"/>
  <c r="AC305" i="24" s="1"/>
  <c r="R249" i="25"/>
  <c r="S249" i="25"/>
  <c r="K249" i="25" s="1"/>
  <c r="V249" i="25" s="1"/>
  <c r="Q249" i="25"/>
  <c r="AO249" i="25"/>
  <c r="BZ249" i="25"/>
  <c r="V126" i="24"/>
  <c r="W126" i="24"/>
  <c r="AD206" i="25"/>
  <c r="W206" i="25"/>
  <c r="Z206" i="25" s="1"/>
  <c r="AA206" i="25" s="1"/>
  <c r="AB206" i="25" s="1"/>
  <c r="AI206" i="25" s="1"/>
  <c r="V31" i="24"/>
  <c r="W31" i="24"/>
  <c r="AE114" i="24"/>
  <c r="AI114" i="24"/>
  <c r="X114" i="24"/>
  <c r="AA114" i="24" s="1"/>
  <c r="AB114" i="24" s="1"/>
  <c r="AC114" i="24" s="1"/>
  <c r="S294" i="25"/>
  <c r="K294" i="25" s="1"/>
  <c r="R294" i="25"/>
  <c r="Q294" i="25"/>
  <c r="BZ294" i="25"/>
  <c r="AO294" i="25"/>
  <c r="W81" i="24"/>
  <c r="Y81" i="24" s="1"/>
  <c r="U230" i="25"/>
  <c r="AG21" i="24"/>
  <c r="AF21" i="24"/>
  <c r="AE73" i="24"/>
  <c r="AI73" i="24"/>
  <c r="X73" i="24"/>
  <c r="AA73" i="24" s="1"/>
  <c r="AB73" i="24" s="1"/>
  <c r="AC73" i="24" s="1"/>
  <c r="AE115" i="24"/>
  <c r="AI115" i="24"/>
  <c r="X115" i="24"/>
  <c r="AA115" i="24" s="1"/>
  <c r="AB115" i="24" s="1"/>
  <c r="AC115" i="24" s="1"/>
  <c r="AE38" i="24"/>
  <c r="AI38" i="24"/>
  <c r="X38" i="24"/>
  <c r="AA38" i="24" s="1"/>
  <c r="AB38" i="24" s="1"/>
  <c r="AC38" i="24" s="1"/>
  <c r="AE188" i="24"/>
  <c r="AI188" i="24"/>
  <c r="X188" i="24"/>
  <c r="AA188" i="24" s="1"/>
  <c r="AB188" i="24" s="1"/>
  <c r="AC188" i="24" s="1"/>
  <c r="AE308" i="24"/>
  <c r="AI308" i="24"/>
  <c r="X308" i="24"/>
  <c r="AA308" i="24" s="1"/>
  <c r="AB308" i="24" s="1"/>
  <c r="AC308" i="24" s="1"/>
  <c r="U197" i="25"/>
  <c r="AG132" i="24"/>
  <c r="AF132" i="24"/>
  <c r="R25" i="25"/>
  <c r="S25" i="25"/>
  <c r="K25" i="25" s="1"/>
  <c r="V25" i="25" s="1"/>
  <c r="Q25" i="25"/>
  <c r="BZ25" i="25"/>
  <c r="AO25" i="25"/>
  <c r="AE151" i="24"/>
  <c r="AI151" i="24"/>
  <c r="X151" i="24"/>
  <c r="AA151" i="24" s="1"/>
  <c r="AB151" i="24" s="1"/>
  <c r="AC151" i="24" s="1"/>
  <c r="AE280" i="24"/>
  <c r="AI280" i="24"/>
  <c r="X280" i="24"/>
  <c r="AA280" i="24" s="1"/>
  <c r="AB280" i="24" s="1"/>
  <c r="AC280" i="24" s="1"/>
  <c r="V244" i="24"/>
  <c r="W244" i="24"/>
  <c r="AG160" i="24"/>
  <c r="AF160" i="24"/>
  <c r="AE65" i="24"/>
  <c r="AI65" i="24"/>
  <c r="X65" i="24"/>
  <c r="AA65" i="24" s="1"/>
  <c r="AB65" i="24" s="1"/>
  <c r="AC65" i="24" s="1"/>
  <c r="Q146" i="24"/>
  <c r="P146" i="24"/>
  <c r="AP146" i="24"/>
  <c r="P71" i="24"/>
  <c r="Q71" i="24"/>
  <c r="R71" i="24" s="1"/>
  <c r="AP71" i="24"/>
  <c r="AE113" i="24"/>
  <c r="AI113" i="24"/>
  <c r="X113" i="24"/>
  <c r="AA113" i="24" s="1"/>
  <c r="AB113" i="24" s="1"/>
  <c r="AC113" i="24" s="1"/>
  <c r="Q153" i="24"/>
  <c r="P153" i="24"/>
  <c r="AP153" i="24"/>
  <c r="U122" i="25"/>
  <c r="AE165" i="24"/>
  <c r="AI165" i="24"/>
  <c r="X165" i="24"/>
  <c r="AA165" i="24" s="1"/>
  <c r="AB165" i="24" s="1"/>
  <c r="AC165" i="24" s="1"/>
  <c r="AD306" i="25"/>
  <c r="W306" i="25"/>
  <c r="Z306" i="25" s="1"/>
  <c r="AA306" i="25" s="1"/>
  <c r="AB306" i="25" s="1"/>
  <c r="AI306" i="25" s="1"/>
  <c r="AE254" i="24"/>
  <c r="AI254" i="24"/>
  <c r="X254" i="24"/>
  <c r="AA254" i="24" s="1"/>
  <c r="AB254" i="24" s="1"/>
  <c r="AC254" i="24" s="1"/>
  <c r="AE166" i="24"/>
  <c r="AI166" i="24"/>
  <c r="X166" i="24"/>
  <c r="AA166" i="24" s="1"/>
  <c r="AB166" i="24" s="1"/>
  <c r="AC166" i="24" s="1"/>
  <c r="S220" i="25"/>
  <c r="K220" i="25" s="1"/>
  <c r="V220" i="25" s="1"/>
  <c r="R220" i="25"/>
  <c r="Q220" i="25"/>
  <c r="AO220" i="25"/>
  <c r="BZ220" i="25"/>
  <c r="R260" i="25"/>
  <c r="S260" i="25"/>
  <c r="K260" i="25" s="1"/>
  <c r="V260" i="25" s="1"/>
  <c r="Q260" i="25"/>
  <c r="BZ260" i="25"/>
  <c r="AO260" i="25"/>
  <c r="R15" i="25"/>
  <c r="S15" i="25"/>
  <c r="K15" i="25" s="1"/>
  <c r="Q15" i="25"/>
  <c r="BZ15" i="25"/>
  <c r="AO15" i="25"/>
  <c r="AE105" i="24"/>
  <c r="AI105" i="24"/>
  <c r="X105" i="24"/>
  <c r="AA105" i="24" s="1"/>
  <c r="AB105" i="24" s="1"/>
  <c r="AC105" i="24" s="1"/>
  <c r="Q63" i="24"/>
  <c r="R63" i="24" s="1"/>
  <c r="P63" i="24"/>
  <c r="AP63" i="24"/>
  <c r="S207" i="25"/>
  <c r="K207" i="25" s="1"/>
  <c r="V207" i="25" s="1"/>
  <c r="R207" i="25"/>
  <c r="Q207" i="25"/>
  <c r="AO207" i="25"/>
  <c r="BZ207" i="25"/>
  <c r="AE32" i="24"/>
  <c r="AI32" i="24"/>
  <c r="X32" i="24"/>
  <c r="AA32" i="24" s="1"/>
  <c r="AB32" i="24" s="1"/>
  <c r="AC32" i="24" s="1"/>
  <c r="R78" i="25"/>
  <c r="S78" i="25"/>
  <c r="K78" i="25" s="1"/>
  <c r="V78" i="25" s="1"/>
  <c r="Q78" i="25"/>
  <c r="AO78" i="25"/>
  <c r="BZ78" i="25"/>
  <c r="U86" i="25"/>
  <c r="R239" i="25"/>
  <c r="S239" i="25"/>
  <c r="K239" i="25" s="1"/>
  <c r="V239" i="25" s="1"/>
  <c r="Q239" i="25"/>
  <c r="BZ239" i="25"/>
  <c r="AO239" i="25"/>
  <c r="AD14" i="25"/>
  <c r="W14" i="25"/>
  <c r="Z14" i="25" s="1"/>
  <c r="AA14" i="25" s="1"/>
  <c r="AB14" i="25" s="1"/>
  <c r="AI14" i="25" s="1"/>
  <c r="U315" i="25"/>
  <c r="AE276" i="24"/>
  <c r="AI276" i="24"/>
  <c r="X276" i="24"/>
  <c r="AA276" i="24" s="1"/>
  <c r="AB276" i="24" s="1"/>
  <c r="AC276" i="24" s="1"/>
  <c r="AE79" i="24"/>
  <c r="AI79" i="24"/>
  <c r="X79" i="24"/>
  <c r="AA79" i="24" s="1"/>
  <c r="AB79" i="24" s="1"/>
  <c r="AC79" i="24" s="1"/>
  <c r="U302" i="25"/>
  <c r="AE179" i="24"/>
  <c r="AI179" i="24"/>
  <c r="X179" i="24"/>
  <c r="AA179" i="24" s="1"/>
  <c r="AB179" i="24" s="1"/>
  <c r="AC179" i="24" s="1"/>
  <c r="S66" i="25"/>
  <c r="K66" i="25" s="1"/>
  <c r="V66" i="25" s="1"/>
  <c r="R66" i="25"/>
  <c r="Q66" i="25"/>
  <c r="AO66" i="25"/>
  <c r="BZ66" i="25"/>
  <c r="AE251" i="24"/>
  <c r="AI251" i="24"/>
  <c r="X251" i="24"/>
  <c r="AA251" i="24" s="1"/>
  <c r="AB251" i="24" s="1"/>
  <c r="AC251" i="24" s="1"/>
  <c r="W251" i="24"/>
  <c r="Y251" i="24" s="1"/>
  <c r="AG7" i="24"/>
  <c r="AF7" i="24"/>
  <c r="W78" i="24"/>
  <c r="V78" i="24"/>
  <c r="W105" i="24"/>
  <c r="Y105" i="24" s="1"/>
  <c r="AE172" i="24"/>
  <c r="AI172" i="24"/>
  <c r="X172" i="24"/>
  <c r="AA172" i="24" s="1"/>
  <c r="AB172" i="24" s="1"/>
  <c r="AC172" i="24" s="1"/>
  <c r="V75" i="24"/>
  <c r="W75" i="24"/>
  <c r="S169" i="25"/>
  <c r="K169" i="25" s="1"/>
  <c r="V169" i="25" s="1"/>
  <c r="R169" i="25"/>
  <c r="Q169" i="25"/>
  <c r="BZ169" i="25"/>
  <c r="AO169" i="25"/>
  <c r="R112" i="25"/>
  <c r="S112" i="25"/>
  <c r="K112" i="25" s="1"/>
  <c r="V112" i="25" s="1"/>
  <c r="Q112" i="25"/>
  <c r="BZ112" i="25"/>
  <c r="AO112" i="25"/>
  <c r="V204" i="24"/>
  <c r="W204" i="24"/>
  <c r="AD232" i="25"/>
  <c r="V232" i="25"/>
  <c r="X232" i="25" s="1"/>
  <c r="W232" i="25"/>
  <c r="Z232" i="25" s="1"/>
  <c r="AA232" i="25" s="1"/>
  <c r="AB232" i="25" s="1"/>
  <c r="AI232" i="25" s="1"/>
  <c r="AE118" i="24"/>
  <c r="AI118" i="24"/>
  <c r="X118" i="24"/>
  <c r="AA118" i="24" s="1"/>
  <c r="AB118" i="24" s="1"/>
  <c r="AC118" i="24" s="1"/>
  <c r="AE141" i="24"/>
  <c r="AI141" i="24"/>
  <c r="X141" i="24"/>
  <c r="AA141" i="24" s="1"/>
  <c r="AB141" i="24" s="1"/>
  <c r="AC141" i="24" s="1"/>
  <c r="R312" i="25"/>
  <c r="S312" i="25"/>
  <c r="K312" i="25" s="1"/>
  <c r="Q312" i="25"/>
  <c r="AO312" i="25"/>
  <c r="BZ312" i="25"/>
  <c r="Q93" i="24"/>
  <c r="R93" i="24" s="1"/>
  <c r="P93" i="24"/>
  <c r="AP93" i="24"/>
  <c r="U99" i="25"/>
  <c r="AE298" i="24"/>
  <c r="AI298" i="24"/>
  <c r="X298" i="24"/>
  <c r="AA298" i="24" s="1"/>
  <c r="AB298" i="24" s="1"/>
  <c r="AC298" i="24" s="1"/>
  <c r="AE265" i="24"/>
  <c r="AI265" i="24"/>
  <c r="X265" i="24"/>
  <c r="AA265" i="24" s="1"/>
  <c r="AB265" i="24" s="1"/>
  <c r="AC265" i="24" s="1"/>
  <c r="AE131" i="24"/>
  <c r="AI131" i="24"/>
  <c r="X131" i="24"/>
  <c r="AA131" i="24" s="1"/>
  <c r="AB131" i="24" s="1"/>
  <c r="AC131" i="24" s="1"/>
  <c r="V140" i="24"/>
  <c r="W140" i="24"/>
  <c r="AE289" i="24"/>
  <c r="AI289" i="24"/>
  <c r="X289" i="24"/>
  <c r="AA289" i="24" s="1"/>
  <c r="AB289" i="24" s="1"/>
  <c r="AC289" i="24" s="1"/>
  <c r="AD259" i="25"/>
  <c r="W259" i="25"/>
  <c r="Z259" i="25" s="1"/>
  <c r="AA259" i="25" s="1"/>
  <c r="AB259" i="25" s="1"/>
  <c r="AI259" i="25" s="1"/>
  <c r="U101" i="25"/>
  <c r="S183" i="25"/>
  <c r="K183" i="25" s="1"/>
  <c r="V183" i="25" s="1"/>
  <c r="R183" i="25"/>
  <c r="Q183" i="25"/>
  <c r="AO183" i="25"/>
  <c r="BZ183" i="25"/>
  <c r="U231" i="25"/>
  <c r="R279" i="25"/>
  <c r="S279" i="25"/>
  <c r="K279" i="25" s="1"/>
  <c r="Q279" i="25"/>
  <c r="AO279" i="25"/>
  <c r="BZ279" i="25"/>
  <c r="AE31" i="24"/>
  <c r="AI31" i="24"/>
  <c r="X31" i="24"/>
  <c r="AA31" i="24" s="1"/>
  <c r="AB31" i="24" s="1"/>
  <c r="AC31" i="24" s="1"/>
  <c r="V149" i="24"/>
  <c r="W149" i="24"/>
  <c r="U156" i="25"/>
  <c r="U287" i="25"/>
  <c r="Q204" i="24"/>
  <c r="P204" i="24"/>
  <c r="AP204" i="24"/>
  <c r="AD148" i="25"/>
  <c r="W148" i="25"/>
  <c r="Z148" i="25" s="1"/>
  <c r="AA148" i="25" s="1"/>
  <c r="AB148" i="25" s="1"/>
  <c r="AI148" i="25" s="1"/>
  <c r="R141" i="25"/>
  <c r="S141" i="25"/>
  <c r="K141" i="25" s="1"/>
  <c r="Q141" i="25"/>
  <c r="AO141" i="25"/>
  <c r="BZ141" i="25"/>
  <c r="AE28" i="24"/>
  <c r="AI28" i="24"/>
  <c r="X28" i="24"/>
  <c r="AA28" i="24" s="1"/>
  <c r="AB28" i="24" s="1"/>
  <c r="AC28" i="24" s="1"/>
  <c r="R120" i="25"/>
  <c r="S120" i="25"/>
  <c r="K120" i="25" s="1"/>
  <c r="Q120" i="25"/>
  <c r="AO120" i="25"/>
  <c r="BZ120" i="25"/>
  <c r="R191" i="25"/>
  <c r="S191" i="25"/>
  <c r="K191" i="25" s="1"/>
  <c r="Q191" i="25"/>
  <c r="BZ191" i="25"/>
  <c r="AO191" i="25"/>
  <c r="AE14" i="24"/>
  <c r="AI14" i="24"/>
  <c r="X14" i="24"/>
  <c r="AA14" i="24" s="1"/>
  <c r="AB14" i="24" s="1"/>
  <c r="AC14" i="24" s="1"/>
  <c r="R288" i="25"/>
  <c r="S288" i="25"/>
  <c r="K288" i="25" s="1"/>
  <c r="V288" i="25" s="1"/>
  <c r="Q288" i="25"/>
  <c r="BZ288" i="25"/>
  <c r="AO288" i="25"/>
  <c r="AE49" i="24"/>
  <c r="AI49" i="24"/>
  <c r="X49" i="24"/>
  <c r="AA49" i="24" s="1"/>
  <c r="AB49" i="24" s="1"/>
  <c r="AC49" i="24" s="1"/>
  <c r="V206" i="24"/>
  <c r="W206" i="24"/>
  <c r="AE218" i="24"/>
  <c r="AI218" i="24"/>
  <c r="X218" i="24"/>
  <c r="AA218" i="24" s="1"/>
  <c r="AB218" i="24" s="1"/>
  <c r="AC218" i="24" s="1"/>
  <c r="S303" i="25"/>
  <c r="K303" i="25" s="1"/>
  <c r="V303" i="25" s="1"/>
  <c r="R303" i="25"/>
  <c r="Q303" i="25"/>
  <c r="BZ303" i="25"/>
  <c r="AO303" i="25"/>
  <c r="AG191" i="24"/>
  <c r="AF191" i="24"/>
  <c r="V179" i="24"/>
  <c r="W179" i="24"/>
  <c r="AD59" i="25"/>
  <c r="W59" i="25"/>
  <c r="Z59" i="25" s="1"/>
  <c r="AA59" i="25" s="1"/>
  <c r="AB59" i="25" s="1"/>
  <c r="AI59" i="25" s="1"/>
  <c r="AE76" i="24"/>
  <c r="AI76" i="24"/>
  <c r="X76" i="24"/>
  <c r="AA76" i="24" s="1"/>
  <c r="AB76" i="24" s="1"/>
  <c r="AC76" i="24" s="1"/>
  <c r="AE199" i="24"/>
  <c r="AI199" i="24"/>
  <c r="X199" i="24"/>
  <c r="AA199" i="24" s="1"/>
  <c r="AB199" i="24" s="1"/>
  <c r="AC199" i="24" s="1"/>
  <c r="U79" i="25"/>
  <c r="Q140" i="24"/>
  <c r="P140" i="24"/>
  <c r="AP140" i="24"/>
  <c r="R105" i="25"/>
  <c r="S105" i="25"/>
  <c r="K105" i="25" s="1"/>
  <c r="V105" i="25" s="1"/>
  <c r="Q105" i="25"/>
  <c r="AO105" i="25"/>
  <c r="BZ105" i="25"/>
  <c r="AE240" i="24"/>
  <c r="AI240" i="24"/>
  <c r="X240" i="24"/>
  <c r="AA240" i="24" s="1"/>
  <c r="AB240" i="24" s="1"/>
  <c r="AC240" i="24" s="1"/>
  <c r="AE221" i="24"/>
  <c r="AI221" i="24"/>
  <c r="X221" i="24"/>
  <c r="AA221" i="24" s="1"/>
  <c r="AB221" i="24" s="1"/>
  <c r="AC221" i="24" s="1"/>
  <c r="W170" i="24"/>
  <c r="V170" i="24"/>
  <c r="Q298" i="24"/>
  <c r="P298" i="24"/>
  <c r="AP298" i="24"/>
  <c r="R132" i="25"/>
  <c r="S132" i="25"/>
  <c r="K132" i="25" s="1"/>
  <c r="Q132" i="25"/>
  <c r="AO132" i="25"/>
  <c r="BZ132" i="25"/>
  <c r="AE273" i="24"/>
  <c r="AI273" i="24"/>
  <c r="X273" i="24"/>
  <c r="AA273" i="24" s="1"/>
  <c r="AB273" i="24" s="1"/>
  <c r="AC273" i="24" s="1"/>
  <c r="AD261" i="25"/>
  <c r="W261" i="25"/>
  <c r="Z261" i="25" s="1"/>
  <c r="AA261" i="25" s="1"/>
  <c r="AB261" i="25" s="1"/>
  <c r="AI261" i="25" s="1"/>
  <c r="R119" i="25"/>
  <c r="S119" i="25"/>
  <c r="K119" i="25" s="1"/>
  <c r="Q119" i="25"/>
  <c r="AO119" i="25"/>
  <c r="BZ119" i="25"/>
  <c r="S17" i="25"/>
  <c r="K17" i="25" s="1"/>
  <c r="R17" i="25"/>
  <c r="Q17" i="25"/>
  <c r="AO17" i="25"/>
  <c r="BZ17" i="25"/>
  <c r="AE161" i="24"/>
  <c r="AI161" i="24"/>
  <c r="X161" i="24"/>
  <c r="AA161" i="24" s="1"/>
  <c r="AB161" i="24" s="1"/>
  <c r="AC161" i="24" s="1"/>
  <c r="U175" i="25"/>
  <c r="W249" i="24"/>
  <c r="V249" i="24"/>
  <c r="P59" i="24"/>
  <c r="Q59" i="24"/>
  <c r="R59" i="24" s="1"/>
  <c r="AP59" i="24"/>
  <c r="AE104" i="24"/>
  <c r="AI104" i="24"/>
  <c r="X104" i="24"/>
  <c r="AA104" i="24" s="1"/>
  <c r="AB104" i="24" s="1"/>
  <c r="AC104" i="24" s="1"/>
  <c r="S46" i="25"/>
  <c r="K46" i="25" s="1"/>
  <c r="R46" i="25"/>
  <c r="Q46" i="25"/>
  <c r="BZ46" i="25"/>
  <c r="AO46" i="25"/>
  <c r="P126" i="24"/>
  <c r="Q126" i="24"/>
  <c r="AP126" i="24"/>
  <c r="V261" i="24"/>
  <c r="W261" i="24"/>
  <c r="U70" i="25"/>
  <c r="AD273" i="25"/>
  <c r="W273" i="25"/>
  <c r="Z273" i="25" s="1"/>
  <c r="AA273" i="25" s="1"/>
  <c r="AB273" i="25" s="1"/>
  <c r="AI273" i="25" s="1"/>
  <c r="AE202" i="24"/>
  <c r="AI202" i="24"/>
  <c r="X202" i="24"/>
  <c r="AA202" i="24" s="1"/>
  <c r="AB202" i="24" s="1"/>
  <c r="AC202" i="24" s="1"/>
  <c r="AE296" i="24"/>
  <c r="AI296" i="24"/>
  <c r="X296" i="24"/>
  <c r="AA296" i="24" s="1"/>
  <c r="AB296" i="24" s="1"/>
  <c r="AC296" i="24" s="1"/>
  <c r="AE222" i="24"/>
  <c r="AI222" i="24"/>
  <c r="X222" i="24"/>
  <c r="AA222" i="24" s="1"/>
  <c r="AB222" i="24" s="1"/>
  <c r="AC222" i="24" s="1"/>
  <c r="S308" i="25"/>
  <c r="K308" i="25" s="1"/>
  <c r="R308" i="25"/>
  <c r="Q308" i="25"/>
  <c r="BZ308" i="25"/>
  <c r="AO308" i="25"/>
  <c r="V195" i="24"/>
  <c r="W195" i="24"/>
  <c r="S230" i="25"/>
  <c r="K230" i="25" s="1"/>
  <c r="R230" i="25"/>
  <c r="Q230" i="25"/>
  <c r="BZ230" i="25"/>
  <c r="AO230" i="25"/>
  <c r="U223" i="25"/>
  <c r="AE267" i="24"/>
  <c r="AI267" i="24"/>
  <c r="X267" i="24"/>
  <c r="AA267" i="24" s="1"/>
  <c r="AB267" i="24" s="1"/>
  <c r="AC267" i="24" s="1"/>
  <c r="R197" i="25"/>
  <c r="S197" i="25"/>
  <c r="K197" i="25" s="1"/>
  <c r="V197" i="25" s="1"/>
  <c r="Q197" i="25"/>
  <c r="AO197" i="25"/>
  <c r="BZ197" i="25"/>
  <c r="AE311" i="24"/>
  <c r="AI311" i="24"/>
  <c r="X311" i="24"/>
  <c r="AA311" i="24" s="1"/>
  <c r="AB311" i="24" s="1"/>
  <c r="AC311" i="24" s="1"/>
  <c r="V316" i="24"/>
  <c r="W316" i="24"/>
  <c r="S55" i="25"/>
  <c r="K55" i="25" s="1"/>
  <c r="V55" i="25" s="1"/>
  <c r="R55" i="25"/>
  <c r="Q55" i="25"/>
  <c r="AO55" i="25"/>
  <c r="BZ55" i="25"/>
  <c r="V309" i="24"/>
  <c r="W309" i="24"/>
  <c r="W36" i="24"/>
  <c r="V36" i="24"/>
  <c r="AE281" i="24"/>
  <c r="AI281" i="24"/>
  <c r="X281" i="24"/>
  <c r="AA281" i="24" s="1"/>
  <c r="AB281" i="24" s="1"/>
  <c r="AC281" i="24" s="1"/>
  <c r="AD32" i="25"/>
  <c r="W32" i="25"/>
  <c r="Z32" i="25" s="1"/>
  <c r="AA32" i="25" s="1"/>
  <c r="AB32" i="25" s="1"/>
  <c r="AI32" i="25" s="1"/>
  <c r="AE99" i="24"/>
  <c r="AI99" i="24"/>
  <c r="X99" i="24"/>
  <c r="AA99" i="24" s="1"/>
  <c r="AB99" i="24" s="1"/>
  <c r="AC99" i="24" s="1"/>
  <c r="AE277" i="24"/>
  <c r="AI277" i="24"/>
  <c r="X277" i="24"/>
  <c r="AA277" i="24" s="1"/>
  <c r="AB277" i="24" s="1"/>
  <c r="AC277" i="24" s="1"/>
  <c r="AS110" i="25"/>
  <c r="AE102" i="24"/>
  <c r="AI102" i="24"/>
  <c r="X102" i="24"/>
  <c r="AA102" i="24" s="1"/>
  <c r="AB102" i="24" s="1"/>
  <c r="AC102" i="24" s="1"/>
  <c r="AE270" i="24"/>
  <c r="AI270" i="24"/>
  <c r="X270" i="24"/>
  <c r="AA270" i="24" s="1"/>
  <c r="AB270" i="24" s="1"/>
  <c r="AC270" i="24" s="1"/>
  <c r="AG264" i="24"/>
  <c r="AF264" i="24"/>
  <c r="R64" i="25"/>
  <c r="S64" i="25"/>
  <c r="K64" i="25" s="1"/>
  <c r="Q64" i="25"/>
  <c r="AO64" i="25"/>
  <c r="BZ64" i="25"/>
  <c r="W308" i="24"/>
  <c r="V308" i="24"/>
  <c r="AE288" i="24"/>
  <c r="AI288" i="24"/>
  <c r="X288" i="24"/>
  <c r="AA288" i="24" s="1"/>
  <c r="AB288" i="24" s="1"/>
  <c r="AC288" i="24" s="1"/>
  <c r="AE209" i="24"/>
  <c r="AI209" i="24"/>
  <c r="X209" i="24"/>
  <c r="AA209" i="24" s="1"/>
  <c r="AB209" i="24" s="1"/>
  <c r="AC209" i="24" s="1"/>
  <c r="AE121" i="24"/>
  <c r="AI121" i="24"/>
  <c r="X121" i="24"/>
  <c r="AA121" i="24" s="1"/>
  <c r="AB121" i="24" s="1"/>
  <c r="AC121" i="24" s="1"/>
  <c r="S122" i="25"/>
  <c r="K122" i="25" s="1"/>
  <c r="V122" i="25" s="1"/>
  <c r="R122" i="25"/>
  <c r="Q122" i="25"/>
  <c r="BZ122" i="25"/>
  <c r="AO122" i="25"/>
  <c r="S9" i="25"/>
  <c r="K9" i="25" s="1"/>
  <c r="R9" i="25"/>
  <c r="Q9" i="25"/>
  <c r="BZ9" i="25"/>
  <c r="AO9" i="25"/>
  <c r="U160" i="25"/>
  <c r="V154" i="24"/>
  <c r="W154" i="24"/>
  <c r="W114" i="24"/>
  <c r="V114" i="24"/>
  <c r="S85" i="25"/>
  <c r="K85" i="25" s="1"/>
  <c r="R85" i="25"/>
  <c r="Q85" i="25"/>
  <c r="BZ85" i="25"/>
  <c r="AO85" i="25"/>
  <c r="S53" i="25"/>
  <c r="K53" i="25" s="1"/>
  <c r="V53" i="25" s="1"/>
  <c r="R53" i="25"/>
  <c r="Q53" i="25"/>
  <c r="AO53" i="25"/>
  <c r="BZ53" i="25"/>
  <c r="U286" i="25"/>
  <c r="R86" i="25"/>
  <c r="S86" i="25"/>
  <c r="K86" i="25" s="1"/>
  <c r="Q86" i="25"/>
  <c r="BZ86" i="25"/>
  <c r="AO86" i="25"/>
  <c r="W8" i="24"/>
  <c r="V8" i="24"/>
  <c r="V94" i="24"/>
  <c r="W94" i="24"/>
  <c r="AE168" i="24"/>
  <c r="AI168" i="24"/>
  <c r="X168" i="24"/>
  <c r="AA168" i="24" s="1"/>
  <c r="AB168" i="24" s="1"/>
  <c r="AC168" i="24" s="1"/>
  <c r="AD275" i="25"/>
  <c r="W275" i="25"/>
  <c r="Z275" i="25" s="1"/>
  <c r="AA275" i="25" s="1"/>
  <c r="AB275" i="25" s="1"/>
  <c r="AI275" i="25" s="1"/>
  <c r="S315" i="25"/>
  <c r="K315" i="25" s="1"/>
  <c r="R315" i="25"/>
  <c r="Q315" i="25"/>
  <c r="AO315" i="25"/>
  <c r="BZ315" i="25"/>
  <c r="V297" i="24"/>
  <c r="W297" i="24"/>
  <c r="V28" i="24"/>
  <c r="W28" i="24"/>
  <c r="S235" i="25"/>
  <c r="K235" i="25" s="1"/>
  <c r="R235" i="25"/>
  <c r="Q235" i="25"/>
  <c r="AO235" i="25"/>
  <c r="BZ235" i="25"/>
  <c r="W99" i="24"/>
  <c r="Y99" i="24" s="1"/>
  <c r="AD94" i="25"/>
  <c r="W94" i="25"/>
  <c r="Z94" i="25" s="1"/>
  <c r="AA94" i="25" s="1"/>
  <c r="AB94" i="25" s="1"/>
  <c r="AI94" i="25" s="1"/>
  <c r="V94" i="25"/>
  <c r="X94" i="25" s="1"/>
  <c r="AE52" i="24"/>
  <c r="AI52" i="24"/>
  <c r="X52" i="24"/>
  <c r="AA52" i="24" s="1"/>
  <c r="AB52" i="24" s="1"/>
  <c r="AC52" i="24" s="1"/>
  <c r="U93" i="25"/>
  <c r="W288" i="24"/>
  <c r="V288" i="24"/>
  <c r="V209" i="24"/>
  <c r="W209" i="24"/>
  <c r="R302" i="25"/>
  <c r="S302" i="25"/>
  <c r="K302" i="25" s="1"/>
  <c r="V302" i="25" s="1"/>
  <c r="Q302" i="25"/>
  <c r="AO302" i="25"/>
  <c r="BZ302" i="25"/>
  <c r="U218" i="25"/>
  <c r="W164" i="24"/>
  <c r="V164" i="24"/>
  <c r="P78" i="24"/>
  <c r="Q78" i="24"/>
  <c r="R78" i="24" s="1"/>
  <c r="AP78" i="24"/>
  <c r="AE19" i="24"/>
  <c r="AI19" i="24"/>
  <c r="X19" i="24"/>
  <c r="AA19" i="24" s="1"/>
  <c r="AB19" i="24" s="1"/>
  <c r="AC19" i="24" s="1"/>
  <c r="W275" i="24"/>
  <c r="V275" i="24"/>
  <c r="AE25" i="24"/>
  <c r="AI25" i="24"/>
  <c r="X25" i="24"/>
  <c r="AA25" i="24" s="1"/>
  <c r="AB25" i="24" s="1"/>
  <c r="AC25" i="24" s="1"/>
  <c r="AE206" i="24"/>
  <c r="AI206" i="24"/>
  <c r="X206" i="24"/>
  <c r="AA206" i="24" s="1"/>
  <c r="AB206" i="24" s="1"/>
  <c r="AC206" i="24" s="1"/>
  <c r="S117" i="25"/>
  <c r="K117" i="25" s="1"/>
  <c r="R117" i="25"/>
  <c r="Q117" i="25"/>
  <c r="AO117" i="25"/>
  <c r="BZ117" i="25"/>
  <c r="R40" i="25"/>
  <c r="S40" i="25"/>
  <c r="K40" i="25" s="1"/>
  <c r="V40" i="25" s="1"/>
  <c r="Q40" i="25"/>
  <c r="AO40" i="25"/>
  <c r="BZ40" i="25"/>
  <c r="S164" i="25"/>
  <c r="K164" i="25" s="1"/>
  <c r="R164" i="25"/>
  <c r="Q164" i="25"/>
  <c r="AO164" i="25"/>
  <c r="BZ164" i="25"/>
  <c r="P255" i="24"/>
  <c r="Q255" i="24"/>
  <c r="AP255" i="24"/>
  <c r="R58" i="25"/>
  <c r="S58" i="25"/>
  <c r="K58" i="25" s="1"/>
  <c r="Q58" i="25"/>
  <c r="BZ58" i="25"/>
  <c r="AO58" i="25"/>
  <c r="AE103" i="24"/>
  <c r="AI103" i="24"/>
  <c r="X103" i="24"/>
  <c r="AA103" i="24" s="1"/>
  <c r="AB103" i="24" s="1"/>
  <c r="AC103" i="24" s="1"/>
  <c r="R231" i="25"/>
  <c r="S231" i="25"/>
  <c r="K231" i="25" s="1"/>
  <c r="V231" i="25" s="1"/>
  <c r="Q231" i="25"/>
  <c r="BZ231" i="25"/>
  <c r="AO231" i="25"/>
  <c r="R316" i="25"/>
  <c r="S316" i="25"/>
  <c r="K316" i="25" s="1"/>
  <c r="Q316" i="25"/>
  <c r="BZ316" i="25"/>
  <c r="AO316" i="25"/>
  <c r="AE140" i="24"/>
  <c r="AI140" i="24"/>
  <c r="X140" i="24"/>
  <c r="AA140" i="24" s="1"/>
  <c r="AB140" i="24" s="1"/>
  <c r="AC140" i="24" s="1"/>
  <c r="P149" i="24"/>
  <c r="Q149" i="24"/>
  <c r="AP149" i="24"/>
  <c r="AE200" i="24"/>
  <c r="AI200" i="24"/>
  <c r="X200" i="24"/>
  <c r="AA200" i="24" s="1"/>
  <c r="AB200" i="24" s="1"/>
  <c r="AC200" i="24" s="1"/>
  <c r="U121" i="25"/>
  <c r="W171" i="24"/>
  <c r="V171" i="24"/>
  <c r="R156" i="25"/>
  <c r="S156" i="25"/>
  <c r="K156" i="25" s="1"/>
  <c r="Q156" i="25"/>
  <c r="AO156" i="25"/>
  <c r="BZ156" i="25"/>
  <c r="S287" i="25"/>
  <c r="K287" i="25" s="1"/>
  <c r="V287" i="25" s="1"/>
  <c r="R287" i="25"/>
  <c r="Q287" i="25"/>
  <c r="BZ287" i="25"/>
  <c r="AO287" i="25"/>
  <c r="AD95" i="25"/>
  <c r="W95" i="25"/>
  <c r="Z95" i="25" s="1"/>
  <c r="AA95" i="25" s="1"/>
  <c r="AB95" i="25" s="1"/>
  <c r="AI95" i="25" s="1"/>
  <c r="AD131" i="25"/>
  <c r="W131" i="25"/>
  <c r="Z131" i="25" s="1"/>
  <c r="AA131" i="25" s="1"/>
  <c r="AB131" i="25" s="1"/>
  <c r="AI131" i="25" s="1"/>
  <c r="V131" i="25"/>
  <c r="X131" i="25" s="1"/>
  <c r="AE187" i="24"/>
  <c r="AI187" i="24"/>
  <c r="X187" i="24"/>
  <c r="AA187" i="24" s="1"/>
  <c r="AB187" i="24" s="1"/>
  <c r="AC187" i="24" s="1"/>
  <c r="AE150" i="24"/>
  <c r="AI150" i="24"/>
  <c r="X150" i="24"/>
  <c r="AA150" i="24" s="1"/>
  <c r="AB150" i="24" s="1"/>
  <c r="AC150" i="24" s="1"/>
  <c r="R43" i="25"/>
  <c r="S43" i="25"/>
  <c r="K43" i="25" s="1"/>
  <c r="Q43" i="25"/>
  <c r="BZ43" i="25"/>
  <c r="AO43" i="25"/>
  <c r="AE207" i="24"/>
  <c r="AI207" i="24"/>
  <c r="X207" i="24"/>
  <c r="AA207" i="24" s="1"/>
  <c r="AB207" i="24" s="1"/>
  <c r="AC207" i="24" s="1"/>
  <c r="V161" i="24"/>
  <c r="W161" i="24"/>
  <c r="P206" i="24"/>
  <c r="Q206" i="24"/>
  <c r="AP206" i="24"/>
  <c r="V144" i="24"/>
  <c r="W144" i="24"/>
  <c r="R127" i="25"/>
  <c r="S127" i="25"/>
  <c r="K127" i="25" s="1"/>
  <c r="Q127" i="25"/>
  <c r="AO127" i="25"/>
  <c r="BZ127" i="25"/>
  <c r="AE291" i="24"/>
  <c r="AI291" i="24"/>
  <c r="X291" i="24"/>
  <c r="AA291" i="24" s="1"/>
  <c r="AB291" i="24" s="1"/>
  <c r="AC291" i="24" s="1"/>
  <c r="AE227" i="24"/>
  <c r="AI227" i="24"/>
  <c r="X227" i="24"/>
  <c r="AA227" i="24" s="1"/>
  <c r="AB227" i="24" s="1"/>
  <c r="AC227" i="24" s="1"/>
  <c r="AD92" i="25"/>
  <c r="W92" i="25"/>
  <c r="Z92" i="25" s="1"/>
  <c r="AA92" i="25" s="1"/>
  <c r="AB92" i="25" s="1"/>
  <c r="AI92" i="25" s="1"/>
  <c r="V115" i="24"/>
  <c r="W115" i="24"/>
  <c r="AE36" i="24"/>
  <c r="AI36" i="24"/>
  <c r="X36" i="24"/>
  <c r="AA36" i="24" s="1"/>
  <c r="AB36" i="24" s="1"/>
  <c r="AC36" i="24" s="1"/>
  <c r="AE11" i="24"/>
  <c r="AI11" i="24"/>
  <c r="X11" i="24"/>
  <c r="AA11" i="24" s="1"/>
  <c r="AB11" i="24" s="1"/>
  <c r="AC11" i="24" s="1"/>
  <c r="AE189" i="24"/>
  <c r="AI189" i="24"/>
  <c r="X189" i="24"/>
  <c r="AA189" i="24" s="1"/>
  <c r="AB189" i="24" s="1"/>
  <c r="AC189" i="24" s="1"/>
  <c r="AE34" i="24"/>
  <c r="AI34" i="24"/>
  <c r="X34" i="24"/>
  <c r="AA34" i="24" s="1"/>
  <c r="AB34" i="24" s="1"/>
  <c r="AC34" i="24" s="1"/>
  <c r="S79" i="25"/>
  <c r="K79" i="25" s="1"/>
  <c r="V79" i="25" s="1"/>
  <c r="R79" i="25"/>
  <c r="Q79" i="25"/>
  <c r="BZ79" i="25"/>
  <c r="AO79" i="25"/>
  <c r="S233" i="25"/>
  <c r="K233" i="25" s="1"/>
  <c r="R233" i="25"/>
  <c r="Q233" i="25"/>
  <c r="AO233" i="25"/>
  <c r="BZ233" i="25"/>
  <c r="AE129" i="24"/>
  <c r="AI129" i="24"/>
  <c r="X129" i="24"/>
  <c r="AA129" i="24" s="1"/>
  <c r="AB129" i="24" s="1"/>
  <c r="AC129" i="24" s="1"/>
  <c r="R7" i="25"/>
  <c r="S7" i="25"/>
  <c r="K7" i="25" s="1"/>
  <c r="Q7" i="25"/>
  <c r="AO7" i="25"/>
  <c r="BZ7" i="25"/>
  <c r="S8" i="25"/>
  <c r="K8" i="25" s="1"/>
  <c r="R8" i="25"/>
  <c r="Q8" i="25"/>
  <c r="AO8" i="25"/>
  <c r="BZ8" i="25"/>
  <c r="AE307" i="24"/>
  <c r="AI307" i="24"/>
  <c r="X307" i="24"/>
  <c r="AA307" i="24" s="1"/>
  <c r="AB307" i="24" s="1"/>
  <c r="AC307" i="24" s="1"/>
  <c r="W151" i="24"/>
  <c r="V151" i="24"/>
  <c r="AE72" i="24"/>
  <c r="AI72" i="24"/>
  <c r="X72" i="24"/>
  <c r="AA72" i="24" s="1"/>
  <c r="AB72" i="24" s="1"/>
  <c r="AC72" i="24" s="1"/>
  <c r="W256" i="24"/>
  <c r="V256" i="24"/>
  <c r="W247" i="24"/>
  <c r="V247" i="24"/>
  <c r="W315" i="24"/>
  <c r="V315" i="24"/>
  <c r="AE255" i="24"/>
  <c r="AI255" i="24"/>
  <c r="X255" i="24"/>
  <c r="AA255" i="24" s="1"/>
  <c r="AB255" i="24" s="1"/>
  <c r="AC255" i="24" s="1"/>
  <c r="V300" i="24"/>
  <c r="W300" i="24"/>
  <c r="P249" i="24"/>
  <c r="Q249" i="24"/>
  <c r="AP249" i="24"/>
  <c r="AE29" i="24"/>
  <c r="AI29" i="24"/>
  <c r="X29" i="24"/>
  <c r="AA29" i="24" s="1"/>
  <c r="AB29" i="24" s="1"/>
  <c r="AC29" i="24" s="1"/>
  <c r="U224" i="25"/>
  <c r="AE173" i="24"/>
  <c r="AI173" i="24"/>
  <c r="X173" i="24"/>
  <c r="AA173" i="24" s="1"/>
  <c r="AB173" i="24" s="1"/>
  <c r="AC173" i="24" s="1"/>
  <c r="AE147" i="24"/>
  <c r="AI147" i="24"/>
  <c r="X147" i="24"/>
  <c r="AA147" i="24" s="1"/>
  <c r="AB147" i="24" s="1"/>
  <c r="AC147" i="24" s="1"/>
  <c r="AE287" i="24"/>
  <c r="AI287" i="24"/>
  <c r="X287" i="24"/>
  <c r="AA287" i="24" s="1"/>
  <c r="AB287" i="24" s="1"/>
  <c r="AC287" i="24" s="1"/>
  <c r="R281" i="25"/>
  <c r="S281" i="25"/>
  <c r="K281" i="25" s="1"/>
  <c r="V281" i="25" s="1"/>
  <c r="Q281" i="25"/>
  <c r="BZ281" i="25"/>
  <c r="AO281" i="25"/>
  <c r="AE309" i="24"/>
  <c r="AI309" i="24"/>
  <c r="X309" i="24"/>
  <c r="AA309" i="24" s="1"/>
  <c r="AB309" i="24" s="1"/>
  <c r="AC309" i="24" s="1"/>
  <c r="V33" i="24"/>
  <c r="W33" i="24"/>
  <c r="W176" i="24"/>
  <c r="V176" i="24"/>
  <c r="U266" i="25"/>
  <c r="S91" i="25"/>
  <c r="K91" i="25" s="1"/>
  <c r="R91" i="25"/>
  <c r="Q91" i="25"/>
  <c r="AO91" i="25"/>
  <c r="BZ91" i="25"/>
  <c r="AE68" i="24"/>
  <c r="AI68" i="24"/>
  <c r="X68" i="24"/>
  <c r="AA68" i="24" s="1"/>
  <c r="AB68" i="24" s="1"/>
  <c r="AC68" i="24" s="1"/>
  <c r="P195" i="24"/>
  <c r="Q195" i="24"/>
  <c r="AP195" i="24"/>
  <c r="U67" i="25"/>
  <c r="S223" i="25"/>
  <c r="K223" i="25" s="1"/>
  <c r="V223" i="25" s="1"/>
  <c r="R223" i="25"/>
  <c r="Q223" i="25"/>
  <c r="BZ223" i="25"/>
  <c r="AO223" i="25"/>
  <c r="AE235" i="24"/>
  <c r="AI235" i="24"/>
  <c r="X235" i="24"/>
  <c r="AA235" i="24" s="1"/>
  <c r="AB235" i="24" s="1"/>
  <c r="AC235" i="24" s="1"/>
  <c r="S284" i="25"/>
  <c r="K284" i="25" s="1"/>
  <c r="R284" i="25"/>
  <c r="Q284" i="25"/>
  <c r="BZ284" i="25"/>
  <c r="AO284" i="25"/>
  <c r="W282" i="24"/>
  <c r="V282" i="24"/>
  <c r="AD280" i="25"/>
  <c r="AE299" i="24"/>
  <c r="AI299" i="24"/>
  <c r="X299" i="24"/>
  <c r="AA299" i="24" s="1"/>
  <c r="AB299" i="24" s="1"/>
  <c r="AC299" i="24" s="1"/>
  <c r="AE195" i="24"/>
  <c r="AI195" i="24"/>
  <c r="X195" i="24"/>
  <c r="AA195" i="24" s="1"/>
  <c r="AB195" i="24" s="1"/>
  <c r="AC195" i="24" s="1"/>
  <c r="U165" i="25"/>
  <c r="P316" i="24"/>
  <c r="Q316" i="24"/>
  <c r="AP316" i="24"/>
  <c r="P309" i="24"/>
  <c r="Q309" i="24"/>
  <c r="AP309" i="24"/>
  <c r="AE57" i="24"/>
  <c r="AI57" i="24"/>
  <c r="X57" i="24"/>
  <c r="AA57" i="24" s="1"/>
  <c r="AB57" i="24" s="1"/>
  <c r="AC57" i="24" s="1"/>
  <c r="W177" i="24"/>
  <c r="V177" i="24"/>
  <c r="V51" i="24"/>
  <c r="W51" i="24"/>
  <c r="AE6" i="24"/>
  <c r="AI6" i="24"/>
  <c r="X6" i="24"/>
  <c r="AA6" i="24" s="1"/>
  <c r="AB6" i="24" s="1"/>
  <c r="AC6" i="24" s="1"/>
  <c r="AE23" i="24"/>
  <c r="AI23" i="24"/>
  <c r="X23" i="24"/>
  <c r="AA23" i="24" s="1"/>
  <c r="AB23" i="24" s="1"/>
  <c r="AC23" i="24" s="1"/>
  <c r="U159" i="25"/>
  <c r="AE139" i="24"/>
  <c r="AI139" i="24"/>
  <c r="X139" i="24"/>
  <c r="AA139" i="24" s="1"/>
  <c r="AB139" i="24" s="1"/>
  <c r="AC139" i="24" s="1"/>
  <c r="AE252" i="24"/>
  <c r="AI252" i="24"/>
  <c r="X252" i="24"/>
  <c r="AA252" i="24" s="1"/>
  <c r="AB252" i="24" s="1"/>
  <c r="AC252" i="24" s="1"/>
  <c r="W278" i="24"/>
  <c r="Y278" i="24" s="1"/>
  <c r="AF110" i="25"/>
  <c r="AE110" i="25"/>
  <c r="S146" i="25"/>
  <c r="K146" i="25" s="1"/>
  <c r="R146" i="25"/>
  <c r="Q146" i="25"/>
  <c r="BZ146" i="25"/>
  <c r="AO146" i="25"/>
  <c r="R252" i="25"/>
  <c r="S252" i="25"/>
  <c r="K252" i="25" s="1"/>
  <c r="Q252" i="25"/>
  <c r="BZ252" i="25"/>
  <c r="AO252" i="25"/>
  <c r="AE180" i="24"/>
  <c r="AI180" i="24"/>
  <c r="X180" i="24"/>
  <c r="AA180" i="24" s="1"/>
  <c r="AB180" i="24" s="1"/>
  <c r="AC180" i="24" s="1"/>
  <c r="Q308" i="24"/>
  <c r="P308" i="24"/>
  <c r="AP308" i="24"/>
  <c r="U278" i="25"/>
  <c r="AG101" i="24"/>
  <c r="AF101" i="24"/>
  <c r="AE47" i="24"/>
  <c r="AI47" i="24"/>
  <c r="X47" i="24"/>
  <c r="AA47" i="24" s="1"/>
  <c r="AB47" i="24" s="1"/>
  <c r="AC47" i="24" s="1"/>
  <c r="W47" i="24"/>
  <c r="Y47" i="24" s="1"/>
  <c r="W174" i="24"/>
  <c r="V174" i="24"/>
  <c r="AD243" i="25"/>
  <c r="W243" i="25"/>
  <c r="Z243" i="25" s="1"/>
  <c r="AA243" i="25" s="1"/>
  <c r="AB243" i="25" s="1"/>
  <c r="AI243" i="25" s="1"/>
  <c r="R70" i="25"/>
  <c r="S70" i="25"/>
  <c r="K70" i="25" s="1"/>
  <c r="Q70" i="25"/>
  <c r="BZ70" i="25"/>
  <c r="AO70" i="25"/>
  <c r="W120" i="24"/>
  <c r="Y120" i="24" s="1"/>
  <c r="W273" i="24"/>
  <c r="Y273" i="24" s="1"/>
  <c r="Q114" i="24"/>
  <c r="P114" i="24"/>
  <c r="AP114" i="24"/>
  <c r="AE184" i="24"/>
  <c r="AI184" i="24"/>
  <c r="X184" i="24"/>
  <c r="AA184" i="24" s="1"/>
  <c r="AB184" i="24" s="1"/>
  <c r="AC184" i="24" s="1"/>
  <c r="U100" i="25"/>
  <c r="AE268" i="24"/>
  <c r="AI268" i="24"/>
  <c r="X268" i="24"/>
  <c r="AA268" i="24" s="1"/>
  <c r="AB268" i="24" s="1"/>
  <c r="AC268" i="24" s="1"/>
  <c r="W113" i="24"/>
  <c r="V113" i="24"/>
  <c r="U264" i="25"/>
  <c r="AE116" i="24"/>
  <c r="AI116" i="24"/>
  <c r="X116" i="24"/>
  <c r="AA116" i="24" s="1"/>
  <c r="AB116" i="24" s="1"/>
  <c r="AC116" i="24" s="1"/>
  <c r="AD170" i="25"/>
  <c r="W170" i="25"/>
  <c r="Z170" i="25" s="1"/>
  <c r="AA170" i="25" s="1"/>
  <c r="AB170" i="25" s="1"/>
  <c r="AI170" i="25" s="1"/>
  <c r="R234" i="25"/>
  <c r="S234" i="25"/>
  <c r="K234" i="25" s="1"/>
  <c r="V234" i="25" s="1"/>
  <c r="Q234" i="25"/>
  <c r="AO234" i="25"/>
  <c r="BZ234" i="25"/>
  <c r="U194" i="25"/>
  <c r="AE266" i="24"/>
  <c r="AI266" i="24"/>
  <c r="X266" i="24"/>
  <c r="AA266" i="24" s="1"/>
  <c r="AB266" i="24" s="1"/>
  <c r="AC266" i="24" s="1"/>
  <c r="V136" i="24"/>
  <c r="W136" i="24"/>
  <c r="R286" i="25"/>
  <c r="S286" i="25"/>
  <c r="K286" i="25" s="1"/>
  <c r="Q286" i="25"/>
  <c r="AO286" i="25"/>
  <c r="BZ286" i="25"/>
  <c r="U268" i="25"/>
  <c r="P8" i="24"/>
  <c r="Q8" i="24"/>
  <c r="R8" i="24" s="1"/>
  <c r="AP8" i="24"/>
  <c r="Q94" i="24"/>
  <c r="R94" i="24" s="1"/>
  <c r="P94" i="24"/>
  <c r="AP94" i="24"/>
  <c r="V73" i="24"/>
  <c r="W73" i="24"/>
  <c r="W192" i="24"/>
  <c r="V192" i="24"/>
  <c r="AE246" i="24"/>
  <c r="AI246" i="24"/>
  <c r="W246" i="24"/>
  <c r="Y246" i="24" s="1"/>
  <c r="X246" i="24"/>
  <c r="AA246" i="24" s="1"/>
  <c r="AB246" i="24" s="1"/>
  <c r="AC246" i="24" s="1"/>
  <c r="U98" i="25"/>
  <c r="S52" i="25"/>
  <c r="K52" i="25" s="1"/>
  <c r="R52" i="25"/>
  <c r="Q52" i="25"/>
  <c r="BZ52" i="25"/>
  <c r="AO52" i="25"/>
  <c r="H212" i="25"/>
  <c r="AE238" i="24"/>
  <c r="AI238" i="24"/>
  <c r="X238" i="24"/>
  <c r="AA238" i="24" s="1"/>
  <c r="AB238" i="24" s="1"/>
  <c r="AC238" i="24" s="1"/>
  <c r="AE183" i="24"/>
  <c r="AI183" i="24"/>
  <c r="X183" i="24"/>
  <c r="AA183" i="24" s="1"/>
  <c r="AB183" i="24" s="1"/>
  <c r="AC183" i="24" s="1"/>
  <c r="AE61" i="24"/>
  <c r="AI61" i="24"/>
  <c r="X61" i="24"/>
  <c r="AA61" i="24" s="1"/>
  <c r="AB61" i="24" s="1"/>
  <c r="AC61" i="24" s="1"/>
  <c r="R93" i="25"/>
  <c r="S93" i="25"/>
  <c r="K93" i="25" s="1"/>
  <c r="Q93" i="25"/>
  <c r="AO93" i="25"/>
  <c r="BZ93" i="25"/>
  <c r="Q288" i="24"/>
  <c r="P288" i="24"/>
  <c r="AP288" i="24"/>
  <c r="AE248" i="24"/>
  <c r="AI248" i="24"/>
  <c r="X248" i="24"/>
  <c r="AA248" i="24" s="1"/>
  <c r="AB248" i="24" s="1"/>
  <c r="AC248" i="24" s="1"/>
  <c r="P209" i="24"/>
  <c r="Q209" i="24"/>
  <c r="AP209" i="24"/>
  <c r="AE205" i="24"/>
  <c r="AI205" i="24"/>
  <c r="X205" i="24"/>
  <c r="AA205" i="24" s="1"/>
  <c r="AB205" i="24" s="1"/>
  <c r="AC205" i="24" s="1"/>
  <c r="AE158" i="24"/>
  <c r="AI158" i="24"/>
  <c r="X158" i="24"/>
  <c r="AA158" i="24" s="1"/>
  <c r="AB158" i="24" s="1"/>
  <c r="AC158" i="24" s="1"/>
  <c r="V39" i="24"/>
  <c r="W39" i="24"/>
  <c r="S218" i="25"/>
  <c r="K218" i="25" s="1"/>
  <c r="V218" i="25" s="1"/>
  <c r="R218" i="25"/>
  <c r="Q218" i="25"/>
  <c r="AO218" i="25"/>
  <c r="BZ218" i="25"/>
  <c r="P164" i="24"/>
  <c r="Q164" i="24"/>
  <c r="AP164" i="24"/>
  <c r="W311" i="24"/>
  <c r="Y311" i="24" s="1"/>
  <c r="S44" i="25"/>
  <c r="K44" i="25" s="1"/>
  <c r="V44" i="25" s="1"/>
  <c r="R44" i="25"/>
  <c r="Q44" i="25"/>
  <c r="AO44" i="25"/>
  <c r="BZ44" i="25"/>
  <c r="R256" i="25"/>
  <c r="S256" i="25"/>
  <c r="K256" i="25" s="1"/>
  <c r="Q256" i="25"/>
  <c r="AO256" i="25"/>
  <c r="BZ256" i="25"/>
  <c r="Q26" i="24"/>
  <c r="R26" i="24" s="1"/>
  <c r="P26" i="24"/>
  <c r="AP26" i="24"/>
  <c r="Q158" i="24"/>
  <c r="P158" i="24"/>
  <c r="AP158" i="24"/>
  <c r="Q103" i="24"/>
  <c r="R103" i="24" s="1"/>
  <c r="P103" i="24"/>
  <c r="AP103" i="24"/>
  <c r="S271" i="25"/>
  <c r="K271" i="25" s="1"/>
  <c r="R271" i="25"/>
  <c r="Q271" i="25"/>
  <c r="AO271" i="25"/>
  <c r="BZ271" i="25"/>
  <c r="U55" i="25"/>
  <c r="U105" i="25"/>
  <c r="W138" i="24"/>
  <c r="V138" i="24"/>
  <c r="AE258" i="24"/>
  <c r="AI258" i="24"/>
  <c r="X258" i="24"/>
  <c r="AA258" i="24" s="1"/>
  <c r="AB258" i="24" s="1"/>
  <c r="AC258" i="24" s="1"/>
  <c r="U171" i="25"/>
  <c r="R254" i="25"/>
  <c r="S254" i="25"/>
  <c r="K254" i="25" s="1"/>
  <c r="Q254" i="25"/>
  <c r="BZ254" i="25"/>
  <c r="AO254" i="25"/>
  <c r="AE60" i="24"/>
  <c r="AI60" i="24"/>
  <c r="X60" i="24"/>
  <c r="AA60" i="24" s="1"/>
  <c r="AB60" i="24" s="1"/>
  <c r="AC60" i="24" s="1"/>
  <c r="AD34" i="25"/>
  <c r="W34" i="25"/>
  <c r="Z34" i="25" s="1"/>
  <c r="AA34" i="25" s="1"/>
  <c r="AB34" i="25" s="1"/>
  <c r="AI34" i="25" s="1"/>
  <c r="R182" i="25"/>
  <c r="S182" i="25"/>
  <c r="K182" i="25" s="1"/>
  <c r="Q182" i="25"/>
  <c r="AO182" i="25"/>
  <c r="BZ182" i="25"/>
  <c r="AE243" i="24"/>
  <c r="AI243" i="24"/>
  <c r="X243" i="24"/>
  <c r="AA243" i="24" s="1"/>
  <c r="AB243" i="24" s="1"/>
  <c r="AC243" i="24" s="1"/>
  <c r="AE256" i="24"/>
  <c r="AI256" i="24"/>
  <c r="X256" i="24"/>
  <c r="AA256" i="24" s="1"/>
  <c r="AB256" i="24" s="1"/>
  <c r="AC256" i="24" s="1"/>
  <c r="AE117" i="24"/>
  <c r="AI117" i="24"/>
  <c r="X117" i="24"/>
  <c r="AA117" i="24" s="1"/>
  <c r="AB117" i="24" s="1"/>
  <c r="AC117" i="24" s="1"/>
  <c r="W98" i="24"/>
  <c r="V98" i="24"/>
  <c r="S57" i="25"/>
  <c r="K57" i="25" s="1"/>
  <c r="R57" i="25"/>
  <c r="Q57" i="25"/>
  <c r="BZ57" i="25"/>
  <c r="AO57" i="25"/>
  <c r="Q161" i="24"/>
  <c r="P161" i="24"/>
  <c r="AP161" i="24"/>
  <c r="AE130" i="24"/>
  <c r="AI130" i="24"/>
  <c r="X130" i="24"/>
  <c r="AA130" i="24" s="1"/>
  <c r="AB130" i="24" s="1"/>
  <c r="AC130" i="24" s="1"/>
  <c r="AE159" i="24"/>
  <c r="AI159" i="24"/>
  <c r="X159" i="24"/>
  <c r="AA159" i="24" s="1"/>
  <c r="AB159" i="24" s="1"/>
  <c r="AC159" i="24" s="1"/>
  <c r="AE148" i="24"/>
  <c r="AI148" i="24"/>
  <c r="X148" i="24"/>
  <c r="AA148" i="24" s="1"/>
  <c r="AB148" i="24" s="1"/>
  <c r="AC148" i="24" s="1"/>
  <c r="R19" i="25"/>
  <c r="S19" i="25"/>
  <c r="K19" i="25" s="1"/>
  <c r="Q19" i="25"/>
  <c r="AO19" i="25"/>
  <c r="BZ19" i="25"/>
  <c r="AE18" i="24"/>
  <c r="AI18" i="24"/>
  <c r="X18" i="24"/>
  <c r="AA18" i="24" s="1"/>
  <c r="AB18" i="24" s="1"/>
  <c r="AC18" i="24" s="1"/>
  <c r="U301" i="25"/>
  <c r="AD292" i="25"/>
  <c r="W292" i="25"/>
  <c r="Z292" i="25" s="1"/>
  <c r="AA292" i="25" s="1"/>
  <c r="AB292" i="25" s="1"/>
  <c r="AI292" i="25" s="1"/>
  <c r="AD276" i="25"/>
  <c r="W276" i="25"/>
  <c r="Z276" i="25" s="1"/>
  <c r="AA276" i="25" s="1"/>
  <c r="AB276" i="25" s="1"/>
  <c r="AI276" i="25" s="1"/>
  <c r="AE15" i="24"/>
  <c r="AI15" i="24"/>
  <c r="X15" i="24"/>
  <c r="AA15" i="24" s="1"/>
  <c r="AB15" i="24" s="1"/>
  <c r="AC15" i="24" s="1"/>
  <c r="AD6" i="25"/>
  <c r="V6" i="25"/>
  <c r="X6" i="25" s="1"/>
  <c r="W6" i="25"/>
  <c r="Z6" i="25" s="1"/>
  <c r="AA6" i="25" s="1"/>
  <c r="AB6" i="25" s="1"/>
  <c r="AI6" i="25" s="1"/>
  <c r="W23" i="24"/>
  <c r="V23" i="24"/>
  <c r="S163" i="25"/>
  <c r="K163" i="25" s="1"/>
  <c r="R163" i="25"/>
  <c r="Q163" i="25"/>
  <c r="BZ163" i="25"/>
  <c r="AO163" i="25"/>
  <c r="AE225" i="24"/>
  <c r="AI225" i="24"/>
  <c r="W225" i="24"/>
  <c r="Y225" i="24" s="1"/>
  <c r="X225" i="24"/>
  <c r="AA225" i="24" s="1"/>
  <c r="AB225" i="24" s="1"/>
  <c r="AC225" i="24" s="1"/>
  <c r="U139" i="25"/>
  <c r="AE192" i="24"/>
  <c r="AI192" i="24"/>
  <c r="X192" i="24"/>
  <c r="AA192" i="24" s="1"/>
  <c r="AB192" i="24" s="1"/>
  <c r="AC192" i="24" s="1"/>
  <c r="AD177" i="25"/>
  <c r="W177" i="25"/>
  <c r="Z177" i="25" s="1"/>
  <c r="AA177" i="25" s="1"/>
  <c r="AB177" i="25" s="1"/>
  <c r="AI177" i="25" s="1"/>
  <c r="V177" i="25"/>
  <c r="X177" i="25" s="1"/>
  <c r="AE231" i="24"/>
  <c r="AI231" i="24"/>
  <c r="X231" i="24"/>
  <c r="AA231" i="24" s="1"/>
  <c r="AB231" i="24" s="1"/>
  <c r="AC231" i="24" s="1"/>
  <c r="U10" i="25"/>
  <c r="S126" i="25"/>
  <c r="K126" i="25" s="1"/>
  <c r="R126" i="25"/>
  <c r="Q126" i="25"/>
  <c r="BZ126" i="25"/>
  <c r="AO126" i="25"/>
  <c r="S172" i="25"/>
  <c r="K172" i="25" s="1"/>
  <c r="R172" i="25"/>
  <c r="Q172" i="25"/>
  <c r="BZ172" i="25"/>
  <c r="AO172" i="25"/>
  <c r="W129" i="24"/>
  <c r="Y129" i="24" s="1"/>
  <c r="S103" i="25"/>
  <c r="K103" i="25" s="1"/>
  <c r="V103" i="25" s="1"/>
  <c r="R103" i="25"/>
  <c r="Q103" i="25"/>
  <c r="BZ103" i="25"/>
  <c r="AO103" i="25"/>
  <c r="AE283" i="24"/>
  <c r="AI283" i="24"/>
  <c r="X283" i="24"/>
  <c r="AA283" i="24" s="1"/>
  <c r="AB283" i="24" s="1"/>
  <c r="AC283" i="24" s="1"/>
  <c r="AE274" i="24"/>
  <c r="AI274" i="24"/>
  <c r="X274" i="24"/>
  <c r="AA274" i="24" s="1"/>
  <c r="AB274" i="24" s="1"/>
  <c r="AC274" i="24" s="1"/>
  <c r="AD178" i="25"/>
  <c r="W178" i="25"/>
  <c r="Z178" i="25" s="1"/>
  <c r="AA178" i="25" s="1"/>
  <c r="AB178" i="25" s="1"/>
  <c r="AI178" i="25" s="1"/>
  <c r="AD257" i="25"/>
  <c r="W257" i="25"/>
  <c r="Z257" i="25" s="1"/>
  <c r="AA257" i="25" s="1"/>
  <c r="AB257" i="25" s="1"/>
  <c r="AI257" i="25" s="1"/>
  <c r="V257" i="25"/>
  <c r="X257" i="25" s="1"/>
  <c r="U53" i="25"/>
  <c r="AE128" i="24"/>
  <c r="AI128" i="24"/>
  <c r="X128" i="24"/>
  <c r="AA128" i="24" s="1"/>
  <c r="AB128" i="24" s="1"/>
  <c r="AC128" i="24" s="1"/>
  <c r="S60" i="25"/>
  <c r="K60" i="25" s="1"/>
  <c r="R60" i="25"/>
  <c r="Q60" i="25"/>
  <c r="AO60" i="25"/>
  <c r="BZ60" i="25"/>
  <c r="U219" i="25"/>
  <c r="U289" i="25"/>
  <c r="U209" i="25"/>
  <c r="P247" i="24"/>
  <c r="Q247" i="24"/>
  <c r="AP247" i="24"/>
  <c r="Q315" i="24"/>
  <c r="P315" i="24"/>
  <c r="AP315" i="24"/>
  <c r="U123" i="25"/>
  <c r="U307" i="25"/>
  <c r="AS129" i="25"/>
  <c r="S224" i="25"/>
  <c r="K224" i="25" s="1"/>
  <c r="R224" i="25"/>
  <c r="Q224" i="25"/>
  <c r="AO224" i="25"/>
  <c r="BZ224" i="25"/>
  <c r="AE24" i="24"/>
  <c r="AI24" i="24"/>
  <c r="X24" i="24"/>
  <c r="AA24" i="24" s="1"/>
  <c r="AB24" i="24" s="1"/>
  <c r="AC24" i="24" s="1"/>
  <c r="AE313" i="24"/>
  <c r="AI313" i="24"/>
  <c r="X313" i="24"/>
  <c r="AA313" i="24" s="1"/>
  <c r="AB313" i="24" s="1"/>
  <c r="AC313" i="24" s="1"/>
  <c r="W173" i="24"/>
  <c r="Y173" i="24" s="1"/>
  <c r="W18" i="24"/>
  <c r="Y18" i="24" s="1"/>
  <c r="W104" i="24"/>
  <c r="V104" i="24"/>
  <c r="AE82" i="24"/>
  <c r="AI82" i="24"/>
  <c r="X82" i="24"/>
  <c r="AA82" i="24" s="1"/>
  <c r="AB82" i="24" s="1"/>
  <c r="AC82" i="24" s="1"/>
  <c r="V261" i="25"/>
  <c r="X261" i="25" s="1"/>
  <c r="R290" i="25"/>
  <c r="S290" i="25"/>
  <c r="K290" i="25" s="1"/>
  <c r="Q290" i="25"/>
  <c r="BZ290" i="25"/>
  <c r="AO290" i="25"/>
  <c r="S136" i="25"/>
  <c r="K136" i="25" s="1"/>
  <c r="Q136" i="25"/>
  <c r="R136" i="25"/>
  <c r="AO136" i="25"/>
  <c r="BZ136" i="25"/>
  <c r="W232" i="24"/>
  <c r="V232" i="24"/>
  <c r="AE217" i="24"/>
  <c r="AI217" i="24"/>
  <c r="X217" i="24"/>
  <c r="AA217" i="24" s="1"/>
  <c r="AB217" i="24" s="1"/>
  <c r="AC217" i="24" s="1"/>
  <c r="S67" i="25"/>
  <c r="K67" i="25" s="1"/>
  <c r="R67" i="25"/>
  <c r="Q67" i="25"/>
  <c r="BZ67" i="25"/>
  <c r="AO67" i="25"/>
  <c r="AE20" i="24"/>
  <c r="AI20" i="24"/>
  <c r="X20" i="24"/>
  <c r="AA20" i="24" s="1"/>
  <c r="AB20" i="24" s="1"/>
  <c r="AC20" i="24" s="1"/>
  <c r="P282" i="24"/>
  <c r="Q282" i="24"/>
  <c r="AP282" i="24"/>
  <c r="AJ292" i="24"/>
  <c r="AE145" i="24"/>
  <c r="AI145" i="24"/>
  <c r="X145" i="24"/>
  <c r="AA145" i="24" s="1"/>
  <c r="AB145" i="24" s="1"/>
  <c r="AC145" i="24" s="1"/>
  <c r="R130" i="25"/>
  <c r="S130" i="25"/>
  <c r="K130" i="25" s="1"/>
  <c r="Q130" i="25"/>
  <c r="BZ130" i="25"/>
  <c r="AO130" i="25"/>
  <c r="R165" i="25"/>
  <c r="S165" i="25"/>
  <c r="K165" i="25" s="1"/>
  <c r="V165" i="25" s="1"/>
  <c r="Q165" i="25"/>
  <c r="BZ165" i="25"/>
  <c r="AO165" i="25"/>
  <c r="S266" i="25"/>
  <c r="K266" i="25" s="1"/>
  <c r="V266" i="25" s="1"/>
  <c r="R266" i="25"/>
  <c r="Q266" i="25"/>
  <c r="AO266" i="25"/>
  <c r="BZ266" i="25"/>
  <c r="AE174" i="24"/>
  <c r="AI174" i="24"/>
  <c r="X174" i="24"/>
  <c r="AA174" i="24" s="1"/>
  <c r="AB174" i="24" s="1"/>
  <c r="AC174" i="24" s="1"/>
  <c r="U202" i="25"/>
  <c r="W69" i="24"/>
  <c r="V69" i="24"/>
  <c r="AE178" i="24"/>
  <c r="AI178" i="24"/>
  <c r="X178" i="24"/>
  <c r="AA178" i="24" s="1"/>
  <c r="AB178" i="24" s="1"/>
  <c r="AC178" i="24" s="1"/>
  <c r="S159" i="25"/>
  <c r="K159" i="25" s="1"/>
  <c r="V159" i="25" s="1"/>
  <c r="R159" i="25"/>
  <c r="Q159" i="25"/>
  <c r="AO159" i="25"/>
  <c r="BZ159" i="25"/>
  <c r="V210" i="24"/>
  <c r="W210" i="24"/>
  <c r="AE69" i="24"/>
  <c r="AI69" i="24"/>
  <c r="X69" i="24"/>
  <c r="AA69" i="24" s="1"/>
  <c r="AB69" i="24" s="1"/>
  <c r="AC69" i="24" s="1"/>
  <c r="S63" i="25"/>
  <c r="K63" i="25" s="1"/>
  <c r="V63" i="25" s="1"/>
  <c r="R63" i="25"/>
  <c r="Q63" i="25"/>
  <c r="AO63" i="25"/>
  <c r="BZ63" i="25"/>
  <c r="AE125" i="24"/>
  <c r="AI125" i="24"/>
  <c r="X125" i="24"/>
  <c r="AA125" i="24" s="1"/>
  <c r="AB125" i="24" s="1"/>
  <c r="AC125" i="24" s="1"/>
  <c r="W29" i="24"/>
  <c r="V29" i="24"/>
  <c r="V145" i="24"/>
  <c r="W145" i="24"/>
  <c r="R278" i="25"/>
  <c r="S278" i="25"/>
  <c r="K278" i="25" s="1"/>
  <c r="Q278" i="25"/>
  <c r="BZ278" i="25"/>
  <c r="AO278" i="25"/>
  <c r="U73" i="25"/>
  <c r="AE164" i="24"/>
  <c r="AI164" i="24"/>
  <c r="X164" i="24"/>
  <c r="AA164" i="24" s="1"/>
  <c r="AB164" i="24" s="1"/>
  <c r="AC164" i="24" s="1"/>
  <c r="P174" i="24"/>
  <c r="Q174" i="24"/>
  <c r="AP174" i="24"/>
  <c r="R160" i="25"/>
  <c r="S160" i="25"/>
  <c r="K160" i="25" s="1"/>
  <c r="V160" i="25" s="1"/>
  <c r="Q160" i="25"/>
  <c r="AO160" i="25"/>
  <c r="BZ160" i="25"/>
  <c r="W202" i="24"/>
  <c r="Y202" i="24" s="1"/>
  <c r="AD174" i="25"/>
  <c r="W174" i="25"/>
  <c r="Z174" i="25" s="1"/>
  <c r="AA174" i="25" s="1"/>
  <c r="AB174" i="25" s="1"/>
  <c r="AI174" i="25" s="1"/>
  <c r="W287" i="24"/>
  <c r="Y287" i="24" s="1"/>
  <c r="R61" i="25"/>
  <c r="S61" i="25"/>
  <c r="K61" i="25" s="1"/>
  <c r="Q61" i="25"/>
  <c r="BZ61" i="25"/>
  <c r="AO61" i="25"/>
  <c r="S100" i="25"/>
  <c r="K100" i="25" s="1"/>
  <c r="R100" i="25"/>
  <c r="Q100" i="25"/>
  <c r="AO100" i="25"/>
  <c r="BZ100" i="25"/>
  <c r="V239" i="24"/>
  <c r="W239" i="24"/>
  <c r="R153" i="25"/>
  <c r="S153" i="25"/>
  <c r="K153" i="25" s="1"/>
  <c r="Q153" i="25"/>
  <c r="AO153" i="25"/>
  <c r="BZ153" i="25"/>
  <c r="AE54" i="24"/>
  <c r="AI54" i="24"/>
  <c r="X54" i="24"/>
  <c r="AA54" i="24" s="1"/>
  <c r="AB54" i="24" s="1"/>
  <c r="AC54" i="24" s="1"/>
  <c r="AE167" i="24"/>
  <c r="AI167" i="24"/>
  <c r="W167" i="24"/>
  <c r="Y167" i="24" s="1"/>
  <c r="X167" i="24"/>
  <c r="AA167" i="24" s="1"/>
  <c r="AB167" i="24" s="1"/>
  <c r="AC167" i="24" s="1"/>
  <c r="Q113" i="24"/>
  <c r="P113" i="24"/>
  <c r="AP113" i="24"/>
  <c r="R264" i="25"/>
  <c r="S264" i="25"/>
  <c r="K264" i="25" s="1"/>
  <c r="Q264" i="25"/>
  <c r="BZ264" i="25"/>
  <c r="AO264" i="25"/>
  <c r="R194" i="25"/>
  <c r="S194" i="25"/>
  <c r="K194" i="25" s="1"/>
  <c r="V194" i="25" s="1"/>
  <c r="Q194" i="25"/>
  <c r="AO194" i="25"/>
  <c r="BZ194" i="25"/>
  <c r="U23" i="25"/>
  <c r="R268" i="25"/>
  <c r="S268" i="25"/>
  <c r="K268" i="25" s="1"/>
  <c r="Q268" i="25"/>
  <c r="AO268" i="25"/>
  <c r="BZ268" i="25"/>
  <c r="V283" i="24"/>
  <c r="W283" i="24"/>
  <c r="V306" i="25"/>
  <c r="X306" i="25" s="1"/>
  <c r="W180" i="24"/>
  <c r="Y180" i="24" s="1"/>
  <c r="R98" i="25"/>
  <c r="S98" i="25"/>
  <c r="K98" i="25" s="1"/>
  <c r="Q98" i="25"/>
  <c r="AO98" i="25"/>
  <c r="BZ98" i="25"/>
  <c r="AE237" i="24"/>
  <c r="AI237" i="24"/>
  <c r="X237" i="24"/>
  <c r="AA237" i="24" s="1"/>
  <c r="AB237" i="24" s="1"/>
  <c r="AC237" i="24" s="1"/>
  <c r="AE196" i="24"/>
  <c r="AI196" i="24"/>
  <c r="X196" i="24"/>
  <c r="AA196" i="24" s="1"/>
  <c r="AB196" i="24" s="1"/>
  <c r="AC196" i="24" s="1"/>
  <c r="U72" i="25"/>
  <c r="AE30" i="24"/>
  <c r="AI30" i="24"/>
  <c r="X30" i="24"/>
  <c r="AA30" i="24" s="1"/>
  <c r="AB30" i="24" s="1"/>
  <c r="AC30" i="24" s="1"/>
  <c r="W118" i="24"/>
  <c r="Y118" i="24" s="1"/>
  <c r="AE234" i="24"/>
  <c r="AI234" i="24"/>
  <c r="X234" i="24"/>
  <c r="AA234" i="24" s="1"/>
  <c r="AB234" i="24" s="1"/>
  <c r="AC234" i="24" s="1"/>
  <c r="AE290" i="24"/>
  <c r="AI290" i="24"/>
  <c r="X290" i="24"/>
  <c r="AA290" i="24" s="1"/>
  <c r="AB290" i="24" s="1"/>
  <c r="AC290" i="24" s="1"/>
  <c r="Q39" i="24"/>
  <c r="R39" i="24" s="1"/>
  <c r="P39" i="24"/>
  <c r="AP39" i="24"/>
  <c r="AE64" i="24"/>
  <c r="AI64" i="24"/>
  <c r="X64" i="24"/>
  <c r="AA64" i="24" s="1"/>
  <c r="AB64" i="24" s="1"/>
  <c r="AC64" i="24" s="1"/>
  <c r="V229" i="24"/>
  <c r="W229" i="24"/>
  <c r="W155" i="24"/>
  <c r="Y155" i="24" s="1"/>
  <c r="U183" i="25"/>
  <c r="S83" i="25"/>
  <c r="K83" i="25" s="1"/>
  <c r="R83" i="25"/>
  <c r="Q83" i="25"/>
  <c r="BZ83" i="25"/>
  <c r="AO83" i="25"/>
  <c r="AE185" i="24"/>
  <c r="AI185" i="24"/>
  <c r="X185" i="24"/>
  <c r="AA185" i="24" s="1"/>
  <c r="AB185" i="24" s="1"/>
  <c r="AC185" i="24" s="1"/>
  <c r="AE300" i="24"/>
  <c r="AI300" i="24"/>
  <c r="X300" i="24"/>
  <c r="AA300" i="24" s="1"/>
  <c r="AB300" i="24" s="1"/>
  <c r="AC300" i="24" s="1"/>
  <c r="V299" i="24"/>
  <c r="W299" i="24"/>
  <c r="AE261" i="24"/>
  <c r="AI261" i="24"/>
  <c r="X261" i="24"/>
  <c r="AA261" i="24" s="1"/>
  <c r="AB261" i="24" s="1"/>
  <c r="AC261" i="24" s="1"/>
  <c r="U38" i="25"/>
  <c r="AE269" i="24"/>
  <c r="AI269" i="24"/>
  <c r="X269" i="24"/>
  <c r="AA269" i="24" s="1"/>
  <c r="AB269" i="24" s="1"/>
  <c r="AC269" i="24" s="1"/>
  <c r="U140" i="25"/>
  <c r="AE144" i="24"/>
  <c r="AI144" i="24"/>
  <c r="X144" i="24"/>
  <c r="AA144" i="24" s="1"/>
  <c r="AB144" i="24" s="1"/>
  <c r="AC144" i="24" s="1"/>
  <c r="AE58" i="24"/>
  <c r="AI58" i="24"/>
  <c r="X58" i="24"/>
  <c r="AA58" i="24" s="1"/>
  <c r="AB58" i="24" s="1"/>
  <c r="AC58" i="24" s="1"/>
  <c r="AE219" i="24"/>
  <c r="AI219" i="24"/>
  <c r="X219" i="24"/>
  <c r="AA219" i="24" s="1"/>
  <c r="AB219" i="24" s="1"/>
  <c r="AC219" i="24" s="1"/>
  <c r="V58" i="24"/>
  <c r="W58" i="24"/>
  <c r="AE134" i="24"/>
  <c r="AI134" i="24"/>
  <c r="W134" i="24"/>
  <c r="Y134" i="24" s="1"/>
  <c r="X134" i="24"/>
  <c r="AA134" i="24" s="1"/>
  <c r="AB134" i="24" s="1"/>
  <c r="AC134" i="24" s="1"/>
  <c r="S16" i="25"/>
  <c r="K16" i="25" s="1"/>
  <c r="R16" i="25"/>
  <c r="Q16" i="25"/>
  <c r="BZ16" i="25"/>
  <c r="AO16" i="25"/>
  <c r="W159" i="24"/>
  <c r="V159" i="24"/>
  <c r="AD283" i="25"/>
  <c r="W283" i="25"/>
  <c r="Z283" i="25" s="1"/>
  <c r="AA283" i="25" s="1"/>
  <c r="AB283" i="25" s="1"/>
  <c r="AI283" i="25" s="1"/>
  <c r="S38" i="25"/>
  <c r="K38" i="25" s="1"/>
  <c r="V38" i="25" s="1"/>
  <c r="R38" i="25"/>
  <c r="Q38" i="25"/>
  <c r="BZ38" i="25"/>
  <c r="AO38" i="25"/>
  <c r="AJ22" i="24"/>
  <c r="R128" i="25"/>
  <c r="S128" i="25"/>
  <c r="K128" i="25" s="1"/>
  <c r="Q128" i="25"/>
  <c r="AO128" i="25"/>
  <c r="BZ128" i="25"/>
  <c r="W245" i="24"/>
  <c r="V245" i="24"/>
  <c r="R140" i="25"/>
  <c r="S140" i="25"/>
  <c r="K140" i="25" s="1"/>
  <c r="V140" i="25" s="1"/>
  <c r="Q140" i="25"/>
  <c r="BZ140" i="25"/>
  <c r="AO140" i="25"/>
  <c r="S227" i="25"/>
  <c r="K227" i="25" s="1"/>
  <c r="R227" i="25"/>
  <c r="Q227" i="25"/>
  <c r="AO227" i="25"/>
  <c r="BZ227" i="25"/>
  <c r="AE42" i="24"/>
  <c r="AI42" i="24"/>
  <c r="X42" i="24"/>
  <c r="AA42" i="24" s="1"/>
  <c r="AB42" i="24" s="1"/>
  <c r="AC42" i="24" s="1"/>
  <c r="R37" i="25"/>
  <c r="S37" i="25"/>
  <c r="K37" i="25" s="1"/>
  <c r="Q37" i="25"/>
  <c r="AO37" i="25"/>
  <c r="BZ37" i="25"/>
  <c r="AE220" i="24"/>
  <c r="AI220" i="24"/>
  <c r="X220" i="24"/>
  <c r="AA220" i="24" s="1"/>
  <c r="AB220" i="24" s="1"/>
  <c r="AC220" i="24" s="1"/>
  <c r="Q58" i="24"/>
  <c r="R58" i="24" s="1"/>
  <c r="P58" i="24"/>
  <c r="AP58" i="24"/>
  <c r="AE83" i="24"/>
  <c r="AI83" i="24"/>
  <c r="X83" i="24"/>
  <c r="AA83" i="24" s="1"/>
  <c r="AB83" i="24" s="1"/>
  <c r="AC83" i="24" s="1"/>
  <c r="V260" i="24"/>
  <c r="W260" i="24"/>
  <c r="W289" i="24"/>
  <c r="Y289" i="24" s="1"/>
  <c r="R311" i="25"/>
  <c r="S311" i="25"/>
  <c r="K311" i="25" s="1"/>
  <c r="Q311" i="25"/>
  <c r="BZ311" i="25"/>
  <c r="AO311" i="25"/>
  <c r="R309" i="25"/>
  <c r="S309" i="25"/>
  <c r="K309" i="25" s="1"/>
  <c r="Q309" i="25"/>
  <c r="BZ309" i="25"/>
  <c r="AO309" i="25"/>
  <c r="AE224" i="24"/>
  <c r="AI224" i="24"/>
  <c r="X224" i="24"/>
  <c r="AA224" i="24" s="1"/>
  <c r="AB224" i="24" s="1"/>
  <c r="AC224" i="24" s="1"/>
  <c r="AD282" i="25"/>
  <c r="W282" i="25"/>
  <c r="Z282" i="25" s="1"/>
  <c r="AA282" i="25" s="1"/>
  <c r="AB282" i="25" s="1"/>
  <c r="AI282" i="25" s="1"/>
  <c r="R35" i="25"/>
  <c r="S35" i="25"/>
  <c r="K35" i="25" s="1"/>
  <c r="Q35" i="25"/>
  <c r="BZ35" i="25"/>
  <c r="AO35" i="25"/>
  <c r="AE9" i="24"/>
  <c r="AI9" i="24"/>
  <c r="X9" i="24"/>
  <c r="AA9" i="24" s="1"/>
  <c r="AB9" i="24" s="1"/>
  <c r="AC9" i="24" s="1"/>
  <c r="W189" i="24"/>
  <c r="Y189" i="24" s="1"/>
  <c r="U12" i="25"/>
  <c r="W42" i="24"/>
  <c r="V42" i="24"/>
  <c r="B101" i="2"/>
  <c r="U210" i="25"/>
  <c r="U313" i="25"/>
  <c r="AG41" i="24"/>
  <c r="AF41" i="24"/>
  <c r="AE181" i="24"/>
  <c r="AI181" i="24"/>
  <c r="X181" i="24"/>
  <c r="AA181" i="24" s="1"/>
  <c r="AB181" i="24" s="1"/>
  <c r="AC181" i="24" s="1"/>
  <c r="S301" i="25"/>
  <c r="K301" i="25" s="1"/>
  <c r="R301" i="25"/>
  <c r="Q301" i="25"/>
  <c r="AO301" i="25"/>
  <c r="BZ301" i="25"/>
  <c r="W111" i="24"/>
  <c r="V111" i="24"/>
  <c r="W186" i="24"/>
  <c r="V186" i="24"/>
  <c r="AD186" i="25"/>
  <c r="W186" i="25"/>
  <c r="Z186" i="25" s="1"/>
  <c r="AA186" i="25" s="1"/>
  <c r="AB186" i="25" s="1"/>
  <c r="AI186" i="25" s="1"/>
  <c r="V186" i="25"/>
  <c r="X186" i="25" s="1"/>
  <c r="S241" i="25"/>
  <c r="K241" i="25" s="1"/>
  <c r="R241" i="25"/>
  <c r="Q241" i="25"/>
  <c r="BZ241" i="25"/>
  <c r="AO241" i="25"/>
  <c r="AD229" i="25"/>
  <c r="W229" i="25"/>
  <c r="Z229" i="25" s="1"/>
  <c r="AA229" i="25" s="1"/>
  <c r="AB229" i="25" s="1"/>
  <c r="AI229" i="25" s="1"/>
  <c r="W258" i="24"/>
  <c r="Y258" i="24" s="1"/>
  <c r="W135" i="24"/>
  <c r="V135" i="24"/>
  <c r="U217" i="25"/>
  <c r="AE133" i="24"/>
  <c r="AI133" i="24"/>
  <c r="X133" i="24"/>
  <c r="AA133" i="24" s="1"/>
  <c r="AB133" i="24" s="1"/>
  <c r="AC133" i="24" s="1"/>
  <c r="R10" i="25"/>
  <c r="S10" i="25"/>
  <c r="K10" i="25" s="1"/>
  <c r="V10" i="25" s="1"/>
  <c r="Q10" i="25"/>
  <c r="AO10" i="25"/>
  <c r="BZ10" i="25"/>
  <c r="R166" i="25"/>
  <c r="S166" i="25"/>
  <c r="K166" i="25" s="1"/>
  <c r="Q166" i="25"/>
  <c r="BZ166" i="25"/>
  <c r="AO166" i="25"/>
  <c r="U181" i="25"/>
  <c r="AE33" i="24"/>
  <c r="AI33" i="24"/>
  <c r="X33" i="24"/>
  <c r="AA33" i="24" s="1"/>
  <c r="AB33" i="24" s="1"/>
  <c r="AC33" i="24" s="1"/>
  <c r="AD113" i="25"/>
  <c r="W113" i="25"/>
  <c r="Z113" i="25" s="1"/>
  <c r="AA113" i="25" s="1"/>
  <c r="AB113" i="25" s="1"/>
  <c r="AI113" i="25" s="1"/>
  <c r="AE67" i="24"/>
  <c r="AI67" i="24"/>
  <c r="X67" i="24"/>
  <c r="AA67" i="24" s="1"/>
  <c r="AB67" i="24" s="1"/>
  <c r="AC67" i="24" s="1"/>
  <c r="U63" i="25"/>
  <c r="X63" i="25" s="1"/>
  <c r="R195" i="25"/>
  <c r="S195" i="25"/>
  <c r="K195" i="25" s="1"/>
  <c r="Q195" i="25"/>
  <c r="AO195" i="25"/>
  <c r="BZ195" i="25"/>
  <c r="V114" i="25"/>
  <c r="X114" i="25" s="1"/>
  <c r="AE98" i="24"/>
  <c r="AI98" i="24"/>
  <c r="X98" i="24"/>
  <c r="AA98" i="24" s="1"/>
  <c r="AB98" i="24" s="1"/>
  <c r="AC98" i="24" s="1"/>
  <c r="AE91" i="24"/>
  <c r="AI91" i="24"/>
  <c r="X91" i="24"/>
  <c r="AA91" i="24" s="1"/>
  <c r="AB91" i="24" s="1"/>
  <c r="AC91" i="24" s="1"/>
  <c r="R219" i="25"/>
  <c r="S219" i="25"/>
  <c r="K219" i="25" s="1"/>
  <c r="Q219" i="25"/>
  <c r="AO219" i="25"/>
  <c r="BZ219" i="25"/>
  <c r="U277" i="25"/>
  <c r="S209" i="25"/>
  <c r="K209" i="25" s="1"/>
  <c r="V209" i="25" s="1"/>
  <c r="R209" i="25"/>
  <c r="Q209" i="25"/>
  <c r="BZ209" i="25"/>
  <c r="AO209" i="25"/>
  <c r="AE86" i="24"/>
  <c r="AI86" i="24"/>
  <c r="X86" i="24"/>
  <c r="AA86" i="24" s="1"/>
  <c r="AB86" i="24" s="1"/>
  <c r="AC86" i="24" s="1"/>
  <c r="AE197" i="24"/>
  <c r="AI197" i="24"/>
  <c r="X197" i="24"/>
  <c r="AA197" i="24" s="1"/>
  <c r="AB197" i="24" s="1"/>
  <c r="AC197" i="24" s="1"/>
  <c r="V184" i="24"/>
  <c r="W184" i="24"/>
  <c r="R123" i="25"/>
  <c r="S123" i="25"/>
  <c r="K123" i="25" s="1"/>
  <c r="V123" i="25" s="1"/>
  <c r="Q123" i="25"/>
  <c r="AO123" i="25"/>
  <c r="BZ123" i="25"/>
  <c r="R307" i="25"/>
  <c r="S307" i="25"/>
  <c r="K307" i="25" s="1"/>
  <c r="V307" i="25" s="1"/>
  <c r="Q307" i="25"/>
  <c r="BZ307" i="25"/>
  <c r="AO307" i="25"/>
  <c r="W76" i="24"/>
  <c r="Y76" i="24" s="1"/>
  <c r="AF129" i="25"/>
  <c r="AE129" i="25"/>
  <c r="V148" i="24"/>
  <c r="W148" i="24"/>
  <c r="R175" i="25"/>
  <c r="S175" i="25"/>
  <c r="K175" i="25" s="1"/>
  <c r="V175" i="25" s="1"/>
  <c r="Q175" i="25"/>
  <c r="BZ175" i="25"/>
  <c r="AO175" i="25"/>
  <c r="AE316" i="24"/>
  <c r="AI316" i="24"/>
  <c r="X316" i="24"/>
  <c r="AA316" i="24" s="1"/>
  <c r="AB316" i="24" s="1"/>
  <c r="AC316" i="24" s="1"/>
  <c r="W228" i="24"/>
  <c r="V228" i="24"/>
  <c r="V259" i="25"/>
  <c r="X259" i="25" s="1"/>
  <c r="AD238" i="25"/>
  <c r="W238" i="25"/>
  <c r="Z238" i="25" s="1"/>
  <c r="AA238" i="25" s="1"/>
  <c r="AB238" i="25" s="1"/>
  <c r="AI238" i="25" s="1"/>
  <c r="AD173" i="25"/>
  <c r="W173" i="25"/>
  <c r="Z173" i="25" s="1"/>
  <c r="AA173" i="25" s="1"/>
  <c r="AB173" i="25" s="1"/>
  <c r="AI173" i="25" s="1"/>
  <c r="W14" i="24"/>
  <c r="Y14" i="24" s="1"/>
  <c r="S24" i="25"/>
  <c r="K24" i="25" s="1"/>
  <c r="R24" i="25"/>
  <c r="Q24" i="25"/>
  <c r="BZ24" i="25"/>
  <c r="AO24" i="25"/>
  <c r="AE301" i="24"/>
  <c r="AI301" i="24"/>
  <c r="X301" i="24"/>
  <c r="AA301" i="24" s="1"/>
  <c r="AB301" i="24" s="1"/>
  <c r="AC301" i="24" s="1"/>
  <c r="AE17" i="24"/>
  <c r="AI17" i="24"/>
  <c r="X17" i="24"/>
  <c r="AA17" i="24" s="1"/>
  <c r="AB17" i="24" s="1"/>
  <c r="AC17" i="24" s="1"/>
  <c r="P232" i="24"/>
  <c r="Q232" i="24"/>
  <c r="AP232" i="24"/>
  <c r="AE315" i="24"/>
  <c r="AI315" i="24"/>
  <c r="X315" i="24"/>
  <c r="AA315" i="24" s="1"/>
  <c r="AB315" i="24" s="1"/>
  <c r="AC315" i="24" s="1"/>
  <c r="AE127" i="24"/>
  <c r="AI127" i="24"/>
  <c r="X127" i="24"/>
  <c r="AA127" i="24" s="1"/>
  <c r="AB127" i="24" s="1"/>
  <c r="AC127" i="24" s="1"/>
  <c r="R176" i="25"/>
  <c r="S176" i="25"/>
  <c r="K176" i="25" s="1"/>
  <c r="Q176" i="25"/>
  <c r="AO176" i="25"/>
  <c r="BZ176" i="25"/>
  <c r="AG292" i="24"/>
  <c r="AF292" i="24"/>
  <c r="AE193" i="24"/>
  <c r="AI193" i="24"/>
  <c r="X193" i="24"/>
  <c r="AA193" i="24" s="1"/>
  <c r="AB193" i="24" s="1"/>
  <c r="AC193" i="24" s="1"/>
  <c r="W188" i="24"/>
  <c r="Y188" i="24" s="1"/>
  <c r="AD62" i="25"/>
  <c r="W62" i="25"/>
  <c r="Z62" i="25" s="1"/>
  <c r="AA62" i="25" s="1"/>
  <c r="AB62" i="25" s="1"/>
  <c r="AI62" i="25" s="1"/>
  <c r="W284" i="24"/>
  <c r="Y284" i="24" s="1"/>
  <c r="V206" i="25"/>
  <c r="X206" i="25" s="1"/>
  <c r="W218" i="24"/>
  <c r="Y218" i="24" s="1"/>
  <c r="U226" i="25"/>
  <c r="R36" i="25"/>
  <c r="S36" i="25"/>
  <c r="K36" i="25" s="1"/>
  <c r="Q36" i="25"/>
  <c r="AO36" i="25"/>
  <c r="BZ36" i="25"/>
  <c r="AE244" i="24"/>
  <c r="AI244" i="24"/>
  <c r="X244" i="24"/>
  <c r="AA244" i="24" s="1"/>
  <c r="AB244" i="24" s="1"/>
  <c r="AC244" i="24" s="1"/>
  <c r="W269" i="24"/>
  <c r="Y269" i="24" s="1"/>
  <c r="AD296" i="25"/>
  <c r="W296" i="25"/>
  <c r="Z296" i="25" s="1"/>
  <c r="AA296" i="25" s="1"/>
  <c r="AB296" i="25" s="1"/>
  <c r="AI296" i="25" s="1"/>
  <c r="V296" i="25"/>
  <c r="X296" i="25" s="1"/>
  <c r="W172" i="24"/>
  <c r="Y172" i="24" s="1"/>
  <c r="Q210" i="24"/>
  <c r="P210" i="24"/>
  <c r="AP210" i="24"/>
  <c r="R137" i="25"/>
  <c r="S137" i="25"/>
  <c r="K137" i="25" s="1"/>
  <c r="Q137" i="25"/>
  <c r="AO137" i="25"/>
  <c r="BZ137" i="25"/>
  <c r="V222" i="24"/>
  <c r="W222" i="24"/>
  <c r="AE262" i="24"/>
  <c r="AI262" i="24"/>
  <c r="X262" i="24"/>
  <c r="AA262" i="24" s="1"/>
  <c r="AB262" i="24" s="1"/>
  <c r="AC262" i="24" s="1"/>
  <c r="AE80" i="24"/>
  <c r="AI80" i="24"/>
  <c r="X80" i="24"/>
  <c r="AA80" i="24" s="1"/>
  <c r="AB80" i="24" s="1"/>
  <c r="AC80" i="24" s="1"/>
  <c r="AJ236" i="24"/>
  <c r="U203" i="25"/>
  <c r="AE306" i="24"/>
  <c r="AI306" i="24"/>
  <c r="X306" i="24"/>
  <c r="AA306" i="24" s="1"/>
  <c r="AB306" i="24" s="1"/>
  <c r="AC306" i="24" s="1"/>
  <c r="P29" i="24"/>
  <c r="Q29" i="24"/>
  <c r="R29" i="24" s="1"/>
  <c r="AP29" i="24"/>
  <c r="P145" i="24"/>
  <c r="Q145" i="24"/>
  <c r="AP145" i="24"/>
  <c r="AE92" i="24"/>
  <c r="AI92" i="24"/>
  <c r="X92" i="24"/>
  <c r="AA92" i="24" s="1"/>
  <c r="AB92" i="24" s="1"/>
  <c r="AC92" i="24" s="1"/>
  <c r="AE51" i="24"/>
  <c r="AI51" i="24"/>
  <c r="X51" i="24"/>
  <c r="AA51" i="24" s="1"/>
  <c r="AB51" i="24" s="1"/>
  <c r="AC51" i="24" s="1"/>
  <c r="R73" i="25"/>
  <c r="S73" i="25"/>
  <c r="K73" i="25" s="1"/>
  <c r="V73" i="25" s="1"/>
  <c r="Q73" i="25"/>
  <c r="AO73" i="25"/>
  <c r="BZ73" i="25"/>
  <c r="R187" i="25"/>
  <c r="S187" i="25"/>
  <c r="K187" i="25" s="1"/>
  <c r="V187" i="25" s="1"/>
  <c r="Q187" i="25"/>
  <c r="BZ187" i="25"/>
  <c r="AO187" i="25"/>
  <c r="AE39" i="24"/>
  <c r="AI39" i="24"/>
  <c r="X39" i="24"/>
  <c r="AA39" i="24" s="1"/>
  <c r="AB39" i="24" s="1"/>
  <c r="AC39" i="24" s="1"/>
  <c r="AJ142" i="24"/>
  <c r="AE229" i="24"/>
  <c r="AI229" i="24"/>
  <c r="X229" i="24"/>
  <c r="AA229" i="24" s="1"/>
  <c r="AB229" i="24" s="1"/>
  <c r="AC229" i="24" s="1"/>
  <c r="AE111" i="24"/>
  <c r="AI111" i="24"/>
  <c r="X111" i="24"/>
  <c r="AA111" i="24" s="1"/>
  <c r="AB111" i="24" s="1"/>
  <c r="AC111" i="24" s="1"/>
  <c r="W116" i="24"/>
  <c r="Y116" i="24" s="1"/>
  <c r="W67" i="24"/>
  <c r="Y67" i="24" s="1"/>
  <c r="W92" i="24"/>
  <c r="V92" i="24"/>
  <c r="AE46" i="24"/>
  <c r="AI46" i="24"/>
  <c r="X46" i="24"/>
  <c r="AA46" i="24" s="1"/>
  <c r="AB46" i="24" s="1"/>
  <c r="AC46" i="24" s="1"/>
  <c r="W6" i="24"/>
  <c r="Y6" i="24" s="1"/>
  <c r="W277" i="24"/>
  <c r="V277" i="24"/>
  <c r="Q239" i="24"/>
  <c r="P239" i="24"/>
  <c r="AP239" i="24"/>
  <c r="W38" i="24"/>
  <c r="V38" i="24"/>
  <c r="R47" i="25"/>
  <c r="S47" i="25"/>
  <c r="K47" i="25" s="1"/>
  <c r="V47" i="25" s="1"/>
  <c r="Q47" i="25"/>
  <c r="AO47" i="25"/>
  <c r="BZ47" i="25"/>
  <c r="AE259" i="24"/>
  <c r="AI259" i="24"/>
  <c r="X259" i="24"/>
  <c r="AA259" i="24" s="1"/>
  <c r="AB259" i="24" s="1"/>
  <c r="AC259" i="24" s="1"/>
  <c r="S23" i="25"/>
  <c r="K23" i="25" s="1"/>
  <c r="R23" i="25"/>
  <c r="Q23" i="25"/>
  <c r="AO23" i="25"/>
  <c r="BZ23" i="25"/>
  <c r="V57" i="24"/>
  <c r="W57" i="24"/>
  <c r="U272" i="25"/>
  <c r="AE126" i="24"/>
  <c r="AI126" i="24"/>
  <c r="X126" i="24"/>
  <c r="AA126" i="24" s="1"/>
  <c r="AB126" i="24" s="1"/>
  <c r="AC126" i="24" s="1"/>
  <c r="V235" i="24"/>
  <c r="W235" i="24"/>
  <c r="W193" i="24"/>
  <c r="Y193" i="24" s="1"/>
  <c r="AD248" i="25"/>
  <c r="W248" i="25"/>
  <c r="Z248" i="25" s="1"/>
  <c r="AA248" i="25" s="1"/>
  <c r="AB248" i="25" s="1"/>
  <c r="AI248" i="25" s="1"/>
  <c r="V174" i="25"/>
  <c r="X174" i="25" s="1"/>
  <c r="AD204" i="25"/>
  <c r="W204" i="25"/>
  <c r="Z204" i="25" s="1"/>
  <c r="AA204" i="25" s="1"/>
  <c r="AB204" i="25" s="1"/>
  <c r="AI204" i="25" s="1"/>
  <c r="S80" i="25"/>
  <c r="K80" i="25" s="1"/>
  <c r="R80" i="25"/>
  <c r="Q80" i="25"/>
  <c r="AO80" i="25"/>
  <c r="BZ80" i="25"/>
  <c r="R310" i="25"/>
  <c r="S310" i="25"/>
  <c r="K310" i="25" s="1"/>
  <c r="Q310" i="25"/>
  <c r="AO310" i="25"/>
  <c r="BZ310" i="25"/>
  <c r="FJ211" i="25"/>
  <c r="R54" i="25"/>
  <c r="S54" i="25"/>
  <c r="K54" i="25" s="1"/>
  <c r="Q54" i="25"/>
  <c r="BZ54" i="25"/>
  <c r="AO54" i="25"/>
  <c r="S72" i="25"/>
  <c r="K72" i="25" s="1"/>
  <c r="R72" i="25"/>
  <c r="Q72" i="25"/>
  <c r="AO72" i="25"/>
  <c r="BZ72" i="25"/>
  <c r="R65" i="25"/>
  <c r="S65" i="25"/>
  <c r="K65" i="25" s="1"/>
  <c r="Q65" i="25"/>
  <c r="BZ65" i="25"/>
  <c r="AO65" i="25"/>
  <c r="U225" i="25"/>
  <c r="W291" i="24"/>
  <c r="V291" i="24"/>
  <c r="V100" i="24"/>
  <c r="W100" i="24"/>
  <c r="W266" i="24"/>
  <c r="V266" i="24"/>
  <c r="Q229" i="24"/>
  <c r="P229" i="24"/>
  <c r="AP229" i="24"/>
  <c r="AE88" i="24"/>
  <c r="AI88" i="24"/>
  <c r="W88" i="24"/>
  <c r="Y88" i="24" s="1"/>
  <c r="X88" i="24"/>
  <c r="AA88" i="24" s="1"/>
  <c r="AB88" i="24" s="1"/>
  <c r="AC88" i="24" s="1"/>
  <c r="AE170" i="24"/>
  <c r="AI170" i="24"/>
  <c r="X170" i="24"/>
  <c r="AA170" i="24" s="1"/>
  <c r="AB170" i="24" s="1"/>
  <c r="AC170" i="24" s="1"/>
  <c r="AD247" i="25"/>
  <c r="W247" i="25"/>
  <c r="Z247" i="25" s="1"/>
  <c r="AA247" i="25" s="1"/>
  <c r="AB247" i="25" s="1"/>
  <c r="AI247" i="25" s="1"/>
  <c r="R149" i="25"/>
  <c r="S149" i="25"/>
  <c r="K149" i="25" s="1"/>
  <c r="Q149" i="25"/>
  <c r="AO149" i="25"/>
  <c r="BZ149" i="25"/>
  <c r="AG22" i="24"/>
  <c r="AF22" i="24"/>
  <c r="W80" i="24"/>
  <c r="V80" i="24"/>
  <c r="AE241" i="24"/>
  <c r="AI241" i="24"/>
  <c r="X241" i="24"/>
  <c r="AA241" i="24" s="1"/>
  <c r="AB241" i="24" s="1"/>
  <c r="AC241" i="24" s="1"/>
  <c r="AE66" i="24"/>
  <c r="AI66" i="24"/>
  <c r="X66" i="24"/>
  <c r="AA66" i="24" s="1"/>
  <c r="AB66" i="24" s="1"/>
  <c r="AC66" i="24" s="1"/>
  <c r="AG190" i="24"/>
  <c r="AF190" i="24"/>
  <c r="R263" i="25"/>
  <c r="S263" i="25"/>
  <c r="K263" i="25" s="1"/>
  <c r="Q263" i="25"/>
  <c r="AO263" i="25"/>
  <c r="BZ263" i="25"/>
  <c r="U90" i="25"/>
  <c r="U125" i="25"/>
  <c r="U297" i="25"/>
  <c r="AE279" i="24"/>
  <c r="AI279" i="24"/>
  <c r="X279" i="24"/>
  <c r="AA279" i="24" s="1"/>
  <c r="AB279" i="24" s="1"/>
  <c r="AC279" i="24" s="1"/>
  <c r="P260" i="24"/>
  <c r="Q260" i="24"/>
  <c r="AP260" i="24"/>
  <c r="S101" i="25"/>
  <c r="K101" i="25" s="1"/>
  <c r="V101" i="25" s="1"/>
  <c r="R101" i="25"/>
  <c r="Q101" i="25"/>
  <c r="AO101" i="25"/>
  <c r="BZ101" i="25"/>
  <c r="AD31" i="25"/>
  <c r="W31" i="25"/>
  <c r="Z31" i="25" s="1"/>
  <c r="AA31" i="25" s="1"/>
  <c r="AB31" i="25" s="1"/>
  <c r="AI31" i="25" s="1"/>
  <c r="V112" i="24"/>
  <c r="W112" i="24"/>
  <c r="AE230" i="24"/>
  <c r="AI230" i="24"/>
  <c r="X230" i="24"/>
  <c r="AA230" i="24" s="1"/>
  <c r="AB230" i="24" s="1"/>
  <c r="AC230" i="24" s="1"/>
  <c r="U75" i="25"/>
  <c r="AE247" i="24"/>
  <c r="AI247" i="24"/>
  <c r="X247" i="24"/>
  <c r="AA247" i="24" s="1"/>
  <c r="AB247" i="24" s="1"/>
  <c r="AC247" i="24" s="1"/>
  <c r="AE182" i="24"/>
  <c r="AI182" i="24"/>
  <c r="X182" i="24"/>
  <c r="AA182" i="24" s="1"/>
  <c r="AB182" i="24" s="1"/>
  <c r="AC182" i="24" s="1"/>
  <c r="V9" i="24"/>
  <c r="W9" i="24"/>
  <c r="S12" i="25"/>
  <c r="K12" i="25" s="1"/>
  <c r="R12" i="25"/>
  <c r="Q12" i="25"/>
  <c r="AO12" i="25"/>
  <c r="BZ12" i="25"/>
  <c r="W131" i="24"/>
  <c r="V131" i="24"/>
  <c r="P42" i="24"/>
  <c r="Q42" i="24"/>
  <c r="R42" i="24" s="1"/>
  <c r="AP42" i="24"/>
  <c r="AE249" i="24"/>
  <c r="AI249" i="24"/>
  <c r="X249" i="24"/>
  <c r="AA249" i="24" s="1"/>
  <c r="AB249" i="24" s="1"/>
  <c r="AC249" i="24" s="1"/>
  <c r="V123" i="24"/>
  <c r="W123" i="24"/>
  <c r="U84" i="25"/>
  <c r="S313" i="25"/>
  <c r="K313" i="25" s="1"/>
  <c r="R313" i="25"/>
  <c r="Q313" i="25"/>
  <c r="AO313" i="25"/>
  <c r="BZ313" i="25"/>
  <c r="AE163" i="24"/>
  <c r="AI163" i="24"/>
  <c r="X163" i="24"/>
  <c r="AA163" i="24" s="1"/>
  <c r="AB163" i="24" s="1"/>
  <c r="AC163" i="24" s="1"/>
  <c r="S48" i="25"/>
  <c r="K48" i="25" s="1"/>
  <c r="R48" i="25"/>
  <c r="Q48" i="25"/>
  <c r="BZ48" i="25"/>
  <c r="AO48" i="25"/>
  <c r="V34" i="25"/>
  <c r="X34" i="25" s="1"/>
  <c r="U228" i="25"/>
  <c r="W280" i="24"/>
  <c r="V280" i="24"/>
  <c r="AD201" i="25"/>
  <c r="W201" i="25"/>
  <c r="Z201" i="25" s="1"/>
  <c r="AA201" i="25" s="1"/>
  <c r="AB201" i="25" s="1"/>
  <c r="AI201" i="25" s="1"/>
  <c r="AE50" i="24"/>
  <c r="AI50" i="24"/>
  <c r="X50" i="24"/>
  <c r="AA50" i="24" s="1"/>
  <c r="AB50" i="24" s="1"/>
  <c r="AC50" i="24" s="1"/>
  <c r="S144" i="25"/>
  <c r="K144" i="25" s="1"/>
  <c r="R144" i="25"/>
  <c r="Q144" i="25"/>
  <c r="AO144" i="25"/>
  <c r="BZ144" i="25"/>
  <c r="S217" i="25"/>
  <c r="K217" i="25" s="1"/>
  <c r="V217" i="25" s="1"/>
  <c r="R217" i="25"/>
  <c r="Q217" i="25"/>
  <c r="AO217" i="25"/>
  <c r="BZ217" i="25"/>
  <c r="R139" i="25"/>
  <c r="S139" i="25"/>
  <c r="K139" i="25" s="1"/>
  <c r="V139" i="25" s="1"/>
  <c r="Q139" i="25"/>
  <c r="AO139" i="25"/>
  <c r="BZ139" i="25"/>
  <c r="AE175" i="24"/>
  <c r="AI175" i="24"/>
  <c r="X175" i="24"/>
  <c r="AA175" i="24" s="1"/>
  <c r="AB175" i="24" s="1"/>
  <c r="AC175" i="24" s="1"/>
  <c r="U234" i="25"/>
  <c r="U26" i="25"/>
  <c r="W141" i="24"/>
  <c r="V141" i="24"/>
  <c r="S250" i="25"/>
  <c r="K250" i="25" s="1"/>
  <c r="R250" i="25"/>
  <c r="Q250" i="25"/>
  <c r="AO250" i="25"/>
  <c r="BZ250" i="25"/>
  <c r="R118" i="25"/>
  <c r="S118" i="25"/>
  <c r="K118" i="25" s="1"/>
  <c r="V118" i="25" s="1"/>
  <c r="Q118" i="25"/>
  <c r="AO118" i="25"/>
  <c r="BZ118" i="25"/>
  <c r="AD255" i="25"/>
  <c r="W255" i="25"/>
  <c r="Z255" i="25" s="1"/>
  <c r="AA255" i="25" s="1"/>
  <c r="AB255" i="25" s="1"/>
  <c r="AI255" i="25" s="1"/>
  <c r="V255" i="25"/>
  <c r="X255" i="25" s="1"/>
  <c r="U74" i="25"/>
  <c r="R151" i="25"/>
  <c r="S151" i="25"/>
  <c r="K151" i="25" s="1"/>
  <c r="Q151" i="25"/>
  <c r="AO151" i="25"/>
  <c r="BZ151" i="25"/>
  <c r="V92" i="25"/>
  <c r="X92" i="25" s="1"/>
  <c r="AE56" i="24"/>
  <c r="AI56" i="24"/>
  <c r="X56" i="24"/>
  <c r="AA56" i="24" s="1"/>
  <c r="AB56" i="24" s="1"/>
  <c r="AC56" i="24" s="1"/>
  <c r="AE70" i="24"/>
  <c r="AI70" i="24"/>
  <c r="X70" i="24"/>
  <c r="AA70" i="24" s="1"/>
  <c r="AB70" i="24" s="1"/>
  <c r="AC70" i="24" s="1"/>
  <c r="S152" i="25"/>
  <c r="K152" i="25" s="1"/>
  <c r="R152" i="25"/>
  <c r="Q152" i="25"/>
  <c r="AO152" i="25"/>
  <c r="BZ152" i="25"/>
  <c r="S50" i="25"/>
  <c r="K50" i="25" s="1"/>
  <c r="R50" i="25"/>
  <c r="Q50" i="25"/>
  <c r="AO50" i="25"/>
  <c r="BZ50" i="25"/>
  <c r="S277" i="25"/>
  <c r="K277" i="25" s="1"/>
  <c r="R277" i="25"/>
  <c r="Q277" i="25"/>
  <c r="AO277" i="25"/>
  <c r="BZ277" i="25"/>
  <c r="P184" i="24"/>
  <c r="Q184" i="24"/>
  <c r="AP184" i="24"/>
  <c r="AE146" i="24"/>
  <c r="AI146" i="24"/>
  <c r="X146" i="24"/>
  <c r="AA146" i="24" s="1"/>
  <c r="AB146" i="24" s="1"/>
  <c r="AC146" i="24" s="1"/>
  <c r="AE153" i="24"/>
  <c r="AI153" i="24"/>
  <c r="X153" i="24"/>
  <c r="AA153" i="24" s="1"/>
  <c r="AB153" i="24" s="1"/>
  <c r="AC153" i="24" s="1"/>
  <c r="AE271" i="24"/>
  <c r="AI271" i="24"/>
  <c r="X271" i="24"/>
  <c r="AA271" i="24" s="1"/>
  <c r="AB271" i="24" s="1"/>
  <c r="AC271" i="24" s="1"/>
  <c r="AE149" i="24"/>
  <c r="AI149" i="24"/>
  <c r="X149" i="24"/>
  <c r="AA149" i="24" s="1"/>
  <c r="AB149" i="24" s="1"/>
  <c r="AC149" i="24" s="1"/>
  <c r="P148" i="24"/>
  <c r="Q148" i="24"/>
  <c r="AP148" i="24"/>
  <c r="AE304" i="24"/>
  <c r="AI304" i="24"/>
  <c r="X304" i="24"/>
  <c r="AA304" i="24" s="1"/>
  <c r="AB304" i="24" s="1"/>
  <c r="AC304" i="24" s="1"/>
  <c r="Q228" i="24"/>
  <c r="P228" i="24"/>
  <c r="AP228" i="24"/>
  <c r="U208" i="25"/>
  <c r="R298" i="25"/>
  <c r="S298" i="25"/>
  <c r="K298" i="25" s="1"/>
  <c r="V298" i="25" s="1"/>
  <c r="Q298" i="25"/>
  <c r="BZ298" i="25"/>
  <c r="AO298" i="25"/>
  <c r="W241" i="24"/>
  <c r="V241" i="24"/>
  <c r="V185" i="24"/>
  <c r="W185" i="24"/>
  <c r="AD21" i="25"/>
  <c r="W21" i="25"/>
  <c r="Z21" i="25" s="1"/>
  <c r="AA21" i="25" s="1"/>
  <c r="AB21" i="25" s="1"/>
  <c r="AI21" i="25" s="1"/>
  <c r="AE35" i="24"/>
  <c r="AI35" i="24"/>
  <c r="X35" i="24"/>
  <c r="AA35" i="24" s="1"/>
  <c r="AB35" i="24" s="1"/>
  <c r="AC35" i="24" s="1"/>
  <c r="W85" i="24"/>
  <c r="V85" i="24"/>
  <c r="U27" i="25"/>
  <c r="U274" i="25"/>
  <c r="U205" i="25"/>
  <c r="AE10" i="24"/>
  <c r="AI10" i="24"/>
  <c r="X10" i="24"/>
  <c r="AA10" i="24" s="1"/>
  <c r="AB10" i="24" s="1"/>
  <c r="AC10" i="24" s="1"/>
  <c r="W65" i="24"/>
  <c r="V65" i="24"/>
  <c r="W82" i="24"/>
  <c r="Y82" i="24" s="1"/>
  <c r="AE43" i="24"/>
  <c r="AI43" i="24"/>
  <c r="X43" i="24"/>
  <c r="AA43" i="24" s="1"/>
  <c r="AB43" i="24" s="1"/>
  <c r="AC43" i="24" s="1"/>
  <c r="AE122" i="24"/>
  <c r="AI122" i="24"/>
  <c r="X122" i="24"/>
  <c r="AA122" i="24" s="1"/>
  <c r="AB122" i="24" s="1"/>
  <c r="AC122" i="24" s="1"/>
  <c r="AE40" i="24"/>
  <c r="AI40" i="24"/>
  <c r="X40" i="24"/>
  <c r="AA40" i="24" s="1"/>
  <c r="AB40" i="24" s="1"/>
  <c r="AC40" i="24" s="1"/>
  <c r="AE239" i="24"/>
  <c r="AI239" i="24"/>
  <c r="X239" i="24"/>
  <c r="AA239" i="24" s="1"/>
  <c r="AB239" i="24" s="1"/>
  <c r="AC239" i="24" s="1"/>
  <c r="AE154" i="24"/>
  <c r="AI154" i="24"/>
  <c r="X154" i="24"/>
  <c r="AA154" i="24" s="1"/>
  <c r="AB154" i="24" s="1"/>
  <c r="AC154" i="24" s="1"/>
  <c r="R203" i="25"/>
  <c r="S203" i="25"/>
  <c r="K203" i="25" s="1"/>
  <c r="V203" i="25" s="1"/>
  <c r="Q203" i="25"/>
  <c r="AO203" i="25"/>
  <c r="BZ203" i="25"/>
  <c r="V197" i="24"/>
  <c r="W197" i="24"/>
  <c r="W207" i="24"/>
  <c r="Y207" i="24" s="1"/>
  <c r="U221" i="25"/>
  <c r="V95" i="24"/>
  <c r="W95" i="24"/>
  <c r="S171" i="25"/>
  <c r="K171" i="25" s="1"/>
  <c r="V171" i="25" s="1"/>
  <c r="R171" i="25"/>
  <c r="Q171" i="25"/>
  <c r="AO171" i="25"/>
  <c r="BZ171" i="25"/>
  <c r="R295" i="25"/>
  <c r="S295" i="25"/>
  <c r="K295" i="25" s="1"/>
  <c r="V295" i="25" s="1"/>
  <c r="Q295" i="25"/>
  <c r="AO295" i="25"/>
  <c r="BZ295" i="25"/>
  <c r="R202" i="25"/>
  <c r="S202" i="25"/>
  <c r="K202" i="25" s="1"/>
  <c r="V202" i="25" s="1"/>
  <c r="Q202" i="25"/>
  <c r="AO202" i="25"/>
  <c r="BZ202" i="25"/>
  <c r="R226" i="25"/>
  <c r="S226" i="25"/>
  <c r="K226" i="25" s="1"/>
  <c r="Q226" i="25"/>
  <c r="AO226" i="25"/>
  <c r="BZ226" i="25"/>
  <c r="AD158" i="25"/>
  <c r="W158" i="25"/>
  <c r="Z158" i="25" s="1"/>
  <c r="AA158" i="25" s="1"/>
  <c r="AB158" i="25" s="1"/>
  <c r="AI158" i="25" s="1"/>
  <c r="AE93" i="24"/>
  <c r="AI93" i="24"/>
  <c r="X93" i="24"/>
  <c r="AA93" i="24" s="1"/>
  <c r="AB93" i="24" s="1"/>
  <c r="AC93" i="24" s="1"/>
  <c r="U68" i="25"/>
  <c r="S244" i="25"/>
  <c r="K244" i="25" s="1"/>
  <c r="R244" i="25"/>
  <c r="Q244" i="25"/>
  <c r="AO244" i="25"/>
  <c r="BZ244" i="25"/>
  <c r="P277" i="24"/>
  <c r="Q277" i="24"/>
  <c r="AP277" i="24"/>
  <c r="W262" i="24"/>
  <c r="V262" i="24"/>
  <c r="W166" i="24"/>
  <c r="Y166" i="24" s="1"/>
  <c r="S69" i="25"/>
  <c r="K69" i="25" s="1"/>
  <c r="R69" i="25"/>
  <c r="Q69" i="25"/>
  <c r="BZ69" i="25"/>
  <c r="AO69" i="25"/>
  <c r="Q38" i="24"/>
  <c r="R38" i="24" s="1"/>
  <c r="P38" i="24"/>
  <c r="AP38" i="24"/>
  <c r="V31" i="25"/>
  <c r="X31" i="25" s="1"/>
  <c r="AE286" i="24"/>
  <c r="AI286" i="24"/>
  <c r="X286" i="24"/>
  <c r="AA286" i="24" s="1"/>
  <c r="AB286" i="24" s="1"/>
  <c r="AC286" i="24" s="1"/>
  <c r="AE100" i="24"/>
  <c r="AI100" i="24"/>
  <c r="X100" i="24"/>
  <c r="AA100" i="24" s="1"/>
  <c r="AB100" i="24" s="1"/>
  <c r="AC100" i="24" s="1"/>
  <c r="AG55" i="24"/>
  <c r="AF55" i="24"/>
  <c r="Q57" i="24"/>
  <c r="R57" i="24" s="1"/>
  <c r="P57" i="24"/>
  <c r="AP57" i="24"/>
  <c r="AE260" i="24"/>
  <c r="AI260" i="24"/>
  <c r="X260" i="24"/>
  <c r="AA260" i="24" s="1"/>
  <c r="AB260" i="24" s="1"/>
  <c r="AC260" i="24" s="1"/>
  <c r="S272" i="25"/>
  <c r="K272" i="25" s="1"/>
  <c r="V272" i="25" s="1"/>
  <c r="R272" i="25"/>
  <c r="Q272" i="25"/>
  <c r="AO272" i="25"/>
  <c r="BZ272" i="25"/>
  <c r="V64" i="24"/>
  <c r="W64" i="24"/>
  <c r="W79" i="24"/>
  <c r="Y79" i="24" s="1"/>
  <c r="V46" i="24"/>
  <c r="W46" i="24"/>
  <c r="R185" i="25"/>
  <c r="S185" i="25"/>
  <c r="K185" i="25" s="1"/>
  <c r="Q185" i="25"/>
  <c r="AO185" i="25"/>
  <c r="BZ185" i="25"/>
  <c r="W281" i="24"/>
  <c r="Y281" i="24" s="1"/>
  <c r="R133" i="25"/>
  <c r="S133" i="25"/>
  <c r="K133" i="25" s="1"/>
  <c r="Q133" i="25"/>
  <c r="BZ133" i="25"/>
  <c r="AO133" i="25"/>
  <c r="U200" i="25"/>
  <c r="AE26" i="24"/>
  <c r="AI26" i="24"/>
  <c r="X26" i="24"/>
  <c r="AA26" i="24" s="1"/>
  <c r="AB26" i="24" s="1"/>
  <c r="AC26" i="24" s="1"/>
  <c r="AE123" i="24"/>
  <c r="AI123" i="24"/>
  <c r="X123" i="24"/>
  <c r="AA123" i="24" s="1"/>
  <c r="AB123" i="24" s="1"/>
  <c r="AC123" i="24" s="1"/>
  <c r="AE77" i="24"/>
  <c r="AI77" i="24"/>
  <c r="X77" i="24"/>
  <c r="AA77" i="24" s="1"/>
  <c r="AB77" i="24" s="1"/>
  <c r="AC77" i="24" s="1"/>
  <c r="W77" i="24"/>
  <c r="Y77" i="24" s="1"/>
  <c r="U242" i="25"/>
  <c r="S225" i="25"/>
  <c r="K225" i="25" s="1"/>
  <c r="V225" i="25" s="1"/>
  <c r="R225" i="25"/>
  <c r="Q225" i="25"/>
  <c r="AO225" i="25"/>
  <c r="BZ225" i="25"/>
  <c r="Q100" i="24"/>
  <c r="R100" i="24" s="1"/>
  <c r="P100" i="24"/>
  <c r="AP100" i="24"/>
  <c r="P266" i="24"/>
  <c r="Q266" i="24"/>
  <c r="AP266" i="24"/>
  <c r="U135" i="25"/>
  <c r="U138" i="25"/>
  <c r="W250" i="24"/>
  <c r="V250" i="24"/>
  <c r="W168" i="24"/>
  <c r="V168" i="24"/>
  <c r="AE87" i="24"/>
  <c r="AI87" i="24"/>
  <c r="X87" i="24"/>
  <c r="AA87" i="24" s="1"/>
  <c r="AB87" i="24" s="1"/>
  <c r="AC87" i="24" s="1"/>
  <c r="U157" i="25"/>
  <c r="AE90" i="24"/>
  <c r="AI90" i="24"/>
  <c r="X90" i="24"/>
  <c r="AA90" i="24" s="1"/>
  <c r="AB90" i="24" s="1"/>
  <c r="AC90" i="24" s="1"/>
  <c r="AE75" i="24"/>
  <c r="AI75" i="24"/>
  <c r="X75" i="24"/>
  <c r="AA75" i="24" s="1"/>
  <c r="AB75" i="24" s="1"/>
  <c r="AC75" i="24" s="1"/>
  <c r="AE8" i="24"/>
  <c r="AI8" i="24"/>
  <c r="X8" i="24"/>
  <c r="AA8" i="24" s="1"/>
  <c r="AB8" i="24" s="1"/>
  <c r="AC8" i="24" s="1"/>
  <c r="AE203" i="24"/>
  <c r="AI203" i="24"/>
  <c r="X203" i="24"/>
  <c r="AA203" i="24" s="1"/>
  <c r="AB203" i="24" s="1"/>
  <c r="AC203" i="24" s="1"/>
  <c r="P80" i="24"/>
  <c r="Q80" i="24"/>
  <c r="R80" i="24" s="1"/>
  <c r="AP80" i="24"/>
  <c r="S300" i="25"/>
  <c r="K300" i="25" s="1"/>
  <c r="R300" i="25"/>
  <c r="Q300" i="25"/>
  <c r="BZ300" i="25"/>
  <c r="AO300" i="25"/>
  <c r="V183" i="24"/>
  <c r="W183" i="24"/>
  <c r="U169" i="25"/>
  <c r="R90" i="25"/>
  <c r="S90" i="25"/>
  <c r="K90" i="25" s="1"/>
  <c r="V90" i="25" s="1"/>
  <c r="Q90" i="25"/>
  <c r="BZ90" i="25"/>
  <c r="AO90" i="25"/>
  <c r="R125" i="25"/>
  <c r="S125" i="25"/>
  <c r="K125" i="25" s="1"/>
  <c r="Q125" i="25"/>
  <c r="BZ125" i="25"/>
  <c r="AO125" i="25"/>
  <c r="U112" i="25"/>
  <c r="V259" i="24"/>
  <c r="W259" i="24"/>
  <c r="R297" i="25"/>
  <c r="S297" i="25"/>
  <c r="K297" i="25" s="1"/>
  <c r="Q297" i="25"/>
  <c r="AO297" i="25"/>
  <c r="BZ297" i="25"/>
  <c r="U76" i="25"/>
  <c r="U22" i="25"/>
  <c r="U103" i="25"/>
  <c r="W96" i="24"/>
  <c r="V96" i="24"/>
  <c r="AE152" i="24"/>
  <c r="AI152" i="24"/>
  <c r="X152" i="24"/>
  <c r="AA152" i="24" s="1"/>
  <c r="AB152" i="24" s="1"/>
  <c r="AC152" i="24" s="1"/>
  <c r="AE143" i="24"/>
  <c r="AI143" i="24"/>
  <c r="X143" i="24"/>
  <c r="AA143" i="24" s="1"/>
  <c r="AB143" i="24" s="1"/>
  <c r="AC143" i="24" s="1"/>
  <c r="U187" i="25"/>
  <c r="X187" i="25" s="1"/>
  <c r="AE297" i="24"/>
  <c r="AI297" i="24"/>
  <c r="X297" i="24"/>
  <c r="AA297" i="24" s="1"/>
  <c r="AB297" i="24" s="1"/>
  <c r="AC297" i="24" s="1"/>
  <c r="R75" i="25"/>
  <c r="S75" i="25"/>
  <c r="K75" i="25" s="1"/>
  <c r="Q75" i="25"/>
  <c r="BZ75" i="25"/>
  <c r="AO75" i="25"/>
  <c r="U196" i="25"/>
  <c r="V263" i="24"/>
  <c r="W263" i="24"/>
  <c r="V156" i="24"/>
  <c r="W156" i="24"/>
  <c r="U115" i="25"/>
  <c r="AD305" i="25"/>
  <c r="W305" i="25"/>
  <c r="Z305" i="25" s="1"/>
  <c r="AA305" i="25" s="1"/>
  <c r="AB305" i="25" s="1"/>
  <c r="AI305" i="25" s="1"/>
  <c r="AE169" i="24"/>
  <c r="AI169" i="24"/>
  <c r="X169" i="24"/>
  <c r="AA169" i="24" s="1"/>
  <c r="AB169" i="24" s="1"/>
  <c r="AC169" i="24" s="1"/>
  <c r="Q131" i="24"/>
  <c r="P131" i="24"/>
  <c r="AP131" i="24"/>
  <c r="U118" i="25"/>
  <c r="Q123" i="24"/>
  <c r="P123" i="24"/>
  <c r="AP123" i="24"/>
  <c r="AE253" i="24"/>
  <c r="AI253" i="24"/>
  <c r="X253" i="24"/>
  <c r="AA253" i="24" s="1"/>
  <c r="AB253" i="24" s="1"/>
  <c r="AC253" i="24" s="1"/>
  <c r="S210" i="25"/>
  <c r="K210" i="25" s="1"/>
  <c r="R210" i="25"/>
  <c r="Q210" i="25"/>
  <c r="AO210" i="25"/>
  <c r="BZ210" i="25"/>
  <c r="S84" i="25"/>
  <c r="K84" i="25" s="1"/>
  <c r="V84" i="25" s="1"/>
  <c r="R84" i="25"/>
  <c r="Q84" i="25"/>
  <c r="AO84" i="25"/>
  <c r="BZ84" i="25"/>
  <c r="S180" i="25"/>
  <c r="K180" i="25" s="1"/>
  <c r="R180" i="25"/>
  <c r="Q180" i="25"/>
  <c r="AO180" i="25"/>
  <c r="BZ180" i="25"/>
  <c r="S228" i="25"/>
  <c r="K228" i="25" s="1"/>
  <c r="V228" i="25" s="1"/>
  <c r="R228" i="25"/>
  <c r="Q228" i="25"/>
  <c r="AO228" i="25"/>
  <c r="BZ228" i="25"/>
  <c r="U299" i="25"/>
  <c r="P280" i="24"/>
  <c r="Q280" i="24"/>
  <c r="AP280" i="24"/>
  <c r="V243" i="24"/>
  <c r="W243" i="24"/>
  <c r="AD71" i="25"/>
  <c r="W71" i="25"/>
  <c r="Z71" i="25" s="1"/>
  <c r="AA71" i="25" s="1"/>
  <c r="AB71" i="25" s="1"/>
  <c r="AI71" i="25" s="1"/>
  <c r="AD161" i="25"/>
  <c r="W161" i="25"/>
  <c r="Z161" i="25" s="1"/>
  <c r="AA161" i="25" s="1"/>
  <c r="AB161" i="25" s="1"/>
  <c r="AI161" i="25" s="1"/>
  <c r="S270" i="25"/>
  <c r="K270" i="25" s="1"/>
  <c r="Q270" i="25"/>
  <c r="R270" i="25"/>
  <c r="AO270" i="25"/>
  <c r="BZ270" i="25"/>
  <c r="AG257" i="24"/>
  <c r="AF257" i="24"/>
  <c r="U142" i="25"/>
  <c r="AD190" i="25"/>
  <c r="W190" i="25"/>
  <c r="Z190" i="25" s="1"/>
  <c r="AA190" i="25" s="1"/>
  <c r="AB190" i="25" s="1"/>
  <c r="AI190" i="25" s="1"/>
  <c r="V190" i="25"/>
  <c r="X190" i="25" s="1"/>
  <c r="W89" i="24"/>
  <c r="V89" i="24"/>
  <c r="S26" i="25"/>
  <c r="K26" i="25" s="1"/>
  <c r="V26" i="25" s="1"/>
  <c r="R26" i="25"/>
  <c r="Q26" i="25"/>
  <c r="AO26" i="25"/>
  <c r="BZ26" i="25"/>
  <c r="W66" i="24"/>
  <c r="Y66" i="24" s="1"/>
  <c r="AE62" i="24"/>
  <c r="AI62" i="24"/>
  <c r="X62" i="24"/>
  <c r="AA62" i="24" s="1"/>
  <c r="AB62" i="24" s="1"/>
  <c r="AC62" i="24" s="1"/>
  <c r="Q141" i="24"/>
  <c r="P141" i="24"/>
  <c r="AP141" i="24"/>
  <c r="S74" i="25"/>
  <c r="K74" i="25" s="1"/>
  <c r="V74" i="25" s="1"/>
  <c r="R74" i="25"/>
  <c r="Q74" i="25"/>
  <c r="BZ74" i="25"/>
  <c r="AO74" i="25"/>
  <c r="U304" i="25"/>
  <c r="S193" i="25"/>
  <c r="K193" i="25" s="1"/>
  <c r="R193" i="25"/>
  <c r="Q193" i="25"/>
  <c r="AO193" i="25"/>
  <c r="BZ193" i="25"/>
  <c r="AE245" i="24"/>
  <c r="AI245" i="24"/>
  <c r="X245" i="24"/>
  <c r="AA245" i="24" s="1"/>
  <c r="AB245" i="24" s="1"/>
  <c r="AC245" i="24" s="1"/>
  <c r="AE171" i="24"/>
  <c r="AI171" i="24"/>
  <c r="X171" i="24"/>
  <c r="AA171" i="24" s="1"/>
  <c r="AB171" i="24" s="1"/>
  <c r="AC171" i="24" s="1"/>
  <c r="AE314" i="24"/>
  <c r="AI314" i="24"/>
  <c r="X314" i="24"/>
  <c r="AA314" i="24" s="1"/>
  <c r="AB314" i="24" s="1"/>
  <c r="AC314" i="24" s="1"/>
  <c r="V194" i="24"/>
  <c r="W194" i="24"/>
  <c r="AE48" i="24"/>
  <c r="AI48" i="24"/>
  <c r="X48" i="24"/>
  <c r="AA48" i="24" s="1"/>
  <c r="AB48" i="24" s="1"/>
  <c r="AC48" i="24" s="1"/>
  <c r="U41" i="25"/>
  <c r="V203" i="24"/>
  <c r="W203" i="24"/>
  <c r="S33" i="25"/>
  <c r="K33" i="25" s="1"/>
  <c r="R33" i="25"/>
  <c r="Q33" i="25"/>
  <c r="AO33" i="25"/>
  <c r="BZ33" i="25"/>
  <c r="S99" i="25"/>
  <c r="K99" i="25" s="1"/>
  <c r="V99" i="25" s="1"/>
  <c r="R99" i="25"/>
  <c r="Q99" i="25"/>
  <c r="BZ99" i="25"/>
  <c r="AO99" i="25"/>
  <c r="R208" i="25"/>
  <c r="S208" i="25"/>
  <c r="K208" i="25" s="1"/>
  <c r="V208" i="25" s="1"/>
  <c r="Q208" i="25"/>
  <c r="AO208" i="25"/>
  <c r="BZ208" i="25"/>
  <c r="V143" i="24"/>
  <c r="W143" i="24"/>
  <c r="AD30" i="25"/>
  <c r="W30" i="25"/>
  <c r="Z30" i="25" s="1"/>
  <c r="AA30" i="25" s="1"/>
  <c r="AB30" i="25" s="1"/>
  <c r="AI30" i="25" s="1"/>
  <c r="Q85" i="24"/>
  <c r="R85" i="24" s="1"/>
  <c r="P85" i="24"/>
  <c r="AP85" i="24"/>
  <c r="AE302" i="24"/>
  <c r="AI302" i="24"/>
  <c r="X302" i="24"/>
  <c r="AA302" i="24" s="1"/>
  <c r="AB302" i="24" s="1"/>
  <c r="AC302" i="24" s="1"/>
  <c r="AG119" i="24"/>
  <c r="AF119" i="24"/>
  <c r="R27" i="25"/>
  <c r="S27" i="25"/>
  <c r="K27" i="25" s="1"/>
  <c r="V27" i="25" s="1"/>
  <c r="Q27" i="25"/>
  <c r="AO27" i="25"/>
  <c r="BZ27" i="25"/>
  <c r="AE263" i="24"/>
  <c r="AI263" i="24"/>
  <c r="X263" i="24"/>
  <c r="AA263" i="24" s="1"/>
  <c r="AB263" i="24" s="1"/>
  <c r="AC263" i="24" s="1"/>
  <c r="U47" i="25"/>
  <c r="S274" i="25"/>
  <c r="K274" i="25" s="1"/>
  <c r="R274" i="25"/>
  <c r="Q274" i="25"/>
  <c r="AO274" i="25"/>
  <c r="BZ274" i="25"/>
  <c r="U39" i="25"/>
  <c r="AE13" i="24"/>
  <c r="AI13" i="24"/>
  <c r="X13" i="24"/>
  <c r="AA13" i="24" s="1"/>
  <c r="AB13" i="24" s="1"/>
  <c r="AC13" i="24" s="1"/>
  <c r="AE84" i="24"/>
  <c r="AI84" i="24"/>
  <c r="X84" i="24"/>
  <c r="AA84" i="24" s="1"/>
  <c r="AB84" i="24" s="1"/>
  <c r="AC84" i="24" s="1"/>
  <c r="W84" i="24"/>
  <c r="Y84" i="24" s="1"/>
  <c r="AE285" i="24"/>
  <c r="AI285" i="24"/>
  <c r="W285" i="24"/>
  <c r="Y285" i="24" s="1"/>
  <c r="X285" i="24"/>
  <c r="AA285" i="24" s="1"/>
  <c r="AB285" i="24" s="1"/>
  <c r="AC285" i="24" s="1"/>
  <c r="W13" i="24"/>
  <c r="Y13" i="24" s="1"/>
  <c r="AG294" i="24"/>
  <c r="AF294" i="24"/>
  <c r="U216" i="25"/>
  <c r="R245" i="25"/>
  <c r="S245" i="25"/>
  <c r="K245" i="25" s="1"/>
  <c r="Q245" i="25"/>
  <c r="AO245" i="25"/>
  <c r="BZ245" i="25"/>
  <c r="U81" i="25"/>
  <c r="AE136" i="24"/>
  <c r="AI136" i="24"/>
  <c r="X136" i="24"/>
  <c r="AA136" i="24" s="1"/>
  <c r="AB136" i="24" s="1"/>
  <c r="AC136" i="24" s="1"/>
  <c r="AE156" i="24"/>
  <c r="AI156" i="24"/>
  <c r="X156" i="24"/>
  <c r="AA156" i="24" s="1"/>
  <c r="AB156" i="24" s="1"/>
  <c r="AC156" i="24" s="1"/>
  <c r="AD293" i="25"/>
  <c r="W293" i="25"/>
  <c r="Z293" i="25" s="1"/>
  <c r="AA293" i="25" s="1"/>
  <c r="AB293" i="25" s="1"/>
  <c r="AI293" i="25" s="1"/>
  <c r="V293" i="25"/>
  <c r="X293" i="25" s="1"/>
  <c r="AG236" i="24"/>
  <c r="AF236" i="24"/>
  <c r="AE295" i="24"/>
  <c r="AI295" i="24"/>
  <c r="X295" i="24"/>
  <c r="AA295" i="24" s="1"/>
  <c r="AB295" i="24" s="1"/>
  <c r="AC295" i="24" s="1"/>
  <c r="S221" i="25"/>
  <c r="K221" i="25" s="1"/>
  <c r="V221" i="25" s="1"/>
  <c r="R221" i="25"/>
  <c r="Q221" i="25"/>
  <c r="BZ221" i="25"/>
  <c r="AO221" i="25"/>
  <c r="W122" i="24"/>
  <c r="V122" i="24"/>
  <c r="Q95" i="24"/>
  <c r="R95" i="24" s="1"/>
  <c r="P95" i="24"/>
  <c r="AP95" i="24"/>
  <c r="AG142" i="24"/>
  <c r="AF142" i="24"/>
  <c r="AE94" i="24"/>
  <c r="AI94" i="24"/>
  <c r="X94" i="24"/>
  <c r="AA94" i="24" s="1"/>
  <c r="AB94" i="24" s="1"/>
  <c r="AC94" i="24" s="1"/>
  <c r="AD87" i="25"/>
  <c r="W87" i="25"/>
  <c r="Z87" i="25" s="1"/>
  <c r="AA87" i="25" s="1"/>
  <c r="AB87" i="25" s="1"/>
  <c r="AI87" i="25" s="1"/>
  <c r="AE74" i="24"/>
  <c r="AI74" i="24"/>
  <c r="X74" i="24"/>
  <c r="AA74" i="24" s="1"/>
  <c r="AB74" i="24" s="1"/>
  <c r="AC74" i="24" s="1"/>
  <c r="S68" i="25"/>
  <c r="K68" i="25" s="1"/>
  <c r="R68" i="25"/>
  <c r="Q68" i="25"/>
  <c r="AO68" i="25"/>
  <c r="BZ68" i="25"/>
  <c r="Q262" i="24"/>
  <c r="P262" i="24"/>
  <c r="AP262" i="24"/>
  <c r="AD198" i="25"/>
  <c r="W198" i="25"/>
  <c r="Z198" i="25" s="1"/>
  <c r="AA198" i="25" s="1"/>
  <c r="AB198" i="25" s="1"/>
  <c r="AI198" i="25" s="1"/>
  <c r="AE157" i="24"/>
  <c r="AI157" i="24"/>
  <c r="X157" i="24"/>
  <c r="AA157" i="24" s="1"/>
  <c r="AB157" i="24" s="1"/>
  <c r="AC157" i="24" s="1"/>
  <c r="AE303" i="24"/>
  <c r="AI303" i="24"/>
  <c r="X303" i="24"/>
  <c r="AA303" i="24" s="1"/>
  <c r="AB303" i="24" s="1"/>
  <c r="AC303" i="24" s="1"/>
  <c r="R184" i="25"/>
  <c r="S184" i="25"/>
  <c r="K184" i="25" s="1"/>
  <c r="Q184" i="25"/>
  <c r="BZ184" i="25"/>
  <c r="AO184" i="25"/>
  <c r="V198" i="25"/>
  <c r="X198" i="25" s="1"/>
  <c r="AE293" i="24"/>
  <c r="AI293" i="24"/>
  <c r="X293" i="24"/>
  <c r="AA293" i="24" s="1"/>
  <c r="AB293" i="24" s="1"/>
  <c r="AC293" i="24" s="1"/>
  <c r="W139" i="24"/>
  <c r="V139" i="24"/>
  <c r="U207" i="25"/>
  <c r="AE78" i="24"/>
  <c r="AI78" i="24"/>
  <c r="X78" i="24"/>
  <c r="AA78" i="24" s="1"/>
  <c r="AB78" i="24" s="1"/>
  <c r="AC78" i="24" s="1"/>
  <c r="R285" i="25"/>
  <c r="S285" i="25"/>
  <c r="K285" i="25" s="1"/>
  <c r="Q285" i="25"/>
  <c r="AO285" i="25"/>
  <c r="BZ285" i="25"/>
  <c r="P64" i="24"/>
  <c r="Q64" i="24"/>
  <c r="R64" i="24" s="1"/>
  <c r="AP64" i="24"/>
  <c r="S289" i="25"/>
  <c r="K289" i="25" s="1"/>
  <c r="R289" i="25"/>
  <c r="Q289" i="25"/>
  <c r="AO289" i="25"/>
  <c r="BZ289" i="25"/>
  <c r="P46" i="24"/>
  <c r="Q46" i="24"/>
  <c r="R46" i="24" s="1"/>
  <c r="AP46" i="24"/>
  <c r="AE208" i="24"/>
  <c r="AI208" i="24"/>
  <c r="X208" i="24"/>
  <c r="AA208" i="24" s="1"/>
  <c r="AB208" i="24" s="1"/>
  <c r="AC208" i="24" s="1"/>
  <c r="AE135" i="24"/>
  <c r="AI135" i="24"/>
  <c r="X135" i="24"/>
  <c r="AA135" i="24" s="1"/>
  <c r="AB135" i="24" s="1"/>
  <c r="AC135" i="24" s="1"/>
  <c r="U222" i="25"/>
  <c r="R200" i="25"/>
  <c r="S200" i="25"/>
  <c r="K200" i="25" s="1"/>
  <c r="Q200" i="25"/>
  <c r="BZ200" i="25"/>
  <c r="AO200" i="25"/>
  <c r="W54" i="24"/>
  <c r="V54" i="24"/>
  <c r="AE97" i="24"/>
  <c r="AI97" i="24"/>
  <c r="X97" i="24"/>
  <c r="AA97" i="24" s="1"/>
  <c r="AB97" i="24" s="1"/>
  <c r="AC97" i="24" s="1"/>
  <c r="U116" i="25"/>
  <c r="S242" i="25"/>
  <c r="K242" i="25" s="1"/>
  <c r="V242" i="25" s="1"/>
  <c r="R242" i="25"/>
  <c r="Q242" i="25"/>
  <c r="BZ242" i="25"/>
  <c r="AO242" i="25"/>
  <c r="U188" i="25"/>
  <c r="W35" i="24"/>
  <c r="Y35" i="24" s="1"/>
  <c r="R135" i="25"/>
  <c r="S135" i="25"/>
  <c r="K135" i="25" s="1"/>
  <c r="Q135" i="25"/>
  <c r="BZ135" i="25"/>
  <c r="AO135" i="25"/>
  <c r="R138" i="25"/>
  <c r="S138" i="25"/>
  <c r="K138" i="25" s="1"/>
  <c r="V138" i="25" s="1"/>
  <c r="Q138" i="25"/>
  <c r="BZ138" i="25"/>
  <c r="AO138" i="25"/>
  <c r="V220" i="24"/>
  <c r="W220" i="24"/>
  <c r="R42" i="25"/>
  <c r="S42" i="25"/>
  <c r="K42" i="25" s="1"/>
  <c r="Q42" i="25"/>
  <c r="AO42" i="25"/>
  <c r="BZ42" i="25"/>
  <c r="AD240" i="25"/>
  <c r="W240" i="25"/>
  <c r="Z240" i="25" s="1"/>
  <c r="AA240" i="25" s="1"/>
  <c r="AB240" i="25" s="1"/>
  <c r="AI240" i="25" s="1"/>
  <c r="U44" i="25"/>
  <c r="AD314" i="25"/>
  <c r="W314" i="25"/>
  <c r="Z314" i="25" s="1"/>
  <c r="AA314" i="25" s="1"/>
  <c r="AB314" i="25" s="1"/>
  <c r="AI314" i="25" s="1"/>
  <c r="W221" i="24"/>
  <c r="V221" i="24"/>
  <c r="AE137" i="24"/>
  <c r="AI137" i="24"/>
  <c r="X137" i="24"/>
  <c r="AA137" i="24" s="1"/>
  <c r="AB137" i="24" s="1"/>
  <c r="AC137" i="24" s="1"/>
  <c r="S45" i="25"/>
  <c r="K45" i="25" s="1"/>
  <c r="R45" i="25"/>
  <c r="Q45" i="25"/>
  <c r="AO45" i="25"/>
  <c r="BZ45" i="25"/>
  <c r="P183" i="24"/>
  <c r="Q183" i="24"/>
  <c r="AP183" i="24"/>
  <c r="W26" i="24"/>
  <c r="V26" i="24"/>
  <c r="AE59" i="24"/>
  <c r="AI59" i="24"/>
  <c r="X59" i="24"/>
  <c r="AA59" i="24" s="1"/>
  <c r="AB59" i="24" s="1"/>
  <c r="AC59" i="24" s="1"/>
  <c r="W196" i="24"/>
  <c r="V196" i="24"/>
  <c r="AE27" i="24"/>
  <c r="AI27" i="24"/>
  <c r="X27" i="24"/>
  <c r="AA27" i="24" s="1"/>
  <c r="AB27" i="24" s="1"/>
  <c r="AC27" i="24" s="1"/>
  <c r="W158" i="24"/>
  <c r="V158" i="24"/>
  <c r="Q259" i="24"/>
  <c r="P259" i="24"/>
  <c r="AP259" i="24"/>
  <c r="S76" i="25"/>
  <c r="K76" i="25" s="1"/>
  <c r="R76" i="25"/>
  <c r="Q76" i="25"/>
  <c r="BZ76" i="25"/>
  <c r="AO76" i="25"/>
  <c r="AE228" i="24"/>
  <c r="AI228" i="24"/>
  <c r="X228" i="24"/>
  <c r="AA228" i="24" s="1"/>
  <c r="AB228" i="24" s="1"/>
  <c r="AC228" i="24" s="1"/>
  <c r="S22" i="25"/>
  <c r="K22" i="25" s="1"/>
  <c r="V22" i="25" s="1"/>
  <c r="R22" i="25"/>
  <c r="Q22" i="25"/>
  <c r="BZ22" i="25"/>
  <c r="AO22" i="25"/>
  <c r="U40" i="25"/>
  <c r="AD192" i="25"/>
  <c r="V192" i="25"/>
  <c r="X192" i="25" s="1"/>
  <c r="W192" i="25"/>
  <c r="Z192" i="25" s="1"/>
  <c r="AA192" i="25" s="1"/>
  <c r="AB192" i="25" s="1"/>
  <c r="AI192" i="25" s="1"/>
  <c r="AD13" i="25"/>
  <c r="V13" i="25"/>
  <c r="X13" i="25" s="1"/>
  <c r="W13" i="25"/>
  <c r="Z13" i="25" s="1"/>
  <c r="AA13" i="25" s="1"/>
  <c r="AB13" i="25" s="1"/>
  <c r="AI13" i="25" s="1"/>
  <c r="AD199" i="25"/>
  <c r="W199" i="25"/>
  <c r="Z199" i="25" s="1"/>
  <c r="AA199" i="25" s="1"/>
  <c r="AB199" i="25" s="1"/>
  <c r="AI199" i="25" s="1"/>
  <c r="AE275" i="24"/>
  <c r="AI275" i="24"/>
  <c r="X275" i="24"/>
  <c r="AA275" i="24" s="1"/>
  <c r="AB275" i="24" s="1"/>
  <c r="AC275" i="24" s="1"/>
  <c r="V103" i="24"/>
  <c r="W103" i="24"/>
  <c r="R196" i="25"/>
  <c r="S196" i="25"/>
  <c r="K196" i="25" s="1"/>
  <c r="V196" i="25" s="1"/>
  <c r="Q196" i="25"/>
  <c r="BZ196" i="25"/>
  <c r="AO196" i="25"/>
  <c r="AE71" i="24"/>
  <c r="AI71" i="24"/>
  <c r="X71" i="24"/>
  <c r="AA71" i="24" s="1"/>
  <c r="AB71" i="24" s="1"/>
  <c r="AC71" i="24" s="1"/>
  <c r="P263" i="24"/>
  <c r="Q263" i="24"/>
  <c r="AP263" i="24"/>
  <c r="R115" i="25"/>
  <c r="S115" i="25"/>
  <c r="K115" i="25" s="1"/>
  <c r="Q115" i="25"/>
  <c r="AO115" i="25"/>
  <c r="BZ115" i="25"/>
  <c r="AE194" i="24"/>
  <c r="AI194" i="24"/>
  <c r="X194" i="24"/>
  <c r="AA194" i="24" s="1"/>
  <c r="AB194" i="24" s="1"/>
  <c r="AC194" i="24" s="1"/>
  <c r="V255" i="24"/>
  <c r="W255" i="24"/>
  <c r="V93" i="24"/>
  <c r="W93" i="24"/>
  <c r="S20" i="25"/>
  <c r="K20" i="25" s="1"/>
  <c r="R20" i="25"/>
  <c r="Q20" i="25"/>
  <c r="AO20" i="25"/>
  <c r="BZ20" i="25"/>
  <c r="U298" i="25"/>
  <c r="R299" i="25"/>
  <c r="S299" i="25"/>
  <c r="K299" i="25" s="1"/>
  <c r="Q299" i="25"/>
  <c r="AO299" i="25"/>
  <c r="BZ299" i="25"/>
  <c r="AG44" i="24"/>
  <c r="AF44" i="24"/>
  <c r="AD82" i="25"/>
  <c r="W82" i="25"/>
  <c r="Z82" i="25" s="1"/>
  <c r="AA82" i="25" s="1"/>
  <c r="AB82" i="25" s="1"/>
  <c r="AI82" i="25" s="1"/>
  <c r="V34" i="24"/>
  <c r="W34" i="24"/>
  <c r="AE12" i="24"/>
  <c r="AI12" i="24"/>
  <c r="X12" i="24"/>
  <c r="AA12" i="24" s="1"/>
  <c r="AB12" i="24" s="1"/>
  <c r="AC12" i="24" s="1"/>
  <c r="R51" i="25"/>
  <c r="S51" i="25"/>
  <c r="K51" i="25" s="1"/>
  <c r="Q51" i="25"/>
  <c r="AO51" i="25"/>
  <c r="BZ51" i="25"/>
  <c r="U18" i="25"/>
  <c r="S124" i="25"/>
  <c r="K124" i="25" s="1"/>
  <c r="R124" i="25"/>
  <c r="Q124" i="25"/>
  <c r="BZ124" i="25"/>
  <c r="AO124" i="25"/>
  <c r="U66" i="25"/>
  <c r="R142" i="25"/>
  <c r="S142" i="25"/>
  <c r="K142" i="25" s="1"/>
  <c r="Q142" i="25"/>
  <c r="AO142" i="25"/>
  <c r="BZ142" i="25"/>
  <c r="S236" i="25"/>
  <c r="K236" i="25" s="1"/>
  <c r="R236" i="25"/>
  <c r="Q236" i="25"/>
  <c r="AO236" i="25"/>
  <c r="BZ236" i="25"/>
  <c r="AE242" i="24"/>
  <c r="AI242" i="24"/>
  <c r="X242" i="24"/>
  <c r="AA242" i="24" s="1"/>
  <c r="AB242" i="24" s="1"/>
  <c r="AC242" i="24" s="1"/>
  <c r="P89" i="24"/>
  <c r="Q89" i="24"/>
  <c r="R89" i="24" s="1"/>
  <c r="AP89" i="24"/>
  <c r="W150" i="24"/>
  <c r="Y150" i="24" s="1"/>
  <c r="R150" i="25"/>
  <c r="S150" i="25"/>
  <c r="K150" i="25" s="1"/>
  <c r="Q150" i="25"/>
  <c r="AO150" i="25"/>
  <c r="BZ150" i="25"/>
  <c r="R304" i="25"/>
  <c r="S304" i="25"/>
  <c r="K304" i="25" s="1"/>
  <c r="Q304" i="25"/>
  <c r="AO304" i="25"/>
  <c r="BZ304" i="25"/>
  <c r="S162" i="25"/>
  <c r="K162" i="25" s="1"/>
  <c r="R162" i="25"/>
  <c r="Q162" i="25"/>
  <c r="AO162" i="25"/>
  <c r="BZ162" i="25"/>
  <c r="AD267" i="25"/>
  <c r="W267" i="25"/>
  <c r="Z267" i="25" s="1"/>
  <c r="AA267" i="25" s="1"/>
  <c r="AB267" i="25" s="1"/>
  <c r="AI267" i="25" s="1"/>
  <c r="AD246" i="25"/>
  <c r="W246" i="25"/>
  <c r="Z246" i="25" s="1"/>
  <c r="AA246" i="25" s="1"/>
  <c r="AB246" i="25" s="1"/>
  <c r="AI246" i="25" s="1"/>
  <c r="W102" i="24"/>
  <c r="V102" i="24"/>
  <c r="W117" i="24"/>
  <c r="V117" i="24"/>
  <c r="W293" i="24"/>
  <c r="V293" i="24"/>
  <c r="U56" i="25"/>
  <c r="V187" i="24"/>
  <c r="W187" i="24"/>
  <c r="V301" i="24"/>
  <c r="W301" i="24"/>
  <c r="U251" i="25"/>
  <c r="P194" i="24"/>
  <c r="Q194" i="24"/>
  <c r="AP194" i="24"/>
  <c r="S41" i="25"/>
  <c r="K41" i="25" s="1"/>
  <c r="V41" i="25" s="1"/>
  <c r="R41" i="25"/>
  <c r="Q41" i="25"/>
  <c r="AO41" i="25"/>
  <c r="BZ41" i="25"/>
  <c r="P203" i="24"/>
  <c r="Q203" i="24"/>
  <c r="AP203" i="24"/>
  <c r="U281" i="25"/>
  <c r="AE312" i="24"/>
  <c r="AI312" i="24"/>
  <c r="X312" i="24"/>
  <c r="AA312" i="24" s="1"/>
  <c r="AB312" i="24" s="1"/>
  <c r="AC312" i="24" s="1"/>
  <c r="U249" i="25"/>
  <c r="AE310" i="24"/>
  <c r="AI310" i="24"/>
  <c r="X310" i="24"/>
  <c r="AA310" i="24" s="1"/>
  <c r="AB310" i="24" s="1"/>
  <c r="AC310" i="24" s="1"/>
  <c r="S134" i="25"/>
  <c r="K134" i="25" s="1"/>
  <c r="R134" i="25"/>
  <c r="Q134" i="25"/>
  <c r="BZ134" i="25"/>
  <c r="AO134" i="25"/>
  <c r="AD147" i="25"/>
  <c r="W147" i="25"/>
  <c r="Z147" i="25" s="1"/>
  <c r="AA147" i="25" s="1"/>
  <c r="AB147" i="25" s="1"/>
  <c r="AI147" i="25" s="1"/>
  <c r="AE37" i="24"/>
  <c r="AI37" i="24"/>
  <c r="X37" i="24"/>
  <c r="AA37" i="24" s="1"/>
  <c r="AB37" i="24" s="1"/>
  <c r="AC37" i="24" s="1"/>
  <c r="V71" i="25"/>
  <c r="X71" i="25" s="1"/>
  <c r="V167" i="25"/>
  <c r="X167" i="25" s="1"/>
  <c r="V304" i="24"/>
  <c r="W304" i="24"/>
  <c r="AE272" i="24"/>
  <c r="AI272" i="24"/>
  <c r="X272" i="24"/>
  <c r="AA272" i="24" s="1"/>
  <c r="AB272" i="24" s="1"/>
  <c r="AC272" i="24" s="1"/>
  <c r="R39" i="25"/>
  <c r="S39" i="25"/>
  <c r="K39" i="25" s="1"/>
  <c r="Q39" i="25"/>
  <c r="AO39" i="25"/>
  <c r="BZ39" i="25"/>
  <c r="AG233" i="24"/>
  <c r="AF233" i="24"/>
  <c r="AJ132" i="24"/>
  <c r="S205" i="25"/>
  <c r="K205" i="25" s="1"/>
  <c r="V205" i="25" s="1"/>
  <c r="R205" i="25"/>
  <c r="Q205" i="25"/>
  <c r="AO205" i="25"/>
  <c r="BZ205" i="25"/>
  <c r="U25" i="25"/>
  <c r="AE95" i="24"/>
  <c r="AI95" i="24"/>
  <c r="X95" i="24"/>
  <c r="AA95" i="24" s="1"/>
  <c r="AB95" i="24" s="1"/>
  <c r="AC95" i="24" s="1"/>
  <c r="R102" i="25"/>
  <c r="S102" i="25"/>
  <c r="K102" i="25" s="1"/>
  <c r="Q102" i="25"/>
  <c r="AO102" i="25"/>
  <c r="BZ102" i="25"/>
  <c r="AE226" i="24"/>
  <c r="AI226" i="24"/>
  <c r="X226" i="24"/>
  <c r="AA226" i="24" s="1"/>
  <c r="AB226" i="24" s="1"/>
  <c r="AC226" i="24" s="1"/>
  <c r="S216" i="25"/>
  <c r="K216" i="25" s="1"/>
  <c r="R216" i="25"/>
  <c r="AO216" i="25"/>
  <c r="Q216" i="25"/>
  <c r="BZ216" i="25"/>
  <c r="S181" i="25"/>
  <c r="K181" i="25" s="1"/>
  <c r="R181" i="25"/>
  <c r="Q181" i="25"/>
  <c r="BZ181" i="25"/>
  <c r="AO181" i="25"/>
  <c r="W90" i="24"/>
  <c r="Y90" i="24" s="1"/>
  <c r="S81" i="25"/>
  <c r="K81" i="25" s="1"/>
  <c r="R81" i="25"/>
  <c r="Q81" i="25"/>
  <c r="AO81" i="25"/>
  <c r="BZ81" i="25"/>
  <c r="AE138" i="24"/>
  <c r="AI138" i="24"/>
  <c r="X138" i="24"/>
  <c r="AA138" i="24" s="1"/>
  <c r="AB138" i="24" s="1"/>
  <c r="AC138" i="24" s="1"/>
  <c r="AE201" i="24"/>
  <c r="AI201" i="24"/>
  <c r="X201" i="24"/>
  <c r="AA201" i="24" s="1"/>
  <c r="AB201" i="24" s="1"/>
  <c r="AC201" i="24" s="1"/>
  <c r="S157" i="25"/>
  <c r="K157" i="25" s="1"/>
  <c r="R157" i="25"/>
  <c r="Q157" i="25"/>
  <c r="BZ157" i="25"/>
  <c r="AO157" i="25"/>
  <c r="AE53" i="24"/>
  <c r="AI53" i="24"/>
  <c r="X53" i="24"/>
  <c r="AA53" i="24" s="1"/>
  <c r="AB53" i="24" s="1"/>
  <c r="AC53" i="24" s="1"/>
  <c r="AE176" i="24"/>
  <c r="AI176" i="24"/>
  <c r="X176" i="24"/>
  <c r="AA176" i="24" s="1"/>
  <c r="AB176" i="24" s="1"/>
  <c r="AC176" i="24" s="1"/>
  <c r="S145" i="25"/>
  <c r="K145" i="25" s="1"/>
  <c r="R145" i="25"/>
  <c r="Q145" i="25"/>
  <c r="AO145" i="25"/>
  <c r="BZ145" i="25"/>
  <c r="AE112" i="24"/>
  <c r="AI112" i="24"/>
  <c r="X112" i="24"/>
  <c r="AA112" i="24" s="1"/>
  <c r="AB112" i="24" s="1"/>
  <c r="AC112" i="24" s="1"/>
  <c r="AJ264" i="24"/>
  <c r="V146" i="24"/>
  <c r="W146" i="24"/>
  <c r="AE16" i="24"/>
  <c r="AI16" i="24"/>
  <c r="X16" i="24"/>
  <c r="AA16" i="24" s="1"/>
  <c r="AB16" i="24" s="1"/>
  <c r="AC16" i="24" s="1"/>
  <c r="W71" i="24"/>
  <c r="V71" i="24"/>
  <c r="V153" i="24"/>
  <c r="W153" i="24"/>
  <c r="V242" i="24"/>
  <c r="W242" i="24"/>
  <c r="Q122" i="24"/>
  <c r="P122" i="24"/>
  <c r="AP122" i="24"/>
  <c r="R269" i="25"/>
  <c r="S269" i="25"/>
  <c r="K269" i="25" s="1"/>
  <c r="Q269" i="25"/>
  <c r="AO269" i="25"/>
  <c r="BZ269" i="25"/>
  <c r="AE63" i="24"/>
  <c r="AI63" i="24"/>
  <c r="X63" i="24"/>
  <c r="AA63" i="24" s="1"/>
  <c r="AB63" i="24" s="1"/>
  <c r="AC63" i="24" s="1"/>
  <c r="U295" i="25"/>
  <c r="AD89" i="25"/>
  <c r="W89" i="25"/>
  <c r="Z89" i="25" s="1"/>
  <c r="AA89" i="25" s="1"/>
  <c r="AB89" i="25" s="1"/>
  <c r="AI89" i="25" s="1"/>
  <c r="S111" i="25"/>
  <c r="K111" i="25" s="1"/>
  <c r="R111" i="25"/>
  <c r="Q111" i="25"/>
  <c r="AO111" i="25"/>
  <c r="BZ111" i="25"/>
  <c r="U220" i="25"/>
  <c r="AE89" i="24"/>
  <c r="AI89" i="24"/>
  <c r="X89" i="24"/>
  <c r="AA89" i="24" s="1"/>
  <c r="AB89" i="24" s="1"/>
  <c r="AC89" i="24" s="1"/>
  <c r="AE198" i="24"/>
  <c r="AI198" i="24"/>
  <c r="X198" i="24"/>
  <c r="AA198" i="24" s="1"/>
  <c r="AB198" i="24" s="1"/>
  <c r="AC198" i="24" s="1"/>
  <c r="U260" i="25"/>
  <c r="AE223" i="24"/>
  <c r="AI223" i="24"/>
  <c r="X223" i="24"/>
  <c r="AA223" i="24" s="1"/>
  <c r="AB223" i="24" s="1"/>
  <c r="AC223" i="24" s="1"/>
  <c r="W127" i="24"/>
  <c r="Y127" i="24" s="1"/>
  <c r="AG45" i="24"/>
  <c r="AF45" i="24"/>
  <c r="P139" i="24"/>
  <c r="Q139" i="24"/>
  <c r="AP139" i="24"/>
  <c r="V63" i="24"/>
  <c r="W63" i="24"/>
  <c r="V240" i="24"/>
  <c r="W240" i="24"/>
  <c r="U78" i="25"/>
  <c r="W27" i="24"/>
  <c r="Y27" i="24" s="1"/>
  <c r="R121" i="25"/>
  <c r="S121" i="25"/>
  <c r="K121" i="25" s="1"/>
  <c r="Q121" i="25"/>
  <c r="BZ121" i="25"/>
  <c r="AO121" i="25"/>
  <c r="S168" i="25"/>
  <c r="K168" i="25" s="1"/>
  <c r="R168" i="25"/>
  <c r="Q168" i="25"/>
  <c r="AO168" i="25"/>
  <c r="BZ168" i="25"/>
  <c r="AE186" i="24"/>
  <c r="AI186" i="24"/>
  <c r="X186" i="24"/>
  <c r="AA186" i="24" s="1"/>
  <c r="AB186" i="24" s="1"/>
  <c r="AC186" i="24" s="1"/>
  <c r="U239" i="25"/>
  <c r="AE85" i="24"/>
  <c r="AI85" i="24"/>
  <c r="X85" i="24"/>
  <c r="AA85" i="24" s="1"/>
  <c r="AB85" i="24" s="1"/>
  <c r="AC85" i="24" s="1"/>
  <c r="W15" i="24"/>
  <c r="Y15" i="24" s="1"/>
  <c r="R222" i="25"/>
  <c r="S222" i="25"/>
  <c r="K222" i="25" s="1"/>
  <c r="Q222" i="25"/>
  <c r="AO222" i="25"/>
  <c r="BZ222" i="25"/>
  <c r="AE177" i="24"/>
  <c r="AI177" i="24"/>
  <c r="X177" i="24"/>
  <c r="AA177" i="24" s="1"/>
  <c r="AB177" i="24" s="1"/>
  <c r="AC177" i="24" s="1"/>
  <c r="P54" i="24"/>
  <c r="Q54" i="24"/>
  <c r="R54" i="24" s="1"/>
  <c r="AP54" i="24"/>
  <c r="AD262" i="25"/>
  <c r="W262" i="25"/>
  <c r="Z262" i="25" s="1"/>
  <c r="AA262" i="25" s="1"/>
  <c r="AB262" i="25" s="1"/>
  <c r="AI262" i="25" s="1"/>
  <c r="AE124" i="24"/>
  <c r="AI124" i="24"/>
  <c r="X124" i="24"/>
  <c r="AA124" i="24" s="1"/>
  <c r="AB124" i="24" s="1"/>
  <c r="AC124" i="24" s="1"/>
  <c r="S116" i="25"/>
  <c r="K116" i="25" s="1"/>
  <c r="V116" i="25" s="1"/>
  <c r="R116" i="25"/>
  <c r="Q116" i="25"/>
  <c r="AO116" i="25"/>
  <c r="BZ116" i="25"/>
  <c r="S253" i="25"/>
  <c r="K253" i="25" s="1"/>
  <c r="R253" i="25"/>
  <c r="Q253" i="25"/>
  <c r="BZ253" i="25"/>
  <c r="AO253" i="25"/>
  <c r="V246" i="25"/>
  <c r="X246" i="25" s="1"/>
  <c r="AE96" i="24"/>
  <c r="AI96" i="24"/>
  <c r="X96" i="24"/>
  <c r="AA96" i="24" s="1"/>
  <c r="AB96" i="24" s="1"/>
  <c r="AC96" i="24" s="1"/>
  <c r="R188" i="25"/>
  <c r="S188" i="25"/>
  <c r="K188" i="25" s="1"/>
  <c r="V188" i="25" s="1"/>
  <c r="Q188" i="25"/>
  <c r="AO188" i="25"/>
  <c r="BZ188" i="25"/>
  <c r="AE204" i="24"/>
  <c r="AI204" i="24"/>
  <c r="X204" i="24"/>
  <c r="AA204" i="24" s="1"/>
  <c r="AB204" i="24" s="1"/>
  <c r="AC204" i="24" s="1"/>
  <c r="Q220" i="24"/>
  <c r="P220" i="24"/>
  <c r="AP220" i="24"/>
  <c r="W280" i="25" l="1"/>
  <c r="Z280" i="25" s="1"/>
  <c r="AA280" i="25" s="1"/>
  <c r="AB280" i="25" s="1"/>
  <c r="AI280" i="25" s="1"/>
  <c r="X281" i="25"/>
  <c r="X251" i="25"/>
  <c r="Y124" i="24"/>
  <c r="Y221" i="24"/>
  <c r="Y243" i="24"/>
  <c r="Y141" i="24"/>
  <c r="Y291" i="24"/>
  <c r="Y177" i="24"/>
  <c r="X260" i="25"/>
  <c r="X105" i="25"/>
  <c r="W11" i="25"/>
  <c r="Z11" i="25" s="1"/>
  <c r="AA11" i="25" s="1"/>
  <c r="AB11" i="25" s="1"/>
  <c r="AI11" i="25" s="1"/>
  <c r="X78" i="25"/>
  <c r="X53" i="25"/>
  <c r="X18" i="25"/>
  <c r="X118" i="25"/>
  <c r="X249" i="25"/>
  <c r="X112" i="25"/>
  <c r="Y185" i="24"/>
  <c r="Y184" i="24"/>
  <c r="Y161" i="24"/>
  <c r="Y153" i="24"/>
  <c r="Y197" i="24"/>
  <c r="Y136" i="24"/>
  <c r="X234" i="25"/>
  <c r="Y280" i="24"/>
  <c r="Y156" i="24"/>
  <c r="Y297" i="24"/>
  <c r="X25" i="25"/>
  <c r="Y293" i="24"/>
  <c r="X183" i="25"/>
  <c r="Y174" i="24"/>
  <c r="Y282" i="24"/>
  <c r="Y179" i="24"/>
  <c r="Y288" i="24"/>
  <c r="Y145" i="24"/>
  <c r="Y154" i="24"/>
  <c r="Y245" i="24"/>
  <c r="Y256" i="24"/>
  <c r="X220" i="25"/>
  <c r="X169" i="25"/>
  <c r="X40" i="25"/>
  <c r="Y159" i="24"/>
  <c r="Y315" i="24"/>
  <c r="Y235" i="24"/>
  <c r="Y209" i="24"/>
  <c r="Y309" i="24"/>
  <c r="Y204" i="24"/>
  <c r="Y126" i="24"/>
  <c r="Y123" i="24"/>
  <c r="Y308" i="24"/>
  <c r="Y111" i="24"/>
  <c r="Y228" i="24"/>
  <c r="Y203" i="24"/>
  <c r="Y259" i="24"/>
  <c r="Y301" i="24"/>
  <c r="Y299" i="24"/>
  <c r="Y255" i="24"/>
  <c r="Y263" i="24"/>
  <c r="Y36" i="24"/>
  <c r="Y261" i="24"/>
  <c r="Y149" i="24"/>
  <c r="X239" i="25"/>
  <c r="X103" i="25"/>
  <c r="X44" i="25"/>
  <c r="X56" i="25"/>
  <c r="X298" i="25"/>
  <c r="X295" i="25"/>
  <c r="Y187" i="24"/>
  <c r="Y194" i="24"/>
  <c r="Y222" i="24"/>
  <c r="X55" i="25"/>
  <c r="Y151" i="24"/>
  <c r="Y144" i="24"/>
  <c r="Y295" i="24"/>
  <c r="Y158" i="24"/>
  <c r="Y143" i="24"/>
  <c r="Y183" i="24"/>
  <c r="Y266" i="24"/>
  <c r="Y135" i="24"/>
  <c r="X38" i="25"/>
  <c r="Y247" i="24"/>
  <c r="Y115" i="24"/>
  <c r="Y275" i="24"/>
  <c r="Y164" i="24"/>
  <c r="Y316" i="24"/>
  <c r="Y206" i="24"/>
  <c r="Y168" i="24"/>
  <c r="Y131" i="24"/>
  <c r="Y277" i="24"/>
  <c r="Y242" i="24"/>
  <c r="Y300" i="24"/>
  <c r="Y171" i="24"/>
  <c r="Y170" i="24"/>
  <c r="Y244" i="24"/>
  <c r="Y146" i="24"/>
  <c r="Y304" i="24"/>
  <c r="Y117" i="24"/>
  <c r="X66" i="25"/>
  <c r="X207" i="25"/>
  <c r="Y250" i="24"/>
  <c r="Y262" i="24"/>
  <c r="Y241" i="24"/>
  <c r="Y148" i="24"/>
  <c r="Y260" i="24"/>
  <c r="Y192" i="24"/>
  <c r="Y114" i="24"/>
  <c r="Y195" i="24"/>
  <c r="Y220" i="24"/>
  <c r="Y139" i="24"/>
  <c r="Y122" i="24"/>
  <c r="X47" i="25"/>
  <c r="Y229" i="24"/>
  <c r="Y283" i="24"/>
  <c r="Y138" i="24"/>
  <c r="Y113" i="24"/>
  <c r="Y140" i="24"/>
  <c r="Y298" i="24"/>
  <c r="Y240" i="24"/>
  <c r="Y196" i="24"/>
  <c r="Y112" i="24"/>
  <c r="Y186" i="24"/>
  <c r="Y239" i="24"/>
  <c r="Y210" i="24"/>
  <c r="Y232" i="24"/>
  <c r="Y176" i="24"/>
  <c r="Y249" i="24"/>
  <c r="X272" i="25"/>
  <c r="X140" i="25"/>
  <c r="X10" i="25"/>
  <c r="X266" i="25"/>
  <c r="X223" i="25"/>
  <c r="X138" i="25"/>
  <c r="X90" i="25"/>
  <c r="X307" i="25"/>
  <c r="X209" i="25"/>
  <c r="X101" i="25"/>
  <c r="X116" i="25"/>
  <c r="X74" i="25"/>
  <c r="X26" i="25"/>
  <c r="X225" i="25"/>
  <c r="X203" i="25"/>
  <c r="X123" i="25"/>
  <c r="X139" i="25"/>
  <c r="X99" i="25"/>
  <c r="X288" i="25"/>
  <c r="X196" i="25"/>
  <c r="X205" i="25"/>
  <c r="X217" i="25"/>
  <c r="X73" i="25"/>
  <c r="X165" i="25"/>
  <c r="X160" i="25"/>
  <c r="X175" i="25"/>
  <c r="X231" i="25"/>
  <c r="X122" i="25"/>
  <c r="X188" i="25"/>
  <c r="X84" i="25"/>
  <c r="X202" i="25"/>
  <c r="X171" i="25"/>
  <c r="X194" i="25"/>
  <c r="X197" i="25"/>
  <c r="X221" i="25"/>
  <c r="X27" i="25"/>
  <c r="X228" i="25"/>
  <c r="X41" i="25"/>
  <c r="X22" i="25"/>
  <c r="X242" i="25"/>
  <c r="X208" i="25"/>
  <c r="X218" i="25"/>
  <c r="X79" i="25"/>
  <c r="X302" i="25"/>
  <c r="X303" i="25"/>
  <c r="X159" i="25"/>
  <c r="X287" i="25"/>
  <c r="Y78" i="24"/>
  <c r="Y33" i="24"/>
  <c r="Y102" i="24"/>
  <c r="Y26" i="24"/>
  <c r="Y89" i="24"/>
  <c r="Y93" i="24"/>
  <c r="Y65" i="24"/>
  <c r="Y28" i="24"/>
  <c r="Y31" i="24"/>
  <c r="Y69" i="24"/>
  <c r="Y34" i="24"/>
  <c r="Y95" i="24"/>
  <c r="Y9" i="24"/>
  <c r="Y58" i="24"/>
  <c r="Y64" i="24"/>
  <c r="Y54" i="24"/>
  <c r="Y38" i="24"/>
  <c r="Y29" i="24"/>
  <c r="Y104" i="24"/>
  <c r="Y94" i="24"/>
  <c r="Y63" i="24"/>
  <c r="Y73" i="24"/>
  <c r="Y51" i="24"/>
  <c r="Y71" i="24"/>
  <c r="Y80" i="24"/>
  <c r="Y23" i="24"/>
  <c r="Y17" i="24"/>
  <c r="Y100" i="24"/>
  <c r="Y96" i="24"/>
  <c r="Y103" i="24"/>
  <c r="Y39" i="24"/>
  <c r="Y46" i="24"/>
  <c r="Y85" i="24"/>
  <c r="Y57" i="24"/>
  <c r="Y42" i="24"/>
  <c r="Y75" i="24"/>
  <c r="Y59" i="24"/>
  <c r="Y92" i="24"/>
  <c r="Y98" i="24"/>
  <c r="Y8" i="24"/>
  <c r="Y37" i="24"/>
  <c r="AD11" i="25"/>
  <c r="AE11" i="25" s="1"/>
  <c r="V155" i="25"/>
  <c r="X155" i="25" s="1"/>
  <c r="AJ194" i="24"/>
  <c r="AT194" i="24" s="1"/>
  <c r="AJ208" i="24"/>
  <c r="AT208" i="24" s="1"/>
  <c r="AJ205" i="24"/>
  <c r="AT205" i="24" s="1"/>
  <c r="AJ186" i="24"/>
  <c r="AT186" i="24" s="1"/>
  <c r="AJ192" i="24"/>
  <c r="AT192" i="24" s="1"/>
  <c r="AJ209" i="24"/>
  <c r="AT209" i="24" s="1"/>
  <c r="AJ201" i="24"/>
  <c r="AT201" i="24" s="1"/>
  <c r="AJ195" i="24"/>
  <c r="AT195" i="24" s="1"/>
  <c r="AJ189" i="24"/>
  <c r="AT189" i="24" s="1"/>
  <c r="AJ207" i="24"/>
  <c r="AT207" i="24" s="1"/>
  <c r="AJ202" i="24"/>
  <c r="AT202" i="24" s="1"/>
  <c r="AJ199" i="24"/>
  <c r="AD155" i="25"/>
  <c r="AF155" i="25" s="1"/>
  <c r="AV45" i="24"/>
  <c r="AV41" i="24"/>
  <c r="AT21" i="24"/>
  <c r="BA21" i="24" s="1"/>
  <c r="AV101" i="24"/>
  <c r="AV55" i="24"/>
  <c r="AT44" i="24"/>
  <c r="BA44" i="24" s="1"/>
  <c r="AV7" i="24"/>
  <c r="AJ204" i="24"/>
  <c r="AT204" i="24" s="1"/>
  <c r="AJ198" i="24"/>
  <c r="AT198" i="24" s="1"/>
  <c r="AJ203" i="24"/>
  <c r="AT203" i="24" s="1"/>
  <c r="AJ196" i="24"/>
  <c r="AT196" i="24" s="1"/>
  <c r="AJ206" i="24"/>
  <c r="AT206" i="24" s="1"/>
  <c r="AJ200" i="24"/>
  <c r="AT200" i="24" s="1"/>
  <c r="AJ185" i="24"/>
  <c r="AT185" i="24" s="1"/>
  <c r="AJ197" i="24"/>
  <c r="AT197" i="24" s="1"/>
  <c r="AJ188" i="24"/>
  <c r="AT188" i="24" s="1"/>
  <c r="AJ210" i="24"/>
  <c r="AT210" i="24" s="1"/>
  <c r="AJ187" i="24"/>
  <c r="AT187" i="24" s="1"/>
  <c r="AJ193" i="24"/>
  <c r="AT193" i="24" s="1"/>
  <c r="AJ184" i="24"/>
  <c r="AT184" i="24" s="1"/>
  <c r="V96" i="25"/>
  <c r="X96" i="25" s="1"/>
  <c r="W96" i="25"/>
  <c r="Z96" i="25" s="1"/>
  <c r="AA96" i="25" s="1"/>
  <c r="AB96" i="25" s="1"/>
  <c r="AI96" i="25" s="1"/>
  <c r="AS96" i="25" s="1"/>
  <c r="AJ178" i="24"/>
  <c r="AT178" i="24" s="1"/>
  <c r="AJ174" i="24"/>
  <c r="AT174" i="24" s="1"/>
  <c r="AJ173" i="24"/>
  <c r="AT173" i="24" s="1"/>
  <c r="AJ181" i="24"/>
  <c r="AT181" i="24" s="1"/>
  <c r="AJ171" i="24"/>
  <c r="AT171" i="24" s="1"/>
  <c r="AJ175" i="24"/>
  <c r="AT175" i="24" s="1"/>
  <c r="AJ180" i="24"/>
  <c r="AT180" i="24" s="1"/>
  <c r="AJ177" i="24"/>
  <c r="AT177" i="24" s="1"/>
  <c r="AJ103" i="24"/>
  <c r="AJ105" i="24"/>
  <c r="AJ96" i="24"/>
  <c r="AJ94" i="24"/>
  <c r="AJ99" i="24"/>
  <c r="W258" i="25"/>
  <c r="Z258" i="25" s="1"/>
  <c r="AA258" i="25" s="1"/>
  <c r="AB258" i="25" s="1"/>
  <c r="AI258" i="25" s="1"/>
  <c r="AS258" i="25" s="1"/>
  <c r="AD258" i="25"/>
  <c r="AE258" i="25" s="1"/>
  <c r="AV44" i="24"/>
  <c r="AF143" i="25"/>
  <c r="AM143" i="25" s="1"/>
  <c r="AJ170" i="24"/>
  <c r="AT170" i="24" s="1"/>
  <c r="AJ161" i="24"/>
  <c r="AT161" i="24" s="1"/>
  <c r="AJ85" i="24"/>
  <c r="AJ89" i="24"/>
  <c r="AJ165" i="24"/>
  <c r="AT165" i="24" s="1"/>
  <c r="W154" i="25"/>
  <c r="Z154" i="25" s="1"/>
  <c r="AA154" i="25" s="1"/>
  <c r="AB154" i="25" s="1"/>
  <c r="AI154" i="25" s="1"/>
  <c r="AS154" i="25" s="1"/>
  <c r="AD154" i="25"/>
  <c r="AJ176" i="24"/>
  <c r="AT176" i="24" s="1"/>
  <c r="AJ91" i="24"/>
  <c r="AJ158" i="24"/>
  <c r="AT158" i="24" s="1"/>
  <c r="AJ168" i="24"/>
  <c r="AT168" i="24" s="1"/>
  <c r="AT101" i="24"/>
  <c r="BA101" i="24" s="1"/>
  <c r="AJ163" i="24"/>
  <c r="AT163" i="24" s="1"/>
  <c r="AJ169" i="24"/>
  <c r="AT169" i="24" s="1"/>
  <c r="AJ167" i="24"/>
  <c r="AT167" i="24" s="1"/>
  <c r="AJ182" i="24"/>
  <c r="AT182" i="24" s="1"/>
  <c r="AJ183" i="24"/>
  <c r="AT183" i="24" s="1"/>
  <c r="AJ172" i="24"/>
  <c r="AT172" i="24" s="1"/>
  <c r="AJ164" i="24"/>
  <c r="AT164" i="24" s="1"/>
  <c r="AJ179" i="24"/>
  <c r="AT179" i="24" s="1"/>
  <c r="AD189" i="25"/>
  <c r="AF189" i="25" s="1"/>
  <c r="AT41" i="24"/>
  <c r="BA41" i="24" s="1"/>
  <c r="AJ69" i="24"/>
  <c r="AJ66" i="24"/>
  <c r="W97" i="25"/>
  <c r="Z97" i="25" s="1"/>
  <c r="AA97" i="25" s="1"/>
  <c r="AB97" i="25" s="1"/>
  <c r="AI97" i="25" s="1"/>
  <c r="AS97" i="25" s="1"/>
  <c r="AD97" i="25"/>
  <c r="AE97" i="25" s="1"/>
  <c r="AJ75" i="24"/>
  <c r="AJ93" i="24"/>
  <c r="AJ95" i="24"/>
  <c r="AJ84" i="24"/>
  <c r="AJ62" i="24"/>
  <c r="AJ157" i="24"/>
  <c r="AT157" i="24" s="1"/>
  <c r="AJ102" i="24"/>
  <c r="AJ90" i="24"/>
  <c r="AJ97" i="24"/>
  <c r="AJ74" i="24"/>
  <c r="AT7" i="24"/>
  <c r="BA7" i="24" s="1"/>
  <c r="AJ100" i="24"/>
  <c r="AJ98" i="24"/>
  <c r="AJ104" i="24"/>
  <c r="AJ81" i="24"/>
  <c r="AJ67" i="24"/>
  <c r="AT67" i="24" s="1"/>
  <c r="AJ79" i="24"/>
  <c r="AJ73" i="24"/>
  <c r="AJ92" i="24"/>
  <c r="AJ80" i="24"/>
  <c r="AJ86" i="24"/>
  <c r="AJ65" i="24"/>
  <c r="AJ70" i="24"/>
  <c r="AJ87" i="24"/>
  <c r="AJ88" i="24"/>
  <c r="AJ82" i="24"/>
  <c r="AJ68" i="24"/>
  <c r="AJ83" i="24"/>
  <c r="AJ72" i="24"/>
  <c r="AJ316" i="24"/>
  <c r="AT316" i="24" s="1"/>
  <c r="AT55" i="24"/>
  <c r="BA55" i="24" s="1"/>
  <c r="W179" i="25"/>
  <c r="Z179" i="25" s="1"/>
  <c r="AA179" i="25" s="1"/>
  <c r="AB179" i="25" s="1"/>
  <c r="AI179" i="25" s="1"/>
  <c r="AS179" i="25" s="1"/>
  <c r="AD179" i="25"/>
  <c r="AE179" i="25" s="1"/>
  <c r="V29" i="25"/>
  <c r="X29" i="25" s="1"/>
  <c r="W29" i="25"/>
  <c r="Z29" i="25" s="1"/>
  <c r="AA29" i="25" s="1"/>
  <c r="AB29" i="25" s="1"/>
  <c r="AI29" i="25" s="1"/>
  <c r="AS29" i="25" s="1"/>
  <c r="V28" i="25"/>
  <c r="X28" i="25" s="1"/>
  <c r="W291" i="25"/>
  <c r="Z291" i="25" s="1"/>
  <c r="AA291" i="25" s="1"/>
  <c r="AB291" i="25" s="1"/>
  <c r="AI291" i="25" s="1"/>
  <c r="AS291" i="25" s="1"/>
  <c r="W28" i="25"/>
  <c r="Z28" i="25" s="1"/>
  <c r="AA28" i="25" s="1"/>
  <c r="AB28" i="25" s="1"/>
  <c r="AI28" i="25" s="1"/>
  <c r="AS28" i="25" s="1"/>
  <c r="AD291" i="25"/>
  <c r="AE291" i="25" s="1"/>
  <c r="V265" i="25"/>
  <c r="X265" i="25" s="1"/>
  <c r="W265" i="25"/>
  <c r="Z265" i="25" s="1"/>
  <c r="AA265" i="25" s="1"/>
  <c r="AB265" i="25" s="1"/>
  <c r="AI265" i="25" s="1"/>
  <c r="AS265" i="25" s="1"/>
  <c r="AT45" i="24"/>
  <c r="BA45" i="24" s="1"/>
  <c r="AJ314" i="24"/>
  <c r="AT314" i="24" s="1"/>
  <c r="AV21" i="24"/>
  <c r="V189" i="25"/>
  <c r="X189" i="25" s="1"/>
  <c r="V104" i="25"/>
  <c r="X104" i="25" s="1"/>
  <c r="AD104" i="25"/>
  <c r="AF104" i="25" s="1"/>
  <c r="AJ311" i="24"/>
  <c r="AT311" i="24" s="1"/>
  <c r="AJ309" i="24"/>
  <c r="AT309" i="24" s="1"/>
  <c r="AJ307" i="24"/>
  <c r="AT307" i="24" s="1"/>
  <c r="AJ308" i="24"/>
  <c r="AT308" i="24" s="1"/>
  <c r="AJ156" i="24"/>
  <c r="AT156" i="24" s="1"/>
  <c r="AJ159" i="24"/>
  <c r="AT159" i="24" s="1"/>
  <c r="AJ76" i="24"/>
  <c r="AJ166" i="24"/>
  <c r="AT166" i="24" s="1"/>
  <c r="AJ312" i="24"/>
  <c r="AT312" i="24" s="1"/>
  <c r="AJ71" i="24"/>
  <c r="AJ315" i="24"/>
  <c r="AT315" i="24" s="1"/>
  <c r="AJ310" i="24"/>
  <c r="AT310" i="24" s="1"/>
  <c r="AJ78" i="24"/>
  <c r="AJ77" i="24"/>
  <c r="AJ64" i="24"/>
  <c r="AJ313" i="24"/>
  <c r="AT313" i="24" s="1"/>
  <c r="AD237" i="25"/>
  <c r="AE237" i="25" s="1"/>
  <c r="W237" i="25"/>
  <c r="Z237" i="25" s="1"/>
  <c r="AA237" i="25" s="1"/>
  <c r="AB237" i="25" s="1"/>
  <c r="AI237" i="25" s="1"/>
  <c r="AS237" i="25" s="1"/>
  <c r="AJ63" i="24"/>
  <c r="AJ61" i="24"/>
  <c r="AJ116" i="24"/>
  <c r="AT116" i="24" s="1"/>
  <c r="N212" i="25"/>
  <c r="BI212" i="25"/>
  <c r="AH212" i="25"/>
  <c r="BQ212" i="25"/>
  <c r="AJ252" i="24"/>
  <c r="AT252" i="24" s="1"/>
  <c r="AJ151" i="24"/>
  <c r="AT151" i="24" s="1"/>
  <c r="AJ115" i="24"/>
  <c r="AT115" i="24" s="1"/>
  <c r="AJ303" i="24"/>
  <c r="AT303" i="24" s="1"/>
  <c r="AJ275" i="24"/>
  <c r="AT275" i="24" s="1"/>
  <c r="AJ53" i="24"/>
  <c r="AJ47" i="24"/>
  <c r="AJ289" i="24"/>
  <c r="AT289" i="24" s="1"/>
  <c r="AJ254" i="24"/>
  <c r="AT254" i="24" s="1"/>
  <c r="AJ268" i="24"/>
  <c r="AT268" i="24" s="1"/>
  <c r="AJ141" i="24"/>
  <c r="AT141" i="24" s="1"/>
  <c r="AJ251" i="24"/>
  <c r="AT251" i="24" s="1"/>
  <c r="AJ60" i="24"/>
  <c r="V77" i="25"/>
  <c r="X77" i="25" s="1"/>
  <c r="AD77" i="25"/>
  <c r="W77" i="25"/>
  <c r="Z77" i="25" s="1"/>
  <c r="AA77" i="25" s="1"/>
  <c r="AB77" i="25" s="1"/>
  <c r="AI77" i="25" s="1"/>
  <c r="AS77" i="25" s="1"/>
  <c r="AW77" i="25" s="1"/>
  <c r="AJ272" i="24"/>
  <c r="AT272" i="24" s="1"/>
  <c r="AJ288" i="24"/>
  <c r="AT288" i="24" s="1"/>
  <c r="AJ40" i="24"/>
  <c r="AJ23" i="24"/>
  <c r="AJ276" i="24"/>
  <c r="AT276" i="24" s="1"/>
  <c r="AJ42" i="24"/>
  <c r="AJ286" i="24"/>
  <c r="AT286" i="24" s="1"/>
  <c r="AJ231" i="24"/>
  <c r="AT231" i="24" s="1"/>
  <c r="AJ143" i="24"/>
  <c r="AT143" i="24" s="1"/>
  <c r="AJ139" i="24"/>
  <c r="AT139" i="24" s="1"/>
  <c r="AJ11" i="24"/>
  <c r="AJ52" i="24"/>
  <c r="AJ144" i="24"/>
  <c r="AT144" i="24" s="1"/>
  <c r="AJ39" i="24"/>
  <c r="AJ127" i="24"/>
  <c r="AT127" i="24" s="1"/>
  <c r="AJ36" i="24"/>
  <c r="AJ137" i="24"/>
  <c r="AT137" i="24" s="1"/>
  <c r="AJ245" i="24"/>
  <c r="AT245" i="24" s="1"/>
  <c r="AJ149" i="24"/>
  <c r="AT149" i="24" s="1"/>
  <c r="AJ140" i="24"/>
  <c r="AT140" i="24" s="1"/>
  <c r="AJ285" i="24"/>
  <c r="AT285" i="24" s="1"/>
  <c r="AJ223" i="24"/>
  <c r="AT223" i="24" s="1"/>
  <c r="AJ13" i="24"/>
  <c r="AJ239" i="24"/>
  <c r="AT239" i="24" s="1"/>
  <c r="AJ262" i="24"/>
  <c r="AT262" i="24" s="1"/>
  <c r="AJ291" i="24"/>
  <c r="AT291" i="24" s="1"/>
  <c r="AJ277" i="24"/>
  <c r="AT277" i="24" s="1"/>
  <c r="AJ234" i="24"/>
  <c r="AT234" i="24" s="1"/>
  <c r="AJ217" i="24"/>
  <c r="AT217" i="24" s="1"/>
  <c r="AJ31" i="24"/>
  <c r="AJ293" i="24"/>
  <c r="AT293" i="24" s="1"/>
  <c r="AJ154" i="24"/>
  <c r="AT154" i="24" s="1"/>
  <c r="AJ50" i="24"/>
  <c r="AJ306" i="24"/>
  <c r="AT306" i="24" s="1"/>
  <c r="AJ49" i="24"/>
  <c r="AJ230" i="24"/>
  <c r="AT230" i="24" s="1"/>
  <c r="AJ241" i="24"/>
  <c r="AT241" i="24" s="1"/>
  <c r="AJ46" i="24"/>
  <c r="AJ150" i="24"/>
  <c r="AT150" i="24" s="1"/>
  <c r="AJ38" i="24"/>
  <c r="AJ226" i="24"/>
  <c r="AT226" i="24" s="1"/>
  <c r="AJ302" i="24"/>
  <c r="AT302" i="24" s="1"/>
  <c r="AJ122" i="24"/>
  <c r="AT122" i="24" s="1"/>
  <c r="AJ229" i="24"/>
  <c r="AT229" i="24" s="1"/>
  <c r="AJ244" i="24"/>
  <c r="AT244" i="24" s="1"/>
  <c r="AJ15" i="24"/>
  <c r="AJ256" i="24"/>
  <c r="AT256" i="24" s="1"/>
  <c r="AJ287" i="24"/>
  <c r="AT287" i="24" s="1"/>
  <c r="AJ270" i="24"/>
  <c r="AT270" i="24" s="1"/>
  <c r="AJ304" i="24"/>
  <c r="AT304" i="24" s="1"/>
  <c r="AJ146" i="24"/>
  <c r="AT146" i="24" s="1"/>
  <c r="AJ134" i="24"/>
  <c r="AT134" i="24" s="1"/>
  <c r="AJ138" i="24"/>
  <c r="AT138" i="24" s="1"/>
  <c r="AJ27" i="24"/>
  <c r="AJ136" i="24"/>
  <c r="AT136" i="24" s="1"/>
  <c r="AJ43" i="24"/>
  <c r="AJ10" i="24"/>
  <c r="AJ300" i="24"/>
  <c r="AT300" i="24" s="1"/>
  <c r="AJ29" i="24"/>
  <c r="AJ255" i="24"/>
  <c r="AT255" i="24" s="1"/>
  <c r="AJ278" i="24"/>
  <c r="AT278" i="24" s="1"/>
  <c r="AJ246" i="24"/>
  <c r="AT246" i="24" s="1"/>
  <c r="AJ250" i="24"/>
  <c r="AT250" i="24" s="1"/>
  <c r="AJ16" i="24"/>
  <c r="AJ227" i="24"/>
  <c r="AT227" i="24" s="1"/>
  <c r="AJ222" i="24"/>
  <c r="AT222" i="24" s="1"/>
  <c r="AJ124" i="24"/>
  <c r="AT124" i="24" s="1"/>
  <c r="AJ14" i="24"/>
  <c r="AJ118" i="24"/>
  <c r="AT118" i="24" s="1"/>
  <c r="AJ113" i="24"/>
  <c r="AT113" i="24" s="1"/>
  <c r="AJ220" i="24"/>
  <c r="AT220" i="24" s="1"/>
  <c r="AJ131" i="24"/>
  <c r="AT131" i="24" s="1"/>
  <c r="AJ25" i="24"/>
  <c r="AJ221" i="24"/>
  <c r="AT221" i="24" s="1"/>
  <c r="AD253" i="25"/>
  <c r="W253" i="25"/>
  <c r="Z253" i="25" s="1"/>
  <c r="AA253" i="25" s="1"/>
  <c r="AB253" i="25" s="1"/>
  <c r="AI253" i="25" s="1"/>
  <c r="V253" i="25"/>
  <c r="X253" i="25" s="1"/>
  <c r="AG223" i="24"/>
  <c r="AF223" i="24"/>
  <c r="AD102" i="25"/>
  <c r="W102" i="25"/>
  <c r="Z102" i="25" s="1"/>
  <c r="AA102" i="25" s="1"/>
  <c r="AB102" i="25" s="1"/>
  <c r="AI102" i="25" s="1"/>
  <c r="V102" i="25"/>
  <c r="X102" i="25" s="1"/>
  <c r="AF192" i="25"/>
  <c r="AE192" i="25"/>
  <c r="AG124" i="24"/>
  <c r="AF124" i="24"/>
  <c r="AD222" i="25"/>
  <c r="W222" i="25"/>
  <c r="Z222" i="25" s="1"/>
  <c r="AA222" i="25" s="1"/>
  <c r="AB222" i="25" s="1"/>
  <c r="AI222" i="25" s="1"/>
  <c r="AN45" i="24"/>
  <c r="CE45" i="24" s="1"/>
  <c r="AK45" i="24"/>
  <c r="AG89" i="24"/>
  <c r="AF89" i="24"/>
  <c r="AD111" i="25"/>
  <c r="W111" i="25"/>
  <c r="Z111" i="25" s="1"/>
  <c r="AA111" i="25" s="1"/>
  <c r="AB111" i="25" s="1"/>
  <c r="AI111" i="25" s="1"/>
  <c r="V111" i="25"/>
  <c r="X111" i="25" s="1"/>
  <c r="AD157" i="25"/>
  <c r="W157" i="25"/>
  <c r="Z157" i="25" s="1"/>
  <c r="AA157" i="25" s="1"/>
  <c r="AB157" i="25" s="1"/>
  <c r="AI157" i="25" s="1"/>
  <c r="AD181" i="25"/>
  <c r="W181" i="25"/>
  <c r="Z181" i="25" s="1"/>
  <c r="AA181" i="25" s="1"/>
  <c r="AB181" i="25" s="1"/>
  <c r="AI181" i="25" s="1"/>
  <c r="AG37" i="24"/>
  <c r="AF37" i="24"/>
  <c r="AD134" i="25"/>
  <c r="W134" i="25"/>
  <c r="Z134" i="25" s="1"/>
  <c r="AA134" i="25" s="1"/>
  <c r="AB134" i="25" s="1"/>
  <c r="AI134" i="25" s="1"/>
  <c r="V134" i="25"/>
  <c r="X134" i="25" s="1"/>
  <c r="AG312" i="24"/>
  <c r="AF312" i="24"/>
  <c r="AS267" i="25"/>
  <c r="AG242" i="24"/>
  <c r="AF242" i="24"/>
  <c r="AG12" i="24"/>
  <c r="AF12" i="24"/>
  <c r="AS82" i="25"/>
  <c r="AD299" i="25"/>
  <c r="W299" i="25"/>
  <c r="Z299" i="25" s="1"/>
  <c r="AA299" i="25" s="1"/>
  <c r="AB299" i="25" s="1"/>
  <c r="AI299" i="25" s="1"/>
  <c r="AF199" i="25"/>
  <c r="AE199" i="25"/>
  <c r="AJ228" i="24"/>
  <c r="AD76" i="25"/>
  <c r="W76" i="25"/>
  <c r="Z76" i="25" s="1"/>
  <c r="AA76" i="25" s="1"/>
  <c r="AB76" i="25" s="1"/>
  <c r="AI76" i="25" s="1"/>
  <c r="AF314" i="25"/>
  <c r="AE314" i="25"/>
  <c r="AJ135" i="24"/>
  <c r="AG78" i="24"/>
  <c r="AF78" i="24"/>
  <c r="AK142" i="24"/>
  <c r="AN142" i="24"/>
  <c r="AX142" i="24" s="1"/>
  <c r="AG295" i="24"/>
  <c r="AF295" i="24"/>
  <c r="AK119" i="24"/>
  <c r="AN119" i="24"/>
  <c r="AK257" i="24"/>
  <c r="AN257" i="24"/>
  <c r="AS161" i="25"/>
  <c r="AG253" i="24"/>
  <c r="AF253" i="24"/>
  <c r="AE28" i="25"/>
  <c r="AG152" i="24"/>
  <c r="AF152" i="24"/>
  <c r="AD125" i="25"/>
  <c r="W125" i="25"/>
  <c r="Z125" i="25" s="1"/>
  <c r="AA125" i="25" s="1"/>
  <c r="AB125" i="25" s="1"/>
  <c r="AI125" i="25" s="1"/>
  <c r="AJ26" i="24"/>
  <c r="AG100" i="24"/>
  <c r="AF100" i="24"/>
  <c r="AD295" i="25"/>
  <c r="W295" i="25"/>
  <c r="Z295" i="25" s="1"/>
  <c r="AA295" i="25" s="1"/>
  <c r="AB295" i="25" s="1"/>
  <c r="AI295" i="25" s="1"/>
  <c r="BA119" i="24"/>
  <c r="AJ35" i="24"/>
  <c r="AD298" i="25"/>
  <c r="W298" i="25"/>
  <c r="Z298" i="25" s="1"/>
  <c r="AA298" i="25" s="1"/>
  <c r="AB298" i="25" s="1"/>
  <c r="AI298" i="25" s="1"/>
  <c r="AJ153" i="24"/>
  <c r="AD277" i="25"/>
  <c r="W277" i="25"/>
  <c r="Z277" i="25" s="1"/>
  <c r="AA277" i="25" s="1"/>
  <c r="AB277" i="25" s="1"/>
  <c r="AI277" i="25" s="1"/>
  <c r="AD152" i="25"/>
  <c r="W152" i="25"/>
  <c r="Z152" i="25" s="1"/>
  <c r="AA152" i="25" s="1"/>
  <c r="AB152" i="25" s="1"/>
  <c r="AI152" i="25" s="1"/>
  <c r="V152" i="25"/>
  <c r="X152" i="25" s="1"/>
  <c r="AD250" i="25"/>
  <c r="W250" i="25"/>
  <c r="Z250" i="25" s="1"/>
  <c r="AA250" i="25" s="1"/>
  <c r="AB250" i="25" s="1"/>
  <c r="AI250" i="25" s="1"/>
  <c r="V250" i="25"/>
  <c r="X250" i="25" s="1"/>
  <c r="AD48" i="25"/>
  <c r="W48" i="25"/>
  <c r="Z48" i="25" s="1"/>
  <c r="AA48" i="25" s="1"/>
  <c r="AB48" i="25" s="1"/>
  <c r="AI48" i="25" s="1"/>
  <c r="V48" i="25"/>
  <c r="X48" i="25" s="1"/>
  <c r="AJ249" i="24"/>
  <c r="AF31" i="25"/>
  <c r="AE31" i="25"/>
  <c r="AG66" i="24"/>
  <c r="AF66" i="24"/>
  <c r="AS247" i="25"/>
  <c r="AF204" i="25"/>
  <c r="AE204" i="25"/>
  <c r="AJ111" i="24"/>
  <c r="AD187" i="25"/>
  <c r="W187" i="25"/>
  <c r="Z187" i="25" s="1"/>
  <c r="AA187" i="25" s="1"/>
  <c r="AB187" i="25" s="1"/>
  <c r="AI187" i="25" s="1"/>
  <c r="AJ51" i="24"/>
  <c r="AG306" i="24"/>
  <c r="AF306" i="24"/>
  <c r="AG80" i="24"/>
  <c r="AF80" i="24"/>
  <c r="AG244" i="24"/>
  <c r="AF244" i="24"/>
  <c r="AS62" i="25"/>
  <c r="AJ301" i="24"/>
  <c r="AD24" i="25"/>
  <c r="W24" i="25"/>
  <c r="Z24" i="25" s="1"/>
  <c r="AA24" i="25" s="1"/>
  <c r="AB24" i="25" s="1"/>
  <c r="AI24" i="25" s="1"/>
  <c r="V24" i="25"/>
  <c r="X24" i="25" s="1"/>
  <c r="AJ129" i="25"/>
  <c r="AM129" i="25"/>
  <c r="AG91" i="24"/>
  <c r="AF91" i="24"/>
  <c r="AG67" i="24"/>
  <c r="AF67" i="24"/>
  <c r="AD166" i="25"/>
  <c r="W166" i="25"/>
  <c r="Z166" i="25" s="1"/>
  <c r="AA166" i="25" s="1"/>
  <c r="AB166" i="25" s="1"/>
  <c r="AI166" i="25" s="1"/>
  <c r="V166" i="25"/>
  <c r="X166" i="25" s="1"/>
  <c r="AJ133" i="24"/>
  <c r="AN41" i="24"/>
  <c r="BU41" i="24" s="1"/>
  <c r="AK41" i="24"/>
  <c r="AF282" i="25"/>
  <c r="AE282" i="25"/>
  <c r="AD37" i="25"/>
  <c r="W37" i="25"/>
  <c r="Z37" i="25" s="1"/>
  <c r="AA37" i="25" s="1"/>
  <c r="AB37" i="25" s="1"/>
  <c r="AI37" i="25" s="1"/>
  <c r="V37" i="25"/>
  <c r="X37" i="25" s="1"/>
  <c r="AJ58" i="24"/>
  <c r="AJ269" i="24"/>
  <c r="AJ54" i="24"/>
  <c r="AD278" i="25"/>
  <c r="W278" i="25"/>
  <c r="Z278" i="25" s="1"/>
  <c r="AA278" i="25" s="1"/>
  <c r="AB278" i="25" s="1"/>
  <c r="AI278" i="25" s="1"/>
  <c r="AJ125" i="24"/>
  <c r="AD63" i="25"/>
  <c r="W63" i="25"/>
  <c r="Z63" i="25" s="1"/>
  <c r="AA63" i="25" s="1"/>
  <c r="AB63" i="25" s="1"/>
  <c r="AI63" i="25" s="1"/>
  <c r="AJ24" i="24"/>
  <c r="AF178" i="25"/>
  <c r="AE178" i="25"/>
  <c r="AG231" i="24"/>
  <c r="AF231" i="24"/>
  <c r="AG192" i="24"/>
  <c r="AF192" i="24"/>
  <c r="AS6" i="25"/>
  <c r="AS292" i="25"/>
  <c r="AJ148" i="24"/>
  <c r="AG130" i="24"/>
  <c r="AF130" i="24"/>
  <c r="AJ117" i="24"/>
  <c r="AG243" i="24"/>
  <c r="AF243" i="24"/>
  <c r="AG60" i="24"/>
  <c r="AF60" i="24"/>
  <c r="AD271" i="25"/>
  <c r="W271" i="25"/>
  <c r="Z271" i="25" s="1"/>
  <c r="AA271" i="25" s="1"/>
  <c r="AB271" i="25" s="1"/>
  <c r="AI271" i="25" s="1"/>
  <c r="V271" i="25"/>
  <c r="X271" i="25" s="1"/>
  <c r="AD44" i="25"/>
  <c r="W44" i="25"/>
  <c r="Z44" i="25" s="1"/>
  <c r="AA44" i="25" s="1"/>
  <c r="AB44" i="25" s="1"/>
  <c r="AI44" i="25" s="1"/>
  <c r="AG248" i="24"/>
  <c r="AF248" i="24"/>
  <c r="AD286" i="25"/>
  <c r="W286" i="25"/>
  <c r="Z286" i="25" s="1"/>
  <c r="AA286" i="25" s="1"/>
  <c r="AB286" i="25" s="1"/>
  <c r="AI286" i="25" s="1"/>
  <c r="AF170" i="25"/>
  <c r="AE170" i="25"/>
  <c r="AD70" i="25"/>
  <c r="W70" i="25"/>
  <c r="Z70" i="25" s="1"/>
  <c r="AA70" i="25" s="1"/>
  <c r="AB70" i="25" s="1"/>
  <c r="AI70" i="25" s="1"/>
  <c r="AM110" i="25"/>
  <c r="AJ110" i="25"/>
  <c r="AG139" i="24"/>
  <c r="AF139" i="24"/>
  <c r="AG23" i="24"/>
  <c r="AF23" i="24"/>
  <c r="AG147" i="24"/>
  <c r="AF147" i="24"/>
  <c r="AG103" i="24"/>
  <c r="AF103" i="24"/>
  <c r="AS94" i="25"/>
  <c r="AD235" i="25"/>
  <c r="W235" i="25"/>
  <c r="Z235" i="25" s="1"/>
  <c r="AA235" i="25" s="1"/>
  <c r="AB235" i="25" s="1"/>
  <c r="AI235" i="25" s="1"/>
  <c r="V235" i="25"/>
  <c r="X235" i="25" s="1"/>
  <c r="AG168" i="24"/>
  <c r="AF168" i="24"/>
  <c r="AD85" i="25"/>
  <c r="W85" i="25"/>
  <c r="Z85" i="25" s="1"/>
  <c r="AA85" i="25" s="1"/>
  <c r="AB85" i="25" s="1"/>
  <c r="AI85" i="25" s="1"/>
  <c r="V85" i="25"/>
  <c r="X85" i="25" s="1"/>
  <c r="AJ121" i="24"/>
  <c r="AG102" i="24"/>
  <c r="AF102" i="24"/>
  <c r="AG99" i="24"/>
  <c r="AF99" i="24"/>
  <c r="AJ281" i="24"/>
  <c r="AD230" i="25"/>
  <c r="W230" i="25"/>
  <c r="Z230" i="25" s="1"/>
  <c r="AA230" i="25" s="1"/>
  <c r="AB230" i="25" s="1"/>
  <c r="AI230" i="25" s="1"/>
  <c r="AD308" i="25"/>
  <c r="W308" i="25"/>
  <c r="Z308" i="25" s="1"/>
  <c r="AA308" i="25" s="1"/>
  <c r="AB308" i="25" s="1"/>
  <c r="AI308" i="25" s="1"/>
  <c r="V308" i="25"/>
  <c r="X308" i="25" s="1"/>
  <c r="AJ296" i="24"/>
  <c r="AG273" i="24"/>
  <c r="AF273" i="24"/>
  <c r="AG76" i="24"/>
  <c r="AF76" i="24"/>
  <c r="AK191" i="24"/>
  <c r="AN191" i="24"/>
  <c r="CE191" i="24" s="1"/>
  <c r="AJ218" i="24"/>
  <c r="AD191" i="25"/>
  <c r="W191" i="25"/>
  <c r="Z191" i="25" s="1"/>
  <c r="AA191" i="25" s="1"/>
  <c r="AB191" i="25" s="1"/>
  <c r="AI191" i="25" s="1"/>
  <c r="V191" i="25"/>
  <c r="X191" i="25" s="1"/>
  <c r="AJ28" i="24"/>
  <c r="AD141" i="25"/>
  <c r="W141" i="25"/>
  <c r="Z141" i="25" s="1"/>
  <c r="AA141" i="25" s="1"/>
  <c r="AB141" i="25" s="1"/>
  <c r="AI141" i="25" s="1"/>
  <c r="V141" i="25"/>
  <c r="X141" i="25" s="1"/>
  <c r="AS259" i="25"/>
  <c r="AJ298" i="24"/>
  <c r="AF232" i="25"/>
  <c r="AE232" i="25"/>
  <c r="AD66" i="25"/>
  <c r="W66" i="25"/>
  <c r="Z66" i="25" s="1"/>
  <c r="AA66" i="25" s="1"/>
  <c r="AB66" i="25" s="1"/>
  <c r="AI66" i="25" s="1"/>
  <c r="AG79" i="24"/>
  <c r="AF79" i="24"/>
  <c r="AG165" i="24"/>
  <c r="AF165" i="24"/>
  <c r="AJ280" i="24"/>
  <c r="AG73" i="24"/>
  <c r="AF73" i="24"/>
  <c r="AJ305" i="24"/>
  <c r="AG232" i="24"/>
  <c r="AF232" i="24"/>
  <c r="AD88" i="25"/>
  <c r="W88" i="25"/>
  <c r="Z88" i="25" s="1"/>
  <c r="AA88" i="25" s="1"/>
  <c r="AB88" i="25" s="1"/>
  <c r="AI88" i="25" s="1"/>
  <c r="V88" i="25"/>
  <c r="X88" i="25" s="1"/>
  <c r="AG16" i="24"/>
  <c r="AF16" i="24"/>
  <c r="AD81" i="25"/>
  <c r="W81" i="25"/>
  <c r="Z81" i="25" s="1"/>
  <c r="AA81" i="25" s="1"/>
  <c r="AB81" i="25" s="1"/>
  <c r="AI81" i="25" s="1"/>
  <c r="AN233" i="24"/>
  <c r="AK233" i="24"/>
  <c r="AS147" i="25"/>
  <c r="AF267" i="25"/>
  <c r="AE267" i="25"/>
  <c r="AF82" i="25"/>
  <c r="AE82" i="25"/>
  <c r="AD20" i="25"/>
  <c r="W20" i="25"/>
  <c r="Z20" i="25" s="1"/>
  <c r="AA20" i="25" s="1"/>
  <c r="AB20" i="25" s="1"/>
  <c r="AI20" i="25" s="1"/>
  <c r="V20" i="25"/>
  <c r="X20" i="25" s="1"/>
  <c r="AD115" i="25"/>
  <c r="W115" i="25"/>
  <c r="Z115" i="25" s="1"/>
  <c r="AA115" i="25" s="1"/>
  <c r="AB115" i="25" s="1"/>
  <c r="AI115" i="25" s="1"/>
  <c r="AG71" i="24"/>
  <c r="AF71" i="24"/>
  <c r="AG27" i="24"/>
  <c r="AF27" i="24"/>
  <c r="AG293" i="24"/>
  <c r="AF293" i="24"/>
  <c r="AS198" i="25"/>
  <c r="AG74" i="24"/>
  <c r="AF74" i="24"/>
  <c r="AG13" i="24"/>
  <c r="AF13" i="24"/>
  <c r="AS30" i="25"/>
  <c r="AG171" i="24"/>
  <c r="AF171" i="24"/>
  <c r="AF161" i="25"/>
  <c r="AE161" i="25"/>
  <c r="AD180" i="25"/>
  <c r="W180" i="25"/>
  <c r="Z180" i="25" s="1"/>
  <c r="AA180" i="25" s="1"/>
  <c r="AB180" i="25" s="1"/>
  <c r="AI180" i="25" s="1"/>
  <c r="V180" i="25"/>
  <c r="X180" i="25" s="1"/>
  <c r="AS305" i="25"/>
  <c r="V76" i="25"/>
  <c r="X76" i="25" s="1"/>
  <c r="AG75" i="24"/>
  <c r="AF75" i="24"/>
  <c r="AG87" i="24"/>
  <c r="AF87" i="24"/>
  <c r="AG93" i="24"/>
  <c r="AF93" i="24"/>
  <c r="AD226" i="25"/>
  <c r="W226" i="25"/>
  <c r="Z226" i="25" s="1"/>
  <c r="AA226" i="25" s="1"/>
  <c r="AB226" i="25" s="1"/>
  <c r="AI226" i="25" s="1"/>
  <c r="AG154" i="24"/>
  <c r="AF154" i="24"/>
  <c r="AG40" i="24"/>
  <c r="AF40" i="24"/>
  <c r="AG43" i="24"/>
  <c r="AF43" i="24"/>
  <c r="BA294" i="24"/>
  <c r="AD50" i="25"/>
  <c r="W50" i="25"/>
  <c r="Z50" i="25" s="1"/>
  <c r="AA50" i="25" s="1"/>
  <c r="AB50" i="25" s="1"/>
  <c r="AI50" i="25" s="1"/>
  <c r="V50" i="25"/>
  <c r="X50" i="25" s="1"/>
  <c r="AD118" i="25"/>
  <c r="W118" i="25"/>
  <c r="Z118" i="25" s="1"/>
  <c r="AA118" i="25" s="1"/>
  <c r="AB118" i="25" s="1"/>
  <c r="AI118" i="25" s="1"/>
  <c r="AG175" i="24"/>
  <c r="AF175" i="24"/>
  <c r="AG50" i="24"/>
  <c r="AF50" i="24"/>
  <c r="AD313" i="25"/>
  <c r="W313" i="25"/>
  <c r="Z313" i="25" s="1"/>
  <c r="AA313" i="25" s="1"/>
  <c r="AB313" i="25" s="1"/>
  <c r="AI313" i="25" s="1"/>
  <c r="V125" i="25"/>
  <c r="X125" i="25" s="1"/>
  <c r="AD263" i="25"/>
  <c r="W263" i="25"/>
  <c r="Z263" i="25" s="1"/>
  <c r="AA263" i="25" s="1"/>
  <c r="AB263" i="25" s="1"/>
  <c r="AI263" i="25" s="1"/>
  <c r="V263" i="25"/>
  <c r="X263" i="25" s="1"/>
  <c r="AK22" i="24"/>
  <c r="AN22" i="24"/>
  <c r="AX22" i="24" s="1"/>
  <c r="AF247" i="25"/>
  <c r="AE247" i="25"/>
  <c r="AF62" i="25"/>
  <c r="AE62" i="25"/>
  <c r="AD311" i="25"/>
  <c r="W311" i="25"/>
  <c r="Z311" i="25" s="1"/>
  <c r="AA311" i="25" s="1"/>
  <c r="AB311" i="25" s="1"/>
  <c r="AI311" i="25" s="1"/>
  <c r="V311" i="25"/>
  <c r="X311" i="25" s="1"/>
  <c r="AG220" i="24"/>
  <c r="AF220" i="24"/>
  <c r="BA190" i="24"/>
  <c r="AG134" i="24"/>
  <c r="AF134" i="24"/>
  <c r="AG185" i="24"/>
  <c r="AF185" i="24"/>
  <c r="AG234" i="24"/>
  <c r="AF234" i="24"/>
  <c r="AD268" i="25"/>
  <c r="W268" i="25"/>
  <c r="Z268" i="25" s="1"/>
  <c r="AA268" i="25" s="1"/>
  <c r="AB268" i="25" s="1"/>
  <c r="AI268" i="25" s="1"/>
  <c r="AD100" i="25"/>
  <c r="W100" i="25"/>
  <c r="Z100" i="25" s="1"/>
  <c r="AA100" i="25" s="1"/>
  <c r="AB100" i="25" s="1"/>
  <c r="AI100" i="25" s="1"/>
  <c r="AD165" i="25"/>
  <c r="W165" i="25"/>
  <c r="Z165" i="25" s="1"/>
  <c r="AA165" i="25" s="1"/>
  <c r="AB165" i="25" s="1"/>
  <c r="AI165" i="25" s="1"/>
  <c r="AG217" i="24"/>
  <c r="AF217" i="24"/>
  <c r="AD224" i="25"/>
  <c r="W224" i="25"/>
  <c r="Z224" i="25" s="1"/>
  <c r="AA224" i="25" s="1"/>
  <c r="AB224" i="25" s="1"/>
  <c r="AI224" i="25" s="1"/>
  <c r="AJ274" i="24"/>
  <c r="AF292" i="25"/>
  <c r="AE292" i="25"/>
  <c r="AJ258" i="24"/>
  <c r="AD256" i="25"/>
  <c r="W256" i="25"/>
  <c r="Z256" i="25" s="1"/>
  <c r="AA256" i="25" s="1"/>
  <c r="AB256" i="25" s="1"/>
  <c r="AI256" i="25" s="1"/>
  <c r="V256" i="25"/>
  <c r="X256" i="25" s="1"/>
  <c r="AG205" i="24"/>
  <c r="AF205" i="24"/>
  <c r="AD93" i="25"/>
  <c r="W93" i="25"/>
  <c r="Z93" i="25" s="1"/>
  <c r="AA93" i="25" s="1"/>
  <c r="AB93" i="25" s="1"/>
  <c r="AI93" i="25" s="1"/>
  <c r="V268" i="25"/>
  <c r="X268" i="25" s="1"/>
  <c r="AG184" i="24"/>
  <c r="AF184" i="24"/>
  <c r="AG47" i="24"/>
  <c r="AF47" i="24"/>
  <c r="AS280" i="25"/>
  <c r="AD281" i="25"/>
  <c r="W281" i="25"/>
  <c r="Z281" i="25" s="1"/>
  <c r="AA281" i="25" s="1"/>
  <c r="AB281" i="25" s="1"/>
  <c r="AI281" i="25" s="1"/>
  <c r="AG36" i="24"/>
  <c r="AF36" i="24"/>
  <c r="AG227" i="24"/>
  <c r="AF227" i="24"/>
  <c r="AG150" i="24"/>
  <c r="AF150" i="24"/>
  <c r="AG206" i="24"/>
  <c r="AF206" i="24"/>
  <c r="AF94" i="25"/>
  <c r="AE94" i="25"/>
  <c r="AD9" i="25"/>
  <c r="W9" i="25"/>
  <c r="Z9" i="25" s="1"/>
  <c r="AA9" i="25" s="1"/>
  <c r="AB9" i="25" s="1"/>
  <c r="AI9" i="25" s="1"/>
  <c r="V9" i="25"/>
  <c r="X9" i="25" s="1"/>
  <c r="AN264" i="24"/>
  <c r="AX264" i="24" s="1"/>
  <c r="AK264" i="24"/>
  <c r="AD197" i="25"/>
  <c r="W197" i="25"/>
  <c r="Z197" i="25" s="1"/>
  <c r="AA197" i="25" s="1"/>
  <c r="AB197" i="25" s="1"/>
  <c r="AI197" i="25" s="1"/>
  <c r="V70" i="25"/>
  <c r="X70" i="25" s="1"/>
  <c r="AG221" i="24"/>
  <c r="AF221" i="24"/>
  <c r="AG49" i="24"/>
  <c r="AF49" i="24"/>
  <c r="AD183" i="25"/>
  <c r="W183" i="25"/>
  <c r="Z183" i="25" s="1"/>
  <c r="AA183" i="25" s="1"/>
  <c r="AB183" i="25" s="1"/>
  <c r="AI183" i="25" s="1"/>
  <c r="AF259" i="25"/>
  <c r="AE259" i="25"/>
  <c r="AG141" i="24"/>
  <c r="AF141" i="24"/>
  <c r="AG251" i="24"/>
  <c r="AF251" i="24"/>
  <c r="AD239" i="25"/>
  <c r="W239" i="25"/>
  <c r="Z239" i="25" s="1"/>
  <c r="AA239" i="25" s="1"/>
  <c r="AB239" i="25" s="1"/>
  <c r="AI239" i="25" s="1"/>
  <c r="AD260" i="25"/>
  <c r="W260" i="25"/>
  <c r="Z260" i="25" s="1"/>
  <c r="AA260" i="25" s="1"/>
  <c r="AB260" i="25" s="1"/>
  <c r="AI260" i="25" s="1"/>
  <c r="AG38" i="24"/>
  <c r="AF38" i="24"/>
  <c r="AD49" i="25"/>
  <c r="W49" i="25"/>
  <c r="Z49" i="25" s="1"/>
  <c r="AA49" i="25" s="1"/>
  <c r="AB49" i="25" s="1"/>
  <c r="AI49" i="25" s="1"/>
  <c r="V49" i="25"/>
  <c r="X49" i="25" s="1"/>
  <c r="AK162" i="24"/>
  <c r="AN162" i="24"/>
  <c r="CE162" i="24" s="1"/>
  <c r="AG278" i="24"/>
  <c r="AF278" i="24"/>
  <c r="AS114" i="25"/>
  <c r="AS262" i="25"/>
  <c r="AG226" i="24"/>
  <c r="AF226" i="24"/>
  <c r="AT264" i="24"/>
  <c r="FI285" i="25"/>
  <c r="FI232" i="25"/>
  <c r="FI256" i="25"/>
  <c r="FI286" i="25"/>
  <c r="FI227" i="25"/>
  <c r="FI216" i="25"/>
  <c r="FI295" i="25"/>
  <c r="FI218" i="25"/>
  <c r="FI294" i="25"/>
  <c r="FI258" i="25"/>
  <c r="FI301" i="25"/>
  <c r="FI220" i="25"/>
  <c r="FI308" i="25"/>
  <c r="FI272" i="25"/>
  <c r="FI278" i="25"/>
  <c r="FI221" i="25"/>
  <c r="FI290" i="25"/>
  <c r="FI228" i="25"/>
  <c r="FI257" i="25"/>
  <c r="FI245" i="25"/>
  <c r="FI303" i="25"/>
  <c r="FI283" i="25"/>
  <c r="FI316" i="25"/>
  <c r="FI289" i="25"/>
  <c r="FI274" i="25"/>
  <c r="FI266" i="25"/>
  <c r="FI267" i="25"/>
  <c r="FI293" i="25"/>
  <c r="FI299" i="25"/>
  <c r="FI311" i="25"/>
  <c r="FI234" i="25"/>
  <c r="FI281" i="25"/>
  <c r="FI304" i="25"/>
  <c r="FI279" i="25"/>
  <c r="FI246" i="25"/>
  <c r="FI244" i="25"/>
  <c r="FI312" i="25"/>
  <c r="FI260" i="25"/>
  <c r="FI248" i="25"/>
  <c r="FI261" i="25"/>
  <c r="FI314" i="25"/>
  <c r="FI309" i="25"/>
  <c r="FI302" i="25"/>
  <c r="FI264" i="25"/>
  <c r="FI230" i="25"/>
  <c r="FI238" i="25"/>
  <c r="FI268" i="25"/>
  <c r="FI287" i="25"/>
  <c r="FI313" i="25"/>
  <c r="FI222" i="25"/>
  <c r="FI307" i="25"/>
  <c r="FI305" i="25"/>
  <c r="FI291" i="25"/>
  <c r="FI225" i="25"/>
  <c r="FI237" i="25"/>
  <c r="FI249" i="25"/>
  <c r="FI300" i="25"/>
  <c r="FI296" i="25"/>
  <c r="FI288" i="25"/>
  <c r="FI240" i="25"/>
  <c r="FI276" i="25"/>
  <c r="FI235" i="25"/>
  <c r="FI251" i="25"/>
  <c r="FI275" i="25"/>
  <c r="FI253" i="25"/>
  <c r="FI223" i="25"/>
  <c r="FI226" i="25"/>
  <c r="FI297" i="25"/>
  <c r="FI306" i="25"/>
  <c r="CE216" i="25"/>
  <c r="FI310" i="25"/>
  <c r="FI265" i="25"/>
  <c r="FI241" i="25"/>
  <c r="FI239" i="25"/>
  <c r="FI242" i="25"/>
  <c r="FI315" i="25"/>
  <c r="FI262" i="25"/>
  <c r="FI284" i="25"/>
  <c r="FI243" i="25"/>
  <c r="FI298" i="25"/>
  <c r="FI252" i="25"/>
  <c r="FI270" i="25"/>
  <c r="FI277" i="25"/>
  <c r="FI273" i="25"/>
  <c r="FI224" i="25"/>
  <c r="FI236" i="25"/>
  <c r="FI263" i="25"/>
  <c r="FI231" i="25"/>
  <c r="FI217" i="25"/>
  <c r="FI254" i="25"/>
  <c r="FI271" i="25"/>
  <c r="FI250" i="25"/>
  <c r="FI282" i="25"/>
  <c r="FI247" i="25"/>
  <c r="FI219" i="25"/>
  <c r="FI229" i="25"/>
  <c r="FI255" i="25"/>
  <c r="FI280" i="25"/>
  <c r="FI269" i="25"/>
  <c r="FI259" i="25"/>
  <c r="FI292" i="25"/>
  <c r="FI233" i="25"/>
  <c r="CE252" i="25"/>
  <c r="CE231" i="25"/>
  <c r="CE243" i="25"/>
  <c r="CE260" i="25"/>
  <c r="CE314" i="25"/>
  <c r="CE267" i="25"/>
  <c r="CE299" i="25"/>
  <c r="CE258" i="25"/>
  <c r="CE235" i="25"/>
  <c r="CE265" i="25"/>
  <c r="CE241" i="25"/>
  <c r="CE222" i="25"/>
  <c r="CE217" i="25"/>
  <c r="CE278" i="25"/>
  <c r="CE248" i="25"/>
  <c r="CE261" i="25"/>
  <c r="CE293" i="25"/>
  <c r="CE242" i="25"/>
  <c r="CE304" i="25"/>
  <c r="CE271" i="25"/>
  <c r="CE245" i="25"/>
  <c r="CE257" i="25"/>
  <c r="CE253" i="25"/>
  <c r="CE301" i="25"/>
  <c r="CE244" i="25"/>
  <c r="CE262" i="25"/>
  <c r="CE255" i="25"/>
  <c r="CE256" i="25"/>
  <c r="CE225" i="25"/>
  <c r="CE254" i="25"/>
  <c r="CE276" i="25"/>
  <c r="CE290" i="25"/>
  <c r="CE236" i="25"/>
  <c r="CE298" i="25"/>
  <c r="CE309" i="25"/>
  <c r="CE275" i="25"/>
  <c r="CE282" i="25"/>
  <c r="CE224" i="25"/>
  <c r="CE286" i="25"/>
  <c r="CE249" i="25"/>
  <c r="CE240" i="25"/>
  <c r="CE277" i="25"/>
  <c r="CE238" i="25"/>
  <c r="CE219" i="25"/>
  <c r="CE266" i="25"/>
  <c r="CE226" i="25"/>
  <c r="CE250" i="25"/>
  <c r="CE296" i="25"/>
  <c r="CE228" i="25"/>
  <c r="CE234" i="25"/>
  <c r="CE221" i="25"/>
  <c r="CE285" i="25"/>
  <c r="CE264" i="25"/>
  <c r="CE289" i="25"/>
  <c r="CE297" i="25"/>
  <c r="CE273" i="25"/>
  <c r="CE259" i="25"/>
  <c r="CE263" i="25"/>
  <c r="CE291" i="25"/>
  <c r="CE310" i="25"/>
  <c r="CE227" i="25"/>
  <c r="CE313" i="25"/>
  <c r="CE230" i="25"/>
  <c r="CE229" i="25"/>
  <c r="CE247" i="25"/>
  <c r="CE251" i="25"/>
  <c r="CE218" i="25"/>
  <c r="CE232" i="25"/>
  <c r="CE237" i="25"/>
  <c r="CE288" i="25"/>
  <c r="CE312" i="25"/>
  <c r="CE233" i="25"/>
  <c r="CE223" i="25"/>
  <c r="CE308" i="25"/>
  <c r="CE220" i="25"/>
  <c r="CE281" i="25"/>
  <c r="CE246" i="25"/>
  <c r="CE239" i="25"/>
  <c r="CE315" i="25"/>
  <c r="CE269" i="25"/>
  <c r="AD39" i="25"/>
  <c r="W39" i="25"/>
  <c r="Z39" i="25" s="1"/>
  <c r="AA39" i="25" s="1"/>
  <c r="AB39" i="25" s="1"/>
  <c r="AI39" i="25" s="1"/>
  <c r="AF147" i="25"/>
  <c r="AE147" i="25"/>
  <c r="AS13" i="25"/>
  <c r="AG228" i="24"/>
  <c r="AF228" i="24"/>
  <c r="AD42" i="25"/>
  <c r="W42" i="25"/>
  <c r="Z42" i="25" s="1"/>
  <c r="AA42" i="25" s="1"/>
  <c r="AB42" i="25" s="1"/>
  <c r="AI42" i="25" s="1"/>
  <c r="V42" i="25"/>
  <c r="X42" i="25" s="1"/>
  <c r="AD242" i="25"/>
  <c r="W242" i="25"/>
  <c r="Z242" i="25" s="1"/>
  <c r="AA242" i="25" s="1"/>
  <c r="AB242" i="25" s="1"/>
  <c r="AI242" i="25" s="1"/>
  <c r="AG97" i="24"/>
  <c r="AF97" i="24"/>
  <c r="AG135" i="24"/>
  <c r="AF135" i="24"/>
  <c r="AD289" i="25"/>
  <c r="W289" i="25"/>
  <c r="Z289" i="25" s="1"/>
  <c r="AA289" i="25" s="1"/>
  <c r="AB289" i="25" s="1"/>
  <c r="AI289" i="25" s="1"/>
  <c r="AF198" i="25"/>
  <c r="AE198" i="25"/>
  <c r="AS87" i="25"/>
  <c r="AS293" i="25"/>
  <c r="AG285" i="24"/>
  <c r="AF285" i="24"/>
  <c r="V39" i="25"/>
  <c r="X39" i="25" s="1"/>
  <c r="AD274" i="25"/>
  <c r="W274" i="25"/>
  <c r="Z274" i="25" s="1"/>
  <c r="AA274" i="25" s="1"/>
  <c r="AB274" i="25" s="1"/>
  <c r="AI274" i="25" s="1"/>
  <c r="AF30" i="25"/>
  <c r="AE30" i="25"/>
  <c r="AD193" i="25"/>
  <c r="W193" i="25"/>
  <c r="Z193" i="25" s="1"/>
  <c r="AA193" i="25" s="1"/>
  <c r="AB193" i="25" s="1"/>
  <c r="AI193" i="25" s="1"/>
  <c r="V193" i="25"/>
  <c r="X193" i="25" s="1"/>
  <c r="AS190" i="25"/>
  <c r="AS71" i="25"/>
  <c r="AD228" i="25"/>
  <c r="W228" i="25"/>
  <c r="Z228" i="25" s="1"/>
  <c r="AA228" i="25" s="1"/>
  <c r="AB228" i="25" s="1"/>
  <c r="AI228" i="25" s="1"/>
  <c r="AF305" i="25"/>
  <c r="AE305" i="25"/>
  <c r="AD75" i="25"/>
  <c r="W75" i="25"/>
  <c r="Z75" i="25" s="1"/>
  <c r="AA75" i="25" s="1"/>
  <c r="AB75" i="25" s="1"/>
  <c r="AI75" i="25" s="1"/>
  <c r="AE29" i="25"/>
  <c r="AG26" i="24"/>
  <c r="AF26" i="24"/>
  <c r="AG35" i="24"/>
  <c r="AF35" i="24"/>
  <c r="AG153" i="24"/>
  <c r="AF153" i="24"/>
  <c r="AS201" i="25"/>
  <c r="AG249" i="24"/>
  <c r="AF249" i="24"/>
  <c r="AD72" i="25"/>
  <c r="W72" i="25"/>
  <c r="Z72" i="25" s="1"/>
  <c r="AA72" i="25" s="1"/>
  <c r="AB72" i="25" s="1"/>
  <c r="AI72" i="25" s="1"/>
  <c r="AG111" i="24"/>
  <c r="AF111" i="24"/>
  <c r="AG51" i="24"/>
  <c r="AF51" i="24"/>
  <c r="AD137" i="25"/>
  <c r="W137" i="25"/>
  <c r="Z137" i="25" s="1"/>
  <c r="AA137" i="25" s="1"/>
  <c r="AB137" i="25" s="1"/>
  <c r="AI137" i="25" s="1"/>
  <c r="V137" i="25"/>
  <c r="X137" i="25" s="1"/>
  <c r="V226" i="25"/>
  <c r="X226" i="25" s="1"/>
  <c r="AK292" i="24"/>
  <c r="AN292" i="24"/>
  <c r="BU292" i="24" s="1"/>
  <c r="AG301" i="24"/>
  <c r="AF301" i="24"/>
  <c r="AD195" i="25"/>
  <c r="W195" i="25"/>
  <c r="Z195" i="25" s="1"/>
  <c r="AA195" i="25" s="1"/>
  <c r="AB195" i="25" s="1"/>
  <c r="AI195" i="25" s="1"/>
  <c r="V195" i="25"/>
  <c r="X195" i="25" s="1"/>
  <c r="AS113" i="25"/>
  <c r="V181" i="25"/>
  <c r="X181" i="25" s="1"/>
  <c r="AG133" i="24"/>
  <c r="AF133" i="24"/>
  <c r="AD301" i="25"/>
  <c r="W301" i="25"/>
  <c r="Z301" i="25" s="1"/>
  <c r="AA301" i="25" s="1"/>
  <c r="AB301" i="25" s="1"/>
  <c r="AI301" i="25" s="1"/>
  <c r="V313" i="25"/>
  <c r="X313" i="25" s="1"/>
  <c r="AG83" i="24"/>
  <c r="AF83" i="24"/>
  <c r="AD140" i="25"/>
  <c r="W140" i="25"/>
  <c r="Z140" i="25" s="1"/>
  <c r="AA140" i="25" s="1"/>
  <c r="AB140" i="25" s="1"/>
  <c r="AI140" i="25" s="1"/>
  <c r="AD128" i="25"/>
  <c r="W128" i="25"/>
  <c r="Z128" i="25" s="1"/>
  <c r="AA128" i="25" s="1"/>
  <c r="AB128" i="25" s="1"/>
  <c r="AI128" i="25" s="1"/>
  <c r="V128" i="25"/>
  <c r="X128" i="25" s="1"/>
  <c r="AG58" i="24"/>
  <c r="AF58" i="24"/>
  <c r="AG269" i="24"/>
  <c r="AF269" i="24"/>
  <c r="AG54" i="24"/>
  <c r="AF54" i="24"/>
  <c r="AG125" i="24"/>
  <c r="AF125" i="24"/>
  <c r="AG178" i="24"/>
  <c r="AF178" i="24"/>
  <c r="AD130" i="25"/>
  <c r="W130" i="25"/>
  <c r="Z130" i="25" s="1"/>
  <c r="AA130" i="25" s="1"/>
  <c r="AB130" i="25" s="1"/>
  <c r="AI130" i="25" s="1"/>
  <c r="V130" i="25"/>
  <c r="X130" i="25" s="1"/>
  <c r="AD136" i="25"/>
  <c r="W136" i="25"/>
  <c r="Z136" i="25" s="1"/>
  <c r="AA136" i="25" s="1"/>
  <c r="AB136" i="25" s="1"/>
  <c r="AI136" i="25" s="1"/>
  <c r="V136" i="25"/>
  <c r="X136" i="25" s="1"/>
  <c r="AG24" i="24"/>
  <c r="AF24" i="24"/>
  <c r="V289" i="25"/>
  <c r="X289" i="25" s="1"/>
  <c r="AF6" i="25"/>
  <c r="AE6" i="25"/>
  <c r="V301" i="25"/>
  <c r="X301" i="25" s="1"/>
  <c r="AG148" i="24"/>
  <c r="AF148" i="24"/>
  <c r="AG117" i="24"/>
  <c r="AF117" i="24"/>
  <c r="AG183" i="24"/>
  <c r="AF183" i="24"/>
  <c r="AG246" i="24"/>
  <c r="AF246" i="24"/>
  <c r="AS243" i="25"/>
  <c r="AF280" i="25"/>
  <c r="AE280" i="25"/>
  <c r="AD7" i="25"/>
  <c r="W7" i="25"/>
  <c r="Z7" i="25" s="1"/>
  <c r="AA7" i="25" s="1"/>
  <c r="AB7" i="25" s="1"/>
  <c r="AI7" i="25" s="1"/>
  <c r="V7" i="25"/>
  <c r="X7" i="25" s="1"/>
  <c r="AD79" i="25"/>
  <c r="W79" i="25"/>
  <c r="Z79" i="25" s="1"/>
  <c r="AA79" i="25" s="1"/>
  <c r="AB79" i="25" s="1"/>
  <c r="AI79" i="25" s="1"/>
  <c r="AG189" i="24"/>
  <c r="AF189" i="24"/>
  <c r="AD156" i="25"/>
  <c r="W156" i="25"/>
  <c r="Z156" i="25" s="1"/>
  <c r="AA156" i="25" s="1"/>
  <c r="AB156" i="25" s="1"/>
  <c r="AI156" i="25" s="1"/>
  <c r="AG200" i="24"/>
  <c r="AF200" i="24"/>
  <c r="AD316" i="25"/>
  <c r="W316" i="25"/>
  <c r="Z316" i="25" s="1"/>
  <c r="AA316" i="25" s="1"/>
  <c r="AB316" i="25" s="1"/>
  <c r="AI316" i="25" s="1"/>
  <c r="V316" i="25"/>
  <c r="X316" i="25" s="1"/>
  <c r="AD164" i="25"/>
  <c r="W164" i="25"/>
  <c r="Z164" i="25" s="1"/>
  <c r="AA164" i="25" s="1"/>
  <c r="AB164" i="25" s="1"/>
  <c r="AI164" i="25" s="1"/>
  <c r="V164" i="25"/>
  <c r="X164" i="25" s="1"/>
  <c r="AD315" i="25"/>
  <c r="W315" i="25"/>
  <c r="Z315" i="25" s="1"/>
  <c r="AA315" i="25" s="1"/>
  <c r="AB315" i="25" s="1"/>
  <c r="AI315" i="25" s="1"/>
  <c r="AD86" i="25"/>
  <c r="W86" i="25"/>
  <c r="Z86" i="25" s="1"/>
  <c r="AA86" i="25" s="1"/>
  <c r="AB86" i="25" s="1"/>
  <c r="AI86" i="25" s="1"/>
  <c r="AG121" i="24"/>
  <c r="AF121" i="24"/>
  <c r="AE96" i="25"/>
  <c r="AG281" i="24"/>
  <c r="AF281" i="24"/>
  <c r="AG296" i="24"/>
  <c r="AF296" i="24"/>
  <c r="AS189" i="25"/>
  <c r="AD119" i="25"/>
  <c r="W119" i="25"/>
  <c r="Z119" i="25" s="1"/>
  <c r="AA119" i="25" s="1"/>
  <c r="AB119" i="25" s="1"/>
  <c r="AI119" i="25" s="1"/>
  <c r="V119" i="25"/>
  <c r="X119" i="25" s="1"/>
  <c r="AG218" i="24"/>
  <c r="AF218" i="24"/>
  <c r="AG28" i="24"/>
  <c r="AF28" i="24"/>
  <c r="AS148" i="25"/>
  <c r="AG298" i="24"/>
  <c r="AF298" i="24"/>
  <c r="AD220" i="25"/>
  <c r="W220" i="25"/>
  <c r="Z220" i="25" s="1"/>
  <c r="AA220" i="25" s="1"/>
  <c r="AB220" i="25" s="1"/>
  <c r="AI220" i="25" s="1"/>
  <c r="AG280" i="24"/>
  <c r="AF280" i="24"/>
  <c r="AD25" i="25"/>
  <c r="W25" i="25"/>
  <c r="Z25" i="25" s="1"/>
  <c r="AA25" i="25" s="1"/>
  <c r="AB25" i="25" s="1"/>
  <c r="AI25" i="25" s="1"/>
  <c r="AN21" i="24"/>
  <c r="BU21" i="24" s="1"/>
  <c r="AK21" i="24"/>
  <c r="AG305" i="24"/>
  <c r="AF305" i="24"/>
  <c r="AF114" i="25"/>
  <c r="AE114" i="25"/>
  <c r="AG96" i="24"/>
  <c r="AF96" i="24"/>
  <c r="AG53" i="24"/>
  <c r="AF53" i="24"/>
  <c r="AS89" i="25"/>
  <c r="AG177" i="24"/>
  <c r="AF177" i="24"/>
  <c r="AF89" i="25"/>
  <c r="AE89" i="25"/>
  <c r="AJ112" i="24"/>
  <c r="AD145" i="25"/>
  <c r="W145" i="25"/>
  <c r="Z145" i="25" s="1"/>
  <c r="AA145" i="25" s="1"/>
  <c r="AB145" i="25" s="1"/>
  <c r="AI145" i="25" s="1"/>
  <c r="V145" i="25"/>
  <c r="X145" i="25" s="1"/>
  <c r="AG201" i="24"/>
  <c r="AF201" i="24"/>
  <c r="AG95" i="24"/>
  <c r="AF95" i="24"/>
  <c r="AG310" i="24"/>
  <c r="AF310" i="24"/>
  <c r="BA162" i="24"/>
  <c r="AD142" i="25"/>
  <c r="W142" i="25"/>
  <c r="Z142" i="25" s="1"/>
  <c r="AA142" i="25" s="1"/>
  <c r="AB142" i="25" s="1"/>
  <c r="AI142" i="25" s="1"/>
  <c r="AK44" i="24"/>
  <c r="AN44" i="24"/>
  <c r="BU44" i="24" s="1"/>
  <c r="AD45" i="25"/>
  <c r="W45" i="25"/>
  <c r="Z45" i="25" s="1"/>
  <c r="AA45" i="25" s="1"/>
  <c r="AB45" i="25" s="1"/>
  <c r="AI45" i="25" s="1"/>
  <c r="V45" i="25"/>
  <c r="X45" i="25" s="1"/>
  <c r="AD285" i="25"/>
  <c r="W285" i="25"/>
  <c r="Z285" i="25" s="1"/>
  <c r="AA285" i="25" s="1"/>
  <c r="AB285" i="25" s="1"/>
  <c r="AI285" i="25" s="1"/>
  <c r="V285" i="25"/>
  <c r="X285" i="25" s="1"/>
  <c r="AG303" i="24"/>
  <c r="AF303" i="24"/>
  <c r="AF87" i="25"/>
  <c r="AE87" i="25"/>
  <c r="AK236" i="24"/>
  <c r="AN236" i="24"/>
  <c r="BU236" i="24" s="1"/>
  <c r="BA160" i="24"/>
  <c r="AF293" i="25"/>
  <c r="AE293" i="25"/>
  <c r="AG302" i="24"/>
  <c r="AF302" i="24"/>
  <c r="AF190" i="25"/>
  <c r="AE190" i="25"/>
  <c r="AF71" i="25"/>
  <c r="AE71" i="25"/>
  <c r="V299" i="25"/>
  <c r="X299" i="25" s="1"/>
  <c r="AD300" i="25"/>
  <c r="W300" i="25"/>
  <c r="Z300" i="25" s="1"/>
  <c r="AA300" i="25" s="1"/>
  <c r="AB300" i="25" s="1"/>
  <c r="AI300" i="25" s="1"/>
  <c r="V300" i="25"/>
  <c r="X300" i="25" s="1"/>
  <c r="AG203" i="24"/>
  <c r="AF203" i="24"/>
  <c r="AD272" i="25"/>
  <c r="W272" i="25"/>
  <c r="Z272" i="25" s="1"/>
  <c r="AA272" i="25" s="1"/>
  <c r="AB272" i="25" s="1"/>
  <c r="AI272" i="25" s="1"/>
  <c r="AS158" i="25"/>
  <c r="AG10" i="24"/>
  <c r="AF10" i="24"/>
  <c r="AS21" i="25"/>
  <c r="AG149" i="24"/>
  <c r="AF149" i="24"/>
  <c r="AS255" i="25"/>
  <c r="AF201" i="25"/>
  <c r="AE201" i="25"/>
  <c r="AG163" i="24"/>
  <c r="AF163" i="24"/>
  <c r="AG182" i="24"/>
  <c r="AF182" i="24"/>
  <c r="AG230" i="24"/>
  <c r="AF230" i="24"/>
  <c r="AG241" i="24"/>
  <c r="AF241" i="24"/>
  <c r="AD65" i="25"/>
  <c r="W65" i="25"/>
  <c r="Z65" i="25" s="1"/>
  <c r="AA65" i="25" s="1"/>
  <c r="AB65" i="25" s="1"/>
  <c r="AI65" i="25" s="1"/>
  <c r="V65" i="25"/>
  <c r="X65" i="25" s="1"/>
  <c r="AS248" i="25"/>
  <c r="AE265" i="25"/>
  <c r="AD23" i="25"/>
  <c r="W23" i="25"/>
  <c r="Z23" i="25" s="1"/>
  <c r="AA23" i="25" s="1"/>
  <c r="AB23" i="25" s="1"/>
  <c r="AI23" i="25" s="1"/>
  <c r="AD47" i="25"/>
  <c r="W47" i="25"/>
  <c r="Z47" i="25" s="1"/>
  <c r="AA47" i="25" s="1"/>
  <c r="AB47" i="25" s="1"/>
  <c r="AI47" i="25" s="1"/>
  <c r="AG46" i="24"/>
  <c r="AF46" i="24"/>
  <c r="AG39" i="24"/>
  <c r="AF39" i="24"/>
  <c r="AT236" i="24"/>
  <c r="AG262" i="24"/>
  <c r="AF262" i="24"/>
  <c r="AS296" i="25"/>
  <c r="AG127" i="24"/>
  <c r="AF127" i="24"/>
  <c r="AS173" i="25"/>
  <c r="AD175" i="25"/>
  <c r="W175" i="25"/>
  <c r="Z175" i="25" s="1"/>
  <c r="AA175" i="25" s="1"/>
  <c r="AB175" i="25" s="1"/>
  <c r="AI175" i="25" s="1"/>
  <c r="AG197" i="24"/>
  <c r="AF197" i="24"/>
  <c r="AD219" i="25"/>
  <c r="W219" i="25"/>
  <c r="Z219" i="25" s="1"/>
  <c r="AA219" i="25" s="1"/>
  <c r="AB219" i="25" s="1"/>
  <c r="AI219" i="25" s="1"/>
  <c r="AG98" i="24"/>
  <c r="AF98" i="24"/>
  <c r="AF113" i="25"/>
  <c r="AE113" i="25"/>
  <c r="AD241" i="25"/>
  <c r="W241" i="25"/>
  <c r="Z241" i="25" s="1"/>
  <c r="AA241" i="25" s="1"/>
  <c r="AB241" i="25" s="1"/>
  <c r="AI241" i="25" s="1"/>
  <c r="V241" i="25"/>
  <c r="X241" i="25" s="1"/>
  <c r="AD309" i="25"/>
  <c r="W309" i="25"/>
  <c r="Z309" i="25" s="1"/>
  <c r="AA309" i="25" s="1"/>
  <c r="AB309" i="25" s="1"/>
  <c r="AI309" i="25" s="1"/>
  <c r="V309" i="25"/>
  <c r="X309" i="25" s="1"/>
  <c r="AG196" i="24"/>
  <c r="AF196" i="24"/>
  <c r="AS174" i="25"/>
  <c r="AG69" i="24"/>
  <c r="AF69" i="24"/>
  <c r="AG313" i="24"/>
  <c r="AF313" i="24"/>
  <c r="AG274" i="24"/>
  <c r="AF274" i="24"/>
  <c r="AD126" i="25"/>
  <c r="W126" i="25"/>
  <c r="Z126" i="25" s="1"/>
  <c r="AA126" i="25" s="1"/>
  <c r="AB126" i="25" s="1"/>
  <c r="AI126" i="25" s="1"/>
  <c r="V126" i="25"/>
  <c r="X126" i="25" s="1"/>
  <c r="AS177" i="25"/>
  <c r="AD19" i="25"/>
  <c r="W19" i="25"/>
  <c r="Z19" i="25" s="1"/>
  <c r="AA19" i="25" s="1"/>
  <c r="AB19" i="25" s="1"/>
  <c r="AI19" i="25" s="1"/>
  <c r="V19" i="25"/>
  <c r="X19" i="25" s="1"/>
  <c r="AD57" i="25"/>
  <c r="W57" i="25"/>
  <c r="Z57" i="25" s="1"/>
  <c r="AA57" i="25" s="1"/>
  <c r="AB57" i="25" s="1"/>
  <c r="AI57" i="25" s="1"/>
  <c r="V57" i="25"/>
  <c r="X57" i="25" s="1"/>
  <c r="AG258" i="24"/>
  <c r="AF258" i="24"/>
  <c r="AD52" i="25"/>
  <c r="W52" i="25"/>
  <c r="Z52" i="25" s="1"/>
  <c r="AA52" i="25" s="1"/>
  <c r="AB52" i="25" s="1"/>
  <c r="AI52" i="25" s="1"/>
  <c r="V52" i="25"/>
  <c r="X52" i="25" s="1"/>
  <c r="AF243" i="25"/>
  <c r="AE243" i="25"/>
  <c r="AK101" i="24"/>
  <c r="AN101" i="24"/>
  <c r="AD284" i="25"/>
  <c r="W284" i="25"/>
  <c r="Z284" i="25" s="1"/>
  <c r="AA284" i="25" s="1"/>
  <c r="AB284" i="25" s="1"/>
  <c r="AI284" i="25" s="1"/>
  <c r="V284" i="25"/>
  <c r="X284" i="25" s="1"/>
  <c r="AG29" i="24"/>
  <c r="AF29" i="24"/>
  <c r="AD8" i="25"/>
  <c r="W8" i="25"/>
  <c r="Z8" i="25" s="1"/>
  <c r="AA8" i="25" s="1"/>
  <c r="AB8" i="25" s="1"/>
  <c r="AI8" i="25" s="1"/>
  <c r="V8" i="25"/>
  <c r="X8" i="25" s="1"/>
  <c r="AD127" i="25"/>
  <c r="W127" i="25"/>
  <c r="Z127" i="25" s="1"/>
  <c r="AA127" i="25" s="1"/>
  <c r="AB127" i="25" s="1"/>
  <c r="AI127" i="25" s="1"/>
  <c r="V127" i="25"/>
  <c r="X127" i="25" s="1"/>
  <c r="AG52" i="24"/>
  <c r="AF52" i="24"/>
  <c r="AS275" i="25"/>
  <c r="AG311" i="24"/>
  <c r="AF311" i="24"/>
  <c r="AG104" i="24"/>
  <c r="AF104" i="24"/>
  <c r="AD105" i="25"/>
  <c r="W105" i="25"/>
  <c r="Z105" i="25" s="1"/>
  <c r="AA105" i="25" s="1"/>
  <c r="AB105" i="25" s="1"/>
  <c r="AI105" i="25" s="1"/>
  <c r="AT199" i="24"/>
  <c r="AG14" i="24"/>
  <c r="AF14" i="24"/>
  <c r="AF148" i="25"/>
  <c r="AE148" i="25"/>
  <c r="AG131" i="24"/>
  <c r="AF131" i="24"/>
  <c r="AG172" i="24"/>
  <c r="AF172" i="24"/>
  <c r="AG179" i="24"/>
  <c r="AF179" i="24"/>
  <c r="AG276" i="24"/>
  <c r="AF276" i="24"/>
  <c r="AS14" i="25"/>
  <c r="AD78" i="25"/>
  <c r="W78" i="25"/>
  <c r="Z78" i="25" s="1"/>
  <c r="AA78" i="25" s="1"/>
  <c r="AB78" i="25" s="1"/>
  <c r="AI78" i="25" s="1"/>
  <c r="AD15" i="25"/>
  <c r="W15" i="25"/>
  <c r="Z15" i="25" s="1"/>
  <c r="AA15" i="25" s="1"/>
  <c r="AB15" i="25" s="1"/>
  <c r="AI15" i="25" s="1"/>
  <c r="V15" i="25"/>
  <c r="X15" i="25" s="1"/>
  <c r="AG254" i="24"/>
  <c r="AF254" i="24"/>
  <c r="AG65" i="24"/>
  <c r="AF65" i="24"/>
  <c r="AS155" i="25"/>
  <c r="AG308" i="24"/>
  <c r="AF308" i="24"/>
  <c r="V230" i="25"/>
  <c r="X230" i="25" s="1"/>
  <c r="AD294" i="25"/>
  <c r="W294" i="25"/>
  <c r="Z294" i="25" s="1"/>
  <c r="AA294" i="25" s="1"/>
  <c r="AB294" i="25" s="1"/>
  <c r="AI294" i="25" s="1"/>
  <c r="V294" i="25"/>
  <c r="X294" i="25" s="1"/>
  <c r="AG81" i="24"/>
  <c r="AF81" i="24"/>
  <c r="AG250" i="24"/>
  <c r="AF250" i="24"/>
  <c r="AD121" i="25"/>
  <c r="W121" i="25"/>
  <c r="Z121" i="25" s="1"/>
  <c r="AA121" i="25" s="1"/>
  <c r="AB121" i="25" s="1"/>
  <c r="AI121" i="25" s="1"/>
  <c r="AG138" i="24"/>
  <c r="AF138" i="24"/>
  <c r="AD188" i="25"/>
  <c r="W188" i="25"/>
  <c r="Z188" i="25" s="1"/>
  <c r="AA188" i="25" s="1"/>
  <c r="AB188" i="25" s="1"/>
  <c r="AI188" i="25" s="1"/>
  <c r="AF262" i="25"/>
  <c r="AE262" i="25"/>
  <c r="AG63" i="24"/>
  <c r="AF63" i="24"/>
  <c r="AG204" i="24"/>
  <c r="AF204" i="24"/>
  <c r="AG186" i="24"/>
  <c r="AF186" i="24"/>
  <c r="AD168" i="25"/>
  <c r="W168" i="25"/>
  <c r="Z168" i="25" s="1"/>
  <c r="AA168" i="25" s="1"/>
  <c r="AB168" i="25" s="1"/>
  <c r="AI168" i="25" s="1"/>
  <c r="V168" i="25"/>
  <c r="X168" i="25" s="1"/>
  <c r="AD205" i="25"/>
  <c r="W205" i="25"/>
  <c r="Z205" i="25" s="1"/>
  <c r="AA205" i="25" s="1"/>
  <c r="AB205" i="25" s="1"/>
  <c r="AI205" i="25" s="1"/>
  <c r="AD41" i="25"/>
  <c r="W41" i="25"/>
  <c r="Z41" i="25" s="1"/>
  <c r="AA41" i="25" s="1"/>
  <c r="AB41" i="25" s="1"/>
  <c r="AI41" i="25" s="1"/>
  <c r="AD304" i="25"/>
  <c r="W304" i="25"/>
  <c r="Z304" i="25" s="1"/>
  <c r="AA304" i="25" s="1"/>
  <c r="AB304" i="25" s="1"/>
  <c r="AI304" i="25" s="1"/>
  <c r="AD150" i="25"/>
  <c r="W150" i="25"/>
  <c r="Z150" i="25" s="1"/>
  <c r="AA150" i="25" s="1"/>
  <c r="AB150" i="25" s="1"/>
  <c r="AI150" i="25" s="1"/>
  <c r="V150" i="25"/>
  <c r="X150" i="25" s="1"/>
  <c r="AD124" i="25"/>
  <c r="W124" i="25"/>
  <c r="Z124" i="25" s="1"/>
  <c r="AA124" i="25" s="1"/>
  <c r="AB124" i="25" s="1"/>
  <c r="AI124" i="25" s="1"/>
  <c r="V124" i="25"/>
  <c r="X124" i="25" s="1"/>
  <c r="AD51" i="25"/>
  <c r="W51" i="25"/>
  <c r="Z51" i="25" s="1"/>
  <c r="AA51" i="25" s="1"/>
  <c r="AB51" i="25" s="1"/>
  <c r="AI51" i="25" s="1"/>
  <c r="V51" i="25"/>
  <c r="X51" i="25" s="1"/>
  <c r="AG194" i="24"/>
  <c r="AF194" i="24"/>
  <c r="AG275" i="24"/>
  <c r="AF275" i="24"/>
  <c r="AF13" i="25"/>
  <c r="AE13" i="25"/>
  <c r="AJ59" i="24"/>
  <c r="AS240" i="25"/>
  <c r="AD200" i="25"/>
  <c r="W200" i="25"/>
  <c r="Z200" i="25" s="1"/>
  <c r="AA200" i="25" s="1"/>
  <c r="AB200" i="25" s="1"/>
  <c r="AI200" i="25" s="1"/>
  <c r="AN294" i="24"/>
  <c r="AK294" i="24"/>
  <c r="AD33" i="25"/>
  <c r="W33" i="25"/>
  <c r="Z33" i="25" s="1"/>
  <c r="AA33" i="25" s="1"/>
  <c r="AB33" i="25" s="1"/>
  <c r="AI33" i="25" s="1"/>
  <c r="V33" i="25"/>
  <c r="X33" i="25" s="1"/>
  <c r="AG245" i="24"/>
  <c r="AF245" i="24"/>
  <c r="AD74" i="25"/>
  <c r="W74" i="25"/>
  <c r="Z74" i="25" s="1"/>
  <c r="AA74" i="25" s="1"/>
  <c r="AB74" i="25" s="1"/>
  <c r="AI74" i="25" s="1"/>
  <c r="AD26" i="25"/>
  <c r="W26" i="25"/>
  <c r="Z26" i="25" s="1"/>
  <c r="AA26" i="25" s="1"/>
  <c r="AB26" i="25" s="1"/>
  <c r="AI26" i="25" s="1"/>
  <c r="V142" i="25"/>
  <c r="X142" i="25" s="1"/>
  <c r="V115" i="25"/>
  <c r="X115" i="25" s="1"/>
  <c r="AJ8" i="24"/>
  <c r="AG90" i="24"/>
  <c r="AF90" i="24"/>
  <c r="AG77" i="24"/>
  <c r="AF77" i="24"/>
  <c r="AJ260" i="24"/>
  <c r="AG286" i="24"/>
  <c r="AF286" i="24"/>
  <c r="AD244" i="25"/>
  <c r="W244" i="25"/>
  <c r="Z244" i="25" s="1"/>
  <c r="AA244" i="25" s="1"/>
  <c r="AB244" i="25" s="1"/>
  <c r="AI244" i="25" s="1"/>
  <c r="V244" i="25"/>
  <c r="X244" i="25" s="1"/>
  <c r="AF158" i="25"/>
  <c r="AE158" i="25"/>
  <c r="AG239" i="24"/>
  <c r="AF239" i="24"/>
  <c r="AF21" i="25"/>
  <c r="AE21" i="25"/>
  <c r="AG304" i="24"/>
  <c r="AF304" i="24"/>
  <c r="AJ271" i="24"/>
  <c r="AG70" i="24"/>
  <c r="AF70" i="24"/>
  <c r="AF255" i="25"/>
  <c r="AE255" i="25"/>
  <c r="BA257" i="24"/>
  <c r="AJ247" i="24"/>
  <c r="AJ279" i="24"/>
  <c r="AG170" i="24"/>
  <c r="AF170" i="24"/>
  <c r="AF248" i="25"/>
  <c r="AE248" i="25"/>
  <c r="AJ126" i="24"/>
  <c r="AJ259" i="24"/>
  <c r="AF296" i="25"/>
  <c r="AE296" i="25"/>
  <c r="AF173" i="25"/>
  <c r="AE173" i="25"/>
  <c r="AD123" i="25"/>
  <c r="W123" i="25"/>
  <c r="Z123" i="25" s="1"/>
  <c r="AA123" i="25" s="1"/>
  <c r="AB123" i="25" s="1"/>
  <c r="AI123" i="25" s="1"/>
  <c r="AD209" i="25"/>
  <c r="W209" i="25"/>
  <c r="Z209" i="25" s="1"/>
  <c r="AA209" i="25" s="1"/>
  <c r="AB209" i="25" s="1"/>
  <c r="AI209" i="25" s="1"/>
  <c r="AJ33" i="24"/>
  <c r="AS229" i="25"/>
  <c r="AJ224" i="24"/>
  <c r="AV22" i="24"/>
  <c r="AT22" i="24"/>
  <c r="AD16" i="25"/>
  <c r="W16" i="25"/>
  <c r="Z16" i="25" s="1"/>
  <c r="AA16" i="25" s="1"/>
  <c r="AB16" i="25" s="1"/>
  <c r="AI16" i="25" s="1"/>
  <c r="V16" i="25"/>
  <c r="X16" i="25" s="1"/>
  <c r="AJ290" i="24"/>
  <c r="AJ30" i="24"/>
  <c r="AJ237" i="24"/>
  <c r="AD98" i="25"/>
  <c r="W98" i="25"/>
  <c r="Z98" i="25" s="1"/>
  <c r="AA98" i="25" s="1"/>
  <c r="AB98" i="25" s="1"/>
  <c r="AI98" i="25" s="1"/>
  <c r="AF174" i="25"/>
  <c r="AE174" i="25"/>
  <c r="AD160" i="25"/>
  <c r="W160" i="25"/>
  <c r="Z160" i="25" s="1"/>
  <c r="AA160" i="25" s="1"/>
  <c r="AB160" i="25" s="1"/>
  <c r="AI160" i="25" s="1"/>
  <c r="AD266" i="25"/>
  <c r="W266" i="25"/>
  <c r="Z266" i="25" s="1"/>
  <c r="AA266" i="25" s="1"/>
  <c r="AB266" i="25" s="1"/>
  <c r="AI266" i="25" s="1"/>
  <c r="AJ145" i="24"/>
  <c r="AJ20" i="24"/>
  <c r="AG82" i="24"/>
  <c r="AF82" i="24"/>
  <c r="V219" i="25"/>
  <c r="X219" i="25" s="1"/>
  <c r="AD60" i="25"/>
  <c r="W60" i="25"/>
  <c r="Z60" i="25" s="1"/>
  <c r="AA60" i="25" s="1"/>
  <c r="AB60" i="25" s="1"/>
  <c r="AI60" i="25" s="1"/>
  <c r="V60" i="25"/>
  <c r="X60" i="25" s="1"/>
  <c r="AD172" i="25"/>
  <c r="W172" i="25"/>
  <c r="Z172" i="25" s="1"/>
  <c r="AA172" i="25" s="1"/>
  <c r="AB172" i="25" s="1"/>
  <c r="AI172" i="25" s="1"/>
  <c r="V172" i="25"/>
  <c r="X172" i="25" s="1"/>
  <c r="AF177" i="25"/>
  <c r="AE177" i="25"/>
  <c r="AJ225" i="24"/>
  <c r="AJ18" i="24"/>
  <c r="AS34" i="25"/>
  <c r="AG158" i="24"/>
  <c r="AF158" i="24"/>
  <c r="AJ238" i="24"/>
  <c r="AJ266" i="24"/>
  <c r="AG116" i="24"/>
  <c r="AF116" i="24"/>
  <c r="AG268" i="24"/>
  <c r="AF268" i="24"/>
  <c r="V278" i="25"/>
  <c r="X278" i="25" s="1"/>
  <c r="AJ6" i="24"/>
  <c r="AJ57" i="24"/>
  <c r="AG195" i="24"/>
  <c r="AF195" i="24"/>
  <c r="AJ235" i="24"/>
  <c r="AG309" i="24"/>
  <c r="AF309" i="24"/>
  <c r="AG255" i="24"/>
  <c r="AF255" i="24"/>
  <c r="AG307" i="24"/>
  <c r="AF307" i="24"/>
  <c r="AJ129" i="24"/>
  <c r="AD233" i="25"/>
  <c r="W233" i="25"/>
  <c r="Z233" i="25" s="1"/>
  <c r="AA233" i="25" s="1"/>
  <c r="AB233" i="25" s="1"/>
  <c r="AI233" i="25" s="1"/>
  <c r="V233" i="25"/>
  <c r="X233" i="25" s="1"/>
  <c r="AJ34" i="24"/>
  <c r="AS92" i="25"/>
  <c r="AD43" i="25"/>
  <c r="W43" i="25"/>
  <c r="Z43" i="25" s="1"/>
  <c r="AA43" i="25" s="1"/>
  <c r="AB43" i="25" s="1"/>
  <c r="AI43" i="25" s="1"/>
  <c r="V43" i="25"/>
  <c r="X43" i="25" s="1"/>
  <c r="AG187" i="24"/>
  <c r="AF187" i="24"/>
  <c r="AS95" i="25"/>
  <c r="AG140" i="24"/>
  <c r="AF140" i="24"/>
  <c r="AD231" i="25"/>
  <c r="W231" i="25"/>
  <c r="Z231" i="25" s="1"/>
  <c r="AA231" i="25" s="1"/>
  <c r="AB231" i="25" s="1"/>
  <c r="AI231" i="25" s="1"/>
  <c r="AG25" i="24"/>
  <c r="AF25" i="24"/>
  <c r="AJ19" i="24"/>
  <c r="AF275" i="25"/>
  <c r="AE275" i="25"/>
  <c r="AD64" i="25"/>
  <c r="W64" i="25"/>
  <c r="Z64" i="25" s="1"/>
  <c r="AA64" i="25" s="1"/>
  <c r="AB64" i="25" s="1"/>
  <c r="AI64" i="25" s="1"/>
  <c r="V64" i="25"/>
  <c r="X64" i="25" s="1"/>
  <c r="AG270" i="24"/>
  <c r="AF270" i="24"/>
  <c r="AW110" i="25"/>
  <c r="AX110" i="25"/>
  <c r="AG277" i="24"/>
  <c r="AF277" i="24"/>
  <c r="AG161" i="24"/>
  <c r="AF161" i="24"/>
  <c r="AS261" i="25"/>
  <c r="AJ240" i="24"/>
  <c r="AG118" i="24"/>
  <c r="AF118" i="24"/>
  <c r="AF14" i="25"/>
  <c r="AE14" i="25"/>
  <c r="AS306" i="25"/>
  <c r="AJ114" i="24"/>
  <c r="AS206" i="25"/>
  <c r="AG210" i="24"/>
  <c r="AF210" i="24"/>
  <c r="AD116" i="25"/>
  <c r="W116" i="25"/>
  <c r="Z116" i="25" s="1"/>
  <c r="AA116" i="25" s="1"/>
  <c r="AB116" i="25" s="1"/>
  <c r="AI116" i="25" s="1"/>
  <c r="AG85" i="24"/>
  <c r="AF85" i="24"/>
  <c r="AG198" i="24"/>
  <c r="AF198" i="24"/>
  <c r="AG112" i="24"/>
  <c r="AF112" i="24"/>
  <c r="AT132" i="24"/>
  <c r="AS246" i="25"/>
  <c r="BA191" i="24"/>
  <c r="AS192" i="25"/>
  <c r="AF240" i="25"/>
  <c r="AE240" i="25"/>
  <c r="AG208" i="24"/>
  <c r="AF208" i="24"/>
  <c r="AD68" i="25"/>
  <c r="W68" i="25"/>
  <c r="Z68" i="25" s="1"/>
  <c r="AA68" i="25" s="1"/>
  <c r="AB68" i="25" s="1"/>
  <c r="AI68" i="25" s="1"/>
  <c r="AD221" i="25"/>
  <c r="W221" i="25"/>
  <c r="Z221" i="25" s="1"/>
  <c r="AA221" i="25" s="1"/>
  <c r="AB221" i="25" s="1"/>
  <c r="AI221" i="25" s="1"/>
  <c r="AG136" i="24"/>
  <c r="AF136" i="24"/>
  <c r="AD245" i="25"/>
  <c r="W245" i="25"/>
  <c r="Z245" i="25" s="1"/>
  <c r="AA245" i="25" s="1"/>
  <c r="AB245" i="25" s="1"/>
  <c r="AI245" i="25" s="1"/>
  <c r="V245" i="25"/>
  <c r="X245" i="25" s="1"/>
  <c r="AJ263" i="24"/>
  <c r="AD27" i="25"/>
  <c r="W27" i="25"/>
  <c r="Z27" i="25" s="1"/>
  <c r="AA27" i="25" s="1"/>
  <c r="AB27" i="25" s="1"/>
  <c r="AI27" i="25" s="1"/>
  <c r="AJ48" i="24"/>
  <c r="AG62" i="24"/>
  <c r="AF62" i="24"/>
  <c r="AD210" i="25"/>
  <c r="W210" i="25"/>
  <c r="Z210" i="25" s="1"/>
  <c r="AA210" i="25" s="1"/>
  <c r="AB210" i="25" s="1"/>
  <c r="AI210" i="25" s="1"/>
  <c r="AG169" i="24"/>
  <c r="AF169" i="24"/>
  <c r="AJ297" i="24"/>
  <c r="AG143" i="24"/>
  <c r="AF143" i="24"/>
  <c r="AD225" i="25"/>
  <c r="W225" i="25"/>
  <c r="Z225" i="25" s="1"/>
  <c r="AA225" i="25" s="1"/>
  <c r="AB225" i="25" s="1"/>
  <c r="AI225" i="25" s="1"/>
  <c r="AJ123" i="24"/>
  <c r="AD133" i="25"/>
  <c r="W133" i="25"/>
  <c r="Z133" i="25" s="1"/>
  <c r="AA133" i="25" s="1"/>
  <c r="AB133" i="25" s="1"/>
  <c r="AI133" i="25" s="1"/>
  <c r="V133" i="25"/>
  <c r="X133" i="25" s="1"/>
  <c r="AN55" i="24"/>
  <c r="CE55" i="24" s="1"/>
  <c r="AK55" i="24"/>
  <c r="AD203" i="25"/>
  <c r="W203" i="25"/>
  <c r="Z203" i="25" s="1"/>
  <c r="AA203" i="25" s="1"/>
  <c r="AB203" i="25" s="1"/>
  <c r="AI203" i="25" s="1"/>
  <c r="AG122" i="24"/>
  <c r="AF122" i="24"/>
  <c r="AG146" i="24"/>
  <c r="AF146" i="24"/>
  <c r="AJ56" i="24"/>
  <c r="AD151" i="25"/>
  <c r="W151" i="25"/>
  <c r="Z151" i="25" s="1"/>
  <c r="AA151" i="25" s="1"/>
  <c r="AB151" i="25" s="1"/>
  <c r="AI151" i="25" s="1"/>
  <c r="V151" i="25"/>
  <c r="X151" i="25" s="1"/>
  <c r="AK190" i="24"/>
  <c r="AN190" i="24"/>
  <c r="AG88" i="24"/>
  <c r="AF88" i="24"/>
  <c r="AG229" i="24"/>
  <c r="AF229" i="24"/>
  <c r="AG92" i="24"/>
  <c r="AF92" i="24"/>
  <c r="AD36" i="25"/>
  <c r="W36" i="25"/>
  <c r="Z36" i="25" s="1"/>
  <c r="AA36" i="25" s="1"/>
  <c r="AB36" i="25" s="1"/>
  <c r="AI36" i="25" s="1"/>
  <c r="V36" i="25"/>
  <c r="X36" i="25" s="1"/>
  <c r="AJ17" i="24"/>
  <c r="AS238" i="25"/>
  <c r="AG316" i="24"/>
  <c r="AF316" i="24"/>
  <c r="AF229" i="25"/>
  <c r="AE229" i="25"/>
  <c r="AS186" i="25"/>
  <c r="AJ9" i="24"/>
  <c r="AD35" i="25"/>
  <c r="W35" i="25"/>
  <c r="Z35" i="25" s="1"/>
  <c r="AA35" i="25" s="1"/>
  <c r="AB35" i="25" s="1"/>
  <c r="AI35" i="25" s="1"/>
  <c r="V35" i="25"/>
  <c r="X35" i="25" s="1"/>
  <c r="AG42" i="24"/>
  <c r="AF42" i="24"/>
  <c r="AD227" i="25"/>
  <c r="W227" i="25"/>
  <c r="Z227" i="25" s="1"/>
  <c r="AA227" i="25" s="1"/>
  <c r="AB227" i="25" s="1"/>
  <c r="AI227" i="25" s="1"/>
  <c r="V227" i="25"/>
  <c r="X227" i="25" s="1"/>
  <c r="AD38" i="25"/>
  <c r="W38" i="25"/>
  <c r="Z38" i="25" s="1"/>
  <c r="AA38" i="25" s="1"/>
  <c r="AB38" i="25" s="1"/>
  <c r="AI38" i="25" s="1"/>
  <c r="AJ219" i="24"/>
  <c r="AG144" i="24"/>
  <c r="AF144" i="24"/>
  <c r="AJ261" i="24"/>
  <c r="AG300" i="24"/>
  <c r="AF300" i="24"/>
  <c r="AD194" i="25"/>
  <c r="W194" i="25"/>
  <c r="Z194" i="25" s="1"/>
  <c r="AA194" i="25" s="1"/>
  <c r="AB194" i="25" s="1"/>
  <c r="AI194" i="25" s="1"/>
  <c r="AD67" i="25"/>
  <c r="W67" i="25"/>
  <c r="Z67" i="25" s="1"/>
  <c r="AA67" i="25" s="1"/>
  <c r="AB67" i="25" s="1"/>
  <c r="AI67" i="25" s="1"/>
  <c r="AX129" i="25"/>
  <c r="AW129" i="25"/>
  <c r="AJ128" i="24"/>
  <c r="AS257" i="25"/>
  <c r="AJ283" i="24"/>
  <c r="AD103" i="25"/>
  <c r="W103" i="25"/>
  <c r="Z103" i="25" s="1"/>
  <c r="AA103" i="25" s="1"/>
  <c r="AB103" i="25" s="1"/>
  <c r="AI103" i="25" s="1"/>
  <c r="AD163" i="25"/>
  <c r="W163" i="25"/>
  <c r="Z163" i="25" s="1"/>
  <c r="AA163" i="25" s="1"/>
  <c r="AB163" i="25" s="1"/>
  <c r="AI163" i="25" s="1"/>
  <c r="V163" i="25"/>
  <c r="X163" i="25" s="1"/>
  <c r="AG15" i="24"/>
  <c r="AF15" i="24"/>
  <c r="AG159" i="24"/>
  <c r="AF159" i="24"/>
  <c r="AG256" i="24"/>
  <c r="AF256" i="24"/>
  <c r="AF34" i="25"/>
  <c r="AE34" i="25"/>
  <c r="AD254" i="25"/>
  <c r="W254" i="25"/>
  <c r="Z254" i="25" s="1"/>
  <c r="AA254" i="25" s="1"/>
  <c r="AB254" i="25" s="1"/>
  <c r="AI254" i="25" s="1"/>
  <c r="V254" i="25"/>
  <c r="X254" i="25" s="1"/>
  <c r="AD234" i="25"/>
  <c r="W234" i="25"/>
  <c r="Z234" i="25" s="1"/>
  <c r="AA234" i="25" s="1"/>
  <c r="AB234" i="25" s="1"/>
  <c r="AI234" i="25" s="1"/>
  <c r="AG180" i="24"/>
  <c r="AF180" i="24"/>
  <c r="AD252" i="25"/>
  <c r="W252" i="25"/>
  <c r="Z252" i="25" s="1"/>
  <c r="AA252" i="25" s="1"/>
  <c r="AB252" i="25" s="1"/>
  <c r="AI252" i="25" s="1"/>
  <c r="V252" i="25"/>
  <c r="X252" i="25" s="1"/>
  <c r="AG252" i="24"/>
  <c r="AF252" i="24"/>
  <c r="AJ299" i="24"/>
  <c r="AD223" i="25"/>
  <c r="W223" i="25"/>
  <c r="Z223" i="25" s="1"/>
  <c r="AA223" i="25" s="1"/>
  <c r="AB223" i="25" s="1"/>
  <c r="AI223" i="25" s="1"/>
  <c r="AD91" i="25"/>
  <c r="W91" i="25"/>
  <c r="Z91" i="25" s="1"/>
  <c r="AA91" i="25" s="1"/>
  <c r="AB91" i="25" s="1"/>
  <c r="AI91" i="25" s="1"/>
  <c r="V91" i="25"/>
  <c r="X91" i="25" s="1"/>
  <c r="AG287" i="24"/>
  <c r="AF287" i="24"/>
  <c r="AG173" i="24"/>
  <c r="AF173" i="24"/>
  <c r="AG11" i="24"/>
  <c r="AF11" i="24"/>
  <c r="AF92" i="25"/>
  <c r="AE92" i="25"/>
  <c r="AG291" i="24"/>
  <c r="AF291" i="24"/>
  <c r="AF95" i="25"/>
  <c r="AE95" i="25"/>
  <c r="AD287" i="25"/>
  <c r="W287" i="25"/>
  <c r="Z287" i="25" s="1"/>
  <c r="AA287" i="25" s="1"/>
  <c r="AB287" i="25" s="1"/>
  <c r="AI287" i="25" s="1"/>
  <c r="AG288" i="24"/>
  <c r="AF288" i="24"/>
  <c r="AJ267" i="24"/>
  <c r="AG222" i="24"/>
  <c r="AF222" i="24"/>
  <c r="AG202" i="24"/>
  <c r="AF202" i="24"/>
  <c r="AD17" i="25"/>
  <c r="W17" i="25"/>
  <c r="Z17" i="25" s="1"/>
  <c r="AA17" i="25" s="1"/>
  <c r="AB17" i="25" s="1"/>
  <c r="AI17" i="25" s="1"/>
  <c r="V17" i="25"/>
  <c r="X17" i="25" s="1"/>
  <c r="AF261" i="25"/>
  <c r="AE261" i="25"/>
  <c r="AD132" i="25"/>
  <c r="W132" i="25"/>
  <c r="Z132" i="25" s="1"/>
  <c r="AA132" i="25" s="1"/>
  <c r="AB132" i="25" s="1"/>
  <c r="AI132" i="25" s="1"/>
  <c r="V132" i="25"/>
  <c r="X132" i="25" s="1"/>
  <c r="AG199" i="24"/>
  <c r="AF199" i="24"/>
  <c r="AS59" i="25"/>
  <c r="AG31" i="24"/>
  <c r="AF31" i="24"/>
  <c r="AG289" i="24"/>
  <c r="AF289" i="24"/>
  <c r="AJ265" i="24"/>
  <c r="AD312" i="25"/>
  <c r="W312" i="25"/>
  <c r="Z312" i="25" s="1"/>
  <c r="AA312" i="25" s="1"/>
  <c r="AB312" i="25" s="1"/>
  <c r="AI312" i="25" s="1"/>
  <c r="V312" i="25"/>
  <c r="X312" i="25" s="1"/>
  <c r="AN7" i="24"/>
  <c r="BU7" i="24" s="1"/>
  <c r="AK7" i="24"/>
  <c r="AJ32" i="24"/>
  <c r="AG105" i="24"/>
  <c r="AF105" i="24"/>
  <c r="AG166" i="24"/>
  <c r="AF166" i="24"/>
  <c r="AF306" i="25"/>
  <c r="AE306" i="25"/>
  <c r="AG113" i="24"/>
  <c r="AF113" i="24"/>
  <c r="AG151" i="24"/>
  <c r="AF151" i="24"/>
  <c r="AG115" i="24"/>
  <c r="AF115" i="24"/>
  <c r="AF206" i="25"/>
  <c r="AE206" i="25"/>
  <c r="AJ282" i="24"/>
  <c r="AS167" i="25"/>
  <c r="AJ155" i="24"/>
  <c r="AJ120" i="24"/>
  <c r="AJ284" i="24"/>
  <c r="AG176" i="24"/>
  <c r="AF176" i="24"/>
  <c r="AD216" i="25"/>
  <c r="W216" i="25"/>
  <c r="Z216" i="25" s="1"/>
  <c r="AA216" i="25" s="1"/>
  <c r="AB216" i="25" s="1"/>
  <c r="AI216" i="25" s="1"/>
  <c r="AJ37" i="24"/>
  <c r="AF246" i="25"/>
  <c r="AE246" i="25"/>
  <c r="AJ242" i="24"/>
  <c r="AD236" i="25"/>
  <c r="W236" i="25"/>
  <c r="Z236" i="25" s="1"/>
  <c r="AA236" i="25" s="1"/>
  <c r="AB236" i="25" s="1"/>
  <c r="AI236" i="25" s="1"/>
  <c r="V236" i="25"/>
  <c r="X236" i="25" s="1"/>
  <c r="AJ12" i="24"/>
  <c r="AD196" i="25"/>
  <c r="W196" i="25"/>
  <c r="Z196" i="25" s="1"/>
  <c r="AA196" i="25" s="1"/>
  <c r="AB196" i="25" s="1"/>
  <c r="AI196" i="25" s="1"/>
  <c r="AG59" i="24"/>
  <c r="AF59" i="24"/>
  <c r="AD135" i="25"/>
  <c r="W135" i="25"/>
  <c r="Z135" i="25" s="1"/>
  <c r="AA135" i="25" s="1"/>
  <c r="AB135" i="25" s="1"/>
  <c r="AI135" i="25" s="1"/>
  <c r="AG157" i="24"/>
  <c r="AF157" i="24"/>
  <c r="AG94" i="24"/>
  <c r="AF94" i="24"/>
  <c r="AJ295" i="24"/>
  <c r="BA233" i="24"/>
  <c r="AG84" i="24"/>
  <c r="AF84" i="24"/>
  <c r="AD208" i="25"/>
  <c r="W208" i="25"/>
  <c r="Z208" i="25" s="1"/>
  <c r="AA208" i="25" s="1"/>
  <c r="AB208" i="25" s="1"/>
  <c r="AI208" i="25" s="1"/>
  <c r="AD99" i="25"/>
  <c r="W99" i="25"/>
  <c r="Z99" i="25" s="1"/>
  <c r="AA99" i="25" s="1"/>
  <c r="AB99" i="25" s="1"/>
  <c r="AI99" i="25" s="1"/>
  <c r="AG314" i="24"/>
  <c r="AF314" i="24"/>
  <c r="V304" i="25"/>
  <c r="X304" i="25" s="1"/>
  <c r="AD270" i="25"/>
  <c r="W270" i="25"/>
  <c r="Z270" i="25" s="1"/>
  <c r="AA270" i="25" s="1"/>
  <c r="AB270" i="25" s="1"/>
  <c r="AI270" i="25" s="1"/>
  <c r="V270" i="25"/>
  <c r="X270" i="25" s="1"/>
  <c r="AJ253" i="24"/>
  <c r="AJ152" i="24"/>
  <c r="AD297" i="25"/>
  <c r="W297" i="25"/>
  <c r="Z297" i="25" s="1"/>
  <c r="AA297" i="25" s="1"/>
  <c r="AB297" i="25" s="1"/>
  <c r="AI297" i="25" s="1"/>
  <c r="AG8" i="24"/>
  <c r="AF8" i="24"/>
  <c r="V157" i="25"/>
  <c r="X157" i="25" s="1"/>
  <c r="V200" i="25"/>
  <c r="X200" i="25" s="1"/>
  <c r="AG260" i="24"/>
  <c r="AF260" i="24"/>
  <c r="V68" i="25"/>
  <c r="X68" i="25" s="1"/>
  <c r="V274" i="25"/>
  <c r="X274" i="25" s="1"/>
  <c r="AG271" i="24"/>
  <c r="AF271" i="24"/>
  <c r="AD139" i="25"/>
  <c r="W139" i="25"/>
  <c r="Z139" i="25" s="1"/>
  <c r="AA139" i="25" s="1"/>
  <c r="AB139" i="25" s="1"/>
  <c r="AI139" i="25" s="1"/>
  <c r="AD144" i="25"/>
  <c r="W144" i="25"/>
  <c r="Z144" i="25" s="1"/>
  <c r="AA144" i="25" s="1"/>
  <c r="AB144" i="25" s="1"/>
  <c r="AI144" i="25" s="1"/>
  <c r="V144" i="25"/>
  <c r="X144" i="25" s="1"/>
  <c r="AD12" i="25"/>
  <c r="W12" i="25"/>
  <c r="Z12" i="25" s="1"/>
  <c r="AA12" i="25" s="1"/>
  <c r="AB12" i="25" s="1"/>
  <c r="AI12" i="25" s="1"/>
  <c r="AG247" i="24"/>
  <c r="AF247" i="24"/>
  <c r="AD101" i="25"/>
  <c r="W101" i="25"/>
  <c r="Z101" i="25" s="1"/>
  <c r="AA101" i="25" s="1"/>
  <c r="AB101" i="25" s="1"/>
  <c r="AI101" i="25" s="1"/>
  <c r="AG279" i="24"/>
  <c r="AF279" i="24"/>
  <c r="AD149" i="25"/>
  <c r="W149" i="25"/>
  <c r="Z149" i="25" s="1"/>
  <c r="AA149" i="25" s="1"/>
  <c r="AB149" i="25" s="1"/>
  <c r="AI149" i="25" s="1"/>
  <c r="V149" i="25"/>
  <c r="X149" i="25" s="1"/>
  <c r="AD80" i="25"/>
  <c r="W80" i="25"/>
  <c r="Z80" i="25" s="1"/>
  <c r="AA80" i="25" s="1"/>
  <c r="AB80" i="25" s="1"/>
  <c r="AI80" i="25" s="1"/>
  <c r="V80" i="25"/>
  <c r="X80" i="25" s="1"/>
  <c r="AG126" i="24"/>
  <c r="AF126" i="24"/>
  <c r="AG259" i="24"/>
  <c r="AF259" i="24"/>
  <c r="AT142" i="24"/>
  <c r="AD73" i="25"/>
  <c r="W73" i="25"/>
  <c r="Z73" i="25" s="1"/>
  <c r="AA73" i="25" s="1"/>
  <c r="AB73" i="25" s="1"/>
  <c r="AI73" i="25" s="1"/>
  <c r="AG193" i="24"/>
  <c r="AF193" i="24"/>
  <c r="AG315" i="24"/>
  <c r="AF315" i="24"/>
  <c r="AF238" i="25"/>
  <c r="AE238" i="25"/>
  <c r="AD307" i="25"/>
  <c r="W307" i="25"/>
  <c r="Z307" i="25" s="1"/>
  <c r="AA307" i="25" s="1"/>
  <c r="AB307" i="25" s="1"/>
  <c r="AI307" i="25" s="1"/>
  <c r="AG86" i="24"/>
  <c r="AF86" i="24"/>
  <c r="V277" i="25"/>
  <c r="X277" i="25" s="1"/>
  <c r="AG33" i="24"/>
  <c r="AF33" i="24"/>
  <c r="AD10" i="25"/>
  <c r="W10" i="25"/>
  <c r="Z10" i="25" s="1"/>
  <c r="AA10" i="25" s="1"/>
  <c r="AB10" i="25" s="1"/>
  <c r="AI10" i="25" s="1"/>
  <c r="AF186" i="25"/>
  <c r="AE186" i="25"/>
  <c r="AG181" i="24"/>
  <c r="AF181" i="24"/>
  <c r="V210" i="25"/>
  <c r="X210" i="25" s="1"/>
  <c r="V12" i="25"/>
  <c r="X12" i="25" s="1"/>
  <c r="AG224" i="24"/>
  <c r="AF224" i="24"/>
  <c r="AS283" i="25"/>
  <c r="AG64" i="24"/>
  <c r="AF64" i="24"/>
  <c r="AG290" i="24"/>
  <c r="AF290" i="24"/>
  <c r="AG30" i="24"/>
  <c r="AF30" i="24"/>
  <c r="AG237" i="24"/>
  <c r="AF237" i="24"/>
  <c r="V23" i="25"/>
  <c r="X23" i="25" s="1"/>
  <c r="AD264" i="25"/>
  <c r="W264" i="25"/>
  <c r="Z264" i="25" s="1"/>
  <c r="AA264" i="25" s="1"/>
  <c r="AB264" i="25" s="1"/>
  <c r="AI264" i="25" s="1"/>
  <c r="AD159" i="25"/>
  <c r="W159" i="25"/>
  <c r="Z159" i="25" s="1"/>
  <c r="AA159" i="25" s="1"/>
  <c r="AB159" i="25" s="1"/>
  <c r="AI159" i="25" s="1"/>
  <c r="AG174" i="24"/>
  <c r="AF174" i="24"/>
  <c r="AG145" i="24"/>
  <c r="AF145" i="24"/>
  <c r="AG20" i="24"/>
  <c r="AF20" i="24"/>
  <c r="AF257" i="25"/>
  <c r="AE257" i="25"/>
  <c r="AS276" i="25"/>
  <c r="AG18" i="24"/>
  <c r="AF18" i="24"/>
  <c r="AJ130" i="24"/>
  <c r="AJ243" i="24"/>
  <c r="AJ248" i="24"/>
  <c r="AG238" i="24"/>
  <c r="AF238" i="24"/>
  <c r="V98" i="25"/>
  <c r="X98" i="25" s="1"/>
  <c r="AG266" i="24"/>
  <c r="AF266" i="24"/>
  <c r="V264" i="25"/>
  <c r="X264" i="25" s="1"/>
  <c r="V100" i="25"/>
  <c r="X100" i="25" s="1"/>
  <c r="AD146" i="25"/>
  <c r="W146" i="25"/>
  <c r="Z146" i="25" s="1"/>
  <c r="AA146" i="25" s="1"/>
  <c r="AB146" i="25" s="1"/>
  <c r="AI146" i="25" s="1"/>
  <c r="V146" i="25"/>
  <c r="X146" i="25" s="1"/>
  <c r="AG6" i="24"/>
  <c r="AF6" i="24"/>
  <c r="AG57" i="24"/>
  <c r="AF57" i="24"/>
  <c r="AG235" i="24"/>
  <c r="AF235" i="24"/>
  <c r="V67" i="25"/>
  <c r="X67" i="25" s="1"/>
  <c r="AJ147" i="24"/>
  <c r="V224" i="25"/>
  <c r="X224" i="25" s="1"/>
  <c r="AG72" i="24"/>
  <c r="AF72" i="24"/>
  <c r="AG129" i="24"/>
  <c r="AF129" i="24"/>
  <c r="AG34" i="24"/>
  <c r="AF34" i="24"/>
  <c r="AS131" i="25"/>
  <c r="V121" i="25"/>
  <c r="X121" i="25" s="1"/>
  <c r="AD58" i="25"/>
  <c r="W58" i="25"/>
  <c r="Z58" i="25" s="1"/>
  <c r="AA58" i="25" s="1"/>
  <c r="AB58" i="25" s="1"/>
  <c r="AI58" i="25" s="1"/>
  <c r="V58" i="25"/>
  <c r="X58" i="25" s="1"/>
  <c r="AD117" i="25"/>
  <c r="W117" i="25"/>
  <c r="Z117" i="25" s="1"/>
  <c r="AA117" i="25" s="1"/>
  <c r="AB117" i="25" s="1"/>
  <c r="AI117" i="25" s="1"/>
  <c r="V117" i="25"/>
  <c r="X117" i="25" s="1"/>
  <c r="AG19" i="24"/>
  <c r="AF19" i="24"/>
  <c r="V286" i="25"/>
  <c r="X286" i="25" s="1"/>
  <c r="AS32" i="25"/>
  <c r="AD55" i="25"/>
  <c r="W55" i="25"/>
  <c r="Z55" i="25" s="1"/>
  <c r="AA55" i="25" s="1"/>
  <c r="AB55" i="25" s="1"/>
  <c r="AI55" i="25" s="1"/>
  <c r="AS273" i="25"/>
  <c r="AJ273" i="24"/>
  <c r="AG240" i="24"/>
  <c r="AF240" i="24"/>
  <c r="AF59" i="25"/>
  <c r="AE59" i="25"/>
  <c r="AD303" i="25"/>
  <c r="W303" i="25"/>
  <c r="Z303" i="25" s="1"/>
  <c r="AA303" i="25" s="1"/>
  <c r="AB303" i="25" s="1"/>
  <c r="AI303" i="25" s="1"/>
  <c r="AD288" i="25"/>
  <c r="W288" i="25"/>
  <c r="Z288" i="25" s="1"/>
  <c r="AA288" i="25" s="1"/>
  <c r="AB288" i="25" s="1"/>
  <c r="AI288" i="25" s="1"/>
  <c r="AD120" i="25"/>
  <c r="W120" i="25"/>
  <c r="Z120" i="25" s="1"/>
  <c r="AA120" i="25" s="1"/>
  <c r="AB120" i="25" s="1"/>
  <c r="AI120" i="25" s="1"/>
  <c r="V120" i="25"/>
  <c r="X120" i="25" s="1"/>
  <c r="V156" i="25"/>
  <c r="X156" i="25" s="1"/>
  <c r="AD279" i="25"/>
  <c r="W279" i="25"/>
  <c r="Z279" i="25" s="1"/>
  <c r="AA279" i="25" s="1"/>
  <c r="AB279" i="25" s="1"/>
  <c r="AI279" i="25" s="1"/>
  <c r="V279" i="25"/>
  <c r="X279" i="25" s="1"/>
  <c r="AS232" i="25"/>
  <c r="AD169" i="25"/>
  <c r="W169" i="25"/>
  <c r="Z169" i="25" s="1"/>
  <c r="AA169" i="25" s="1"/>
  <c r="AB169" i="25" s="1"/>
  <c r="AI169" i="25" s="1"/>
  <c r="V86" i="25"/>
  <c r="X86" i="25" s="1"/>
  <c r="AD207" i="25"/>
  <c r="W207" i="25"/>
  <c r="Z207" i="25" s="1"/>
  <c r="AA207" i="25" s="1"/>
  <c r="AB207" i="25" s="1"/>
  <c r="AI207" i="25" s="1"/>
  <c r="AK132" i="24"/>
  <c r="AN132" i="24"/>
  <c r="AG188" i="24"/>
  <c r="AF188" i="24"/>
  <c r="AG114" i="24"/>
  <c r="AF114" i="24"/>
  <c r="AD249" i="25"/>
  <c r="W249" i="25"/>
  <c r="Z249" i="25" s="1"/>
  <c r="AA249" i="25" s="1"/>
  <c r="AB249" i="25" s="1"/>
  <c r="AI249" i="25" s="1"/>
  <c r="AD251" i="25"/>
  <c r="W251" i="25"/>
  <c r="Z251" i="25" s="1"/>
  <c r="AA251" i="25" s="1"/>
  <c r="AB251" i="25" s="1"/>
  <c r="AI251" i="25" s="1"/>
  <c r="AJ232" i="24"/>
  <c r="AD56" i="25"/>
  <c r="W56" i="25"/>
  <c r="Z56" i="25" s="1"/>
  <c r="AA56" i="25" s="1"/>
  <c r="AB56" i="25" s="1"/>
  <c r="AI56" i="25" s="1"/>
  <c r="AF167" i="25"/>
  <c r="AE167" i="25"/>
  <c r="AD18" i="25"/>
  <c r="W18" i="25"/>
  <c r="Z18" i="25" s="1"/>
  <c r="AA18" i="25" s="1"/>
  <c r="AB18" i="25" s="1"/>
  <c r="AI18" i="25" s="1"/>
  <c r="AD269" i="25"/>
  <c r="W269" i="25"/>
  <c r="Z269" i="25" s="1"/>
  <c r="AA269" i="25" s="1"/>
  <c r="AB269" i="25" s="1"/>
  <c r="AI269" i="25" s="1"/>
  <c r="V269" i="25"/>
  <c r="X269" i="25" s="1"/>
  <c r="AG272" i="24"/>
  <c r="AF272" i="24"/>
  <c r="AD162" i="25"/>
  <c r="W162" i="25"/>
  <c r="Z162" i="25" s="1"/>
  <c r="AA162" i="25" s="1"/>
  <c r="AB162" i="25" s="1"/>
  <c r="AI162" i="25" s="1"/>
  <c r="V162" i="25"/>
  <c r="X162" i="25" s="1"/>
  <c r="AS199" i="25"/>
  <c r="AD22" i="25"/>
  <c r="W22" i="25"/>
  <c r="Z22" i="25" s="1"/>
  <c r="AA22" i="25" s="1"/>
  <c r="AB22" i="25" s="1"/>
  <c r="AI22" i="25" s="1"/>
  <c r="AG137" i="24"/>
  <c r="AF137" i="24"/>
  <c r="AS314" i="25"/>
  <c r="AD138" i="25"/>
  <c r="W138" i="25"/>
  <c r="Z138" i="25" s="1"/>
  <c r="AA138" i="25" s="1"/>
  <c r="AB138" i="25" s="1"/>
  <c r="AI138" i="25" s="1"/>
  <c r="V222" i="25"/>
  <c r="X222" i="25" s="1"/>
  <c r="AD184" i="25"/>
  <c r="W184" i="25"/>
  <c r="Z184" i="25" s="1"/>
  <c r="AA184" i="25" s="1"/>
  <c r="AB184" i="25" s="1"/>
  <c r="AI184" i="25" s="1"/>
  <c r="V184" i="25"/>
  <c r="X184" i="25" s="1"/>
  <c r="AG156" i="24"/>
  <c r="AF156" i="24"/>
  <c r="V81" i="25"/>
  <c r="X81" i="25" s="1"/>
  <c r="V216" i="25"/>
  <c r="X216" i="25" s="1"/>
  <c r="AG263" i="24"/>
  <c r="AF263" i="24"/>
  <c r="AG48" i="24"/>
  <c r="AF48" i="24"/>
  <c r="AD84" i="25"/>
  <c r="W84" i="25"/>
  <c r="Z84" i="25" s="1"/>
  <c r="AA84" i="25" s="1"/>
  <c r="AB84" i="25" s="1"/>
  <c r="AI84" i="25" s="1"/>
  <c r="AG297" i="24"/>
  <c r="AF297" i="24"/>
  <c r="AD90" i="25"/>
  <c r="W90" i="25"/>
  <c r="Z90" i="25" s="1"/>
  <c r="AA90" i="25" s="1"/>
  <c r="AB90" i="25" s="1"/>
  <c r="AI90" i="25" s="1"/>
  <c r="V135" i="25"/>
  <c r="X135" i="25" s="1"/>
  <c r="AG123" i="24"/>
  <c r="AF123" i="24"/>
  <c r="AD185" i="25"/>
  <c r="W185" i="25"/>
  <c r="Z185" i="25" s="1"/>
  <c r="AA185" i="25" s="1"/>
  <c r="AB185" i="25" s="1"/>
  <c r="AI185" i="25" s="1"/>
  <c r="V185" i="25"/>
  <c r="X185" i="25" s="1"/>
  <c r="AD69" i="25"/>
  <c r="W69" i="25"/>
  <c r="Z69" i="25" s="1"/>
  <c r="AA69" i="25" s="1"/>
  <c r="AB69" i="25" s="1"/>
  <c r="AI69" i="25" s="1"/>
  <c r="V69" i="25"/>
  <c r="X69" i="25" s="1"/>
  <c r="AD202" i="25"/>
  <c r="W202" i="25"/>
  <c r="Z202" i="25" s="1"/>
  <c r="AA202" i="25" s="1"/>
  <c r="AB202" i="25" s="1"/>
  <c r="AI202" i="25" s="1"/>
  <c r="AD171" i="25"/>
  <c r="W171" i="25"/>
  <c r="Z171" i="25" s="1"/>
  <c r="AA171" i="25" s="1"/>
  <c r="AB171" i="25" s="1"/>
  <c r="AI171" i="25" s="1"/>
  <c r="AG56" i="24"/>
  <c r="AF56" i="24"/>
  <c r="AD217" i="25"/>
  <c r="W217" i="25"/>
  <c r="Z217" i="25" s="1"/>
  <c r="AA217" i="25" s="1"/>
  <c r="AB217" i="25" s="1"/>
  <c r="AI217" i="25" s="1"/>
  <c r="V75" i="25"/>
  <c r="X75" i="25" s="1"/>
  <c r="AS31" i="25"/>
  <c r="V297" i="25"/>
  <c r="X297" i="25" s="1"/>
  <c r="AD54" i="25"/>
  <c r="W54" i="25"/>
  <c r="Z54" i="25" s="1"/>
  <c r="AA54" i="25" s="1"/>
  <c r="AB54" i="25" s="1"/>
  <c r="AI54" i="25" s="1"/>
  <c r="V54" i="25"/>
  <c r="X54" i="25" s="1"/>
  <c r="AD310" i="25"/>
  <c r="W310" i="25"/>
  <c r="Z310" i="25" s="1"/>
  <c r="AA310" i="25" s="1"/>
  <c r="AB310" i="25" s="1"/>
  <c r="AI310" i="25" s="1"/>
  <c r="V310" i="25"/>
  <c r="X310" i="25" s="1"/>
  <c r="AS204" i="25"/>
  <c r="AD176" i="25"/>
  <c r="W176" i="25"/>
  <c r="Z176" i="25" s="1"/>
  <c r="AA176" i="25" s="1"/>
  <c r="AB176" i="25" s="1"/>
  <c r="AI176" i="25" s="1"/>
  <c r="V176" i="25"/>
  <c r="X176" i="25" s="1"/>
  <c r="AG17" i="24"/>
  <c r="AF17" i="24"/>
  <c r="AG9" i="24"/>
  <c r="AF9" i="24"/>
  <c r="AS282" i="25"/>
  <c r="AF283" i="25"/>
  <c r="AE283" i="25"/>
  <c r="AG219" i="24"/>
  <c r="AF219" i="24"/>
  <c r="AG261" i="24"/>
  <c r="AF261" i="24"/>
  <c r="AD83" i="25"/>
  <c r="W83" i="25"/>
  <c r="Z83" i="25" s="1"/>
  <c r="AA83" i="25" s="1"/>
  <c r="AB83" i="25" s="1"/>
  <c r="AI83" i="25" s="1"/>
  <c r="V83" i="25"/>
  <c r="X83" i="25" s="1"/>
  <c r="V72" i="25"/>
  <c r="X72" i="25" s="1"/>
  <c r="AG167" i="24"/>
  <c r="AF167" i="24"/>
  <c r="AD153" i="25"/>
  <c r="W153" i="25"/>
  <c r="Z153" i="25" s="1"/>
  <c r="AA153" i="25" s="1"/>
  <c r="AB153" i="25" s="1"/>
  <c r="AI153" i="25" s="1"/>
  <c r="V153" i="25"/>
  <c r="X153" i="25" s="1"/>
  <c r="AD61" i="25"/>
  <c r="W61" i="25"/>
  <c r="Z61" i="25" s="1"/>
  <c r="AA61" i="25" s="1"/>
  <c r="AB61" i="25" s="1"/>
  <c r="AI61" i="25" s="1"/>
  <c r="V61" i="25"/>
  <c r="X61" i="25" s="1"/>
  <c r="AG164" i="24"/>
  <c r="AF164" i="24"/>
  <c r="AX143" i="25"/>
  <c r="AW143" i="25"/>
  <c r="AT292" i="24"/>
  <c r="AD290" i="25"/>
  <c r="W290" i="25"/>
  <c r="Z290" i="25" s="1"/>
  <c r="AA290" i="25" s="1"/>
  <c r="AB290" i="25" s="1"/>
  <c r="AI290" i="25" s="1"/>
  <c r="V290" i="25"/>
  <c r="X290" i="25" s="1"/>
  <c r="AG128" i="24"/>
  <c r="AF128" i="24"/>
  <c r="AS178" i="25"/>
  <c r="AG283" i="24"/>
  <c r="AF283" i="24"/>
  <c r="AG225" i="24"/>
  <c r="AF225" i="24"/>
  <c r="AF276" i="25"/>
  <c r="AE276" i="25"/>
  <c r="AD182" i="25"/>
  <c r="W182" i="25"/>
  <c r="Z182" i="25" s="1"/>
  <c r="AA182" i="25" s="1"/>
  <c r="AB182" i="25" s="1"/>
  <c r="AI182" i="25" s="1"/>
  <c r="V182" i="25"/>
  <c r="X182" i="25" s="1"/>
  <c r="AD218" i="25"/>
  <c r="W218" i="25"/>
  <c r="Z218" i="25" s="1"/>
  <c r="AA218" i="25" s="1"/>
  <c r="AB218" i="25" s="1"/>
  <c r="AI218" i="25" s="1"/>
  <c r="AG61" i="24"/>
  <c r="AF61" i="24"/>
  <c r="AS170" i="25"/>
  <c r="AG299" i="24"/>
  <c r="AF299" i="24"/>
  <c r="AG68" i="24"/>
  <c r="AF68" i="24"/>
  <c r="AG207" i="24"/>
  <c r="AF207" i="24"/>
  <c r="AF131" i="25"/>
  <c r="AE131" i="25"/>
  <c r="AD40" i="25"/>
  <c r="W40" i="25"/>
  <c r="Z40" i="25" s="1"/>
  <c r="AA40" i="25" s="1"/>
  <c r="AB40" i="25" s="1"/>
  <c r="AI40" i="25" s="1"/>
  <c r="AD302" i="25"/>
  <c r="W302" i="25"/>
  <c r="Z302" i="25" s="1"/>
  <c r="AA302" i="25" s="1"/>
  <c r="AB302" i="25" s="1"/>
  <c r="AI302" i="25" s="1"/>
  <c r="V93" i="25"/>
  <c r="X93" i="25" s="1"/>
  <c r="AD53" i="25"/>
  <c r="W53" i="25"/>
  <c r="Z53" i="25" s="1"/>
  <c r="AA53" i="25" s="1"/>
  <c r="AB53" i="25" s="1"/>
  <c r="AI53" i="25" s="1"/>
  <c r="AD122" i="25"/>
  <c r="W122" i="25"/>
  <c r="Z122" i="25" s="1"/>
  <c r="AA122" i="25" s="1"/>
  <c r="AB122" i="25" s="1"/>
  <c r="AI122" i="25" s="1"/>
  <c r="AG209" i="24"/>
  <c r="AF209" i="24"/>
  <c r="AF32" i="25"/>
  <c r="AE32" i="25"/>
  <c r="AG267" i="24"/>
  <c r="AF267" i="24"/>
  <c r="AF273" i="25"/>
  <c r="AE273" i="25"/>
  <c r="AD46" i="25"/>
  <c r="W46" i="25"/>
  <c r="Z46" i="25" s="1"/>
  <c r="AA46" i="25" s="1"/>
  <c r="AB46" i="25" s="1"/>
  <c r="AI46" i="25" s="1"/>
  <c r="V46" i="25"/>
  <c r="X46" i="25" s="1"/>
  <c r="AG265" i="24"/>
  <c r="AF265" i="24"/>
  <c r="AD112" i="25"/>
  <c r="W112" i="25"/>
  <c r="Z112" i="25" s="1"/>
  <c r="AA112" i="25" s="1"/>
  <c r="AB112" i="25" s="1"/>
  <c r="AI112" i="25" s="1"/>
  <c r="V315" i="25"/>
  <c r="X315" i="25" s="1"/>
  <c r="AG32" i="24"/>
  <c r="AF32" i="24"/>
  <c r="AS104" i="25"/>
  <c r="AK160" i="24"/>
  <c r="AN160" i="24"/>
  <c r="AG282" i="24"/>
  <c r="AF282" i="24"/>
  <c r="AS11" i="25"/>
  <c r="AG155" i="24"/>
  <c r="AF155" i="24"/>
  <c r="AG120" i="24"/>
  <c r="AF120" i="24"/>
  <c r="AG284" i="24"/>
  <c r="AF284" i="24"/>
  <c r="BU101" i="24" l="1"/>
  <c r="CE101" i="24"/>
  <c r="AF11" i="25"/>
  <c r="AE155" i="25"/>
  <c r="AJ155" i="25" s="1"/>
  <c r="BU55" i="24"/>
  <c r="BU22" i="24"/>
  <c r="BU45" i="24"/>
  <c r="AF96" i="25"/>
  <c r="AJ96" i="25" s="1"/>
  <c r="AV27" i="24"/>
  <c r="AT81" i="24"/>
  <c r="BA81" i="24" s="1"/>
  <c r="AT49" i="24"/>
  <c r="BA49" i="24" s="1"/>
  <c r="AT39" i="24"/>
  <c r="BA39" i="24" s="1"/>
  <c r="AV77" i="24"/>
  <c r="AV65" i="24"/>
  <c r="AV104" i="24"/>
  <c r="AV66" i="24"/>
  <c r="AV103" i="24"/>
  <c r="AV64" i="24"/>
  <c r="AV102" i="24"/>
  <c r="AV23" i="24"/>
  <c r="AV61" i="24"/>
  <c r="AV78" i="24"/>
  <c r="AT72" i="24"/>
  <c r="BA72" i="24" s="1"/>
  <c r="AV86" i="24"/>
  <c r="AV98" i="24"/>
  <c r="AT62" i="24"/>
  <c r="BA62" i="24" s="1"/>
  <c r="AV69" i="24"/>
  <c r="AV10" i="24"/>
  <c r="AV15" i="24"/>
  <c r="AV38" i="24"/>
  <c r="AV50" i="24"/>
  <c r="AV40" i="24"/>
  <c r="AV60" i="24"/>
  <c r="AV47" i="24"/>
  <c r="AV63" i="24"/>
  <c r="AV83" i="24"/>
  <c r="AV80" i="24"/>
  <c r="AV100" i="24"/>
  <c r="AV84" i="24"/>
  <c r="AV76" i="24"/>
  <c r="AV70" i="24"/>
  <c r="AV91" i="24"/>
  <c r="AV43" i="24"/>
  <c r="AV68" i="24"/>
  <c r="AT92" i="24"/>
  <c r="AT95" i="24"/>
  <c r="BA95" i="24" s="1"/>
  <c r="AV16" i="24"/>
  <c r="AV105" i="24"/>
  <c r="AV46" i="24"/>
  <c r="AV52" i="24"/>
  <c r="AV53" i="24"/>
  <c r="AV71" i="24"/>
  <c r="AV82" i="24"/>
  <c r="AV73" i="24"/>
  <c r="AT74" i="24"/>
  <c r="BA74" i="24" s="1"/>
  <c r="AT93" i="24"/>
  <c r="BA93" i="24" s="1"/>
  <c r="AV89" i="24"/>
  <c r="AV99" i="24"/>
  <c r="AT14" i="24"/>
  <c r="BA14" i="24" s="1"/>
  <c r="AV11" i="24"/>
  <c r="AV88" i="24"/>
  <c r="AV79" i="24"/>
  <c r="AT97" i="24"/>
  <c r="BA97" i="24" s="1"/>
  <c r="AV75" i="24"/>
  <c r="AV85" i="24"/>
  <c r="AV94" i="24"/>
  <c r="AT25" i="24"/>
  <c r="BA25" i="24" s="1"/>
  <c r="AV29" i="24"/>
  <c r="AV31" i="24"/>
  <c r="AV13" i="24"/>
  <c r="AV36" i="24"/>
  <c r="AV42" i="24"/>
  <c r="AV87" i="24"/>
  <c r="AV67" i="24"/>
  <c r="AV90" i="24"/>
  <c r="AV96" i="24"/>
  <c r="AT103" i="24"/>
  <c r="BA103" i="24" s="1"/>
  <c r="AJ143" i="25"/>
  <c r="AT105" i="24"/>
  <c r="BA105" i="24" s="1"/>
  <c r="AT99" i="24"/>
  <c r="BA99" i="24" s="1"/>
  <c r="AF258" i="25"/>
  <c r="AJ258" i="25" s="1"/>
  <c r="AE189" i="25"/>
  <c r="AJ189" i="25" s="1"/>
  <c r="AT90" i="24"/>
  <c r="BA90" i="24" s="1"/>
  <c r="AT96" i="24"/>
  <c r="BA96" i="24" s="1"/>
  <c r="AT42" i="24"/>
  <c r="BA42" i="24" s="1"/>
  <c r="AT94" i="24"/>
  <c r="BA94" i="24" s="1"/>
  <c r="AT85" i="24"/>
  <c r="BA85" i="24" s="1"/>
  <c r="AT89" i="24"/>
  <c r="BA89" i="24" s="1"/>
  <c r="AV72" i="24"/>
  <c r="AV62" i="24"/>
  <c r="AT69" i="24"/>
  <c r="BA69" i="24" s="1"/>
  <c r="AT80" i="24"/>
  <c r="BA80" i="24" s="1"/>
  <c r="AT100" i="24"/>
  <c r="BA100" i="24" s="1"/>
  <c r="AT84" i="24"/>
  <c r="BA84" i="24" s="1"/>
  <c r="AV81" i="24"/>
  <c r="AF154" i="25"/>
  <c r="BU142" i="24"/>
  <c r="AT66" i="24"/>
  <c r="BA66" i="24" s="1"/>
  <c r="AT91" i="24"/>
  <c r="BA91" i="24" s="1"/>
  <c r="AF97" i="25"/>
  <c r="AJ97" i="25" s="1"/>
  <c r="AT102" i="24"/>
  <c r="BA102" i="24" s="1"/>
  <c r="AT70" i="24"/>
  <c r="BA70" i="24" s="1"/>
  <c r="AT86" i="24"/>
  <c r="BA86" i="24" s="1"/>
  <c r="AE154" i="25"/>
  <c r="AT98" i="24"/>
  <c r="BA98" i="24" s="1"/>
  <c r="AT75" i="24"/>
  <c r="BA75" i="24" s="1"/>
  <c r="AV97" i="24"/>
  <c r="AT79" i="24"/>
  <c r="BA79" i="24" s="1"/>
  <c r="AT88" i="24"/>
  <c r="BA88" i="24" s="1"/>
  <c r="AV74" i="24"/>
  <c r="AV93" i="24"/>
  <c r="AV95" i="24"/>
  <c r="AT87" i="24"/>
  <c r="BA87" i="24" s="1"/>
  <c r="AE104" i="25"/>
  <c r="AJ104" i="25" s="1"/>
  <c r="AV92" i="24"/>
  <c r="AT68" i="24"/>
  <c r="BA68" i="24" s="1"/>
  <c r="AT43" i="24"/>
  <c r="BA43" i="24" s="1"/>
  <c r="AF179" i="25"/>
  <c r="AJ179" i="25" s="1"/>
  <c r="AT65" i="24"/>
  <c r="BA65" i="24" s="1"/>
  <c r="AT104" i="24"/>
  <c r="BA104" i="24" s="1"/>
  <c r="AF265" i="25"/>
  <c r="AJ265" i="25" s="1"/>
  <c r="AT53" i="24"/>
  <c r="BA53" i="24" s="1"/>
  <c r="AT82" i="24"/>
  <c r="BA82" i="24" s="1"/>
  <c r="AT73" i="24"/>
  <c r="BA73" i="24" s="1"/>
  <c r="AT83" i="24"/>
  <c r="BA83" i="24" s="1"/>
  <c r="AF29" i="25"/>
  <c r="AM29" i="25" s="1"/>
  <c r="AT78" i="24"/>
  <c r="BA78" i="24" s="1"/>
  <c r="AT23" i="24"/>
  <c r="BA23" i="24" s="1"/>
  <c r="AT61" i="24"/>
  <c r="BA61" i="24" s="1"/>
  <c r="AV39" i="24"/>
  <c r="AF291" i="25"/>
  <c r="AM291" i="25" s="1"/>
  <c r="AT77" i="24"/>
  <c r="BA77" i="24" s="1"/>
  <c r="AV49" i="24"/>
  <c r="BW142" i="24"/>
  <c r="AV14" i="24"/>
  <c r="BW22" i="24"/>
  <c r="AT64" i="24"/>
  <c r="BA64" i="24" s="1"/>
  <c r="BH142" i="24"/>
  <c r="AT76" i="24"/>
  <c r="BA76" i="24" s="1"/>
  <c r="AF28" i="25"/>
  <c r="AM28" i="25" s="1"/>
  <c r="AT46" i="24"/>
  <c r="BA46" i="24" s="1"/>
  <c r="AT50" i="24"/>
  <c r="BA50" i="24" s="1"/>
  <c r="AT47" i="24"/>
  <c r="BA47" i="24" s="1"/>
  <c r="AT60" i="24"/>
  <c r="BA60" i="24" s="1"/>
  <c r="AT40" i="24"/>
  <c r="BA40" i="24" s="1"/>
  <c r="AT38" i="24"/>
  <c r="BA38" i="24" s="1"/>
  <c r="AT15" i="24"/>
  <c r="BA15" i="24" s="1"/>
  <c r="BH292" i="24"/>
  <c r="AX292" i="24"/>
  <c r="BW292" i="24"/>
  <c r="BW264" i="24"/>
  <c r="AT10" i="24"/>
  <c r="BA10" i="24" s="1"/>
  <c r="AT71" i="24"/>
  <c r="BA71" i="24" s="1"/>
  <c r="AT63" i="24"/>
  <c r="BA63" i="24" s="1"/>
  <c r="AT52" i="24"/>
  <c r="BA52" i="24" s="1"/>
  <c r="AT11" i="24"/>
  <c r="BA11" i="24" s="1"/>
  <c r="AV25" i="24"/>
  <c r="AT13" i="24"/>
  <c r="BA13" i="24" s="1"/>
  <c r="AT16" i="24"/>
  <c r="BA16" i="24" s="1"/>
  <c r="AT29" i="24"/>
  <c r="BA29" i="24" s="1"/>
  <c r="AT36" i="24"/>
  <c r="BA36" i="24" s="1"/>
  <c r="AT27" i="24"/>
  <c r="BA27" i="24" s="1"/>
  <c r="AT31" i="24"/>
  <c r="BA31" i="24" s="1"/>
  <c r="AF237" i="25"/>
  <c r="O212" i="25"/>
  <c r="P212" i="25"/>
  <c r="T212" i="25"/>
  <c r="U212" i="25" s="1"/>
  <c r="BH22" i="24"/>
  <c r="AX77" i="25"/>
  <c r="AF77" i="25"/>
  <c r="AE77" i="25"/>
  <c r="BU264" i="24"/>
  <c r="BH236" i="24"/>
  <c r="BW236" i="24"/>
  <c r="BH264" i="24"/>
  <c r="AX236" i="24"/>
  <c r="AJ131" i="25"/>
  <c r="AM131" i="25"/>
  <c r="AN284" i="24"/>
  <c r="BU284" i="24" s="1"/>
  <c r="AK284" i="24"/>
  <c r="AS53" i="25"/>
  <c r="AF40" i="25"/>
  <c r="AE40" i="25"/>
  <c r="AK128" i="24"/>
  <c r="AN128" i="24"/>
  <c r="BW128" i="24" s="1"/>
  <c r="AN261" i="24"/>
  <c r="BW261" i="24" s="1"/>
  <c r="AK261" i="24"/>
  <c r="BA220" i="24"/>
  <c r="AX31" i="25"/>
  <c r="AW31" i="25"/>
  <c r="BA154" i="24"/>
  <c r="AS202" i="25"/>
  <c r="AS185" i="25"/>
  <c r="AN48" i="24"/>
  <c r="BU48" i="24" s="1"/>
  <c r="AK48" i="24"/>
  <c r="AS269" i="25"/>
  <c r="AT232" i="24"/>
  <c r="BA165" i="24"/>
  <c r="AS120" i="25"/>
  <c r="AJ59" i="25"/>
  <c r="AM59" i="25"/>
  <c r="AS58" i="25"/>
  <c r="AX131" i="25"/>
  <c r="AW131" i="25"/>
  <c r="AN235" i="24"/>
  <c r="AX235" i="24" s="1"/>
  <c r="AK235" i="24"/>
  <c r="AF146" i="25"/>
  <c r="AE146" i="25"/>
  <c r="AT248" i="24"/>
  <c r="AJ257" i="25"/>
  <c r="AM257" i="25"/>
  <c r="AS159" i="25"/>
  <c r="AN224" i="24"/>
  <c r="BU224" i="24" s="1"/>
  <c r="AK224" i="24"/>
  <c r="AF10" i="25"/>
  <c r="AE10" i="25"/>
  <c r="AN86" i="24"/>
  <c r="BU86" i="24" s="1"/>
  <c r="AK86" i="24"/>
  <c r="AN193" i="24"/>
  <c r="CE193" i="24" s="1"/>
  <c r="AK193" i="24"/>
  <c r="BA142" i="24"/>
  <c r="AS12" i="25"/>
  <c r="AK271" i="24"/>
  <c r="AN271" i="24"/>
  <c r="BW271" i="24" s="1"/>
  <c r="AT253" i="24"/>
  <c r="AS99" i="25"/>
  <c r="AS196" i="25"/>
  <c r="AF236" i="25"/>
  <c r="AE236" i="25"/>
  <c r="AK176" i="24"/>
  <c r="AN176" i="24"/>
  <c r="AT155" i="24"/>
  <c r="AT282" i="24"/>
  <c r="AS312" i="25"/>
  <c r="AK199" i="24"/>
  <c r="AN199" i="24"/>
  <c r="AF17" i="25"/>
  <c r="AE17" i="25"/>
  <c r="AT267" i="24"/>
  <c r="BA207" i="24"/>
  <c r="AM92" i="25"/>
  <c r="CE92" i="25" s="1"/>
  <c r="AJ92" i="25"/>
  <c r="AS254" i="25"/>
  <c r="AS67" i="25"/>
  <c r="BA164" i="24"/>
  <c r="AV9" i="24"/>
  <c r="AT9" i="24"/>
  <c r="AN316" i="24"/>
  <c r="AK316" i="24"/>
  <c r="AV17" i="24"/>
  <c r="AT17" i="24"/>
  <c r="AF225" i="25"/>
  <c r="AE225" i="25"/>
  <c r="AT263" i="24"/>
  <c r="AS221" i="25"/>
  <c r="BA272" i="24"/>
  <c r="BA132" i="24"/>
  <c r="BA223" i="24"/>
  <c r="AS116" i="25"/>
  <c r="AM155" i="25"/>
  <c r="AK25" i="24"/>
  <c r="AN25" i="24"/>
  <c r="BU25" i="24" s="1"/>
  <c r="AT145" i="24"/>
  <c r="AJ174" i="25"/>
  <c r="AM174" i="25"/>
  <c r="CE174" i="25" s="1"/>
  <c r="AT290" i="24"/>
  <c r="AF123" i="25"/>
  <c r="AE123" i="25"/>
  <c r="AT126" i="24"/>
  <c r="AT279" i="24"/>
  <c r="AJ255" i="25"/>
  <c r="AM255" i="25"/>
  <c r="AM21" i="25"/>
  <c r="AJ21" i="25"/>
  <c r="AS244" i="25"/>
  <c r="AS33" i="25"/>
  <c r="AF200" i="25"/>
  <c r="AE200" i="25"/>
  <c r="AK275" i="24"/>
  <c r="AN275" i="24"/>
  <c r="CE275" i="24" s="1"/>
  <c r="AS121" i="25"/>
  <c r="AX155" i="25"/>
  <c r="AW155" i="25"/>
  <c r="AK276" i="24"/>
  <c r="AN276" i="24"/>
  <c r="AK104" i="24"/>
  <c r="AN104" i="24"/>
  <c r="AS127" i="25"/>
  <c r="AK29" i="24"/>
  <c r="AN29" i="24"/>
  <c r="BU29" i="24" s="1"/>
  <c r="AS101" i="24"/>
  <c r="BI101" i="24"/>
  <c r="BL101" i="24" s="1"/>
  <c r="BJ101" i="24"/>
  <c r="AQ101" i="24"/>
  <c r="AX101" i="24"/>
  <c r="BH101" i="24"/>
  <c r="BW101" i="24"/>
  <c r="BA256" i="24"/>
  <c r="AF57" i="25"/>
  <c r="AE57" i="25"/>
  <c r="AN197" i="24"/>
  <c r="AK197" i="24"/>
  <c r="BA316" i="24"/>
  <c r="AK230" i="24"/>
  <c r="AN230" i="24"/>
  <c r="BA122" i="24"/>
  <c r="AS272" i="25"/>
  <c r="AS300" i="25"/>
  <c r="BA208" i="24"/>
  <c r="AS45" i="25"/>
  <c r="AJ89" i="25"/>
  <c r="AM89" i="25"/>
  <c r="CE89" i="25" s="1"/>
  <c r="BA204" i="24"/>
  <c r="AN96" i="24"/>
  <c r="BU96" i="24" s="1"/>
  <c r="AK96" i="24"/>
  <c r="AF220" i="25"/>
  <c r="AE220" i="25"/>
  <c r="BA187" i="24"/>
  <c r="AF79" i="25"/>
  <c r="AE79" i="25"/>
  <c r="BA268" i="24"/>
  <c r="BA116" i="24"/>
  <c r="AM6" i="25"/>
  <c r="AJ6" i="25"/>
  <c r="AS136" i="25"/>
  <c r="AK125" i="24"/>
  <c r="AN125" i="24"/>
  <c r="AX125" i="24" s="1"/>
  <c r="AN58" i="24"/>
  <c r="BW58" i="24" s="1"/>
  <c r="AK58" i="24"/>
  <c r="AN83" i="24"/>
  <c r="BU83" i="24" s="1"/>
  <c r="AK83" i="24"/>
  <c r="AF195" i="25"/>
  <c r="AE195" i="25"/>
  <c r="AF137" i="25"/>
  <c r="AE137" i="25"/>
  <c r="AK26" i="24"/>
  <c r="AN26" i="24"/>
  <c r="BW26" i="24" s="1"/>
  <c r="BA245" i="24"/>
  <c r="AS274" i="25"/>
  <c r="AS289" i="25"/>
  <c r="AW13" i="25"/>
  <c r="AX13" i="25"/>
  <c r="AF39" i="25"/>
  <c r="AE39" i="25"/>
  <c r="AF49" i="25"/>
  <c r="AE49" i="25"/>
  <c r="AS239" i="25"/>
  <c r="AM259" i="25"/>
  <c r="AJ259" i="25"/>
  <c r="BA311" i="24"/>
  <c r="AS9" i="25"/>
  <c r="AS281" i="25"/>
  <c r="AS93" i="25"/>
  <c r="AK234" i="24"/>
  <c r="AN234" i="24"/>
  <c r="AN220" i="24"/>
  <c r="AK220" i="24"/>
  <c r="BA241" i="24"/>
  <c r="AK175" i="24"/>
  <c r="AN175" i="24"/>
  <c r="AX29" i="25"/>
  <c r="AW29" i="25"/>
  <c r="AN171" i="24"/>
  <c r="AK171" i="24"/>
  <c r="AW198" i="25"/>
  <c r="AX198" i="25"/>
  <c r="AS20" i="25"/>
  <c r="BI233" i="24"/>
  <c r="BL233" i="24" s="1"/>
  <c r="AS233" i="24"/>
  <c r="AQ233" i="24"/>
  <c r="BJ233" i="24"/>
  <c r="BU233" i="24"/>
  <c r="AX233" i="24"/>
  <c r="BH233" i="24"/>
  <c r="BW233" i="24"/>
  <c r="AK79" i="24"/>
  <c r="AN79" i="24"/>
  <c r="CE79" i="24" s="1"/>
  <c r="AF191" i="25"/>
  <c r="AE191" i="25"/>
  <c r="AF230" i="25"/>
  <c r="AE230" i="25"/>
  <c r="AT121" i="24"/>
  <c r="AS70" i="25"/>
  <c r="AN248" i="24"/>
  <c r="BH248" i="24" s="1"/>
  <c r="AK248" i="24"/>
  <c r="AS41" i="24"/>
  <c r="BI41" i="24"/>
  <c r="BL41" i="24" s="1"/>
  <c r="AQ41" i="24"/>
  <c r="BJ41" i="24"/>
  <c r="AX41" i="24"/>
  <c r="BH41" i="24"/>
  <c r="BW41" i="24"/>
  <c r="AT301" i="24"/>
  <c r="AF187" i="25"/>
  <c r="AE187" i="25"/>
  <c r="AS277" i="25"/>
  <c r="AF125" i="25"/>
  <c r="AE125" i="25"/>
  <c r="AT135" i="24"/>
  <c r="AK37" i="24"/>
  <c r="AN37" i="24"/>
  <c r="BW37" i="24" s="1"/>
  <c r="AF111" i="25"/>
  <c r="AE111" i="25"/>
  <c r="AS102" i="25"/>
  <c r="AK209" i="24"/>
  <c r="AN209" i="24"/>
  <c r="CE209" i="24" s="1"/>
  <c r="AN155" i="24"/>
  <c r="AX155" i="24" s="1"/>
  <c r="AK155" i="24"/>
  <c r="AX104" i="25"/>
  <c r="AW104" i="25"/>
  <c r="AS46" i="25"/>
  <c r="AJ32" i="25"/>
  <c r="AM32" i="25"/>
  <c r="AF53" i="25"/>
  <c r="AE53" i="25"/>
  <c r="AN299" i="24"/>
  <c r="AK299" i="24"/>
  <c r="BA184" i="24"/>
  <c r="AN61" i="24"/>
  <c r="BU61" i="24" s="1"/>
  <c r="AK61" i="24"/>
  <c r="AN164" i="24"/>
  <c r="AK164" i="24"/>
  <c r="AN167" i="24"/>
  <c r="AK167" i="24"/>
  <c r="AK17" i="24"/>
  <c r="AN17" i="24"/>
  <c r="AX17" i="24" s="1"/>
  <c r="AX204" i="25"/>
  <c r="AW204" i="25"/>
  <c r="AS54" i="25"/>
  <c r="AK56" i="24"/>
  <c r="AN56" i="24"/>
  <c r="AF202" i="25"/>
  <c r="AE202" i="25"/>
  <c r="AF185" i="25"/>
  <c r="AE185" i="25"/>
  <c r="AX28" i="25"/>
  <c r="AW28" i="25"/>
  <c r="AS162" i="25"/>
  <c r="BA226" i="24"/>
  <c r="AF269" i="25"/>
  <c r="AE269" i="25"/>
  <c r="AS251" i="25"/>
  <c r="AK188" i="24"/>
  <c r="AN188" i="24"/>
  <c r="AF120" i="25"/>
  <c r="AE120" i="25"/>
  <c r="AF58" i="25"/>
  <c r="AE58" i="25"/>
  <c r="BA139" i="24"/>
  <c r="AF159" i="25"/>
  <c r="AE159" i="25"/>
  <c r="AN30" i="24"/>
  <c r="BW30" i="24" s="1"/>
  <c r="AK30" i="24"/>
  <c r="BA134" i="24"/>
  <c r="AS307" i="25"/>
  <c r="AN126" i="24"/>
  <c r="AX126" i="24" s="1"/>
  <c r="AK126" i="24"/>
  <c r="AF12" i="25"/>
  <c r="AE12" i="25"/>
  <c r="AF99" i="25"/>
  <c r="AE99" i="25"/>
  <c r="AT295" i="24"/>
  <c r="AF196" i="25"/>
  <c r="AE196" i="25"/>
  <c r="AT242" i="24"/>
  <c r="BA124" i="24"/>
  <c r="AN105" i="24"/>
  <c r="AK105" i="24"/>
  <c r="AF312" i="25"/>
  <c r="AE312" i="25"/>
  <c r="AS287" i="25"/>
  <c r="AS91" i="25"/>
  <c r="AK252" i="24"/>
  <c r="AN252" i="24"/>
  <c r="AF254" i="25"/>
  <c r="AE254" i="25"/>
  <c r="AK15" i="24"/>
  <c r="AN15" i="24"/>
  <c r="BU15" i="24" s="1"/>
  <c r="AF67" i="25"/>
  <c r="AE67" i="25"/>
  <c r="AK300" i="24"/>
  <c r="AN300" i="24"/>
  <c r="AS227" i="25"/>
  <c r="BA156" i="24"/>
  <c r="AF221" i="25"/>
  <c r="AE221" i="25"/>
  <c r="AK112" i="24"/>
  <c r="AN112" i="24"/>
  <c r="BU112" i="24" s="1"/>
  <c r="AF116" i="25"/>
  <c r="AE116" i="25"/>
  <c r="AX206" i="25"/>
  <c r="AW206" i="25"/>
  <c r="AJ14" i="25"/>
  <c r="AM14" i="25"/>
  <c r="AS43" i="25"/>
  <c r="AN307" i="24"/>
  <c r="CE307" i="24" s="1"/>
  <c r="AK307" i="24"/>
  <c r="AN195" i="24"/>
  <c r="AK195" i="24"/>
  <c r="AN116" i="24"/>
  <c r="AK116" i="24"/>
  <c r="AT225" i="24"/>
  <c r="AS60" i="25"/>
  <c r="AS266" i="25"/>
  <c r="AT247" i="24"/>
  <c r="AF244" i="25"/>
  <c r="AE244" i="25"/>
  <c r="AK90" i="24"/>
  <c r="AN90" i="24"/>
  <c r="BU90" i="24" s="1"/>
  <c r="AS26" i="25"/>
  <c r="AF33" i="25"/>
  <c r="AE33" i="25"/>
  <c r="AW179" i="25"/>
  <c r="AX179" i="25"/>
  <c r="BA157" i="24"/>
  <c r="AS124" i="25"/>
  <c r="AS41" i="25"/>
  <c r="AK63" i="24"/>
  <c r="AN63" i="24"/>
  <c r="BU63" i="24" s="1"/>
  <c r="AF121" i="25"/>
  <c r="AE121" i="25"/>
  <c r="AS294" i="25"/>
  <c r="BA151" i="24"/>
  <c r="AK254" i="24"/>
  <c r="AN254" i="24"/>
  <c r="AF127" i="25"/>
  <c r="AE127" i="25"/>
  <c r="BA291" i="24"/>
  <c r="BA252" i="24"/>
  <c r="AX177" i="25"/>
  <c r="AW177" i="25"/>
  <c r="AK274" i="24"/>
  <c r="AN274" i="24"/>
  <c r="BU274" i="24" s="1"/>
  <c r="AN39" i="24"/>
  <c r="BU39" i="24" s="1"/>
  <c r="AK39" i="24"/>
  <c r="AF272" i="25"/>
  <c r="AE272" i="25"/>
  <c r="AF300" i="25"/>
  <c r="AE300" i="25"/>
  <c r="AJ190" i="25"/>
  <c r="AM190" i="25"/>
  <c r="CE190" i="25" s="1"/>
  <c r="AJ293" i="25"/>
  <c r="AM293" i="25"/>
  <c r="AK303" i="24"/>
  <c r="AN303" i="24"/>
  <c r="AF45" i="25"/>
  <c r="AE45" i="25"/>
  <c r="AN201" i="24"/>
  <c r="CE201" i="24" s="1"/>
  <c r="AK201" i="24"/>
  <c r="AW89" i="25"/>
  <c r="AX89" i="25"/>
  <c r="AK218" i="24"/>
  <c r="AN218" i="24"/>
  <c r="BW218" i="24" s="1"/>
  <c r="BA161" i="24"/>
  <c r="AX189" i="25"/>
  <c r="AW189" i="25"/>
  <c r="AS86" i="25"/>
  <c r="AK200" i="24"/>
  <c r="AN200" i="24"/>
  <c r="CE200" i="24" s="1"/>
  <c r="AN183" i="24"/>
  <c r="AK183" i="24"/>
  <c r="AF136" i="25"/>
  <c r="AE136" i="25"/>
  <c r="BA239" i="24"/>
  <c r="BA286" i="24"/>
  <c r="AJ305" i="25"/>
  <c r="AM305" i="25"/>
  <c r="CE305" i="25" s="1"/>
  <c r="AF274" i="25"/>
  <c r="AE274" i="25"/>
  <c r="AX87" i="25"/>
  <c r="AW87" i="25"/>
  <c r="AF289" i="25"/>
  <c r="AE289" i="25"/>
  <c r="AS42" i="25"/>
  <c r="BA264" i="24"/>
  <c r="AK226" i="24"/>
  <c r="AN226" i="24"/>
  <c r="AF239" i="25"/>
  <c r="AE239" i="25"/>
  <c r="AS183" i="25"/>
  <c r="AF9" i="25"/>
  <c r="AE9" i="25"/>
  <c r="AN150" i="24"/>
  <c r="AK150" i="24"/>
  <c r="AF281" i="25"/>
  <c r="AE281" i="25"/>
  <c r="AF93" i="25"/>
  <c r="AE93" i="25"/>
  <c r="AM292" i="25"/>
  <c r="CE292" i="25" s="1"/>
  <c r="AJ292" i="25"/>
  <c r="AN217" i="24"/>
  <c r="AK217" i="24"/>
  <c r="AS100" i="25"/>
  <c r="BA197" i="24"/>
  <c r="AJ62" i="25"/>
  <c r="AM62" i="25"/>
  <c r="CE62" i="25" s="1"/>
  <c r="AS118" i="25"/>
  <c r="AS226" i="25"/>
  <c r="AS180" i="25"/>
  <c r="AF20" i="25"/>
  <c r="AE20" i="25"/>
  <c r="AT305" i="24"/>
  <c r="AS66" i="25"/>
  <c r="AT218" i="24"/>
  <c r="AS235" i="25"/>
  <c r="BA200" i="24"/>
  <c r="BA189" i="24"/>
  <c r="AF70" i="25"/>
  <c r="AE70" i="25"/>
  <c r="AS44" i="25"/>
  <c r="AN243" i="24"/>
  <c r="AX243" i="24" s="1"/>
  <c r="AK243" i="24"/>
  <c r="AX6" i="25"/>
  <c r="AW6" i="25"/>
  <c r="AN231" i="24"/>
  <c r="AK231" i="24"/>
  <c r="AS63" i="25"/>
  <c r="AS37" i="25"/>
  <c r="AN91" i="24"/>
  <c r="BU91" i="24" s="1"/>
  <c r="AK91" i="24"/>
  <c r="AK244" i="24"/>
  <c r="AN244" i="24"/>
  <c r="AT111" i="24"/>
  <c r="AJ31" i="25"/>
  <c r="AM31" i="25"/>
  <c r="AF277" i="25"/>
  <c r="AE277" i="25"/>
  <c r="AS295" i="25"/>
  <c r="AN253" i="24"/>
  <c r="AX253" i="24" s="1"/>
  <c r="AK253" i="24"/>
  <c r="AJ199" i="25"/>
  <c r="AM199" i="25"/>
  <c r="AS181" i="25"/>
  <c r="AK124" i="24"/>
  <c r="AN124" i="24"/>
  <c r="AF102" i="25"/>
  <c r="AE102" i="25"/>
  <c r="AK282" i="24"/>
  <c r="AN282" i="24"/>
  <c r="AX282" i="24" s="1"/>
  <c r="AS112" i="25"/>
  <c r="AF46" i="25"/>
  <c r="AE46" i="25"/>
  <c r="BA206" i="24"/>
  <c r="BA227" i="24"/>
  <c r="AW170" i="25"/>
  <c r="AX170" i="25"/>
  <c r="AS218" i="25"/>
  <c r="AS290" i="25"/>
  <c r="BA185" i="24"/>
  <c r="AN219" i="24"/>
  <c r="AX219" i="24" s="1"/>
  <c r="AK219" i="24"/>
  <c r="AF54" i="25"/>
  <c r="AE54" i="25"/>
  <c r="AS90" i="25"/>
  <c r="BA171" i="24"/>
  <c r="BA285" i="24"/>
  <c r="AN156" i="24"/>
  <c r="AK156" i="24"/>
  <c r="BA293" i="24"/>
  <c r="AS138" i="25"/>
  <c r="AF162" i="25"/>
  <c r="AE162" i="25"/>
  <c r="AS18" i="25"/>
  <c r="AF251" i="25"/>
  <c r="AE251" i="25"/>
  <c r="BI132" i="24"/>
  <c r="BL132" i="24" s="1"/>
  <c r="AS132" i="24"/>
  <c r="AU132" i="24" s="1"/>
  <c r="BB132" i="24" s="1"/>
  <c r="BJ132" i="24"/>
  <c r="AQ132" i="24"/>
  <c r="AS169" i="25"/>
  <c r="AK57" i="24"/>
  <c r="AN57" i="24"/>
  <c r="BW57" i="24" s="1"/>
  <c r="BA192" i="24"/>
  <c r="BA231" i="24"/>
  <c r="AK20" i="24"/>
  <c r="AN20" i="24"/>
  <c r="BH20" i="24" s="1"/>
  <c r="AN33" i="24"/>
  <c r="BU33" i="24" s="1"/>
  <c r="AK33" i="24"/>
  <c r="AF307" i="25"/>
  <c r="AE307" i="25"/>
  <c r="AS270" i="25"/>
  <c r="AS208" i="25"/>
  <c r="AS135" i="25"/>
  <c r="AK113" i="24"/>
  <c r="AN113" i="24"/>
  <c r="AV32" i="24"/>
  <c r="AT32" i="24"/>
  <c r="AT265" i="24"/>
  <c r="AS132" i="25"/>
  <c r="AK288" i="24"/>
  <c r="AN288" i="24"/>
  <c r="AF287" i="25"/>
  <c r="AE287" i="25"/>
  <c r="AN11" i="24"/>
  <c r="BU11" i="24" s="1"/>
  <c r="AK11" i="24"/>
  <c r="AF91" i="25"/>
  <c r="AE91" i="25"/>
  <c r="AS234" i="25"/>
  <c r="AT261" i="24"/>
  <c r="AF227" i="25"/>
  <c r="AE227" i="25"/>
  <c r="AS36" i="25"/>
  <c r="AK229" i="24"/>
  <c r="AN229" i="24"/>
  <c r="AN146" i="24"/>
  <c r="AK146" i="24"/>
  <c r="BI55" i="24"/>
  <c r="BL55" i="24" s="1"/>
  <c r="AS55" i="24"/>
  <c r="AQ55" i="24"/>
  <c r="BJ55" i="24"/>
  <c r="AX55" i="24"/>
  <c r="BW55" i="24"/>
  <c r="BH55" i="24"/>
  <c r="AN169" i="24"/>
  <c r="AK169" i="24"/>
  <c r="AN62" i="24"/>
  <c r="BU62" i="24" s="1"/>
  <c r="AK62" i="24"/>
  <c r="AS245" i="25"/>
  <c r="AS68" i="25"/>
  <c r="AM240" i="25"/>
  <c r="AJ240" i="25"/>
  <c r="BA188" i="24"/>
  <c r="AT240" i="24"/>
  <c r="AJ275" i="25"/>
  <c r="AM275" i="25"/>
  <c r="AS231" i="25"/>
  <c r="AX95" i="25"/>
  <c r="AW95" i="25"/>
  <c r="AF43" i="25"/>
  <c r="AE43" i="25"/>
  <c r="AV57" i="24"/>
  <c r="AT57" i="24"/>
  <c r="AT266" i="24"/>
  <c r="AX34" i="25"/>
  <c r="AW34" i="25"/>
  <c r="AF60" i="25"/>
  <c r="AE60" i="25"/>
  <c r="AF266" i="25"/>
  <c r="AE266" i="25"/>
  <c r="BA22" i="24"/>
  <c r="AT224" i="24"/>
  <c r="AJ173" i="25"/>
  <c r="AM173" i="25"/>
  <c r="CE173" i="25" s="1"/>
  <c r="AM248" i="25"/>
  <c r="AJ248" i="25"/>
  <c r="AK70" i="24"/>
  <c r="AN70" i="24"/>
  <c r="BU70" i="24" s="1"/>
  <c r="AV8" i="24"/>
  <c r="AT8" i="24"/>
  <c r="AF26" i="25"/>
  <c r="AE26" i="25"/>
  <c r="BA314" i="24"/>
  <c r="AV59" i="24"/>
  <c r="AT59" i="24"/>
  <c r="AF124" i="25"/>
  <c r="AE124" i="25"/>
  <c r="AF41" i="25"/>
  <c r="AE41" i="25"/>
  <c r="AS168" i="25"/>
  <c r="AF294" i="25"/>
  <c r="AE294" i="25"/>
  <c r="BA113" i="24"/>
  <c r="AN179" i="24"/>
  <c r="CE179" i="24" s="1"/>
  <c r="AK179" i="24"/>
  <c r="AS284" i="25"/>
  <c r="AS19" i="25"/>
  <c r="AK196" i="24"/>
  <c r="AN196" i="24"/>
  <c r="AJ113" i="25"/>
  <c r="AM113" i="25"/>
  <c r="AS175" i="25"/>
  <c r="BA236" i="24"/>
  <c r="BA92" i="24"/>
  <c r="AK182" i="24"/>
  <c r="AN182" i="24"/>
  <c r="CE182" i="24" s="1"/>
  <c r="BA177" i="24"/>
  <c r="AM114" i="25"/>
  <c r="AJ114" i="25"/>
  <c r="BI21" i="24"/>
  <c r="BL21" i="24" s="1"/>
  <c r="AS21" i="24"/>
  <c r="BJ21" i="24"/>
  <c r="AQ21" i="24"/>
  <c r="AX21" i="24"/>
  <c r="BW21" i="24"/>
  <c r="BH21" i="24"/>
  <c r="AK281" i="24"/>
  <c r="AN281" i="24"/>
  <c r="AX281" i="24" s="1"/>
  <c r="AF86" i="25"/>
  <c r="AE86" i="25"/>
  <c r="AS164" i="25"/>
  <c r="BA140" i="24"/>
  <c r="AS156" i="25"/>
  <c r="AS7" i="25"/>
  <c r="BA195" i="24"/>
  <c r="AW154" i="25"/>
  <c r="AX154" i="25"/>
  <c r="AN54" i="24"/>
  <c r="BW54" i="24" s="1"/>
  <c r="AK54" i="24"/>
  <c r="AS301" i="25"/>
  <c r="AW113" i="25"/>
  <c r="AX113" i="25"/>
  <c r="AN301" i="24"/>
  <c r="BU301" i="24" s="1"/>
  <c r="AK301" i="24"/>
  <c r="AW201" i="25"/>
  <c r="AX201" i="25"/>
  <c r="AN153" i="24"/>
  <c r="BU153" i="24" s="1"/>
  <c r="AK153" i="24"/>
  <c r="AS228" i="25"/>
  <c r="AF42" i="25"/>
  <c r="AE42" i="25"/>
  <c r="AK38" i="24"/>
  <c r="AN38" i="24"/>
  <c r="BU38" i="24" s="1"/>
  <c r="BA131" i="24"/>
  <c r="AF183" i="25"/>
  <c r="AE183" i="25"/>
  <c r="AF100" i="25"/>
  <c r="AE100" i="25"/>
  <c r="BA196" i="24"/>
  <c r="AK185" i="24"/>
  <c r="AN185" i="24"/>
  <c r="CE185" i="24" s="1"/>
  <c r="AS311" i="25"/>
  <c r="AM247" i="25"/>
  <c r="AJ247" i="25"/>
  <c r="AS313" i="25"/>
  <c r="AF118" i="25"/>
  <c r="AE118" i="25"/>
  <c r="BA149" i="24"/>
  <c r="AF226" i="25"/>
  <c r="AE226" i="25"/>
  <c r="BA203" i="24"/>
  <c r="AF180" i="25"/>
  <c r="AE180" i="25"/>
  <c r="AN13" i="24"/>
  <c r="BU13" i="24" s="1"/>
  <c r="AK13" i="24"/>
  <c r="AK27" i="24"/>
  <c r="AN27" i="24"/>
  <c r="BU27" i="24" s="1"/>
  <c r="AW147" i="25"/>
  <c r="AX147" i="25"/>
  <c r="AS88" i="25"/>
  <c r="AF66" i="25"/>
  <c r="AE66" i="25"/>
  <c r="BI191" i="24"/>
  <c r="BL191" i="24" s="1"/>
  <c r="AS191" i="24"/>
  <c r="BJ191" i="24"/>
  <c r="AQ191" i="24"/>
  <c r="AX191" i="24"/>
  <c r="BH191" i="24"/>
  <c r="BW191" i="24"/>
  <c r="BU191" i="24"/>
  <c r="AT281" i="24"/>
  <c r="AF235" i="25"/>
  <c r="AE235" i="25"/>
  <c r="BA183" i="24"/>
  <c r="AF44" i="25"/>
  <c r="AE44" i="25"/>
  <c r="AT117" i="24"/>
  <c r="AF63" i="25"/>
  <c r="AE63" i="25"/>
  <c r="AF37" i="25"/>
  <c r="AE37" i="25"/>
  <c r="AT133" i="24"/>
  <c r="AS250" i="25"/>
  <c r="AT153" i="24"/>
  <c r="AF295" i="25"/>
  <c r="AE295" i="25"/>
  <c r="BI257" i="24"/>
  <c r="BL257" i="24" s="1"/>
  <c r="AS257" i="24"/>
  <c r="BJ257" i="24"/>
  <c r="AQ257" i="24"/>
  <c r="BW257" i="24"/>
  <c r="BU257" i="24"/>
  <c r="AX257" i="24"/>
  <c r="BH257" i="24"/>
  <c r="AN295" i="24"/>
  <c r="BH295" i="24" s="1"/>
  <c r="AK295" i="24"/>
  <c r="AS299" i="25"/>
  <c r="AF181" i="25"/>
  <c r="AE181" i="25"/>
  <c r="AN89" i="24"/>
  <c r="BU89" i="24" s="1"/>
  <c r="AK89" i="24"/>
  <c r="AJ276" i="25"/>
  <c r="AM276" i="25"/>
  <c r="AF290" i="25"/>
  <c r="AE290" i="25"/>
  <c r="AS176" i="25"/>
  <c r="BA175" i="24"/>
  <c r="AF90" i="25"/>
  <c r="AE90" i="25"/>
  <c r="AN263" i="24"/>
  <c r="AX263" i="24" s="1"/>
  <c r="AK263" i="24"/>
  <c r="AF138" i="25"/>
  <c r="AE138" i="25"/>
  <c r="AX199" i="25"/>
  <c r="AW199" i="25"/>
  <c r="AF18" i="25"/>
  <c r="AE18" i="25"/>
  <c r="AS249" i="25"/>
  <c r="AF169" i="25"/>
  <c r="AE169" i="25"/>
  <c r="AS288" i="25"/>
  <c r="AK240" i="24"/>
  <c r="AN240" i="24"/>
  <c r="BW240" i="24" s="1"/>
  <c r="AX32" i="25"/>
  <c r="AW32" i="25"/>
  <c r="AK19" i="24"/>
  <c r="AN19" i="24"/>
  <c r="AX19" i="24" s="1"/>
  <c r="AK72" i="24"/>
  <c r="AN72" i="24"/>
  <c r="BU72" i="24" s="1"/>
  <c r="AX97" i="25"/>
  <c r="AW97" i="25"/>
  <c r="AT243" i="24"/>
  <c r="AS264" i="25"/>
  <c r="AN290" i="24"/>
  <c r="AK290" i="24"/>
  <c r="AS73" i="25"/>
  <c r="AS80" i="25"/>
  <c r="AN279" i="24"/>
  <c r="BH279" i="24" s="1"/>
  <c r="AK279" i="24"/>
  <c r="AS144" i="25"/>
  <c r="AF270" i="25"/>
  <c r="AE270" i="25"/>
  <c r="AF208" i="25"/>
  <c r="AE208" i="25"/>
  <c r="AF135" i="25"/>
  <c r="AE135" i="25"/>
  <c r="AJ246" i="25"/>
  <c r="AM246" i="25"/>
  <c r="AM206" i="25"/>
  <c r="AP206" i="25" s="1"/>
  <c r="AJ206" i="25"/>
  <c r="AX59" i="25"/>
  <c r="AW59" i="25"/>
  <c r="AF132" i="25"/>
  <c r="AE132" i="25"/>
  <c r="AK202" i="24"/>
  <c r="AN202" i="24"/>
  <c r="CE202" i="24" s="1"/>
  <c r="AS252" i="25"/>
  <c r="AF234" i="25"/>
  <c r="AE234" i="25"/>
  <c r="AM34" i="25"/>
  <c r="AJ34" i="25"/>
  <c r="AS163" i="25"/>
  <c r="AM229" i="25"/>
  <c r="AJ229" i="25"/>
  <c r="AF36" i="25"/>
  <c r="AE36" i="25"/>
  <c r="AS210" i="25"/>
  <c r="AF245" i="25"/>
  <c r="AE245" i="25"/>
  <c r="AF68" i="25"/>
  <c r="AE68" i="25"/>
  <c r="BW132" i="24"/>
  <c r="AF231" i="25"/>
  <c r="AE231" i="25"/>
  <c r="AV34" i="24"/>
  <c r="AT34" i="24"/>
  <c r="AV6" i="24"/>
  <c r="AT6" i="24"/>
  <c r="AT238" i="24"/>
  <c r="AM177" i="25"/>
  <c r="CE177" i="25" s="1"/>
  <c r="AJ177" i="25"/>
  <c r="AV33" i="24"/>
  <c r="AT33" i="24"/>
  <c r="AT271" i="24"/>
  <c r="AK239" i="24"/>
  <c r="AN239" i="24"/>
  <c r="AK286" i="24"/>
  <c r="AN286" i="24"/>
  <c r="AS74" i="25"/>
  <c r="AK194" i="24"/>
  <c r="AN194" i="24"/>
  <c r="BA176" i="24"/>
  <c r="AF168" i="25"/>
  <c r="AE168" i="25"/>
  <c r="AM262" i="25"/>
  <c r="AJ262" i="25"/>
  <c r="AS15" i="25"/>
  <c r="AX14" i="25"/>
  <c r="AW14" i="25"/>
  <c r="BA289" i="24"/>
  <c r="B142" i="2"/>
  <c r="AS105" i="25"/>
  <c r="AK311" i="24"/>
  <c r="AN311" i="24"/>
  <c r="AF284" i="25"/>
  <c r="AE284" i="25"/>
  <c r="BA180" i="24"/>
  <c r="AM243" i="25"/>
  <c r="AJ243" i="25"/>
  <c r="AF19" i="25"/>
  <c r="AE19" i="25"/>
  <c r="AX174" i="25"/>
  <c r="AW174" i="25"/>
  <c r="AS241" i="25"/>
  <c r="AF175" i="25"/>
  <c r="AE175" i="25"/>
  <c r="AK46" i="24"/>
  <c r="AN46" i="24"/>
  <c r="BU46" i="24" s="1"/>
  <c r="AS65" i="25"/>
  <c r="AK149" i="24"/>
  <c r="AN149" i="24"/>
  <c r="AX158" i="25"/>
  <c r="AW158" i="25"/>
  <c r="BA136" i="24"/>
  <c r="AS285" i="25"/>
  <c r="AS44" i="24"/>
  <c r="BI44" i="24"/>
  <c r="BL44" i="24" s="1"/>
  <c r="BJ44" i="24"/>
  <c r="AQ44" i="24"/>
  <c r="AX44" i="24"/>
  <c r="BH44" i="24"/>
  <c r="BW44" i="24"/>
  <c r="AK310" i="24"/>
  <c r="AN310" i="24"/>
  <c r="AS145" i="25"/>
  <c r="AS25" i="25"/>
  <c r="AN298" i="24"/>
  <c r="AX298" i="24" s="1"/>
  <c r="AK298" i="24"/>
  <c r="AW148" i="25"/>
  <c r="AX148" i="25"/>
  <c r="AF164" i="25"/>
  <c r="AE164" i="25"/>
  <c r="AF156" i="25"/>
  <c r="AE156" i="25"/>
  <c r="AF7" i="25"/>
  <c r="AE7" i="25"/>
  <c r="AK117" i="24"/>
  <c r="AN117" i="24"/>
  <c r="AX117" i="24" s="1"/>
  <c r="AS130" i="25"/>
  <c r="AS128" i="25"/>
  <c r="AF301" i="25"/>
  <c r="AE301" i="25"/>
  <c r="BI292" i="24"/>
  <c r="BL292" i="24" s="1"/>
  <c r="AS292" i="24"/>
  <c r="AU292" i="24" s="1"/>
  <c r="BB292" i="24" s="1"/>
  <c r="AQ292" i="24"/>
  <c r="BJ292" i="24"/>
  <c r="AK51" i="24"/>
  <c r="AN51" i="24"/>
  <c r="BH51" i="24" s="1"/>
  <c r="AF228" i="25"/>
  <c r="AE228" i="25"/>
  <c r="AS193" i="25"/>
  <c r="AN135" i="24"/>
  <c r="CE135" i="24" s="1"/>
  <c r="AK135" i="24"/>
  <c r="BA186" i="24"/>
  <c r="AK278" i="24"/>
  <c r="AN278" i="24"/>
  <c r="AK251" i="24"/>
  <c r="AN251" i="24"/>
  <c r="AS197" i="25"/>
  <c r="AW96" i="25"/>
  <c r="AX96" i="25"/>
  <c r="AJ94" i="25"/>
  <c r="AM94" i="25"/>
  <c r="AK47" i="24"/>
  <c r="AN47" i="24"/>
  <c r="BU47" i="24" s="1"/>
  <c r="AN205" i="24"/>
  <c r="CE205" i="24" s="1"/>
  <c r="AK205" i="24"/>
  <c r="BA313" i="24"/>
  <c r="AS165" i="25"/>
  <c r="AF311" i="25"/>
  <c r="AE311" i="25"/>
  <c r="BA127" i="24"/>
  <c r="BI22" i="24"/>
  <c r="BL22" i="24" s="1"/>
  <c r="AS22" i="24"/>
  <c r="AU22" i="24" s="1"/>
  <c r="BB22" i="24" s="1"/>
  <c r="BJ22" i="24"/>
  <c r="AQ22" i="24"/>
  <c r="BA230" i="24"/>
  <c r="AF313" i="25"/>
  <c r="AE313" i="25"/>
  <c r="AN43" i="24"/>
  <c r="BU43" i="24" s="1"/>
  <c r="AK43" i="24"/>
  <c r="BA302" i="24"/>
  <c r="AJ82" i="25"/>
  <c r="AM82" i="25"/>
  <c r="CE82" i="25" s="1"/>
  <c r="BA310" i="24"/>
  <c r="AS81" i="25"/>
  <c r="AF88" i="25"/>
  <c r="AE88" i="25"/>
  <c r="AK165" i="24"/>
  <c r="AN165" i="24"/>
  <c r="AS141" i="25"/>
  <c r="AT296" i="24"/>
  <c r="AS85" i="25"/>
  <c r="AN23" i="24"/>
  <c r="BU23" i="24" s="1"/>
  <c r="AK23" i="24"/>
  <c r="AM170" i="25"/>
  <c r="CE170" i="25" s="1"/>
  <c r="AJ170" i="25"/>
  <c r="AT125" i="24"/>
  <c r="AT269" i="24"/>
  <c r="AR129" i="25"/>
  <c r="BG129" i="25"/>
  <c r="BJ129" i="25" s="1"/>
  <c r="AP129" i="25"/>
  <c r="BH129" i="25"/>
  <c r="BW129" i="25"/>
  <c r="BU129" i="25"/>
  <c r="BF129" i="25"/>
  <c r="AK80" i="24"/>
  <c r="AN80" i="24"/>
  <c r="AF250" i="25"/>
  <c r="AE250" i="25"/>
  <c r="AS298" i="25"/>
  <c r="AK152" i="24"/>
  <c r="AN152" i="24"/>
  <c r="AX152" i="24" s="1"/>
  <c r="AS142" i="24"/>
  <c r="AU142" i="24" s="1"/>
  <c r="BB142" i="24" s="1"/>
  <c r="BI142" i="24"/>
  <c r="BL142" i="24" s="1"/>
  <c r="BJ142" i="24"/>
  <c r="AQ142" i="24"/>
  <c r="AJ314" i="25"/>
  <c r="AM314" i="25"/>
  <c r="AF299" i="25"/>
  <c r="AE299" i="25"/>
  <c r="AN312" i="24"/>
  <c r="AK312" i="24"/>
  <c r="AS157" i="25"/>
  <c r="AK223" i="24"/>
  <c r="AN223" i="24"/>
  <c r="AF218" i="25"/>
  <c r="AE218" i="25"/>
  <c r="AS61" i="25"/>
  <c r="BA278" i="24"/>
  <c r="AM273" i="25"/>
  <c r="AJ273" i="25"/>
  <c r="AS302" i="25"/>
  <c r="BA246" i="24"/>
  <c r="AX178" i="25"/>
  <c r="AW178" i="25"/>
  <c r="AF61" i="25"/>
  <c r="AE61" i="25"/>
  <c r="AM283" i="25"/>
  <c r="CE283" i="25" s="1"/>
  <c r="AJ283" i="25"/>
  <c r="AF176" i="25"/>
  <c r="AE176" i="25"/>
  <c r="AK123" i="24"/>
  <c r="AN123" i="24"/>
  <c r="BU123" i="24" s="1"/>
  <c r="AK137" i="24"/>
  <c r="AN137" i="24"/>
  <c r="AN272" i="24"/>
  <c r="AK272" i="24"/>
  <c r="AF249" i="25"/>
  <c r="AE249" i="25"/>
  <c r="AS279" i="25"/>
  <c r="AF288" i="25"/>
  <c r="AE288" i="25"/>
  <c r="AT273" i="24"/>
  <c r="AN6" i="24"/>
  <c r="AX6" i="24" s="1"/>
  <c r="AK6" i="24"/>
  <c r="AK266" i="24"/>
  <c r="AN266" i="24"/>
  <c r="BU266" i="24" s="1"/>
  <c r="AN145" i="24"/>
  <c r="AX145" i="24" s="1"/>
  <c r="AK145" i="24"/>
  <c r="AF264" i="25"/>
  <c r="AE264" i="25"/>
  <c r="AK181" i="24"/>
  <c r="AN181" i="24"/>
  <c r="AJ238" i="25"/>
  <c r="AM238" i="25"/>
  <c r="BA244" i="24"/>
  <c r="AF73" i="25"/>
  <c r="AE73" i="25"/>
  <c r="AF80" i="25"/>
  <c r="AE80" i="25"/>
  <c r="AS101" i="25"/>
  <c r="AF144" i="25"/>
  <c r="AE144" i="25"/>
  <c r="AN8" i="24"/>
  <c r="BW8" i="24" s="1"/>
  <c r="AK8" i="24"/>
  <c r="AN94" i="24"/>
  <c r="BU94" i="24" s="1"/>
  <c r="AK94" i="24"/>
  <c r="AV12" i="24"/>
  <c r="AT12" i="24"/>
  <c r="AV37" i="24"/>
  <c r="AT37" i="24"/>
  <c r="AW167" i="25"/>
  <c r="AX167" i="25"/>
  <c r="AJ306" i="25"/>
  <c r="AM306" i="25"/>
  <c r="CE306" i="25" s="1"/>
  <c r="AK289" i="24"/>
  <c r="AN289" i="24"/>
  <c r="AJ95" i="25"/>
  <c r="AM95" i="25"/>
  <c r="AS223" i="25"/>
  <c r="AF252" i="25"/>
  <c r="AE252" i="25"/>
  <c r="AF163" i="25"/>
  <c r="AE163" i="25"/>
  <c r="AK144" i="24"/>
  <c r="AN144" i="24"/>
  <c r="AK42" i="24"/>
  <c r="AN42" i="24"/>
  <c r="BU42" i="24" s="1"/>
  <c r="AN122" i="24"/>
  <c r="AK122" i="24"/>
  <c r="AS133" i="25"/>
  <c r="AF210" i="25"/>
  <c r="AE210" i="25"/>
  <c r="BU132" i="24"/>
  <c r="AK198" i="24"/>
  <c r="AN198" i="24"/>
  <c r="AK210" i="24"/>
  <c r="AN210" i="24"/>
  <c r="CE210" i="24" s="1"/>
  <c r="AK161" i="24"/>
  <c r="AN161" i="24"/>
  <c r="CE161" i="24" s="1"/>
  <c r="AN270" i="24"/>
  <c r="AK270" i="24"/>
  <c r="AN255" i="24"/>
  <c r="AK255" i="24"/>
  <c r="AS98" i="25"/>
  <c r="AS209" i="25"/>
  <c r="AT260" i="24"/>
  <c r="AF74" i="25"/>
  <c r="AE74" i="25"/>
  <c r="AS150" i="25"/>
  <c r="AS188" i="25"/>
  <c r="AF15" i="25"/>
  <c r="AE15" i="25"/>
  <c r="AK172" i="24"/>
  <c r="AN172" i="24"/>
  <c r="AJ148" i="25"/>
  <c r="AM148" i="25"/>
  <c r="AF105" i="25"/>
  <c r="AE105" i="25"/>
  <c r="AN52" i="24"/>
  <c r="BU52" i="24" s="1"/>
  <c r="AK52" i="24"/>
  <c r="BA173" i="24"/>
  <c r="BA287" i="24"/>
  <c r="AK258" i="24"/>
  <c r="AN258" i="24"/>
  <c r="AX258" i="24" s="1"/>
  <c r="BA159" i="24"/>
  <c r="AF241" i="25"/>
  <c r="AE241" i="25"/>
  <c r="AK98" i="24"/>
  <c r="AN98" i="24"/>
  <c r="AN127" i="24"/>
  <c r="AK127" i="24"/>
  <c r="AS47" i="25"/>
  <c r="AF65" i="25"/>
  <c r="AE65" i="25"/>
  <c r="AK10" i="24"/>
  <c r="AN10" i="24"/>
  <c r="BU10" i="24" s="1"/>
  <c r="BI236" i="24"/>
  <c r="BL236" i="24" s="1"/>
  <c r="AS236" i="24"/>
  <c r="AU236" i="24" s="1"/>
  <c r="BB236" i="24" s="1"/>
  <c r="BJ236" i="24"/>
  <c r="AQ236" i="24"/>
  <c r="AF285" i="25"/>
  <c r="AE285" i="25"/>
  <c r="AF145" i="25"/>
  <c r="AE145" i="25"/>
  <c r="AN177" i="24"/>
  <c r="AK177" i="24"/>
  <c r="BA210" i="24"/>
  <c r="AF25" i="25"/>
  <c r="AE25" i="25"/>
  <c r="AS119" i="25"/>
  <c r="AS315" i="25"/>
  <c r="AF130" i="25"/>
  <c r="AE130" i="25"/>
  <c r="AF128" i="25"/>
  <c r="AE128" i="25"/>
  <c r="AN35" i="24"/>
  <c r="AX35" i="24" s="1"/>
  <c r="AK35" i="24"/>
  <c r="AF193" i="25"/>
  <c r="AE193" i="25"/>
  <c r="AK285" i="24"/>
  <c r="AN285" i="24"/>
  <c r="AN228" i="24"/>
  <c r="BW228" i="24" s="1"/>
  <c r="AK228" i="24"/>
  <c r="BA250" i="24"/>
  <c r="AS162" i="24"/>
  <c r="BI162" i="24"/>
  <c r="BL162" i="24" s="1"/>
  <c r="BJ162" i="24"/>
  <c r="AQ162" i="24"/>
  <c r="BW162" i="24"/>
  <c r="AX162" i="24"/>
  <c r="BH162" i="24"/>
  <c r="BU162" i="24"/>
  <c r="AS260" i="25"/>
  <c r="AF197" i="25"/>
  <c r="AE197" i="25"/>
  <c r="AN227" i="24"/>
  <c r="AK227" i="24"/>
  <c r="AT274" i="24"/>
  <c r="AF165" i="25"/>
  <c r="AE165" i="25"/>
  <c r="AS268" i="25"/>
  <c r="AK134" i="24"/>
  <c r="AN134" i="24"/>
  <c r="BA182" i="24"/>
  <c r="AN93" i="24"/>
  <c r="BU93" i="24" s="1"/>
  <c r="AK93" i="24"/>
  <c r="AJ161" i="25"/>
  <c r="AM161" i="25"/>
  <c r="CE161" i="25" s="1"/>
  <c r="AX30" i="25"/>
  <c r="AW30" i="25"/>
  <c r="AN74" i="24"/>
  <c r="CE74" i="24" s="1"/>
  <c r="AK74" i="24"/>
  <c r="AK71" i="24"/>
  <c r="AN71" i="24"/>
  <c r="BU71" i="24" s="1"/>
  <c r="AF81" i="25"/>
  <c r="AE81" i="25"/>
  <c r="AF141" i="25"/>
  <c r="AE141" i="25"/>
  <c r="AK99" i="24"/>
  <c r="AN99" i="24"/>
  <c r="BU99" i="24" s="1"/>
  <c r="AF85" i="25"/>
  <c r="AE85" i="25"/>
  <c r="AN103" i="24"/>
  <c r="AK103" i="24"/>
  <c r="AS286" i="25"/>
  <c r="AS271" i="25"/>
  <c r="AN130" i="24"/>
  <c r="BW130" i="24" s="1"/>
  <c r="AK130" i="24"/>
  <c r="AM178" i="25"/>
  <c r="AJ178" i="25"/>
  <c r="BA178" i="24"/>
  <c r="AS278" i="25"/>
  <c r="AV58" i="24"/>
  <c r="AT58" i="24"/>
  <c r="AS166" i="25"/>
  <c r="AX62" i="25"/>
  <c r="AW62" i="25"/>
  <c r="AM204" i="25"/>
  <c r="AJ204" i="25"/>
  <c r="AT249" i="24"/>
  <c r="AF298" i="25"/>
  <c r="AE298" i="25"/>
  <c r="AK100" i="24"/>
  <c r="AN100" i="24"/>
  <c r="BU100" i="24" s="1"/>
  <c r="AS76" i="25"/>
  <c r="AK12" i="24"/>
  <c r="AN12" i="24"/>
  <c r="AX12" i="24" s="1"/>
  <c r="AF157" i="25"/>
  <c r="AE157" i="25"/>
  <c r="BI45" i="24"/>
  <c r="BL45" i="24" s="1"/>
  <c r="AS45" i="24"/>
  <c r="AQ45" i="24"/>
  <c r="BJ45" i="24"/>
  <c r="BH45" i="24"/>
  <c r="BW45" i="24"/>
  <c r="AX45" i="24"/>
  <c r="AJ192" i="25"/>
  <c r="AM192" i="25"/>
  <c r="CE192" i="25" s="1"/>
  <c r="AF112" i="25"/>
  <c r="AE112" i="25"/>
  <c r="BA251" i="24"/>
  <c r="AK68" i="24"/>
  <c r="AN68" i="24"/>
  <c r="BU68" i="24" s="1"/>
  <c r="AK225" i="24"/>
  <c r="AN225" i="24"/>
  <c r="AX225" i="24" s="1"/>
  <c r="AS83" i="25"/>
  <c r="AN9" i="24"/>
  <c r="BW9" i="24" s="1"/>
  <c r="AK9" i="24"/>
  <c r="AS69" i="25"/>
  <c r="AK297" i="24"/>
  <c r="AN297" i="24"/>
  <c r="BW297" i="24" s="1"/>
  <c r="AS84" i="25"/>
  <c r="AS184" i="25"/>
  <c r="AM167" i="25"/>
  <c r="AJ167" i="25"/>
  <c r="AF279" i="25"/>
  <c r="AE279" i="25"/>
  <c r="AS303" i="25"/>
  <c r="BA168" i="24"/>
  <c r="AS117" i="25"/>
  <c r="AN34" i="24"/>
  <c r="BH34" i="24" s="1"/>
  <c r="AK34" i="24"/>
  <c r="AT147" i="24"/>
  <c r="AT130" i="24"/>
  <c r="AK64" i="24"/>
  <c r="AN64" i="24"/>
  <c r="BU64" i="24" s="1"/>
  <c r="BA67" i="24"/>
  <c r="AF101" i="25"/>
  <c r="AE101" i="25"/>
  <c r="AS139" i="25"/>
  <c r="AS297" i="25"/>
  <c r="AS216" i="25"/>
  <c r="AN115" i="24"/>
  <c r="AK115" i="24"/>
  <c r="AJ261" i="25"/>
  <c r="AM261" i="25"/>
  <c r="AK222" i="24"/>
  <c r="AN222" i="24"/>
  <c r="AK173" i="24"/>
  <c r="AN173" i="24"/>
  <c r="CE173" i="24" s="1"/>
  <c r="AF223" i="25"/>
  <c r="AE223" i="25"/>
  <c r="AK256" i="24"/>
  <c r="AN256" i="24"/>
  <c r="AS103" i="25"/>
  <c r="AS194" i="25"/>
  <c r="AT219" i="24"/>
  <c r="AR143" i="25"/>
  <c r="BG143" i="25"/>
  <c r="BJ143" i="25" s="1"/>
  <c r="AP143" i="25"/>
  <c r="BH143" i="25"/>
  <c r="BF143" i="25"/>
  <c r="BU143" i="25"/>
  <c r="BW143" i="25"/>
  <c r="AS151" i="25"/>
  <c r="AS203" i="25"/>
  <c r="AF133" i="25"/>
  <c r="AE133" i="25"/>
  <c r="AN143" i="24"/>
  <c r="AK143" i="24"/>
  <c r="AV48" i="24"/>
  <c r="AT48" i="24"/>
  <c r="AK136" i="24"/>
  <c r="AN136" i="24"/>
  <c r="BH132" i="24"/>
  <c r="AT114" i="24"/>
  <c r="AN118" i="24"/>
  <c r="AK118" i="24"/>
  <c r="AN140" i="24"/>
  <c r="AK140" i="24"/>
  <c r="AS233" i="25"/>
  <c r="AN158" i="24"/>
  <c r="AK158" i="24"/>
  <c r="AS160" i="25"/>
  <c r="BA167" i="24"/>
  <c r="AF98" i="25"/>
  <c r="AE98" i="25"/>
  <c r="AS16" i="25"/>
  <c r="AF209" i="25"/>
  <c r="AE209" i="25"/>
  <c r="BA193" i="24"/>
  <c r="AJ296" i="25"/>
  <c r="AM296" i="25"/>
  <c r="AN170" i="24"/>
  <c r="CE170" i="24" s="1"/>
  <c r="AK170" i="24"/>
  <c r="AK304" i="24"/>
  <c r="AN304" i="24"/>
  <c r="AS294" i="24"/>
  <c r="BI294" i="24"/>
  <c r="BL294" i="24" s="1"/>
  <c r="BJ294" i="24"/>
  <c r="AQ294" i="24"/>
  <c r="AX294" i="24"/>
  <c r="BH294" i="24"/>
  <c r="BW294" i="24"/>
  <c r="BU294" i="24"/>
  <c r="AF150" i="25"/>
  <c r="AE150" i="25"/>
  <c r="AS205" i="25"/>
  <c r="AN186" i="24"/>
  <c r="CE186" i="24" s="1"/>
  <c r="AK186" i="24"/>
  <c r="AF188" i="25"/>
  <c r="AE188" i="25"/>
  <c r="AK250" i="24"/>
  <c r="AN250" i="24"/>
  <c r="AN308" i="24"/>
  <c r="AK308" i="24"/>
  <c r="BA166" i="24"/>
  <c r="BA199" i="24"/>
  <c r="BA202" i="24"/>
  <c r="BA222" i="24"/>
  <c r="AS8" i="25"/>
  <c r="AN313" i="24"/>
  <c r="AK313" i="24"/>
  <c r="AS219" i="25"/>
  <c r="BA229" i="24"/>
  <c r="AF47" i="25"/>
  <c r="AE47" i="25"/>
  <c r="AN163" i="24"/>
  <c r="AK163" i="24"/>
  <c r="BA146" i="24"/>
  <c r="AS142" i="25"/>
  <c r="AT112" i="24"/>
  <c r="BA198" i="24"/>
  <c r="BA118" i="24"/>
  <c r="AF119" i="25"/>
  <c r="AE119" i="25"/>
  <c r="AF315" i="25"/>
  <c r="AE315" i="25"/>
  <c r="BA158" i="24"/>
  <c r="AK148" i="24"/>
  <c r="AN148" i="24"/>
  <c r="BH148" i="24" s="1"/>
  <c r="AK24" i="24"/>
  <c r="AN24" i="24"/>
  <c r="BU24" i="24" s="1"/>
  <c r="AS140" i="25"/>
  <c r="AK133" i="24"/>
  <c r="AN133" i="24"/>
  <c r="BU133" i="24" s="1"/>
  <c r="BA170" i="24"/>
  <c r="AN97" i="24"/>
  <c r="BU97" i="24" s="1"/>
  <c r="AK97" i="24"/>
  <c r="BA201" i="24"/>
  <c r="AX114" i="25"/>
  <c r="AW114" i="25"/>
  <c r="AF260" i="25"/>
  <c r="AE260" i="25"/>
  <c r="BA276" i="24"/>
  <c r="BA179" i="24"/>
  <c r="AN141" i="24"/>
  <c r="AK141" i="24"/>
  <c r="AK49" i="24"/>
  <c r="AN49" i="24"/>
  <c r="BU49" i="24" s="1"/>
  <c r="AK184" i="24"/>
  <c r="AN184" i="24"/>
  <c r="AS256" i="25"/>
  <c r="AF268" i="25"/>
  <c r="AE268" i="25"/>
  <c r="AK50" i="24"/>
  <c r="AN50" i="24"/>
  <c r="BU50" i="24" s="1"/>
  <c r="AS50" i="25"/>
  <c r="AK40" i="24"/>
  <c r="AN40" i="24"/>
  <c r="BU40" i="24" s="1"/>
  <c r="AN87" i="24"/>
  <c r="BU87" i="24" s="1"/>
  <c r="AK87" i="24"/>
  <c r="AK293" i="24"/>
  <c r="AN293" i="24"/>
  <c r="AS115" i="25"/>
  <c r="AJ11" i="25"/>
  <c r="AM11" i="25"/>
  <c r="AN73" i="24"/>
  <c r="AK73" i="24"/>
  <c r="AM232" i="25"/>
  <c r="AJ232" i="25"/>
  <c r="AV28" i="24"/>
  <c r="AT28" i="24"/>
  <c r="AN76" i="24"/>
  <c r="BU76" i="24" s="1"/>
  <c r="AK76" i="24"/>
  <c r="AS308" i="25"/>
  <c r="AK139" i="24"/>
  <c r="AN139" i="24"/>
  <c r="CE139" i="24" s="1"/>
  <c r="AF286" i="25"/>
  <c r="AE286" i="25"/>
  <c r="AF271" i="25"/>
  <c r="AE271" i="25"/>
  <c r="AT148" i="24"/>
  <c r="AF278" i="25"/>
  <c r="AE278" i="25"/>
  <c r="AF166" i="25"/>
  <c r="AE166" i="25"/>
  <c r="AN306" i="24"/>
  <c r="CE306" i="24" s="1"/>
  <c r="AK306" i="24"/>
  <c r="AV35" i="24"/>
  <c r="AT35" i="24"/>
  <c r="AV26" i="24"/>
  <c r="AT26" i="24"/>
  <c r="BI119" i="24"/>
  <c r="BL119" i="24" s="1"/>
  <c r="AS119" i="24"/>
  <c r="AQ119" i="24"/>
  <c r="BJ119" i="24"/>
  <c r="AX119" i="24"/>
  <c r="BH119" i="24"/>
  <c r="BW119" i="24"/>
  <c r="BU119" i="24"/>
  <c r="AF76" i="25"/>
  <c r="AE76" i="25"/>
  <c r="AS134" i="25"/>
  <c r="BA138" i="24"/>
  <c r="AW11" i="25"/>
  <c r="AX11" i="25"/>
  <c r="BI160" i="24"/>
  <c r="BL160" i="24" s="1"/>
  <c r="AS160" i="24"/>
  <c r="BJ160" i="24"/>
  <c r="AQ160" i="24"/>
  <c r="BW160" i="24"/>
  <c r="BU160" i="24"/>
  <c r="AX160" i="24"/>
  <c r="BH160" i="24"/>
  <c r="AF302" i="25"/>
  <c r="AE302" i="25"/>
  <c r="AN207" i="24"/>
  <c r="AK207" i="24"/>
  <c r="BA205" i="24"/>
  <c r="AS122" i="25"/>
  <c r="AS153" i="25"/>
  <c r="AF83" i="25"/>
  <c r="AE83" i="25"/>
  <c r="AS310" i="25"/>
  <c r="AS217" i="25"/>
  <c r="AS171" i="25"/>
  <c r="AF69" i="25"/>
  <c r="AE69" i="25"/>
  <c r="AF84" i="25"/>
  <c r="AE84" i="25"/>
  <c r="AF184" i="25"/>
  <c r="AE184" i="25"/>
  <c r="AS22" i="25"/>
  <c r="AS56" i="25"/>
  <c r="AK114" i="24"/>
  <c r="AN114" i="24"/>
  <c r="BU114" i="24" s="1"/>
  <c r="AS207" i="25"/>
  <c r="AF303" i="25"/>
  <c r="AE303" i="25"/>
  <c r="AS55" i="25"/>
  <c r="AF117" i="25"/>
  <c r="AE117" i="25"/>
  <c r="AJ186" i="25"/>
  <c r="AM186" i="25"/>
  <c r="CE186" i="25" s="1"/>
  <c r="AN315" i="24"/>
  <c r="AK315" i="24"/>
  <c r="BA306" i="24"/>
  <c r="AK259" i="24"/>
  <c r="AN259" i="24"/>
  <c r="BH259" i="24" s="1"/>
  <c r="AS149" i="25"/>
  <c r="AF139" i="25"/>
  <c r="AE139" i="25"/>
  <c r="AK260" i="24"/>
  <c r="AN260" i="24"/>
  <c r="AF297" i="25"/>
  <c r="AE297" i="25"/>
  <c r="AN84" i="24"/>
  <c r="BU84" i="24" s="1"/>
  <c r="AK84" i="24"/>
  <c r="AK157" i="24"/>
  <c r="AN157" i="24"/>
  <c r="CE157" i="24" s="1"/>
  <c r="AF216" i="25"/>
  <c r="AE216" i="25"/>
  <c r="AT284" i="24"/>
  <c r="AN166" i="24"/>
  <c r="CE166" i="24" s="1"/>
  <c r="AK166" i="24"/>
  <c r="AS7" i="24"/>
  <c r="BI7" i="24"/>
  <c r="BL7" i="24" s="1"/>
  <c r="BJ7" i="24"/>
  <c r="AQ7" i="24"/>
  <c r="BW7" i="24"/>
  <c r="AX7" i="24"/>
  <c r="BH7" i="24"/>
  <c r="AK31" i="24"/>
  <c r="AN31" i="24"/>
  <c r="BU31" i="24" s="1"/>
  <c r="BA209" i="24"/>
  <c r="AK291" i="24"/>
  <c r="AN291" i="24"/>
  <c r="AT299" i="24"/>
  <c r="AN180" i="24"/>
  <c r="CE180" i="24" s="1"/>
  <c r="AK180" i="24"/>
  <c r="AF103" i="25"/>
  <c r="AE103" i="25"/>
  <c r="AF194" i="25"/>
  <c r="AE194" i="25"/>
  <c r="AS38" i="25"/>
  <c r="AS35" i="25"/>
  <c r="AX186" i="25"/>
  <c r="AW186" i="25"/>
  <c r="AK88" i="24"/>
  <c r="AN88" i="24"/>
  <c r="AF151" i="25"/>
  <c r="AE151" i="25"/>
  <c r="AF203" i="25"/>
  <c r="AE203" i="25"/>
  <c r="AT123" i="24"/>
  <c r="AT297" i="24"/>
  <c r="AS27" i="25"/>
  <c r="AN208" i="24"/>
  <c r="CE208" i="24" s="1"/>
  <c r="AK208" i="24"/>
  <c r="BA137" i="24"/>
  <c r="AW192" i="25"/>
  <c r="AX192" i="25"/>
  <c r="AX132" i="24"/>
  <c r="AK85" i="24"/>
  <c r="AN85" i="24"/>
  <c r="BU85" i="24" s="1"/>
  <c r="AS64" i="25"/>
  <c r="AV19" i="24"/>
  <c r="AT19" i="24"/>
  <c r="AF233" i="25"/>
  <c r="AE233" i="25"/>
  <c r="AN309" i="24"/>
  <c r="AK309" i="24"/>
  <c r="AS172" i="25"/>
  <c r="AN82" i="24"/>
  <c r="BU82" i="24" s="1"/>
  <c r="AK82" i="24"/>
  <c r="BA174" i="24"/>
  <c r="AF160" i="25"/>
  <c r="AE160" i="25"/>
  <c r="AT237" i="24"/>
  <c r="AF16" i="25"/>
  <c r="AE16" i="25"/>
  <c r="AM158" i="25"/>
  <c r="AJ158" i="25"/>
  <c r="AK77" i="24"/>
  <c r="AN77" i="24"/>
  <c r="BU77" i="24" s="1"/>
  <c r="AK245" i="24"/>
  <c r="AN245" i="24"/>
  <c r="AM13" i="25"/>
  <c r="AJ13" i="25"/>
  <c r="AS51" i="25"/>
  <c r="AS304" i="25"/>
  <c r="AF205" i="25"/>
  <c r="AE205" i="25"/>
  <c r="AN65" i="24"/>
  <c r="BU65" i="24" s="1"/>
  <c r="AK65" i="24"/>
  <c r="AS78" i="25"/>
  <c r="AK14" i="24"/>
  <c r="AN14" i="24"/>
  <c r="BU14" i="24" s="1"/>
  <c r="AM189" i="25"/>
  <c r="CE189" i="25" s="1"/>
  <c r="AF8" i="25"/>
  <c r="AE8" i="25"/>
  <c r="AS52" i="25"/>
  <c r="AS126" i="25"/>
  <c r="BA300" i="24"/>
  <c r="BA144" i="24"/>
  <c r="AS309" i="25"/>
  <c r="AF219" i="25"/>
  <c r="AE219" i="25"/>
  <c r="AK262" i="24"/>
  <c r="AN262" i="24"/>
  <c r="AS23" i="25"/>
  <c r="AN241" i="24"/>
  <c r="AK241" i="24"/>
  <c r="AN203" i="24"/>
  <c r="CE203" i="24" s="1"/>
  <c r="AK203" i="24"/>
  <c r="AK302" i="24"/>
  <c r="AN302" i="24"/>
  <c r="CE302" i="24" s="1"/>
  <c r="AF142" i="25"/>
  <c r="AE142" i="25"/>
  <c r="AK95" i="24"/>
  <c r="AN95" i="24"/>
  <c r="BU95" i="24" s="1"/>
  <c r="AK53" i="24"/>
  <c r="AN53" i="24"/>
  <c r="BU53" i="24" s="1"/>
  <c r="AK280" i="24"/>
  <c r="AN280" i="24"/>
  <c r="AX280" i="24" s="1"/>
  <c r="AN28" i="24"/>
  <c r="BU28" i="24" s="1"/>
  <c r="AK28" i="24"/>
  <c r="AN296" i="24"/>
  <c r="AK296" i="24"/>
  <c r="BA277" i="24"/>
  <c r="BA270" i="24"/>
  <c r="AK121" i="24"/>
  <c r="AN121" i="24"/>
  <c r="BW121" i="24" s="1"/>
  <c r="AS316" i="25"/>
  <c r="AN189" i="24"/>
  <c r="AK189" i="24"/>
  <c r="AJ280" i="25"/>
  <c r="AM280" i="25"/>
  <c r="CE280" i="25" s="1"/>
  <c r="AN178" i="24"/>
  <c r="CE178" i="24" s="1"/>
  <c r="AK178" i="24"/>
  <c r="AK269" i="24"/>
  <c r="AN269" i="24"/>
  <c r="AX269" i="24" s="1"/>
  <c r="AF140" i="25"/>
  <c r="AE140" i="25"/>
  <c r="AN111" i="24"/>
  <c r="AK111" i="24"/>
  <c r="AS72" i="25"/>
  <c r="AN249" i="24"/>
  <c r="AX249" i="24" s="1"/>
  <c r="AK249" i="24"/>
  <c r="BA304" i="24"/>
  <c r="AS75" i="25"/>
  <c r="AW190" i="25"/>
  <c r="AX190" i="25"/>
  <c r="AJ198" i="25"/>
  <c r="AM198" i="25"/>
  <c r="AS242" i="25"/>
  <c r="AJ147" i="25"/>
  <c r="AM147" i="25"/>
  <c r="CE147" i="25" s="1"/>
  <c r="BA308" i="24"/>
  <c r="AK206" i="24"/>
  <c r="AN206" i="24"/>
  <c r="AN36" i="24"/>
  <c r="BU36" i="24" s="1"/>
  <c r="AK36" i="24"/>
  <c r="AF256" i="25"/>
  <c r="AE256" i="25"/>
  <c r="AS224" i="25"/>
  <c r="AS263" i="25"/>
  <c r="AF50" i="25"/>
  <c r="AE50" i="25"/>
  <c r="AF115" i="25"/>
  <c r="AE115" i="25"/>
  <c r="AK16" i="24"/>
  <c r="AN16" i="24"/>
  <c r="BU16" i="24" s="1"/>
  <c r="AT298" i="24"/>
  <c r="AF308" i="25"/>
  <c r="AE308" i="25"/>
  <c r="AN102" i="24"/>
  <c r="CE102" i="24" s="1"/>
  <c r="AK102" i="24"/>
  <c r="AX94" i="25"/>
  <c r="AW94" i="25"/>
  <c r="AJ282" i="25"/>
  <c r="AM282" i="25"/>
  <c r="AS24" i="25"/>
  <c r="AV51" i="24"/>
  <c r="AT51" i="24"/>
  <c r="AN66" i="24"/>
  <c r="BU66" i="24" s="1"/>
  <c r="AK66" i="24"/>
  <c r="AS48" i="25"/>
  <c r="AS152" i="25"/>
  <c r="AX161" i="25"/>
  <c r="AW161" i="25"/>
  <c r="AT228" i="24"/>
  <c r="AF134" i="25"/>
  <c r="AE134" i="25"/>
  <c r="AS222" i="25"/>
  <c r="AS253" i="25"/>
  <c r="BA221" i="24"/>
  <c r="AK265" i="24"/>
  <c r="AN265" i="24"/>
  <c r="AK32" i="24"/>
  <c r="AN32" i="24"/>
  <c r="BH32" i="24" s="1"/>
  <c r="AK267" i="24"/>
  <c r="AN267" i="24"/>
  <c r="AX267" i="24" s="1"/>
  <c r="AS182" i="25"/>
  <c r="AK120" i="24"/>
  <c r="AN120" i="24"/>
  <c r="BU120" i="24" s="1"/>
  <c r="BA141" i="24"/>
  <c r="AF122" i="25"/>
  <c r="AE122" i="25"/>
  <c r="AS40" i="25"/>
  <c r="BA150" i="24"/>
  <c r="AF182" i="25"/>
  <c r="AE182" i="25"/>
  <c r="AN283" i="24"/>
  <c r="BU283" i="24" s="1"/>
  <c r="AK283" i="24"/>
  <c r="BA217" i="24"/>
  <c r="BA292" i="24"/>
  <c r="AF153" i="25"/>
  <c r="AE153" i="25"/>
  <c r="BA234" i="24"/>
  <c r="AF310" i="25"/>
  <c r="AE310" i="25"/>
  <c r="AF217" i="25"/>
  <c r="AE217" i="25"/>
  <c r="AF171" i="25"/>
  <c r="AE171" i="25"/>
  <c r="AF22" i="25"/>
  <c r="AE22" i="25"/>
  <c r="AF56" i="25"/>
  <c r="AE56" i="25"/>
  <c r="AF207" i="25"/>
  <c r="AE207" i="25"/>
  <c r="AF55" i="25"/>
  <c r="AE55" i="25"/>
  <c r="AK129" i="24"/>
  <c r="AN129" i="24"/>
  <c r="AX129" i="24" s="1"/>
  <c r="AS146" i="25"/>
  <c r="AN238" i="24"/>
  <c r="BH238" i="24" s="1"/>
  <c r="AK238" i="24"/>
  <c r="AK18" i="24"/>
  <c r="AN18" i="24"/>
  <c r="BU18" i="24" s="1"/>
  <c r="AN174" i="24"/>
  <c r="AK174" i="24"/>
  <c r="AN237" i="24"/>
  <c r="BH237" i="24" s="1"/>
  <c r="AK237" i="24"/>
  <c r="AS10" i="25"/>
  <c r="AF149" i="25"/>
  <c r="AE149" i="25"/>
  <c r="AK247" i="24"/>
  <c r="AN247" i="24"/>
  <c r="AX247" i="24" s="1"/>
  <c r="AT152" i="24"/>
  <c r="AK314" i="24"/>
  <c r="AN314" i="24"/>
  <c r="AN59" i="24"/>
  <c r="BU59" i="24" s="1"/>
  <c r="AK59" i="24"/>
  <c r="AS236" i="25"/>
  <c r="BA312" i="24"/>
  <c r="AT120" i="24"/>
  <c r="AK151" i="24"/>
  <c r="AN151" i="24"/>
  <c r="CE151" i="24" s="1"/>
  <c r="AS17" i="25"/>
  <c r="AK287" i="24"/>
  <c r="AN287" i="24"/>
  <c r="AK159" i="24"/>
  <c r="AN159" i="24"/>
  <c r="AT283" i="24"/>
  <c r="AT128" i="24"/>
  <c r="AF38" i="25"/>
  <c r="AE38" i="25"/>
  <c r="AF35" i="25"/>
  <c r="AE35" i="25"/>
  <c r="AK92" i="24"/>
  <c r="AN92" i="24"/>
  <c r="CE92" i="24" s="1"/>
  <c r="AS190" i="24"/>
  <c r="BI190" i="24"/>
  <c r="BL190" i="24" s="1"/>
  <c r="AQ190" i="24"/>
  <c r="BJ190" i="24"/>
  <c r="BH190" i="24"/>
  <c r="BU190" i="24"/>
  <c r="BW190" i="24"/>
  <c r="AX190" i="24"/>
  <c r="AV56" i="24"/>
  <c r="AT56" i="24"/>
  <c r="AS225" i="25"/>
  <c r="AF27" i="25"/>
  <c r="AE27" i="25"/>
  <c r="AK277" i="24"/>
  <c r="AN277" i="24"/>
  <c r="CE277" i="24" s="1"/>
  <c r="AF64" i="25"/>
  <c r="AE64" i="25"/>
  <c r="AN187" i="24"/>
  <c r="AK187" i="24"/>
  <c r="AX92" i="25"/>
  <c r="AW92" i="25"/>
  <c r="AT129" i="24"/>
  <c r="AT235" i="24"/>
  <c r="AK268" i="24"/>
  <c r="AN268" i="24"/>
  <c r="AV18" i="24"/>
  <c r="AT18" i="24"/>
  <c r="AF172" i="25"/>
  <c r="AE172" i="25"/>
  <c r="AV20" i="24"/>
  <c r="AT20" i="24"/>
  <c r="AV30" i="24"/>
  <c r="AT30" i="24"/>
  <c r="BA181" i="24"/>
  <c r="AS123" i="25"/>
  <c r="BA315" i="24"/>
  <c r="AT259" i="24"/>
  <c r="AS200" i="25"/>
  <c r="AF51" i="25"/>
  <c r="AE51" i="25"/>
  <c r="AF304" i="25"/>
  <c r="AE304" i="25"/>
  <c r="AK204" i="24"/>
  <c r="AN204" i="24"/>
  <c r="CE204" i="24" s="1"/>
  <c r="AK138" i="24"/>
  <c r="AN138" i="24"/>
  <c r="AN81" i="24"/>
  <c r="AK81" i="24"/>
  <c r="BA115" i="24"/>
  <c r="AF78" i="25"/>
  <c r="AE78" i="25"/>
  <c r="AN131" i="24"/>
  <c r="AK131" i="24"/>
  <c r="BA288" i="24"/>
  <c r="AF52" i="25"/>
  <c r="AE52" i="25"/>
  <c r="AS57" i="25"/>
  <c r="AF126" i="25"/>
  <c r="AE126" i="25"/>
  <c r="AN69" i="24"/>
  <c r="BU69" i="24" s="1"/>
  <c r="AK69" i="24"/>
  <c r="AF309" i="25"/>
  <c r="AE309" i="25"/>
  <c r="AW173" i="25"/>
  <c r="AX173" i="25"/>
  <c r="AF23" i="25"/>
  <c r="AE23" i="25"/>
  <c r="AM201" i="25"/>
  <c r="AJ201" i="25"/>
  <c r="AX21" i="25"/>
  <c r="AW21" i="25"/>
  <c r="BA143" i="24"/>
  <c r="BA169" i="24"/>
  <c r="AJ71" i="25"/>
  <c r="AM71" i="25"/>
  <c r="CE71" i="25" s="1"/>
  <c r="AJ87" i="25"/>
  <c r="AM87" i="25"/>
  <c r="AK305" i="24"/>
  <c r="AN305" i="24"/>
  <c r="AX305" i="24" s="1"/>
  <c r="AS220" i="25"/>
  <c r="AF316" i="25"/>
  <c r="AE316" i="25"/>
  <c r="AS79" i="25"/>
  <c r="BA307" i="24"/>
  <c r="BA255" i="24"/>
  <c r="BA309" i="24"/>
  <c r="AN246" i="24"/>
  <c r="AK246" i="24"/>
  <c r="AS195" i="25"/>
  <c r="AS137" i="25"/>
  <c r="AF72" i="25"/>
  <c r="AE72" i="25"/>
  <c r="AF75" i="25"/>
  <c r="AE75" i="25"/>
  <c r="AX71" i="25"/>
  <c r="AW71" i="25"/>
  <c r="AJ30" i="25"/>
  <c r="AM30" i="25"/>
  <c r="AF242" i="25"/>
  <c r="AE242" i="25"/>
  <c r="BA275" i="24"/>
  <c r="BA194" i="24"/>
  <c r="AS39" i="25"/>
  <c r="AS49" i="25"/>
  <c r="BA254" i="24"/>
  <c r="BA172" i="24"/>
  <c r="AK221" i="24"/>
  <c r="AN221" i="24"/>
  <c r="BI264" i="24"/>
  <c r="BL264" i="24" s="1"/>
  <c r="AS264" i="24"/>
  <c r="AU264" i="24" s="1"/>
  <c r="BB264" i="24" s="1"/>
  <c r="AQ264" i="24"/>
  <c r="BJ264" i="24"/>
  <c r="AT258" i="24"/>
  <c r="AF224" i="25"/>
  <c r="AE224" i="25"/>
  <c r="BA262" i="24"/>
  <c r="AF263" i="25"/>
  <c r="AE263" i="25"/>
  <c r="BA163" i="24"/>
  <c r="AN154" i="24"/>
  <c r="AK154" i="24"/>
  <c r="AN75" i="24"/>
  <c r="BU75" i="24" s="1"/>
  <c r="AK75" i="24"/>
  <c r="BA303" i="24"/>
  <c r="AM267" i="25"/>
  <c r="AJ267" i="25"/>
  <c r="AK232" i="24"/>
  <c r="AN232" i="24"/>
  <c r="BU232" i="24" s="1"/>
  <c r="AT280" i="24"/>
  <c r="AS191" i="25"/>
  <c r="AN273" i="24"/>
  <c r="AX273" i="24" s="1"/>
  <c r="AK273" i="24"/>
  <c r="AS230" i="25"/>
  <c r="AN168" i="24"/>
  <c r="CE168" i="24" s="1"/>
  <c r="AK168" i="24"/>
  <c r="AK147" i="24"/>
  <c r="AN147" i="24"/>
  <c r="AR110" i="25"/>
  <c r="BG110" i="25"/>
  <c r="BJ110" i="25" s="1"/>
  <c r="BH110" i="25"/>
  <c r="AP110" i="25"/>
  <c r="BU110" i="25"/>
  <c r="BW110" i="25"/>
  <c r="BF110" i="25"/>
  <c r="AK60" i="24"/>
  <c r="AN60" i="24"/>
  <c r="BU60" i="24" s="1"/>
  <c r="AN192" i="24"/>
  <c r="AK192" i="24"/>
  <c r="AV24" i="24"/>
  <c r="AT24" i="24"/>
  <c r="AV54" i="24"/>
  <c r="AT54" i="24"/>
  <c r="AK67" i="24"/>
  <c r="AN67" i="24"/>
  <c r="BU67" i="24" s="1"/>
  <c r="AF24" i="25"/>
  <c r="AE24" i="25"/>
  <c r="AS187" i="25"/>
  <c r="AF48" i="25"/>
  <c r="AE48" i="25"/>
  <c r="AF152" i="25"/>
  <c r="AE152" i="25"/>
  <c r="AS125" i="25"/>
  <c r="AK78" i="24"/>
  <c r="AN78" i="24"/>
  <c r="BU78" i="24" s="1"/>
  <c r="AX82" i="25"/>
  <c r="AW82" i="25"/>
  <c r="AN242" i="24"/>
  <c r="AK242" i="24"/>
  <c r="AS111" i="25"/>
  <c r="AF222" i="25"/>
  <c r="AE222" i="25"/>
  <c r="AF253" i="25"/>
  <c r="AE253" i="25"/>
  <c r="BU73" i="24" l="1"/>
  <c r="CE73" i="24"/>
  <c r="AX56" i="24"/>
  <c r="CE56" i="24"/>
  <c r="AP198" i="25"/>
  <c r="CE198" i="25"/>
  <c r="BW299" i="24"/>
  <c r="CE299" i="24"/>
  <c r="BU80" i="24"/>
  <c r="CE80" i="24"/>
  <c r="BU88" i="24"/>
  <c r="CE88" i="24"/>
  <c r="BU104" i="24"/>
  <c r="CE104" i="24"/>
  <c r="AP204" i="25"/>
  <c r="CE204" i="25"/>
  <c r="BU81" i="24"/>
  <c r="CE81" i="24"/>
  <c r="BU98" i="24"/>
  <c r="CE98" i="24"/>
  <c r="AM96" i="25"/>
  <c r="BW96" i="25" s="1"/>
  <c r="BU103" i="24"/>
  <c r="CE103" i="24"/>
  <c r="B43" i="2"/>
  <c r="D43" i="2" s="1"/>
  <c r="AP199" i="25"/>
  <c r="CE199" i="25"/>
  <c r="AP201" i="25"/>
  <c r="CE201" i="25"/>
  <c r="AM104" i="25"/>
  <c r="BG104" i="25" s="1"/>
  <c r="BJ104" i="25" s="1"/>
  <c r="BU105" i="24"/>
  <c r="CE105" i="24"/>
  <c r="BH290" i="24"/>
  <c r="CE290" i="24"/>
  <c r="BU20" i="24"/>
  <c r="BU32" i="24"/>
  <c r="BU54" i="24"/>
  <c r="BU26" i="24"/>
  <c r="BU6" i="24"/>
  <c r="BU56" i="24"/>
  <c r="BU30" i="24"/>
  <c r="BU17" i="24"/>
  <c r="BU34" i="24"/>
  <c r="BU92" i="24"/>
  <c r="BU9" i="24"/>
  <c r="BU19" i="24"/>
  <c r="BU102" i="24"/>
  <c r="BU37" i="24"/>
  <c r="BU8" i="24"/>
  <c r="BU58" i="24"/>
  <c r="BU12" i="24"/>
  <c r="BU57" i="24"/>
  <c r="BU79" i="24"/>
  <c r="BU74" i="24"/>
  <c r="BU51" i="24"/>
  <c r="BU35" i="24"/>
  <c r="AM258" i="25"/>
  <c r="BF258" i="25" s="1"/>
  <c r="BW281" i="24"/>
  <c r="AM154" i="25"/>
  <c r="AM97" i="25"/>
  <c r="AP97" i="25" s="1"/>
  <c r="BU125" i="24"/>
  <c r="BW125" i="24"/>
  <c r="BH125" i="24"/>
  <c r="AJ154" i="25"/>
  <c r="BH224" i="24"/>
  <c r="AJ29" i="25"/>
  <c r="AM179" i="25"/>
  <c r="AX224" i="24"/>
  <c r="BW224" i="24"/>
  <c r="AM265" i="25"/>
  <c r="BH265" i="25" s="1"/>
  <c r="AX20" i="24"/>
  <c r="BH123" i="24"/>
  <c r="AX123" i="24"/>
  <c r="BW123" i="24"/>
  <c r="BH112" i="24"/>
  <c r="AX112" i="24"/>
  <c r="BW112" i="24"/>
  <c r="AJ291" i="25"/>
  <c r="BU219" i="24"/>
  <c r="AX51" i="24"/>
  <c r="BW280" i="24"/>
  <c r="AX33" i="24"/>
  <c r="AX58" i="24"/>
  <c r="BH228" i="24"/>
  <c r="BW284" i="24"/>
  <c r="BW235" i="24"/>
  <c r="AX218" i="24"/>
  <c r="BU259" i="24"/>
  <c r="AX259" i="24"/>
  <c r="BW152" i="24"/>
  <c r="BU152" i="24"/>
  <c r="BW20" i="24"/>
  <c r="AJ28" i="25"/>
  <c r="BW51" i="24"/>
  <c r="BH152" i="24"/>
  <c r="BW24" i="24"/>
  <c r="BH24" i="24"/>
  <c r="BH128" i="24"/>
  <c r="AX24" i="24"/>
  <c r="BW56" i="24"/>
  <c r="BH56" i="24"/>
  <c r="BH274" i="24"/>
  <c r="AX274" i="24"/>
  <c r="BW274" i="24"/>
  <c r="BH261" i="24"/>
  <c r="BH284" i="24"/>
  <c r="AX284" i="24"/>
  <c r="BU243" i="24"/>
  <c r="BW219" i="24"/>
  <c r="BH58" i="24"/>
  <c r="BW243" i="24"/>
  <c r="AX261" i="24"/>
  <c r="BU261" i="24"/>
  <c r="BH219" i="24"/>
  <c r="BH243" i="24"/>
  <c r="BW259" i="24"/>
  <c r="AW292" i="24"/>
  <c r="BD292" i="24" s="1"/>
  <c r="BW19" i="24"/>
  <c r="BW48" i="24"/>
  <c r="AX128" i="24"/>
  <c r="AX228" i="24"/>
  <c r="BH26" i="24"/>
  <c r="AX26" i="24"/>
  <c r="BU148" i="24"/>
  <c r="BU128" i="24"/>
  <c r="BU228" i="24"/>
  <c r="BH19" i="24"/>
  <c r="AJ237" i="25"/>
  <c r="AM237" i="25"/>
  <c r="BH297" i="24"/>
  <c r="BH33" i="24"/>
  <c r="AX297" i="24"/>
  <c r="BW283" i="24"/>
  <c r="BU297" i="24"/>
  <c r="BW33" i="24"/>
  <c r="BU280" i="24"/>
  <c r="BH30" i="24"/>
  <c r="BW18" i="24"/>
  <c r="BH271" i="24"/>
  <c r="AX30" i="24"/>
  <c r="BH48" i="24"/>
  <c r="AX271" i="24"/>
  <c r="AX48" i="24"/>
  <c r="BH37" i="24"/>
  <c r="BU271" i="24"/>
  <c r="BW153" i="24"/>
  <c r="BH280" i="24"/>
  <c r="BW35" i="24"/>
  <c r="S212" i="25"/>
  <c r="K212" i="25" s="1"/>
  <c r="R212" i="25"/>
  <c r="Q212" i="25"/>
  <c r="BZ212" i="25"/>
  <c r="AO212" i="25"/>
  <c r="BH153" i="24"/>
  <c r="AX153" i="24"/>
  <c r="BU298" i="24"/>
  <c r="BU258" i="24"/>
  <c r="BW298" i="24"/>
  <c r="BU130" i="24"/>
  <c r="BW148" i="24"/>
  <c r="BW129" i="24"/>
  <c r="BH298" i="24"/>
  <c r="BH18" i="24"/>
  <c r="BH218" i="24"/>
  <c r="BU218" i="24"/>
  <c r="AJ77" i="25"/>
  <c r="AM77" i="25"/>
  <c r="BU129" i="24"/>
  <c r="AX283" i="24"/>
  <c r="AX18" i="24"/>
  <c r="BH129" i="24"/>
  <c r="BH35" i="24"/>
  <c r="BH54" i="24"/>
  <c r="BW258" i="24"/>
  <c r="BU235" i="24"/>
  <c r="BH299" i="24"/>
  <c r="BU281" i="24"/>
  <c r="AX37" i="24"/>
  <c r="BH120" i="24"/>
  <c r="BU299" i="24"/>
  <c r="AX54" i="24"/>
  <c r="AX299" i="24"/>
  <c r="BH258" i="24"/>
  <c r="BH235" i="24"/>
  <c r="BW120" i="24"/>
  <c r="BH130" i="24"/>
  <c r="BH281" i="24"/>
  <c r="AX148" i="24"/>
  <c r="BH57" i="24"/>
  <c r="AX57" i="24"/>
  <c r="BI242" i="24"/>
  <c r="BL242" i="24" s="1"/>
  <c r="AS242" i="24"/>
  <c r="AU242" i="24" s="1"/>
  <c r="BB242" i="24" s="1"/>
  <c r="BJ242" i="24"/>
  <c r="AQ242" i="24"/>
  <c r="BI192" i="24"/>
  <c r="BL192" i="24" s="1"/>
  <c r="AS192" i="24"/>
  <c r="AQ192" i="24"/>
  <c r="BJ192" i="24"/>
  <c r="BH192" i="24"/>
  <c r="BU192" i="24"/>
  <c r="BW192" i="24"/>
  <c r="AX192" i="24"/>
  <c r="AJ48" i="25"/>
  <c r="AM48" i="25"/>
  <c r="AS60" i="24"/>
  <c r="BI60" i="24"/>
  <c r="BL60" i="24" s="1"/>
  <c r="BJ60" i="24"/>
  <c r="AQ60" i="24"/>
  <c r="BW60" i="24"/>
  <c r="AX60" i="24"/>
  <c r="BH60" i="24"/>
  <c r="AT110" i="25"/>
  <c r="AY110" i="25" s="1"/>
  <c r="AU110" i="25"/>
  <c r="AR267" i="25"/>
  <c r="BG267" i="25"/>
  <c r="BJ267" i="25" s="1"/>
  <c r="AP267" i="25"/>
  <c r="BH267" i="25"/>
  <c r="BU267" i="25"/>
  <c r="BW267" i="25"/>
  <c r="BF267" i="25"/>
  <c r="AM52" i="25"/>
  <c r="CE52" i="25" s="1"/>
  <c r="AJ52" i="25"/>
  <c r="AW111" i="25"/>
  <c r="AX111" i="25"/>
  <c r="AX125" i="25"/>
  <c r="AW125" i="25"/>
  <c r="AJ24" i="25"/>
  <c r="AM24" i="25"/>
  <c r="BI147" i="24"/>
  <c r="BL147" i="24" s="1"/>
  <c r="AS147" i="24"/>
  <c r="AU147" i="24" s="1"/>
  <c r="BB147" i="24" s="1"/>
  <c r="BJ147" i="24"/>
  <c r="AQ147" i="24"/>
  <c r="AX191" i="25"/>
  <c r="AW191" i="25"/>
  <c r="BI221" i="24"/>
  <c r="BL221" i="24" s="1"/>
  <c r="AS221" i="24"/>
  <c r="BJ221" i="24"/>
  <c r="AQ221" i="24"/>
  <c r="BU221" i="24"/>
  <c r="BW221" i="24"/>
  <c r="AX221" i="24"/>
  <c r="BH221" i="24"/>
  <c r="AR201" i="25"/>
  <c r="BG201" i="25"/>
  <c r="BJ201" i="25" s="1"/>
  <c r="BH201" i="25"/>
  <c r="BF201" i="25"/>
  <c r="BW201" i="25"/>
  <c r="BU201" i="25"/>
  <c r="AM309" i="25"/>
  <c r="AJ309" i="25"/>
  <c r="AM304" i="25"/>
  <c r="AJ304" i="25"/>
  <c r="BA56" i="24"/>
  <c r="BI287" i="24"/>
  <c r="BL287" i="24" s="1"/>
  <c r="AS287" i="24"/>
  <c r="AQ287" i="24"/>
  <c r="BJ287" i="24"/>
  <c r="BU287" i="24"/>
  <c r="AX287" i="24"/>
  <c r="BH287" i="24"/>
  <c r="BW287" i="24"/>
  <c r="BI174" i="24"/>
  <c r="BL174" i="24" s="1"/>
  <c r="AS174" i="24"/>
  <c r="BJ174" i="24"/>
  <c r="AQ174" i="24"/>
  <c r="AX174" i="24"/>
  <c r="BH174" i="24"/>
  <c r="BW174" i="24"/>
  <c r="BU174" i="24"/>
  <c r="AX146" i="25"/>
  <c r="AW146" i="25"/>
  <c r="AM122" i="25"/>
  <c r="AJ122" i="25"/>
  <c r="AW182" i="25"/>
  <c r="AX182" i="25"/>
  <c r="AS265" i="24"/>
  <c r="AU265" i="24" s="1"/>
  <c r="BB265" i="24" s="1"/>
  <c r="BI265" i="24"/>
  <c r="BL265" i="24" s="1"/>
  <c r="AQ265" i="24"/>
  <c r="BJ265" i="24"/>
  <c r="AJ50" i="25"/>
  <c r="AM50" i="25"/>
  <c r="AJ256" i="25"/>
  <c r="AM256" i="25"/>
  <c r="AS111" i="24"/>
  <c r="AU111" i="24" s="1"/>
  <c r="BB111" i="24" s="1"/>
  <c r="BI111" i="24"/>
  <c r="BL111" i="24" s="1"/>
  <c r="AQ111" i="24"/>
  <c r="BJ111" i="24"/>
  <c r="BI95" i="24"/>
  <c r="BL95" i="24" s="1"/>
  <c r="AS95" i="24"/>
  <c r="BJ95" i="24"/>
  <c r="AQ95" i="24"/>
  <c r="BW95" i="24"/>
  <c r="AX95" i="24"/>
  <c r="BH95" i="24"/>
  <c r="AJ205" i="25"/>
  <c r="AM205" i="25"/>
  <c r="AR13" i="25"/>
  <c r="BG13" i="25"/>
  <c r="BJ13" i="25" s="1"/>
  <c r="AP13" i="25"/>
  <c r="BH13" i="25"/>
  <c r="BF13" i="25"/>
  <c r="BU13" i="25"/>
  <c r="BW13" i="25"/>
  <c r="BA237" i="24"/>
  <c r="AM203" i="25"/>
  <c r="AJ203" i="25"/>
  <c r="BI260" i="24"/>
  <c r="BL260" i="24" s="1"/>
  <c r="AS260" i="24"/>
  <c r="AU260" i="24" s="1"/>
  <c r="BB260" i="24" s="1"/>
  <c r="BJ260" i="24"/>
  <c r="AQ260" i="24"/>
  <c r="BA35" i="24"/>
  <c r="BI139" i="24"/>
  <c r="BL139" i="24" s="1"/>
  <c r="AS139" i="24"/>
  <c r="BJ139" i="24"/>
  <c r="AQ139" i="24"/>
  <c r="BH139" i="24"/>
  <c r="BW139" i="24"/>
  <c r="BU139" i="24"/>
  <c r="AX139" i="24"/>
  <c r="AS50" i="24"/>
  <c r="BI50" i="24"/>
  <c r="BL50" i="24" s="1"/>
  <c r="BJ50" i="24"/>
  <c r="AQ50" i="24"/>
  <c r="AX50" i="24"/>
  <c r="BH50" i="24"/>
  <c r="BW50" i="24"/>
  <c r="AS141" i="24"/>
  <c r="BI141" i="24"/>
  <c r="BL141" i="24" s="1"/>
  <c r="BJ141" i="24"/>
  <c r="AQ141" i="24"/>
  <c r="AX141" i="24"/>
  <c r="BH141" i="24"/>
  <c r="BU141" i="24"/>
  <c r="BW141" i="24"/>
  <c r="AS97" i="24"/>
  <c r="BI97" i="24"/>
  <c r="BL97" i="24" s="1"/>
  <c r="BJ97" i="24"/>
  <c r="AQ97" i="24"/>
  <c r="AX97" i="24"/>
  <c r="BH97" i="24"/>
  <c r="BW97" i="24"/>
  <c r="AX140" i="25"/>
  <c r="AW140" i="25"/>
  <c r="AW205" i="25"/>
  <c r="AX205" i="25"/>
  <c r="AM98" i="25"/>
  <c r="AJ98" i="25"/>
  <c r="AS118" i="24"/>
  <c r="BI118" i="24"/>
  <c r="BL118" i="24" s="1"/>
  <c r="AQ118" i="24"/>
  <c r="BJ118" i="24"/>
  <c r="BU118" i="24"/>
  <c r="BW118" i="24"/>
  <c r="AX118" i="24"/>
  <c r="BH118" i="24"/>
  <c r="AX203" i="25"/>
  <c r="AW203" i="25"/>
  <c r="BI256" i="24"/>
  <c r="BL256" i="24" s="1"/>
  <c r="AS256" i="24"/>
  <c r="BJ256" i="24"/>
  <c r="AQ256" i="24"/>
  <c r="BH256" i="24"/>
  <c r="BU256" i="24"/>
  <c r="BW256" i="24"/>
  <c r="AX256" i="24"/>
  <c r="AR261" i="25"/>
  <c r="BG261" i="25"/>
  <c r="BJ261" i="25" s="1"/>
  <c r="BH261" i="25"/>
  <c r="AP261" i="25"/>
  <c r="BF261" i="25"/>
  <c r="BW261" i="25"/>
  <c r="BU261" i="25"/>
  <c r="AS64" i="24"/>
  <c r="BI64" i="24"/>
  <c r="BL64" i="24" s="1"/>
  <c r="BJ64" i="24"/>
  <c r="AQ64" i="24"/>
  <c r="BW64" i="24"/>
  <c r="AX64" i="24"/>
  <c r="BH64" i="24"/>
  <c r="AX76" i="25"/>
  <c r="AW76" i="25"/>
  <c r="BU249" i="24"/>
  <c r="AM165" i="25"/>
  <c r="CE165" i="25" s="1"/>
  <c r="AJ165" i="25"/>
  <c r="AS98" i="24"/>
  <c r="BI98" i="24"/>
  <c r="BL98" i="24" s="1"/>
  <c r="AQ98" i="24"/>
  <c r="BJ98" i="24"/>
  <c r="AX98" i="24"/>
  <c r="BH98" i="24"/>
  <c r="BW98" i="24"/>
  <c r="AR148" i="25"/>
  <c r="BG148" i="25"/>
  <c r="BJ148" i="25" s="1"/>
  <c r="AP148" i="25"/>
  <c r="BH148" i="25"/>
  <c r="BF148" i="25"/>
  <c r="BW148" i="25"/>
  <c r="BU148" i="25"/>
  <c r="BH260" i="24"/>
  <c r="BI289" i="24"/>
  <c r="BL289" i="24" s="1"/>
  <c r="AS289" i="24"/>
  <c r="AQ289" i="24"/>
  <c r="BJ289" i="24"/>
  <c r="BU289" i="24"/>
  <c r="BW289" i="24"/>
  <c r="AX289" i="24"/>
  <c r="BH289" i="24"/>
  <c r="BH12" i="24"/>
  <c r="BH273" i="24"/>
  <c r="BI272" i="24"/>
  <c r="BL272" i="24" s="1"/>
  <c r="AS272" i="24"/>
  <c r="AQ272" i="24"/>
  <c r="BJ272" i="24"/>
  <c r="AX272" i="24"/>
  <c r="BH272" i="24"/>
  <c r="BU272" i="24"/>
  <c r="BW272" i="24"/>
  <c r="BG283" i="25"/>
  <c r="BJ283" i="25" s="1"/>
  <c r="AR283" i="25"/>
  <c r="BH283" i="25"/>
  <c r="AP283" i="25"/>
  <c r="BF283" i="25"/>
  <c r="BW283" i="25"/>
  <c r="BU283" i="25"/>
  <c r="BA125" i="24"/>
  <c r="BG170" i="25"/>
  <c r="BJ170" i="25" s="1"/>
  <c r="AR170" i="25"/>
  <c r="AP170" i="25"/>
  <c r="BH170" i="25"/>
  <c r="BF170" i="25"/>
  <c r="BU170" i="25"/>
  <c r="BW170" i="25"/>
  <c r="AX141" i="25"/>
  <c r="AW141" i="25"/>
  <c r="AS135" i="24"/>
  <c r="AU135" i="24" s="1"/>
  <c r="BB135" i="24" s="1"/>
  <c r="BI135" i="24"/>
  <c r="BL135" i="24" s="1"/>
  <c r="BJ135" i="24"/>
  <c r="AQ135" i="24"/>
  <c r="AW130" i="25"/>
  <c r="AX130" i="25"/>
  <c r="BI46" i="24"/>
  <c r="BL46" i="24" s="1"/>
  <c r="AS46" i="24"/>
  <c r="BJ46" i="24"/>
  <c r="AQ46" i="24"/>
  <c r="AX46" i="24"/>
  <c r="BH46" i="24"/>
  <c r="BW46" i="24"/>
  <c r="AX15" i="25"/>
  <c r="AW15" i="25"/>
  <c r="AX74" i="25"/>
  <c r="AW74" i="25"/>
  <c r="BW238" i="24"/>
  <c r="AS89" i="24"/>
  <c r="BI89" i="24"/>
  <c r="BL89" i="24" s="1"/>
  <c r="BJ89" i="24"/>
  <c r="AQ89" i="24"/>
  <c r="AX89" i="24"/>
  <c r="BH89" i="24"/>
  <c r="BW89" i="24"/>
  <c r="BW133" i="24"/>
  <c r="AJ63" i="25"/>
  <c r="AM63" i="25"/>
  <c r="BW117" i="24"/>
  <c r="AJ66" i="25"/>
  <c r="AM66" i="25"/>
  <c r="AJ180" i="25"/>
  <c r="AM180" i="25"/>
  <c r="CE180" i="25" s="1"/>
  <c r="AM118" i="25"/>
  <c r="AJ118" i="25"/>
  <c r="AJ42" i="25"/>
  <c r="AM42" i="25"/>
  <c r="BI182" i="24"/>
  <c r="BL182" i="24" s="1"/>
  <c r="AS182" i="24"/>
  <c r="BJ182" i="24"/>
  <c r="AQ182" i="24"/>
  <c r="BU182" i="24"/>
  <c r="BW182" i="24"/>
  <c r="AX182" i="24"/>
  <c r="BH182" i="24"/>
  <c r="AS179" i="24"/>
  <c r="BI179" i="24"/>
  <c r="BL179" i="24" s="1"/>
  <c r="AQ179" i="24"/>
  <c r="BJ179" i="24"/>
  <c r="BW179" i="24"/>
  <c r="BU179" i="24"/>
  <c r="AX179" i="24"/>
  <c r="BH179" i="24"/>
  <c r="AX168" i="25"/>
  <c r="AW168" i="25"/>
  <c r="BH59" i="24"/>
  <c r="BA8" i="24"/>
  <c r="BA266" i="24"/>
  <c r="BA57" i="24"/>
  <c r="AU55" i="24"/>
  <c r="BB55" i="24" s="1"/>
  <c r="AW55" i="24"/>
  <c r="BA32" i="24"/>
  <c r="AM307" i="25"/>
  <c r="CE307" i="25" s="1"/>
  <c r="AJ307" i="25"/>
  <c r="AX169" i="25"/>
  <c r="AW169" i="25"/>
  <c r="AX138" i="25"/>
  <c r="AW138" i="25"/>
  <c r="AS219" i="24"/>
  <c r="AU219" i="24" s="1"/>
  <c r="BB219" i="24" s="1"/>
  <c r="BI219" i="24"/>
  <c r="BL219" i="24" s="1"/>
  <c r="AQ219" i="24"/>
  <c r="BJ219" i="24"/>
  <c r="AS124" i="24"/>
  <c r="BI124" i="24"/>
  <c r="BL124" i="24" s="1"/>
  <c r="BJ124" i="24"/>
  <c r="AQ124" i="24"/>
  <c r="BH124" i="24"/>
  <c r="BU124" i="24"/>
  <c r="BW124" i="24"/>
  <c r="AX124" i="24"/>
  <c r="AW37" i="25"/>
  <c r="AX37" i="25"/>
  <c r="AJ20" i="25"/>
  <c r="AM20" i="25"/>
  <c r="AJ281" i="25"/>
  <c r="AM281" i="25"/>
  <c r="BI226" i="24"/>
  <c r="BL226" i="24" s="1"/>
  <c r="AS226" i="24"/>
  <c r="BJ226" i="24"/>
  <c r="AQ226" i="24"/>
  <c r="BH226" i="24"/>
  <c r="BU226" i="24"/>
  <c r="BW226" i="24"/>
  <c r="AX226" i="24"/>
  <c r="AS200" i="24"/>
  <c r="BI200" i="24"/>
  <c r="BL200" i="24" s="1"/>
  <c r="AQ200" i="24"/>
  <c r="BJ200" i="24"/>
  <c r="BH200" i="24"/>
  <c r="BU200" i="24"/>
  <c r="BW200" i="24"/>
  <c r="AX200" i="24"/>
  <c r="AJ272" i="25"/>
  <c r="AM272" i="25"/>
  <c r="CE272" i="25" s="1"/>
  <c r="AX26" i="25"/>
  <c r="AW26" i="25"/>
  <c r="BH247" i="24"/>
  <c r="BW225" i="24"/>
  <c r="AM221" i="25"/>
  <c r="AJ221" i="25"/>
  <c r="BH242" i="24"/>
  <c r="BU295" i="24"/>
  <c r="AM58" i="25"/>
  <c r="AJ58" i="25"/>
  <c r="AM185" i="25"/>
  <c r="CE185" i="25" s="1"/>
  <c r="AJ185" i="25"/>
  <c r="AM187" i="25"/>
  <c r="AJ187" i="25"/>
  <c r="AU41" i="24"/>
  <c r="BB41" i="24" s="1"/>
  <c r="AW41" i="24"/>
  <c r="AS26" i="24"/>
  <c r="AU26" i="24" s="1"/>
  <c r="BB26" i="24" s="1"/>
  <c r="BI26" i="24"/>
  <c r="BL26" i="24" s="1"/>
  <c r="BJ26" i="24"/>
  <c r="AQ26" i="24"/>
  <c r="BI96" i="24"/>
  <c r="BL96" i="24" s="1"/>
  <c r="AS96" i="24"/>
  <c r="AQ96" i="24"/>
  <c r="BJ96" i="24"/>
  <c r="AX96" i="24"/>
  <c r="BH96" i="24"/>
  <c r="BW96" i="24"/>
  <c r="AX45" i="25"/>
  <c r="AW45" i="25"/>
  <c r="AX121" i="25"/>
  <c r="AW121" i="25"/>
  <c r="AR21" i="25"/>
  <c r="BG21" i="25"/>
  <c r="BJ21" i="25" s="1"/>
  <c r="AP21" i="25"/>
  <c r="BH21" i="25"/>
  <c r="BF21" i="25"/>
  <c r="BW21" i="25"/>
  <c r="BU21" i="25"/>
  <c r="BA290" i="24"/>
  <c r="BH263" i="24"/>
  <c r="BA9" i="24"/>
  <c r="BH282" i="24"/>
  <c r="BH155" i="24"/>
  <c r="AS176" i="24"/>
  <c r="BI176" i="24"/>
  <c r="BL176" i="24" s="1"/>
  <c r="AQ176" i="24"/>
  <c r="BJ176" i="24"/>
  <c r="BW176" i="24"/>
  <c r="BU176" i="24"/>
  <c r="AX176" i="24"/>
  <c r="BH176" i="24"/>
  <c r="BI86" i="24"/>
  <c r="BL86" i="24" s="1"/>
  <c r="AS86" i="24"/>
  <c r="AQ86" i="24"/>
  <c r="BJ86" i="24"/>
  <c r="BH86" i="24"/>
  <c r="BW86" i="24"/>
  <c r="AX86" i="24"/>
  <c r="BU248" i="24"/>
  <c r="AX185" i="25"/>
  <c r="AW185" i="25"/>
  <c r="AX53" i="25"/>
  <c r="AW53" i="25"/>
  <c r="AM263" i="25"/>
  <c r="AJ263" i="25"/>
  <c r="AX39" i="25"/>
  <c r="AW39" i="25"/>
  <c r="AJ75" i="25"/>
  <c r="AM75" i="25"/>
  <c r="BA235" i="24"/>
  <c r="BA129" i="24"/>
  <c r="AM35" i="25"/>
  <c r="AJ35" i="25"/>
  <c r="BI151" i="24"/>
  <c r="BL151" i="24" s="1"/>
  <c r="AS151" i="24"/>
  <c r="BJ151" i="24"/>
  <c r="AQ151" i="24"/>
  <c r="BH151" i="24"/>
  <c r="BU151" i="24"/>
  <c r="BW151" i="24"/>
  <c r="AX151" i="24"/>
  <c r="AX10" i="25"/>
  <c r="AW10" i="25"/>
  <c r="AS18" i="24"/>
  <c r="AU18" i="24" s="1"/>
  <c r="BB18" i="24" s="1"/>
  <c r="BI18" i="24"/>
  <c r="BL18" i="24" s="1"/>
  <c r="BJ18" i="24"/>
  <c r="AQ18" i="24"/>
  <c r="AM310" i="25"/>
  <c r="AJ310" i="25"/>
  <c r="AX40" i="25"/>
  <c r="AW40" i="25"/>
  <c r="AX48" i="25"/>
  <c r="AW48" i="25"/>
  <c r="AM308" i="25"/>
  <c r="AJ308" i="25"/>
  <c r="AS296" i="24"/>
  <c r="AU296" i="24" s="1"/>
  <c r="BB296" i="24" s="1"/>
  <c r="BI296" i="24"/>
  <c r="BL296" i="24" s="1"/>
  <c r="AQ296" i="24"/>
  <c r="BJ296" i="24"/>
  <c r="BI241" i="24"/>
  <c r="BL241" i="24" s="1"/>
  <c r="AS241" i="24"/>
  <c r="BJ241" i="24"/>
  <c r="AQ241" i="24"/>
  <c r="AX241" i="24"/>
  <c r="BH241" i="24"/>
  <c r="BW241" i="24"/>
  <c r="BU241" i="24"/>
  <c r="AS262" i="24"/>
  <c r="BI262" i="24"/>
  <c r="BL262" i="24" s="1"/>
  <c r="BJ262" i="24"/>
  <c r="AQ262" i="24"/>
  <c r="AX262" i="24"/>
  <c r="BH262" i="24"/>
  <c r="BW262" i="24"/>
  <c r="BU262" i="24"/>
  <c r="AX78" i="25"/>
  <c r="AW78" i="25"/>
  <c r="AR158" i="25"/>
  <c r="BG158" i="25"/>
  <c r="BJ158" i="25" s="1"/>
  <c r="BH158" i="25"/>
  <c r="AP158" i="25"/>
  <c r="BW158" i="25"/>
  <c r="BU158" i="25"/>
  <c r="BF158" i="25"/>
  <c r="BU237" i="24"/>
  <c r="BA123" i="24"/>
  <c r="AJ103" i="25"/>
  <c r="AM103" i="25"/>
  <c r="AP103" i="25" s="1"/>
  <c r="BA284" i="24"/>
  <c r="AJ216" i="25"/>
  <c r="AM216" i="25"/>
  <c r="AS315" i="24"/>
  <c r="BI315" i="24"/>
  <c r="BL315" i="24" s="1"/>
  <c r="BJ315" i="24"/>
  <c r="AQ315" i="24"/>
  <c r="AX315" i="24"/>
  <c r="BH315" i="24"/>
  <c r="BW315" i="24"/>
  <c r="BU315" i="24"/>
  <c r="AX55" i="25"/>
  <c r="AW55" i="25"/>
  <c r="AX171" i="25"/>
  <c r="AW171" i="25"/>
  <c r="AX122" i="25"/>
  <c r="AW122" i="25"/>
  <c r="AM166" i="25"/>
  <c r="CE166" i="25" s="1"/>
  <c r="AJ166" i="25"/>
  <c r="AS73" i="24"/>
  <c r="BI73" i="24"/>
  <c r="BL73" i="24" s="1"/>
  <c r="BJ73" i="24"/>
  <c r="AQ73" i="24"/>
  <c r="BH73" i="24"/>
  <c r="BW73" i="24"/>
  <c r="AX73" i="24"/>
  <c r="AX115" i="25"/>
  <c r="AW115" i="25"/>
  <c r="AJ47" i="25"/>
  <c r="AM47" i="25"/>
  <c r="AX8" i="25"/>
  <c r="AW8" i="25"/>
  <c r="AS170" i="24"/>
  <c r="BI170" i="24"/>
  <c r="BL170" i="24" s="1"/>
  <c r="BJ170" i="24"/>
  <c r="AQ170" i="24"/>
  <c r="BW170" i="24"/>
  <c r="AX170" i="24"/>
  <c r="BH170" i="24"/>
  <c r="BU170" i="24"/>
  <c r="BH114" i="24"/>
  <c r="AT143" i="25"/>
  <c r="AY143" i="25" s="1"/>
  <c r="AU143" i="25"/>
  <c r="AJ279" i="25"/>
  <c r="AM279" i="25"/>
  <c r="CE279" i="25" s="1"/>
  <c r="AS68" i="24"/>
  <c r="BI68" i="24"/>
  <c r="BL68" i="24" s="1"/>
  <c r="AQ68" i="24"/>
  <c r="BJ68" i="24"/>
  <c r="AX68" i="24"/>
  <c r="BH68" i="24"/>
  <c r="BW68" i="24"/>
  <c r="AJ298" i="25"/>
  <c r="AM298" i="25"/>
  <c r="BA58" i="24"/>
  <c r="AR178" i="25"/>
  <c r="BG178" i="25"/>
  <c r="BJ178" i="25" s="1"/>
  <c r="AP178" i="25"/>
  <c r="BH178" i="25"/>
  <c r="BW178" i="25"/>
  <c r="BU178" i="25"/>
  <c r="BF178" i="25"/>
  <c r="AJ141" i="25"/>
  <c r="AM141" i="25"/>
  <c r="AS74" i="24"/>
  <c r="BI74" i="24"/>
  <c r="BL74" i="24" s="1"/>
  <c r="BJ74" i="24"/>
  <c r="AQ74" i="24"/>
  <c r="AX74" i="24"/>
  <c r="BH74" i="24"/>
  <c r="BW74" i="24"/>
  <c r="AS93" i="24"/>
  <c r="BI93" i="24"/>
  <c r="BL93" i="24" s="1"/>
  <c r="BJ93" i="24"/>
  <c r="AQ93" i="24"/>
  <c r="BW93" i="24"/>
  <c r="AX93" i="24"/>
  <c r="BH93" i="24"/>
  <c r="AM130" i="25"/>
  <c r="AJ130" i="25"/>
  <c r="AJ145" i="25"/>
  <c r="AM145" i="25"/>
  <c r="AX150" i="25"/>
  <c r="AW150" i="25"/>
  <c r="AX260" i="24"/>
  <c r="AS255" i="24"/>
  <c r="BI255" i="24"/>
  <c r="BL255" i="24" s="1"/>
  <c r="BJ255" i="24"/>
  <c r="AQ255" i="24"/>
  <c r="AX255" i="24"/>
  <c r="BH255" i="24"/>
  <c r="BW255" i="24"/>
  <c r="BU255" i="24"/>
  <c r="BI198" i="24"/>
  <c r="BL198" i="24" s="1"/>
  <c r="AS198" i="24"/>
  <c r="BJ198" i="24"/>
  <c r="AQ198" i="24"/>
  <c r="BU198" i="24"/>
  <c r="AX198" i="24"/>
  <c r="BH198" i="24"/>
  <c r="BW198" i="24"/>
  <c r="AX133" i="25"/>
  <c r="AW133" i="25"/>
  <c r="AS144" i="24"/>
  <c r="BI144" i="24"/>
  <c r="BL144" i="24" s="1"/>
  <c r="AQ144" i="24"/>
  <c r="BJ144" i="24"/>
  <c r="AX144" i="24"/>
  <c r="BH144" i="24"/>
  <c r="BU144" i="24"/>
  <c r="BW144" i="24"/>
  <c r="AJ73" i="25"/>
  <c r="AM73" i="25"/>
  <c r="AJ264" i="25"/>
  <c r="AM264" i="25"/>
  <c r="AS137" i="24"/>
  <c r="BI137" i="24"/>
  <c r="BL137" i="24" s="1"/>
  <c r="BJ137" i="24"/>
  <c r="AQ137" i="24"/>
  <c r="AX137" i="24"/>
  <c r="BH137" i="24"/>
  <c r="BW137" i="24"/>
  <c r="BU137" i="24"/>
  <c r="CE97" i="25"/>
  <c r="AW61" i="25"/>
  <c r="AX61" i="25"/>
  <c r="AS312" i="24"/>
  <c r="BI312" i="24"/>
  <c r="BL312" i="24" s="1"/>
  <c r="AQ312" i="24"/>
  <c r="BJ312" i="24"/>
  <c r="AX312" i="24"/>
  <c r="BH312" i="24"/>
  <c r="BU312" i="24"/>
  <c r="BW312" i="24"/>
  <c r="BA269" i="24"/>
  <c r="BW296" i="24"/>
  <c r="BI165" i="24"/>
  <c r="BL165" i="24" s="1"/>
  <c r="AS165" i="24"/>
  <c r="AQ165" i="24"/>
  <c r="BJ165" i="24"/>
  <c r="AX165" i="24"/>
  <c r="BH165" i="24"/>
  <c r="BU165" i="24"/>
  <c r="BW165" i="24"/>
  <c r="BI251" i="24"/>
  <c r="BL251" i="24" s="1"/>
  <c r="AS251" i="24"/>
  <c r="BJ251" i="24"/>
  <c r="AQ251" i="24"/>
  <c r="BW251" i="24"/>
  <c r="AX251" i="24"/>
  <c r="BH251" i="24"/>
  <c r="BU251" i="24"/>
  <c r="AM228" i="25"/>
  <c r="AJ228" i="25"/>
  <c r="AX128" i="25"/>
  <c r="AW128" i="25"/>
  <c r="AJ156" i="25"/>
  <c r="AM156" i="25"/>
  <c r="CE156" i="25" s="1"/>
  <c r="BI310" i="24"/>
  <c r="BL310" i="24" s="1"/>
  <c r="AS310" i="24"/>
  <c r="AQ310" i="24"/>
  <c r="BJ310" i="24"/>
  <c r="BW310" i="24"/>
  <c r="BU310" i="24"/>
  <c r="AX310" i="24"/>
  <c r="BH310" i="24"/>
  <c r="AR243" i="25"/>
  <c r="BG243" i="25"/>
  <c r="BJ243" i="25" s="1"/>
  <c r="AP243" i="25"/>
  <c r="BH243" i="25"/>
  <c r="BF243" i="25"/>
  <c r="BU243" i="25"/>
  <c r="BW243" i="25"/>
  <c r="BU238" i="24"/>
  <c r="BW34" i="24"/>
  <c r="AM68" i="25"/>
  <c r="AJ68" i="25"/>
  <c r="BG34" i="25"/>
  <c r="BJ34" i="25" s="1"/>
  <c r="AR34" i="25"/>
  <c r="BH34" i="25"/>
  <c r="AP34" i="25"/>
  <c r="BF34" i="25"/>
  <c r="BU34" i="25"/>
  <c r="BW34" i="25"/>
  <c r="AJ208" i="25"/>
  <c r="AM208" i="25"/>
  <c r="AX80" i="25"/>
  <c r="AW80" i="25"/>
  <c r="AW73" i="25"/>
  <c r="AX73" i="25"/>
  <c r="BA243" i="24"/>
  <c r="BA153" i="24"/>
  <c r="BH117" i="24"/>
  <c r="AR247" i="25"/>
  <c r="BG247" i="25"/>
  <c r="BJ247" i="25" s="1"/>
  <c r="AP247" i="25"/>
  <c r="BH247" i="25"/>
  <c r="BF247" i="25"/>
  <c r="BU247" i="25"/>
  <c r="BW247" i="25"/>
  <c r="AS185" i="24"/>
  <c r="BI185" i="24"/>
  <c r="BL185" i="24" s="1"/>
  <c r="BJ185" i="24"/>
  <c r="AQ185" i="24"/>
  <c r="BH185" i="24"/>
  <c r="BW185" i="24"/>
  <c r="BU185" i="24"/>
  <c r="AX185" i="24"/>
  <c r="AS153" i="24"/>
  <c r="AU153" i="24" s="1"/>
  <c r="BB153" i="24" s="1"/>
  <c r="BI153" i="24"/>
  <c r="BL153" i="24" s="1"/>
  <c r="BJ153" i="24"/>
  <c r="AQ153" i="24"/>
  <c r="AM86" i="25"/>
  <c r="AJ86" i="25"/>
  <c r="AW175" i="25"/>
  <c r="AX175" i="25"/>
  <c r="AR248" i="25"/>
  <c r="BG248" i="25"/>
  <c r="BJ248" i="25" s="1"/>
  <c r="BH248" i="25"/>
  <c r="AP248" i="25"/>
  <c r="BU248" i="25"/>
  <c r="BF248" i="25"/>
  <c r="BW248" i="25"/>
  <c r="AM60" i="25"/>
  <c r="AJ60" i="25"/>
  <c r="BW266" i="24"/>
  <c r="BU240" i="24"/>
  <c r="AS169" i="24"/>
  <c r="BI169" i="24"/>
  <c r="BL169" i="24" s="1"/>
  <c r="AQ169" i="24"/>
  <c r="BJ169" i="24"/>
  <c r="AX169" i="24"/>
  <c r="BH169" i="24"/>
  <c r="BW169" i="24"/>
  <c r="BU169" i="24"/>
  <c r="AX36" i="25"/>
  <c r="AW36" i="25"/>
  <c r="BI11" i="24"/>
  <c r="BL11" i="24" s="1"/>
  <c r="AS11" i="24"/>
  <c r="AQ11" i="24"/>
  <c r="BJ11" i="24"/>
  <c r="AX11" i="24"/>
  <c r="BW11" i="24"/>
  <c r="BH11" i="24"/>
  <c r="AW132" i="25"/>
  <c r="AX132" i="25"/>
  <c r="BI57" i="24"/>
  <c r="BL57" i="24" s="1"/>
  <c r="AS57" i="24"/>
  <c r="AU57" i="24" s="1"/>
  <c r="BB57" i="24" s="1"/>
  <c r="BJ57" i="24"/>
  <c r="AQ57" i="24"/>
  <c r="AR199" i="25"/>
  <c r="BG199" i="25"/>
  <c r="BJ199" i="25" s="1"/>
  <c r="BH199" i="25"/>
  <c r="BU199" i="25"/>
  <c r="BW199" i="25"/>
  <c r="BF199" i="25"/>
  <c r="BH111" i="24"/>
  <c r="BI244" i="24"/>
  <c r="BL244" i="24" s="1"/>
  <c r="AS244" i="24"/>
  <c r="AQ244" i="24"/>
  <c r="BJ244" i="24"/>
  <c r="BW244" i="24"/>
  <c r="BU244" i="24"/>
  <c r="AX244" i="24"/>
  <c r="BH244" i="24"/>
  <c r="BI243" i="24"/>
  <c r="BL243" i="24" s="1"/>
  <c r="AS243" i="24"/>
  <c r="AU243" i="24" s="1"/>
  <c r="BB243" i="24" s="1"/>
  <c r="AQ243" i="24"/>
  <c r="BJ243" i="24"/>
  <c r="BA218" i="24"/>
  <c r="AX66" i="25"/>
  <c r="AW66" i="25"/>
  <c r="AW183" i="25"/>
  <c r="AX183" i="25"/>
  <c r="BG293" i="25"/>
  <c r="BJ293" i="25" s="1"/>
  <c r="AR293" i="25"/>
  <c r="BH293" i="25"/>
  <c r="AP293" i="25"/>
  <c r="BF293" i="25"/>
  <c r="BW293" i="25"/>
  <c r="BU293" i="25"/>
  <c r="AM127" i="25"/>
  <c r="AJ127" i="25"/>
  <c r="AS254" i="24"/>
  <c r="BI254" i="24"/>
  <c r="BL254" i="24" s="1"/>
  <c r="AQ254" i="24"/>
  <c r="BJ254" i="24"/>
  <c r="AX254" i="24"/>
  <c r="BH254" i="24"/>
  <c r="BW254" i="24"/>
  <c r="BU254" i="24"/>
  <c r="BH225" i="24"/>
  <c r="AM254" i="25"/>
  <c r="AJ254" i="25"/>
  <c r="AJ196" i="25"/>
  <c r="AM196" i="25"/>
  <c r="AJ111" i="25"/>
  <c r="AM111" i="25"/>
  <c r="BA135" i="24"/>
  <c r="BH301" i="24"/>
  <c r="BG259" i="25"/>
  <c r="BJ259" i="25" s="1"/>
  <c r="AR259" i="25"/>
  <c r="AP259" i="25"/>
  <c r="BH259" i="25"/>
  <c r="BF259" i="25"/>
  <c r="BW259" i="25"/>
  <c r="BU259" i="25"/>
  <c r="BI58" i="24"/>
  <c r="BL58" i="24" s="1"/>
  <c r="AS58" i="24"/>
  <c r="AU58" i="24" s="1"/>
  <c r="BB58" i="24" s="1"/>
  <c r="BJ58" i="24"/>
  <c r="AQ58" i="24"/>
  <c r="AU101" i="24"/>
  <c r="BB101" i="24" s="1"/>
  <c r="AW101" i="24"/>
  <c r="AR255" i="25"/>
  <c r="BG255" i="25"/>
  <c r="BJ255" i="25" s="1"/>
  <c r="BH255" i="25"/>
  <c r="AP255" i="25"/>
  <c r="BW255" i="25"/>
  <c r="BU255" i="25"/>
  <c r="BF255" i="25"/>
  <c r="BW279" i="24"/>
  <c r="BW126" i="24"/>
  <c r="AJ225" i="25"/>
  <c r="AM225" i="25"/>
  <c r="AR59" i="25"/>
  <c r="BG59" i="25"/>
  <c r="BJ59" i="25" s="1"/>
  <c r="BH59" i="25"/>
  <c r="AP59" i="25"/>
  <c r="BW59" i="25"/>
  <c r="BU59" i="25"/>
  <c r="BF59" i="25"/>
  <c r="BW232" i="24"/>
  <c r="BI67" i="24"/>
  <c r="BL67" i="24" s="1"/>
  <c r="AS67" i="24"/>
  <c r="AQ67" i="24"/>
  <c r="BJ67" i="24"/>
  <c r="AX67" i="24"/>
  <c r="BH67" i="24"/>
  <c r="BW67" i="24"/>
  <c r="AJ253" i="25"/>
  <c r="AM253" i="25"/>
  <c r="AJ316" i="25"/>
  <c r="AM316" i="25"/>
  <c r="CE316" i="25" s="1"/>
  <c r="BI305" i="24"/>
  <c r="BL305" i="24" s="1"/>
  <c r="AS305" i="24"/>
  <c r="AU305" i="24" s="1"/>
  <c r="BB305" i="24" s="1"/>
  <c r="AQ305" i="24"/>
  <c r="BJ305" i="24"/>
  <c r="AJ23" i="25"/>
  <c r="AM23" i="25"/>
  <c r="AX57" i="25"/>
  <c r="AW57" i="25"/>
  <c r="AS81" i="24"/>
  <c r="BI81" i="24"/>
  <c r="BL81" i="24" s="1"/>
  <c r="AQ81" i="24"/>
  <c r="BJ81" i="24"/>
  <c r="AX81" i="24"/>
  <c r="BW81" i="24"/>
  <c r="BH81" i="24"/>
  <c r="AJ51" i="25"/>
  <c r="AM51" i="25"/>
  <c r="BA30" i="24"/>
  <c r="AJ172" i="25"/>
  <c r="AM172" i="25"/>
  <c r="CE172" i="25" s="1"/>
  <c r="BI187" i="24"/>
  <c r="BL187" i="24" s="1"/>
  <c r="AS187" i="24"/>
  <c r="BJ187" i="24"/>
  <c r="AQ187" i="24"/>
  <c r="AX187" i="24"/>
  <c r="BH187" i="24"/>
  <c r="BW187" i="24"/>
  <c r="BU187" i="24"/>
  <c r="AS247" i="24"/>
  <c r="AU247" i="24" s="1"/>
  <c r="BB247" i="24" s="1"/>
  <c r="BI247" i="24"/>
  <c r="BL247" i="24" s="1"/>
  <c r="BJ247" i="24"/>
  <c r="AQ247" i="24"/>
  <c r="AM207" i="25"/>
  <c r="AJ207" i="25"/>
  <c r="AX152" i="25"/>
  <c r="AW152" i="25"/>
  <c r="BA51" i="24"/>
  <c r="AJ140" i="25"/>
  <c r="AM140" i="25"/>
  <c r="BI189" i="24"/>
  <c r="BL189" i="24" s="1"/>
  <c r="AS189" i="24"/>
  <c r="AQ189" i="24"/>
  <c r="BJ189" i="24"/>
  <c r="BH189" i="24"/>
  <c r="BU189" i="24"/>
  <c r="BW189" i="24"/>
  <c r="AX189" i="24"/>
  <c r="AS121" i="24"/>
  <c r="AU121" i="24" s="1"/>
  <c r="BB121" i="24" s="1"/>
  <c r="BI121" i="24"/>
  <c r="BL121" i="24" s="1"/>
  <c r="AQ121" i="24"/>
  <c r="BJ121" i="24"/>
  <c r="AX52" i="25"/>
  <c r="AW52" i="25"/>
  <c r="AR189" i="25"/>
  <c r="BG189" i="25"/>
  <c r="BJ189" i="25" s="1"/>
  <c r="BH189" i="25"/>
  <c r="AP189" i="25"/>
  <c r="BF189" i="25"/>
  <c r="BW189" i="25"/>
  <c r="BU189" i="25"/>
  <c r="BW237" i="24"/>
  <c r="BI82" i="24"/>
  <c r="BL82" i="24" s="1"/>
  <c r="AS82" i="24"/>
  <c r="BJ82" i="24"/>
  <c r="AQ82" i="24"/>
  <c r="AX82" i="24"/>
  <c r="BH82" i="24"/>
  <c r="BW82" i="24"/>
  <c r="AW64" i="25"/>
  <c r="AX64" i="25"/>
  <c r="BA297" i="24"/>
  <c r="AJ151" i="25"/>
  <c r="AM151" i="25"/>
  <c r="CE151" i="25" s="1"/>
  <c r="AX38" i="25"/>
  <c r="AW38" i="25"/>
  <c r="BI31" i="24"/>
  <c r="BL31" i="24" s="1"/>
  <c r="AS31" i="24"/>
  <c r="BJ31" i="24"/>
  <c r="AQ31" i="24"/>
  <c r="AX31" i="24"/>
  <c r="BH31" i="24"/>
  <c r="BW31" i="24"/>
  <c r="BI157" i="24"/>
  <c r="BL157" i="24" s="1"/>
  <c r="AS157" i="24"/>
  <c r="BJ157" i="24"/>
  <c r="AQ157" i="24"/>
  <c r="AX157" i="24"/>
  <c r="BH157" i="24"/>
  <c r="BU157" i="24"/>
  <c r="BW157" i="24"/>
  <c r="AR186" i="25"/>
  <c r="BG186" i="25"/>
  <c r="BJ186" i="25" s="1"/>
  <c r="BH186" i="25"/>
  <c r="AP186" i="25"/>
  <c r="BF186" i="25"/>
  <c r="BU186" i="25"/>
  <c r="BW186" i="25"/>
  <c r="AW207" i="25"/>
  <c r="AX207" i="25"/>
  <c r="AX22" i="25"/>
  <c r="AW22" i="25"/>
  <c r="AX153" i="25"/>
  <c r="AW153" i="25"/>
  <c r="AS207" i="24"/>
  <c r="BI207" i="24"/>
  <c r="BL207" i="24" s="1"/>
  <c r="BJ207" i="24"/>
  <c r="AQ207" i="24"/>
  <c r="AX207" i="24"/>
  <c r="BH207" i="24"/>
  <c r="BU207" i="24"/>
  <c r="BW207" i="24"/>
  <c r="AU119" i="24"/>
  <c r="BB119" i="24" s="1"/>
  <c r="AW119" i="24"/>
  <c r="BI76" i="24"/>
  <c r="BL76" i="24" s="1"/>
  <c r="AS76" i="24"/>
  <c r="BJ76" i="24"/>
  <c r="AQ76" i="24"/>
  <c r="BW76" i="24"/>
  <c r="AX76" i="24"/>
  <c r="BH76" i="24"/>
  <c r="AR11" i="25"/>
  <c r="BG11" i="25"/>
  <c r="BJ11" i="25" s="1"/>
  <c r="AP11" i="25"/>
  <c r="BH11" i="25"/>
  <c r="BU11" i="25"/>
  <c r="BF11" i="25"/>
  <c r="BW11" i="25"/>
  <c r="AJ188" i="25"/>
  <c r="AM188" i="25"/>
  <c r="AR296" i="25"/>
  <c r="BG296" i="25"/>
  <c r="BJ296" i="25" s="1"/>
  <c r="AP296" i="25"/>
  <c r="BH296" i="25"/>
  <c r="BF296" i="25"/>
  <c r="BW296" i="25"/>
  <c r="BU296" i="25"/>
  <c r="AX114" i="24"/>
  <c r="BI143" i="24"/>
  <c r="BL143" i="24" s="1"/>
  <c r="AS143" i="24"/>
  <c r="AQ143" i="24"/>
  <c r="BJ143" i="24"/>
  <c r="AX143" i="24"/>
  <c r="BH143" i="24"/>
  <c r="BW143" i="24"/>
  <c r="BU143" i="24"/>
  <c r="AM101" i="25"/>
  <c r="AJ101" i="25"/>
  <c r="BU147" i="24"/>
  <c r="BI297" i="24"/>
  <c r="BL297" i="24" s="1"/>
  <c r="AS297" i="24"/>
  <c r="AU297" i="24" s="1"/>
  <c r="BB297" i="24" s="1"/>
  <c r="AQ297" i="24"/>
  <c r="BJ297" i="24"/>
  <c r="AX83" i="25"/>
  <c r="AW83" i="25"/>
  <c r="AM157" i="25"/>
  <c r="AJ157" i="25"/>
  <c r="BH249" i="24"/>
  <c r="AX166" i="25"/>
  <c r="AW166" i="25"/>
  <c r="AS227" i="24"/>
  <c r="BI227" i="24"/>
  <c r="BL227" i="24" s="1"/>
  <c r="AQ227" i="24"/>
  <c r="BJ227" i="24"/>
  <c r="BH227" i="24"/>
  <c r="BW227" i="24"/>
  <c r="AX227" i="24"/>
  <c r="BU227" i="24"/>
  <c r="BI10" i="24"/>
  <c r="BL10" i="24" s="1"/>
  <c r="AS10" i="24"/>
  <c r="BJ10" i="24"/>
  <c r="AQ10" i="24"/>
  <c r="AX10" i="24"/>
  <c r="BW10" i="24"/>
  <c r="BH10" i="24"/>
  <c r="AX47" i="25"/>
  <c r="AW47" i="25"/>
  <c r="BG306" i="25"/>
  <c r="BJ306" i="25" s="1"/>
  <c r="AR306" i="25"/>
  <c r="BH306" i="25"/>
  <c r="AP306" i="25"/>
  <c r="BU306" i="25"/>
  <c r="BW306" i="25"/>
  <c r="BF306" i="25"/>
  <c r="BA37" i="24"/>
  <c r="BI94" i="24"/>
  <c r="BL94" i="24" s="1"/>
  <c r="AS94" i="24"/>
  <c r="BJ94" i="24"/>
  <c r="AQ94" i="24"/>
  <c r="AX94" i="24"/>
  <c r="BH94" i="24"/>
  <c r="BW94" i="24"/>
  <c r="AX101" i="25"/>
  <c r="AW101" i="25"/>
  <c r="AM61" i="25"/>
  <c r="AJ61" i="25"/>
  <c r="BI152" i="24"/>
  <c r="BL152" i="24" s="1"/>
  <c r="AS152" i="24"/>
  <c r="AU152" i="24" s="1"/>
  <c r="BB152" i="24" s="1"/>
  <c r="BJ152" i="24"/>
  <c r="AQ152" i="24"/>
  <c r="AS23" i="24"/>
  <c r="BI23" i="24"/>
  <c r="BL23" i="24" s="1"/>
  <c r="BJ23" i="24"/>
  <c r="AQ23" i="24"/>
  <c r="AX23" i="24"/>
  <c r="BH23" i="24"/>
  <c r="BW23" i="24"/>
  <c r="BH296" i="24"/>
  <c r="AS205" i="24"/>
  <c r="BI205" i="24"/>
  <c r="BL205" i="24" s="1"/>
  <c r="AQ205" i="24"/>
  <c r="BJ205" i="24"/>
  <c r="BW205" i="24"/>
  <c r="AX205" i="24"/>
  <c r="BH205" i="24"/>
  <c r="BU205" i="24"/>
  <c r="AS298" i="24"/>
  <c r="AU298" i="24" s="1"/>
  <c r="BB298" i="24" s="1"/>
  <c r="BI298" i="24"/>
  <c r="BL298" i="24" s="1"/>
  <c r="BJ298" i="24"/>
  <c r="AQ298" i="24"/>
  <c r="AU44" i="24"/>
  <c r="BB44" i="24" s="1"/>
  <c r="AW44" i="24"/>
  <c r="AR177" i="25"/>
  <c r="BG177" i="25"/>
  <c r="BJ177" i="25" s="1"/>
  <c r="BH177" i="25"/>
  <c r="AP177" i="25"/>
  <c r="BF177" i="25"/>
  <c r="BW177" i="25"/>
  <c r="BU177" i="25"/>
  <c r="AS72" i="24"/>
  <c r="BI72" i="24"/>
  <c r="BL72" i="24" s="1"/>
  <c r="AQ72" i="24"/>
  <c r="BJ72" i="24"/>
  <c r="AX72" i="24"/>
  <c r="BH72" i="24"/>
  <c r="BW72" i="24"/>
  <c r="AM181" i="25"/>
  <c r="CE181" i="25" s="1"/>
  <c r="AJ181" i="25"/>
  <c r="AU257" i="24"/>
  <c r="BB257" i="24" s="1"/>
  <c r="AW257" i="24"/>
  <c r="BA133" i="24"/>
  <c r="AM44" i="25"/>
  <c r="AJ44" i="25"/>
  <c r="BA281" i="24"/>
  <c r="AM183" i="25"/>
  <c r="CE183" i="25" s="1"/>
  <c r="AJ183" i="25"/>
  <c r="BI281" i="24"/>
  <c r="BL281" i="24" s="1"/>
  <c r="AS281" i="24"/>
  <c r="AU281" i="24" s="1"/>
  <c r="BB281" i="24" s="1"/>
  <c r="AQ281" i="24"/>
  <c r="BJ281" i="24"/>
  <c r="AU21" i="24"/>
  <c r="BB21" i="24" s="1"/>
  <c r="AW21" i="24"/>
  <c r="AX59" i="24"/>
  <c r="AR173" i="25"/>
  <c r="BG173" i="25"/>
  <c r="BJ173" i="25" s="1"/>
  <c r="BH173" i="25"/>
  <c r="AP173" i="25"/>
  <c r="BF173" i="25"/>
  <c r="BW173" i="25"/>
  <c r="BU173" i="25"/>
  <c r="BG275" i="25"/>
  <c r="BJ275" i="25" s="1"/>
  <c r="AR275" i="25"/>
  <c r="AP275" i="25"/>
  <c r="BH275" i="25"/>
  <c r="BF275" i="25"/>
  <c r="BU275" i="25"/>
  <c r="BW275" i="25"/>
  <c r="BA261" i="24"/>
  <c r="BW265" i="24"/>
  <c r="BI33" i="24"/>
  <c r="BL33" i="24" s="1"/>
  <c r="AS33" i="24"/>
  <c r="AU33" i="24" s="1"/>
  <c r="BB33" i="24" s="1"/>
  <c r="BJ33" i="24"/>
  <c r="AQ33" i="24"/>
  <c r="AJ70" i="25"/>
  <c r="AM70" i="25"/>
  <c r="BA305" i="24"/>
  <c r="AX118" i="25"/>
  <c r="AW118" i="25"/>
  <c r="BI217" i="24"/>
  <c r="BL217" i="24" s="1"/>
  <c r="AS217" i="24"/>
  <c r="BJ217" i="24"/>
  <c r="AQ217" i="24"/>
  <c r="AX217" i="24"/>
  <c r="BH217" i="24"/>
  <c r="BW217" i="24"/>
  <c r="BU217" i="24"/>
  <c r="AM274" i="25"/>
  <c r="CE274" i="25" s="1"/>
  <c r="AJ274" i="25"/>
  <c r="AJ136" i="25"/>
  <c r="AM136" i="25"/>
  <c r="AW124" i="25"/>
  <c r="AX124" i="25"/>
  <c r="AS116" i="24"/>
  <c r="BI116" i="24"/>
  <c r="BL116" i="24" s="1"/>
  <c r="AQ116" i="24"/>
  <c r="BJ116" i="24"/>
  <c r="AX116" i="24"/>
  <c r="BH116" i="24"/>
  <c r="BU116" i="24"/>
  <c r="BW116" i="24"/>
  <c r="AX43" i="25"/>
  <c r="AW43" i="25"/>
  <c r="BI300" i="24"/>
  <c r="BL300" i="24" s="1"/>
  <c r="AS300" i="24"/>
  <c r="BJ300" i="24"/>
  <c r="AQ300" i="24"/>
  <c r="AX300" i="24"/>
  <c r="BH300" i="24"/>
  <c r="BW300" i="24"/>
  <c r="BU300" i="24"/>
  <c r="BI252" i="24"/>
  <c r="BL252" i="24" s="1"/>
  <c r="AS252" i="24"/>
  <c r="AQ252" i="24"/>
  <c r="BJ252" i="24"/>
  <c r="BH252" i="24"/>
  <c r="BW252" i="24"/>
  <c r="BU252" i="24"/>
  <c r="AX252" i="24"/>
  <c r="BA242" i="24"/>
  <c r="BI30" i="24"/>
  <c r="BL30" i="24" s="1"/>
  <c r="AS30" i="24"/>
  <c r="AU30" i="24" s="1"/>
  <c r="BB30" i="24" s="1"/>
  <c r="BJ30" i="24"/>
  <c r="AQ30" i="24"/>
  <c r="AJ202" i="25"/>
  <c r="AM202" i="25"/>
  <c r="BI167" i="24"/>
  <c r="BL167" i="24" s="1"/>
  <c r="AS167" i="24"/>
  <c r="AQ167" i="24"/>
  <c r="BJ167" i="24"/>
  <c r="BW167" i="24"/>
  <c r="AX167" i="24"/>
  <c r="BH167" i="24"/>
  <c r="BU167" i="24"/>
  <c r="BI299" i="24"/>
  <c r="BL299" i="24" s="1"/>
  <c r="AS299" i="24"/>
  <c r="AU299" i="24" s="1"/>
  <c r="BB299" i="24" s="1"/>
  <c r="AQ299" i="24"/>
  <c r="BJ299" i="24"/>
  <c r="AX46" i="25"/>
  <c r="AW46" i="25"/>
  <c r="AX102" i="25"/>
  <c r="AW102" i="25"/>
  <c r="BW135" i="24"/>
  <c r="AS248" i="24"/>
  <c r="AU248" i="24" s="1"/>
  <c r="BB248" i="24" s="1"/>
  <c r="BI248" i="24"/>
  <c r="BL248" i="24" s="1"/>
  <c r="BJ248" i="24"/>
  <c r="AQ248" i="24"/>
  <c r="BH121" i="24"/>
  <c r="AW9" i="25"/>
  <c r="AX9" i="25"/>
  <c r="AM49" i="25"/>
  <c r="AJ49" i="25"/>
  <c r="AS125" i="24"/>
  <c r="AU125" i="24" s="1"/>
  <c r="BB125" i="24" s="1"/>
  <c r="BI125" i="24"/>
  <c r="BL125" i="24" s="1"/>
  <c r="AQ125" i="24"/>
  <c r="BJ125" i="24"/>
  <c r="AM79" i="25"/>
  <c r="CE79" i="25" s="1"/>
  <c r="AJ79" i="25"/>
  <c r="BI29" i="24"/>
  <c r="BL29" i="24" s="1"/>
  <c r="AS29" i="24"/>
  <c r="BJ29" i="24"/>
  <c r="AQ29" i="24"/>
  <c r="BH29" i="24"/>
  <c r="BW29" i="24"/>
  <c r="AX29" i="24"/>
  <c r="BW290" i="24"/>
  <c r="BA145" i="24"/>
  <c r="AR155" i="25"/>
  <c r="BG155" i="25"/>
  <c r="BJ155" i="25" s="1"/>
  <c r="AP155" i="25"/>
  <c r="BH155" i="25"/>
  <c r="BF155" i="25"/>
  <c r="BU155" i="25"/>
  <c r="BW155" i="25"/>
  <c r="BH17" i="24"/>
  <c r="BW17" i="24"/>
  <c r="BH267" i="24"/>
  <c r="BH253" i="24"/>
  <c r="BI271" i="24"/>
  <c r="BL271" i="24" s="1"/>
  <c r="AS271" i="24"/>
  <c r="AU271" i="24" s="1"/>
  <c r="BB271" i="24" s="1"/>
  <c r="AQ271" i="24"/>
  <c r="BJ271" i="24"/>
  <c r="AJ146" i="25"/>
  <c r="AM146" i="25"/>
  <c r="BI78" i="24"/>
  <c r="BL78" i="24" s="1"/>
  <c r="AS78" i="24"/>
  <c r="BJ78" i="24"/>
  <c r="AQ78" i="24"/>
  <c r="BH78" i="24"/>
  <c r="BW78" i="24"/>
  <c r="AX78" i="24"/>
  <c r="AJ224" i="25"/>
  <c r="AM224" i="25"/>
  <c r="AW49" i="25"/>
  <c r="AX49" i="25"/>
  <c r="AJ242" i="25"/>
  <c r="AM242" i="25"/>
  <c r="BI75" i="24"/>
  <c r="BL75" i="24" s="1"/>
  <c r="AS75" i="24"/>
  <c r="BJ75" i="24"/>
  <c r="AQ75" i="24"/>
  <c r="AX75" i="24"/>
  <c r="BW75" i="24"/>
  <c r="BH75" i="24"/>
  <c r="AR30" i="25"/>
  <c r="BG30" i="25"/>
  <c r="BJ30" i="25" s="1"/>
  <c r="AP30" i="25"/>
  <c r="BH30" i="25"/>
  <c r="BU30" i="25"/>
  <c r="BW30" i="25"/>
  <c r="BF30" i="25"/>
  <c r="BI246" i="24"/>
  <c r="BL246" i="24" s="1"/>
  <c r="AS246" i="24"/>
  <c r="BJ246" i="24"/>
  <c r="AQ246" i="24"/>
  <c r="BH246" i="24"/>
  <c r="BU246" i="24"/>
  <c r="BW246" i="24"/>
  <c r="AX246" i="24"/>
  <c r="BI138" i="24"/>
  <c r="BL138" i="24" s="1"/>
  <c r="AS138" i="24"/>
  <c r="BJ138" i="24"/>
  <c r="AQ138" i="24"/>
  <c r="BU138" i="24"/>
  <c r="AX138" i="24"/>
  <c r="BH138" i="24"/>
  <c r="BW138" i="24"/>
  <c r="BA20" i="24"/>
  <c r="AM38" i="25"/>
  <c r="AJ38" i="25"/>
  <c r="BA152" i="24"/>
  <c r="AJ171" i="25"/>
  <c r="AM171" i="25"/>
  <c r="CE171" i="25" s="1"/>
  <c r="BI283" i="24"/>
  <c r="BL283" i="24" s="1"/>
  <c r="AS283" i="24"/>
  <c r="AU283" i="24" s="1"/>
  <c r="BB283" i="24" s="1"/>
  <c r="AQ283" i="24"/>
  <c r="BJ283" i="24"/>
  <c r="BI120" i="24"/>
  <c r="BL120" i="24" s="1"/>
  <c r="AS120" i="24"/>
  <c r="AU120" i="24" s="1"/>
  <c r="BB120" i="24" s="1"/>
  <c r="AQ120" i="24"/>
  <c r="BJ120" i="24"/>
  <c r="AJ134" i="25"/>
  <c r="AM134" i="25"/>
  <c r="AX24" i="25"/>
  <c r="AW24" i="25"/>
  <c r="AS16" i="24"/>
  <c r="BI16" i="24"/>
  <c r="BL16" i="24" s="1"/>
  <c r="BJ16" i="24"/>
  <c r="AQ16" i="24"/>
  <c r="AX16" i="24"/>
  <c r="BH16" i="24"/>
  <c r="BW16" i="24"/>
  <c r="AS36" i="24"/>
  <c r="BI36" i="24"/>
  <c r="BL36" i="24" s="1"/>
  <c r="BJ36" i="24"/>
  <c r="AQ36" i="24"/>
  <c r="BH36" i="24"/>
  <c r="BW36" i="24"/>
  <c r="AX36" i="24"/>
  <c r="AX72" i="25"/>
  <c r="AW72" i="25"/>
  <c r="AS269" i="24"/>
  <c r="AU269" i="24" s="1"/>
  <c r="BB269" i="24" s="1"/>
  <c r="BI269" i="24"/>
  <c r="BL269" i="24" s="1"/>
  <c r="AQ269" i="24"/>
  <c r="BJ269" i="24"/>
  <c r="AS28" i="24"/>
  <c r="AU28" i="24" s="1"/>
  <c r="BB28" i="24" s="1"/>
  <c r="BI28" i="24"/>
  <c r="BL28" i="24" s="1"/>
  <c r="BJ28" i="24"/>
  <c r="AQ28" i="24"/>
  <c r="AJ142" i="25"/>
  <c r="AM142" i="25"/>
  <c r="AX126" i="25"/>
  <c r="AW126" i="25"/>
  <c r="AX51" i="25"/>
  <c r="AW51" i="25"/>
  <c r="BI309" i="24"/>
  <c r="BL309" i="24" s="1"/>
  <c r="AS309" i="24"/>
  <c r="BJ309" i="24"/>
  <c r="AQ309" i="24"/>
  <c r="AX309" i="24"/>
  <c r="BH309" i="24"/>
  <c r="BU309" i="24"/>
  <c r="BW309" i="24"/>
  <c r="AX27" i="25"/>
  <c r="AW27" i="25"/>
  <c r="BI88" i="24"/>
  <c r="BL88" i="24" s="1"/>
  <c r="AS88" i="24"/>
  <c r="AQ88" i="24"/>
  <c r="BJ88" i="24"/>
  <c r="BW88" i="24"/>
  <c r="AX88" i="24"/>
  <c r="BH88" i="24"/>
  <c r="AX35" i="25"/>
  <c r="AW35" i="25"/>
  <c r="BI180" i="24"/>
  <c r="BL180" i="24" s="1"/>
  <c r="AS180" i="24"/>
  <c r="BJ180" i="24"/>
  <c r="AQ180" i="24"/>
  <c r="BW180" i="24"/>
  <c r="BU180" i="24"/>
  <c r="AX180" i="24"/>
  <c r="BH180" i="24"/>
  <c r="AU7" i="24"/>
  <c r="BB7" i="24" s="1"/>
  <c r="AW7" i="24"/>
  <c r="AM139" i="25"/>
  <c r="AJ139" i="25"/>
  <c r="BI259" i="24"/>
  <c r="BL259" i="24" s="1"/>
  <c r="AS259" i="24"/>
  <c r="AU259" i="24" s="1"/>
  <c r="BB259" i="24" s="1"/>
  <c r="BJ259" i="24"/>
  <c r="AQ259" i="24"/>
  <c r="AX56" i="25"/>
  <c r="AW56" i="25"/>
  <c r="AJ84" i="25"/>
  <c r="AM84" i="25"/>
  <c r="AU160" i="24"/>
  <c r="BB160" i="24" s="1"/>
  <c r="AW160" i="24"/>
  <c r="AJ76" i="25"/>
  <c r="AM76" i="25"/>
  <c r="AJ278" i="25"/>
  <c r="AM278" i="25"/>
  <c r="BH28" i="24"/>
  <c r="AS293" i="24"/>
  <c r="BI293" i="24"/>
  <c r="BL293" i="24" s="1"/>
  <c r="BJ293" i="24"/>
  <c r="AQ293" i="24"/>
  <c r="BH293" i="24"/>
  <c r="BU293" i="24"/>
  <c r="BW293" i="24"/>
  <c r="AX293" i="24"/>
  <c r="AJ268" i="25"/>
  <c r="AM268" i="25"/>
  <c r="CE268" i="25" s="1"/>
  <c r="AS184" i="24"/>
  <c r="BI184" i="24"/>
  <c r="BL184" i="24" s="1"/>
  <c r="BJ184" i="24"/>
  <c r="AQ184" i="24"/>
  <c r="AX184" i="24"/>
  <c r="BH184" i="24"/>
  <c r="BU184" i="24"/>
  <c r="BW184" i="24"/>
  <c r="BI133" i="24"/>
  <c r="BL133" i="24" s="1"/>
  <c r="AS133" i="24"/>
  <c r="AU133" i="24" s="1"/>
  <c r="BB133" i="24" s="1"/>
  <c r="AQ133" i="24"/>
  <c r="BJ133" i="24"/>
  <c r="AM315" i="25"/>
  <c r="AJ315" i="25"/>
  <c r="AS313" i="24"/>
  <c r="BI313" i="24"/>
  <c r="BL313" i="24" s="1"/>
  <c r="BJ313" i="24"/>
  <c r="AQ313" i="24"/>
  <c r="BU313" i="24"/>
  <c r="BW313" i="24"/>
  <c r="AX313" i="24"/>
  <c r="BH313" i="24"/>
  <c r="AW16" i="25"/>
  <c r="AX16" i="25"/>
  <c r="BI158" i="24"/>
  <c r="BL158" i="24" s="1"/>
  <c r="AS158" i="24"/>
  <c r="BJ158" i="24"/>
  <c r="AQ158" i="24"/>
  <c r="AX158" i="24"/>
  <c r="BH158" i="24"/>
  <c r="BU158" i="24"/>
  <c r="BW158" i="24"/>
  <c r="BA48" i="24"/>
  <c r="AM223" i="25"/>
  <c r="AJ223" i="25"/>
  <c r="AS115" i="24"/>
  <c r="BI115" i="24"/>
  <c r="BL115" i="24" s="1"/>
  <c r="AQ115" i="24"/>
  <c r="BJ115" i="24"/>
  <c r="AX115" i="24"/>
  <c r="BH115" i="24"/>
  <c r="BU115" i="24"/>
  <c r="BW115" i="24"/>
  <c r="BW147" i="24"/>
  <c r="AX117" i="25"/>
  <c r="AW117" i="25"/>
  <c r="BG167" i="25"/>
  <c r="BJ167" i="25" s="1"/>
  <c r="AR167" i="25"/>
  <c r="AP167" i="25"/>
  <c r="BH167" i="25"/>
  <c r="BW167" i="25"/>
  <c r="BU167" i="25"/>
  <c r="BF167" i="25"/>
  <c r="BI12" i="24"/>
  <c r="BL12" i="24" s="1"/>
  <c r="AS12" i="24"/>
  <c r="AU12" i="24" s="1"/>
  <c r="BB12" i="24" s="1"/>
  <c r="AQ12" i="24"/>
  <c r="BJ12" i="24"/>
  <c r="AR204" i="25"/>
  <c r="BG204" i="25"/>
  <c r="BJ204" i="25" s="1"/>
  <c r="BH204" i="25"/>
  <c r="BF204" i="25"/>
  <c r="BW204" i="25"/>
  <c r="BU204" i="25"/>
  <c r="AS130" i="24"/>
  <c r="AU130" i="24" s="1"/>
  <c r="BB130" i="24" s="1"/>
  <c r="BI130" i="24"/>
  <c r="BL130" i="24" s="1"/>
  <c r="AQ130" i="24"/>
  <c r="BJ130" i="24"/>
  <c r="AS103" i="24"/>
  <c r="BI103" i="24"/>
  <c r="BL103" i="24" s="1"/>
  <c r="BJ103" i="24"/>
  <c r="AQ103" i="24"/>
  <c r="AX103" i="24"/>
  <c r="BH103" i="24"/>
  <c r="BW103" i="24"/>
  <c r="AJ81" i="25"/>
  <c r="AM81" i="25"/>
  <c r="CE81" i="25" s="1"/>
  <c r="BI228" i="24"/>
  <c r="BL228" i="24" s="1"/>
  <c r="AS228" i="24"/>
  <c r="AU228" i="24" s="1"/>
  <c r="BB228" i="24" s="1"/>
  <c r="BJ228" i="24"/>
  <c r="AQ228" i="24"/>
  <c r="BI35" i="24"/>
  <c r="BL35" i="24" s="1"/>
  <c r="AS35" i="24"/>
  <c r="AU35" i="24" s="1"/>
  <c r="BB35" i="24" s="1"/>
  <c r="BJ35" i="24"/>
  <c r="AQ35" i="24"/>
  <c r="AM25" i="25"/>
  <c r="AJ25" i="25"/>
  <c r="AJ285" i="25"/>
  <c r="AM285" i="25"/>
  <c r="AM241" i="25"/>
  <c r="AJ241" i="25"/>
  <c r="AW188" i="25"/>
  <c r="AX188" i="25"/>
  <c r="BA260" i="24"/>
  <c r="AW209" i="25"/>
  <c r="AX209" i="25"/>
  <c r="AS270" i="24"/>
  <c r="BI270" i="24"/>
  <c r="BL270" i="24" s="1"/>
  <c r="AQ270" i="24"/>
  <c r="BJ270" i="24"/>
  <c r="AX270" i="24"/>
  <c r="BH270" i="24"/>
  <c r="BW270" i="24"/>
  <c r="BU270" i="24"/>
  <c r="BA12" i="24"/>
  <c r="AS145" i="24"/>
  <c r="AU145" i="24" s="1"/>
  <c r="BB145" i="24" s="1"/>
  <c r="BI145" i="24"/>
  <c r="BL145" i="24" s="1"/>
  <c r="BJ145" i="24"/>
  <c r="AQ145" i="24"/>
  <c r="BA273" i="24"/>
  <c r="AM288" i="25"/>
  <c r="AJ288" i="25"/>
  <c r="BI123" i="24"/>
  <c r="BL123" i="24" s="1"/>
  <c r="AS123" i="24"/>
  <c r="AU123" i="24" s="1"/>
  <c r="BB123" i="24" s="1"/>
  <c r="BJ123" i="24"/>
  <c r="AQ123" i="24"/>
  <c r="AR273" i="25"/>
  <c r="BG273" i="25"/>
  <c r="BJ273" i="25" s="1"/>
  <c r="AP273" i="25"/>
  <c r="BH273" i="25"/>
  <c r="BF273" i="25"/>
  <c r="BU273" i="25"/>
  <c r="BW273" i="25"/>
  <c r="AJ299" i="25"/>
  <c r="AM299" i="25"/>
  <c r="BU269" i="24"/>
  <c r="BI43" i="24"/>
  <c r="BL43" i="24" s="1"/>
  <c r="AS43" i="24"/>
  <c r="BJ43" i="24"/>
  <c r="AQ43" i="24"/>
  <c r="AX43" i="24"/>
  <c r="BH43" i="24"/>
  <c r="BW43" i="24"/>
  <c r="AW165" i="25"/>
  <c r="AX165" i="25"/>
  <c r="BI47" i="24"/>
  <c r="BL47" i="24" s="1"/>
  <c r="AS47" i="24"/>
  <c r="BJ47" i="24"/>
  <c r="AQ47" i="24"/>
  <c r="AX47" i="24"/>
  <c r="BH47" i="24"/>
  <c r="BW47" i="24"/>
  <c r="AS278" i="24"/>
  <c r="BI278" i="24"/>
  <c r="BL278" i="24" s="1"/>
  <c r="BJ278" i="24"/>
  <c r="AQ278" i="24"/>
  <c r="BW278" i="24"/>
  <c r="BU278" i="24"/>
  <c r="AX278" i="24"/>
  <c r="BH278" i="24"/>
  <c r="AR29" i="25"/>
  <c r="BG29" i="25"/>
  <c r="BJ29" i="25" s="1"/>
  <c r="BH29" i="25"/>
  <c r="AP29" i="25"/>
  <c r="BF29" i="25"/>
  <c r="BW29" i="25"/>
  <c r="BU29" i="25"/>
  <c r="AM164" i="25"/>
  <c r="CE164" i="25" s="1"/>
  <c r="AJ164" i="25"/>
  <c r="AM175" i="25"/>
  <c r="CE175" i="25" s="1"/>
  <c r="AJ175" i="25"/>
  <c r="AW105" i="25"/>
  <c r="B110" i="2" s="1"/>
  <c r="E33" i="1" s="1"/>
  <c r="AX105" i="25"/>
  <c r="B120" i="2" s="1"/>
  <c r="L33" i="1" s="1"/>
  <c r="BI194" i="24"/>
  <c r="BL194" i="24" s="1"/>
  <c r="AS194" i="24"/>
  <c r="BJ194" i="24"/>
  <c r="AQ194" i="24"/>
  <c r="AX194" i="24"/>
  <c r="BH194" i="24"/>
  <c r="BW194" i="24"/>
  <c r="BU194" i="24"/>
  <c r="BA271" i="24"/>
  <c r="BA33" i="24"/>
  <c r="BH6" i="24"/>
  <c r="BW6" i="24"/>
  <c r="AJ245" i="25"/>
  <c r="AM245" i="25"/>
  <c r="AJ234" i="25"/>
  <c r="AM234" i="25"/>
  <c r="BI202" i="24"/>
  <c r="BL202" i="24" s="1"/>
  <c r="AS202" i="24"/>
  <c r="AQ202" i="24"/>
  <c r="BJ202" i="24"/>
  <c r="BU202" i="24"/>
  <c r="AX202" i="24"/>
  <c r="BH202" i="24"/>
  <c r="BW202" i="24"/>
  <c r="AR206" i="25"/>
  <c r="BG206" i="25"/>
  <c r="BJ206" i="25" s="1"/>
  <c r="BH206" i="25"/>
  <c r="BF206" i="25"/>
  <c r="BW206" i="25"/>
  <c r="BU206" i="25"/>
  <c r="AM270" i="25"/>
  <c r="CE270" i="25" s="1"/>
  <c r="AJ270" i="25"/>
  <c r="AS240" i="24"/>
  <c r="AU240" i="24" s="1"/>
  <c r="BB240" i="24" s="1"/>
  <c r="BI240" i="24"/>
  <c r="BL240" i="24" s="1"/>
  <c r="BJ240" i="24"/>
  <c r="AQ240" i="24"/>
  <c r="AM138" i="25"/>
  <c r="CE138" i="25" s="1"/>
  <c r="AJ138" i="25"/>
  <c r="BI295" i="24"/>
  <c r="BL295" i="24" s="1"/>
  <c r="AS295" i="24"/>
  <c r="AU295" i="24" s="1"/>
  <c r="BB295" i="24" s="1"/>
  <c r="BJ295" i="24"/>
  <c r="AQ295" i="24"/>
  <c r="BI27" i="24"/>
  <c r="BL27" i="24" s="1"/>
  <c r="AS27" i="24"/>
  <c r="BJ27" i="24"/>
  <c r="AQ27" i="24"/>
  <c r="BH27" i="24"/>
  <c r="BW27" i="24"/>
  <c r="AX27" i="24"/>
  <c r="BI54" i="24"/>
  <c r="BL54" i="24" s="1"/>
  <c r="AS54" i="24"/>
  <c r="AU54" i="24" s="1"/>
  <c r="BB54" i="24" s="1"/>
  <c r="BJ54" i="24"/>
  <c r="AQ54" i="24"/>
  <c r="AX7" i="25"/>
  <c r="AW7" i="25"/>
  <c r="AX156" i="25"/>
  <c r="AW156" i="25"/>
  <c r="BA59" i="24"/>
  <c r="AX68" i="25"/>
  <c r="AW68" i="25"/>
  <c r="BI146" i="24"/>
  <c r="BL146" i="24" s="1"/>
  <c r="AS146" i="24"/>
  <c r="BJ146" i="24"/>
  <c r="AQ146" i="24"/>
  <c r="BW146" i="24"/>
  <c r="AX146" i="24"/>
  <c r="BH146" i="24"/>
  <c r="BU146" i="24"/>
  <c r="AJ287" i="25"/>
  <c r="AM287" i="25"/>
  <c r="CE287" i="25" s="1"/>
  <c r="BU265" i="24"/>
  <c r="AX135" i="25"/>
  <c r="AW135" i="25"/>
  <c r="AS20" i="24"/>
  <c r="AU20" i="24" s="1"/>
  <c r="BB20" i="24" s="1"/>
  <c r="BI20" i="24"/>
  <c r="BL20" i="24" s="1"/>
  <c r="BJ20" i="24"/>
  <c r="AQ20" i="24"/>
  <c r="AM251" i="25"/>
  <c r="AJ251" i="25"/>
  <c r="AM46" i="25"/>
  <c r="AJ46" i="25"/>
  <c r="AX111" i="24"/>
  <c r="AW264" i="24"/>
  <c r="AR305" i="25"/>
  <c r="BG305" i="25"/>
  <c r="BJ305" i="25" s="1"/>
  <c r="AP305" i="25"/>
  <c r="BH305" i="25"/>
  <c r="BU305" i="25"/>
  <c r="BW305" i="25"/>
  <c r="BF305" i="25"/>
  <c r="BG190" i="25"/>
  <c r="BJ190" i="25" s="1"/>
  <c r="AR190" i="25"/>
  <c r="BH190" i="25"/>
  <c r="AP190" i="25"/>
  <c r="BW190" i="25"/>
  <c r="BF190" i="25"/>
  <c r="BU190" i="25"/>
  <c r="AX41" i="25"/>
  <c r="AW41" i="25"/>
  <c r="BA247" i="24"/>
  <c r="AJ312" i="25"/>
  <c r="AM312" i="25"/>
  <c r="AX242" i="24"/>
  <c r="AJ99" i="25"/>
  <c r="AM99" i="25"/>
  <c r="AP99" i="25" s="1"/>
  <c r="AJ120" i="25"/>
  <c r="AM120" i="25"/>
  <c r="AS56" i="24"/>
  <c r="AU56" i="24" s="1"/>
  <c r="BB56" i="24" s="1"/>
  <c r="BI56" i="24"/>
  <c r="BL56" i="24" s="1"/>
  <c r="BJ56" i="24"/>
  <c r="AQ56" i="24"/>
  <c r="BU135" i="24"/>
  <c r="AX301" i="24"/>
  <c r="AM230" i="25"/>
  <c r="AJ230" i="25"/>
  <c r="AX20" i="25"/>
  <c r="AW20" i="25"/>
  <c r="AS171" i="24"/>
  <c r="BI171" i="24"/>
  <c r="BL171" i="24" s="1"/>
  <c r="AQ171" i="24"/>
  <c r="BJ171" i="24"/>
  <c r="BH171" i="24"/>
  <c r="BW171" i="24"/>
  <c r="BU171" i="24"/>
  <c r="AX171" i="24"/>
  <c r="AJ137" i="25"/>
  <c r="AM137" i="25"/>
  <c r="AR89" i="25"/>
  <c r="BG89" i="25"/>
  <c r="BJ89" i="25" s="1"/>
  <c r="AP89" i="25"/>
  <c r="BH89" i="25"/>
  <c r="BF89" i="25"/>
  <c r="BU89" i="25"/>
  <c r="BW89" i="25"/>
  <c r="BI197" i="24"/>
  <c r="BL197" i="24" s="1"/>
  <c r="AS197" i="24"/>
  <c r="BJ197" i="24"/>
  <c r="AQ197" i="24"/>
  <c r="BH197" i="24"/>
  <c r="BU197" i="24"/>
  <c r="BW197" i="24"/>
  <c r="AX197" i="24"/>
  <c r="BI104" i="24"/>
  <c r="BL104" i="24" s="1"/>
  <c r="AS104" i="24"/>
  <c r="BJ104" i="24"/>
  <c r="AQ104" i="24"/>
  <c r="AX104" i="24"/>
  <c r="BW104" i="24"/>
  <c r="BH104" i="24"/>
  <c r="AS275" i="24"/>
  <c r="BI275" i="24"/>
  <c r="BL275" i="24" s="1"/>
  <c r="AQ275" i="24"/>
  <c r="BJ275" i="24"/>
  <c r="AX275" i="24"/>
  <c r="BH275" i="24"/>
  <c r="BW275" i="24"/>
  <c r="BU275" i="24"/>
  <c r="BH126" i="24"/>
  <c r="BU290" i="24"/>
  <c r="BW145" i="24"/>
  <c r="BA263" i="24"/>
  <c r="AX67" i="25"/>
  <c r="AW67" i="25"/>
  <c r="AM17" i="25"/>
  <c r="AJ17" i="25"/>
  <c r="BA282" i="24"/>
  <c r="BA155" i="24"/>
  <c r="AJ236" i="25"/>
  <c r="AM236" i="25"/>
  <c r="AX248" i="24"/>
  <c r="AW187" i="25"/>
  <c r="AX187" i="25"/>
  <c r="BI168" i="24"/>
  <c r="BL168" i="24" s="1"/>
  <c r="AS168" i="24"/>
  <c r="AQ168" i="24"/>
  <c r="BJ168" i="24"/>
  <c r="BU168" i="24"/>
  <c r="AX168" i="24"/>
  <c r="BH168" i="24"/>
  <c r="BW168" i="24"/>
  <c r="AM72" i="25"/>
  <c r="CE72" i="25" s="1"/>
  <c r="AJ72" i="25"/>
  <c r="AJ222" i="25"/>
  <c r="AM222" i="25"/>
  <c r="BG28" i="25"/>
  <c r="BJ28" i="25" s="1"/>
  <c r="AR28" i="25"/>
  <c r="BH28" i="25"/>
  <c r="AP28" i="25"/>
  <c r="BF28" i="25"/>
  <c r="BW28" i="25"/>
  <c r="BU28" i="25"/>
  <c r="AS273" i="24"/>
  <c r="AU273" i="24" s="1"/>
  <c r="BB273" i="24" s="1"/>
  <c r="BI273" i="24"/>
  <c r="BL273" i="24" s="1"/>
  <c r="AQ273" i="24"/>
  <c r="BJ273" i="24"/>
  <c r="BI232" i="24"/>
  <c r="BL232" i="24" s="1"/>
  <c r="AS232" i="24"/>
  <c r="AU232" i="24" s="1"/>
  <c r="BB232" i="24" s="1"/>
  <c r="BJ232" i="24"/>
  <c r="AQ232" i="24"/>
  <c r="AR87" i="25"/>
  <c r="BG87" i="25"/>
  <c r="BJ87" i="25" s="1"/>
  <c r="BH87" i="25"/>
  <c r="AP87" i="25"/>
  <c r="BF87" i="25"/>
  <c r="BW87" i="25"/>
  <c r="BU87" i="25"/>
  <c r="AS69" i="24"/>
  <c r="BI69" i="24"/>
  <c r="BL69" i="24" s="1"/>
  <c r="BJ69" i="24"/>
  <c r="AQ69" i="24"/>
  <c r="BH69" i="24"/>
  <c r="BW69" i="24"/>
  <c r="AX69" i="24"/>
  <c r="BI131" i="24"/>
  <c r="BL131" i="24" s="1"/>
  <c r="AS131" i="24"/>
  <c r="BJ131" i="24"/>
  <c r="AQ131" i="24"/>
  <c r="BH131" i="24"/>
  <c r="BW131" i="24"/>
  <c r="BU131" i="24"/>
  <c r="AX131" i="24"/>
  <c r="BI268" i="24"/>
  <c r="BL268" i="24" s="1"/>
  <c r="AS268" i="24"/>
  <c r="AQ268" i="24"/>
  <c r="BJ268" i="24"/>
  <c r="AX268" i="24"/>
  <c r="BH268" i="24"/>
  <c r="BW268" i="24"/>
  <c r="BU268" i="24"/>
  <c r="AJ64" i="25"/>
  <c r="AM64" i="25"/>
  <c r="CE64" i="25" s="1"/>
  <c r="BH283" i="24"/>
  <c r="BI159" i="24"/>
  <c r="BL159" i="24" s="1"/>
  <c r="AS159" i="24"/>
  <c r="AQ159" i="24"/>
  <c r="BJ159" i="24"/>
  <c r="BW159" i="24"/>
  <c r="AX159" i="24"/>
  <c r="BH159" i="24"/>
  <c r="BU159" i="24"/>
  <c r="AX120" i="24"/>
  <c r="BI238" i="24"/>
  <c r="BL238" i="24" s="1"/>
  <c r="AS238" i="24"/>
  <c r="AU238" i="24" s="1"/>
  <c r="BB238" i="24" s="1"/>
  <c r="AQ238" i="24"/>
  <c r="BJ238" i="24"/>
  <c r="BI129" i="24"/>
  <c r="BL129" i="24" s="1"/>
  <c r="AS129" i="24"/>
  <c r="AU129" i="24" s="1"/>
  <c r="BB129" i="24" s="1"/>
  <c r="AQ129" i="24"/>
  <c r="BJ129" i="24"/>
  <c r="AM56" i="25"/>
  <c r="CE56" i="25" s="1"/>
  <c r="AJ56" i="25"/>
  <c r="BI267" i="24"/>
  <c r="BL267" i="24" s="1"/>
  <c r="AS267" i="24"/>
  <c r="AU267" i="24" s="1"/>
  <c r="BB267" i="24" s="1"/>
  <c r="AQ267" i="24"/>
  <c r="BJ267" i="24"/>
  <c r="AS206" i="24"/>
  <c r="BI206" i="24"/>
  <c r="BL206" i="24" s="1"/>
  <c r="BJ206" i="24"/>
  <c r="AQ206" i="24"/>
  <c r="BH206" i="24"/>
  <c r="BW206" i="24"/>
  <c r="BU206" i="24"/>
  <c r="AX206" i="24"/>
  <c r="AS280" i="24"/>
  <c r="AU280" i="24" s="1"/>
  <c r="BB280" i="24" s="1"/>
  <c r="BI280" i="24"/>
  <c r="BL280" i="24" s="1"/>
  <c r="BJ280" i="24"/>
  <c r="AQ280" i="24"/>
  <c r="BI302" i="24"/>
  <c r="BL302" i="24" s="1"/>
  <c r="AS302" i="24"/>
  <c r="BJ302" i="24"/>
  <c r="AQ302" i="24"/>
  <c r="BW302" i="24"/>
  <c r="BU302" i="24"/>
  <c r="AX302" i="24"/>
  <c r="BH302" i="24"/>
  <c r="AJ219" i="25"/>
  <c r="AM219" i="25"/>
  <c r="BI14" i="24"/>
  <c r="BL14" i="24" s="1"/>
  <c r="AS14" i="24"/>
  <c r="BJ14" i="24"/>
  <c r="AQ14" i="24"/>
  <c r="AX14" i="24"/>
  <c r="BH14" i="24"/>
  <c r="BW14" i="24"/>
  <c r="BI245" i="24"/>
  <c r="BL245" i="24" s="1"/>
  <c r="AS245" i="24"/>
  <c r="AQ245" i="24"/>
  <c r="BJ245" i="24"/>
  <c r="AX245" i="24"/>
  <c r="BH245" i="24"/>
  <c r="BW245" i="24"/>
  <c r="BU245" i="24"/>
  <c r="AJ16" i="25"/>
  <c r="AM16" i="25"/>
  <c r="AM302" i="25"/>
  <c r="CE302" i="25" s="1"/>
  <c r="AJ302" i="25"/>
  <c r="AX28" i="24"/>
  <c r="AX50" i="25"/>
  <c r="AW50" i="25"/>
  <c r="BI24" i="24"/>
  <c r="BL24" i="24" s="1"/>
  <c r="AS24" i="24"/>
  <c r="AU24" i="24" s="1"/>
  <c r="BB24" i="24" s="1"/>
  <c r="BJ24" i="24"/>
  <c r="AQ24" i="24"/>
  <c r="AS186" i="24"/>
  <c r="BI186" i="24"/>
  <c r="BL186" i="24" s="1"/>
  <c r="AQ186" i="24"/>
  <c r="BJ186" i="24"/>
  <c r="BW186" i="24"/>
  <c r="BU186" i="24"/>
  <c r="AX186" i="24"/>
  <c r="BH186" i="24"/>
  <c r="BA114" i="24"/>
  <c r="AM133" i="25"/>
  <c r="AJ133" i="25"/>
  <c r="BI173" i="24"/>
  <c r="BL173" i="24" s="1"/>
  <c r="AS173" i="24"/>
  <c r="BJ173" i="24"/>
  <c r="AQ173" i="24"/>
  <c r="BU173" i="24"/>
  <c r="BW173" i="24"/>
  <c r="AX173" i="24"/>
  <c r="BH173" i="24"/>
  <c r="AX130" i="24"/>
  <c r="BH147" i="24"/>
  <c r="BA274" i="24"/>
  <c r="AJ197" i="25"/>
  <c r="AM197" i="25"/>
  <c r="AP197" i="25" s="1"/>
  <c r="AS285" i="24"/>
  <c r="BI285" i="24"/>
  <c r="BL285" i="24" s="1"/>
  <c r="AQ285" i="24"/>
  <c r="BJ285" i="24"/>
  <c r="BH285" i="24"/>
  <c r="BU285" i="24"/>
  <c r="BW285" i="24"/>
  <c r="AX285" i="24"/>
  <c r="AS172" i="24"/>
  <c r="BI172" i="24"/>
  <c r="BL172" i="24" s="1"/>
  <c r="AQ172" i="24"/>
  <c r="BJ172" i="24"/>
  <c r="AX172" i="24"/>
  <c r="BH172" i="24"/>
  <c r="BW172" i="24"/>
  <c r="BU172" i="24"/>
  <c r="BW260" i="24"/>
  <c r="AX98" i="25"/>
  <c r="AW98" i="25"/>
  <c r="BI161" i="24"/>
  <c r="BL161" i="24" s="1"/>
  <c r="AS161" i="24"/>
  <c r="BJ161" i="24"/>
  <c r="AQ161" i="24"/>
  <c r="BH161" i="24"/>
  <c r="BW161" i="24"/>
  <c r="BU161" i="24"/>
  <c r="AX161" i="24"/>
  <c r="AM163" i="25"/>
  <c r="CE163" i="25" s="1"/>
  <c r="AJ163" i="25"/>
  <c r="AS8" i="24"/>
  <c r="AU8" i="24" s="1"/>
  <c r="BB8" i="24" s="1"/>
  <c r="BI8" i="24"/>
  <c r="BL8" i="24" s="1"/>
  <c r="BJ8" i="24"/>
  <c r="AQ8" i="24"/>
  <c r="AR238" i="25"/>
  <c r="BG238" i="25"/>
  <c r="BJ238" i="25" s="1"/>
  <c r="AP238" i="25"/>
  <c r="BH238" i="25"/>
  <c r="BU238" i="25"/>
  <c r="BW238" i="25"/>
  <c r="BF238" i="25"/>
  <c r="BI266" i="24"/>
  <c r="BL266" i="24" s="1"/>
  <c r="AS266" i="24"/>
  <c r="AU266" i="24" s="1"/>
  <c r="BB266" i="24" s="1"/>
  <c r="BJ266" i="24"/>
  <c r="AQ266" i="24"/>
  <c r="BW273" i="24"/>
  <c r="AW157" i="25"/>
  <c r="AX157" i="25"/>
  <c r="AR314" i="25"/>
  <c r="BG314" i="25"/>
  <c r="BJ314" i="25" s="1"/>
  <c r="AP314" i="25"/>
  <c r="BH314" i="25"/>
  <c r="BF314" i="25"/>
  <c r="BU314" i="25"/>
  <c r="BW314" i="25"/>
  <c r="AJ250" i="25"/>
  <c r="AM250" i="25"/>
  <c r="BW269" i="24"/>
  <c r="AX296" i="24"/>
  <c r="AJ88" i="25"/>
  <c r="AM88" i="25"/>
  <c r="AX193" i="25"/>
  <c r="AW193" i="25"/>
  <c r="BI117" i="24"/>
  <c r="BL117" i="24" s="1"/>
  <c r="AS117" i="24"/>
  <c r="AU117" i="24" s="1"/>
  <c r="BB117" i="24" s="1"/>
  <c r="BJ117" i="24"/>
  <c r="AQ117" i="24"/>
  <c r="AX65" i="25"/>
  <c r="AW65" i="25"/>
  <c r="BI286" i="24"/>
  <c r="BL286" i="24" s="1"/>
  <c r="AS286" i="24"/>
  <c r="AQ286" i="24"/>
  <c r="BJ286" i="24"/>
  <c r="AX286" i="24"/>
  <c r="BH286" i="24"/>
  <c r="BU286" i="24"/>
  <c r="BW286" i="24"/>
  <c r="AJ36" i="25"/>
  <c r="AM36" i="25"/>
  <c r="AX163" i="25"/>
  <c r="AW163" i="25"/>
  <c r="AR246" i="25"/>
  <c r="BG246" i="25"/>
  <c r="BJ246" i="25" s="1"/>
  <c r="AP246" i="25"/>
  <c r="BH246" i="25"/>
  <c r="BF246" i="25"/>
  <c r="BW246" i="25"/>
  <c r="BU246" i="25"/>
  <c r="AS279" i="24"/>
  <c r="AU279" i="24" s="1"/>
  <c r="BB279" i="24" s="1"/>
  <c r="BI279" i="24"/>
  <c r="BL279" i="24" s="1"/>
  <c r="BJ279" i="24"/>
  <c r="AQ279" i="24"/>
  <c r="AS19" i="24"/>
  <c r="AU19" i="24" s="1"/>
  <c r="BB19" i="24" s="1"/>
  <c r="BI19" i="24"/>
  <c r="BL19" i="24" s="1"/>
  <c r="BJ19" i="24"/>
  <c r="AQ19" i="24"/>
  <c r="AJ290" i="25"/>
  <c r="AM290" i="25"/>
  <c r="BA117" i="24"/>
  <c r="AW88" i="25"/>
  <c r="AX88" i="25"/>
  <c r="AM226" i="25"/>
  <c r="AJ226" i="25"/>
  <c r="AX164" i="25"/>
  <c r="AW164" i="25"/>
  <c r="AX19" i="25"/>
  <c r="AW19" i="25"/>
  <c r="AJ294" i="25"/>
  <c r="AM294" i="25"/>
  <c r="CE294" i="25" s="1"/>
  <c r="AJ26" i="25"/>
  <c r="AM26" i="25"/>
  <c r="AX8" i="24"/>
  <c r="BH240" i="24"/>
  <c r="AS229" i="24"/>
  <c r="BI229" i="24"/>
  <c r="BL229" i="24" s="1"/>
  <c r="BJ229" i="24"/>
  <c r="AQ229" i="24"/>
  <c r="BW229" i="24"/>
  <c r="BU229" i="24"/>
  <c r="AX229" i="24"/>
  <c r="BH229" i="24"/>
  <c r="AS288" i="24"/>
  <c r="BI288" i="24"/>
  <c r="BL288" i="24" s="1"/>
  <c r="BJ288" i="24"/>
  <c r="AQ288" i="24"/>
  <c r="AX288" i="24"/>
  <c r="BH288" i="24"/>
  <c r="BU288" i="24"/>
  <c r="BW288" i="24"/>
  <c r="BW32" i="24"/>
  <c r="AW208" i="25"/>
  <c r="AX208" i="25"/>
  <c r="AJ162" i="25"/>
  <c r="AM162" i="25"/>
  <c r="BI282" i="24"/>
  <c r="BL282" i="24" s="1"/>
  <c r="AS282" i="24"/>
  <c r="AU282" i="24" s="1"/>
  <c r="BB282" i="24" s="1"/>
  <c r="BJ282" i="24"/>
  <c r="AQ282" i="24"/>
  <c r="BI253" i="24"/>
  <c r="BL253" i="24" s="1"/>
  <c r="AS253" i="24"/>
  <c r="AU253" i="24" s="1"/>
  <c r="BB253" i="24" s="1"/>
  <c r="AQ253" i="24"/>
  <c r="BJ253" i="24"/>
  <c r="BA111" i="24"/>
  <c r="AS91" i="24"/>
  <c r="BI91" i="24"/>
  <c r="BL91" i="24" s="1"/>
  <c r="AQ91" i="24"/>
  <c r="BJ91" i="24"/>
  <c r="AX91" i="24"/>
  <c r="BH91" i="24"/>
  <c r="BW91" i="24"/>
  <c r="AS231" i="24"/>
  <c r="BI231" i="24"/>
  <c r="BL231" i="24" s="1"/>
  <c r="AQ231" i="24"/>
  <c r="BJ231" i="24"/>
  <c r="BH231" i="24"/>
  <c r="BU231" i="24"/>
  <c r="BW231" i="24"/>
  <c r="AX231" i="24"/>
  <c r="BW305" i="24"/>
  <c r="AX180" i="25"/>
  <c r="AW180" i="25"/>
  <c r="AX100" i="25"/>
  <c r="AW100" i="25"/>
  <c r="AR292" i="25"/>
  <c r="BG292" i="25"/>
  <c r="BJ292" i="25" s="1"/>
  <c r="BH292" i="25"/>
  <c r="AP292" i="25"/>
  <c r="BU292" i="25"/>
  <c r="BW292" i="25"/>
  <c r="BF292" i="25"/>
  <c r="AS150" i="24"/>
  <c r="BI150" i="24"/>
  <c r="BL150" i="24" s="1"/>
  <c r="AQ150" i="24"/>
  <c r="BJ150" i="24"/>
  <c r="AX150" i="24"/>
  <c r="BH150" i="24"/>
  <c r="BW150" i="24"/>
  <c r="BU150" i="24"/>
  <c r="AJ289" i="25"/>
  <c r="AM289" i="25"/>
  <c r="AS201" i="24"/>
  <c r="BI201" i="24"/>
  <c r="BL201" i="24" s="1"/>
  <c r="BJ201" i="24"/>
  <c r="AQ201" i="24"/>
  <c r="BW201" i="24"/>
  <c r="AX201" i="24"/>
  <c r="BH201" i="24"/>
  <c r="BU201" i="24"/>
  <c r="BI39" i="24"/>
  <c r="BL39" i="24" s="1"/>
  <c r="AS39" i="24"/>
  <c r="BJ39" i="24"/>
  <c r="AQ39" i="24"/>
  <c r="AX39" i="24"/>
  <c r="BH39" i="24"/>
  <c r="BW39" i="24"/>
  <c r="AJ33" i="25"/>
  <c r="AM33" i="25"/>
  <c r="AS90" i="24"/>
  <c r="BI90" i="24"/>
  <c r="BL90" i="24" s="1"/>
  <c r="BJ90" i="24"/>
  <c r="AQ90" i="24"/>
  <c r="AX90" i="24"/>
  <c r="BH90" i="24"/>
  <c r="BW90" i="24"/>
  <c r="BA225" i="24"/>
  <c r="AS195" i="24"/>
  <c r="BI195" i="24"/>
  <c r="BL195" i="24" s="1"/>
  <c r="BJ195" i="24"/>
  <c r="AQ195" i="24"/>
  <c r="BH195" i="24"/>
  <c r="BU195" i="24"/>
  <c r="BW195" i="24"/>
  <c r="AX195" i="24"/>
  <c r="AJ116" i="25"/>
  <c r="AM116" i="25"/>
  <c r="AX295" i="24"/>
  <c r="AJ159" i="25"/>
  <c r="AM159" i="25"/>
  <c r="CE159" i="25" s="1"/>
  <c r="AS188" i="24"/>
  <c r="BI188" i="24"/>
  <c r="BL188" i="24" s="1"/>
  <c r="BJ188" i="24"/>
  <c r="AQ188" i="24"/>
  <c r="BH188" i="24"/>
  <c r="BU188" i="24"/>
  <c r="BW188" i="24"/>
  <c r="AX188" i="24"/>
  <c r="BI164" i="24"/>
  <c r="BL164" i="24" s="1"/>
  <c r="AS164" i="24"/>
  <c r="BJ164" i="24"/>
  <c r="AQ164" i="24"/>
  <c r="AX164" i="24"/>
  <c r="BH164" i="24"/>
  <c r="BW164" i="24"/>
  <c r="BU164" i="24"/>
  <c r="AJ53" i="25"/>
  <c r="AM53" i="25"/>
  <c r="BI155" i="24"/>
  <c r="BL155" i="24" s="1"/>
  <c r="AS155" i="24"/>
  <c r="AU155" i="24" s="1"/>
  <c r="BB155" i="24" s="1"/>
  <c r="BJ155" i="24"/>
  <c r="AQ155" i="24"/>
  <c r="BI37" i="24"/>
  <c r="BL37" i="24" s="1"/>
  <c r="AS37" i="24"/>
  <c r="AU37" i="24" s="1"/>
  <c r="BB37" i="24" s="1"/>
  <c r="BJ37" i="24"/>
  <c r="AQ37" i="24"/>
  <c r="BA301" i="24"/>
  <c r="AX121" i="24"/>
  <c r="AX93" i="25"/>
  <c r="AW93" i="25"/>
  <c r="AJ39" i="25"/>
  <c r="AM39" i="25"/>
  <c r="AR6" i="25"/>
  <c r="BG6" i="25"/>
  <c r="BJ6" i="25" s="1"/>
  <c r="BH6" i="25"/>
  <c r="AP6" i="25"/>
  <c r="BF6" i="25"/>
  <c r="BW6" i="25"/>
  <c r="BU6" i="25"/>
  <c r="AX33" i="25"/>
  <c r="AW33" i="25"/>
  <c r="AX279" i="24"/>
  <c r="AM123" i="25"/>
  <c r="AJ123" i="25"/>
  <c r="BA17" i="24"/>
  <c r="AS316" i="24"/>
  <c r="BI316" i="24"/>
  <c r="BL316" i="24" s="1"/>
  <c r="BJ316" i="24"/>
  <c r="AQ316" i="24"/>
  <c r="AX316" i="24"/>
  <c r="BH316" i="24"/>
  <c r="BW316" i="24"/>
  <c r="BU316" i="24"/>
  <c r="BI199" i="24"/>
  <c r="BL199" i="24" s="1"/>
  <c r="AS199" i="24"/>
  <c r="AQ199" i="24"/>
  <c r="BJ199" i="24"/>
  <c r="AX199" i="24"/>
  <c r="BH199" i="24"/>
  <c r="BW199" i="24"/>
  <c r="BU199" i="24"/>
  <c r="BU282" i="24"/>
  <c r="AW142" i="24"/>
  <c r="AJ10" i="25"/>
  <c r="AM10" i="25"/>
  <c r="BA248" i="24"/>
  <c r="BH232" i="24"/>
  <c r="BI48" i="24"/>
  <c r="BL48" i="24" s="1"/>
  <c r="AS48" i="24"/>
  <c r="AU48" i="24" s="1"/>
  <c r="BB48" i="24" s="1"/>
  <c r="BJ48" i="24"/>
  <c r="AQ48" i="24"/>
  <c r="AJ40" i="25"/>
  <c r="AM40" i="25"/>
  <c r="AS154" i="24"/>
  <c r="BI154" i="24"/>
  <c r="BL154" i="24" s="1"/>
  <c r="BJ154" i="24"/>
  <c r="AQ154" i="24"/>
  <c r="AX154" i="24"/>
  <c r="BH154" i="24"/>
  <c r="BW154" i="24"/>
  <c r="BU154" i="24"/>
  <c r="AX79" i="25"/>
  <c r="AW79" i="25"/>
  <c r="AS204" i="24"/>
  <c r="BI204" i="24"/>
  <c r="BL204" i="24" s="1"/>
  <c r="BJ204" i="24"/>
  <c r="AQ204" i="24"/>
  <c r="AX204" i="24"/>
  <c r="BH204" i="24"/>
  <c r="BU204" i="24"/>
  <c r="BW204" i="24"/>
  <c r="BA259" i="24"/>
  <c r="BI277" i="24"/>
  <c r="BL277" i="24" s="1"/>
  <c r="AS277" i="24"/>
  <c r="BJ277" i="24"/>
  <c r="AQ277" i="24"/>
  <c r="AX277" i="24"/>
  <c r="BH277" i="24"/>
  <c r="BU277" i="24"/>
  <c r="BW277" i="24"/>
  <c r="AM27" i="25"/>
  <c r="AJ27" i="25"/>
  <c r="AU190" i="24"/>
  <c r="BB190" i="24" s="1"/>
  <c r="AW190" i="24"/>
  <c r="AW17" i="25"/>
  <c r="AX17" i="25"/>
  <c r="BI59" i="24"/>
  <c r="BL59" i="24" s="1"/>
  <c r="AS59" i="24"/>
  <c r="AU59" i="24" s="1"/>
  <c r="BB59" i="24" s="1"/>
  <c r="BJ59" i="24"/>
  <c r="AQ59" i="24"/>
  <c r="AJ149" i="25"/>
  <c r="AM149" i="25"/>
  <c r="AM153" i="25"/>
  <c r="CE153" i="25" s="1"/>
  <c r="AJ153" i="25"/>
  <c r="AJ182" i="25"/>
  <c r="AM182" i="25"/>
  <c r="CE182" i="25" s="1"/>
  <c r="BG147" i="25"/>
  <c r="BJ147" i="25" s="1"/>
  <c r="AR147" i="25"/>
  <c r="AP147" i="25"/>
  <c r="BH147" i="25"/>
  <c r="BW147" i="25"/>
  <c r="BU147" i="25"/>
  <c r="BF147" i="25"/>
  <c r="AW23" i="25"/>
  <c r="AX23" i="25"/>
  <c r="AM233" i="25"/>
  <c r="AJ233" i="25"/>
  <c r="BI166" i="24"/>
  <c r="BL166" i="24" s="1"/>
  <c r="AS166" i="24"/>
  <c r="AQ166" i="24"/>
  <c r="BJ166" i="24"/>
  <c r="BW166" i="24"/>
  <c r="BU166" i="24"/>
  <c r="AX166" i="24"/>
  <c r="BH166" i="24"/>
  <c r="BI84" i="24"/>
  <c r="BL84" i="24" s="1"/>
  <c r="AS84" i="24"/>
  <c r="AQ84" i="24"/>
  <c r="BJ84" i="24"/>
  <c r="BW84" i="24"/>
  <c r="AX84" i="24"/>
  <c r="BH84" i="24"/>
  <c r="AM117" i="25"/>
  <c r="AJ117" i="25"/>
  <c r="AM69" i="25"/>
  <c r="AJ69" i="25"/>
  <c r="AW134" i="25"/>
  <c r="AX134" i="25"/>
  <c r="AJ271" i="25"/>
  <c r="AM271" i="25"/>
  <c r="BG232" i="25"/>
  <c r="BJ232" i="25" s="1"/>
  <c r="AR232" i="25"/>
  <c r="AP232" i="25"/>
  <c r="BH232" i="25"/>
  <c r="BF232" i="25"/>
  <c r="BW232" i="25"/>
  <c r="BU232" i="25"/>
  <c r="AS49" i="24"/>
  <c r="BI49" i="24"/>
  <c r="BL49" i="24" s="1"/>
  <c r="BJ49" i="24"/>
  <c r="AQ49" i="24"/>
  <c r="AX49" i="24"/>
  <c r="BH49" i="24"/>
  <c r="BW49" i="24"/>
  <c r="AM119" i="25"/>
  <c r="AJ119" i="25"/>
  <c r="AJ150" i="25"/>
  <c r="AM150" i="25"/>
  <c r="AU294" i="24"/>
  <c r="BB294" i="24" s="1"/>
  <c r="AW294" i="24"/>
  <c r="BA219" i="24"/>
  <c r="AX194" i="25"/>
  <c r="AW194" i="25"/>
  <c r="AX103" i="25"/>
  <c r="AW103" i="25"/>
  <c r="AX139" i="25"/>
  <c r="AW139" i="25"/>
  <c r="BA130" i="24"/>
  <c r="AX147" i="24"/>
  <c r="AS34" i="24"/>
  <c r="AU34" i="24" s="1"/>
  <c r="BB34" i="24" s="1"/>
  <c r="BI34" i="24"/>
  <c r="BL34" i="24" s="1"/>
  <c r="BJ34" i="24"/>
  <c r="AQ34" i="24"/>
  <c r="BA249" i="24"/>
  <c r="AM85" i="25"/>
  <c r="AJ85" i="25"/>
  <c r="AR161" i="25"/>
  <c r="BG161" i="25"/>
  <c r="BJ161" i="25" s="1"/>
  <c r="BH161" i="25"/>
  <c r="AP161" i="25"/>
  <c r="BF161" i="25"/>
  <c r="BW161" i="25"/>
  <c r="BU161" i="25"/>
  <c r="AU162" i="24"/>
  <c r="BB162" i="24" s="1"/>
  <c r="AW162" i="24"/>
  <c r="AS52" i="24"/>
  <c r="BI52" i="24"/>
  <c r="BL52" i="24" s="1"/>
  <c r="AQ52" i="24"/>
  <c r="BJ52" i="24"/>
  <c r="AX52" i="24"/>
  <c r="BH52" i="24"/>
  <c r="BW52" i="24"/>
  <c r="BU260" i="24"/>
  <c r="AM210" i="25"/>
  <c r="AJ210" i="25"/>
  <c r="AS80" i="24"/>
  <c r="BI80" i="24"/>
  <c r="BL80" i="24" s="1"/>
  <c r="BJ80" i="24"/>
  <c r="AQ80" i="24"/>
  <c r="BW80" i="24"/>
  <c r="AX80" i="24"/>
  <c r="BH80" i="24"/>
  <c r="AT129" i="25"/>
  <c r="AY129" i="25" s="1"/>
  <c r="AU129" i="25"/>
  <c r="BA296" i="24"/>
  <c r="AM313" i="25"/>
  <c r="AJ313" i="25"/>
  <c r="AR94" i="25"/>
  <c r="BG94" i="25"/>
  <c r="BJ94" i="25" s="1"/>
  <c r="BH94" i="25"/>
  <c r="AP94" i="25"/>
  <c r="BU94" i="25"/>
  <c r="BF94" i="25"/>
  <c r="BW94" i="25"/>
  <c r="AX197" i="25"/>
  <c r="AW197" i="25"/>
  <c r="AJ301" i="25"/>
  <c r="AM301" i="25"/>
  <c r="AW145" i="25"/>
  <c r="AX145" i="25"/>
  <c r="AJ284" i="25"/>
  <c r="AM284" i="25"/>
  <c r="CE284" i="25" s="1"/>
  <c r="BG262" i="25"/>
  <c r="BJ262" i="25" s="1"/>
  <c r="AR262" i="25"/>
  <c r="BH262" i="25"/>
  <c r="AP262" i="25"/>
  <c r="BW262" i="25"/>
  <c r="BU262" i="25"/>
  <c r="BF262" i="25"/>
  <c r="AX238" i="24"/>
  <c r="AJ169" i="25"/>
  <c r="AM169" i="25"/>
  <c r="CE169" i="25" s="1"/>
  <c r="BI263" i="24"/>
  <c r="BL263" i="24" s="1"/>
  <c r="AS263" i="24"/>
  <c r="AU263" i="24" s="1"/>
  <c r="BB263" i="24" s="1"/>
  <c r="BJ263" i="24"/>
  <c r="AQ263" i="24"/>
  <c r="BG276" i="25"/>
  <c r="BJ276" i="25" s="1"/>
  <c r="AR276" i="25"/>
  <c r="BH276" i="25"/>
  <c r="AP276" i="25"/>
  <c r="BW276" i="25"/>
  <c r="BU276" i="25"/>
  <c r="BF276" i="25"/>
  <c r="AJ295" i="25"/>
  <c r="AM295" i="25"/>
  <c r="CE295" i="25" s="1"/>
  <c r="BH133" i="24"/>
  <c r="AU191" i="24"/>
  <c r="BB191" i="24" s="1"/>
  <c r="AW191" i="24"/>
  <c r="BI38" i="24"/>
  <c r="BL38" i="24" s="1"/>
  <c r="AS38" i="24"/>
  <c r="BJ38" i="24"/>
  <c r="AQ38" i="24"/>
  <c r="AX38" i="24"/>
  <c r="BW38" i="24"/>
  <c r="BH38" i="24"/>
  <c r="AR114" i="25"/>
  <c r="BG114" i="25"/>
  <c r="BJ114" i="25" s="1"/>
  <c r="BH114" i="25"/>
  <c r="AP114" i="25"/>
  <c r="BW114" i="25"/>
  <c r="BU114" i="25"/>
  <c r="BF114" i="25"/>
  <c r="AW236" i="24"/>
  <c r="AR113" i="25"/>
  <c r="BG113" i="25"/>
  <c r="BJ113" i="25" s="1"/>
  <c r="AP113" i="25"/>
  <c r="BH113" i="25"/>
  <c r="BF113" i="25"/>
  <c r="BW113" i="25"/>
  <c r="BU113" i="25"/>
  <c r="AM41" i="25"/>
  <c r="AJ41" i="25"/>
  <c r="BH8" i="24"/>
  <c r="AW22" i="24"/>
  <c r="BH266" i="24"/>
  <c r="BH265" i="24"/>
  <c r="AX181" i="25"/>
  <c r="AW181" i="25"/>
  <c r="AJ277" i="25"/>
  <c r="AM277" i="25"/>
  <c r="AX44" i="25"/>
  <c r="AW44" i="25"/>
  <c r="BU305" i="24"/>
  <c r="AW86" i="25"/>
  <c r="AX86" i="25"/>
  <c r="AJ121" i="25"/>
  <c r="AM121" i="25"/>
  <c r="BU247" i="24"/>
  <c r="AW60" i="25"/>
  <c r="AX60" i="25"/>
  <c r="AS112" i="24"/>
  <c r="AU112" i="24" s="1"/>
  <c r="BB112" i="24" s="1"/>
  <c r="BI112" i="24"/>
  <c r="BL112" i="24" s="1"/>
  <c r="AQ112" i="24"/>
  <c r="BJ112" i="24"/>
  <c r="AM67" i="25"/>
  <c r="AJ67" i="25"/>
  <c r="AX91" i="25"/>
  <c r="AW91" i="25"/>
  <c r="AS105" i="24"/>
  <c r="BI105" i="24"/>
  <c r="BL105" i="24" s="1"/>
  <c r="BJ105" i="24"/>
  <c r="AQ105" i="24"/>
  <c r="AX105" i="24"/>
  <c r="BH105" i="24"/>
  <c r="BW105" i="24"/>
  <c r="BW242" i="24"/>
  <c r="BA295" i="24"/>
  <c r="AJ12" i="25"/>
  <c r="AM12" i="25"/>
  <c r="AR32" i="25"/>
  <c r="BG32" i="25"/>
  <c r="BJ32" i="25" s="1"/>
  <c r="AP32" i="25"/>
  <c r="BH32" i="25"/>
  <c r="BW32" i="25"/>
  <c r="BU32" i="25"/>
  <c r="BF32" i="25"/>
  <c r="AS209" i="24"/>
  <c r="BI209" i="24"/>
  <c r="BL209" i="24" s="1"/>
  <c r="BJ209" i="24"/>
  <c r="AQ209" i="24"/>
  <c r="AX209" i="24"/>
  <c r="BH209" i="24"/>
  <c r="BU209" i="24"/>
  <c r="BW209" i="24"/>
  <c r="BW301" i="24"/>
  <c r="BA121" i="24"/>
  <c r="AM191" i="25"/>
  <c r="CE191" i="25" s="1"/>
  <c r="AJ191" i="25"/>
  <c r="AJ195" i="25"/>
  <c r="AM195" i="25"/>
  <c r="AP195" i="25" s="1"/>
  <c r="BI276" i="24"/>
  <c r="BL276" i="24" s="1"/>
  <c r="AS276" i="24"/>
  <c r="AQ276" i="24"/>
  <c r="BJ276" i="24"/>
  <c r="BU276" i="24"/>
  <c r="BW276" i="24"/>
  <c r="AX276" i="24"/>
  <c r="BH276" i="24"/>
  <c r="AR174" i="25"/>
  <c r="BG174" i="25"/>
  <c r="BJ174" i="25" s="1"/>
  <c r="AP174" i="25"/>
  <c r="BH174" i="25"/>
  <c r="BW174" i="25"/>
  <c r="BU174" i="25"/>
  <c r="BF174" i="25"/>
  <c r="BU145" i="24"/>
  <c r="AW132" i="24"/>
  <c r="BW263" i="24"/>
  <c r="BH9" i="24"/>
  <c r="BA267" i="24"/>
  <c r="BA253" i="24"/>
  <c r="AX58" i="25"/>
  <c r="AW58" i="25"/>
  <c r="AX232" i="24"/>
  <c r="AS284" i="24"/>
  <c r="AU284" i="24" s="1"/>
  <c r="BB284" i="24" s="1"/>
  <c r="BI284" i="24"/>
  <c r="BL284" i="24" s="1"/>
  <c r="AQ284" i="24"/>
  <c r="BJ284" i="24"/>
  <c r="AJ152" i="25"/>
  <c r="AM152" i="25"/>
  <c r="AX195" i="25"/>
  <c r="AW195" i="25"/>
  <c r="AR71" i="25"/>
  <c r="BG71" i="25"/>
  <c r="BJ71" i="25" s="1"/>
  <c r="BH71" i="25"/>
  <c r="AP71" i="25"/>
  <c r="BF71" i="25"/>
  <c r="BW71" i="25"/>
  <c r="BU71" i="25"/>
  <c r="AJ126" i="25"/>
  <c r="AM126" i="25"/>
  <c r="AM78" i="25"/>
  <c r="AJ78" i="25"/>
  <c r="AW200" i="25"/>
  <c r="AX200" i="25"/>
  <c r="AX123" i="25"/>
  <c r="AW123" i="25"/>
  <c r="BA18" i="24"/>
  <c r="AS92" i="24"/>
  <c r="BI92" i="24"/>
  <c r="BL92" i="24" s="1"/>
  <c r="BJ92" i="24"/>
  <c r="AQ92" i="24"/>
  <c r="BH92" i="24"/>
  <c r="BW92" i="24"/>
  <c r="AX92" i="24"/>
  <c r="BA120" i="24"/>
  <c r="BI314" i="24"/>
  <c r="BL314" i="24" s="1"/>
  <c r="AS314" i="24"/>
  <c r="AQ314" i="24"/>
  <c r="BJ314" i="24"/>
  <c r="BH314" i="24"/>
  <c r="BW314" i="24"/>
  <c r="BU314" i="24"/>
  <c r="AX314" i="24"/>
  <c r="BI237" i="24"/>
  <c r="BL237" i="24" s="1"/>
  <c r="AS237" i="24"/>
  <c r="AU237" i="24" s="1"/>
  <c r="BB237" i="24" s="1"/>
  <c r="BJ237" i="24"/>
  <c r="AQ237" i="24"/>
  <c r="AM22" i="25"/>
  <c r="AJ22" i="25"/>
  <c r="BI32" i="24"/>
  <c r="BL32" i="24" s="1"/>
  <c r="AS32" i="24"/>
  <c r="AU32" i="24" s="1"/>
  <c r="BB32" i="24" s="1"/>
  <c r="AQ32" i="24"/>
  <c r="BJ32" i="24"/>
  <c r="AS66" i="24"/>
  <c r="BI66" i="24"/>
  <c r="BL66" i="24" s="1"/>
  <c r="AQ66" i="24"/>
  <c r="BJ66" i="24"/>
  <c r="BW66" i="24"/>
  <c r="AX66" i="24"/>
  <c r="BH66" i="24"/>
  <c r="BA298" i="24"/>
  <c r="AJ115" i="25"/>
  <c r="AM115" i="25"/>
  <c r="AR198" i="25"/>
  <c r="BG198" i="25"/>
  <c r="BJ198" i="25" s="1"/>
  <c r="BH198" i="25"/>
  <c r="BF198" i="25"/>
  <c r="BW198" i="25"/>
  <c r="BU198" i="25"/>
  <c r="AW75" i="25"/>
  <c r="AX75" i="25"/>
  <c r="AS178" i="24"/>
  <c r="BI178" i="24"/>
  <c r="BL178" i="24" s="1"/>
  <c r="AQ178" i="24"/>
  <c r="BJ178" i="24"/>
  <c r="BW178" i="24"/>
  <c r="BU178" i="24"/>
  <c r="AX178" i="24"/>
  <c r="BH178" i="24"/>
  <c r="BI53" i="24"/>
  <c r="BL53" i="24" s="1"/>
  <c r="AS53" i="24"/>
  <c r="AQ53" i="24"/>
  <c r="BJ53" i="24"/>
  <c r="AX53" i="24"/>
  <c r="BH53" i="24"/>
  <c r="BW53" i="24"/>
  <c r="AS65" i="24"/>
  <c r="BI65" i="24"/>
  <c r="BL65" i="24" s="1"/>
  <c r="AQ65" i="24"/>
  <c r="BJ65" i="24"/>
  <c r="BW65" i="24"/>
  <c r="AX65" i="24"/>
  <c r="BH65" i="24"/>
  <c r="BI77" i="24"/>
  <c r="BL77" i="24" s="1"/>
  <c r="AS77" i="24"/>
  <c r="BJ77" i="24"/>
  <c r="AQ77" i="24"/>
  <c r="AX77" i="24"/>
  <c r="BW77" i="24"/>
  <c r="BH77" i="24"/>
  <c r="AX237" i="24"/>
  <c r="AJ160" i="25"/>
  <c r="AM160" i="25"/>
  <c r="CE160" i="25" s="1"/>
  <c r="AX172" i="25"/>
  <c r="AW172" i="25"/>
  <c r="AS85" i="24"/>
  <c r="BI85" i="24"/>
  <c r="BL85" i="24" s="1"/>
  <c r="BJ85" i="24"/>
  <c r="AQ85" i="24"/>
  <c r="AX85" i="24"/>
  <c r="BW85" i="24"/>
  <c r="BH85" i="24"/>
  <c r="AS291" i="24"/>
  <c r="BI291" i="24"/>
  <c r="BL291" i="24" s="1"/>
  <c r="BJ291" i="24"/>
  <c r="AQ291" i="24"/>
  <c r="BU291" i="24"/>
  <c r="BW291" i="24"/>
  <c r="AX291" i="24"/>
  <c r="BH291" i="24"/>
  <c r="AJ303" i="25"/>
  <c r="AM303" i="25"/>
  <c r="CE303" i="25" s="1"/>
  <c r="BI114" i="24"/>
  <c r="BL114" i="24" s="1"/>
  <c r="AS114" i="24"/>
  <c r="AU114" i="24" s="1"/>
  <c r="BB114" i="24" s="1"/>
  <c r="BJ114" i="24"/>
  <c r="AQ114" i="24"/>
  <c r="AJ83" i="25"/>
  <c r="AM83" i="25"/>
  <c r="BA28" i="24"/>
  <c r="BI87" i="24"/>
  <c r="BL87" i="24" s="1"/>
  <c r="AS87" i="24"/>
  <c r="AQ87" i="24"/>
  <c r="BJ87" i="24"/>
  <c r="BH87" i="24"/>
  <c r="BW87" i="24"/>
  <c r="AX87" i="24"/>
  <c r="AM260" i="25"/>
  <c r="AJ260" i="25"/>
  <c r="AS148" i="24"/>
  <c r="AU148" i="24" s="1"/>
  <c r="BB148" i="24" s="1"/>
  <c r="BI148" i="24"/>
  <c r="BL148" i="24" s="1"/>
  <c r="BJ148" i="24"/>
  <c r="AQ148" i="24"/>
  <c r="AS163" i="24"/>
  <c r="BI163" i="24"/>
  <c r="BL163" i="24" s="1"/>
  <c r="AQ163" i="24"/>
  <c r="BJ163" i="24"/>
  <c r="AX163" i="24"/>
  <c r="BH163" i="24"/>
  <c r="BU163" i="24"/>
  <c r="BW163" i="24"/>
  <c r="AS308" i="24"/>
  <c r="BI308" i="24"/>
  <c r="BL308" i="24" s="1"/>
  <c r="BJ308" i="24"/>
  <c r="AQ308" i="24"/>
  <c r="BU308" i="24"/>
  <c r="AX308" i="24"/>
  <c r="BH308" i="24"/>
  <c r="BW308" i="24"/>
  <c r="AS304" i="24"/>
  <c r="BI304" i="24"/>
  <c r="BL304" i="24" s="1"/>
  <c r="BJ304" i="24"/>
  <c r="AQ304" i="24"/>
  <c r="AX304" i="24"/>
  <c r="BH304" i="24"/>
  <c r="BU304" i="24"/>
  <c r="BW304" i="24"/>
  <c r="AX160" i="25"/>
  <c r="AW160" i="25"/>
  <c r="BI140" i="24"/>
  <c r="BL140" i="24" s="1"/>
  <c r="AS140" i="24"/>
  <c r="BJ140" i="24"/>
  <c r="AQ140" i="24"/>
  <c r="BU140" i="24"/>
  <c r="BW140" i="24"/>
  <c r="AX140" i="24"/>
  <c r="BH140" i="24"/>
  <c r="BW114" i="24"/>
  <c r="BI136" i="24"/>
  <c r="BL136" i="24" s="1"/>
  <c r="AS136" i="24"/>
  <c r="BJ136" i="24"/>
  <c r="AQ136" i="24"/>
  <c r="BW136" i="24"/>
  <c r="BU136" i="24"/>
  <c r="AX136" i="24"/>
  <c r="BH136" i="24"/>
  <c r="AS222" i="24"/>
  <c r="BI222" i="24"/>
  <c r="BL222" i="24" s="1"/>
  <c r="AQ222" i="24"/>
  <c r="BJ222" i="24"/>
  <c r="BW222" i="24"/>
  <c r="BU222" i="24"/>
  <c r="AX222" i="24"/>
  <c r="BH222" i="24"/>
  <c r="AX84" i="25"/>
  <c r="AW84" i="25"/>
  <c r="BI9" i="24"/>
  <c r="BL9" i="24" s="1"/>
  <c r="AS9" i="24"/>
  <c r="AU9" i="24" s="1"/>
  <c r="BB9" i="24" s="1"/>
  <c r="BJ9" i="24"/>
  <c r="AQ9" i="24"/>
  <c r="AJ112" i="25"/>
  <c r="AM112" i="25"/>
  <c r="AS100" i="24"/>
  <c r="BI100" i="24"/>
  <c r="BL100" i="24" s="1"/>
  <c r="BJ100" i="24"/>
  <c r="AQ100" i="24"/>
  <c r="AX100" i="24"/>
  <c r="BW100" i="24"/>
  <c r="BH100" i="24"/>
  <c r="AS99" i="24"/>
  <c r="BI99" i="24"/>
  <c r="BL99" i="24" s="1"/>
  <c r="AQ99" i="24"/>
  <c r="BJ99" i="24"/>
  <c r="BH99" i="24"/>
  <c r="BW99" i="24"/>
  <c r="AX99" i="24"/>
  <c r="BI71" i="24"/>
  <c r="BL71" i="24" s="1"/>
  <c r="AS71" i="24"/>
  <c r="BJ71" i="24"/>
  <c r="AQ71" i="24"/>
  <c r="AX71" i="24"/>
  <c r="BH71" i="24"/>
  <c r="BW71" i="24"/>
  <c r="BI134" i="24"/>
  <c r="BL134" i="24" s="1"/>
  <c r="AS134" i="24"/>
  <c r="BJ134" i="24"/>
  <c r="AQ134" i="24"/>
  <c r="AX134" i="24"/>
  <c r="BH134" i="24"/>
  <c r="BW134" i="24"/>
  <c r="BU134" i="24"/>
  <c r="AX119" i="25"/>
  <c r="AW119" i="25"/>
  <c r="AJ65" i="25"/>
  <c r="AM65" i="25"/>
  <c r="BI258" i="24"/>
  <c r="BL258" i="24" s="1"/>
  <c r="AS258" i="24"/>
  <c r="AU258" i="24" s="1"/>
  <c r="BB258" i="24" s="1"/>
  <c r="AQ258" i="24"/>
  <c r="BJ258" i="24"/>
  <c r="BI122" i="24"/>
  <c r="BL122" i="24" s="1"/>
  <c r="AS122" i="24"/>
  <c r="BJ122" i="24"/>
  <c r="AQ122" i="24"/>
  <c r="AX122" i="24"/>
  <c r="BH122" i="24"/>
  <c r="BW122" i="24"/>
  <c r="BU122" i="24"/>
  <c r="AJ252" i="25"/>
  <c r="AM252" i="25"/>
  <c r="BG95" i="25"/>
  <c r="BJ95" i="25" s="1"/>
  <c r="AR95" i="25"/>
  <c r="BH95" i="25"/>
  <c r="AP95" i="25"/>
  <c r="BF95" i="25"/>
  <c r="BU95" i="25"/>
  <c r="BW95" i="25"/>
  <c r="AM144" i="25"/>
  <c r="AJ144" i="25"/>
  <c r="BI181" i="24"/>
  <c r="BL181" i="24" s="1"/>
  <c r="AS181" i="24"/>
  <c r="AQ181" i="24"/>
  <c r="BJ181" i="24"/>
  <c r="AX181" i="24"/>
  <c r="BH181" i="24"/>
  <c r="BW181" i="24"/>
  <c r="BU181" i="24"/>
  <c r="BU273" i="24"/>
  <c r="AJ249" i="25"/>
  <c r="AM249" i="25"/>
  <c r="AM176" i="25"/>
  <c r="CE176" i="25" s="1"/>
  <c r="AJ176" i="25"/>
  <c r="AJ218" i="25"/>
  <c r="AM218" i="25"/>
  <c r="BH269" i="24"/>
  <c r="AX85" i="25"/>
  <c r="AW85" i="25"/>
  <c r="AR82" i="25"/>
  <c r="BG82" i="25"/>
  <c r="BJ82" i="25" s="1"/>
  <c r="AP82" i="25"/>
  <c r="BH82" i="25"/>
  <c r="BF82" i="25"/>
  <c r="BU82" i="25"/>
  <c r="BW82" i="25"/>
  <c r="BI51" i="24"/>
  <c r="BL51" i="24" s="1"/>
  <c r="AS51" i="24"/>
  <c r="AU51" i="24" s="1"/>
  <c r="BB51" i="24" s="1"/>
  <c r="BJ51" i="24"/>
  <c r="AQ51" i="24"/>
  <c r="AX25" i="25"/>
  <c r="AW25" i="25"/>
  <c r="AS311" i="24"/>
  <c r="BI311" i="24"/>
  <c r="BL311" i="24" s="1"/>
  <c r="BJ311" i="24"/>
  <c r="AQ311" i="24"/>
  <c r="AX311" i="24"/>
  <c r="BH311" i="24"/>
  <c r="BU311" i="24"/>
  <c r="BW311" i="24"/>
  <c r="AS239" i="24"/>
  <c r="BI239" i="24"/>
  <c r="BL239" i="24" s="1"/>
  <c r="BJ239" i="24"/>
  <c r="AQ239" i="24"/>
  <c r="AX239" i="24"/>
  <c r="BH239" i="24"/>
  <c r="BW239" i="24"/>
  <c r="BU239" i="24"/>
  <c r="BA238" i="24"/>
  <c r="BA6" i="24"/>
  <c r="AX34" i="24"/>
  <c r="AM231" i="25"/>
  <c r="AJ231" i="25"/>
  <c r="AJ132" i="25"/>
  <c r="AM132" i="25"/>
  <c r="CE132" i="25" s="1"/>
  <c r="BI290" i="24"/>
  <c r="BL290" i="24" s="1"/>
  <c r="AS290" i="24"/>
  <c r="AU290" i="24" s="1"/>
  <c r="BB290" i="24" s="1"/>
  <c r="BJ290" i="24"/>
  <c r="AQ290" i="24"/>
  <c r="AM18" i="25"/>
  <c r="AJ18" i="25"/>
  <c r="AM37" i="25"/>
  <c r="AJ37" i="25"/>
  <c r="AM235" i="25"/>
  <c r="AJ235" i="25"/>
  <c r="BI13" i="24"/>
  <c r="BL13" i="24" s="1"/>
  <c r="AS13" i="24"/>
  <c r="BJ13" i="24"/>
  <c r="AQ13" i="24"/>
  <c r="AX13" i="24"/>
  <c r="BH13" i="24"/>
  <c r="BW13" i="24"/>
  <c r="AJ100" i="25"/>
  <c r="AM100" i="25"/>
  <c r="AP100" i="25" s="1"/>
  <c r="BW59" i="24"/>
  <c r="AS70" i="24"/>
  <c r="BI70" i="24"/>
  <c r="BL70" i="24" s="1"/>
  <c r="BJ70" i="24"/>
  <c r="AQ70" i="24"/>
  <c r="BW70" i="24"/>
  <c r="AX70" i="24"/>
  <c r="BH70" i="24"/>
  <c r="AX240" i="24"/>
  <c r="AM227" i="25"/>
  <c r="AJ227" i="25"/>
  <c r="AX265" i="24"/>
  <c r="AX32" i="24"/>
  <c r="BI113" i="24"/>
  <c r="BL113" i="24" s="1"/>
  <c r="AS113" i="24"/>
  <c r="BJ113" i="24"/>
  <c r="AQ113" i="24"/>
  <c r="BH113" i="24"/>
  <c r="BW113" i="24"/>
  <c r="BU113" i="24"/>
  <c r="AX113" i="24"/>
  <c r="AM54" i="25"/>
  <c r="AJ54" i="25"/>
  <c r="AR31" i="25"/>
  <c r="BG31" i="25"/>
  <c r="BJ31" i="25" s="1"/>
  <c r="AP31" i="25"/>
  <c r="BH31" i="25"/>
  <c r="BF31" i="25"/>
  <c r="BW31" i="25"/>
  <c r="BU31" i="25"/>
  <c r="BU111" i="24"/>
  <c r="AR291" i="25"/>
  <c r="BG291" i="25"/>
  <c r="BJ291" i="25" s="1"/>
  <c r="BH291" i="25"/>
  <c r="AP291" i="25"/>
  <c r="BF291" i="25"/>
  <c r="BU291" i="25"/>
  <c r="BW291" i="25"/>
  <c r="AR62" i="25"/>
  <c r="BG62" i="25"/>
  <c r="BJ62" i="25" s="1"/>
  <c r="AP62" i="25"/>
  <c r="BH62" i="25"/>
  <c r="BW62" i="25"/>
  <c r="BU62" i="25"/>
  <c r="BF62" i="25"/>
  <c r="AJ93" i="25"/>
  <c r="AM93" i="25"/>
  <c r="AM9" i="25"/>
  <c r="AJ9" i="25"/>
  <c r="BI183" i="24"/>
  <c r="BL183" i="24" s="1"/>
  <c r="AS183" i="24"/>
  <c r="BJ183" i="24"/>
  <c r="AQ183" i="24"/>
  <c r="BH183" i="24"/>
  <c r="BU183" i="24"/>
  <c r="BW183" i="24"/>
  <c r="AX183" i="24"/>
  <c r="BI218" i="24"/>
  <c r="BL218" i="24" s="1"/>
  <c r="AS218" i="24"/>
  <c r="AU218" i="24" s="1"/>
  <c r="BB218" i="24" s="1"/>
  <c r="BJ218" i="24"/>
  <c r="AQ218" i="24"/>
  <c r="AM45" i="25"/>
  <c r="CE45" i="25" s="1"/>
  <c r="AJ45" i="25"/>
  <c r="AM300" i="25"/>
  <c r="CE300" i="25" s="1"/>
  <c r="AJ300" i="25"/>
  <c r="AS63" i="24"/>
  <c r="BI63" i="24"/>
  <c r="BL63" i="24" s="1"/>
  <c r="BJ63" i="24"/>
  <c r="AQ63" i="24"/>
  <c r="AX63" i="24"/>
  <c r="BH63" i="24"/>
  <c r="BW63" i="24"/>
  <c r="BW247" i="24"/>
  <c r="BI307" i="24"/>
  <c r="BL307" i="24" s="1"/>
  <c r="AS307" i="24"/>
  <c r="AQ307" i="24"/>
  <c r="BJ307" i="24"/>
  <c r="AX307" i="24"/>
  <c r="BH307" i="24"/>
  <c r="BU307" i="24"/>
  <c r="BW307" i="24"/>
  <c r="BG14" i="25"/>
  <c r="BJ14" i="25" s="1"/>
  <c r="AR14" i="25"/>
  <c r="BH14" i="25"/>
  <c r="AP14" i="25"/>
  <c r="BW14" i="25"/>
  <c r="BU14" i="25"/>
  <c r="BF14" i="25"/>
  <c r="BI15" i="24"/>
  <c r="BL15" i="24" s="1"/>
  <c r="AS15" i="24"/>
  <c r="BJ15" i="24"/>
  <c r="AQ15" i="24"/>
  <c r="AX15" i="24"/>
  <c r="BH15" i="24"/>
  <c r="BW15" i="24"/>
  <c r="BU242" i="24"/>
  <c r="AJ269" i="25"/>
  <c r="AM269" i="25"/>
  <c r="AX162" i="25"/>
  <c r="AW162" i="25"/>
  <c r="AS61" i="24"/>
  <c r="BI61" i="24"/>
  <c r="BL61" i="24" s="1"/>
  <c r="AQ61" i="24"/>
  <c r="BJ61" i="24"/>
  <c r="AX61" i="24"/>
  <c r="BW61" i="24"/>
  <c r="BH61" i="24"/>
  <c r="BH135" i="24"/>
  <c r="AX70" i="25"/>
  <c r="AW70" i="25"/>
  <c r="BI79" i="24"/>
  <c r="BL79" i="24" s="1"/>
  <c r="AS79" i="24"/>
  <c r="AQ79" i="24"/>
  <c r="BJ79" i="24"/>
  <c r="BW79" i="24"/>
  <c r="AX79" i="24"/>
  <c r="BH79" i="24"/>
  <c r="AU233" i="24"/>
  <c r="BB233" i="24" s="1"/>
  <c r="AW233" i="24"/>
  <c r="AS220" i="24"/>
  <c r="BI220" i="24"/>
  <c r="BL220" i="24" s="1"/>
  <c r="BJ220" i="24"/>
  <c r="AQ220" i="24"/>
  <c r="AX220" i="24"/>
  <c r="BH220" i="24"/>
  <c r="BW220" i="24"/>
  <c r="BU220" i="24"/>
  <c r="AJ220" i="25"/>
  <c r="AM220" i="25"/>
  <c r="BI230" i="24"/>
  <c r="BL230" i="24" s="1"/>
  <c r="AS230" i="24"/>
  <c r="BJ230" i="24"/>
  <c r="AQ230" i="24"/>
  <c r="BW230" i="24"/>
  <c r="BU230" i="24"/>
  <c r="AX230" i="24"/>
  <c r="BH230" i="24"/>
  <c r="AJ200" i="25"/>
  <c r="AM200" i="25"/>
  <c r="BA279" i="24"/>
  <c r="BA126" i="24"/>
  <c r="AX290" i="24"/>
  <c r="AW116" i="25"/>
  <c r="AX116" i="25"/>
  <c r="BU263" i="24"/>
  <c r="BU267" i="24"/>
  <c r="BU155" i="24"/>
  <c r="AX99" i="25"/>
  <c r="AW99" i="25"/>
  <c r="BW253" i="24"/>
  <c r="AS193" i="24"/>
  <c r="BI193" i="24"/>
  <c r="BL193" i="24" s="1"/>
  <c r="AQ193" i="24"/>
  <c r="BJ193" i="24"/>
  <c r="AX193" i="24"/>
  <c r="BH193" i="24"/>
  <c r="BW193" i="24"/>
  <c r="BU193" i="24"/>
  <c r="BI224" i="24"/>
  <c r="BL224" i="24" s="1"/>
  <c r="AS224" i="24"/>
  <c r="AU224" i="24" s="1"/>
  <c r="BB224" i="24" s="1"/>
  <c r="AQ224" i="24"/>
  <c r="BJ224" i="24"/>
  <c r="AX159" i="25"/>
  <c r="AW159" i="25"/>
  <c r="BW248" i="24"/>
  <c r="AS235" i="24"/>
  <c r="AU235" i="24" s="1"/>
  <c r="BB235" i="24" s="1"/>
  <c r="BI235" i="24"/>
  <c r="BL235" i="24" s="1"/>
  <c r="AQ235" i="24"/>
  <c r="BJ235" i="24"/>
  <c r="AW120" i="25"/>
  <c r="AX120" i="25"/>
  <c r="BI261" i="24"/>
  <c r="BL261" i="24" s="1"/>
  <c r="AS261" i="24"/>
  <c r="AU261" i="24" s="1"/>
  <c r="BB261" i="24" s="1"/>
  <c r="AQ261" i="24"/>
  <c r="BJ261" i="24"/>
  <c r="BG131" i="25"/>
  <c r="BJ131" i="25" s="1"/>
  <c r="AR131" i="25"/>
  <c r="BH131" i="25"/>
  <c r="AP131" i="25"/>
  <c r="BF131" i="25"/>
  <c r="BW131" i="25"/>
  <c r="BU131" i="25"/>
  <c r="BA258" i="24"/>
  <c r="BA54" i="24"/>
  <c r="BA24" i="24"/>
  <c r="BA280" i="24"/>
  <c r="AW137" i="25"/>
  <c r="AX137" i="25"/>
  <c r="BA128" i="24"/>
  <c r="BA283" i="24"/>
  <c r="AJ55" i="25"/>
  <c r="AM55" i="25"/>
  <c r="CE55" i="25" s="1"/>
  <c r="AJ217" i="25"/>
  <c r="AM217" i="25"/>
  <c r="BA228" i="24"/>
  <c r="AR282" i="25"/>
  <c r="BG282" i="25"/>
  <c r="BJ282" i="25" s="1"/>
  <c r="AP282" i="25"/>
  <c r="BH282" i="25"/>
  <c r="BF282" i="25"/>
  <c r="BW282" i="25"/>
  <c r="BU282" i="25"/>
  <c r="AS102" i="24"/>
  <c r="BI102" i="24"/>
  <c r="BL102" i="24" s="1"/>
  <c r="BJ102" i="24"/>
  <c r="AQ102" i="24"/>
  <c r="AX102" i="24"/>
  <c r="BW102" i="24"/>
  <c r="BH102" i="24"/>
  <c r="BI249" i="24"/>
  <c r="BL249" i="24" s="1"/>
  <c r="AS249" i="24"/>
  <c r="AU249" i="24" s="1"/>
  <c r="BB249" i="24" s="1"/>
  <c r="BJ249" i="24"/>
  <c r="AQ249" i="24"/>
  <c r="AR280" i="25"/>
  <c r="BG280" i="25"/>
  <c r="BJ280" i="25" s="1"/>
  <c r="BH280" i="25"/>
  <c r="AP280" i="25"/>
  <c r="BF280" i="25"/>
  <c r="BU280" i="25"/>
  <c r="BW280" i="25"/>
  <c r="BI203" i="24"/>
  <c r="BL203" i="24" s="1"/>
  <c r="AS203" i="24"/>
  <c r="BJ203" i="24"/>
  <c r="AQ203" i="24"/>
  <c r="BU203" i="24"/>
  <c r="BW203" i="24"/>
  <c r="AX203" i="24"/>
  <c r="BH203" i="24"/>
  <c r="AJ8" i="25"/>
  <c r="AM8" i="25"/>
  <c r="BA19" i="24"/>
  <c r="BI208" i="24"/>
  <c r="BL208" i="24" s="1"/>
  <c r="AS208" i="24"/>
  <c r="AQ208" i="24"/>
  <c r="BJ208" i="24"/>
  <c r="AX208" i="24"/>
  <c r="BH208" i="24"/>
  <c r="BW208" i="24"/>
  <c r="BU208" i="24"/>
  <c r="AM194" i="25"/>
  <c r="AP194" i="25" s="1"/>
  <c r="AJ194" i="25"/>
  <c r="BA299" i="24"/>
  <c r="AJ297" i="25"/>
  <c r="AM297" i="25"/>
  <c r="AX149" i="25"/>
  <c r="AW149" i="25"/>
  <c r="AM184" i="25"/>
  <c r="CE184" i="25" s="1"/>
  <c r="AJ184" i="25"/>
  <c r="BA26" i="24"/>
  <c r="AS306" i="24"/>
  <c r="BI306" i="24"/>
  <c r="BL306" i="24" s="1"/>
  <c r="BJ306" i="24"/>
  <c r="AQ306" i="24"/>
  <c r="AX306" i="24"/>
  <c r="BH306" i="24"/>
  <c r="BU306" i="24"/>
  <c r="BW306" i="24"/>
  <c r="BA148" i="24"/>
  <c r="AJ286" i="25"/>
  <c r="AM286" i="25"/>
  <c r="BW28" i="24"/>
  <c r="BI40" i="24"/>
  <c r="BL40" i="24" s="1"/>
  <c r="AS40" i="24"/>
  <c r="BJ40" i="24"/>
  <c r="AQ40" i="24"/>
  <c r="AX40" i="24"/>
  <c r="BH40" i="24"/>
  <c r="BW40" i="24"/>
  <c r="BA112" i="24"/>
  <c r="AX142" i="25"/>
  <c r="AW142" i="25"/>
  <c r="BI250" i="24"/>
  <c r="BL250" i="24" s="1"/>
  <c r="AS250" i="24"/>
  <c r="AQ250" i="24"/>
  <c r="BJ250" i="24"/>
  <c r="BW250" i="24"/>
  <c r="AX250" i="24"/>
  <c r="BH250" i="24"/>
  <c r="BU250" i="24"/>
  <c r="AM209" i="25"/>
  <c r="AJ209" i="25"/>
  <c r="AX151" i="25"/>
  <c r="AW151" i="25"/>
  <c r="BA147" i="24"/>
  <c r="AX184" i="25"/>
  <c r="AW184" i="25"/>
  <c r="AX69" i="25"/>
  <c r="AW69" i="25"/>
  <c r="BI225" i="24"/>
  <c r="BL225" i="24" s="1"/>
  <c r="AS225" i="24"/>
  <c r="AU225" i="24" s="1"/>
  <c r="BB225" i="24" s="1"/>
  <c r="AQ225" i="24"/>
  <c r="BJ225" i="24"/>
  <c r="AR192" i="25"/>
  <c r="BG192" i="25"/>
  <c r="BJ192" i="25" s="1"/>
  <c r="AP192" i="25"/>
  <c r="BH192" i="25"/>
  <c r="BF192" i="25"/>
  <c r="BW192" i="25"/>
  <c r="BU192" i="25"/>
  <c r="AU45" i="24"/>
  <c r="BB45" i="24" s="1"/>
  <c r="AW45" i="24"/>
  <c r="BW249" i="24"/>
  <c r="AJ193" i="25"/>
  <c r="AM193" i="25"/>
  <c r="AJ128" i="25"/>
  <c r="AM128" i="25"/>
  <c r="BI177" i="24"/>
  <c r="BL177" i="24" s="1"/>
  <c r="AS177" i="24"/>
  <c r="BJ177" i="24"/>
  <c r="AQ177" i="24"/>
  <c r="BH177" i="24"/>
  <c r="BU177" i="24"/>
  <c r="BW177" i="24"/>
  <c r="AX177" i="24"/>
  <c r="AS127" i="24"/>
  <c r="BI127" i="24"/>
  <c r="BL127" i="24" s="1"/>
  <c r="BJ127" i="24"/>
  <c r="AQ127" i="24"/>
  <c r="BW127" i="24"/>
  <c r="BU127" i="24"/>
  <c r="AX127" i="24"/>
  <c r="BH127" i="24"/>
  <c r="AM105" i="25"/>
  <c r="AJ105" i="25"/>
  <c r="AJ15" i="25"/>
  <c r="AM15" i="25"/>
  <c r="AJ74" i="25"/>
  <c r="AM74" i="25"/>
  <c r="CE74" i="25" s="1"/>
  <c r="AS210" i="24"/>
  <c r="BI210" i="24"/>
  <c r="BL210" i="24" s="1"/>
  <c r="BJ210" i="24"/>
  <c r="AQ210" i="24"/>
  <c r="BU210" i="24"/>
  <c r="AX210" i="24"/>
  <c r="BH210" i="24"/>
  <c r="BW210" i="24"/>
  <c r="BI42" i="24"/>
  <c r="BL42" i="24" s="1"/>
  <c r="AS42" i="24"/>
  <c r="BJ42" i="24"/>
  <c r="AQ42" i="24"/>
  <c r="AX42" i="24"/>
  <c r="BH42" i="24"/>
  <c r="BW42" i="24"/>
  <c r="BW12" i="24"/>
  <c r="AM80" i="25"/>
  <c r="CE80" i="25" s="1"/>
  <c r="AJ80" i="25"/>
  <c r="AS6" i="24"/>
  <c r="AU6" i="24" s="1"/>
  <c r="BB6" i="24" s="1"/>
  <c r="BI6" i="24"/>
  <c r="BL6" i="24" s="1"/>
  <c r="BJ6" i="24"/>
  <c r="AQ6" i="24"/>
  <c r="AS223" i="24"/>
  <c r="BI223" i="24"/>
  <c r="BL223" i="24" s="1"/>
  <c r="BJ223" i="24"/>
  <c r="AQ223" i="24"/>
  <c r="AX223" i="24"/>
  <c r="BH223" i="24"/>
  <c r="BW223" i="24"/>
  <c r="BU223" i="24"/>
  <c r="BU296" i="24"/>
  <c r="AX81" i="25"/>
  <c r="AW81" i="25"/>
  <c r="AM311" i="25"/>
  <c r="CE311" i="25" s="1"/>
  <c r="AJ311" i="25"/>
  <c r="AJ7" i="25"/>
  <c r="AM7" i="25"/>
  <c r="BI149" i="24"/>
  <c r="BL149" i="24" s="1"/>
  <c r="AS149" i="24"/>
  <c r="BJ149" i="24"/>
  <c r="AQ149" i="24"/>
  <c r="BH149" i="24"/>
  <c r="BU149" i="24"/>
  <c r="BW149" i="24"/>
  <c r="AX149" i="24"/>
  <c r="AM19" i="25"/>
  <c r="AJ19" i="25"/>
  <c r="AM168" i="25"/>
  <c r="CE168" i="25" s="1"/>
  <c r="AJ168" i="25"/>
  <c r="BA34" i="24"/>
  <c r="AX210" i="25"/>
  <c r="AW210" i="25"/>
  <c r="AR229" i="25"/>
  <c r="BG229" i="25"/>
  <c r="BJ229" i="25" s="1"/>
  <c r="BH229" i="25"/>
  <c r="AP229" i="25"/>
  <c r="BF229" i="25"/>
  <c r="BU229" i="25"/>
  <c r="BW229" i="25"/>
  <c r="AJ135" i="25"/>
  <c r="AM135" i="25"/>
  <c r="CE135" i="25" s="1"/>
  <c r="AX144" i="25"/>
  <c r="AW144" i="25"/>
  <c r="AM90" i="25"/>
  <c r="CE90" i="25" s="1"/>
  <c r="AJ90" i="25"/>
  <c r="AX176" i="25"/>
  <c r="AW176" i="25"/>
  <c r="AX133" i="24"/>
  <c r="BU117" i="24"/>
  <c r="BI301" i="24"/>
  <c r="BL301" i="24" s="1"/>
  <c r="AS301" i="24"/>
  <c r="AU301" i="24" s="1"/>
  <c r="BB301" i="24" s="1"/>
  <c r="AQ301" i="24"/>
  <c r="BJ301" i="24"/>
  <c r="AS196" i="24"/>
  <c r="BI196" i="24"/>
  <c r="BL196" i="24" s="1"/>
  <c r="BJ196" i="24"/>
  <c r="AQ196" i="24"/>
  <c r="BH196" i="24"/>
  <c r="BU196" i="24"/>
  <c r="BW196" i="24"/>
  <c r="AX196" i="24"/>
  <c r="AJ124" i="25"/>
  <c r="AM124" i="25"/>
  <c r="BA224" i="24"/>
  <c r="AJ266" i="25"/>
  <c r="AM266" i="25"/>
  <c r="AX266" i="24"/>
  <c r="AJ43" i="25"/>
  <c r="AM43" i="25"/>
  <c r="BA240" i="24"/>
  <c r="AR240" i="25"/>
  <c r="BG240" i="25"/>
  <c r="BJ240" i="25" s="1"/>
  <c r="BH240" i="25"/>
  <c r="AP240" i="25"/>
  <c r="BF240" i="25"/>
  <c r="BW240" i="25"/>
  <c r="BU240" i="25"/>
  <c r="BI62" i="24"/>
  <c r="BL62" i="24" s="1"/>
  <c r="AS62" i="24"/>
  <c r="AQ62" i="24"/>
  <c r="BJ62" i="24"/>
  <c r="AX62" i="24"/>
  <c r="BW62" i="24"/>
  <c r="BH62" i="24"/>
  <c r="AJ91" i="25"/>
  <c r="AM91" i="25"/>
  <c r="BA265" i="24"/>
  <c r="AX18" i="25"/>
  <c r="AW18" i="25"/>
  <c r="AS156" i="24"/>
  <c r="BI156" i="24"/>
  <c r="BL156" i="24" s="1"/>
  <c r="BJ156" i="24"/>
  <c r="AQ156" i="24"/>
  <c r="BH156" i="24"/>
  <c r="BU156" i="24"/>
  <c r="BW156" i="24"/>
  <c r="AX156" i="24"/>
  <c r="AW90" i="25"/>
  <c r="AX90" i="25"/>
  <c r="AW112" i="25"/>
  <c r="AX112" i="25"/>
  <c r="AJ102" i="25"/>
  <c r="AM102" i="25"/>
  <c r="BW111" i="24"/>
  <c r="AW63" i="25"/>
  <c r="AX63" i="25"/>
  <c r="BH305" i="24"/>
  <c r="AJ239" i="25"/>
  <c r="AM239" i="25"/>
  <c r="AW42" i="25"/>
  <c r="AX42" i="25"/>
  <c r="BI303" i="24"/>
  <c r="BL303" i="24" s="1"/>
  <c r="AS303" i="24"/>
  <c r="BJ303" i="24"/>
  <c r="AQ303" i="24"/>
  <c r="AX303" i="24"/>
  <c r="BH303" i="24"/>
  <c r="BW303" i="24"/>
  <c r="BU303" i="24"/>
  <c r="BI274" i="24"/>
  <c r="BL274" i="24" s="1"/>
  <c r="AS274" i="24"/>
  <c r="AU274" i="24" s="1"/>
  <c r="BB274" i="24" s="1"/>
  <c r="AQ274" i="24"/>
  <c r="BJ274" i="24"/>
  <c r="AJ244" i="25"/>
  <c r="AM244" i="25"/>
  <c r="BU225" i="24"/>
  <c r="BW295" i="24"/>
  <c r="AS126" i="24"/>
  <c r="AU126" i="24" s="1"/>
  <c r="BB126" i="24" s="1"/>
  <c r="BI126" i="24"/>
  <c r="BL126" i="24" s="1"/>
  <c r="BJ126" i="24"/>
  <c r="AQ126" i="24"/>
  <c r="AX54" i="25"/>
  <c r="AW54" i="25"/>
  <c r="AS17" i="24"/>
  <c r="AU17" i="24" s="1"/>
  <c r="BB17" i="24" s="1"/>
  <c r="BI17" i="24"/>
  <c r="BL17" i="24" s="1"/>
  <c r="BJ17" i="24"/>
  <c r="AQ17" i="24"/>
  <c r="AX135" i="24"/>
  <c r="AJ125" i="25"/>
  <c r="AM125" i="25"/>
  <c r="BU121" i="24"/>
  <c r="AS175" i="24"/>
  <c r="BI175" i="24"/>
  <c r="BL175" i="24" s="1"/>
  <c r="AQ175" i="24"/>
  <c r="BJ175" i="24"/>
  <c r="BW175" i="24"/>
  <c r="BU175" i="24"/>
  <c r="AX175" i="24"/>
  <c r="BH175" i="24"/>
  <c r="BI234" i="24"/>
  <c r="BL234" i="24" s="1"/>
  <c r="AS234" i="24"/>
  <c r="AQ234" i="24"/>
  <c r="BJ234" i="24"/>
  <c r="AX234" i="24"/>
  <c r="BH234" i="24"/>
  <c r="BU234" i="24"/>
  <c r="BW234" i="24"/>
  <c r="AS83" i="24"/>
  <c r="BI83" i="24"/>
  <c r="BL83" i="24" s="1"/>
  <c r="BJ83" i="24"/>
  <c r="AQ83" i="24"/>
  <c r="AX83" i="24"/>
  <c r="BW83" i="24"/>
  <c r="BH83" i="24"/>
  <c r="AX136" i="25"/>
  <c r="AW136" i="25"/>
  <c r="AM57" i="25"/>
  <c r="AJ57" i="25"/>
  <c r="AX127" i="25"/>
  <c r="AW127" i="25"/>
  <c r="BU279" i="24"/>
  <c r="BU126" i="24"/>
  <c r="BH145" i="24"/>
  <c r="AS25" i="24"/>
  <c r="BI25" i="24"/>
  <c r="BL25" i="24" s="1"/>
  <c r="AQ25" i="24"/>
  <c r="BJ25" i="24"/>
  <c r="BW25" i="24"/>
  <c r="AX25" i="24"/>
  <c r="BH25" i="24"/>
  <c r="AX9" i="24"/>
  <c r="BG92" i="25"/>
  <c r="BJ92" i="25" s="1"/>
  <c r="AR92" i="25"/>
  <c r="AP92" i="25"/>
  <c r="BH92" i="25"/>
  <c r="BF92" i="25"/>
  <c r="BU92" i="25"/>
  <c r="BW92" i="25"/>
  <c r="BW267" i="24"/>
  <c r="BW282" i="24"/>
  <c r="BW155" i="24"/>
  <c r="AX196" i="25"/>
  <c r="AW196" i="25"/>
  <c r="BU253" i="24"/>
  <c r="AW12" i="25"/>
  <c r="AX12" i="25"/>
  <c r="AR257" i="25"/>
  <c r="BG257" i="25"/>
  <c r="BJ257" i="25" s="1"/>
  <c r="BH257" i="25"/>
  <c r="AP257" i="25"/>
  <c r="BW257" i="25"/>
  <c r="BU257" i="25"/>
  <c r="BF257" i="25"/>
  <c r="BA232" i="24"/>
  <c r="AX202" i="25"/>
  <c r="AW202" i="25"/>
  <c r="BI128" i="24"/>
  <c r="BL128" i="24" s="1"/>
  <c r="AS128" i="24"/>
  <c r="AU128" i="24" s="1"/>
  <c r="BB128" i="24" s="1"/>
  <c r="AQ128" i="24"/>
  <c r="BJ128" i="24"/>
  <c r="AP205" i="25" l="1"/>
  <c r="CE205" i="25"/>
  <c r="AP200" i="25"/>
  <c r="CE200" i="25"/>
  <c r="AP193" i="25"/>
  <c r="CE193" i="25"/>
  <c r="BU96" i="25"/>
  <c r="AP96" i="25"/>
  <c r="BH96" i="25"/>
  <c r="BG96" i="25"/>
  <c r="BJ96" i="25" s="1"/>
  <c r="AR96" i="25"/>
  <c r="AU96" i="25" s="1"/>
  <c r="BF96" i="25"/>
  <c r="AP101" i="25"/>
  <c r="CE101" i="25"/>
  <c r="AP98" i="25"/>
  <c r="CE98" i="25"/>
  <c r="AP179" i="25"/>
  <c r="CE179" i="25"/>
  <c r="AP203" i="25"/>
  <c r="CE203" i="25"/>
  <c r="AP104" i="25"/>
  <c r="CE104" i="25"/>
  <c r="AP202" i="25"/>
  <c r="CE202" i="25"/>
  <c r="BF104" i="25"/>
  <c r="BH104" i="25"/>
  <c r="AR104" i="25"/>
  <c r="AU104" i="25" s="1"/>
  <c r="BW104" i="25"/>
  <c r="BU104" i="25"/>
  <c r="BW154" i="25"/>
  <c r="CE154" i="25"/>
  <c r="BU258" i="25"/>
  <c r="AP258" i="25"/>
  <c r="AP196" i="25"/>
  <c r="CE196" i="25"/>
  <c r="BU97" i="25"/>
  <c r="BW97" i="25"/>
  <c r="BH97" i="25"/>
  <c r="BG97" i="25"/>
  <c r="BJ97" i="25" s="1"/>
  <c r="AP105" i="25"/>
  <c r="B19" i="29" s="1"/>
  <c r="CE105" i="25"/>
  <c r="AR97" i="25"/>
  <c r="AT97" i="25" s="1"/>
  <c r="AY97" i="25" s="1"/>
  <c r="BF97" i="25"/>
  <c r="BW258" i="25"/>
  <c r="BH258" i="25"/>
  <c r="BG258" i="25"/>
  <c r="BJ258" i="25" s="1"/>
  <c r="AR258" i="25"/>
  <c r="AU258" i="25" s="1"/>
  <c r="AP207" i="25"/>
  <c r="CE207" i="25"/>
  <c r="AP209" i="25"/>
  <c r="CE209" i="25"/>
  <c r="BF154" i="25"/>
  <c r="BH179" i="25"/>
  <c r="BH154" i="25"/>
  <c r="BG179" i="25"/>
  <c r="BJ179" i="25" s="1"/>
  <c r="AP154" i="25"/>
  <c r="AR179" i="25"/>
  <c r="AU179" i="25" s="1"/>
  <c r="BG154" i="25"/>
  <c r="BJ154" i="25" s="1"/>
  <c r="AR154" i="25"/>
  <c r="AT154" i="25" s="1"/>
  <c r="AY154" i="25" s="1"/>
  <c r="BU179" i="25"/>
  <c r="BW179" i="25"/>
  <c r="BU154" i="25"/>
  <c r="BF179" i="25"/>
  <c r="BE292" i="24"/>
  <c r="BT292" i="24" s="1"/>
  <c r="AW147" i="24"/>
  <c r="BE147" i="24" s="1"/>
  <c r="BT147" i="24" s="1"/>
  <c r="AW219" i="24"/>
  <c r="AY219" i="24" s="1"/>
  <c r="AZ219" i="24" s="1"/>
  <c r="AP208" i="25"/>
  <c r="CE208" i="25"/>
  <c r="BW265" i="25"/>
  <c r="AW283" i="24"/>
  <c r="AY283" i="24" s="1"/>
  <c r="AZ283" i="24" s="1"/>
  <c r="BG265" i="25"/>
  <c r="BJ265" i="25" s="1"/>
  <c r="AW260" i="24"/>
  <c r="BD260" i="24" s="1"/>
  <c r="AW240" i="24"/>
  <c r="BD240" i="24" s="1"/>
  <c r="AR265" i="25"/>
  <c r="AT265" i="25" s="1"/>
  <c r="AW18" i="24"/>
  <c r="BE18" i="24" s="1"/>
  <c r="BT18" i="24" s="1"/>
  <c r="BU265" i="25"/>
  <c r="AW242" i="24"/>
  <c r="AY242" i="24" s="1"/>
  <c r="AZ242" i="24" s="1"/>
  <c r="BF265" i="25"/>
  <c r="AP265" i="25"/>
  <c r="AW19" i="24"/>
  <c r="BD19" i="24" s="1"/>
  <c r="AW135" i="24"/>
  <c r="BD135" i="24" s="1"/>
  <c r="AW120" i="24"/>
  <c r="AY120" i="24" s="1"/>
  <c r="AZ120" i="24" s="1"/>
  <c r="AW259" i="24"/>
  <c r="BD259" i="24" s="1"/>
  <c r="AY292" i="24"/>
  <c r="AZ292" i="24" s="1"/>
  <c r="AP102" i="25"/>
  <c r="CE102" i="25"/>
  <c r="AW121" i="24"/>
  <c r="AY121" i="24" s="1"/>
  <c r="AZ121" i="24" s="1"/>
  <c r="AW265" i="24"/>
  <c r="AY265" i="24" s="1"/>
  <c r="AZ265" i="24" s="1"/>
  <c r="AW279" i="24"/>
  <c r="BE279" i="24" s="1"/>
  <c r="BT279" i="24" s="1"/>
  <c r="AW111" i="24"/>
  <c r="BD111" i="24" s="1"/>
  <c r="AW296" i="24"/>
  <c r="AY296" i="24" s="1"/>
  <c r="AZ296" i="24" s="1"/>
  <c r="AW26" i="24"/>
  <c r="AY26" i="24" s="1"/>
  <c r="AZ26" i="24" s="1"/>
  <c r="BF237" i="25"/>
  <c r="AR237" i="25"/>
  <c r="BG237" i="25"/>
  <c r="BJ237" i="25" s="1"/>
  <c r="AP237" i="25"/>
  <c r="BH237" i="25"/>
  <c r="BU237" i="25"/>
  <c r="BW237" i="25"/>
  <c r="V212" i="25"/>
  <c r="X212" i="25" s="1"/>
  <c r="AD212" i="25"/>
  <c r="W212" i="25"/>
  <c r="Z212" i="25" s="1"/>
  <c r="AA212" i="25" s="1"/>
  <c r="AB212" i="25" s="1"/>
  <c r="AI212" i="25" s="1"/>
  <c r="AW34" i="24"/>
  <c r="AY34" i="24" s="1"/>
  <c r="AZ34" i="24" s="1"/>
  <c r="AW152" i="24"/>
  <c r="AY152" i="24" s="1"/>
  <c r="AZ152" i="24" s="1"/>
  <c r="AP210" i="25"/>
  <c r="CE210" i="25"/>
  <c r="BH77" i="25"/>
  <c r="AP77" i="25"/>
  <c r="BF77" i="25"/>
  <c r="BW77" i="25"/>
  <c r="BU77" i="25"/>
  <c r="AR77" i="25"/>
  <c r="BG77" i="25"/>
  <c r="BJ77" i="25" s="1"/>
  <c r="AW112" i="24"/>
  <c r="AY112" i="24" s="1"/>
  <c r="AZ112" i="24" s="1"/>
  <c r="AW253" i="24"/>
  <c r="BE253" i="24" s="1"/>
  <c r="BT253" i="24" s="1"/>
  <c r="AW224" i="24"/>
  <c r="BE224" i="24" s="1"/>
  <c r="BT224" i="24" s="1"/>
  <c r="AW247" i="24"/>
  <c r="AY247" i="24" s="1"/>
  <c r="AZ247" i="24" s="1"/>
  <c r="AW28" i="24"/>
  <c r="BE28" i="24" s="1"/>
  <c r="BT28" i="24" s="1"/>
  <c r="AW33" i="24"/>
  <c r="BD33" i="24" s="1"/>
  <c r="L15" i="1"/>
  <c r="AW117" i="24"/>
  <c r="AY117" i="24" s="1"/>
  <c r="AZ117" i="24" s="1"/>
  <c r="AW248" i="24"/>
  <c r="BD248" i="24" s="1"/>
  <c r="AW299" i="24"/>
  <c r="AY299" i="24" s="1"/>
  <c r="AZ299" i="24" s="1"/>
  <c r="AW298" i="24"/>
  <c r="BE298" i="24" s="1"/>
  <c r="BT298" i="24" s="1"/>
  <c r="AW232" i="24"/>
  <c r="BE232" i="24" s="1"/>
  <c r="BT232" i="24" s="1"/>
  <c r="AW228" i="24"/>
  <c r="BE228" i="24" s="1"/>
  <c r="BT228" i="24" s="1"/>
  <c r="AW280" i="24"/>
  <c r="BE280" i="24" s="1"/>
  <c r="BT280" i="24" s="1"/>
  <c r="AW54" i="24"/>
  <c r="BE54" i="24" s="1"/>
  <c r="BT54" i="24" s="1"/>
  <c r="AW6" i="24"/>
  <c r="BD6" i="24" s="1"/>
  <c r="AW12" i="24"/>
  <c r="BE12" i="24" s="1"/>
  <c r="BT12" i="24" s="1"/>
  <c r="AW148" i="24"/>
  <c r="BE148" i="24" s="1"/>
  <c r="BT148" i="24" s="1"/>
  <c r="AW295" i="24"/>
  <c r="AY295" i="24" s="1"/>
  <c r="AZ295" i="24" s="1"/>
  <c r="AW20" i="24"/>
  <c r="BE20" i="24" s="1"/>
  <c r="BT20" i="24" s="1"/>
  <c r="AW238" i="24"/>
  <c r="AY238" i="24" s="1"/>
  <c r="AZ238" i="24" s="1"/>
  <c r="AW130" i="24"/>
  <c r="AY130" i="24" s="1"/>
  <c r="AZ130" i="24" s="1"/>
  <c r="AW24" i="24"/>
  <c r="BE24" i="24" s="1"/>
  <c r="BT24" i="24" s="1"/>
  <c r="AW282" i="24"/>
  <c r="BE282" i="24" s="1"/>
  <c r="BT282" i="24" s="1"/>
  <c r="AW305" i="24"/>
  <c r="BE305" i="24" s="1"/>
  <c r="BT305" i="24" s="1"/>
  <c r="AW58" i="24"/>
  <c r="BD58" i="24" s="1"/>
  <c r="AR193" i="25"/>
  <c r="BG193" i="25"/>
  <c r="BJ193" i="25" s="1"/>
  <c r="BH193" i="25"/>
  <c r="BW193" i="25"/>
  <c r="BU193" i="25"/>
  <c r="BF193" i="25"/>
  <c r="AU25" i="24"/>
  <c r="BB25" i="24" s="1"/>
  <c r="AW25" i="24"/>
  <c r="BG239" i="25"/>
  <c r="BJ239" i="25" s="1"/>
  <c r="AR239" i="25"/>
  <c r="BH239" i="25"/>
  <c r="AP239" i="25"/>
  <c r="BW239" i="25"/>
  <c r="BU239" i="25"/>
  <c r="BF239" i="25"/>
  <c r="AR102" i="25"/>
  <c r="BG102" i="25"/>
  <c r="BJ102" i="25" s="1"/>
  <c r="BH102" i="25"/>
  <c r="BF102" i="25"/>
  <c r="BW102" i="25"/>
  <c r="BU102" i="25"/>
  <c r="BG90" i="25"/>
  <c r="BJ90" i="25" s="1"/>
  <c r="AR90" i="25"/>
  <c r="BH90" i="25"/>
  <c r="AP90" i="25"/>
  <c r="BF90" i="25"/>
  <c r="BW90" i="25"/>
  <c r="BU90" i="25"/>
  <c r="AR19" i="25"/>
  <c r="BG19" i="25"/>
  <c r="BJ19" i="25" s="1"/>
  <c r="BH19" i="25"/>
  <c r="AP19" i="25"/>
  <c r="BW19" i="25"/>
  <c r="BU19" i="25"/>
  <c r="BF19" i="25"/>
  <c r="AR15" i="25"/>
  <c r="BG15" i="25"/>
  <c r="BJ15" i="25" s="1"/>
  <c r="BH15" i="25"/>
  <c r="AP15" i="25"/>
  <c r="BF15" i="25"/>
  <c r="BU15" i="25"/>
  <c r="BW15" i="25"/>
  <c r="AU63" i="24"/>
  <c r="BB63" i="24" s="1"/>
  <c r="AW63" i="24"/>
  <c r="AR18" i="25"/>
  <c r="BG18" i="25"/>
  <c r="BJ18" i="25" s="1"/>
  <c r="BH18" i="25"/>
  <c r="AP18" i="25"/>
  <c r="BF18" i="25"/>
  <c r="BW18" i="25"/>
  <c r="BU18" i="25"/>
  <c r="AR231" i="25"/>
  <c r="BG231" i="25"/>
  <c r="BJ231" i="25" s="1"/>
  <c r="BH231" i="25"/>
  <c r="AP231" i="25"/>
  <c r="BF231" i="25"/>
  <c r="BU231" i="25"/>
  <c r="BW231" i="25"/>
  <c r="AR249" i="25"/>
  <c r="BG249" i="25"/>
  <c r="BJ249" i="25" s="1"/>
  <c r="BH249" i="25"/>
  <c r="AP249" i="25"/>
  <c r="BF249" i="25"/>
  <c r="BU249" i="25"/>
  <c r="BW249" i="25"/>
  <c r="BG43" i="25"/>
  <c r="BJ43" i="25" s="1"/>
  <c r="AR43" i="25"/>
  <c r="BH43" i="25"/>
  <c r="AP43" i="25"/>
  <c r="BF43" i="25"/>
  <c r="BW43" i="25"/>
  <c r="BU43" i="25"/>
  <c r="AR124" i="25"/>
  <c r="BG124" i="25"/>
  <c r="BJ124" i="25" s="1"/>
  <c r="BH124" i="25"/>
  <c r="AP124" i="25"/>
  <c r="BF124" i="25"/>
  <c r="BW124" i="25"/>
  <c r="BU124" i="25"/>
  <c r="AT104" i="25"/>
  <c r="AY104" i="25" s="1"/>
  <c r="AR8" i="25"/>
  <c r="BG8" i="25"/>
  <c r="BJ8" i="25" s="1"/>
  <c r="BH8" i="25"/>
  <c r="AP8" i="25"/>
  <c r="BF8" i="25"/>
  <c r="BW8" i="25"/>
  <c r="BU8" i="25"/>
  <c r="AU203" i="24"/>
  <c r="BB203" i="24" s="1"/>
  <c r="AW203" i="24"/>
  <c r="AT280" i="25"/>
  <c r="AU280" i="25"/>
  <c r="AW258" i="24"/>
  <c r="AT131" i="25"/>
  <c r="AY131" i="25" s="1"/>
  <c r="AU131" i="25"/>
  <c r="AU220" i="24"/>
  <c r="BB220" i="24" s="1"/>
  <c r="AW220" i="24"/>
  <c r="AU181" i="24"/>
  <c r="BB181" i="24" s="1"/>
  <c r="AW181" i="24"/>
  <c r="AU100" i="24"/>
  <c r="BB100" i="24" s="1"/>
  <c r="AW100" i="24"/>
  <c r="AR22" i="25"/>
  <c r="BG22" i="25"/>
  <c r="BJ22" i="25" s="1"/>
  <c r="BH22" i="25"/>
  <c r="AP22" i="25"/>
  <c r="BF22" i="25"/>
  <c r="BW22" i="25"/>
  <c r="BU22" i="25"/>
  <c r="AU92" i="24"/>
  <c r="BB92" i="24" s="1"/>
  <c r="AW92" i="24"/>
  <c r="AU209" i="24"/>
  <c r="BB209" i="24" s="1"/>
  <c r="AW209" i="24"/>
  <c r="AR12" i="25"/>
  <c r="BG12" i="25"/>
  <c r="BJ12" i="25" s="1"/>
  <c r="BH12" i="25"/>
  <c r="AP12" i="25"/>
  <c r="BF12" i="25"/>
  <c r="BW12" i="25"/>
  <c r="BU12" i="25"/>
  <c r="AT113" i="25"/>
  <c r="AY113" i="25" s="1"/>
  <c r="AU113" i="25"/>
  <c r="AT114" i="25"/>
  <c r="AY114" i="25" s="1"/>
  <c r="AU114" i="25"/>
  <c r="AU38" i="24"/>
  <c r="BB38" i="24" s="1"/>
  <c r="AW38" i="24"/>
  <c r="AU52" i="24"/>
  <c r="BB52" i="24" s="1"/>
  <c r="AW52" i="24"/>
  <c r="AR119" i="25"/>
  <c r="BG119" i="25"/>
  <c r="BJ119" i="25" s="1"/>
  <c r="BH119" i="25"/>
  <c r="AP119" i="25"/>
  <c r="BU119" i="25"/>
  <c r="BF119" i="25"/>
  <c r="BW119" i="25"/>
  <c r="AT232" i="25"/>
  <c r="AU232" i="25"/>
  <c r="BG27" i="25"/>
  <c r="BJ27" i="25" s="1"/>
  <c r="AR27" i="25"/>
  <c r="BH27" i="25"/>
  <c r="AP27" i="25"/>
  <c r="BW27" i="25"/>
  <c r="BU27" i="25"/>
  <c r="BF27" i="25"/>
  <c r="AR53" i="25"/>
  <c r="BG53" i="25"/>
  <c r="BJ53" i="25" s="1"/>
  <c r="BH53" i="25"/>
  <c r="AP53" i="25"/>
  <c r="BF53" i="25"/>
  <c r="BU53" i="25"/>
  <c r="BW53" i="25"/>
  <c r="AU164" i="24"/>
  <c r="BB164" i="24" s="1"/>
  <c r="AW164" i="24"/>
  <c r="AW225" i="24"/>
  <c r="AU90" i="24"/>
  <c r="BB90" i="24" s="1"/>
  <c r="AW90" i="24"/>
  <c r="AR36" i="25"/>
  <c r="BG36" i="25"/>
  <c r="BJ36" i="25" s="1"/>
  <c r="BH36" i="25"/>
  <c r="AP36" i="25"/>
  <c r="BF36" i="25"/>
  <c r="BW36" i="25"/>
  <c r="BU36" i="25"/>
  <c r="AU286" i="24"/>
  <c r="BB286" i="24" s="1"/>
  <c r="AW286" i="24"/>
  <c r="AT238" i="25"/>
  <c r="AU238" i="25"/>
  <c r="AR16" i="25"/>
  <c r="BG16" i="25"/>
  <c r="BJ16" i="25" s="1"/>
  <c r="BH16" i="25"/>
  <c r="AP16" i="25"/>
  <c r="BW16" i="25"/>
  <c r="BU16" i="25"/>
  <c r="BF16" i="25"/>
  <c r="AU245" i="24"/>
  <c r="BB245" i="24" s="1"/>
  <c r="AW245" i="24"/>
  <c r="BG222" i="25"/>
  <c r="BJ222" i="25" s="1"/>
  <c r="AR222" i="25"/>
  <c r="BH222" i="25"/>
  <c r="AP222" i="25"/>
  <c r="BU222" i="25"/>
  <c r="BF222" i="25"/>
  <c r="BW222" i="25"/>
  <c r="AR241" i="25"/>
  <c r="BG241" i="25"/>
  <c r="BJ241" i="25" s="1"/>
  <c r="BH241" i="25"/>
  <c r="AP241" i="25"/>
  <c r="BF241" i="25"/>
  <c r="BU241" i="25"/>
  <c r="BW241" i="25"/>
  <c r="AU103" i="24"/>
  <c r="BB103" i="24" s="1"/>
  <c r="AW103" i="24"/>
  <c r="AU36" i="24"/>
  <c r="BB36" i="24" s="1"/>
  <c r="AW36" i="24"/>
  <c r="AU138" i="24"/>
  <c r="BB138" i="24" s="1"/>
  <c r="AW138" i="24"/>
  <c r="AU246" i="24"/>
  <c r="BB246" i="24" s="1"/>
  <c r="AW246" i="24"/>
  <c r="AT30" i="25"/>
  <c r="AY30" i="25" s="1"/>
  <c r="AU30" i="25"/>
  <c r="AU78" i="24"/>
  <c r="BB78" i="24" s="1"/>
  <c r="AW78" i="24"/>
  <c r="AU116" i="24"/>
  <c r="BB116" i="24" s="1"/>
  <c r="AW116" i="24"/>
  <c r="AR274" i="25"/>
  <c r="BG274" i="25"/>
  <c r="BJ274" i="25" s="1"/>
  <c r="BH274" i="25"/>
  <c r="AP274" i="25"/>
  <c r="BF274" i="25"/>
  <c r="BU274" i="25"/>
  <c r="BW274" i="25"/>
  <c r="AW261" i="24"/>
  <c r="AT275" i="25"/>
  <c r="AU275" i="25"/>
  <c r="AT173" i="25"/>
  <c r="AY173" i="25" s="1"/>
  <c r="AU173" i="25"/>
  <c r="AW133" i="24"/>
  <c r="AW37" i="24"/>
  <c r="AR188" i="25"/>
  <c r="BG188" i="25"/>
  <c r="BJ188" i="25" s="1"/>
  <c r="BH188" i="25"/>
  <c r="AP188" i="25"/>
  <c r="BU188" i="25"/>
  <c r="BW188" i="25"/>
  <c r="BF188" i="25"/>
  <c r="AT11" i="25"/>
  <c r="AY11" i="25" s="1"/>
  <c r="AU11" i="25"/>
  <c r="AR207" i="25"/>
  <c r="BG207" i="25"/>
  <c r="BJ207" i="25" s="1"/>
  <c r="BH207" i="25"/>
  <c r="BF207" i="25"/>
  <c r="BW207" i="25"/>
  <c r="BU207" i="25"/>
  <c r="AR23" i="25"/>
  <c r="BG23" i="25"/>
  <c r="BJ23" i="25" s="1"/>
  <c r="BH23" i="25"/>
  <c r="AP23" i="25"/>
  <c r="BW23" i="25"/>
  <c r="BU23" i="25"/>
  <c r="BF23" i="25"/>
  <c r="AU254" i="24"/>
  <c r="BB254" i="24" s="1"/>
  <c r="AW254" i="24"/>
  <c r="AW218" i="24"/>
  <c r="AR86" i="25"/>
  <c r="BG86" i="25"/>
  <c r="BJ86" i="25" s="1"/>
  <c r="BH86" i="25"/>
  <c r="AP86" i="25"/>
  <c r="BU86" i="25"/>
  <c r="BF86" i="25"/>
  <c r="BW86" i="25"/>
  <c r="AW153" i="24"/>
  <c r="AU255" i="24"/>
  <c r="BB255" i="24" s="1"/>
  <c r="AW255" i="24"/>
  <c r="AU93" i="24"/>
  <c r="BB93" i="24" s="1"/>
  <c r="AW93" i="24"/>
  <c r="AU74" i="24"/>
  <c r="BB74" i="24" s="1"/>
  <c r="AW74" i="24"/>
  <c r="AU73" i="24"/>
  <c r="BB73" i="24" s="1"/>
  <c r="AW73" i="24"/>
  <c r="AU241" i="24"/>
  <c r="BB241" i="24" s="1"/>
  <c r="AW241" i="24"/>
  <c r="AR310" i="25"/>
  <c r="BG310" i="25"/>
  <c r="BJ310" i="25" s="1"/>
  <c r="BH310" i="25"/>
  <c r="AP310" i="25"/>
  <c r="BF310" i="25"/>
  <c r="BW310" i="25"/>
  <c r="BU310" i="25"/>
  <c r="AW235" i="24"/>
  <c r="AR263" i="25"/>
  <c r="BG263" i="25"/>
  <c r="BJ263" i="25" s="1"/>
  <c r="BH263" i="25"/>
  <c r="AP263" i="25"/>
  <c r="BW263" i="25"/>
  <c r="BU263" i="25"/>
  <c r="BF263" i="25"/>
  <c r="AR20" i="25"/>
  <c r="BG20" i="25"/>
  <c r="BJ20" i="25" s="1"/>
  <c r="BH20" i="25"/>
  <c r="AP20" i="25"/>
  <c r="BU20" i="25"/>
  <c r="BW20" i="25"/>
  <c r="BF20" i="25"/>
  <c r="AW57" i="24"/>
  <c r="AU179" i="24"/>
  <c r="BB179" i="24" s="1"/>
  <c r="AW179" i="24"/>
  <c r="AT13" i="25"/>
  <c r="AY13" i="25" s="1"/>
  <c r="AU13" i="25"/>
  <c r="AR256" i="25"/>
  <c r="BG256" i="25"/>
  <c r="BJ256" i="25" s="1"/>
  <c r="BH256" i="25"/>
  <c r="AP256" i="25"/>
  <c r="BF256" i="25"/>
  <c r="BW256" i="25"/>
  <c r="BU256" i="25"/>
  <c r="AR24" i="25"/>
  <c r="BG24" i="25"/>
  <c r="BJ24" i="25" s="1"/>
  <c r="BH24" i="25"/>
  <c r="AP24" i="25"/>
  <c r="BW24" i="25"/>
  <c r="BU24" i="25"/>
  <c r="BF24" i="25"/>
  <c r="AU234" i="24"/>
  <c r="BB234" i="24" s="1"/>
  <c r="AW234" i="24"/>
  <c r="AR7" i="25"/>
  <c r="BG7" i="25"/>
  <c r="BJ7" i="25" s="1"/>
  <c r="BH7" i="25"/>
  <c r="AP7" i="25"/>
  <c r="BW7" i="25"/>
  <c r="BU7" i="25"/>
  <c r="BF7" i="25"/>
  <c r="AU177" i="24"/>
  <c r="BB177" i="24" s="1"/>
  <c r="AW177" i="24"/>
  <c r="AU40" i="24"/>
  <c r="BB40" i="24" s="1"/>
  <c r="AW40" i="24"/>
  <c r="BG292" i="24"/>
  <c r="BS292" i="24"/>
  <c r="BE233" i="24"/>
  <c r="BT233" i="24" s="1"/>
  <c r="BD233" i="24"/>
  <c r="AY233" i="24"/>
  <c r="AZ233" i="24" s="1"/>
  <c r="AU79" i="24"/>
  <c r="BB79" i="24" s="1"/>
  <c r="AW79" i="24"/>
  <c r="AR300" i="25"/>
  <c r="BG300" i="25"/>
  <c r="BJ300" i="25" s="1"/>
  <c r="BH300" i="25"/>
  <c r="AP300" i="25"/>
  <c r="BF300" i="25"/>
  <c r="BW300" i="25"/>
  <c r="BU300" i="25"/>
  <c r="AR9" i="25"/>
  <c r="BG9" i="25"/>
  <c r="BJ9" i="25" s="1"/>
  <c r="BH9" i="25"/>
  <c r="AP9" i="25"/>
  <c r="BF9" i="25"/>
  <c r="BU9" i="25"/>
  <c r="BW9" i="25"/>
  <c r="AT291" i="25"/>
  <c r="AU291" i="25"/>
  <c r="AR227" i="25"/>
  <c r="BG227" i="25"/>
  <c r="BJ227" i="25" s="1"/>
  <c r="BH227" i="25"/>
  <c r="AP227" i="25"/>
  <c r="BW227" i="25"/>
  <c r="BF227" i="25"/>
  <c r="BU227" i="25"/>
  <c r="BG235" i="25"/>
  <c r="BJ235" i="25" s="1"/>
  <c r="AR235" i="25"/>
  <c r="BH235" i="25"/>
  <c r="AP235" i="25"/>
  <c r="BF235" i="25"/>
  <c r="BW235" i="25"/>
  <c r="BU235" i="25"/>
  <c r="AT95" i="25"/>
  <c r="AY95" i="25" s="1"/>
  <c r="AU95" i="25"/>
  <c r="AR65" i="25"/>
  <c r="BG65" i="25"/>
  <c r="BJ65" i="25" s="1"/>
  <c r="BH65" i="25"/>
  <c r="AP65" i="25"/>
  <c r="BW65" i="25"/>
  <c r="BU65" i="25"/>
  <c r="BF65" i="25"/>
  <c r="AR112" i="25"/>
  <c r="BG112" i="25"/>
  <c r="BJ112" i="25" s="1"/>
  <c r="BH112" i="25"/>
  <c r="AP112" i="25"/>
  <c r="BF112" i="25"/>
  <c r="BW112" i="25"/>
  <c r="BU112" i="25"/>
  <c r="AU136" i="24"/>
  <c r="BB136" i="24" s="1"/>
  <c r="AW136" i="24"/>
  <c r="AR303" i="25"/>
  <c r="BG303" i="25"/>
  <c r="BJ303" i="25" s="1"/>
  <c r="BH303" i="25"/>
  <c r="AP303" i="25"/>
  <c r="BW303" i="25"/>
  <c r="BU303" i="25"/>
  <c r="BF303" i="25"/>
  <c r="AR160" i="25"/>
  <c r="BG160" i="25"/>
  <c r="BJ160" i="25" s="1"/>
  <c r="BH160" i="25"/>
  <c r="AP160" i="25"/>
  <c r="BF160" i="25"/>
  <c r="BU160" i="25"/>
  <c r="BW160" i="25"/>
  <c r="AU66" i="24"/>
  <c r="BB66" i="24" s="1"/>
  <c r="AW66" i="24"/>
  <c r="AR195" i="25"/>
  <c r="BG195" i="25"/>
  <c r="BJ195" i="25" s="1"/>
  <c r="BH195" i="25"/>
  <c r="BF195" i="25"/>
  <c r="BW195" i="25"/>
  <c r="BU195" i="25"/>
  <c r="Y12" i="2"/>
  <c r="Y15" i="2" s="1"/>
  <c r="Y16" i="2" s="1"/>
  <c r="Y17" i="2" s="1"/>
  <c r="B4" i="29" s="1"/>
  <c r="AR67" i="25"/>
  <c r="BG67" i="25"/>
  <c r="BJ67" i="25" s="1"/>
  <c r="BH67" i="25"/>
  <c r="AP67" i="25"/>
  <c r="BW67" i="25"/>
  <c r="BU67" i="25"/>
  <c r="BF67" i="25"/>
  <c r="AR41" i="25"/>
  <c r="BG41" i="25"/>
  <c r="BJ41" i="25" s="1"/>
  <c r="BH41" i="25"/>
  <c r="AP41" i="25"/>
  <c r="BU41" i="25"/>
  <c r="BW41" i="25"/>
  <c r="BF41" i="25"/>
  <c r="BD236" i="24"/>
  <c r="AY236" i="24"/>
  <c r="AZ236" i="24" s="1"/>
  <c r="BE236" i="24"/>
  <c r="BT236" i="24" s="1"/>
  <c r="AR313" i="25"/>
  <c r="BG313" i="25"/>
  <c r="BJ313" i="25" s="1"/>
  <c r="BH313" i="25"/>
  <c r="AP313" i="25"/>
  <c r="BU313" i="25"/>
  <c r="BW313" i="25"/>
  <c r="BF313" i="25"/>
  <c r="AR40" i="25"/>
  <c r="BG40" i="25"/>
  <c r="BJ40" i="25" s="1"/>
  <c r="BH40" i="25"/>
  <c r="AP40" i="25"/>
  <c r="BU40" i="25"/>
  <c r="BW40" i="25"/>
  <c r="BF40" i="25"/>
  <c r="AU188" i="24"/>
  <c r="BB188" i="24" s="1"/>
  <c r="AW188" i="24"/>
  <c r="AR33" i="25"/>
  <c r="BG33" i="25"/>
  <c r="BJ33" i="25" s="1"/>
  <c r="BH33" i="25"/>
  <c r="AP33" i="25"/>
  <c r="BU33" i="25"/>
  <c r="BW33" i="25"/>
  <c r="BF33" i="25"/>
  <c r="BG294" i="25"/>
  <c r="BJ294" i="25" s="1"/>
  <c r="AR294" i="25"/>
  <c r="BH294" i="25"/>
  <c r="AP294" i="25"/>
  <c r="BF294" i="25"/>
  <c r="BW294" i="25"/>
  <c r="BU294" i="25"/>
  <c r="BG250" i="25"/>
  <c r="BJ250" i="25" s="1"/>
  <c r="AR250" i="25"/>
  <c r="BH250" i="25"/>
  <c r="AP250" i="25"/>
  <c r="BF250" i="25"/>
  <c r="BU250" i="25"/>
  <c r="BW250" i="25"/>
  <c r="AT314" i="25"/>
  <c r="AU314" i="25"/>
  <c r="AW114" i="24"/>
  <c r="AU186" i="24"/>
  <c r="BB186" i="24" s="1"/>
  <c r="AW186" i="24"/>
  <c r="AU14" i="24"/>
  <c r="BB14" i="24" s="1"/>
  <c r="AW14" i="24"/>
  <c r="AU206" i="24"/>
  <c r="BB206" i="24" s="1"/>
  <c r="AW206" i="24"/>
  <c r="AR56" i="25"/>
  <c r="BG56" i="25"/>
  <c r="BJ56" i="25" s="1"/>
  <c r="BH56" i="25"/>
  <c r="AP56" i="25"/>
  <c r="BW56" i="25"/>
  <c r="BU56" i="25"/>
  <c r="BF56" i="25"/>
  <c r="AU159" i="24"/>
  <c r="BB159" i="24" s="1"/>
  <c r="AW159" i="24"/>
  <c r="AR17" i="25"/>
  <c r="BG17" i="25"/>
  <c r="BJ17" i="25" s="1"/>
  <c r="BH17" i="25"/>
  <c r="AP17" i="25"/>
  <c r="BU17" i="25"/>
  <c r="BF17" i="25"/>
  <c r="BW17" i="25"/>
  <c r="AU104" i="24"/>
  <c r="BB104" i="24" s="1"/>
  <c r="AW104" i="24"/>
  <c r="AU197" i="24"/>
  <c r="BB197" i="24" s="1"/>
  <c r="AW197" i="24"/>
  <c r="AT89" i="25"/>
  <c r="AY89" i="25" s="1"/>
  <c r="AU89" i="25"/>
  <c r="AR312" i="25"/>
  <c r="BG312" i="25"/>
  <c r="BJ312" i="25" s="1"/>
  <c r="BH312" i="25"/>
  <c r="AP312" i="25"/>
  <c r="BF312" i="25"/>
  <c r="BW312" i="25"/>
  <c r="BU312" i="25"/>
  <c r="AU202" i="24"/>
  <c r="BB202" i="24" s="1"/>
  <c r="AW202" i="24"/>
  <c r="AR175" i="25"/>
  <c r="BG175" i="25"/>
  <c r="BJ175" i="25" s="1"/>
  <c r="BH175" i="25"/>
  <c r="AP175" i="25"/>
  <c r="BF175" i="25"/>
  <c r="BU175" i="25"/>
  <c r="BW175" i="25"/>
  <c r="AU47" i="24"/>
  <c r="BB47" i="24" s="1"/>
  <c r="AW47" i="24"/>
  <c r="AR285" i="25"/>
  <c r="BG285" i="25"/>
  <c r="BJ285" i="25" s="1"/>
  <c r="BH285" i="25"/>
  <c r="AP285" i="25"/>
  <c r="BF285" i="25"/>
  <c r="BW285" i="25"/>
  <c r="BU285" i="25"/>
  <c r="AU184" i="24"/>
  <c r="BB184" i="24" s="1"/>
  <c r="AW184" i="24"/>
  <c r="AY160" i="24"/>
  <c r="AZ160" i="24" s="1"/>
  <c r="BD160" i="24"/>
  <c r="BE160" i="24"/>
  <c r="BT160" i="24" s="1"/>
  <c r="AU88" i="24"/>
  <c r="BB88" i="24" s="1"/>
  <c r="AW88" i="24"/>
  <c r="AU16" i="24"/>
  <c r="BB16" i="24" s="1"/>
  <c r="AW16" i="24"/>
  <c r="AR171" i="25"/>
  <c r="BG171" i="25"/>
  <c r="BJ171" i="25" s="1"/>
  <c r="BH171" i="25"/>
  <c r="AP171" i="25"/>
  <c r="BF171" i="25"/>
  <c r="BW171" i="25"/>
  <c r="BU171" i="25"/>
  <c r="AR49" i="25"/>
  <c r="BG49" i="25"/>
  <c r="BJ49" i="25" s="1"/>
  <c r="BH49" i="25"/>
  <c r="AP49" i="25"/>
  <c r="BF49" i="25"/>
  <c r="BW49" i="25"/>
  <c r="BU49" i="25"/>
  <c r="BG183" i="25"/>
  <c r="BJ183" i="25" s="1"/>
  <c r="AR183" i="25"/>
  <c r="BH183" i="25"/>
  <c r="AP183" i="25"/>
  <c r="BF183" i="25"/>
  <c r="BW183" i="25"/>
  <c r="BU183" i="25"/>
  <c r="AY257" i="24"/>
  <c r="AZ257" i="24" s="1"/>
  <c r="BD257" i="24"/>
  <c r="BE257" i="24"/>
  <c r="BT257" i="24" s="1"/>
  <c r="BE119" i="24"/>
  <c r="BT119" i="24" s="1"/>
  <c r="AY119" i="24"/>
  <c r="AZ119" i="24" s="1"/>
  <c r="BD119" i="24"/>
  <c r="AW30" i="24"/>
  <c r="AR253" i="25"/>
  <c r="BG253" i="25"/>
  <c r="BJ253" i="25" s="1"/>
  <c r="BH253" i="25"/>
  <c r="AP253" i="25"/>
  <c r="BF253" i="25"/>
  <c r="BW253" i="25"/>
  <c r="BU253" i="25"/>
  <c r="AU67" i="24"/>
  <c r="BB67" i="24" s="1"/>
  <c r="AW67" i="24"/>
  <c r="AT34" i="25"/>
  <c r="AY34" i="25" s="1"/>
  <c r="AU34" i="25"/>
  <c r="AU137" i="24"/>
  <c r="BB137" i="24" s="1"/>
  <c r="AW137" i="24"/>
  <c r="AR141" i="25"/>
  <c r="BG141" i="25"/>
  <c r="BJ141" i="25" s="1"/>
  <c r="BH141" i="25"/>
  <c r="AP141" i="25"/>
  <c r="BW141" i="25"/>
  <c r="BU141" i="25"/>
  <c r="BF141" i="25"/>
  <c r="AT178" i="25"/>
  <c r="AY178" i="25" s="1"/>
  <c r="AU178" i="25"/>
  <c r="BB143" i="25"/>
  <c r="BS143" i="25" s="1"/>
  <c r="BC143" i="25"/>
  <c r="BT143" i="25" s="1"/>
  <c r="BA143" i="25"/>
  <c r="AW284" i="24"/>
  <c r="AU262" i="24"/>
  <c r="BB262" i="24" s="1"/>
  <c r="AW262" i="24"/>
  <c r="BE41" i="24"/>
  <c r="BT41" i="24" s="1"/>
  <c r="AY41" i="24"/>
  <c r="AZ41" i="24" s="1"/>
  <c r="BD41" i="24"/>
  <c r="BG58" i="25"/>
  <c r="BJ58" i="25" s="1"/>
  <c r="AR58" i="25"/>
  <c r="BH58" i="25"/>
  <c r="AP58" i="25"/>
  <c r="BW58" i="25"/>
  <c r="BF58" i="25"/>
  <c r="BU58" i="25"/>
  <c r="AR307" i="25"/>
  <c r="BG307" i="25"/>
  <c r="BJ307" i="25" s="1"/>
  <c r="BH307" i="25"/>
  <c r="AP307" i="25"/>
  <c r="BU307" i="25"/>
  <c r="BW307" i="25"/>
  <c r="BF307" i="25"/>
  <c r="AR42" i="25"/>
  <c r="BG42" i="25"/>
  <c r="BJ42" i="25" s="1"/>
  <c r="BH42" i="25"/>
  <c r="AP42" i="25"/>
  <c r="BF42" i="25"/>
  <c r="BW42" i="25"/>
  <c r="BU42" i="25"/>
  <c r="AU46" i="24"/>
  <c r="BB46" i="24" s="1"/>
  <c r="AW46" i="24"/>
  <c r="AW237" i="24"/>
  <c r="AR205" i="25"/>
  <c r="BG205" i="25"/>
  <c r="BJ205" i="25" s="1"/>
  <c r="BH205" i="25"/>
  <c r="BF205" i="25"/>
  <c r="BW205" i="25"/>
  <c r="BU205" i="25"/>
  <c r="AR309" i="25"/>
  <c r="BG309" i="25"/>
  <c r="BJ309" i="25" s="1"/>
  <c r="BH309" i="25"/>
  <c r="AP309" i="25"/>
  <c r="BF309" i="25"/>
  <c r="BU309" i="25"/>
  <c r="BW309" i="25"/>
  <c r="AU196" i="24"/>
  <c r="BB196" i="24" s="1"/>
  <c r="AW196" i="24"/>
  <c r="AU83" i="24"/>
  <c r="BB83" i="24" s="1"/>
  <c r="AW83" i="24"/>
  <c r="AU175" i="24"/>
  <c r="BB175" i="24" s="1"/>
  <c r="AW175" i="24"/>
  <c r="AR80" i="25"/>
  <c r="BG80" i="25"/>
  <c r="BJ80" i="25" s="1"/>
  <c r="BH80" i="25"/>
  <c r="AP80" i="25"/>
  <c r="BF80" i="25"/>
  <c r="BU80" i="25"/>
  <c r="BW80" i="25"/>
  <c r="AR105" i="25"/>
  <c r="BG105" i="25"/>
  <c r="BJ105" i="25" s="1"/>
  <c r="E84" i="1" s="1"/>
  <c r="E85" i="1" s="1"/>
  <c r="BH105" i="25"/>
  <c r="BW105" i="25"/>
  <c r="BU105" i="25"/>
  <c r="BF105" i="25"/>
  <c r="BE45" i="24"/>
  <c r="BT45" i="24" s="1"/>
  <c r="BD45" i="24"/>
  <c r="AY45" i="24"/>
  <c r="AZ45" i="24" s="1"/>
  <c r="AR184" i="25"/>
  <c r="BG184" i="25"/>
  <c r="BJ184" i="25" s="1"/>
  <c r="BH184" i="25"/>
  <c r="AP184" i="25"/>
  <c r="BF184" i="25"/>
  <c r="BU184" i="25"/>
  <c r="BW184" i="25"/>
  <c r="AW126" i="24"/>
  <c r="BG269" i="25"/>
  <c r="BJ269" i="25" s="1"/>
  <c r="AR269" i="25"/>
  <c r="BH269" i="25"/>
  <c r="AP269" i="25"/>
  <c r="BF269" i="25"/>
  <c r="BW269" i="25"/>
  <c r="BU269" i="25"/>
  <c r="AR93" i="25"/>
  <c r="BG93" i="25"/>
  <c r="BJ93" i="25" s="1"/>
  <c r="BH93" i="25"/>
  <c r="AP93" i="25"/>
  <c r="BU93" i="25"/>
  <c r="BW93" i="25"/>
  <c r="BF93" i="25"/>
  <c r="AT62" i="25"/>
  <c r="AY62" i="25" s="1"/>
  <c r="AU62" i="25"/>
  <c r="AT31" i="25"/>
  <c r="AY31" i="25" s="1"/>
  <c r="AU31" i="25"/>
  <c r="AR218" i="25"/>
  <c r="BG218" i="25"/>
  <c r="BJ218" i="25" s="1"/>
  <c r="BH218" i="25"/>
  <c r="AP218" i="25"/>
  <c r="BW218" i="25"/>
  <c r="BF218" i="25"/>
  <c r="BU218" i="25"/>
  <c r="AU222" i="24"/>
  <c r="BB222" i="24" s="1"/>
  <c r="AW222" i="24"/>
  <c r="AU140" i="24"/>
  <c r="BB140" i="24" s="1"/>
  <c r="AW140" i="24"/>
  <c r="AU77" i="24"/>
  <c r="BB77" i="24" s="1"/>
  <c r="AW77" i="24"/>
  <c r="AU53" i="24"/>
  <c r="BB53" i="24" s="1"/>
  <c r="AW53" i="24"/>
  <c r="AR121" i="25"/>
  <c r="BG121" i="25"/>
  <c r="BJ121" i="25" s="1"/>
  <c r="BH121" i="25"/>
  <c r="AP121" i="25"/>
  <c r="BF121" i="25"/>
  <c r="BU121" i="25"/>
  <c r="BW121" i="25"/>
  <c r="AY162" i="24"/>
  <c r="AZ162" i="24" s="1"/>
  <c r="BD162" i="24"/>
  <c r="BE162" i="24"/>
  <c r="BT162" i="24" s="1"/>
  <c r="AT161" i="25"/>
  <c r="AY161" i="25" s="1"/>
  <c r="AU161" i="25"/>
  <c r="AU49" i="24"/>
  <c r="BB49" i="24" s="1"/>
  <c r="AW49" i="24"/>
  <c r="AR233" i="25"/>
  <c r="BG233" i="25"/>
  <c r="BJ233" i="25" s="1"/>
  <c r="BH233" i="25"/>
  <c r="AP233" i="25"/>
  <c r="BF233" i="25"/>
  <c r="BU233" i="25"/>
  <c r="BW233" i="25"/>
  <c r="BG153" i="25"/>
  <c r="BJ153" i="25" s="1"/>
  <c r="AR153" i="25"/>
  <c r="BH153" i="25"/>
  <c r="AP153" i="25"/>
  <c r="BF153" i="25"/>
  <c r="BW153" i="25"/>
  <c r="BU153" i="25"/>
  <c r="AR10" i="25"/>
  <c r="BG10" i="25"/>
  <c r="BJ10" i="25" s="1"/>
  <c r="BH10" i="25"/>
  <c r="AP10" i="25"/>
  <c r="BF10" i="25"/>
  <c r="BU10" i="25"/>
  <c r="BW10" i="25"/>
  <c r="AR123" i="25"/>
  <c r="BG123" i="25"/>
  <c r="BJ123" i="25" s="1"/>
  <c r="BH123" i="25"/>
  <c r="AP123" i="25"/>
  <c r="BF123" i="25"/>
  <c r="BU123" i="25"/>
  <c r="BW123" i="25"/>
  <c r="AR159" i="25"/>
  <c r="BG159" i="25"/>
  <c r="BJ159" i="25" s="1"/>
  <c r="BH159" i="25"/>
  <c r="AP159" i="25"/>
  <c r="BU159" i="25"/>
  <c r="BW159" i="25"/>
  <c r="BF159" i="25"/>
  <c r="AU39" i="24"/>
  <c r="BB39" i="24" s="1"/>
  <c r="AW39" i="24"/>
  <c r="AU173" i="24"/>
  <c r="BB173" i="24" s="1"/>
  <c r="AW173" i="24"/>
  <c r="AR236" i="25"/>
  <c r="BG236" i="25"/>
  <c r="BJ236" i="25" s="1"/>
  <c r="BH236" i="25"/>
  <c r="AP236" i="25"/>
  <c r="BF236" i="25"/>
  <c r="BU236" i="25"/>
  <c r="BW236" i="25"/>
  <c r="AU275" i="24"/>
  <c r="BB275" i="24" s="1"/>
  <c r="AW275" i="24"/>
  <c r="AR137" i="25"/>
  <c r="BG137" i="25"/>
  <c r="BJ137" i="25" s="1"/>
  <c r="BH137" i="25"/>
  <c r="AP137" i="25"/>
  <c r="BF137" i="25"/>
  <c r="BW137" i="25"/>
  <c r="BU137" i="25"/>
  <c r="AR230" i="25"/>
  <c r="BG230" i="25"/>
  <c r="BJ230" i="25" s="1"/>
  <c r="BH230" i="25"/>
  <c r="AP230" i="25"/>
  <c r="BF230" i="25"/>
  <c r="BW230" i="25"/>
  <c r="BU230" i="25"/>
  <c r="AR46" i="25"/>
  <c r="BG46" i="25"/>
  <c r="BJ46" i="25" s="1"/>
  <c r="BH46" i="25"/>
  <c r="AP46" i="25"/>
  <c r="BF46" i="25"/>
  <c r="BW46" i="25"/>
  <c r="BU46" i="25"/>
  <c r="AT206" i="25"/>
  <c r="AY206" i="25" s="1"/>
  <c r="AU206" i="25"/>
  <c r="AT29" i="25"/>
  <c r="AY29" i="25" s="1"/>
  <c r="AU29" i="25"/>
  <c r="AU278" i="24"/>
  <c r="BB278" i="24" s="1"/>
  <c r="AW278" i="24"/>
  <c r="AU313" i="24"/>
  <c r="BB313" i="24" s="1"/>
  <c r="AW313" i="24"/>
  <c r="BG268" i="25"/>
  <c r="BJ268" i="25" s="1"/>
  <c r="AR268" i="25"/>
  <c r="BH268" i="25"/>
  <c r="AP268" i="25"/>
  <c r="BW268" i="25"/>
  <c r="BU268" i="25"/>
  <c r="BF268" i="25"/>
  <c r="BG242" i="25"/>
  <c r="BJ242" i="25" s="1"/>
  <c r="AR242" i="25"/>
  <c r="BH242" i="25"/>
  <c r="AP242" i="25"/>
  <c r="BF242" i="25"/>
  <c r="BU242" i="25"/>
  <c r="BW242" i="25"/>
  <c r="AR146" i="25"/>
  <c r="BG146" i="25"/>
  <c r="BJ146" i="25" s="1"/>
  <c r="BH146" i="25"/>
  <c r="AP146" i="25"/>
  <c r="BF146" i="25"/>
  <c r="BU146" i="25"/>
  <c r="BW146" i="25"/>
  <c r="AR79" i="25"/>
  <c r="BG79" i="25"/>
  <c r="BJ79" i="25" s="1"/>
  <c r="BH79" i="25"/>
  <c r="AP79" i="25"/>
  <c r="BW79" i="25"/>
  <c r="BU79" i="25"/>
  <c r="BF79" i="25"/>
  <c r="BE21" i="24"/>
  <c r="BT21" i="24" s="1"/>
  <c r="AY21" i="24"/>
  <c r="AZ21" i="24" s="1"/>
  <c r="BD21" i="24"/>
  <c r="AU10" i="24"/>
  <c r="BB10" i="24" s="1"/>
  <c r="AW10" i="24"/>
  <c r="AU207" i="24"/>
  <c r="BB207" i="24" s="1"/>
  <c r="AW207" i="24"/>
  <c r="AU157" i="24"/>
  <c r="BB157" i="24" s="1"/>
  <c r="AW157" i="24"/>
  <c r="AU31" i="24"/>
  <c r="BB31" i="24" s="1"/>
  <c r="AW31" i="24"/>
  <c r="AT59" i="25"/>
  <c r="AY59" i="25" s="1"/>
  <c r="AU59" i="25"/>
  <c r="AR111" i="25"/>
  <c r="BG111" i="25"/>
  <c r="BJ111" i="25" s="1"/>
  <c r="BH111" i="25"/>
  <c r="AP111" i="25"/>
  <c r="BF111" i="25"/>
  <c r="BU111" i="25"/>
  <c r="BW111" i="25"/>
  <c r="AR127" i="25"/>
  <c r="BG127" i="25"/>
  <c r="BJ127" i="25" s="1"/>
  <c r="BH127" i="25"/>
  <c r="AP127" i="25"/>
  <c r="BF127" i="25"/>
  <c r="BW127" i="25"/>
  <c r="BU127" i="25"/>
  <c r="AU11" i="24"/>
  <c r="BB11" i="24" s="1"/>
  <c r="AW11" i="24"/>
  <c r="AT248" i="25"/>
  <c r="AU248" i="25"/>
  <c r="AR208" i="25"/>
  <c r="BG208" i="25"/>
  <c r="BJ208" i="25" s="1"/>
  <c r="BH208" i="25"/>
  <c r="BU208" i="25"/>
  <c r="BW208" i="25"/>
  <c r="BF208" i="25"/>
  <c r="AR264" i="25"/>
  <c r="BG264" i="25"/>
  <c r="BJ264" i="25" s="1"/>
  <c r="BH264" i="25"/>
  <c r="AP264" i="25"/>
  <c r="BF264" i="25"/>
  <c r="BU264" i="25"/>
  <c r="BW264" i="25"/>
  <c r="BG166" i="25"/>
  <c r="BJ166" i="25" s="1"/>
  <c r="AR166" i="25"/>
  <c r="BH166" i="25"/>
  <c r="AP166" i="25"/>
  <c r="BF166" i="25"/>
  <c r="BW166" i="25"/>
  <c r="BU166" i="25"/>
  <c r="AR103" i="25"/>
  <c r="BG103" i="25"/>
  <c r="BJ103" i="25" s="1"/>
  <c r="BH103" i="25"/>
  <c r="BW103" i="25"/>
  <c r="BU103" i="25"/>
  <c r="BF103" i="25"/>
  <c r="AR35" i="25"/>
  <c r="BG35" i="25"/>
  <c r="BJ35" i="25" s="1"/>
  <c r="BH35" i="25"/>
  <c r="AP35" i="25"/>
  <c r="BW35" i="25"/>
  <c r="BU35" i="25"/>
  <c r="BF35" i="25"/>
  <c r="AR75" i="25"/>
  <c r="BG75" i="25"/>
  <c r="BJ75" i="25" s="1"/>
  <c r="BH75" i="25"/>
  <c r="AP75" i="25"/>
  <c r="BU75" i="25"/>
  <c r="BF75" i="25"/>
  <c r="BW75" i="25"/>
  <c r="AW266" i="24"/>
  <c r="AR63" i="25"/>
  <c r="BG63" i="25"/>
  <c r="BJ63" i="25" s="1"/>
  <c r="BH63" i="25"/>
  <c r="AP63" i="25"/>
  <c r="BF63" i="25"/>
  <c r="BW63" i="25"/>
  <c r="BU63" i="25"/>
  <c r="AT170" i="25"/>
  <c r="AY170" i="25" s="1"/>
  <c r="AU170" i="25"/>
  <c r="AR165" i="25"/>
  <c r="BG165" i="25"/>
  <c r="BJ165" i="25" s="1"/>
  <c r="BH165" i="25"/>
  <c r="AP165" i="25"/>
  <c r="BU165" i="25"/>
  <c r="BW165" i="25"/>
  <c r="BF165" i="25"/>
  <c r="AU118" i="24"/>
  <c r="BB118" i="24" s="1"/>
  <c r="AW118" i="24"/>
  <c r="AU139" i="24"/>
  <c r="BB139" i="24" s="1"/>
  <c r="AW139" i="24"/>
  <c r="AU95" i="24"/>
  <c r="BB95" i="24" s="1"/>
  <c r="AW95" i="24"/>
  <c r="AR50" i="25"/>
  <c r="BG50" i="25"/>
  <c r="BJ50" i="25" s="1"/>
  <c r="BH50" i="25"/>
  <c r="AP50" i="25"/>
  <c r="BW50" i="25"/>
  <c r="BU50" i="25"/>
  <c r="BF50" i="25"/>
  <c r="AW56" i="24"/>
  <c r="AT267" i="25"/>
  <c r="AU267" i="25"/>
  <c r="AU303" i="24"/>
  <c r="BB303" i="24" s="1"/>
  <c r="AW303" i="24"/>
  <c r="AU127" i="24"/>
  <c r="BB127" i="24" s="1"/>
  <c r="AW127" i="24"/>
  <c r="AU250" i="24"/>
  <c r="BB250" i="24" s="1"/>
  <c r="AW250" i="24"/>
  <c r="BG286" i="25"/>
  <c r="BJ286" i="25" s="1"/>
  <c r="AR286" i="25"/>
  <c r="BH286" i="25"/>
  <c r="AP286" i="25"/>
  <c r="BU286" i="25"/>
  <c r="BF286" i="25"/>
  <c r="BW286" i="25"/>
  <c r="AT257" i="25"/>
  <c r="AU257" i="25"/>
  <c r="AU42" i="24"/>
  <c r="BB42" i="24" s="1"/>
  <c r="AW42" i="24"/>
  <c r="BG128" i="25"/>
  <c r="BJ128" i="25" s="1"/>
  <c r="AR128" i="25"/>
  <c r="BH128" i="25"/>
  <c r="AP128" i="25"/>
  <c r="BF128" i="25"/>
  <c r="BU128" i="25"/>
  <c r="BW128" i="25"/>
  <c r="AR209" i="25"/>
  <c r="BG209" i="25"/>
  <c r="BJ209" i="25" s="1"/>
  <c r="BH209" i="25"/>
  <c r="BU209" i="25"/>
  <c r="BW209" i="25"/>
  <c r="BF209" i="25"/>
  <c r="AR217" i="25"/>
  <c r="BG217" i="25"/>
  <c r="BJ217" i="25" s="1"/>
  <c r="BH217" i="25"/>
  <c r="AP217" i="25"/>
  <c r="BF217" i="25"/>
  <c r="BW217" i="25"/>
  <c r="BU217" i="25"/>
  <c r="AU70" i="24"/>
  <c r="BB70" i="24" s="1"/>
  <c r="AW70" i="24"/>
  <c r="AR252" i="25"/>
  <c r="BG252" i="25"/>
  <c r="BJ252" i="25" s="1"/>
  <c r="BH252" i="25"/>
  <c r="AP252" i="25"/>
  <c r="BF252" i="25"/>
  <c r="BU252" i="25"/>
  <c r="BW252" i="25"/>
  <c r="AU122" i="24"/>
  <c r="BB122" i="24" s="1"/>
  <c r="AW122" i="24"/>
  <c r="AU87" i="24"/>
  <c r="BB87" i="24" s="1"/>
  <c r="AW87" i="24"/>
  <c r="AR83" i="25"/>
  <c r="BG83" i="25"/>
  <c r="BJ83" i="25" s="1"/>
  <c r="BH83" i="25"/>
  <c r="AP83" i="25"/>
  <c r="BF83" i="25"/>
  <c r="BW83" i="25"/>
  <c r="BU83" i="25"/>
  <c r="AU314" i="24"/>
  <c r="BB314" i="24" s="1"/>
  <c r="AW314" i="24"/>
  <c r="AR152" i="25"/>
  <c r="BG152" i="25"/>
  <c r="BJ152" i="25" s="1"/>
  <c r="BH152" i="25"/>
  <c r="AP152" i="25"/>
  <c r="BF152" i="25"/>
  <c r="BU152" i="25"/>
  <c r="BW152" i="25"/>
  <c r="AR277" i="25"/>
  <c r="BG277" i="25"/>
  <c r="BJ277" i="25" s="1"/>
  <c r="BH277" i="25"/>
  <c r="AP277" i="25"/>
  <c r="BW277" i="25"/>
  <c r="BU277" i="25"/>
  <c r="BF277" i="25"/>
  <c r="AY191" i="24"/>
  <c r="AZ191" i="24" s="1"/>
  <c r="BE191" i="24"/>
  <c r="BT191" i="24" s="1"/>
  <c r="BD191" i="24"/>
  <c r="BD294" i="24"/>
  <c r="AY294" i="24"/>
  <c r="AZ294" i="24" s="1"/>
  <c r="BE294" i="24"/>
  <c r="BT294" i="24" s="1"/>
  <c r="BG271" i="25"/>
  <c r="BJ271" i="25" s="1"/>
  <c r="AR271" i="25"/>
  <c r="BH271" i="25"/>
  <c r="AP271" i="25"/>
  <c r="BF271" i="25"/>
  <c r="BU271" i="25"/>
  <c r="BW271" i="25"/>
  <c r="AT147" i="25"/>
  <c r="AY147" i="25" s="1"/>
  <c r="AU147" i="25"/>
  <c r="AR149" i="25"/>
  <c r="BG149" i="25"/>
  <c r="BJ149" i="25" s="1"/>
  <c r="BH149" i="25"/>
  <c r="AP149" i="25"/>
  <c r="BF149" i="25"/>
  <c r="BW149" i="25"/>
  <c r="BU149" i="25"/>
  <c r="AU201" i="24"/>
  <c r="BB201" i="24" s="1"/>
  <c r="AW201" i="24"/>
  <c r="AU231" i="24"/>
  <c r="BB231" i="24" s="1"/>
  <c r="AW231" i="24"/>
  <c r="AU91" i="24"/>
  <c r="BB91" i="24" s="1"/>
  <c r="AW91" i="24"/>
  <c r="AU288" i="24"/>
  <c r="BB288" i="24" s="1"/>
  <c r="AW288" i="24"/>
  <c r="AU229" i="24"/>
  <c r="BB229" i="24" s="1"/>
  <c r="AW229" i="24"/>
  <c r="AU172" i="24"/>
  <c r="BB172" i="24" s="1"/>
  <c r="AW172" i="24"/>
  <c r="AU285" i="24"/>
  <c r="BB285" i="24" s="1"/>
  <c r="AW285" i="24"/>
  <c r="AR219" i="25"/>
  <c r="BG219" i="25"/>
  <c r="BJ219" i="25" s="1"/>
  <c r="BH219" i="25"/>
  <c r="AP219" i="25"/>
  <c r="BF219" i="25"/>
  <c r="BW219" i="25"/>
  <c r="BU219" i="25"/>
  <c r="AU302" i="24"/>
  <c r="BB302" i="24" s="1"/>
  <c r="AW302" i="24"/>
  <c r="AR120" i="25"/>
  <c r="BG120" i="25"/>
  <c r="BJ120" i="25" s="1"/>
  <c r="BH120" i="25"/>
  <c r="AP120" i="25"/>
  <c r="BW120" i="25"/>
  <c r="BF120" i="25"/>
  <c r="BU120" i="25"/>
  <c r="AR234" i="25"/>
  <c r="BG234" i="25"/>
  <c r="BJ234" i="25" s="1"/>
  <c r="BH234" i="25"/>
  <c r="AP234" i="25"/>
  <c r="BF234" i="25"/>
  <c r="BW234" i="25"/>
  <c r="BU234" i="25"/>
  <c r="AU194" i="24"/>
  <c r="BB194" i="24" s="1"/>
  <c r="AW194" i="24"/>
  <c r="BG164" i="25"/>
  <c r="BJ164" i="25" s="1"/>
  <c r="AR164" i="25"/>
  <c r="BH164" i="25"/>
  <c r="AP164" i="25"/>
  <c r="BW164" i="25"/>
  <c r="BU164" i="25"/>
  <c r="BF164" i="25"/>
  <c r="AT204" i="25"/>
  <c r="AY204" i="25" s="1"/>
  <c r="AU204" i="25"/>
  <c r="AU115" i="24"/>
  <c r="BB115" i="24" s="1"/>
  <c r="AW115" i="24"/>
  <c r="AU293" i="24"/>
  <c r="BB293" i="24" s="1"/>
  <c r="AW293" i="24"/>
  <c r="BG84" i="25"/>
  <c r="BJ84" i="25" s="1"/>
  <c r="AR84" i="25"/>
  <c r="BH84" i="25"/>
  <c r="AP84" i="25"/>
  <c r="BU84" i="25"/>
  <c r="BF84" i="25"/>
  <c r="BW84" i="25"/>
  <c r="AR61" i="25"/>
  <c r="BG61" i="25"/>
  <c r="BJ61" i="25" s="1"/>
  <c r="BH61" i="25"/>
  <c r="AP61" i="25"/>
  <c r="BF61" i="25"/>
  <c r="BU61" i="25"/>
  <c r="BW61" i="25"/>
  <c r="AR157" i="25"/>
  <c r="BG157" i="25"/>
  <c r="BJ157" i="25" s="1"/>
  <c r="BH157" i="25"/>
  <c r="AP157" i="25"/>
  <c r="BU157" i="25"/>
  <c r="BW157" i="25"/>
  <c r="BF157" i="25"/>
  <c r="AT186" i="25"/>
  <c r="AY186" i="25" s="1"/>
  <c r="AU186" i="25"/>
  <c r="AW297" i="24"/>
  <c r="AW51" i="24"/>
  <c r="AR51" i="25"/>
  <c r="BG51" i="25"/>
  <c r="BJ51" i="25" s="1"/>
  <c r="BH51" i="25"/>
  <c r="AP51" i="25"/>
  <c r="BU51" i="25"/>
  <c r="BW51" i="25"/>
  <c r="BF51" i="25"/>
  <c r="AT259" i="25"/>
  <c r="AU259" i="25"/>
  <c r="AU244" i="24"/>
  <c r="BB244" i="24" s="1"/>
  <c r="AW244" i="24"/>
  <c r="AT199" i="25"/>
  <c r="AY199" i="25" s="1"/>
  <c r="AU199" i="25"/>
  <c r="AR60" i="25"/>
  <c r="BG60" i="25"/>
  <c r="BJ60" i="25" s="1"/>
  <c r="BH60" i="25"/>
  <c r="AP60" i="25"/>
  <c r="BU60" i="25"/>
  <c r="BF60" i="25"/>
  <c r="BW60" i="25"/>
  <c r="AT247" i="25"/>
  <c r="AU247" i="25"/>
  <c r="AW243" i="24"/>
  <c r="AU251" i="24"/>
  <c r="BB251" i="24" s="1"/>
  <c r="AW251" i="24"/>
  <c r="AU165" i="24"/>
  <c r="BB165" i="24" s="1"/>
  <c r="AW165" i="24"/>
  <c r="AW9" i="24"/>
  <c r="AU96" i="24"/>
  <c r="BB96" i="24" s="1"/>
  <c r="AW96" i="24"/>
  <c r="AW32" i="24"/>
  <c r="AT283" i="25"/>
  <c r="AU283" i="25"/>
  <c r="AU272" i="24"/>
  <c r="BB272" i="24" s="1"/>
  <c r="AW272" i="24"/>
  <c r="AU97" i="24"/>
  <c r="BB97" i="24" s="1"/>
  <c r="AW97" i="24"/>
  <c r="AU141" i="24"/>
  <c r="BB141" i="24" s="1"/>
  <c r="AW141" i="24"/>
  <c r="AU50" i="24"/>
  <c r="BB50" i="24" s="1"/>
  <c r="AW50" i="24"/>
  <c r="BG52" i="25"/>
  <c r="BJ52" i="25" s="1"/>
  <c r="AR52" i="25"/>
  <c r="BH52" i="25"/>
  <c r="AP52" i="25"/>
  <c r="BF52" i="25"/>
  <c r="BW52" i="25"/>
  <c r="BU52" i="25"/>
  <c r="BA110" i="25"/>
  <c r="BC110" i="25"/>
  <c r="BT110" i="25" s="1"/>
  <c r="BB110" i="25"/>
  <c r="BS110" i="25" s="1"/>
  <c r="AT192" i="25"/>
  <c r="AY192" i="25" s="1"/>
  <c r="AU192" i="25"/>
  <c r="AU223" i="24"/>
  <c r="BB223" i="24" s="1"/>
  <c r="AW223" i="24"/>
  <c r="AR194" i="25"/>
  <c r="BG194" i="25"/>
  <c r="BJ194" i="25" s="1"/>
  <c r="BH194" i="25"/>
  <c r="CE194" i="25"/>
  <c r="BW194" i="25"/>
  <c r="BU194" i="25"/>
  <c r="BF194" i="25"/>
  <c r="AT282" i="25"/>
  <c r="AU282" i="25"/>
  <c r="AW128" i="24"/>
  <c r="BG45" i="25"/>
  <c r="BJ45" i="25" s="1"/>
  <c r="AR45" i="25"/>
  <c r="BH45" i="25"/>
  <c r="AP45" i="25"/>
  <c r="BF45" i="25"/>
  <c r="BW45" i="25"/>
  <c r="BU45" i="25"/>
  <c r="AR37" i="25"/>
  <c r="BG37" i="25"/>
  <c r="BJ37" i="25" s="1"/>
  <c r="BH37" i="25"/>
  <c r="AP37" i="25"/>
  <c r="BF37" i="25"/>
  <c r="BU37" i="25"/>
  <c r="BW37" i="25"/>
  <c r="AR144" i="25"/>
  <c r="BG144" i="25"/>
  <c r="BJ144" i="25" s="1"/>
  <c r="BH144" i="25"/>
  <c r="AP144" i="25"/>
  <c r="BF144" i="25"/>
  <c r="BW144" i="25"/>
  <c r="BU144" i="25"/>
  <c r="AU65" i="24"/>
  <c r="BB65" i="24" s="1"/>
  <c r="AW65" i="24"/>
  <c r="AT92" i="25"/>
  <c r="AY92" i="25" s="1"/>
  <c r="AU92" i="25"/>
  <c r="BG125" i="25"/>
  <c r="BJ125" i="25" s="1"/>
  <c r="AR125" i="25"/>
  <c r="BH125" i="25"/>
  <c r="AP125" i="25"/>
  <c r="BF125" i="25"/>
  <c r="BU125" i="25"/>
  <c r="BW125" i="25"/>
  <c r="AR244" i="25"/>
  <c r="BG244" i="25"/>
  <c r="BJ244" i="25" s="1"/>
  <c r="BH244" i="25"/>
  <c r="AP244" i="25"/>
  <c r="BU244" i="25"/>
  <c r="BW244" i="25"/>
  <c r="BF244" i="25"/>
  <c r="AR91" i="25"/>
  <c r="BG91" i="25"/>
  <c r="BJ91" i="25" s="1"/>
  <c r="BH91" i="25"/>
  <c r="AP91" i="25"/>
  <c r="BF91" i="25"/>
  <c r="BW91" i="25"/>
  <c r="BU91" i="25"/>
  <c r="BG266" i="25"/>
  <c r="BJ266" i="25" s="1"/>
  <c r="AR266" i="25"/>
  <c r="BH266" i="25"/>
  <c r="AP266" i="25"/>
  <c r="BU266" i="25"/>
  <c r="BF266" i="25"/>
  <c r="BW266" i="25"/>
  <c r="AR135" i="25"/>
  <c r="BG135" i="25"/>
  <c r="BJ135" i="25" s="1"/>
  <c r="BH135" i="25"/>
  <c r="AP135" i="25"/>
  <c r="BU135" i="25"/>
  <c r="BW135" i="25"/>
  <c r="BF135" i="25"/>
  <c r="AR311" i="25"/>
  <c r="BG311" i="25"/>
  <c r="BJ311" i="25" s="1"/>
  <c r="BH311" i="25"/>
  <c r="AP311" i="25"/>
  <c r="BW311" i="25"/>
  <c r="BU311" i="25"/>
  <c r="BF311" i="25"/>
  <c r="AU210" i="24"/>
  <c r="BB210" i="24" s="1"/>
  <c r="AW210" i="24"/>
  <c r="AU208" i="24"/>
  <c r="BB208" i="24" s="1"/>
  <c r="AW208" i="24"/>
  <c r="AU102" i="24"/>
  <c r="BB102" i="24" s="1"/>
  <c r="AW102" i="24"/>
  <c r="AU193" i="24"/>
  <c r="BB193" i="24" s="1"/>
  <c r="AW193" i="24"/>
  <c r="AU15" i="24"/>
  <c r="BB15" i="24" s="1"/>
  <c r="AW15" i="24"/>
  <c r="AT14" i="25"/>
  <c r="AY14" i="25" s="1"/>
  <c r="AU14" i="25"/>
  <c r="AU307" i="24"/>
  <c r="BB307" i="24" s="1"/>
  <c r="AW307" i="24"/>
  <c r="AU113" i="24"/>
  <c r="BB113" i="24" s="1"/>
  <c r="AW113" i="24"/>
  <c r="AR132" i="25"/>
  <c r="BG132" i="25"/>
  <c r="BJ132" i="25" s="1"/>
  <c r="BH132" i="25"/>
  <c r="AP132" i="25"/>
  <c r="BF132" i="25"/>
  <c r="BW132" i="25"/>
  <c r="BU132" i="25"/>
  <c r="AU239" i="24"/>
  <c r="BB239" i="24" s="1"/>
  <c r="AW239" i="24"/>
  <c r="AU311" i="24"/>
  <c r="BB311" i="24" s="1"/>
  <c r="AW311" i="24"/>
  <c r="AT82" i="25"/>
  <c r="AY82" i="25" s="1"/>
  <c r="AU82" i="25"/>
  <c r="AU134" i="24"/>
  <c r="BB134" i="24" s="1"/>
  <c r="AW134" i="24"/>
  <c r="AU71" i="24"/>
  <c r="BB71" i="24" s="1"/>
  <c r="AW71" i="24"/>
  <c r="AR260" i="25"/>
  <c r="BG260" i="25"/>
  <c r="BJ260" i="25" s="1"/>
  <c r="BH260" i="25"/>
  <c r="AP260" i="25"/>
  <c r="BF260" i="25"/>
  <c r="BU260" i="25"/>
  <c r="BW260" i="25"/>
  <c r="AU291" i="24"/>
  <c r="BB291" i="24" s="1"/>
  <c r="AW291" i="24"/>
  <c r="AU85" i="24"/>
  <c r="BB85" i="24" s="1"/>
  <c r="AW85" i="24"/>
  <c r="AU178" i="24"/>
  <c r="BB178" i="24" s="1"/>
  <c r="AW178" i="24"/>
  <c r="AW267" i="24"/>
  <c r="AU105" i="24"/>
  <c r="BB105" i="24" s="1"/>
  <c r="B134" i="2" s="1"/>
  <c r="B135" i="2" s="1"/>
  <c r="E29" i="1" s="1"/>
  <c r="AW105" i="24"/>
  <c r="AR169" i="25"/>
  <c r="BG169" i="25"/>
  <c r="BJ169" i="25" s="1"/>
  <c r="BH169" i="25"/>
  <c r="AP169" i="25"/>
  <c r="BF169" i="25"/>
  <c r="BW169" i="25"/>
  <c r="BU169" i="25"/>
  <c r="AT262" i="25"/>
  <c r="AU262" i="25"/>
  <c r="AR301" i="25"/>
  <c r="BG301" i="25"/>
  <c r="BJ301" i="25" s="1"/>
  <c r="BH301" i="25"/>
  <c r="AP301" i="25"/>
  <c r="BF301" i="25"/>
  <c r="BW301" i="25"/>
  <c r="BU301" i="25"/>
  <c r="BC129" i="25"/>
  <c r="BT129" i="25" s="1"/>
  <c r="BB129" i="25"/>
  <c r="BS129" i="25" s="1"/>
  <c r="BA129" i="25"/>
  <c r="AR85" i="25"/>
  <c r="BG85" i="25"/>
  <c r="BJ85" i="25" s="1"/>
  <c r="BH85" i="25"/>
  <c r="AP85" i="25"/>
  <c r="BU85" i="25"/>
  <c r="BF85" i="25"/>
  <c r="BW85" i="25"/>
  <c r="AR69" i="25"/>
  <c r="BG69" i="25"/>
  <c r="BJ69" i="25" s="1"/>
  <c r="BH69" i="25"/>
  <c r="AP69" i="25"/>
  <c r="BF69" i="25"/>
  <c r="BW69" i="25"/>
  <c r="BU69" i="25"/>
  <c r="BE190" i="24"/>
  <c r="BT190" i="24" s="1"/>
  <c r="BD190" i="24"/>
  <c r="AY190" i="24"/>
  <c r="AZ190" i="24" s="1"/>
  <c r="AU204" i="24"/>
  <c r="BB204" i="24" s="1"/>
  <c r="AW204" i="24"/>
  <c r="BE142" i="24"/>
  <c r="BT142" i="24" s="1"/>
  <c r="BD142" i="24"/>
  <c r="AY142" i="24"/>
  <c r="AZ142" i="24" s="1"/>
  <c r="AU199" i="24"/>
  <c r="BB199" i="24" s="1"/>
  <c r="AW199" i="24"/>
  <c r="AR289" i="25"/>
  <c r="BG289" i="25"/>
  <c r="BJ289" i="25" s="1"/>
  <c r="BH289" i="25"/>
  <c r="AP289" i="25"/>
  <c r="BW289" i="25"/>
  <c r="BU289" i="25"/>
  <c r="BF289" i="25"/>
  <c r="AT292" i="25"/>
  <c r="AU292" i="25"/>
  <c r="AR290" i="25"/>
  <c r="BG290" i="25"/>
  <c r="BJ290" i="25" s="1"/>
  <c r="BH290" i="25"/>
  <c r="AP290" i="25"/>
  <c r="BU290" i="25"/>
  <c r="BF290" i="25"/>
  <c r="BW290" i="25"/>
  <c r="AT246" i="25"/>
  <c r="AU246" i="25"/>
  <c r="AR197" i="25"/>
  <c r="BG197" i="25"/>
  <c r="BJ197" i="25" s="1"/>
  <c r="BH197" i="25"/>
  <c r="BW197" i="25"/>
  <c r="BU197" i="25"/>
  <c r="BF197" i="25"/>
  <c r="BG72" i="25"/>
  <c r="BJ72" i="25" s="1"/>
  <c r="AR72" i="25"/>
  <c r="BH72" i="25"/>
  <c r="AP72" i="25"/>
  <c r="BW72" i="25"/>
  <c r="BU72" i="25"/>
  <c r="BF72" i="25"/>
  <c r="AU168" i="24"/>
  <c r="BB168" i="24" s="1"/>
  <c r="AW168" i="24"/>
  <c r="AR251" i="25"/>
  <c r="BG251" i="25"/>
  <c r="BJ251" i="25" s="1"/>
  <c r="BH251" i="25"/>
  <c r="AP251" i="25"/>
  <c r="BF251" i="25"/>
  <c r="BW251" i="25"/>
  <c r="BU251" i="25"/>
  <c r="AR270" i="25"/>
  <c r="BG270" i="25"/>
  <c r="BJ270" i="25" s="1"/>
  <c r="BH270" i="25"/>
  <c r="AP270" i="25"/>
  <c r="BU270" i="25"/>
  <c r="BW270" i="25"/>
  <c r="BF270" i="25"/>
  <c r="AW271" i="24"/>
  <c r="AU43" i="24"/>
  <c r="BB43" i="24" s="1"/>
  <c r="AW43" i="24"/>
  <c r="AR25" i="25"/>
  <c r="BG25" i="25"/>
  <c r="BJ25" i="25" s="1"/>
  <c r="BH25" i="25"/>
  <c r="AP25" i="25"/>
  <c r="BW25" i="25"/>
  <c r="BF25" i="25"/>
  <c r="BU25" i="25"/>
  <c r="AU309" i="24"/>
  <c r="BB309" i="24" s="1"/>
  <c r="AW309" i="24"/>
  <c r="AR142" i="25"/>
  <c r="BG142" i="25"/>
  <c r="BJ142" i="25" s="1"/>
  <c r="BH142" i="25"/>
  <c r="AP142" i="25"/>
  <c r="BF142" i="25"/>
  <c r="BU142" i="25"/>
  <c r="BW142" i="25"/>
  <c r="AT155" i="25"/>
  <c r="AY155" i="25" s="1"/>
  <c r="AU155" i="25"/>
  <c r="AU167" i="24"/>
  <c r="BB167" i="24" s="1"/>
  <c r="AW167" i="24"/>
  <c r="AU252" i="24"/>
  <c r="BB252" i="24" s="1"/>
  <c r="AW252" i="24"/>
  <c r="AU300" i="24"/>
  <c r="BB300" i="24" s="1"/>
  <c r="AW300" i="24"/>
  <c r="AW281" i="24"/>
  <c r="AR181" i="25"/>
  <c r="BG181" i="25"/>
  <c r="BJ181" i="25" s="1"/>
  <c r="BH181" i="25"/>
  <c r="AP181" i="25"/>
  <c r="BU181" i="25"/>
  <c r="BW181" i="25"/>
  <c r="BF181" i="25"/>
  <c r="AU72" i="24"/>
  <c r="BB72" i="24" s="1"/>
  <c r="AW72" i="24"/>
  <c r="AT177" i="25"/>
  <c r="AY177" i="25" s="1"/>
  <c r="AU177" i="25"/>
  <c r="AU205" i="24"/>
  <c r="BB205" i="24" s="1"/>
  <c r="AW205" i="24"/>
  <c r="AU227" i="24"/>
  <c r="BB227" i="24" s="1"/>
  <c r="AW227" i="24"/>
  <c r="AU187" i="24"/>
  <c r="BB187" i="24" s="1"/>
  <c r="AW187" i="24"/>
  <c r="AU81" i="24"/>
  <c r="BB81" i="24" s="1"/>
  <c r="AW81" i="24"/>
  <c r="BG225" i="25"/>
  <c r="BJ225" i="25" s="1"/>
  <c r="AR225" i="25"/>
  <c r="BH225" i="25"/>
  <c r="AP225" i="25"/>
  <c r="BF225" i="25"/>
  <c r="BW225" i="25"/>
  <c r="BU225" i="25"/>
  <c r="AR196" i="25"/>
  <c r="BG196" i="25"/>
  <c r="BJ196" i="25" s="1"/>
  <c r="BH196" i="25"/>
  <c r="BF196" i="25"/>
  <c r="BW196" i="25"/>
  <c r="BU196" i="25"/>
  <c r="AU185" i="24"/>
  <c r="BB185" i="24" s="1"/>
  <c r="AW185" i="24"/>
  <c r="AR68" i="25"/>
  <c r="BG68" i="25"/>
  <c r="BJ68" i="25" s="1"/>
  <c r="BH68" i="25"/>
  <c r="AP68" i="25"/>
  <c r="BW68" i="25"/>
  <c r="BU68" i="25"/>
  <c r="BF68" i="25"/>
  <c r="AU310" i="24"/>
  <c r="BB310" i="24" s="1"/>
  <c r="AW310" i="24"/>
  <c r="AR228" i="25"/>
  <c r="BG228" i="25"/>
  <c r="BJ228" i="25" s="1"/>
  <c r="BH228" i="25"/>
  <c r="AP228" i="25"/>
  <c r="BU228" i="25"/>
  <c r="BW228" i="25"/>
  <c r="BF228" i="25"/>
  <c r="AR73" i="25"/>
  <c r="BG73" i="25"/>
  <c r="BJ73" i="25" s="1"/>
  <c r="BH73" i="25"/>
  <c r="AP73" i="25"/>
  <c r="BF73" i="25"/>
  <c r="BW73" i="25"/>
  <c r="BU73" i="25"/>
  <c r="AR298" i="25"/>
  <c r="BG298" i="25"/>
  <c r="BJ298" i="25" s="1"/>
  <c r="BH298" i="25"/>
  <c r="AP298" i="25"/>
  <c r="BF298" i="25"/>
  <c r="BU298" i="25"/>
  <c r="BW298" i="25"/>
  <c r="AR47" i="25"/>
  <c r="BG47" i="25"/>
  <c r="BJ47" i="25" s="1"/>
  <c r="BH47" i="25"/>
  <c r="AP47" i="25"/>
  <c r="BF47" i="25"/>
  <c r="BU47" i="25"/>
  <c r="BW47" i="25"/>
  <c r="AR187" i="25"/>
  <c r="BG187" i="25"/>
  <c r="BJ187" i="25" s="1"/>
  <c r="BH187" i="25"/>
  <c r="AP187" i="25"/>
  <c r="BW187" i="25"/>
  <c r="BF187" i="25"/>
  <c r="BU187" i="25"/>
  <c r="AR272" i="25"/>
  <c r="BG272" i="25"/>
  <c r="BJ272" i="25" s="1"/>
  <c r="BH272" i="25"/>
  <c r="AP272" i="25"/>
  <c r="BF272" i="25"/>
  <c r="BW272" i="25"/>
  <c r="BU272" i="25"/>
  <c r="AU226" i="24"/>
  <c r="BB226" i="24" s="1"/>
  <c r="AW226" i="24"/>
  <c r="AW8" i="24"/>
  <c r="AR118" i="25"/>
  <c r="BG118" i="25"/>
  <c r="BJ118" i="25" s="1"/>
  <c r="BH118" i="25"/>
  <c r="AP118" i="25"/>
  <c r="BF118" i="25"/>
  <c r="BW118" i="25"/>
  <c r="BU118" i="25"/>
  <c r="AR98" i="25"/>
  <c r="BG98" i="25"/>
  <c r="BJ98" i="25" s="1"/>
  <c r="BH98" i="25"/>
  <c r="BW98" i="25"/>
  <c r="BU98" i="25"/>
  <c r="BF98" i="25"/>
  <c r="AR122" i="25"/>
  <c r="BG122" i="25"/>
  <c r="BJ122" i="25" s="1"/>
  <c r="BH122" i="25"/>
  <c r="AP122" i="25"/>
  <c r="BF122" i="25"/>
  <c r="BU122" i="25"/>
  <c r="BW122" i="25"/>
  <c r="AU60" i="24"/>
  <c r="BB60" i="24" s="1"/>
  <c r="AW60" i="24"/>
  <c r="AT240" i="25"/>
  <c r="AU240" i="25"/>
  <c r="BG74" i="25"/>
  <c r="BJ74" i="25" s="1"/>
  <c r="AR74" i="25"/>
  <c r="BH74" i="25"/>
  <c r="AP74" i="25"/>
  <c r="BF74" i="25"/>
  <c r="BU74" i="25"/>
  <c r="BW74" i="25"/>
  <c r="AU306" i="24"/>
  <c r="BB306" i="24" s="1"/>
  <c r="AW306" i="24"/>
  <c r="AR55" i="25"/>
  <c r="BG55" i="25"/>
  <c r="BJ55" i="25" s="1"/>
  <c r="BH55" i="25"/>
  <c r="AP55" i="25"/>
  <c r="BF55" i="25"/>
  <c r="BW55" i="25"/>
  <c r="BU55" i="25"/>
  <c r="AR200" i="25"/>
  <c r="BG200" i="25"/>
  <c r="BJ200" i="25" s="1"/>
  <c r="BH200" i="25"/>
  <c r="BF200" i="25"/>
  <c r="BU200" i="25"/>
  <c r="BW200" i="25"/>
  <c r="AU230" i="24"/>
  <c r="BB230" i="24" s="1"/>
  <c r="AW230" i="24"/>
  <c r="AR54" i="25"/>
  <c r="BG54" i="25"/>
  <c r="BJ54" i="25" s="1"/>
  <c r="BH54" i="25"/>
  <c r="AP54" i="25"/>
  <c r="BF54" i="25"/>
  <c r="BW54" i="25"/>
  <c r="BU54" i="25"/>
  <c r="AU99" i="24"/>
  <c r="BB99" i="24" s="1"/>
  <c r="AW99" i="24"/>
  <c r="AT198" i="25"/>
  <c r="AY198" i="25" s="1"/>
  <c r="AU198" i="25"/>
  <c r="AR78" i="25"/>
  <c r="BG78" i="25"/>
  <c r="BJ78" i="25" s="1"/>
  <c r="BH78" i="25"/>
  <c r="AP78" i="25"/>
  <c r="BF78" i="25"/>
  <c r="BW78" i="25"/>
  <c r="BU78" i="25"/>
  <c r="AR191" i="25"/>
  <c r="BG191" i="25"/>
  <c r="BJ191" i="25" s="1"/>
  <c r="BH191" i="25"/>
  <c r="AP191" i="25"/>
  <c r="BF191" i="25"/>
  <c r="BU191" i="25"/>
  <c r="BW191" i="25"/>
  <c r="BD22" i="24"/>
  <c r="AY22" i="24"/>
  <c r="AZ22" i="24" s="1"/>
  <c r="BE22" i="24"/>
  <c r="BT22" i="24" s="1"/>
  <c r="AU80" i="24"/>
  <c r="BB80" i="24" s="1"/>
  <c r="AW80" i="24"/>
  <c r="BG150" i="25"/>
  <c r="BJ150" i="25" s="1"/>
  <c r="AR150" i="25"/>
  <c r="BH150" i="25"/>
  <c r="AP150" i="25"/>
  <c r="BF150" i="25"/>
  <c r="BU150" i="25"/>
  <c r="BW150" i="25"/>
  <c r="AU84" i="24"/>
  <c r="BB84" i="24" s="1"/>
  <c r="AW84" i="24"/>
  <c r="AU166" i="24"/>
  <c r="BB166" i="24" s="1"/>
  <c r="AW166" i="24"/>
  <c r="AU316" i="24"/>
  <c r="BB316" i="24" s="1"/>
  <c r="AW316" i="24"/>
  <c r="AR116" i="25"/>
  <c r="BG116" i="25"/>
  <c r="BJ116" i="25" s="1"/>
  <c r="BH116" i="25"/>
  <c r="AP116" i="25"/>
  <c r="BW116" i="25"/>
  <c r="BF116" i="25"/>
  <c r="BU116" i="25"/>
  <c r="AU150" i="24"/>
  <c r="BB150" i="24" s="1"/>
  <c r="AW150" i="24"/>
  <c r="AR226" i="25"/>
  <c r="BG226" i="25"/>
  <c r="BJ226" i="25" s="1"/>
  <c r="BH226" i="25"/>
  <c r="AP226" i="25"/>
  <c r="BU226" i="25"/>
  <c r="BW226" i="25"/>
  <c r="BF226" i="25"/>
  <c r="AR88" i="25"/>
  <c r="BG88" i="25"/>
  <c r="BJ88" i="25" s="1"/>
  <c r="BH88" i="25"/>
  <c r="AP88" i="25"/>
  <c r="BW88" i="25"/>
  <c r="BU88" i="25"/>
  <c r="BF88" i="25"/>
  <c r="AR302" i="25"/>
  <c r="BG302" i="25"/>
  <c r="BJ302" i="25" s="1"/>
  <c r="BH302" i="25"/>
  <c r="AP302" i="25"/>
  <c r="BW302" i="25"/>
  <c r="BF302" i="25"/>
  <c r="BU302" i="25"/>
  <c r="AR64" i="25"/>
  <c r="BG64" i="25"/>
  <c r="BJ64" i="25" s="1"/>
  <c r="BH64" i="25"/>
  <c r="AP64" i="25"/>
  <c r="BF64" i="25"/>
  <c r="BW64" i="25"/>
  <c r="BU64" i="25"/>
  <c r="AU268" i="24"/>
  <c r="BB268" i="24" s="1"/>
  <c r="AW268" i="24"/>
  <c r="AW155" i="24"/>
  <c r="AU171" i="24"/>
  <c r="BB171" i="24" s="1"/>
  <c r="AW171" i="24"/>
  <c r="AT190" i="25"/>
  <c r="AY190" i="25" s="1"/>
  <c r="AU190" i="25"/>
  <c r="AT305" i="25"/>
  <c r="AU305" i="25"/>
  <c r="AW59" i="24"/>
  <c r="AR245" i="25"/>
  <c r="BG245" i="25"/>
  <c r="BJ245" i="25" s="1"/>
  <c r="BH245" i="25"/>
  <c r="AP245" i="25"/>
  <c r="BF245" i="25"/>
  <c r="BW245" i="25"/>
  <c r="BU245" i="25"/>
  <c r="AR288" i="25"/>
  <c r="BG288" i="25"/>
  <c r="BJ288" i="25" s="1"/>
  <c r="BH288" i="25"/>
  <c r="AP288" i="25"/>
  <c r="BF288" i="25"/>
  <c r="BW288" i="25"/>
  <c r="BU288" i="25"/>
  <c r="BG223" i="25"/>
  <c r="BJ223" i="25" s="1"/>
  <c r="AR223" i="25"/>
  <c r="BH223" i="25"/>
  <c r="AP223" i="25"/>
  <c r="BF223" i="25"/>
  <c r="BW223" i="25"/>
  <c r="BU223" i="25"/>
  <c r="AR315" i="25"/>
  <c r="BG315" i="25"/>
  <c r="BJ315" i="25" s="1"/>
  <c r="BH315" i="25"/>
  <c r="AP315" i="25"/>
  <c r="BU315" i="25"/>
  <c r="BW315" i="25"/>
  <c r="BF315" i="25"/>
  <c r="AR278" i="25"/>
  <c r="BG278" i="25"/>
  <c r="BJ278" i="25" s="1"/>
  <c r="BH278" i="25"/>
  <c r="AP278" i="25"/>
  <c r="BF278" i="25"/>
  <c r="BW278" i="25"/>
  <c r="BU278" i="25"/>
  <c r="BG139" i="25"/>
  <c r="BJ139" i="25" s="1"/>
  <c r="AR139" i="25"/>
  <c r="BH139" i="25"/>
  <c r="AP139" i="25"/>
  <c r="BU139" i="25"/>
  <c r="BW139" i="25"/>
  <c r="BF139" i="25"/>
  <c r="AR136" i="25"/>
  <c r="BG136" i="25"/>
  <c r="BJ136" i="25" s="1"/>
  <c r="BH136" i="25"/>
  <c r="AP136" i="25"/>
  <c r="BF136" i="25"/>
  <c r="BW136" i="25"/>
  <c r="BU136" i="25"/>
  <c r="AU23" i="24"/>
  <c r="BB23" i="24" s="1"/>
  <c r="AW23" i="24"/>
  <c r="AU94" i="24"/>
  <c r="BB94" i="24" s="1"/>
  <c r="AW94" i="24"/>
  <c r="AU189" i="24"/>
  <c r="BB189" i="24" s="1"/>
  <c r="AW189" i="24"/>
  <c r="AT243" i="25"/>
  <c r="AU243" i="25"/>
  <c r="AU144" i="24"/>
  <c r="BB144" i="24" s="1"/>
  <c r="AW144" i="24"/>
  <c r="AR145" i="25"/>
  <c r="BG145" i="25"/>
  <c r="BJ145" i="25" s="1"/>
  <c r="BH145" i="25"/>
  <c r="AP145" i="25"/>
  <c r="BW145" i="25"/>
  <c r="BU145" i="25"/>
  <c r="BF145" i="25"/>
  <c r="AU170" i="24"/>
  <c r="BB170" i="24" s="1"/>
  <c r="AW170" i="24"/>
  <c r="AU315" i="24"/>
  <c r="BB315" i="24" s="1"/>
  <c r="AW315" i="24"/>
  <c r="AW123" i="24"/>
  <c r="AT21" i="25"/>
  <c r="AY21" i="25" s="1"/>
  <c r="AU21" i="25"/>
  <c r="AR221" i="25"/>
  <c r="BG221" i="25"/>
  <c r="BJ221" i="25" s="1"/>
  <c r="BH221" i="25"/>
  <c r="AP221" i="25"/>
  <c r="BU221" i="25"/>
  <c r="BW221" i="25"/>
  <c r="BF221" i="25"/>
  <c r="AU200" i="24"/>
  <c r="BB200" i="24" s="1"/>
  <c r="AW200" i="24"/>
  <c r="AU124" i="24"/>
  <c r="BB124" i="24" s="1"/>
  <c r="AW124" i="24"/>
  <c r="BE55" i="24"/>
  <c r="BT55" i="24" s="1"/>
  <c r="BD55" i="24"/>
  <c r="AY55" i="24"/>
  <c r="AZ55" i="24" s="1"/>
  <c r="AR180" i="25"/>
  <c r="BG180" i="25"/>
  <c r="BJ180" i="25" s="1"/>
  <c r="BH180" i="25"/>
  <c r="AP180" i="25"/>
  <c r="BU180" i="25"/>
  <c r="BW180" i="25"/>
  <c r="BF180" i="25"/>
  <c r="AU89" i="24"/>
  <c r="BB89" i="24" s="1"/>
  <c r="AW89" i="24"/>
  <c r="AW125" i="24"/>
  <c r="AU256" i="24"/>
  <c r="BB256" i="24" s="1"/>
  <c r="AW256" i="24"/>
  <c r="AW35" i="24"/>
  <c r="AR203" i="25"/>
  <c r="BG203" i="25"/>
  <c r="BJ203" i="25" s="1"/>
  <c r="BH203" i="25"/>
  <c r="BF203" i="25"/>
  <c r="BW203" i="25"/>
  <c r="BU203" i="25"/>
  <c r="AU62" i="24"/>
  <c r="BB62" i="24" s="1"/>
  <c r="AW62" i="24"/>
  <c r="AR168" i="25"/>
  <c r="BG168" i="25"/>
  <c r="BJ168" i="25" s="1"/>
  <c r="BH168" i="25"/>
  <c r="AP168" i="25"/>
  <c r="BF168" i="25"/>
  <c r="BW168" i="25"/>
  <c r="BU168" i="25"/>
  <c r="AR297" i="25"/>
  <c r="BG297" i="25"/>
  <c r="BJ297" i="25" s="1"/>
  <c r="BH297" i="25"/>
  <c r="AP297" i="25"/>
  <c r="BW297" i="25"/>
  <c r="BF297" i="25"/>
  <c r="BU297" i="25"/>
  <c r="AU61" i="24"/>
  <c r="BB61" i="24" s="1"/>
  <c r="AW61" i="24"/>
  <c r="AU183" i="24"/>
  <c r="BB183" i="24" s="1"/>
  <c r="AW183" i="24"/>
  <c r="AR100" i="25"/>
  <c r="BG100" i="25"/>
  <c r="BJ100" i="25" s="1"/>
  <c r="BH100" i="25"/>
  <c r="BW100" i="25"/>
  <c r="BF100" i="25"/>
  <c r="BU100" i="25"/>
  <c r="AU13" i="24"/>
  <c r="BB13" i="24" s="1"/>
  <c r="AW13" i="24"/>
  <c r="AR176" i="25"/>
  <c r="BG176" i="25"/>
  <c r="BJ176" i="25" s="1"/>
  <c r="BH176" i="25"/>
  <c r="AP176" i="25"/>
  <c r="BF176" i="25"/>
  <c r="BU176" i="25"/>
  <c r="BW176" i="25"/>
  <c r="AU304" i="24"/>
  <c r="BB304" i="24" s="1"/>
  <c r="AW304" i="24"/>
  <c r="AU308" i="24"/>
  <c r="BB308" i="24" s="1"/>
  <c r="AW308" i="24"/>
  <c r="AU163" i="24"/>
  <c r="BB163" i="24" s="1"/>
  <c r="AW163" i="24"/>
  <c r="AR115" i="25"/>
  <c r="BG115" i="25"/>
  <c r="BJ115" i="25" s="1"/>
  <c r="BH115" i="25"/>
  <c r="AP115" i="25"/>
  <c r="BW115" i="25"/>
  <c r="BF115" i="25"/>
  <c r="BU115" i="25"/>
  <c r="AR126" i="25"/>
  <c r="BG126" i="25"/>
  <c r="BJ126" i="25" s="1"/>
  <c r="BH126" i="25"/>
  <c r="AP126" i="25"/>
  <c r="BU126" i="25"/>
  <c r="BW126" i="25"/>
  <c r="BF126" i="25"/>
  <c r="AT71" i="25"/>
  <c r="AY71" i="25" s="1"/>
  <c r="AU71" i="25"/>
  <c r="AU276" i="24"/>
  <c r="BB276" i="24" s="1"/>
  <c r="AW276" i="24"/>
  <c r="AR295" i="25"/>
  <c r="BG295" i="25"/>
  <c r="BJ295" i="25" s="1"/>
  <c r="BH295" i="25"/>
  <c r="AP295" i="25"/>
  <c r="BF295" i="25"/>
  <c r="BW295" i="25"/>
  <c r="BU295" i="25"/>
  <c r="AT276" i="25"/>
  <c r="AU276" i="25"/>
  <c r="AR284" i="25"/>
  <c r="BG284" i="25"/>
  <c r="BJ284" i="25" s="1"/>
  <c r="BH284" i="25"/>
  <c r="AP284" i="25"/>
  <c r="BW284" i="25"/>
  <c r="BU284" i="25"/>
  <c r="BF284" i="25"/>
  <c r="AW249" i="24"/>
  <c r="AR117" i="25"/>
  <c r="BG117" i="25"/>
  <c r="BJ117" i="25" s="1"/>
  <c r="BH117" i="25"/>
  <c r="AP117" i="25"/>
  <c r="BW117" i="25"/>
  <c r="BU117" i="25"/>
  <c r="BF117" i="25"/>
  <c r="AT6" i="25"/>
  <c r="AY6" i="25" s="1"/>
  <c r="AU6" i="25"/>
  <c r="AU195" i="24"/>
  <c r="BB195" i="24" s="1"/>
  <c r="AW195" i="24"/>
  <c r="AR162" i="25"/>
  <c r="BG162" i="25"/>
  <c r="BJ162" i="25" s="1"/>
  <c r="BH162" i="25"/>
  <c r="AP162" i="25"/>
  <c r="BU162" i="25"/>
  <c r="BF162" i="25"/>
  <c r="BW162" i="25"/>
  <c r="AU161" i="24"/>
  <c r="BB161" i="24" s="1"/>
  <c r="AW161" i="24"/>
  <c r="AR133" i="25"/>
  <c r="BG133" i="25"/>
  <c r="BJ133" i="25" s="1"/>
  <c r="BH133" i="25"/>
  <c r="AP133" i="25"/>
  <c r="BF133" i="25"/>
  <c r="BU133" i="25"/>
  <c r="BW133" i="25"/>
  <c r="AU131" i="24"/>
  <c r="BB131" i="24" s="1"/>
  <c r="AW131" i="24"/>
  <c r="AT87" i="25"/>
  <c r="AY87" i="25" s="1"/>
  <c r="AU87" i="25"/>
  <c r="AT28" i="25"/>
  <c r="AY28" i="25" s="1"/>
  <c r="AU28" i="25"/>
  <c r="AW263" i="24"/>
  <c r="AR99" i="25"/>
  <c r="BG99" i="25"/>
  <c r="BJ99" i="25" s="1"/>
  <c r="BH99" i="25"/>
  <c r="BU99" i="25"/>
  <c r="BF99" i="25"/>
  <c r="BW99" i="25"/>
  <c r="AY264" i="24"/>
  <c r="AZ264" i="24" s="1"/>
  <c r="BD264" i="24"/>
  <c r="BE264" i="24"/>
  <c r="BT264" i="24" s="1"/>
  <c r="BG287" i="25"/>
  <c r="BJ287" i="25" s="1"/>
  <c r="AR287" i="25"/>
  <c r="BH287" i="25"/>
  <c r="AP287" i="25"/>
  <c r="BU287" i="25"/>
  <c r="BF287" i="25"/>
  <c r="BW287" i="25"/>
  <c r="AU146" i="24"/>
  <c r="BB146" i="24" s="1"/>
  <c r="AW146" i="24"/>
  <c r="AR138" i="25"/>
  <c r="BG138" i="25"/>
  <c r="BJ138" i="25" s="1"/>
  <c r="BH138" i="25"/>
  <c r="AP138" i="25"/>
  <c r="BF138" i="25"/>
  <c r="BW138" i="25"/>
  <c r="BU138" i="25"/>
  <c r="AU270" i="24"/>
  <c r="BB270" i="24" s="1"/>
  <c r="AW270" i="24"/>
  <c r="AT167" i="25"/>
  <c r="AY167" i="25" s="1"/>
  <c r="AU167" i="25"/>
  <c r="AU158" i="24"/>
  <c r="BB158" i="24" s="1"/>
  <c r="AW158" i="24"/>
  <c r="AY7" i="24"/>
  <c r="AZ7" i="24" s="1"/>
  <c r="BE7" i="24"/>
  <c r="BT7" i="24" s="1"/>
  <c r="BD7" i="24"/>
  <c r="AU180" i="24"/>
  <c r="BB180" i="24" s="1"/>
  <c r="AW180" i="24"/>
  <c r="AW145" i="24"/>
  <c r="AU29" i="24"/>
  <c r="BB29" i="24" s="1"/>
  <c r="AW29" i="24"/>
  <c r="AR202" i="25"/>
  <c r="BG202" i="25"/>
  <c r="BJ202" i="25" s="1"/>
  <c r="BH202" i="25"/>
  <c r="BF202" i="25"/>
  <c r="BW202" i="25"/>
  <c r="BU202" i="25"/>
  <c r="AR44" i="25"/>
  <c r="BG44" i="25"/>
  <c r="BJ44" i="25" s="1"/>
  <c r="BH44" i="25"/>
  <c r="AP44" i="25"/>
  <c r="BW44" i="25"/>
  <c r="BU44" i="25"/>
  <c r="BF44" i="25"/>
  <c r="AT306" i="25"/>
  <c r="AU306" i="25"/>
  <c r="BG101" i="25"/>
  <c r="BJ101" i="25" s="1"/>
  <c r="AR101" i="25"/>
  <c r="BH101" i="25"/>
  <c r="BF101" i="25"/>
  <c r="BW101" i="25"/>
  <c r="BU101" i="25"/>
  <c r="AU143" i="24"/>
  <c r="BB143" i="24" s="1"/>
  <c r="AW143" i="24"/>
  <c r="AU82" i="24"/>
  <c r="BB82" i="24" s="1"/>
  <c r="AW82" i="24"/>
  <c r="AR172" i="25"/>
  <c r="BG172" i="25"/>
  <c r="BJ172" i="25" s="1"/>
  <c r="BH172" i="25"/>
  <c r="AP172" i="25"/>
  <c r="BF172" i="25"/>
  <c r="BW172" i="25"/>
  <c r="BU172" i="25"/>
  <c r="BG316" i="25"/>
  <c r="BJ316" i="25" s="1"/>
  <c r="AR316" i="25"/>
  <c r="BH316" i="25"/>
  <c r="AP316" i="25"/>
  <c r="BF316" i="25"/>
  <c r="BU316" i="25"/>
  <c r="BW316" i="25"/>
  <c r="AT255" i="25"/>
  <c r="AU255" i="25"/>
  <c r="AU169" i="24"/>
  <c r="BB169" i="24" s="1"/>
  <c r="AW169" i="24"/>
  <c r="AR156" i="25"/>
  <c r="BG156" i="25"/>
  <c r="BJ156" i="25" s="1"/>
  <c r="BH156" i="25"/>
  <c r="AP156" i="25"/>
  <c r="BU156" i="25"/>
  <c r="BW156" i="25"/>
  <c r="BF156" i="25"/>
  <c r="AU68" i="24"/>
  <c r="BB68" i="24" s="1"/>
  <c r="AW68" i="24"/>
  <c r="AR216" i="25"/>
  <c r="BG216" i="25"/>
  <c r="BJ216" i="25" s="1"/>
  <c r="BH216" i="25"/>
  <c r="AP216" i="25"/>
  <c r="BF216" i="25"/>
  <c r="BW216" i="25"/>
  <c r="BU216" i="25"/>
  <c r="AT158" i="25"/>
  <c r="AY158" i="25" s="1"/>
  <c r="AU158" i="25"/>
  <c r="AW129" i="24"/>
  <c r="AU86" i="24"/>
  <c r="BB86" i="24" s="1"/>
  <c r="AW86" i="24"/>
  <c r="AW290" i="24"/>
  <c r="BG185" i="25"/>
  <c r="BJ185" i="25" s="1"/>
  <c r="AR185" i="25"/>
  <c r="BH185" i="25"/>
  <c r="AP185" i="25"/>
  <c r="BF185" i="25"/>
  <c r="BW185" i="25"/>
  <c r="BU185" i="25"/>
  <c r="AR281" i="25"/>
  <c r="BG281" i="25"/>
  <c r="BJ281" i="25" s="1"/>
  <c r="BH281" i="25"/>
  <c r="AP281" i="25"/>
  <c r="BU281" i="25"/>
  <c r="BW281" i="25"/>
  <c r="BF281" i="25"/>
  <c r="AU289" i="24"/>
  <c r="BB289" i="24" s="1"/>
  <c r="AW289" i="24"/>
  <c r="AU64" i="24"/>
  <c r="BB64" i="24" s="1"/>
  <c r="AW64" i="24"/>
  <c r="AT261" i="25"/>
  <c r="AU261" i="25"/>
  <c r="AU174" i="24"/>
  <c r="BB174" i="24" s="1"/>
  <c r="AW174" i="24"/>
  <c r="AU221" i="24"/>
  <c r="BB221" i="24" s="1"/>
  <c r="AW221" i="24"/>
  <c r="AR48" i="25"/>
  <c r="BG48" i="25"/>
  <c r="BJ48" i="25" s="1"/>
  <c r="BH48" i="25"/>
  <c r="AP48" i="25"/>
  <c r="BF48" i="25"/>
  <c r="BU48" i="25"/>
  <c r="BW48" i="25"/>
  <c r="AU192" i="24"/>
  <c r="BB192" i="24" s="1"/>
  <c r="AW192" i="24"/>
  <c r="AT229" i="25"/>
  <c r="AU229" i="25"/>
  <c r="AU156" i="24"/>
  <c r="BB156" i="24" s="1"/>
  <c r="AW156" i="24"/>
  <c r="AR57" i="25"/>
  <c r="BG57" i="25"/>
  <c r="BJ57" i="25" s="1"/>
  <c r="BH57" i="25"/>
  <c r="AP57" i="25"/>
  <c r="BF57" i="25"/>
  <c r="BU57" i="25"/>
  <c r="BW57" i="25"/>
  <c r="AU149" i="24"/>
  <c r="BB149" i="24" s="1"/>
  <c r="AW149" i="24"/>
  <c r="AR220" i="25"/>
  <c r="BG220" i="25"/>
  <c r="BJ220" i="25" s="1"/>
  <c r="BH220" i="25"/>
  <c r="AP220" i="25"/>
  <c r="BF220" i="25"/>
  <c r="BW220" i="25"/>
  <c r="BU220" i="25"/>
  <c r="BE132" i="24"/>
  <c r="BT132" i="24" s="1"/>
  <c r="BD132" i="24"/>
  <c r="AY132" i="24"/>
  <c r="AZ132" i="24" s="1"/>
  <c r="AT174" i="25"/>
  <c r="AY174" i="25" s="1"/>
  <c r="AU174" i="25"/>
  <c r="AT32" i="25"/>
  <c r="AY32" i="25" s="1"/>
  <c r="AU32" i="25"/>
  <c r="AT94" i="25"/>
  <c r="AY94" i="25" s="1"/>
  <c r="AU94" i="25"/>
  <c r="AR210" i="25"/>
  <c r="BG210" i="25"/>
  <c r="BJ210" i="25" s="1"/>
  <c r="BH210" i="25"/>
  <c r="BF210" i="25"/>
  <c r="BU210" i="25"/>
  <c r="BW210" i="25"/>
  <c r="AR182" i="25"/>
  <c r="BG182" i="25"/>
  <c r="BJ182" i="25" s="1"/>
  <c r="BH182" i="25"/>
  <c r="AP182" i="25"/>
  <c r="BF182" i="25"/>
  <c r="BW182" i="25"/>
  <c r="BU182" i="25"/>
  <c r="AU277" i="24"/>
  <c r="BB277" i="24" s="1"/>
  <c r="AW277" i="24"/>
  <c r="AU154" i="24"/>
  <c r="BB154" i="24" s="1"/>
  <c r="AW154" i="24"/>
  <c r="AW17" i="24"/>
  <c r="BG39" i="25"/>
  <c r="BJ39" i="25" s="1"/>
  <c r="AR39" i="25"/>
  <c r="BH39" i="25"/>
  <c r="AP39" i="25"/>
  <c r="BF39" i="25"/>
  <c r="BU39" i="25"/>
  <c r="BW39" i="25"/>
  <c r="AW301" i="24"/>
  <c r="AR26" i="25"/>
  <c r="BG26" i="25"/>
  <c r="BJ26" i="25" s="1"/>
  <c r="BH26" i="25"/>
  <c r="AP26" i="25"/>
  <c r="BF26" i="25"/>
  <c r="BW26" i="25"/>
  <c r="BU26" i="25"/>
  <c r="BG163" i="25"/>
  <c r="BJ163" i="25" s="1"/>
  <c r="AR163" i="25"/>
  <c r="BH163" i="25"/>
  <c r="AP163" i="25"/>
  <c r="BU163" i="25"/>
  <c r="BW163" i="25"/>
  <c r="BF163" i="25"/>
  <c r="AW274" i="24"/>
  <c r="AU69" i="24"/>
  <c r="BB69" i="24" s="1"/>
  <c r="AW69" i="24"/>
  <c r="AU27" i="24"/>
  <c r="BB27" i="24" s="1"/>
  <c r="AW27" i="24"/>
  <c r="AR299" i="25"/>
  <c r="BG299" i="25"/>
  <c r="BJ299" i="25" s="1"/>
  <c r="BH299" i="25"/>
  <c r="AP299" i="25"/>
  <c r="BU299" i="25"/>
  <c r="BF299" i="25"/>
  <c r="BW299" i="25"/>
  <c r="AT273" i="25"/>
  <c r="AU273" i="25"/>
  <c r="AW273" i="24"/>
  <c r="AR81" i="25"/>
  <c r="BG81" i="25"/>
  <c r="BJ81" i="25" s="1"/>
  <c r="BH81" i="25"/>
  <c r="AP81" i="25"/>
  <c r="BF81" i="25"/>
  <c r="BW81" i="25"/>
  <c r="BU81" i="25"/>
  <c r="AW48" i="24"/>
  <c r="BG76" i="25"/>
  <c r="BJ76" i="25" s="1"/>
  <c r="AR76" i="25"/>
  <c r="BH76" i="25"/>
  <c r="AP76" i="25"/>
  <c r="BF76" i="25"/>
  <c r="BU76" i="25"/>
  <c r="BW76" i="25"/>
  <c r="AR134" i="25"/>
  <c r="BG134" i="25"/>
  <c r="BJ134" i="25" s="1"/>
  <c r="BH134" i="25"/>
  <c r="AP134" i="25"/>
  <c r="BW134" i="25"/>
  <c r="BU134" i="25"/>
  <c r="BF134" i="25"/>
  <c r="AR38" i="25"/>
  <c r="BG38" i="25"/>
  <c r="BJ38" i="25" s="1"/>
  <c r="BH38" i="25"/>
  <c r="AP38" i="25"/>
  <c r="BF38" i="25"/>
  <c r="BW38" i="25"/>
  <c r="BU38" i="25"/>
  <c r="AU75" i="24"/>
  <c r="BB75" i="24" s="1"/>
  <c r="AW75" i="24"/>
  <c r="AR224" i="25"/>
  <c r="BG224" i="25"/>
  <c r="BJ224" i="25" s="1"/>
  <c r="BH224" i="25"/>
  <c r="AP224" i="25"/>
  <c r="BU224" i="25"/>
  <c r="BW224" i="25"/>
  <c r="BF224" i="25"/>
  <c r="AU217" i="24"/>
  <c r="BB217" i="24" s="1"/>
  <c r="AW217" i="24"/>
  <c r="AR70" i="25"/>
  <c r="BG70" i="25"/>
  <c r="BJ70" i="25" s="1"/>
  <c r="BH70" i="25"/>
  <c r="AP70" i="25"/>
  <c r="BF70" i="25"/>
  <c r="BW70" i="25"/>
  <c r="BU70" i="25"/>
  <c r="BD44" i="24"/>
  <c r="BE44" i="24"/>
  <c r="BT44" i="24" s="1"/>
  <c r="AY44" i="24"/>
  <c r="AZ44" i="24" s="1"/>
  <c r="AT296" i="25"/>
  <c r="AU296" i="25"/>
  <c r="AU76" i="24"/>
  <c r="BB76" i="24" s="1"/>
  <c r="AW76" i="24"/>
  <c r="AR151" i="25"/>
  <c r="BG151" i="25"/>
  <c r="BJ151" i="25" s="1"/>
  <c r="BH151" i="25"/>
  <c r="AP151" i="25"/>
  <c r="BF151" i="25"/>
  <c r="BU151" i="25"/>
  <c r="BW151" i="25"/>
  <c r="AT189" i="25"/>
  <c r="AY189" i="25" s="1"/>
  <c r="AU189" i="25"/>
  <c r="AR140" i="25"/>
  <c r="BG140" i="25"/>
  <c r="BJ140" i="25" s="1"/>
  <c r="BH140" i="25"/>
  <c r="AP140" i="25"/>
  <c r="BF140" i="25"/>
  <c r="BU140" i="25"/>
  <c r="BW140" i="25"/>
  <c r="BE101" i="24"/>
  <c r="BT101" i="24" s="1"/>
  <c r="BD101" i="24"/>
  <c r="AY101" i="24"/>
  <c r="AZ101" i="24" s="1"/>
  <c r="AR254" i="25"/>
  <c r="BG254" i="25"/>
  <c r="BJ254" i="25" s="1"/>
  <c r="BH254" i="25"/>
  <c r="AP254" i="25"/>
  <c r="BF254" i="25"/>
  <c r="BW254" i="25"/>
  <c r="BU254" i="25"/>
  <c r="AT293" i="25"/>
  <c r="AU293" i="25"/>
  <c r="AW269" i="24"/>
  <c r="AU312" i="24"/>
  <c r="BB312" i="24" s="1"/>
  <c r="AW312" i="24"/>
  <c r="AU198" i="24"/>
  <c r="BB198" i="24" s="1"/>
  <c r="AW198" i="24"/>
  <c r="AR130" i="25"/>
  <c r="BG130" i="25"/>
  <c r="BJ130" i="25" s="1"/>
  <c r="BH130" i="25"/>
  <c r="AP130" i="25"/>
  <c r="BF130" i="25"/>
  <c r="BU130" i="25"/>
  <c r="BW130" i="25"/>
  <c r="AR279" i="25"/>
  <c r="BG279" i="25"/>
  <c r="BJ279" i="25" s="1"/>
  <c r="BH279" i="25"/>
  <c r="AP279" i="25"/>
  <c r="BF279" i="25"/>
  <c r="BU279" i="25"/>
  <c r="BW279" i="25"/>
  <c r="AR308" i="25"/>
  <c r="BG308" i="25"/>
  <c r="BJ308" i="25" s="1"/>
  <c r="BH308" i="25"/>
  <c r="AP308" i="25"/>
  <c r="BW308" i="25"/>
  <c r="BU308" i="25"/>
  <c r="BF308" i="25"/>
  <c r="AU151" i="24"/>
  <c r="BB151" i="24" s="1"/>
  <c r="AW151" i="24"/>
  <c r="AU176" i="24"/>
  <c r="BB176" i="24" s="1"/>
  <c r="AW176" i="24"/>
  <c r="AU182" i="24"/>
  <c r="BB182" i="24" s="1"/>
  <c r="AW182" i="24"/>
  <c r="BG66" i="25"/>
  <c r="BJ66" i="25" s="1"/>
  <c r="AR66" i="25"/>
  <c r="BH66" i="25"/>
  <c r="AP66" i="25"/>
  <c r="BF66" i="25"/>
  <c r="BU66" i="25"/>
  <c r="BW66" i="25"/>
  <c r="AT148" i="25"/>
  <c r="AY148" i="25" s="1"/>
  <c r="AU148" i="25"/>
  <c r="AU98" i="24"/>
  <c r="BB98" i="24" s="1"/>
  <c r="AW98" i="24"/>
  <c r="AU287" i="24"/>
  <c r="BB287" i="24" s="1"/>
  <c r="AW287" i="24"/>
  <c r="AR304" i="25"/>
  <c r="BG304" i="25"/>
  <c r="BJ304" i="25" s="1"/>
  <c r="BH304" i="25"/>
  <c r="AP304" i="25"/>
  <c r="BW304" i="25"/>
  <c r="BU304" i="25"/>
  <c r="BF304" i="25"/>
  <c r="AT201" i="25"/>
  <c r="AY201" i="25" s="1"/>
  <c r="AU201" i="25"/>
  <c r="AT96" i="25" l="1"/>
  <c r="AY96" i="25" s="1"/>
  <c r="AT258" i="25"/>
  <c r="BD12" i="24"/>
  <c r="BG12" i="24" s="1"/>
  <c r="BM12" i="24" s="1"/>
  <c r="AU97" i="25"/>
  <c r="BE240" i="24"/>
  <c r="BT240" i="24" s="1"/>
  <c r="BD283" i="24"/>
  <c r="BS283" i="24" s="1"/>
  <c r="BD147" i="24"/>
  <c r="BG147" i="24" s="1"/>
  <c r="AY147" i="24"/>
  <c r="AZ147" i="24" s="1"/>
  <c r="BX292" i="24"/>
  <c r="AT179" i="25"/>
  <c r="AY179" i="25" s="1"/>
  <c r="AU265" i="25"/>
  <c r="BD18" i="24"/>
  <c r="BS18" i="24" s="1"/>
  <c r="BV18" i="24" s="1"/>
  <c r="BX18" i="24" s="1"/>
  <c r="AU154" i="25"/>
  <c r="BB154" i="25" s="1"/>
  <c r="BS154" i="25" s="1"/>
  <c r="BE259" i="24"/>
  <c r="BT259" i="24" s="1"/>
  <c r="BE283" i="24"/>
  <c r="BT283" i="24" s="1"/>
  <c r="BD219" i="24"/>
  <c r="BG219" i="24" s="1"/>
  <c r="BE219" i="24"/>
  <c r="BT219" i="24" s="1"/>
  <c r="BE260" i="24"/>
  <c r="BT260" i="24" s="1"/>
  <c r="BE265" i="24"/>
  <c r="BT265" i="24" s="1"/>
  <c r="AY260" i="24"/>
  <c r="AZ260" i="24" s="1"/>
  <c r="BD265" i="24"/>
  <c r="BG265" i="24" s="1"/>
  <c r="AY12" i="24"/>
  <c r="AZ12" i="24" s="1"/>
  <c r="BE111" i="24"/>
  <c r="BT111" i="24" s="1"/>
  <c r="AY111" i="24"/>
  <c r="AZ111" i="24" s="1"/>
  <c r="BE120" i="24"/>
  <c r="BT120" i="24" s="1"/>
  <c r="AY305" i="24"/>
  <c r="AZ305" i="24" s="1"/>
  <c r="BD120" i="24"/>
  <c r="BS120" i="24" s="1"/>
  <c r="AY18" i="24"/>
  <c r="AZ18" i="24" s="1"/>
  <c r="AY259" i="24"/>
  <c r="AZ259" i="24" s="1"/>
  <c r="AY240" i="24"/>
  <c r="AZ240" i="24" s="1"/>
  <c r="BE242" i="24"/>
  <c r="BT242" i="24" s="1"/>
  <c r="BD242" i="24"/>
  <c r="BG242" i="24" s="1"/>
  <c r="BE135" i="24"/>
  <c r="BT135" i="24" s="1"/>
  <c r="AY135" i="24"/>
  <c r="AZ135" i="24" s="1"/>
  <c r="BD295" i="24"/>
  <c r="BG295" i="24" s="1"/>
  <c r="BE295" i="24"/>
  <c r="BT295" i="24" s="1"/>
  <c r="BD298" i="24"/>
  <c r="BG298" i="24" s="1"/>
  <c r="AY298" i="24"/>
  <c r="AZ298" i="24" s="1"/>
  <c r="BE26" i="24"/>
  <c r="BT26" i="24" s="1"/>
  <c r="BD112" i="24"/>
  <c r="BG112" i="24" s="1"/>
  <c r="AY248" i="24"/>
  <c r="AZ248" i="24" s="1"/>
  <c r="BD121" i="24"/>
  <c r="BS121" i="24" s="1"/>
  <c r="BE121" i="24"/>
  <c r="BT121" i="24" s="1"/>
  <c r="BD34" i="24"/>
  <c r="BG34" i="24" s="1"/>
  <c r="BM34" i="24" s="1"/>
  <c r="AY19" i="24"/>
  <c r="AZ19" i="24" s="1"/>
  <c r="BE247" i="24"/>
  <c r="BT247" i="24" s="1"/>
  <c r="BE19" i="24"/>
  <c r="BT19" i="24" s="1"/>
  <c r="AY279" i="24"/>
  <c r="AZ279" i="24" s="1"/>
  <c r="BD279" i="24"/>
  <c r="BG279" i="24" s="1"/>
  <c r="BE117" i="24"/>
  <c r="BT117" i="24" s="1"/>
  <c r="BD253" i="24"/>
  <c r="BG253" i="24" s="1"/>
  <c r="AY253" i="24"/>
  <c r="AZ253" i="24" s="1"/>
  <c r="BE296" i="24"/>
  <c r="BT296" i="24" s="1"/>
  <c r="BD296" i="24"/>
  <c r="BG296" i="24" s="1"/>
  <c r="BD26" i="24"/>
  <c r="BS26" i="24" s="1"/>
  <c r="AY228" i="24"/>
  <c r="AZ228" i="24" s="1"/>
  <c r="BD20" i="24"/>
  <c r="BG20" i="24" s="1"/>
  <c r="BM20" i="24" s="1"/>
  <c r="BD247" i="24"/>
  <c r="BG247" i="24" s="1"/>
  <c r="BD232" i="24"/>
  <c r="BG232" i="24" s="1"/>
  <c r="AY232" i="24"/>
  <c r="AZ232" i="24" s="1"/>
  <c r="AY20" i="24"/>
  <c r="AZ20" i="24" s="1"/>
  <c r="BE34" i="24"/>
  <c r="BT34" i="24" s="1"/>
  <c r="BD228" i="24"/>
  <c r="BS228" i="24" s="1"/>
  <c r="BX228" i="24" s="1"/>
  <c r="BE130" i="24"/>
  <c r="BT130" i="24" s="1"/>
  <c r="BD130" i="24"/>
  <c r="BG130" i="24" s="1"/>
  <c r="BD28" i="24"/>
  <c r="BS28" i="24" s="1"/>
  <c r="BV28" i="24" s="1"/>
  <c r="BX28" i="24" s="1"/>
  <c r="BD238" i="24"/>
  <c r="BG238" i="24" s="1"/>
  <c r="AY280" i="24"/>
  <c r="AZ280" i="24" s="1"/>
  <c r="AY28" i="24"/>
  <c r="AZ28" i="24" s="1"/>
  <c r="BE238" i="24"/>
  <c r="BT238" i="24" s="1"/>
  <c r="AY33" i="24"/>
  <c r="AZ33" i="24" s="1"/>
  <c r="BD280" i="24"/>
  <c r="BG280" i="24" s="1"/>
  <c r="AY6" i="24"/>
  <c r="AZ6" i="24" s="1"/>
  <c r="BE152" i="24"/>
  <c r="BT152" i="24" s="1"/>
  <c r="BD152" i="24"/>
  <c r="BS152" i="24" s="1"/>
  <c r="AY282" i="24"/>
  <c r="AZ282" i="24" s="1"/>
  <c r="AT237" i="25"/>
  <c r="AU237" i="25"/>
  <c r="AS212" i="25"/>
  <c r="AF212" i="25"/>
  <c r="AE212" i="25"/>
  <c r="BD282" i="24"/>
  <c r="BG282" i="24" s="1"/>
  <c r="BE6" i="24"/>
  <c r="BT6" i="24" s="1"/>
  <c r="BE112" i="24"/>
  <c r="BT112" i="24" s="1"/>
  <c r="AY224" i="24"/>
  <c r="AZ224" i="24" s="1"/>
  <c r="BD117" i="24"/>
  <c r="BG117" i="24" s="1"/>
  <c r="BD224" i="24"/>
  <c r="BS224" i="24" s="1"/>
  <c r="BX224" i="24" s="1"/>
  <c r="BE58" i="24"/>
  <c r="BT58" i="24" s="1"/>
  <c r="BD299" i="24"/>
  <c r="BG299" i="24" s="1"/>
  <c r="BD148" i="24"/>
  <c r="BG148" i="24" s="1"/>
  <c r="AY58" i="24"/>
  <c r="AZ58" i="24" s="1"/>
  <c r="AY148" i="24"/>
  <c r="AZ148" i="24" s="1"/>
  <c r="BE33" i="24"/>
  <c r="BT33" i="24" s="1"/>
  <c r="BE248" i="24"/>
  <c r="BT248" i="24" s="1"/>
  <c r="AT77" i="25"/>
  <c r="AY77" i="25" s="1"/>
  <c r="AU77" i="25"/>
  <c r="BE299" i="24"/>
  <c r="BT299" i="24" s="1"/>
  <c r="BD54" i="24"/>
  <c r="BG54" i="24" s="1"/>
  <c r="BM54" i="24" s="1"/>
  <c r="AY24" i="24"/>
  <c r="AZ24" i="24" s="1"/>
  <c r="AY54" i="24"/>
  <c r="AZ54" i="24" s="1"/>
  <c r="BD24" i="24"/>
  <c r="BG24" i="24" s="1"/>
  <c r="BM24" i="24" s="1"/>
  <c r="BD305" i="24"/>
  <c r="BG305" i="24" s="1"/>
  <c r="BE269" i="24"/>
  <c r="BT269" i="24" s="1"/>
  <c r="AY269" i="24"/>
  <c r="AZ269" i="24" s="1"/>
  <c r="BD269" i="24"/>
  <c r="AT163" i="25"/>
  <c r="AY163" i="25" s="1"/>
  <c r="AU163" i="25"/>
  <c r="AT66" i="25"/>
  <c r="AY66" i="25" s="1"/>
  <c r="AU66" i="25"/>
  <c r="AT130" i="25"/>
  <c r="AY130" i="25" s="1"/>
  <c r="AU130" i="25"/>
  <c r="AT140" i="25"/>
  <c r="AY140" i="25" s="1"/>
  <c r="AU140" i="25"/>
  <c r="BB296" i="25"/>
  <c r="BS296" i="25" s="1"/>
  <c r="BA296" i="25"/>
  <c r="BC296" i="25"/>
  <c r="BT296" i="25" s="1"/>
  <c r="AT224" i="25"/>
  <c r="AU224" i="25"/>
  <c r="AT134" i="25"/>
  <c r="AY134" i="25" s="1"/>
  <c r="AU134" i="25"/>
  <c r="AT26" i="25"/>
  <c r="AY26" i="25" s="1"/>
  <c r="AU26" i="25"/>
  <c r="BE154" i="24"/>
  <c r="BT154" i="24" s="1"/>
  <c r="AY154" i="24"/>
  <c r="AZ154" i="24" s="1"/>
  <c r="BD154" i="24"/>
  <c r="AT220" i="25"/>
  <c r="AU220" i="25"/>
  <c r="L16" i="1"/>
  <c r="BE169" i="24"/>
  <c r="BT169" i="24" s="1"/>
  <c r="BD169" i="24"/>
  <c r="AY169" i="24"/>
  <c r="AZ169" i="24" s="1"/>
  <c r="AT101" i="25"/>
  <c r="AY101" i="25" s="1"/>
  <c r="AU101" i="25"/>
  <c r="AY29" i="24"/>
  <c r="AZ29" i="24" s="1"/>
  <c r="BD29" i="24"/>
  <c r="BE29" i="24"/>
  <c r="BT29" i="24" s="1"/>
  <c r="AT133" i="25"/>
  <c r="AY133" i="25" s="1"/>
  <c r="AU133" i="25"/>
  <c r="BG120" i="24"/>
  <c r="AT297" i="25"/>
  <c r="AU297" i="25"/>
  <c r="BD144" i="24"/>
  <c r="BE144" i="24"/>
  <c r="BT144" i="24" s="1"/>
  <c r="AY144" i="24"/>
  <c r="AZ144" i="24" s="1"/>
  <c r="AT139" i="25"/>
  <c r="AY139" i="25" s="1"/>
  <c r="AU139" i="25"/>
  <c r="AT278" i="25"/>
  <c r="AU278" i="25"/>
  <c r="AT315" i="25"/>
  <c r="AU315" i="25"/>
  <c r="BD171" i="24"/>
  <c r="AY171" i="24"/>
  <c r="AZ171" i="24" s="1"/>
  <c r="BE171" i="24"/>
  <c r="BT171" i="24" s="1"/>
  <c r="BD316" i="24"/>
  <c r="BE316" i="24"/>
  <c r="BT316" i="24" s="1"/>
  <c r="AY316" i="24"/>
  <c r="AZ316" i="24" s="1"/>
  <c r="BB198" i="25"/>
  <c r="BS198" i="25" s="1"/>
  <c r="BC198" i="25"/>
  <c r="BT198" i="25" s="1"/>
  <c r="BA198" i="25"/>
  <c r="BD99" i="24"/>
  <c r="AY99" i="24"/>
  <c r="AZ99" i="24" s="1"/>
  <c r="BE99" i="24"/>
  <c r="BT99" i="24" s="1"/>
  <c r="BD306" i="24"/>
  <c r="BE306" i="24"/>
  <c r="BT306" i="24" s="1"/>
  <c r="AY306" i="24"/>
  <c r="AZ306" i="24" s="1"/>
  <c r="AT118" i="25"/>
  <c r="AY118" i="25" s="1"/>
  <c r="AU118" i="25"/>
  <c r="BD310" i="24"/>
  <c r="AY310" i="24"/>
  <c r="AZ310" i="24" s="1"/>
  <c r="BE310" i="24"/>
  <c r="BT310" i="24" s="1"/>
  <c r="AT68" i="25"/>
  <c r="AY68" i="25" s="1"/>
  <c r="AU68" i="25"/>
  <c r="BC177" i="25"/>
  <c r="BT177" i="25" s="1"/>
  <c r="BA177" i="25"/>
  <c r="BB177" i="25"/>
  <c r="BS177" i="25" s="1"/>
  <c r="BA292" i="25"/>
  <c r="BC292" i="25"/>
  <c r="BT292" i="25" s="1"/>
  <c r="BB292" i="25"/>
  <c r="BS292" i="25" s="1"/>
  <c r="AT289" i="25"/>
  <c r="AU289" i="25"/>
  <c r="BG142" i="24"/>
  <c r="BS142" i="24"/>
  <c r="BX142" i="24" s="1"/>
  <c r="AT85" i="25"/>
  <c r="AY85" i="25" s="1"/>
  <c r="AU85" i="25"/>
  <c r="BE105" i="24"/>
  <c r="BT105" i="24" s="1"/>
  <c r="AY105" i="24"/>
  <c r="AZ105" i="24" s="1"/>
  <c r="BD105" i="24"/>
  <c r="BE311" i="24"/>
  <c r="BT311" i="24" s="1"/>
  <c r="AY311" i="24"/>
  <c r="AZ311" i="24" s="1"/>
  <c r="BD311" i="24"/>
  <c r="AT244" i="25"/>
  <c r="AU244" i="25"/>
  <c r="AT60" i="25"/>
  <c r="AY60" i="25" s="1"/>
  <c r="AU60" i="25"/>
  <c r="BD51" i="24"/>
  <c r="AY51" i="24"/>
  <c r="AZ51" i="24" s="1"/>
  <c r="BE51" i="24"/>
  <c r="BT51" i="24" s="1"/>
  <c r="AT157" i="25"/>
  <c r="AY157" i="25" s="1"/>
  <c r="AU157" i="25"/>
  <c r="BD285" i="24"/>
  <c r="AY285" i="24"/>
  <c r="AZ285" i="24" s="1"/>
  <c r="BE285" i="24"/>
  <c r="BT285" i="24" s="1"/>
  <c r="BA257" i="25"/>
  <c r="BC257" i="25"/>
  <c r="BT257" i="25" s="1"/>
  <c r="BB257" i="25"/>
  <c r="BS257" i="25" s="1"/>
  <c r="AT286" i="25"/>
  <c r="AU286" i="25"/>
  <c r="AT264" i="25"/>
  <c r="AU264" i="25"/>
  <c r="BA248" i="25"/>
  <c r="BC248" i="25"/>
  <c r="BT248" i="25" s="1"/>
  <c r="BB248" i="25"/>
  <c r="BS248" i="25" s="1"/>
  <c r="AY31" i="24"/>
  <c r="AZ31" i="24" s="1"/>
  <c r="BE31" i="24"/>
  <c r="BT31" i="24" s="1"/>
  <c r="BD31" i="24"/>
  <c r="AY10" i="24"/>
  <c r="AZ10" i="24" s="1"/>
  <c r="BD10" i="24"/>
  <c r="BE10" i="24"/>
  <c r="BT10" i="24" s="1"/>
  <c r="AY313" i="24"/>
  <c r="AZ313" i="24" s="1"/>
  <c r="BD313" i="24"/>
  <c r="BE313" i="24"/>
  <c r="BT313" i="24" s="1"/>
  <c r="BD140" i="24"/>
  <c r="AY140" i="24"/>
  <c r="AZ140" i="24" s="1"/>
  <c r="BE140" i="24"/>
  <c r="BT140" i="24" s="1"/>
  <c r="BS45" i="24"/>
  <c r="BV45" i="24" s="1"/>
  <c r="BX45" i="24" s="1"/>
  <c r="BG45" i="24"/>
  <c r="BM45" i="24" s="1"/>
  <c r="AT307" i="25"/>
  <c r="AU307" i="25"/>
  <c r="BE143" i="25"/>
  <c r="BR143" i="25"/>
  <c r="BX143" i="25" s="1"/>
  <c r="BG119" i="24"/>
  <c r="BS119" i="24"/>
  <c r="BX119" i="24" s="1"/>
  <c r="AT183" i="25"/>
  <c r="AY183" i="25" s="1"/>
  <c r="AU183" i="25"/>
  <c r="BE16" i="24"/>
  <c r="BT16" i="24" s="1"/>
  <c r="BD16" i="24"/>
  <c r="AY16" i="24"/>
  <c r="AZ16" i="24" s="1"/>
  <c r="BG160" i="24"/>
  <c r="BS160" i="24"/>
  <c r="BX160" i="24" s="1"/>
  <c r="AY104" i="24"/>
  <c r="AZ104" i="24" s="1"/>
  <c r="BD104" i="24"/>
  <c r="BE104" i="24"/>
  <c r="BT104" i="24" s="1"/>
  <c r="AT65" i="25"/>
  <c r="AY65" i="25" s="1"/>
  <c r="AU65" i="25"/>
  <c r="BE40" i="24"/>
  <c r="BT40" i="24" s="1"/>
  <c r="AY40" i="24"/>
  <c r="AZ40" i="24" s="1"/>
  <c r="BD40" i="24"/>
  <c r="BE234" i="24"/>
  <c r="BT234" i="24" s="1"/>
  <c r="BD234" i="24"/>
  <c r="AY234" i="24"/>
  <c r="AZ234" i="24" s="1"/>
  <c r="AT20" i="25"/>
  <c r="AY20" i="25" s="1"/>
  <c r="AU20" i="25"/>
  <c r="BD73" i="24"/>
  <c r="AY73" i="24"/>
  <c r="AZ73" i="24" s="1"/>
  <c r="BE73" i="24"/>
  <c r="BT73" i="24" s="1"/>
  <c r="BC173" i="25"/>
  <c r="BT173" i="25" s="1"/>
  <c r="BB173" i="25"/>
  <c r="BS173" i="25" s="1"/>
  <c r="BA173" i="25"/>
  <c r="BE103" i="24"/>
  <c r="BT103" i="24" s="1"/>
  <c r="BD103" i="24"/>
  <c r="AY103" i="24"/>
  <c r="AZ103" i="24" s="1"/>
  <c r="AT241" i="25"/>
  <c r="AU241" i="25"/>
  <c r="BE100" i="24"/>
  <c r="BT100" i="24" s="1"/>
  <c r="BD100" i="24"/>
  <c r="AY100" i="24"/>
  <c r="AZ100" i="24" s="1"/>
  <c r="BC104" i="25"/>
  <c r="BT104" i="25" s="1"/>
  <c r="BA104" i="25"/>
  <c r="BB104" i="25"/>
  <c r="BS104" i="25" s="1"/>
  <c r="BE151" i="24"/>
  <c r="BT151" i="24" s="1"/>
  <c r="BD151" i="24"/>
  <c r="AY151" i="24"/>
  <c r="AZ151" i="24" s="1"/>
  <c r="AT308" i="25"/>
  <c r="AU308" i="25"/>
  <c r="AT279" i="25"/>
  <c r="AU279" i="25"/>
  <c r="BD75" i="24"/>
  <c r="AY75" i="24"/>
  <c r="AZ75" i="24" s="1"/>
  <c r="BE75" i="24"/>
  <c r="BT75" i="24" s="1"/>
  <c r="AT38" i="25"/>
  <c r="AY38" i="25" s="1"/>
  <c r="AU38" i="25"/>
  <c r="AY48" i="24"/>
  <c r="AZ48" i="24" s="1"/>
  <c r="BE48" i="24"/>
  <c r="BT48" i="24" s="1"/>
  <c r="BD48" i="24"/>
  <c r="AT81" i="25"/>
  <c r="AY81" i="25" s="1"/>
  <c r="AU81" i="25"/>
  <c r="BE129" i="24"/>
  <c r="BT129" i="24" s="1"/>
  <c r="BD129" i="24"/>
  <c r="AY129" i="24"/>
  <c r="AZ129" i="24" s="1"/>
  <c r="BD263" i="24"/>
  <c r="AY263" i="24"/>
  <c r="AZ263" i="24" s="1"/>
  <c r="BE263" i="24"/>
  <c r="BT263" i="24" s="1"/>
  <c r="BD195" i="24"/>
  <c r="AY195" i="24"/>
  <c r="AZ195" i="24" s="1"/>
  <c r="BE195" i="24"/>
  <c r="BT195" i="24" s="1"/>
  <c r="BA276" i="25"/>
  <c r="BB276" i="25"/>
  <c r="BS276" i="25" s="1"/>
  <c r="BC276" i="25"/>
  <c r="BT276" i="25" s="1"/>
  <c r="AT295" i="25"/>
  <c r="AU295" i="25"/>
  <c r="AT115" i="25"/>
  <c r="AY115" i="25" s="1"/>
  <c r="AU115" i="25"/>
  <c r="BE61" i="24"/>
  <c r="BT61" i="24" s="1"/>
  <c r="BD61" i="24"/>
  <c r="AY61" i="24"/>
  <c r="AZ61" i="24" s="1"/>
  <c r="AY62" i="24"/>
  <c r="AZ62" i="24" s="1"/>
  <c r="BE62" i="24"/>
  <c r="BT62" i="24" s="1"/>
  <c r="BD62" i="24"/>
  <c r="BE256" i="24"/>
  <c r="BT256" i="24" s="1"/>
  <c r="AY256" i="24"/>
  <c r="AZ256" i="24" s="1"/>
  <c r="BD256" i="24"/>
  <c r="BS55" i="24"/>
  <c r="BV55" i="24" s="1"/>
  <c r="BX55" i="24" s="1"/>
  <c r="BG55" i="24"/>
  <c r="BM55" i="24" s="1"/>
  <c r="AT288" i="25"/>
  <c r="AU288" i="25"/>
  <c r="AT245" i="25"/>
  <c r="AU245" i="25"/>
  <c r="BG111" i="24"/>
  <c r="BS111" i="24"/>
  <c r="BD8" i="24"/>
  <c r="BE8" i="24"/>
  <c r="BT8" i="24" s="1"/>
  <c r="AY8" i="24"/>
  <c r="AZ8" i="24" s="1"/>
  <c r="AT187" i="25"/>
  <c r="AY187" i="25" s="1"/>
  <c r="AU187" i="25"/>
  <c r="BD185" i="24"/>
  <c r="AY185" i="24"/>
  <c r="AZ185" i="24" s="1"/>
  <c r="BE185" i="24"/>
  <c r="BT185" i="24" s="1"/>
  <c r="AT225" i="25"/>
  <c r="AU225" i="25"/>
  <c r="BE252" i="24"/>
  <c r="BT252" i="24" s="1"/>
  <c r="AY252" i="24"/>
  <c r="AZ252" i="24" s="1"/>
  <c r="BD252" i="24"/>
  <c r="AY271" i="24"/>
  <c r="AZ271" i="24" s="1"/>
  <c r="BD271" i="24"/>
  <c r="BE271" i="24"/>
  <c r="BT271" i="24" s="1"/>
  <c r="AT270" i="25"/>
  <c r="AU270" i="25"/>
  <c r="AT251" i="25"/>
  <c r="AU251" i="25"/>
  <c r="AT197" i="25"/>
  <c r="AY197" i="25" s="1"/>
  <c r="AU197" i="25"/>
  <c r="BG190" i="24"/>
  <c r="BS190" i="24"/>
  <c r="BX190" i="24" s="1"/>
  <c r="AT69" i="25"/>
  <c r="AY69" i="25" s="1"/>
  <c r="AU69" i="25"/>
  <c r="BE71" i="24"/>
  <c r="BT71" i="24" s="1"/>
  <c r="AY71" i="24"/>
  <c r="AZ71" i="24" s="1"/>
  <c r="BD71" i="24"/>
  <c r="AT266" i="25"/>
  <c r="AU266" i="25"/>
  <c r="AT91" i="25"/>
  <c r="AY91" i="25" s="1"/>
  <c r="AU91" i="25"/>
  <c r="BC92" i="25"/>
  <c r="BT92" i="25" s="1"/>
  <c r="BB92" i="25"/>
  <c r="BS92" i="25" s="1"/>
  <c r="BA92" i="25"/>
  <c r="BE128" i="24"/>
  <c r="BT128" i="24" s="1"/>
  <c r="BD128" i="24"/>
  <c r="AY128" i="24"/>
  <c r="AZ128" i="24" s="1"/>
  <c r="BE32" i="24"/>
  <c r="BT32" i="24" s="1"/>
  <c r="BD32" i="24"/>
  <c r="AY32" i="24"/>
  <c r="AZ32" i="24" s="1"/>
  <c r="BA199" i="25"/>
  <c r="BB199" i="25"/>
  <c r="BS199" i="25" s="1"/>
  <c r="BC199" i="25"/>
  <c r="BT199" i="25" s="1"/>
  <c r="BE91" i="24"/>
  <c r="BT91" i="24" s="1"/>
  <c r="BD91" i="24"/>
  <c r="AY91" i="24"/>
  <c r="AZ91" i="24" s="1"/>
  <c r="AT149" i="25"/>
  <c r="AY149" i="25" s="1"/>
  <c r="AU149" i="25"/>
  <c r="AT271" i="25"/>
  <c r="AU271" i="25"/>
  <c r="AT152" i="25"/>
  <c r="AY152" i="25" s="1"/>
  <c r="AU152" i="25"/>
  <c r="BE122" i="24"/>
  <c r="BT122" i="24" s="1"/>
  <c r="BD122" i="24"/>
  <c r="AY122" i="24"/>
  <c r="AZ122" i="24" s="1"/>
  <c r="AT252" i="25"/>
  <c r="AU252" i="25"/>
  <c r="BE56" i="24"/>
  <c r="BT56" i="24" s="1"/>
  <c r="AY56" i="24"/>
  <c r="AZ56" i="24" s="1"/>
  <c r="BD56" i="24"/>
  <c r="AT166" i="25"/>
  <c r="AY166" i="25" s="1"/>
  <c r="AU166" i="25"/>
  <c r="BG162" i="24"/>
  <c r="BS162" i="24"/>
  <c r="BX162" i="24" s="1"/>
  <c r="BC31" i="25"/>
  <c r="BT31" i="25" s="1"/>
  <c r="BB31" i="25"/>
  <c r="BS31" i="25" s="1"/>
  <c r="BA31" i="25"/>
  <c r="BE83" i="24"/>
  <c r="BT83" i="24" s="1"/>
  <c r="BD83" i="24"/>
  <c r="AY83" i="24"/>
  <c r="AZ83" i="24" s="1"/>
  <c r="AT309" i="25"/>
  <c r="AU309" i="25"/>
  <c r="AT205" i="25"/>
  <c r="AY205" i="25" s="1"/>
  <c r="AU205" i="25"/>
  <c r="AT58" i="25"/>
  <c r="AY58" i="25" s="1"/>
  <c r="AU58" i="25"/>
  <c r="BD137" i="24"/>
  <c r="BE137" i="24"/>
  <c r="BT137" i="24" s="1"/>
  <c r="AY137" i="24"/>
  <c r="AZ137" i="24" s="1"/>
  <c r="BG257" i="24"/>
  <c r="BS257" i="24"/>
  <c r="BX257" i="24" s="1"/>
  <c r="AT17" i="25"/>
  <c r="AY17" i="25" s="1"/>
  <c r="AU17" i="25"/>
  <c r="BD14" i="24"/>
  <c r="BE14" i="24"/>
  <c r="BT14" i="24" s="1"/>
  <c r="AY14" i="24"/>
  <c r="AZ14" i="24" s="1"/>
  <c r="AT41" i="25"/>
  <c r="AY41" i="25" s="1"/>
  <c r="AU41" i="25"/>
  <c r="AT67" i="25"/>
  <c r="AY67" i="25" s="1"/>
  <c r="AU67" i="25"/>
  <c r="AT303" i="25"/>
  <c r="AU303" i="25"/>
  <c r="BA95" i="25"/>
  <c r="BC95" i="25"/>
  <c r="BT95" i="25" s="1"/>
  <c r="BB95" i="25"/>
  <c r="BS95" i="25" s="1"/>
  <c r="AT235" i="25"/>
  <c r="AU235" i="25"/>
  <c r="BG233" i="24"/>
  <c r="BS233" i="24"/>
  <c r="BX233" i="24" s="1"/>
  <c r="BE57" i="24"/>
  <c r="BT57" i="24" s="1"/>
  <c r="BD57" i="24"/>
  <c r="AY57" i="24"/>
  <c r="AZ57" i="24" s="1"/>
  <c r="BE255" i="24"/>
  <c r="BT255" i="24" s="1"/>
  <c r="BD255" i="24"/>
  <c r="AY255" i="24"/>
  <c r="AZ255" i="24" s="1"/>
  <c r="AY218" i="24"/>
  <c r="AZ218" i="24" s="1"/>
  <c r="BD218" i="24"/>
  <c r="BE218" i="24"/>
  <c r="BT218" i="24" s="1"/>
  <c r="AY138" i="24"/>
  <c r="AZ138" i="24" s="1"/>
  <c r="BE138" i="24"/>
  <c r="BT138" i="24" s="1"/>
  <c r="BD138" i="24"/>
  <c r="BE90" i="24"/>
  <c r="BT90" i="24" s="1"/>
  <c r="AY90" i="24"/>
  <c r="AZ90" i="24" s="1"/>
  <c r="BD90" i="24"/>
  <c r="BD38" i="24"/>
  <c r="BE38" i="24"/>
  <c r="BT38" i="24" s="1"/>
  <c r="AY38" i="24"/>
  <c r="AZ38" i="24" s="1"/>
  <c r="BE258" i="24"/>
  <c r="BT258" i="24" s="1"/>
  <c r="BD258" i="24"/>
  <c r="AY258" i="24"/>
  <c r="AZ258" i="24" s="1"/>
  <c r="AT124" i="25"/>
  <c r="AY124" i="25" s="1"/>
  <c r="AU124" i="25"/>
  <c r="AT193" i="25"/>
  <c r="AY193" i="25" s="1"/>
  <c r="AU193" i="25"/>
  <c r="BA201" i="25"/>
  <c r="BB201" i="25"/>
  <c r="BS201" i="25" s="1"/>
  <c r="BC201" i="25"/>
  <c r="BT201" i="25" s="1"/>
  <c r="AY182" i="24"/>
  <c r="AZ182" i="24" s="1"/>
  <c r="BE182" i="24"/>
  <c r="BT182" i="24" s="1"/>
  <c r="BD182" i="24"/>
  <c r="BD198" i="24"/>
  <c r="BE198" i="24"/>
  <c r="BT198" i="24" s="1"/>
  <c r="AY198" i="24"/>
  <c r="AZ198" i="24" s="1"/>
  <c r="BC189" i="25"/>
  <c r="BT189" i="25" s="1"/>
  <c r="BA189" i="25"/>
  <c r="BB189" i="25"/>
  <c r="BS189" i="25" s="1"/>
  <c r="AT151" i="25"/>
  <c r="AY151" i="25" s="1"/>
  <c r="AU151" i="25"/>
  <c r="BD273" i="24"/>
  <c r="AY273" i="24"/>
  <c r="AZ273" i="24" s="1"/>
  <c r="BE273" i="24"/>
  <c r="BT273" i="24" s="1"/>
  <c r="BA32" i="25"/>
  <c r="BB32" i="25"/>
  <c r="BS32" i="25" s="1"/>
  <c r="BC32" i="25"/>
  <c r="BT32" i="25" s="1"/>
  <c r="BG132" i="24"/>
  <c r="BS132" i="24"/>
  <c r="BX132" i="24" s="1"/>
  <c r="AT57" i="25"/>
  <c r="AY57" i="25" s="1"/>
  <c r="AU57" i="25"/>
  <c r="AY192" i="24"/>
  <c r="AZ192" i="24" s="1"/>
  <c r="BD192" i="24"/>
  <c r="BE192" i="24"/>
  <c r="BT192" i="24" s="1"/>
  <c r="AT48" i="25"/>
  <c r="AY48" i="25" s="1"/>
  <c r="AU48" i="25"/>
  <c r="BA158" i="25"/>
  <c r="BB158" i="25"/>
  <c r="BS158" i="25" s="1"/>
  <c r="BC158" i="25"/>
  <c r="BT158" i="25" s="1"/>
  <c r="AT216" i="25"/>
  <c r="AU216" i="25"/>
  <c r="BE143" i="24"/>
  <c r="BT143" i="24" s="1"/>
  <c r="BD143" i="24"/>
  <c r="AY143" i="24"/>
  <c r="AZ143" i="24" s="1"/>
  <c r="BD145" i="24"/>
  <c r="AY145" i="24"/>
  <c r="AZ145" i="24" s="1"/>
  <c r="BE145" i="24"/>
  <c r="BT145" i="24" s="1"/>
  <c r="AY158" i="24"/>
  <c r="AZ158" i="24" s="1"/>
  <c r="BD158" i="24"/>
  <c r="BE158" i="24"/>
  <c r="BT158" i="24" s="1"/>
  <c r="AT138" i="25"/>
  <c r="AY138" i="25" s="1"/>
  <c r="AU138" i="25"/>
  <c r="AT287" i="25"/>
  <c r="AU287" i="25"/>
  <c r="BC28" i="25"/>
  <c r="BT28" i="25" s="1"/>
  <c r="BA28" i="25"/>
  <c r="BB28" i="25"/>
  <c r="BS28" i="25" s="1"/>
  <c r="BE161" i="24"/>
  <c r="BT161" i="24" s="1"/>
  <c r="BD161" i="24"/>
  <c r="AY161" i="24"/>
  <c r="AZ161" i="24" s="1"/>
  <c r="BE276" i="24"/>
  <c r="BT276" i="24" s="1"/>
  <c r="BD276" i="24"/>
  <c r="AY276" i="24"/>
  <c r="AZ276" i="24" s="1"/>
  <c r="AT176" i="25"/>
  <c r="AY176" i="25" s="1"/>
  <c r="AU176" i="25"/>
  <c r="AT100" i="25"/>
  <c r="AY100" i="25" s="1"/>
  <c r="AU100" i="25"/>
  <c r="BD123" i="24"/>
  <c r="AY123" i="24"/>
  <c r="AZ123" i="24" s="1"/>
  <c r="BE123" i="24"/>
  <c r="BT123" i="24" s="1"/>
  <c r="AT136" i="25"/>
  <c r="AY136" i="25" s="1"/>
  <c r="AU136" i="25"/>
  <c r="AT302" i="25"/>
  <c r="AU302" i="25"/>
  <c r="BE166" i="24"/>
  <c r="BT166" i="24" s="1"/>
  <c r="BD166" i="24"/>
  <c r="AY166" i="24"/>
  <c r="AZ166" i="24" s="1"/>
  <c r="BG22" i="24"/>
  <c r="BM22" i="24" s="1"/>
  <c r="BS22" i="24"/>
  <c r="BV22" i="24" s="1"/>
  <c r="BX22" i="24" s="1"/>
  <c r="AT191" i="25"/>
  <c r="AY191" i="25" s="1"/>
  <c r="AU191" i="25"/>
  <c r="AT78" i="25"/>
  <c r="AY78" i="25" s="1"/>
  <c r="AU78" i="25"/>
  <c r="BE226" i="24"/>
  <c r="BT226" i="24" s="1"/>
  <c r="BD226" i="24"/>
  <c r="AY226" i="24"/>
  <c r="AZ226" i="24" s="1"/>
  <c r="AT272" i="25"/>
  <c r="AU272" i="25"/>
  <c r="BD72" i="24"/>
  <c r="BE72" i="24"/>
  <c r="BT72" i="24" s="1"/>
  <c r="AY72" i="24"/>
  <c r="AZ72" i="24" s="1"/>
  <c r="AT181" i="25"/>
  <c r="AY181" i="25" s="1"/>
  <c r="AU181" i="25"/>
  <c r="BE204" i="24"/>
  <c r="BT204" i="24" s="1"/>
  <c r="AY204" i="24"/>
  <c r="AZ204" i="24" s="1"/>
  <c r="BD204" i="24"/>
  <c r="BE129" i="25"/>
  <c r="BR129" i="25"/>
  <c r="BX129" i="25" s="1"/>
  <c r="BD85" i="24"/>
  <c r="BE85" i="24"/>
  <c r="BT85" i="24" s="1"/>
  <c r="AY85" i="24"/>
  <c r="AZ85" i="24" s="1"/>
  <c r="AY239" i="24"/>
  <c r="AZ239" i="24" s="1"/>
  <c r="BD239" i="24"/>
  <c r="BE239" i="24"/>
  <c r="BT239" i="24" s="1"/>
  <c r="BB282" i="25"/>
  <c r="BS282" i="25" s="1"/>
  <c r="BC282" i="25"/>
  <c r="BT282" i="25" s="1"/>
  <c r="BA282" i="25"/>
  <c r="AT194" i="25"/>
  <c r="AY194" i="25" s="1"/>
  <c r="AU194" i="25"/>
  <c r="BE50" i="24"/>
  <c r="BT50" i="24" s="1"/>
  <c r="BD50" i="24"/>
  <c r="AY50" i="24"/>
  <c r="AZ50" i="24" s="1"/>
  <c r="BG58" i="24"/>
  <c r="BM58" i="24" s="1"/>
  <c r="BS58" i="24"/>
  <c r="BE165" i="24"/>
  <c r="BT165" i="24" s="1"/>
  <c r="BD165" i="24"/>
  <c r="AY165" i="24"/>
  <c r="AZ165" i="24" s="1"/>
  <c r="BG260" i="24"/>
  <c r="BS260" i="24"/>
  <c r="BE172" i="24"/>
  <c r="BT172" i="24" s="1"/>
  <c r="BD172" i="24"/>
  <c r="AY172" i="24"/>
  <c r="AZ172" i="24" s="1"/>
  <c r="BA147" i="25"/>
  <c r="BC147" i="25"/>
  <c r="BT147" i="25" s="1"/>
  <c r="BB147" i="25"/>
  <c r="BS147" i="25" s="1"/>
  <c r="AY70" i="24"/>
  <c r="AZ70" i="24" s="1"/>
  <c r="BE70" i="24"/>
  <c r="BT70" i="24" s="1"/>
  <c r="BD70" i="24"/>
  <c r="AT128" i="25"/>
  <c r="AY128" i="25" s="1"/>
  <c r="AU128" i="25"/>
  <c r="AY250" i="24"/>
  <c r="AZ250" i="24" s="1"/>
  <c r="BD250" i="24"/>
  <c r="BE250" i="24"/>
  <c r="BT250" i="24" s="1"/>
  <c r="AT50" i="25"/>
  <c r="AY50" i="25" s="1"/>
  <c r="AU50" i="25"/>
  <c r="AT165" i="25"/>
  <c r="AY165" i="25" s="1"/>
  <c r="AU165" i="25"/>
  <c r="AT111" i="25"/>
  <c r="AY111" i="25" s="1"/>
  <c r="AU111" i="25"/>
  <c r="BD157" i="24"/>
  <c r="AY157" i="24"/>
  <c r="AZ157" i="24" s="1"/>
  <c r="BE157" i="24"/>
  <c r="BT157" i="24" s="1"/>
  <c r="BS33" i="24"/>
  <c r="BG33" i="24"/>
  <c r="BM33" i="24" s="1"/>
  <c r="AY53" i="24"/>
  <c r="AZ53" i="24" s="1"/>
  <c r="BD53" i="24"/>
  <c r="BE53" i="24"/>
  <c r="BT53" i="24" s="1"/>
  <c r="BE222" i="24"/>
  <c r="BT222" i="24" s="1"/>
  <c r="BD222" i="24"/>
  <c r="AY222" i="24"/>
  <c r="AZ222" i="24" s="1"/>
  <c r="AT269" i="25"/>
  <c r="AU269" i="25"/>
  <c r="BA258" i="25"/>
  <c r="BC258" i="25"/>
  <c r="BT258" i="25" s="1"/>
  <c r="BB258" i="25"/>
  <c r="BS258" i="25" s="1"/>
  <c r="BE237" i="24"/>
  <c r="BT237" i="24" s="1"/>
  <c r="BD237" i="24"/>
  <c r="AY237" i="24"/>
  <c r="AZ237" i="24" s="1"/>
  <c r="BD184" i="24"/>
  <c r="AY184" i="24"/>
  <c r="AZ184" i="24" s="1"/>
  <c r="BE184" i="24"/>
  <c r="BT184" i="24" s="1"/>
  <c r="AT312" i="25"/>
  <c r="AU312" i="25"/>
  <c r="BG236" i="24"/>
  <c r="BS236" i="24"/>
  <c r="BX236" i="24" s="1"/>
  <c r="AN110" i="29"/>
  <c r="AN84" i="29"/>
  <c r="AN340" i="29"/>
  <c r="AN42" i="29"/>
  <c r="AN412" i="29"/>
  <c r="AN567" i="29"/>
  <c r="AN341" i="29"/>
  <c r="AN140" i="29"/>
  <c r="AN80" i="29"/>
  <c r="AN105" i="29"/>
  <c r="AN22" i="29"/>
  <c r="AN211" i="29"/>
  <c r="AN370" i="29"/>
  <c r="AN69" i="29"/>
  <c r="AN429" i="29"/>
  <c r="AN147" i="29"/>
  <c r="AN363" i="29"/>
  <c r="AN210" i="29"/>
  <c r="AN400" i="29"/>
  <c r="AN307" i="29"/>
  <c r="AN338" i="29"/>
  <c r="AN372" i="29"/>
  <c r="AN364" i="29"/>
  <c r="AN230" i="29"/>
  <c r="AN458" i="29"/>
  <c r="AN117" i="29"/>
  <c r="AN127" i="29"/>
  <c r="AN179" i="29"/>
  <c r="AN104" i="29"/>
  <c r="AN474" i="29"/>
  <c r="AN506" i="29"/>
  <c r="AN337" i="29"/>
  <c r="AN570" i="29"/>
  <c r="AN376" i="29"/>
  <c r="AN598" i="29"/>
  <c r="AN142" i="29"/>
  <c r="AN390" i="29"/>
  <c r="AN182" i="29"/>
  <c r="AN449" i="29"/>
  <c r="AN468" i="29"/>
  <c r="AN382" i="29"/>
  <c r="AN378" i="29"/>
  <c r="AN298" i="29"/>
  <c r="AN260" i="29"/>
  <c r="AN208" i="29"/>
  <c r="AN18" i="29"/>
  <c r="AN490" i="29"/>
  <c r="AN202" i="29"/>
  <c r="AN295" i="29"/>
  <c r="AN52" i="29"/>
  <c r="AN242" i="29"/>
  <c r="AN134" i="29"/>
  <c r="AN359" i="29"/>
  <c r="AN160" i="29"/>
  <c r="AN143" i="29"/>
  <c r="AN346" i="29"/>
  <c r="AN539" i="29"/>
  <c r="AN92" i="29"/>
  <c r="AN233" i="29"/>
  <c r="AN173" i="29"/>
  <c r="AN309" i="29"/>
  <c r="AN314" i="29"/>
  <c r="AN188" i="29"/>
  <c r="AN377" i="29"/>
  <c r="AN484" i="29"/>
  <c r="AN83" i="29"/>
  <c r="AN284" i="29"/>
  <c r="AN47" i="29"/>
  <c r="AN120" i="29"/>
  <c r="AN281" i="29"/>
  <c r="AN574" i="29"/>
  <c r="AN78" i="29"/>
  <c r="AN247" i="29"/>
  <c r="AN183" i="29"/>
  <c r="AN322" i="29"/>
  <c r="AN456" i="29"/>
  <c r="AN555" i="29"/>
  <c r="AN129" i="29"/>
  <c r="AN518" i="29"/>
  <c r="AN315" i="29"/>
  <c r="AN251" i="29"/>
  <c r="AN166" i="29"/>
  <c r="AN493" i="29"/>
  <c r="AN496" i="29"/>
  <c r="AN556" i="29"/>
  <c r="AN375" i="29"/>
  <c r="AN583" i="29"/>
  <c r="AN389" i="29"/>
  <c r="AN392" i="29"/>
  <c r="AN273" i="29"/>
  <c r="AN24" i="29"/>
  <c r="AN286" i="29"/>
  <c r="AN514" i="29"/>
  <c r="AN157" i="29"/>
  <c r="AN20" i="29"/>
  <c r="AN422" i="29"/>
  <c r="AN145" i="29"/>
  <c r="AN297" i="29"/>
  <c r="AN584" i="29"/>
  <c r="AN523" i="29"/>
  <c r="AN151" i="29"/>
  <c r="AN99" i="29"/>
  <c r="AN536" i="29"/>
  <c r="AN332" i="29"/>
  <c r="AN531" i="29"/>
  <c r="AN321" i="29"/>
  <c r="AN229" i="29"/>
  <c r="AN215" i="29"/>
  <c r="AN339" i="29"/>
  <c r="AN218" i="29"/>
  <c r="AN398" i="29"/>
  <c r="AN141" i="29"/>
  <c r="AN528" i="29"/>
  <c r="AN582" i="29"/>
  <c r="AN111" i="29"/>
  <c r="AN473" i="29"/>
  <c r="AN571" i="29"/>
  <c r="AN303" i="29"/>
  <c r="AN479" i="29"/>
  <c r="AN256" i="29"/>
  <c r="AN14" i="29"/>
  <c r="AN154" i="29"/>
  <c r="AN373" i="29"/>
  <c r="AN228" i="29"/>
  <c r="AN35" i="29"/>
  <c r="AN121" i="29"/>
  <c r="AN472" i="29"/>
  <c r="AN445" i="29"/>
  <c r="AN77" i="29"/>
  <c r="AN452" i="29"/>
  <c r="AN194" i="29"/>
  <c r="AN601" i="29"/>
  <c r="AN447" i="29"/>
  <c r="D53" i="29"/>
  <c r="AN552" i="29"/>
  <c r="AN465" i="29"/>
  <c r="AN500" i="29"/>
  <c r="AN395" i="29"/>
  <c r="AN53" i="29"/>
  <c r="AN437" i="29"/>
  <c r="AN236" i="29"/>
  <c r="AN90" i="29"/>
  <c r="AN521" i="29"/>
  <c r="AN100" i="29"/>
  <c r="AN426" i="29"/>
  <c r="AN214" i="29"/>
  <c r="AN257" i="29"/>
  <c r="AN595" i="29"/>
  <c r="AN207" i="29"/>
  <c r="AN65" i="29"/>
  <c r="AN439" i="29"/>
  <c r="AN393" i="29"/>
  <c r="AN149" i="29"/>
  <c r="AN51" i="29"/>
  <c r="AN608" i="29"/>
  <c r="AN109" i="29"/>
  <c r="AN540" i="29"/>
  <c r="AN312" i="29"/>
  <c r="AN119" i="29"/>
  <c r="AN324" i="29"/>
  <c r="AN171" i="29"/>
  <c r="AN313" i="29"/>
  <c r="AN510" i="29"/>
  <c r="AN88" i="29"/>
  <c r="AN448" i="29"/>
  <c r="AN199" i="29"/>
  <c r="AN204" i="29"/>
  <c r="AN195" i="29"/>
  <c r="AN290" i="29"/>
  <c r="AN58" i="29"/>
  <c r="AN471" i="29"/>
  <c r="AN124" i="29"/>
  <c r="AN71" i="29"/>
  <c r="AN593" i="29"/>
  <c r="AN212" i="29"/>
  <c r="AN351" i="29"/>
  <c r="AN287" i="29"/>
  <c r="AN130" i="29"/>
  <c r="AN326" i="29"/>
  <c r="AN282" i="29"/>
  <c r="AN40" i="29"/>
  <c r="AN79" i="29"/>
  <c r="AN75" i="29"/>
  <c r="AN562" i="29"/>
  <c r="AN483" i="29"/>
  <c r="AN244" i="29"/>
  <c r="AN74" i="29"/>
  <c r="AN348" i="29"/>
  <c r="AN402" i="29"/>
  <c r="AN453" i="29"/>
  <c r="AN544" i="29"/>
  <c r="AN423" i="29"/>
  <c r="AN133" i="29"/>
  <c r="AN275" i="29"/>
  <c r="AN161" i="29"/>
  <c r="AN522" i="29"/>
  <c r="AN362" i="29"/>
  <c r="AN153" i="29"/>
  <c r="AN385" i="29"/>
  <c r="AN569" i="29"/>
  <c r="AN425" i="29"/>
  <c r="AN308" i="29"/>
  <c r="AN168" i="29"/>
  <c r="AN401" i="29"/>
  <c r="AN512" i="29"/>
  <c r="AN611" i="29"/>
  <c r="AN489" i="29"/>
  <c r="AN146" i="29"/>
  <c r="AN155" i="29"/>
  <c r="AN97" i="29"/>
  <c r="AN397" i="29"/>
  <c r="AN366" i="29"/>
  <c r="AN499" i="29"/>
  <c r="AN566" i="29"/>
  <c r="AN356" i="29"/>
  <c r="AN114" i="29"/>
  <c r="AN561" i="29"/>
  <c r="AN37" i="29"/>
  <c r="AN361" i="29"/>
  <c r="AN158" i="29"/>
  <c r="AN461" i="29"/>
  <c r="AN463" i="29"/>
  <c r="AN277" i="29"/>
  <c r="AN421" i="29"/>
  <c r="AN477" i="29"/>
  <c r="AN217" i="29"/>
  <c r="AN379" i="29"/>
  <c r="AN311" i="29"/>
  <c r="AN543" i="29"/>
  <c r="AN403" i="29"/>
  <c r="AN513" i="29"/>
  <c r="AN600" i="29"/>
  <c r="AN538" i="29"/>
  <c r="AN252" i="29"/>
  <c r="AN466" i="29"/>
  <c r="AN305" i="29"/>
  <c r="AN118" i="29"/>
  <c r="AN219" i="29"/>
  <c r="AN156" i="29"/>
  <c r="AN504" i="29"/>
  <c r="AN176" i="29"/>
  <c r="AN554" i="29"/>
  <c r="AN443" i="29"/>
  <c r="AN93" i="29"/>
  <c r="AN516" i="29"/>
  <c r="AN594" i="29"/>
  <c r="AN102" i="29"/>
  <c r="AN301" i="29"/>
  <c r="AN581" i="29"/>
  <c r="AN193" i="29"/>
  <c r="AN138" i="29"/>
  <c r="AN509" i="29"/>
  <c r="AN368" i="29"/>
  <c r="AN492" i="29"/>
  <c r="AN591" i="29"/>
  <c r="AN547" i="29"/>
  <c r="AN497" i="29"/>
  <c r="AN272" i="29"/>
  <c r="AN98" i="29"/>
  <c r="AN405" i="29"/>
  <c r="AN316" i="29"/>
  <c r="AN450" i="29"/>
  <c r="AN533" i="29"/>
  <c r="AN592" i="29"/>
  <c r="AN196" i="29"/>
  <c r="AN502" i="29"/>
  <c r="AN613" i="29"/>
  <c r="AN565" i="29"/>
  <c r="AN165" i="29"/>
  <c r="AN68" i="29"/>
  <c r="AN442" i="29"/>
  <c r="AN299" i="29"/>
  <c r="AN276" i="29"/>
  <c r="AN407" i="29"/>
  <c r="AN384" i="29"/>
  <c r="AN498" i="29"/>
  <c r="AN529" i="29"/>
  <c r="AN525" i="29"/>
  <c r="AN292" i="29"/>
  <c r="AN328" i="29"/>
  <c r="AN419" i="29"/>
  <c r="AN285" i="29"/>
  <c r="AN144" i="29"/>
  <c r="AN269" i="29"/>
  <c r="AN136" i="29"/>
  <c r="AN60" i="29"/>
  <c r="AN191" i="29"/>
  <c r="AN122" i="29"/>
  <c r="AN441" i="29"/>
  <c r="AN446" i="29"/>
  <c r="AN475" i="29"/>
  <c r="AN187" i="29"/>
  <c r="AN225" i="29"/>
  <c r="AN383" i="29"/>
  <c r="AN94" i="29"/>
  <c r="AN221" i="29"/>
  <c r="AN245" i="29"/>
  <c r="AN125" i="29"/>
  <c r="AN414" i="29"/>
  <c r="AN262" i="29"/>
  <c r="AN507" i="29"/>
  <c r="AN15" i="29"/>
  <c r="AN576" i="29"/>
  <c r="AN95" i="29"/>
  <c r="AN310" i="29"/>
  <c r="AN81" i="29"/>
  <c r="AN289" i="29"/>
  <c r="AN551" i="29"/>
  <c r="AN39" i="29"/>
  <c r="AN455" i="29"/>
  <c r="AN335" i="29"/>
  <c r="AN517" i="29"/>
  <c r="AN226" i="29"/>
  <c r="AN478" i="29"/>
  <c r="AN91" i="29"/>
  <c r="AN573" i="29"/>
  <c r="AN17" i="29"/>
  <c r="AN135" i="29"/>
  <c r="AN530" i="29"/>
  <c r="AN381" i="29"/>
  <c r="AN255" i="29"/>
  <c r="AN550" i="29"/>
  <c r="AN541" i="29"/>
  <c r="AN469" i="29"/>
  <c r="AN388" i="29"/>
  <c r="AN190" i="29"/>
  <c r="AN482" i="29"/>
  <c r="AN588" i="29"/>
  <c r="AN411" i="29"/>
  <c r="AN67" i="29"/>
  <c r="AN563" i="29"/>
  <c r="AN444" i="29"/>
  <c r="AN612" i="29"/>
  <c r="AN462" i="29"/>
  <c r="AN416" i="29"/>
  <c r="AN163" i="29"/>
  <c r="AN329" i="29"/>
  <c r="AN511" i="29"/>
  <c r="AN49" i="29"/>
  <c r="AN181" i="29"/>
  <c r="AN334" i="29"/>
  <c r="AN336" i="29"/>
  <c r="AN535" i="29"/>
  <c r="AN410" i="29"/>
  <c r="AN568" i="29"/>
  <c r="AN440" i="29"/>
  <c r="AN123" i="29"/>
  <c r="AN607" i="29"/>
  <c r="AN220" i="29"/>
  <c r="AN86" i="29"/>
  <c r="AN380" i="29"/>
  <c r="AN265" i="29"/>
  <c r="AN150" i="29"/>
  <c r="AN70" i="29"/>
  <c r="AN586" i="29"/>
  <c r="AN31" i="29"/>
  <c r="AN50" i="29"/>
  <c r="AN451" i="29"/>
  <c r="AN13" i="29"/>
  <c r="AN243" i="29"/>
  <c r="AN231" i="29"/>
  <c r="AN198" i="29"/>
  <c r="AN596" i="29"/>
  <c r="AN355" i="29"/>
  <c r="AN250" i="29"/>
  <c r="AN476" i="29"/>
  <c r="AN209" i="29"/>
  <c r="AN253" i="29"/>
  <c r="AN302" i="29"/>
  <c r="AN103" i="29"/>
  <c r="AN327" i="29"/>
  <c r="AN280" i="29"/>
  <c r="AN494" i="29"/>
  <c r="AN542" i="29"/>
  <c r="AN527" i="29"/>
  <c r="AN44" i="29"/>
  <c r="AN491" i="29"/>
  <c r="AN294" i="29"/>
  <c r="AN557" i="29"/>
  <c r="AN213" i="29"/>
  <c r="AN330" i="29"/>
  <c r="AN467" i="29"/>
  <c r="AN16" i="29"/>
  <c r="AN116" i="29"/>
  <c r="AN128" i="29"/>
  <c r="AN259" i="29"/>
  <c r="AN152" i="29"/>
  <c r="AN386" i="29"/>
  <c r="AN246" i="29"/>
  <c r="AN267" i="29"/>
  <c r="AN200" i="29"/>
  <c r="AN434" i="29"/>
  <c r="AN464" i="29"/>
  <c r="AN216" i="29"/>
  <c r="AN61" i="29"/>
  <c r="AN201" i="29"/>
  <c r="AN89" i="29"/>
  <c r="AN409" i="29"/>
  <c r="AN63" i="29"/>
  <c r="AN283" i="29"/>
  <c r="AN33" i="29"/>
  <c r="AN353" i="29"/>
  <c r="AN43" i="29"/>
  <c r="AN258" i="29"/>
  <c r="AN488" i="29"/>
  <c r="AN180" i="29"/>
  <c r="AN534" i="29"/>
  <c r="AN345" i="29"/>
  <c r="AN432" i="29"/>
  <c r="AN358" i="29"/>
  <c r="AN577" i="29"/>
  <c r="AN532" i="29"/>
  <c r="AN609" i="29"/>
  <c r="AN278" i="29"/>
  <c r="AN46" i="29"/>
  <c r="AN501" i="29"/>
  <c r="AN170" i="29"/>
  <c r="AN599" i="29"/>
  <c r="AN205" i="29"/>
  <c r="AN288" i="29"/>
  <c r="AN323" i="29"/>
  <c r="AN519" i="29"/>
  <c r="AN408" i="29"/>
  <c r="AN343" i="29"/>
  <c r="AN487" i="29"/>
  <c r="AN264" i="29"/>
  <c r="AN604" i="29"/>
  <c r="AN537" i="29"/>
  <c r="AN418" i="29"/>
  <c r="AN238" i="29"/>
  <c r="AN430" i="29"/>
  <c r="AN106" i="29"/>
  <c r="AN406" i="29"/>
  <c r="AN549" i="29"/>
  <c r="AN606" i="29"/>
  <c r="AN605" i="29"/>
  <c r="AN428" i="29"/>
  <c r="AN223" i="29"/>
  <c r="AN300" i="29"/>
  <c r="AN174" i="29"/>
  <c r="AN126" i="29"/>
  <c r="AN271" i="29"/>
  <c r="AN508" i="29"/>
  <c r="AN460" i="29"/>
  <c r="AN32" i="29"/>
  <c r="AN178" i="29"/>
  <c r="AN177" i="29"/>
  <c r="AN270" i="29"/>
  <c r="AN113" i="29"/>
  <c r="AN480" i="29"/>
  <c r="AN222" i="29"/>
  <c r="AN64" i="29"/>
  <c r="AN505" i="29"/>
  <c r="AN189" i="29"/>
  <c r="AN26" i="29"/>
  <c r="AN331" i="29"/>
  <c r="AN572" i="29"/>
  <c r="AN268" i="29"/>
  <c r="AN107" i="29"/>
  <c r="AN55" i="29"/>
  <c r="AN587" i="29"/>
  <c r="AN62" i="29"/>
  <c r="AN21" i="29"/>
  <c r="AN325" i="29"/>
  <c r="AN431" i="29"/>
  <c r="AN354" i="29"/>
  <c r="AN585" i="29"/>
  <c r="AN28" i="29"/>
  <c r="AN48" i="29"/>
  <c r="AN357" i="29"/>
  <c r="AN317" i="29"/>
  <c r="AN559" i="29"/>
  <c r="AN224" i="29"/>
  <c r="AN342" i="29"/>
  <c r="AN578" i="29"/>
  <c r="AN296" i="29"/>
  <c r="AN319" i="29"/>
  <c r="AN396" i="29"/>
  <c r="AN76" i="29"/>
  <c r="AN548" i="29"/>
  <c r="AN234" i="29"/>
  <c r="AN304" i="29"/>
  <c r="AN391" i="29"/>
  <c r="AN115" i="29"/>
  <c r="AN371" i="29"/>
  <c r="AN318" i="29"/>
  <c r="AN87" i="29"/>
  <c r="AN427" i="29"/>
  <c r="AN436" i="29"/>
  <c r="AN503" i="29"/>
  <c r="AN352" i="29"/>
  <c r="AN85" i="29"/>
  <c r="AN349" i="29"/>
  <c r="AN185" i="29"/>
  <c r="AN415" i="29"/>
  <c r="AN424" i="29"/>
  <c r="AN545" i="29"/>
  <c r="AN404" i="29"/>
  <c r="AN203" i="29"/>
  <c r="AN263" i="29"/>
  <c r="AN186" i="29"/>
  <c r="AN344" i="29"/>
  <c r="AN481" i="29"/>
  <c r="AN306" i="29"/>
  <c r="AN589" i="29"/>
  <c r="AN112" i="29"/>
  <c r="AN293" i="29"/>
  <c r="AN36" i="29"/>
  <c r="AN365" i="29"/>
  <c r="AN131" i="29"/>
  <c r="AN45" i="29"/>
  <c r="AN164" i="29"/>
  <c r="AN29" i="29"/>
  <c r="AN526" i="29"/>
  <c r="AN417" i="29"/>
  <c r="AN30" i="29"/>
  <c r="AN239" i="29"/>
  <c r="AN546" i="29"/>
  <c r="AN240" i="29"/>
  <c r="AN132" i="29"/>
  <c r="AN162" i="29"/>
  <c r="AN347" i="29"/>
  <c r="AN248" i="29"/>
  <c r="AN394" i="29"/>
  <c r="AN387" i="29"/>
  <c r="AN575" i="29"/>
  <c r="AN82" i="29"/>
  <c r="AN27" i="29"/>
  <c r="AN369" i="29"/>
  <c r="AN435" i="29"/>
  <c r="AN515" i="29"/>
  <c r="AN520" i="29"/>
  <c r="AN597" i="29"/>
  <c r="AN232" i="29"/>
  <c r="AM601" i="29"/>
  <c r="AN274" i="29"/>
  <c r="AN41" i="29"/>
  <c r="AN254" i="29"/>
  <c r="AN603" i="29"/>
  <c r="AN192" i="29"/>
  <c r="AN580" i="29"/>
  <c r="AN56" i="29"/>
  <c r="AN227" i="29"/>
  <c r="AN108" i="29"/>
  <c r="AN249" i="29"/>
  <c r="AN25" i="29"/>
  <c r="AN470" i="29"/>
  <c r="AN175" i="29"/>
  <c r="AN438" i="29"/>
  <c r="AN374" i="29"/>
  <c r="AN139" i="29"/>
  <c r="AN167" i="29"/>
  <c r="AN495" i="29"/>
  <c r="AN485" i="29"/>
  <c r="AN558" i="29"/>
  <c r="AN241" i="29"/>
  <c r="AN413" i="29"/>
  <c r="AN360" i="29"/>
  <c r="AN524" i="29"/>
  <c r="AN59" i="29"/>
  <c r="AN197" i="29"/>
  <c r="AN159" i="29"/>
  <c r="AN454" i="29"/>
  <c r="AN610" i="29"/>
  <c r="AN486" i="29"/>
  <c r="AN459" i="29"/>
  <c r="AN457" i="29"/>
  <c r="AN261" i="29"/>
  <c r="AN399" i="29"/>
  <c r="AN433" i="29"/>
  <c r="AN73" i="29"/>
  <c r="AN66" i="29"/>
  <c r="AN169" i="29"/>
  <c r="AN564" i="29"/>
  <c r="AN23" i="29"/>
  <c r="AN206" i="29"/>
  <c r="AN279" i="29"/>
  <c r="AN320" i="29"/>
  <c r="AN367" i="29"/>
  <c r="AN560" i="29"/>
  <c r="AN57" i="29"/>
  <c r="AN137" i="29"/>
  <c r="AN172" i="29"/>
  <c r="AN291" i="29"/>
  <c r="AN72" i="29"/>
  <c r="AN350" i="29"/>
  <c r="AM24" i="29"/>
  <c r="AO24" i="29" s="1"/>
  <c r="AN420" i="29"/>
  <c r="AN553" i="29"/>
  <c r="AM456" i="29"/>
  <c r="AN96" i="29"/>
  <c r="AN38" i="29"/>
  <c r="AN602" i="29"/>
  <c r="AN34" i="29"/>
  <c r="AN590" i="29"/>
  <c r="AN101" i="29"/>
  <c r="AM138" i="29"/>
  <c r="AM87" i="29"/>
  <c r="AM79" i="29"/>
  <c r="AM594" i="29"/>
  <c r="AN184" i="29"/>
  <c r="AN266" i="29"/>
  <c r="AN54" i="29"/>
  <c r="AM169" i="29"/>
  <c r="AM38" i="29"/>
  <c r="AN333" i="29"/>
  <c r="AN148" i="29"/>
  <c r="AN235" i="29"/>
  <c r="AN579" i="29"/>
  <c r="AN237" i="29"/>
  <c r="AN19" i="29"/>
  <c r="AM257" i="29"/>
  <c r="AM183" i="29"/>
  <c r="AM414" i="29"/>
  <c r="AM245" i="29"/>
  <c r="AM253" i="29"/>
  <c r="AO253" i="29" s="1"/>
  <c r="AM262" i="29"/>
  <c r="AM348" i="29"/>
  <c r="AM325" i="29"/>
  <c r="AM80" i="29"/>
  <c r="AM260" i="29"/>
  <c r="AM600" i="29"/>
  <c r="AM402" i="29"/>
  <c r="AM337" i="29"/>
  <c r="AO337" i="29" s="1"/>
  <c r="AM37" i="29"/>
  <c r="AM585" i="29"/>
  <c r="AM455" i="29"/>
  <c r="AM91" i="29"/>
  <c r="AM565" i="29"/>
  <c r="AM341" i="29"/>
  <c r="AM267" i="29"/>
  <c r="AM206" i="29"/>
  <c r="AO206" i="29" s="1"/>
  <c r="AM373" i="29"/>
  <c r="AM336" i="29"/>
  <c r="AM514" i="29"/>
  <c r="AM167" i="29"/>
  <c r="AM581" i="29"/>
  <c r="AM294" i="29"/>
  <c r="AM593" i="29"/>
  <c r="AM582" i="29"/>
  <c r="AM207" i="29"/>
  <c r="AM295" i="29"/>
  <c r="AM88" i="29"/>
  <c r="AM118" i="29"/>
  <c r="AM200" i="29"/>
  <c r="AM518" i="29"/>
  <c r="AM381" i="29"/>
  <c r="AM292" i="29"/>
  <c r="AM17" i="29"/>
  <c r="AM307" i="29"/>
  <c r="AM469" i="29"/>
  <c r="AM85" i="29"/>
  <c r="AO85" i="29" s="1"/>
  <c r="AM235" i="29"/>
  <c r="AM353" i="29"/>
  <c r="AM544" i="29"/>
  <c r="AO544" i="29" s="1"/>
  <c r="AM357" i="29"/>
  <c r="AM483" i="29"/>
  <c r="AO483" i="29" s="1"/>
  <c r="AM149" i="29"/>
  <c r="AM606" i="29"/>
  <c r="AO606" i="29" s="1"/>
  <c r="AM501" i="29"/>
  <c r="AM371" i="29"/>
  <c r="AO371" i="29" s="1"/>
  <c r="AM50" i="29"/>
  <c r="AM250" i="29"/>
  <c r="AM51" i="29"/>
  <c r="AM26" i="29"/>
  <c r="AM145" i="29"/>
  <c r="AM258" i="29"/>
  <c r="AM537" i="29"/>
  <c r="AO537" i="29" s="1"/>
  <c r="AM435" i="29"/>
  <c r="AM33" i="29"/>
  <c r="AM443" i="29"/>
  <c r="AM82" i="29"/>
  <c r="AM338" i="29"/>
  <c r="AM468" i="29"/>
  <c r="AM81" i="29"/>
  <c r="AM135" i="29"/>
  <c r="AM173" i="29"/>
  <c r="AM179" i="29"/>
  <c r="AM302" i="29"/>
  <c r="AM403" i="29"/>
  <c r="AM549" i="29"/>
  <c r="AM573" i="29"/>
  <c r="AM444" i="29"/>
  <c r="AM157" i="29"/>
  <c r="AM531" i="29"/>
  <c r="AM566" i="29"/>
  <c r="AO566" i="29" s="1"/>
  <c r="AM313" i="29"/>
  <c r="AM163" i="29"/>
  <c r="AO163" i="29" s="1"/>
  <c r="AM155" i="29"/>
  <c r="AO155" i="29" s="1"/>
  <c r="AM119" i="29"/>
  <c r="AM584" i="29"/>
  <c r="AO584" i="29" s="1"/>
  <c r="AM524" i="29"/>
  <c r="AM147" i="29"/>
  <c r="AM252" i="29"/>
  <c r="AM528" i="29"/>
  <c r="AM533" i="29"/>
  <c r="AM596" i="29"/>
  <c r="AM416" i="29"/>
  <c r="AM309" i="29"/>
  <c r="AM297" i="29"/>
  <c r="AM199" i="29"/>
  <c r="AM407" i="29"/>
  <c r="AM28" i="29"/>
  <c r="AM370" i="29"/>
  <c r="AM327" i="29"/>
  <c r="AM507" i="29"/>
  <c r="AM568" i="29"/>
  <c r="AM406" i="29"/>
  <c r="AM420" i="29"/>
  <c r="AM264" i="29"/>
  <c r="AM521" i="29"/>
  <c r="AO521" i="29" s="1"/>
  <c r="AM117" i="29"/>
  <c r="AM233" i="29"/>
  <c r="AM525" i="29"/>
  <c r="AM542" i="29"/>
  <c r="AM426" i="29"/>
  <c r="AM410" i="29"/>
  <c r="AM612" i="29"/>
  <c r="AM89" i="29"/>
  <c r="AM43" i="29"/>
  <c r="AM256" i="29"/>
  <c r="AM58" i="29"/>
  <c r="AO58" i="29" s="1"/>
  <c r="AM355" i="29"/>
  <c r="AM432" i="29"/>
  <c r="AM449" i="29"/>
  <c r="AM436" i="29"/>
  <c r="AM369" i="29"/>
  <c r="AM174" i="29"/>
  <c r="AO174" i="29" s="1"/>
  <c r="AM324" i="29"/>
  <c r="AM471" i="29"/>
  <c r="AM62" i="29"/>
  <c r="AM75" i="29"/>
  <c r="AM527" i="29"/>
  <c r="AM137" i="29"/>
  <c r="AO137" i="29" s="1"/>
  <c r="AM496" i="29"/>
  <c r="AM570" i="29"/>
  <c r="AM221" i="29"/>
  <c r="AM447" i="29"/>
  <c r="AM474" i="29"/>
  <c r="AM195" i="29"/>
  <c r="AM121" i="29"/>
  <c r="AM18" i="29"/>
  <c r="AO18" i="29" s="1"/>
  <c r="AM576" i="29"/>
  <c r="AO576" i="29" s="1"/>
  <c r="AM396" i="29"/>
  <c r="AM178" i="29"/>
  <c r="AM319" i="29"/>
  <c r="AM554" i="29"/>
  <c r="AM434" i="29"/>
  <c r="AM289" i="29"/>
  <c r="AM220" i="29"/>
  <c r="AM442" i="29"/>
  <c r="AO442" i="29" s="1"/>
  <c r="AM288" i="29"/>
  <c r="AM486" i="29"/>
  <c r="AM42" i="29"/>
  <c r="AM405" i="29"/>
  <c r="AM298" i="29"/>
  <c r="AM67" i="29"/>
  <c r="AM40" i="29"/>
  <c r="AM413" i="29"/>
  <c r="AM128" i="29"/>
  <c r="AM315" i="29"/>
  <c r="AM346" i="29"/>
  <c r="AM422" i="29"/>
  <c r="AM504" i="29"/>
  <c r="AM70" i="29"/>
  <c r="AM588" i="29"/>
  <c r="AM401" i="29"/>
  <c r="AM239" i="29"/>
  <c r="AM113" i="29"/>
  <c r="AO113" i="29" s="1"/>
  <c r="AM209" i="29"/>
  <c r="AM532" i="29"/>
  <c r="AM124" i="29"/>
  <c r="AO124" i="29" s="1"/>
  <c r="AM605" i="29"/>
  <c r="AM237" i="29"/>
  <c r="AM388" i="29"/>
  <c r="AM564" i="29"/>
  <c r="AM386" i="29"/>
  <c r="AM229" i="29"/>
  <c r="AM34" i="29"/>
  <c r="AM509" i="29"/>
  <c r="AO509" i="29" s="1"/>
  <c r="AM127" i="29"/>
  <c r="AM299" i="29"/>
  <c r="AM598" i="29"/>
  <c r="AM59" i="29"/>
  <c r="AO59" i="29" s="1"/>
  <c r="AM515" i="29"/>
  <c r="AM31" i="29"/>
  <c r="AM270" i="29"/>
  <c r="AM526" i="29"/>
  <c r="AM142" i="29"/>
  <c r="AM177" i="29"/>
  <c r="AM150" i="29"/>
  <c r="AM383" i="29"/>
  <c r="AM130" i="29"/>
  <c r="AM55" i="29"/>
  <c r="AM74" i="29"/>
  <c r="AO74" i="29" s="1"/>
  <c r="AM552" i="29"/>
  <c r="AM83" i="29"/>
  <c r="AM326" i="29"/>
  <c r="AM441" i="29"/>
  <c r="AM78" i="29"/>
  <c r="AO78" i="29" s="1"/>
  <c r="AM517" i="29"/>
  <c r="AM30" i="29"/>
  <c r="AM428" i="29"/>
  <c r="AM66" i="29"/>
  <c r="AO66" i="29" s="1"/>
  <c r="AM273" i="29"/>
  <c r="AM387" i="29"/>
  <c r="AM345" i="29"/>
  <c r="AM433" i="29"/>
  <c r="AM361" i="29"/>
  <c r="AM478" i="29"/>
  <c r="AO478" i="29" s="1"/>
  <c r="AM571" i="29"/>
  <c r="AM84" i="29"/>
  <c r="AM546" i="29"/>
  <c r="AM359" i="29"/>
  <c r="AM409" i="29"/>
  <c r="AM144" i="29"/>
  <c r="AM92" i="29"/>
  <c r="AM574" i="29"/>
  <c r="AM248" i="29"/>
  <c r="AO248" i="29" s="1"/>
  <c r="AM379" i="29"/>
  <c r="AM21" i="29"/>
  <c r="AM57" i="29"/>
  <c r="AM440" i="29"/>
  <c r="AM586" i="29"/>
  <c r="AM363" i="29"/>
  <c r="AO363" i="29" s="1"/>
  <c r="AM201" i="29"/>
  <c r="AM166" i="29"/>
  <c r="AM153" i="29"/>
  <c r="AM109" i="29"/>
  <c r="AM247" i="29"/>
  <c r="AM214" i="29"/>
  <c r="AM103" i="29"/>
  <c r="AM421" i="29"/>
  <c r="AM193" i="29"/>
  <c r="AO193" i="29" s="1"/>
  <c r="AM96" i="29"/>
  <c r="AM535" i="29"/>
  <c r="AM107" i="29"/>
  <c r="AM204" i="29"/>
  <c r="AM219" i="29"/>
  <c r="AM610" i="29"/>
  <c r="AM602" i="29"/>
  <c r="AO602" i="29" s="1"/>
  <c r="AM251" i="29"/>
  <c r="AM491" i="29"/>
  <c r="AM222" i="29"/>
  <c r="AM98" i="29"/>
  <c r="AM226" i="29"/>
  <c r="AM587" i="29"/>
  <c r="AM259" i="29"/>
  <c r="AM331" i="29"/>
  <c r="AM304" i="29"/>
  <c r="AO304" i="29" s="1"/>
  <c r="AM133" i="29"/>
  <c r="AM424" i="29"/>
  <c r="AM249" i="29"/>
  <c r="AM378" i="29"/>
  <c r="AM301" i="29"/>
  <c r="AM29" i="29"/>
  <c r="AM213" i="29"/>
  <c r="AM599" i="29"/>
  <c r="AO599" i="29" s="1"/>
  <c r="AM477" i="29"/>
  <c r="AM172" i="29"/>
  <c r="AM340" i="29"/>
  <c r="AM461" i="29"/>
  <c r="AM241" i="29"/>
  <c r="AM347" i="29"/>
  <c r="AM557" i="29"/>
  <c r="AM140" i="29"/>
  <c r="AM108" i="29"/>
  <c r="AM583" i="29"/>
  <c r="AM384" i="29"/>
  <c r="AM165" i="29"/>
  <c r="AM100" i="29"/>
  <c r="AM349" i="29"/>
  <c r="AM16" i="29"/>
  <c r="AM69" i="29"/>
  <c r="AM61" i="29"/>
  <c r="AO61" i="29" s="1"/>
  <c r="AM52" i="29"/>
  <c r="AM454" i="29"/>
  <c r="AM282" i="29"/>
  <c r="AM577" i="29"/>
  <c r="AM342" i="29"/>
  <c r="AM321" i="29"/>
  <c r="AM255" i="29"/>
  <c r="AM408" i="29"/>
  <c r="AM437" i="29"/>
  <c r="AO437" i="29" s="1"/>
  <c r="AM306" i="29"/>
  <c r="AM272" i="29"/>
  <c r="AM39" i="29"/>
  <c r="AM448" i="29"/>
  <c r="AM364" i="29"/>
  <c r="AM65" i="29"/>
  <c r="AM508" i="29"/>
  <c r="AO508" i="29" s="1"/>
  <c r="AM71" i="29"/>
  <c r="AM122" i="29"/>
  <c r="AM366" i="29"/>
  <c r="AM446" i="29"/>
  <c r="AM139" i="29"/>
  <c r="AM350" i="29"/>
  <c r="AM333" i="29"/>
  <c r="AM329" i="29"/>
  <c r="AM277" i="29"/>
  <c r="AM607" i="29"/>
  <c r="AM330" i="29"/>
  <c r="AM368" i="29"/>
  <c r="AM305" i="29"/>
  <c r="AM529" i="29"/>
  <c r="AM48" i="29"/>
  <c r="AM317" i="29"/>
  <c r="AM360" i="29"/>
  <c r="AM498" i="29"/>
  <c r="AM102" i="29"/>
  <c r="AM591" i="29"/>
  <c r="AO591" i="29" s="1"/>
  <c r="AM466" i="29"/>
  <c r="AM300" i="29"/>
  <c r="AM271" i="29"/>
  <c r="AO271" i="29" s="1"/>
  <c r="AM392" i="29"/>
  <c r="AM161" i="29"/>
  <c r="AM284" i="29"/>
  <c r="AM398" i="29"/>
  <c r="AM320" i="29"/>
  <c r="AM19" i="29"/>
  <c r="AM372" i="29"/>
  <c r="AM460" i="29"/>
  <c r="AM41" i="29"/>
  <c r="AM534" i="29"/>
  <c r="AM194" i="29"/>
  <c r="AM223" i="29"/>
  <c r="AO223" i="29" s="1"/>
  <c r="AM563" i="29"/>
  <c r="AM513" i="29"/>
  <c r="AM427" i="29"/>
  <c r="AM285" i="29"/>
  <c r="AO285" i="29" s="1"/>
  <c r="AM356" i="29"/>
  <c r="AM208" i="29"/>
  <c r="AM323" i="29"/>
  <c r="AO323" i="29" s="1"/>
  <c r="AM597" i="29"/>
  <c r="AM389" i="29"/>
  <c r="AM411" i="29"/>
  <c r="AM519" i="29"/>
  <c r="AM603" i="29"/>
  <c r="AM211" i="29"/>
  <c r="AM90" i="29"/>
  <c r="AM510" i="29"/>
  <c r="AM203" i="29"/>
  <c r="AM185" i="29"/>
  <c r="AM192" i="29"/>
  <c r="AM198" i="29"/>
  <c r="AM592" i="29"/>
  <c r="AM290" i="29"/>
  <c r="AM125" i="29"/>
  <c r="AM225" i="29"/>
  <c r="AO225" i="29" s="1"/>
  <c r="AM114" i="29"/>
  <c r="AM431" i="29"/>
  <c r="AM328" i="29"/>
  <c r="AO328" i="29" s="1"/>
  <c r="AM246" i="29"/>
  <c r="AM425" i="29"/>
  <c r="AM286" i="29"/>
  <c r="AM429" i="29"/>
  <c r="AM358" i="29"/>
  <c r="AM291" i="29"/>
  <c r="AM473" i="29"/>
  <c r="AM261" i="29"/>
  <c r="AO261" i="29" s="1"/>
  <c r="AM27" i="29"/>
  <c r="AM562" i="29"/>
  <c r="AM126" i="29"/>
  <c r="AM457" i="29"/>
  <c r="AM269" i="29"/>
  <c r="AM93" i="29"/>
  <c r="AM63" i="29"/>
  <c r="AO63" i="29" s="1"/>
  <c r="AM106" i="29"/>
  <c r="AM391" i="29"/>
  <c r="AM287" i="29"/>
  <c r="AM548" i="29"/>
  <c r="AM216" i="29"/>
  <c r="AM20" i="29"/>
  <c r="AM604" i="29"/>
  <c r="AM268" i="29"/>
  <c r="AM472" i="29"/>
  <c r="AM45" i="29"/>
  <c r="AM215" i="29"/>
  <c r="AM116" i="29"/>
  <c r="AM160" i="29"/>
  <c r="AM72" i="29"/>
  <c r="AM112" i="29"/>
  <c r="AM380" i="29"/>
  <c r="AO380" i="29" s="1"/>
  <c r="AM276" i="29"/>
  <c r="AM111" i="29"/>
  <c r="AM575" i="29"/>
  <c r="AM495" i="29"/>
  <c r="AM240" i="29"/>
  <c r="AM23" i="29"/>
  <c r="AM311" i="29"/>
  <c r="AM234" i="29"/>
  <c r="AM205" i="29"/>
  <c r="AM217" i="29"/>
  <c r="AM202" i="29"/>
  <c r="AM430" i="29"/>
  <c r="AM499" i="29"/>
  <c r="AM68" i="29"/>
  <c r="AM191" i="29"/>
  <c r="AM190" i="29"/>
  <c r="AM503" i="29"/>
  <c r="AM56" i="29"/>
  <c r="AM485" i="29"/>
  <c r="AO485" i="29" s="1"/>
  <c r="AM385" i="29"/>
  <c r="AM458" i="29"/>
  <c r="AM451" i="29"/>
  <c r="AM488" i="29"/>
  <c r="AM608" i="29"/>
  <c r="AM556" i="29"/>
  <c r="AM154" i="29"/>
  <c r="AM32" i="29"/>
  <c r="AM210" i="29"/>
  <c r="AM555" i="29"/>
  <c r="AM15" i="29"/>
  <c r="AM578" i="29"/>
  <c r="AM572" i="29"/>
  <c r="AM450" i="29"/>
  <c r="AM558" i="29"/>
  <c r="AM171" i="29"/>
  <c r="AM335" i="29"/>
  <c r="AM376" i="29"/>
  <c r="AM312" i="29"/>
  <c r="AM162" i="29"/>
  <c r="AM580" i="29"/>
  <c r="AM77" i="29"/>
  <c r="AM522" i="29"/>
  <c r="AM569" i="29"/>
  <c r="AM115" i="29"/>
  <c r="AM278" i="29"/>
  <c r="AM439" i="29"/>
  <c r="AM101" i="29"/>
  <c r="AM540" i="29"/>
  <c r="AM232" i="29"/>
  <c r="AM344" i="29"/>
  <c r="AM417" i="29"/>
  <c r="AM352" i="29"/>
  <c r="AO352" i="29" s="1"/>
  <c r="AM470" i="29"/>
  <c r="AM561" i="29"/>
  <c r="AM547" i="29"/>
  <c r="AM86" i="29"/>
  <c r="AM242" i="29"/>
  <c r="AM502" i="29"/>
  <c r="AM375" i="29"/>
  <c r="AM143" i="29"/>
  <c r="AM551" i="29"/>
  <c r="AO551" i="29" s="1"/>
  <c r="AM156" i="29"/>
  <c r="AM334" i="29"/>
  <c r="AM197" i="29"/>
  <c r="AM281" i="29"/>
  <c r="AM279" i="29"/>
  <c r="AO279" i="29" s="1"/>
  <c r="AM438" i="29"/>
  <c r="AM560" i="29"/>
  <c r="AM354" i="29"/>
  <c r="AM467" i="29"/>
  <c r="AM164" i="29"/>
  <c r="AM332" i="29"/>
  <c r="AM459" i="29"/>
  <c r="AM318" i="29"/>
  <c r="AM182" i="29"/>
  <c r="AM158" i="29"/>
  <c r="AM482" i="29"/>
  <c r="AM545" i="29"/>
  <c r="AM516" i="29"/>
  <c r="AM280" i="29"/>
  <c r="AM339" i="29"/>
  <c r="AM76" i="29"/>
  <c r="AM14" i="29"/>
  <c r="AM224" i="29"/>
  <c r="AM196" i="29"/>
  <c r="AM94" i="29"/>
  <c r="AM399" i="29"/>
  <c r="AM543" i="29"/>
  <c r="AM129" i="29"/>
  <c r="AM283" i="29"/>
  <c r="AM539" i="29"/>
  <c r="AM404" i="29"/>
  <c r="AM343" i="29"/>
  <c r="AM296" i="29"/>
  <c r="AM490" i="29"/>
  <c r="AM308" i="29"/>
  <c r="AM322" i="29"/>
  <c r="AM275" i="29"/>
  <c r="AM99" i="29"/>
  <c r="AM25" i="29"/>
  <c r="AM132" i="29"/>
  <c r="AM188" i="29"/>
  <c r="AM238" i="29"/>
  <c r="AO238" i="29" s="1"/>
  <c r="AM134" i="29"/>
  <c r="AM494" i="29"/>
  <c r="AM227" i="29"/>
  <c r="AM419" i="29"/>
  <c r="AM266" i="29"/>
  <c r="AM487" i="29"/>
  <c r="AM303" i="29"/>
  <c r="AM189" i="29"/>
  <c r="AO189" i="29" s="1"/>
  <c r="AM595" i="29"/>
  <c r="AM512" i="29"/>
  <c r="AM505" i="29"/>
  <c r="AM362" i="29"/>
  <c r="AM541" i="29"/>
  <c r="AO541" i="29" s="1"/>
  <c r="AM351" i="29"/>
  <c r="AM462" i="29"/>
  <c r="AM520" i="29"/>
  <c r="AM148" i="29"/>
  <c r="AO148" i="29" s="1"/>
  <c r="AM445" i="29"/>
  <c r="AO445" i="29" s="1"/>
  <c r="AM131" i="29"/>
  <c r="AM13" i="29"/>
  <c r="AM35" i="29"/>
  <c r="AM184" i="29"/>
  <c r="AM274" i="29"/>
  <c r="AM365" i="29"/>
  <c r="AM44" i="29"/>
  <c r="AM53" i="29"/>
  <c r="AM236" i="29"/>
  <c r="AM530" i="29"/>
  <c r="AM479" i="29"/>
  <c r="AM64" i="29"/>
  <c r="AO64" i="29" s="1"/>
  <c r="AM314" i="29"/>
  <c r="AM400" i="29"/>
  <c r="AM484" i="29"/>
  <c r="AM151" i="29"/>
  <c r="AM590" i="29"/>
  <c r="AM228" i="29"/>
  <c r="AM104" i="29"/>
  <c r="AM123" i="29"/>
  <c r="AM170" i="29"/>
  <c r="AM60" i="29"/>
  <c r="AO60" i="29" s="1"/>
  <c r="AM212" i="29"/>
  <c r="AO212" i="29" s="1"/>
  <c r="AM475" i="29"/>
  <c r="AM175" i="29"/>
  <c r="AM481" i="29"/>
  <c r="AM254" i="29"/>
  <c r="AM367" i="29"/>
  <c r="AM382" i="29"/>
  <c r="AM243" i="29"/>
  <c r="AM230" i="29"/>
  <c r="AM493" i="29"/>
  <c r="AM464" i="29"/>
  <c r="AO464" i="29" s="1"/>
  <c r="AM310" i="29"/>
  <c r="AM423" i="29"/>
  <c r="AM589" i="29"/>
  <c r="AM397" i="29"/>
  <c r="AM293" i="29"/>
  <c r="AM538" i="29"/>
  <c r="AM47" i="29"/>
  <c r="AM231" i="29"/>
  <c r="AO231" i="29" s="1"/>
  <c r="AM176" i="29"/>
  <c r="AM550" i="29"/>
  <c r="AM22" i="29"/>
  <c r="AM567" i="29"/>
  <c r="AM480" i="29"/>
  <c r="AM46" i="29"/>
  <c r="AO46" i="29" s="1"/>
  <c r="AM613" i="29"/>
  <c r="AM95" i="29"/>
  <c r="AM159" i="29"/>
  <c r="AO159" i="29" s="1"/>
  <c r="AM316" i="29"/>
  <c r="AM412" i="29"/>
  <c r="AM465" i="29"/>
  <c r="AM374" i="29"/>
  <c r="AO374" i="29" s="1"/>
  <c r="AM168" i="29"/>
  <c r="AM390" i="29"/>
  <c r="AM553" i="29"/>
  <c r="AM263" i="29"/>
  <c r="AM186" i="29"/>
  <c r="AM146" i="29"/>
  <c r="AM506" i="29"/>
  <c r="AM136" i="29"/>
  <c r="AM609" i="29"/>
  <c r="AM500" i="29"/>
  <c r="AM110" i="29"/>
  <c r="AO110" i="29" s="1"/>
  <c r="AM97" i="29"/>
  <c r="AO97" i="29" s="1"/>
  <c r="AM395" i="29"/>
  <c r="AM180" i="29"/>
  <c r="AM453" i="29"/>
  <c r="AM187" i="29"/>
  <c r="AM418" i="29"/>
  <c r="AM393" i="29"/>
  <c r="AO393" i="29" s="1"/>
  <c r="AM120" i="29"/>
  <c r="AM476" i="29"/>
  <c r="AM559" i="29"/>
  <c r="AM73" i="29"/>
  <c r="AM492" i="29"/>
  <c r="AM489" i="29"/>
  <c r="AM579" i="29"/>
  <c r="AM218" i="29"/>
  <c r="AM152" i="29"/>
  <c r="AM265" i="29"/>
  <c r="AM244" i="29"/>
  <c r="AM415" i="29"/>
  <c r="AM49" i="29"/>
  <c r="AM497" i="29"/>
  <c r="AM141" i="29"/>
  <c r="AM54" i="29"/>
  <c r="AM463" i="29"/>
  <c r="AM394" i="29"/>
  <c r="AM105" i="29"/>
  <c r="AM377" i="29"/>
  <c r="AP114" i="29"/>
  <c r="AQ114" i="29" s="1"/>
  <c r="AR114" i="29" s="1"/>
  <c r="AP204" i="29"/>
  <c r="AQ204" i="29" s="1"/>
  <c r="AR204" i="29" s="1"/>
  <c r="AP132" i="29"/>
  <c r="AQ132" i="29" s="1"/>
  <c r="AR132" i="29" s="1"/>
  <c r="AP255" i="29"/>
  <c r="AQ255" i="29" s="1"/>
  <c r="AR255" i="29" s="1"/>
  <c r="AP290" i="29"/>
  <c r="AQ290" i="29" s="1"/>
  <c r="AR290" i="29" s="1"/>
  <c r="AP330" i="29"/>
  <c r="AQ330" i="29" s="1"/>
  <c r="AR330" i="29" s="1"/>
  <c r="AP306" i="29"/>
  <c r="AQ306" i="29" s="1"/>
  <c r="AR306" i="29" s="1"/>
  <c r="AP84" i="29"/>
  <c r="AQ84" i="29" s="1"/>
  <c r="AR84" i="29" s="1"/>
  <c r="AP167" i="29"/>
  <c r="AQ167" i="29" s="1"/>
  <c r="AR167" i="29" s="1"/>
  <c r="AP459" i="29"/>
  <c r="AQ459" i="29" s="1"/>
  <c r="AR459" i="29" s="1"/>
  <c r="AP599" i="29"/>
  <c r="AQ599" i="29" s="1"/>
  <c r="AR599" i="29" s="1"/>
  <c r="AP520" i="29"/>
  <c r="AQ520" i="29" s="1"/>
  <c r="AR520" i="29" s="1"/>
  <c r="AP237" i="29"/>
  <c r="AQ237" i="29" s="1"/>
  <c r="AR237" i="29" s="1"/>
  <c r="AP175" i="29"/>
  <c r="AQ175" i="29" s="1"/>
  <c r="AR175" i="29" s="1"/>
  <c r="AP311" i="29"/>
  <c r="AQ311" i="29" s="1"/>
  <c r="AR311" i="29" s="1"/>
  <c r="AP557" i="29"/>
  <c r="AQ557" i="29" s="1"/>
  <c r="AR557" i="29" s="1"/>
  <c r="AP293" i="29"/>
  <c r="AQ293" i="29" s="1"/>
  <c r="AR293" i="29" s="1"/>
  <c r="AP450" i="29"/>
  <c r="AQ450" i="29" s="1"/>
  <c r="AR450" i="29" s="1"/>
  <c r="AP308" i="29"/>
  <c r="AQ308" i="29" s="1"/>
  <c r="AR308" i="29" s="1"/>
  <c r="AP417" i="29"/>
  <c r="AQ417" i="29" s="1"/>
  <c r="AR417" i="29" s="1"/>
  <c r="AP586" i="29"/>
  <c r="AQ586" i="29" s="1"/>
  <c r="AR586" i="29" s="1"/>
  <c r="AP488" i="29"/>
  <c r="AQ488" i="29" s="1"/>
  <c r="AR488" i="29" s="1"/>
  <c r="AM611" i="29"/>
  <c r="AP86" i="29"/>
  <c r="AQ86" i="29" s="1"/>
  <c r="AR86" i="29" s="1"/>
  <c r="AP213" i="29"/>
  <c r="AQ213" i="29" s="1"/>
  <c r="AR213" i="29" s="1"/>
  <c r="AP54" i="29"/>
  <c r="AQ54" i="29" s="1"/>
  <c r="AR54" i="29" s="1"/>
  <c r="AP233" i="29"/>
  <c r="AQ233" i="29" s="1"/>
  <c r="AR233" i="29" s="1"/>
  <c r="AP593" i="29"/>
  <c r="AQ593" i="29" s="1"/>
  <c r="AR593" i="29" s="1"/>
  <c r="AP502" i="29"/>
  <c r="AQ502" i="29" s="1"/>
  <c r="AR502" i="29" s="1"/>
  <c r="AP195" i="29"/>
  <c r="AQ195" i="29" s="1"/>
  <c r="AR195" i="29" s="1"/>
  <c r="AP168" i="29"/>
  <c r="AQ168" i="29" s="1"/>
  <c r="AR168" i="29" s="1"/>
  <c r="AP82" i="29"/>
  <c r="AQ82" i="29" s="1"/>
  <c r="AR82" i="29" s="1"/>
  <c r="AP321" i="29"/>
  <c r="AQ321" i="29" s="1"/>
  <c r="AR321" i="29" s="1"/>
  <c r="AP382" i="29"/>
  <c r="AQ382" i="29" s="1"/>
  <c r="AR382" i="29" s="1"/>
  <c r="AP253" i="29"/>
  <c r="AQ253" i="29" s="1"/>
  <c r="AR253" i="29" s="1"/>
  <c r="AP294" i="29"/>
  <c r="AQ294" i="29" s="1"/>
  <c r="AR294" i="29" s="1"/>
  <c r="AP567" i="29"/>
  <c r="AQ567" i="29" s="1"/>
  <c r="AR567" i="29" s="1"/>
  <c r="AP236" i="29"/>
  <c r="AQ236" i="29" s="1"/>
  <c r="AR236" i="29" s="1"/>
  <c r="AP507" i="29"/>
  <c r="AQ507" i="29" s="1"/>
  <c r="AR507" i="29" s="1"/>
  <c r="AP198" i="29"/>
  <c r="AQ198" i="29" s="1"/>
  <c r="AR198" i="29" s="1"/>
  <c r="AP367" i="29"/>
  <c r="AQ367" i="29" s="1"/>
  <c r="AR367" i="29" s="1"/>
  <c r="AP98" i="29"/>
  <c r="AQ98" i="29" s="1"/>
  <c r="AR98" i="29" s="1"/>
  <c r="AP383" i="29"/>
  <c r="AQ383" i="29" s="1"/>
  <c r="AR383" i="29" s="1"/>
  <c r="AP454" i="29"/>
  <c r="AQ454" i="29" s="1"/>
  <c r="AR454" i="29" s="1"/>
  <c r="AP379" i="29"/>
  <c r="AQ379" i="29" s="1"/>
  <c r="AR379" i="29" s="1"/>
  <c r="AM452" i="29"/>
  <c r="AO452" i="29" s="1"/>
  <c r="AP349" i="29"/>
  <c r="AQ349" i="29" s="1"/>
  <c r="AR349" i="29" s="1"/>
  <c r="AP248" i="29"/>
  <c r="AQ248" i="29" s="1"/>
  <c r="AR248" i="29" s="1"/>
  <c r="AP577" i="29"/>
  <c r="AQ577" i="29" s="1"/>
  <c r="AR577" i="29" s="1"/>
  <c r="AP281" i="29"/>
  <c r="AQ281" i="29" s="1"/>
  <c r="AR281" i="29" s="1"/>
  <c r="AP485" i="29"/>
  <c r="AQ485" i="29" s="1"/>
  <c r="AR485" i="29" s="1"/>
  <c r="AP572" i="29"/>
  <c r="AQ572" i="29" s="1"/>
  <c r="AR572" i="29" s="1"/>
  <c r="AP201" i="29"/>
  <c r="AQ201" i="29" s="1"/>
  <c r="AR201" i="29" s="1"/>
  <c r="AM36" i="29"/>
  <c r="AP282" i="29"/>
  <c r="AQ282" i="29" s="1"/>
  <c r="AR282" i="29" s="1"/>
  <c r="AP468" i="29"/>
  <c r="AQ468" i="29" s="1"/>
  <c r="AR468" i="29" s="1"/>
  <c r="AP476" i="29"/>
  <c r="AQ476" i="29" s="1"/>
  <c r="AR476" i="29" s="1"/>
  <c r="AP340" i="29"/>
  <c r="AQ340" i="29" s="1"/>
  <c r="AR340" i="29" s="1"/>
  <c r="AP522" i="29"/>
  <c r="AQ522" i="29" s="1"/>
  <c r="AR522" i="29" s="1"/>
  <c r="AP243" i="29"/>
  <c r="AQ243" i="29" s="1"/>
  <c r="AR243" i="29" s="1"/>
  <c r="AP221" i="29"/>
  <c r="AQ221" i="29" s="1"/>
  <c r="AR221" i="29" s="1"/>
  <c r="AP176" i="29"/>
  <c r="AQ176" i="29" s="1"/>
  <c r="AR176" i="29" s="1"/>
  <c r="AP75" i="29"/>
  <c r="AQ75" i="29" s="1"/>
  <c r="AR75" i="29" s="1"/>
  <c r="AP527" i="29"/>
  <c r="AQ527" i="29" s="1"/>
  <c r="AR527" i="29" s="1"/>
  <c r="AP52" i="29"/>
  <c r="AQ52" i="29" s="1"/>
  <c r="AR52" i="29" s="1"/>
  <c r="AP24" i="29"/>
  <c r="AQ24" i="29" s="1"/>
  <c r="AR24" i="29" s="1"/>
  <c r="AP418" i="29"/>
  <c r="AQ418" i="29" s="1"/>
  <c r="AR418" i="29" s="1"/>
  <c r="AP179" i="29"/>
  <c r="AQ179" i="29" s="1"/>
  <c r="AR179" i="29" s="1"/>
  <c r="AP324" i="29"/>
  <c r="AQ324" i="29" s="1"/>
  <c r="AR324" i="29" s="1"/>
  <c r="AP590" i="29"/>
  <c r="AQ590" i="29" s="1"/>
  <c r="AR590" i="29" s="1"/>
  <c r="AP85" i="29"/>
  <c r="AQ85" i="29" s="1"/>
  <c r="AR85" i="29" s="1"/>
  <c r="AP223" i="29"/>
  <c r="AQ223" i="29" s="1"/>
  <c r="AR223" i="29" s="1"/>
  <c r="AP436" i="29"/>
  <c r="AQ436" i="29" s="1"/>
  <c r="AR436" i="29" s="1"/>
  <c r="AP441" i="29"/>
  <c r="AQ441" i="29" s="1"/>
  <c r="AR441" i="29" s="1"/>
  <c r="AP414" i="29"/>
  <c r="AQ414" i="29" s="1"/>
  <c r="AR414" i="29" s="1"/>
  <c r="AP26" i="29"/>
  <c r="AQ26" i="29" s="1"/>
  <c r="AR26" i="29" s="1"/>
  <c r="AP581" i="29"/>
  <c r="AQ581" i="29" s="1"/>
  <c r="AR581" i="29" s="1"/>
  <c r="AP105" i="29"/>
  <c r="AQ105" i="29" s="1"/>
  <c r="AR105" i="29" s="1"/>
  <c r="AP53" i="29"/>
  <c r="AQ53" i="29" s="1"/>
  <c r="AR53" i="29" s="1"/>
  <c r="AP451" i="29"/>
  <c r="AQ451" i="29" s="1"/>
  <c r="AR451" i="29" s="1"/>
  <c r="AP541" i="29"/>
  <c r="AQ541" i="29" s="1"/>
  <c r="AR541" i="29" s="1"/>
  <c r="AP58" i="29"/>
  <c r="AQ58" i="29" s="1"/>
  <c r="AR58" i="29" s="1"/>
  <c r="AP474" i="29"/>
  <c r="AQ474" i="29" s="1"/>
  <c r="AR474" i="29" s="1"/>
  <c r="AP192" i="29"/>
  <c r="AQ192" i="29" s="1"/>
  <c r="AR192" i="29" s="1"/>
  <c r="AP299" i="29"/>
  <c r="AQ299" i="29" s="1"/>
  <c r="AR299" i="29" s="1"/>
  <c r="AP466" i="29"/>
  <c r="AQ466" i="29" s="1"/>
  <c r="AR466" i="29" s="1"/>
  <c r="AP111" i="29"/>
  <c r="AQ111" i="29" s="1"/>
  <c r="AR111" i="29" s="1"/>
  <c r="AP524" i="29"/>
  <c r="AQ524" i="29" s="1"/>
  <c r="AR524" i="29" s="1"/>
  <c r="AP160" i="29"/>
  <c r="AQ160" i="29" s="1"/>
  <c r="AR160" i="29" s="1"/>
  <c r="AP226" i="29"/>
  <c r="AQ226" i="29" s="1"/>
  <c r="AR226" i="29" s="1"/>
  <c r="AM511" i="29"/>
  <c r="AP554" i="29"/>
  <c r="AQ554" i="29" s="1"/>
  <c r="AR554" i="29" s="1"/>
  <c r="AP212" i="29"/>
  <c r="AQ212" i="29" s="1"/>
  <c r="AR212" i="29" s="1"/>
  <c r="AP467" i="29"/>
  <c r="AQ467" i="29" s="1"/>
  <c r="AR467" i="29" s="1"/>
  <c r="AP180" i="29"/>
  <c r="AQ180" i="29" s="1"/>
  <c r="AR180" i="29" s="1"/>
  <c r="AP309" i="29"/>
  <c r="AQ309" i="29" s="1"/>
  <c r="AR309" i="29" s="1"/>
  <c r="AP410" i="29"/>
  <c r="AQ410" i="29" s="1"/>
  <c r="AR410" i="29" s="1"/>
  <c r="AP288" i="29"/>
  <c r="AQ288" i="29" s="1"/>
  <c r="AR288" i="29" s="1"/>
  <c r="AP380" i="29"/>
  <c r="AQ380" i="29" s="1"/>
  <c r="AR380" i="29" s="1"/>
  <c r="AP603" i="29"/>
  <c r="AQ603" i="29" s="1"/>
  <c r="AR603" i="29" s="1"/>
  <c r="AP206" i="29"/>
  <c r="AQ206" i="29" s="1"/>
  <c r="AR206" i="29" s="1"/>
  <c r="AP392" i="29"/>
  <c r="AQ392" i="29" s="1"/>
  <c r="AR392" i="29" s="1"/>
  <c r="AP481" i="29"/>
  <c r="AQ481" i="29" s="1"/>
  <c r="AR481" i="29" s="1"/>
  <c r="AP109" i="29"/>
  <c r="AQ109" i="29" s="1"/>
  <c r="AR109" i="29" s="1"/>
  <c r="AP208" i="29"/>
  <c r="AQ208" i="29" s="1"/>
  <c r="AR208" i="29" s="1"/>
  <c r="AP218" i="29"/>
  <c r="AQ218" i="29" s="1"/>
  <c r="AR218" i="29" s="1"/>
  <c r="AP222" i="29"/>
  <c r="AQ222" i="29" s="1"/>
  <c r="AR222" i="29" s="1"/>
  <c r="AP352" i="29"/>
  <c r="AQ352" i="29" s="1"/>
  <c r="AR352" i="29" s="1"/>
  <c r="AP302" i="29"/>
  <c r="AQ302" i="29" s="1"/>
  <c r="AR302" i="29" s="1"/>
  <c r="AP122" i="29"/>
  <c r="AQ122" i="29" s="1"/>
  <c r="AR122" i="29" s="1"/>
  <c r="AP35" i="29"/>
  <c r="AQ35" i="29" s="1"/>
  <c r="AR35" i="29" s="1"/>
  <c r="AP545" i="29"/>
  <c r="AQ545" i="29" s="1"/>
  <c r="AR545" i="29" s="1"/>
  <c r="AP36" i="29"/>
  <c r="AQ36" i="29" s="1"/>
  <c r="AR36" i="29" s="1"/>
  <c r="D52" i="29"/>
  <c r="D54" i="29" s="1"/>
  <c r="AM536" i="29"/>
  <c r="AO536" i="29" s="1"/>
  <c r="AP153" i="29"/>
  <c r="AQ153" i="29" s="1"/>
  <c r="AR153" i="29" s="1"/>
  <c r="AP187" i="29"/>
  <c r="AQ187" i="29" s="1"/>
  <c r="AR187" i="29" s="1"/>
  <c r="AP144" i="29"/>
  <c r="AQ144" i="29" s="1"/>
  <c r="AR144" i="29" s="1"/>
  <c r="AP210" i="29"/>
  <c r="AQ210" i="29" s="1"/>
  <c r="AR210" i="29" s="1"/>
  <c r="AP214" i="29"/>
  <c r="AQ214" i="29" s="1"/>
  <c r="AR214" i="29" s="1"/>
  <c r="AP518" i="29"/>
  <c r="AQ518" i="29" s="1"/>
  <c r="AR518" i="29" s="1"/>
  <c r="AP351" i="29"/>
  <c r="AQ351" i="29" s="1"/>
  <c r="AR351" i="29" s="1"/>
  <c r="AP194" i="29"/>
  <c r="AQ194" i="29" s="1"/>
  <c r="AR194" i="29" s="1"/>
  <c r="AP163" i="29"/>
  <c r="AQ163" i="29" s="1"/>
  <c r="AR163" i="29" s="1"/>
  <c r="AP61" i="29"/>
  <c r="AQ61" i="29" s="1"/>
  <c r="AR61" i="29" s="1"/>
  <c r="AP430" i="29"/>
  <c r="AQ430" i="29" s="1"/>
  <c r="AR430" i="29" s="1"/>
  <c r="AP139" i="29"/>
  <c r="AQ139" i="29" s="1"/>
  <c r="AR139" i="29" s="1"/>
  <c r="AP182" i="29"/>
  <c r="AQ182" i="29" s="1"/>
  <c r="AR182" i="29" s="1"/>
  <c r="AP534" i="29"/>
  <c r="AQ534" i="29" s="1"/>
  <c r="AR534" i="29" s="1"/>
  <c r="AP137" i="29"/>
  <c r="AQ137" i="29" s="1"/>
  <c r="AR137" i="29" s="1"/>
  <c r="AP536" i="29"/>
  <c r="AQ536" i="29" s="1"/>
  <c r="AR536" i="29" s="1"/>
  <c r="AP186" i="29"/>
  <c r="AQ186" i="29" s="1"/>
  <c r="AR186" i="29" s="1"/>
  <c r="AP568" i="29"/>
  <c r="AQ568" i="29" s="1"/>
  <c r="AR568" i="29" s="1"/>
  <c r="AP583" i="29"/>
  <c r="AQ583" i="29" s="1"/>
  <c r="AR583" i="29" s="1"/>
  <c r="AP66" i="29"/>
  <c r="AQ66" i="29" s="1"/>
  <c r="AR66" i="29" s="1"/>
  <c r="AP125" i="29"/>
  <c r="AQ125" i="29" s="1"/>
  <c r="AR125" i="29" s="1"/>
  <c r="AP147" i="29"/>
  <c r="AQ147" i="29" s="1"/>
  <c r="AR147" i="29" s="1"/>
  <c r="AP197" i="29"/>
  <c r="AQ197" i="29" s="1"/>
  <c r="AR197" i="29" s="1"/>
  <c r="AP291" i="29"/>
  <c r="AQ291" i="29" s="1"/>
  <c r="AR291" i="29" s="1"/>
  <c r="AP491" i="29"/>
  <c r="AQ491" i="29" s="1"/>
  <c r="AR491" i="29" s="1"/>
  <c r="AP217" i="29"/>
  <c r="AQ217" i="29" s="1"/>
  <c r="AR217" i="29" s="1"/>
  <c r="AP32" i="29"/>
  <c r="AQ32" i="29" s="1"/>
  <c r="AR32" i="29" s="1"/>
  <c r="AP56" i="29"/>
  <c r="AQ56" i="29" s="1"/>
  <c r="AR56" i="29" s="1"/>
  <c r="AP134" i="29"/>
  <c r="AQ134" i="29" s="1"/>
  <c r="AR134" i="29" s="1"/>
  <c r="AP13" i="29"/>
  <c r="AQ13" i="29" s="1"/>
  <c r="AR13" i="29" s="1"/>
  <c r="AP356" i="29"/>
  <c r="AQ356" i="29" s="1"/>
  <c r="AR356" i="29" s="1"/>
  <c r="AP34" i="29"/>
  <c r="AQ34" i="29" s="1"/>
  <c r="AR34" i="29" s="1"/>
  <c r="AP475" i="29"/>
  <c r="AQ475" i="29" s="1"/>
  <c r="AR475" i="29" s="1"/>
  <c r="AP270" i="29"/>
  <c r="AQ270" i="29" s="1"/>
  <c r="AR270" i="29" s="1"/>
  <c r="AP357" i="29"/>
  <c r="AQ357" i="29" s="1"/>
  <c r="AR357" i="29" s="1"/>
  <c r="AP50" i="29"/>
  <c r="AQ50" i="29" s="1"/>
  <c r="AR50" i="29" s="1"/>
  <c r="AP447" i="29"/>
  <c r="AQ447" i="29" s="1"/>
  <c r="AR447" i="29" s="1"/>
  <c r="AP483" i="29"/>
  <c r="AQ483" i="29" s="1"/>
  <c r="AR483" i="29" s="1"/>
  <c r="AP533" i="29"/>
  <c r="AQ533" i="29" s="1"/>
  <c r="AR533" i="29" s="1"/>
  <c r="AP136" i="29"/>
  <c r="AQ136" i="29" s="1"/>
  <c r="AR136" i="29" s="1"/>
  <c r="AP15" i="29"/>
  <c r="AQ15" i="29" s="1"/>
  <c r="AR15" i="29" s="1"/>
  <c r="AP543" i="29"/>
  <c r="AQ543" i="29" s="1"/>
  <c r="AR543" i="29" s="1"/>
  <c r="AP78" i="29"/>
  <c r="AQ78" i="29" s="1"/>
  <c r="AR78" i="29" s="1"/>
  <c r="AP336" i="29"/>
  <c r="AQ336" i="29" s="1"/>
  <c r="AR336" i="29" s="1"/>
  <c r="AM181" i="29"/>
  <c r="AO181" i="29" s="1"/>
  <c r="AM523" i="29"/>
  <c r="AP347" i="29"/>
  <c r="AQ347" i="29" s="1"/>
  <c r="AR347" i="29" s="1"/>
  <c r="AP610" i="29"/>
  <c r="AQ610" i="29" s="1"/>
  <c r="AR610" i="29" s="1"/>
  <c r="AP241" i="29"/>
  <c r="AQ241" i="29" s="1"/>
  <c r="AR241" i="29" s="1"/>
  <c r="AP96" i="29"/>
  <c r="AQ96" i="29" s="1"/>
  <c r="AR96" i="29" s="1"/>
  <c r="AP280" i="29"/>
  <c r="AQ280" i="29" s="1"/>
  <c r="AR280" i="29" s="1"/>
  <c r="AP440" i="29"/>
  <c r="AQ440" i="29" s="1"/>
  <c r="AR440" i="29" s="1"/>
  <c r="AP33" i="29"/>
  <c r="AQ33" i="29" s="1"/>
  <c r="AR33" i="29" s="1"/>
  <c r="AP434" i="29"/>
  <c r="AQ434" i="29" s="1"/>
  <c r="AR434" i="29" s="1"/>
  <c r="AP276" i="29"/>
  <c r="AQ276" i="29" s="1"/>
  <c r="AR276" i="29" s="1"/>
  <c r="AP322" i="29"/>
  <c r="AQ322" i="29" s="1"/>
  <c r="AR322" i="29" s="1"/>
  <c r="AP133" i="29"/>
  <c r="AQ133" i="29" s="1"/>
  <c r="AR133" i="29" s="1"/>
  <c r="AP227" i="29"/>
  <c r="AQ227" i="29" s="1"/>
  <c r="AR227" i="29" s="1"/>
  <c r="AP516" i="29"/>
  <c r="AQ516" i="29" s="1"/>
  <c r="AR516" i="29" s="1"/>
  <c r="AP360" i="29"/>
  <c r="AQ360" i="29" s="1"/>
  <c r="AR360" i="29" s="1"/>
  <c r="AP131" i="29"/>
  <c r="AQ131" i="29" s="1"/>
  <c r="AR131" i="29" s="1"/>
  <c r="AP44" i="29"/>
  <c r="AQ44" i="29" s="1"/>
  <c r="AR44" i="29" s="1"/>
  <c r="AP224" i="29"/>
  <c r="AQ224" i="29" s="1"/>
  <c r="AR224" i="29" s="1"/>
  <c r="AP539" i="29"/>
  <c r="AQ539" i="29" s="1"/>
  <c r="AR539" i="29" s="1"/>
  <c r="AP207" i="29"/>
  <c r="AQ207" i="29" s="1"/>
  <c r="AR207" i="29" s="1"/>
  <c r="AP424" i="29"/>
  <c r="AQ424" i="29" s="1"/>
  <c r="AR424" i="29" s="1"/>
  <c r="AP529" i="29"/>
  <c r="AQ529" i="29" s="1"/>
  <c r="AR529" i="29" s="1"/>
  <c r="AP129" i="29"/>
  <c r="AQ129" i="29" s="1"/>
  <c r="AR129" i="29" s="1"/>
  <c r="AP613" i="29"/>
  <c r="AQ613" i="29" s="1"/>
  <c r="AR613" i="29" s="1"/>
  <c r="AP265" i="29"/>
  <c r="AQ265" i="29" s="1"/>
  <c r="AR265" i="29" s="1"/>
  <c r="AP433" i="29"/>
  <c r="AQ433" i="29" s="1"/>
  <c r="AR433" i="29" s="1"/>
  <c r="AP505" i="29"/>
  <c r="AQ505" i="29" s="1"/>
  <c r="AR505" i="29" s="1"/>
  <c r="AP57" i="29"/>
  <c r="AQ57" i="29" s="1"/>
  <c r="AR57" i="29" s="1"/>
  <c r="AP178" i="29"/>
  <c r="AQ178" i="29" s="1"/>
  <c r="AR178" i="29" s="1"/>
  <c r="AP277" i="29"/>
  <c r="AQ277" i="29" s="1"/>
  <c r="AR277" i="29" s="1"/>
  <c r="AP200" i="29"/>
  <c r="AQ200" i="29" s="1"/>
  <c r="AR200" i="29" s="1"/>
  <c r="AP449" i="29"/>
  <c r="AQ449" i="29" s="1"/>
  <c r="AR449" i="29" s="1"/>
  <c r="AP113" i="29"/>
  <c r="AQ113" i="29" s="1"/>
  <c r="AR113" i="29" s="1"/>
  <c r="AP73" i="29"/>
  <c r="AQ73" i="29" s="1"/>
  <c r="AR73" i="29" s="1"/>
  <c r="AP59" i="29"/>
  <c r="AQ59" i="29" s="1"/>
  <c r="AR59" i="29" s="1"/>
  <c r="AP540" i="29"/>
  <c r="AQ540" i="29" s="1"/>
  <c r="AR540" i="29" s="1"/>
  <c r="AP92" i="29"/>
  <c r="AQ92" i="29" s="1"/>
  <c r="AR92" i="29" s="1"/>
  <c r="AP335" i="29"/>
  <c r="AQ335" i="29" s="1"/>
  <c r="AR335" i="29" s="1"/>
  <c r="AP251" i="29"/>
  <c r="AQ251" i="29" s="1"/>
  <c r="AR251" i="29" s="1"/>
  <c r="AP438" i="29"/>
  <c r="AQ438" i="29" s="1"/>
  <c r="AR438" i="29" s="1"/>
  <c r="AP108" i="29"/>
  <c r="AQ108" i="29" s="1"/>
  <c r="AR108" i="29" s="1"/>
  <c r="AP183" i="29"/>
  <c r="AQ183" i="29" s="1"/>
  <c r="AR183" i="29" s="1"/>
  <c r="AP283" i="29"/>
  <c r="AQ283" i="29" s="1"/>
  <c r="AR283" i="29" s="1"/>
  <c r="AP170" i="29"/>
  <c r="AQ170" i="29" s="1"/>
  <c r="AR170" i="29" s="1"/>
  <c r="AP530" i="29"/>
  <c r="AQ530" i="29" s="1"/>
  <c r="AR530" i="29" s="1"/>
  <c r="AP388" i="29"/>
  <c r="AQ388" i="29" s="1"/>
  <c r="AR388" i="29" s="1"/>
  <c r="AP18" i="29"/>
  <c r="AQ18" i="29" s="1"/>
  <c r="AR18" i="29" s="1"/>
  <c r="AP284" i="29"/>
  <c r="AQ284" i="29" s="1"/>
  <c r="AR284" i="29" s="1"/>
  <c r="AP307" i="29"/>
  <c r="AQ307" i="29" s="1"/>
  <c r="AR307" i="29" s="1"/>
  <c r="AP310" i="29"/>
  <c r="AQ310" i="29" s="1"/>
  <c r="AR310" i="29" s="1"/>
  <c r="AP273" i="29"/>
  <c r="AQ273" i="29" s="1"/>
  <c r="AR273" i="29" s="1"/>
  <c r="AP215" i="29"/>
  <c r="AQ215" i="29" s="1"/>
  <c r="AR215" i="29" s="1"/>
  <c r="AP582" i="29"/>
  <c r="AQ582" i="29" s="1"/>
  <c r="AR582" i="29" s="1"/>
  <c r="AP478" i="29"/>
  <c r="AQ478" i="29" s="1"/>
  <c r="AR478" i="29" s="1"/>
  <c r="AP67" i="29"/>
  <c r="AQ67" i="29" s="1"/>
  <c r="AR67" i="29" s="1"/>
  <c r="AP546" i="29"/>
  <c r="AQ546" i="29" s="1"/>
  <c r="AR546" i="29" s="1"/>
  <c r="AP551" i="29"/>
  <c r="AQ551" i="29" s="1"/>
  <c r="AR551" i="29" s="1"/>
  <c r="AP46" i="29"/>
  <c r="AQ46" i="29" s="1"/>
  <c r="AR46" i="29" s="1"/>
  <c r="AP161" i="29"/>
  <c r="AQ161" i="29" s="1"/>
  <c r="AR161" i="29" s="1"/>
  <c r="AP393" i="29"/>
  <c r="AQ393" i="29" s="1"/>
  <c r="AR393" i="29" s="1"/>
  <c r="AP193" i="29"/>
  <c r="AQ193" i="29" s="1"/>
  <c r="AR193" i="29" s="1"/>
  <c r="AP526" i="29"/>
  <c r="AQ526" i="29" s="1"/>
  <c r="AR526" i="29" s="1"/>
  <c r="AP239" i="29"/>
  <c r="AQ239" i="29" s="1"/>
  <c r="AR239" i="29" s="1"/>
  <c r="AP37" i="29"/>
  <c r="AQ37" i="29" s="1"/>
  <c r="AR37" i="29" s="1"/>
  <c r="AP523" i="29"/>
  <c r="AQ523" i="29" s="1"/>
  <c r="AR523" i="29" s="1"/>
  <c r="AP40" i="29"/>
  <c r="AQ40" i="29" s="1"/>
  <c r="AR40" i="29" s="1"/>
  <c r="AP370" i="29"/>
  <c r="AQ370" i="29" s="1"/>
  <c r="AR370" i="29" s="1"/>
  <c r="AP188" i="29"/>
  <c r="AQ188" i="29" s="1"/>
  <c r="AR188" i="29" s="1"/>
  <c r="AP72" i="29"/>
  <c r="AQ72" i="29" s="1"/>
  <c r="AR72" i="29" s="1"/>
  <c r="AP547" i="29"/>
  <c r="AQ547" i="29" s="1"/>
  <c r="AR547" i="29" s="1"/>
  <c r="AP445" i="29"/>
  <c r="AQ445" i="29" s="1"/>
  <c r="AR445" i="29" s="1"/>
  <c r="AP573" i="29"/>
  <c r="AQ573" i="29" s="1"/>
  <c r="AR573" i="29" s="1"/>
  <c r="AP456" i="29"/>
  <c r="AQ456" i="29" s="1"/>
  <c r="AR456" i="29" s="1"/>
  <c r="AP318" i="29"/>
  <c r="AQ318" i="29" s="1"/>
  <c r="AR318" i="29" s="1"/>
  <c r="AP298" i="29"/>
  <c r="AQ298" i="29" s="1"/>
  <c r="AR298" i="29" s="1"/>
  <c r="AP49" i="29"/>
  <c r="AQ49" i="29" s="1"/>
  <c r="AR49" i="29" s="1"/>
  <c r="AP446" i="29"/>
  <c r="AQ446" i="29" s="1"/>
  <c r="AR446" i="29" s="1"/>
  <c r="AP189" i="29"/>
  <c r="AQ189" i="29" s="1"/>
  <c r="AR189" i="29" s="1"/>
  <c r="AP70" i="29"/>
  <c r="AQ70" i="29" s="1"/>
  <c r="AR70" i="29" s="1"/>
  <c r="AP531" i="29"/>
  <c r="AQ531" i="29" s="1"/>
  <c r="AR531" i="29" s="1"/>
  <c r="AP329" i="29"/>
  <c r="AQ329" i="29" s="1"/>
  <c r="AR329" i="29" s="1"/>
  <c r="AP240" i="29"/>
  <c r="AQ240" i="29" s="1"/>
  <c r="AR240" i="29" s="1"/>
  <c r="AP146" i="29"/>
  <c r="AQ146" i="29" s="1"/>
  <c r="AR146" i="29" s="1"/>
  <c r="AP320" i="29"/>
  <c r="AQ320" i="29" s="1"/>
  <c r="AR320" i="29" s="1"/>
  <c r="AP448" i="29"/>
  <c r="AQ448" i="29" s="1"/>
  <c r="AR448" i="29" s="1"/>
  <c r="AP39" i="29"/>
  <c r="AQ39" i="29" s="1"/>
  <c r="AR39" i="29" s="1"/>
  <c r="AP381" i="29"/>
  <c r="AQ381" i="29" s="1"/>
  <c r="AR381" i="29" s="1"/>
  <c r="AP138" i="29"/>
  <c r="AQ138" i="29" s="1"/>
  <c r="AR138" i="29" s="1"/>
  <c r="AP313" i="29"/>
  <c r="AQ313" i="29" s="1"/>
  <c r="AR313" i="29" s="1"/>
  <c r="AP558" i="29"/>
  <c r="AQ558" i="29" s="1"/>
  <c r="AR558" i="29" s="1"/>
  <c r="AP415" i="29"/>
  <c r="AQ415" i="29" s="1"/>
  <c r="AR415" i="29" s="1"/>
  <c r="AP519" i="29"/>
  <c r="AQ519" i="29" s="1"/>
  <c r="AR519" i="29" s="1"/>
  <c r="AP257" i="29"/>
  <c r="AQ257" i="29" s="1"/>
  <c r="AR257" i="29" s="1"/>
  <c r="AP225" i="29"/>
  <c r="AQ225" i="29" s="1"/>
  <c r="AR225" i="29" s="1"/>
  <c r="AP235" i="29"/>
  <c r="AQ235" i="29" s="1"/>
  <c r="AR235" i="29" s="1"/>
  <c r="AP559" i="29"/>
  <c r="AQ559" i="29" s="1"/>
  <c r="AR559" i="29" s="1"/>
  <c r="AP597" i="29"/>
  <c r="AQ597" i="29" s="1"/>
  <c r="AR597" i="29" s="1"/>
  <c r="AP171" i="29"/>
  <c r="AQ171" i="29" s="1"/>
  <c r="AR171" i="29" s="1"/>
  <c r="AP65" i="29"/>
  <c r="AQ65" i="29" s="1"/>
  <c r="AR65" i="29" s="1"/>
  <c r="AP141" i="29"/>
  <c r="AQ141" i="29" s="1"/>
  <c r="AR141" i="29" s="1"/>
  <c r="AP107" i="29"/>
  <c r="AQ107" i="29" s="1"/>
  <c r="AR107" i="29" s="1"/>
  <c r="AP348" i="29"/>
  <c r="AQ348" i="29" s="1"/>
  <c r="AR348" i="29" s="1"/>
  <c r="AP71" i="29"/>
  <c r="AQ71" i="29" s="1"/>
  <c r="AR71" i="29" s="1"/>
  <c r="AP428" i="29"/>
  <c r="AQ428" i="29" s="1"/>
  <c r="AR428" i="29" s="1"/>
  <c r="AP337" i="29"/>
  <c r="AQ337" i="29" s="1"/>
  <c r="AR337" i="29" s="1"/>
  <c r="AP538" i="29"/>
  <c r="AQ538" i="29" s="1"/>
  <c r="AR538" i="29" s="1"/>
  <c r="AP552" i="29"/>
  <c r="AQ552" i="29" s="1"/>
  <c r="AR552" i="29" s="1"/>
  <c r="AP115" i="29"/>
  <c r="AQ115" i="29" s="1"/>
  <c r="AR115" i="29" s="1"/>
  <c r="AP396" i="29"/>
  <c r="AQ396" i="29" s="1"/>
  <c r="AR396" i="29" s="1"/>
  <c r="AP574" i="29"/>
  <c r="AQ574" i="29" s="1"/>
  <c r="AR574" i="29" s="1"/>
  <c r="AP423" i="29"/>
  <c r="AQ423" i="29" s="1"/>
  <c r="AR423" i="29" s="1"/>
  <c r="AP354" i="29"/>
  <c r="AQ354" i="29" s="1"/>
  <c r="AR354" i="29" s="1"/>
  <c r="AP358" i="29"/>
  <c r="AQ358" i="29" s="1"/>
  <c r="AR358" i="29" s="1"/>
  <c r="AP612" i="29"/>
  <c r="AQ612" i="29" s="1"/>
  <c r="AR612" i="29" s="1"/>
  <c r="AP94" i="29"/>
  <c r="AQ94" i="29" s="1"/>
  <c r="AR94" i="29" s="1"/>
  <c r="AP196" i="29"/>
  <c r="AQ196" i="29" s="1"/>
  <c r="AR196" i="29" s="1"/>
  <c r="AP611" i="29"/>
  <c r="AQ611" i="29" s="1"/>
  <c r="AR611" i="29" s="1"/>
  <c r="AP262" i="29"/>
  <c r="AQ262" i="29" s="1"/>
  <c r="AR262" i="29" s="1"/>
  <c r="AP267" i="29"/>
  <c r="AQ267" i="29" s="1"/>
  <c r="AR267" i="29" s="1"/>
  <c r="AP595" i="29"/>
  <c r="AQ595" i="29" s="1"/>
  <c r="AR595" i="29" s="1"/>
  <c r="AP405" i="29"/>
  <c r="AQ405" i="29" s="1"/>
  <c r="AR405" i="29" s="1"/>
  <c r="AP231" i="29"/>
  <c r="AQ231" i="29" s="1"/>
  <c r="AR231" i="29" s="1"/>
  <c r="AP490" i="29"/>
  <c r="AQ490" i="29" s="1"/>
  <c r="AR490" i="29" s="1"/>
  <c r="AP461" i="29"/>
  <c r="AQ461" i="29" s="1"/>
  <c r="AR461" i="29" s="1"/>
  <c r="AP355" i="29"/>
  <c r="AQ355" i="29" s="1"/>
  <c r="AR355" i="29" s="1"/>
  <c r="AP435" i="29"/>
  <c r="AQ435" i="29" s="1"/>
  <c r="AR435" i="29" s="1"/>
  <c r="AP442" i="29"/>
  <c r="AQ442" i="29" s="1"/>
  <c r="AR442" i="29" s="1"/>
  <c r="AP106" i="29"/>
  <c r="AQ106" i="29" s="1"/>
  <c r="AR106" i="29" s="1"/>
  <c r="AP157" i="29"/>
  <c r="AQ157" i="29" s="1"/>
  <c r="AR157" i="29" s="1"/>
  <c r="AP101" i="29"/>
  <c r="AQ101" i="29" s="1"/>
  <c r="AR101" i="29" s="1"/>
  <c r="AP350" i="29"/>
  <c r="AQ350" i="29" s="1"/>
  <c r="AR350" i="29" s="1"/>
  <c r="AP130" i="29"/>
  <c r="AQ130" i="29" s="1"/>
  <c r="AR130" i="29" s="1"/>
  <c r="AP47" i="29"/>
  <c r="AQ47" i="29" s="1"/>
  <c r="AR47" i="29" s="1"/>
  <c r="AP173" i="29"/>
  <c r="AQ173" i="29" s="1"/>
  <c r="AR173" i="29" s="1"/>
  <c r="AP589" i="29"/>
  <c r="AQ589" i="29" s="1"/>
  <c r="AR589" i="29" s="1"/>
  <c r="AP17" i="29"/>
  <c r="AQ17" i="29" s="1"/>
  <c r="AR17" i="29" s="1"/>
  <c r="AP604" i="29"/>
  <c r="AQ604" i="29" s="1"/>
  <c r="AR604" i="29" s="1"/>
  <c r="AP104" i="29"/>
  <c r="AQ104" i="29" s="1"/>
  <c r="AR104" i="29" s="1"/>
  <c r="AP376" i="29"/>
  <c r="AQ376" i="29" s="1"/>
  <c r="AR376" i="29" s="1"/>
  <c r="AP498" i="29"/>
  <c r="AQ498" i="29" s="1"/>
  <c r="AR498" i="29" s="1"/>
  <c r="AP608" i="29"/>
  <c r="AQ608" i="29" s="1"/>
  <c r="AR608" i="29" s="1"/>
  <c r="AP334" i="29"/>
  <c r="AQ334" i="29" s="1"/>
  <c r="AR334" i="29" s="1"/>
  <c r="AP135" i="29"/>
  <c r="AQ135" i="29" s="1"/>
  <c r="AR135" i="29" s="1"/>
  <c r="AP166" i="29"/>
  <c r="AQ166" i="29" s="1"/>
  <c r="AR166" i="29" s="1"/>
  <c r="AP81" i="29"/>
  <c r="AQ81" i="29" s="1"/>
  <c r="AR81" i="29" s="1"/>
  <c r="AP169" i="29"/>
  <c r="AQ169" i="29" s="1"/>
  <c r="AR169" i="29" s="1"/>
  <c r="AP570" i="29"/>
  <c r="AQ570" i="29" s="1"/>
  <c r="AR570" i="29" s="1"/>
  <c r="AP158" i="29"/>
  <c r="AQ158" i="29" s="1"/>
  <c r="AR158" i="29" s="1"/>
  <c r="AP261" i="29"/>
  <c r="AQ261" i="29" s="1"/>
  <c r="AR261" i="29" s="1"/>
  <c r="AP317" i="29"/>
  <c r="AQ317" i="29" s="1"/>
  <c r="AR317" i="29" s="1"/>
  <c r="AP344" i="29"/>
  <c r="AQ344" i="29" s="1"/>
  <c r="AR344" i="29" s="1"/>
  <c r="AP301" i="29"/>
  <c r="AQ301" i="29" s="1"/>
  <c r="AR301" i="29" s="1"/>
  <c r="AP342" i="29"/>
  <c r="AQ342" i="29" s="1"/>
  <c r="AR342" i="29" s="1"/>
  <c r="AP278" i="29"/>
  <c r="AQ278" i="29" s="1"/>
  <c r="AR278" i="29" s="1"/>
  <c r="AP292" i="29"/>
  <c r="AQ292" i="29" s="1"/>
  <c r="AR292" i="29" s="1"/>
  <c r="AP398" i="29"/>
  <c r="AQ398" i="29" s="1"/>
  <c r="AR398" i="29" s="1"/>
  <c r="AP31" i="29"/>
  <c r="AQ31" i="29" s="1"/>
  <c r="AR31" i="29" s="1"/>
  <c r="AP90" i="29"/>
  <c r="AQ90" i="29" s="1"/>
  <c r="AR90" i="29" s="1"/>
  <c r="AP28" i="29"/>
  <c r="AQ28" i="29" s="1"/>
  <c r="AR28" i="29" s="1"/>
  <c r="AP544" i="29"/>
  <c r="AQ544" i="29" s="1"/>
  <c r="AR544" i="29" s="1"/>
  <c r="AP245" i="29"/>
  <c r="AQ245" i="29" s="1"/>
  <c r="AR245" i="29" s="1"/>
  <c r="AP19" i="29"/>
  <c r="AQ19" i="29" s="1"/>
  <c r="AR19" i="29" s="1"/>
  <c r="AP25" i="29"/>
  <c r="AQ25" i="29" s="1"/>
  <c r="AR25" i="29" s="1"/>
  <c r="AP124" i="29"/>
  <c r="AQ124" i="29" s="1"/>
  <c r="AR124" i="29" s="1"/>
  <c r="AP68" i="29"/>
  <c r="AQ68" i="29" s="1"/>
  <c r="AR68" i="29" s="1"/>
  <c r="AP140" i="29"/>
  <c r="AQ140" i="29" s="1"/>
  <c r="AR140" i="29" s="1"/>
  <c r="AP332" i="29"/>
  <c r="AQ332" i="29" s="1"/>
  <c r="AR332" i="29" s="1"/>
  <c r="AP203" i="29"/>
  <c r="AQ203" i="29" s="1"/>
  <c r="AR203" i="29" s="1"/>
  <c r="AP88" i="29"/>
  <c r="AQ88" i="29" s="1"/>
  <c r="AR88" i="29" s="1"/>
  <c r="AP494" i="29"/>
  <c r="AQ494" i="29" s="1"/>
  <c r="AR494" i="29" s="1"/>
  <c r="AP63" i="29"/>
  <c r="AQ63" i="29" s="1"/>
  <c r="AR63" i="29" s="1"/>
  <c r="AP87" i="29"/>
  <c r="AQ87" i="29" s="1"/>
  <c r="AR87" i="29" s="1"/>
  <c r="AP29" i="29"/>
  <c r="AQ29" i="29" s="1"/>
  <c r="AR29" i="29" s="1"/>
  <c r="AP605" i="29"/>
  <c r="AQ605" i="29" s="1"/>
  <c r="AR605" i="29" s="1"/>
  <c r="AP585" i="29"/>
  <c r="AQ585" i="29" s="1"/>
  <c r="AR585" i="29" s="1"/>
  <c r="AP346" i="29"/>
  <c r="AQ346" i="29" s="1"/>
  <c r="AR346" i="29" s="1"/>
  <c r="AP601" i="29"/>
  <c r="AQ601" i="29" s="1"/>
  <c r="AR601" i="29" s="1"/>
  <c r="AP202" i="29"/>
  <c r="AQ202" i="29" s="1"/>
  <c r="AR202" i="29" s="1"/>
  <c r="AP432" i="29"/>
  <c r="AQ432" i="29" s="1"/>
  <c r="AR432" i="29" s="1"/>
  <c r="AP496" i="29"/>
  <c r="AQ496" i="29" s="1"/>
  <c r="AR496" i="29" s="1"/>
  <c r="AP229" i="29"/>
  <c r="AQ229" i="29" s="1"/>
  <c r="AR229" i="29" s="1"/>
  <c r="AP561" i="29"/>
  <c r="AQ561" i="29" s="1"/>
  <c r="AR561" i="29" s="1"/>
  <c r="AP521" i="29"/>
  <c r="AQ521" i="29" s="1"/>
  <c r="AR521" i="29" s="1"/>
  <c r="AP254" i="29"/>
  <c r="AQ254" i="29" s="1"/>
  <c r="AR254" i="29" s="1"/>
  <c r="AP487" i="29"/>
  <c r="AQ487" i="29" s="1"/>
  <c r="AR487" i="29" s="1"/>
  <c r="AP560" i="29"/>
  <c r="AQ560" i="29" s="1"/>
  <c r="AR560" i="29" s="1"/>
  <c r="AP575" i="29"/>
  <c r="AQ575" i="29" s="1"/>
  <c r="AR575" i="29" s="1"/>
  <c r="AP462" i="29"/>
  <c r="AQ462" i="29" s="1"/>
  <c r="AR462" i="29" s="1"/>
  <c r="AP305" i="29"/>
  <c r="AQ305" i="29" s="1"/>
  <c r="AR305" i="29" s="1"/>
  <c r="AP151" i="29"/>
  <c r="AQ151" i="29" s="1"/>
  <c r="AR151" i="29" s="1"/>
  <c r="AP287" i="29"/>
  <c r="AQ287" i="29" s="1"/>
  <c r="AR287" i="29" s="1"/>
  <c r="AP588" i="29"/>
  <c r="AQ588" i="29" s="1"/>
  <c r="AR588" i="29" s="1"/>
  <c r="AP319" i="29"/>
  <c r="AQ319" i="29" s="1"/>
  <c r="AR319" i="29" s="1"/>
  <c r="AP279" i="29"/>
  <c r="AQ279" i="29" s="1"/>
  <c r="AR279" i="29" s="1"/>
  <c r="AP437" i="29"/>
  <c r="AQ437" i="29" s="1"/>
  <c r="AR437" i="29" s="1"/>
  <c r="AP100" i="29"/>
  <c r="AQ100" i="29" s="1"/>
  <c r="AR100" i="29" s="1"/>
  <c r="AP500" i="29"/>
  <c r="AQ500" i="29" s="1"/>
  <c r="AR500" i="29" s="1"/>
  <c r="AP400" i="29"/>
  <c r="AQ400" i="29" s="1"/>
  <c r="AR400" i="29" s="1"/>
  <c r="AP495" i="29"/>
  <c r="AQ495" i="29" s="1"/>
  <c r="AR495" i="29" s="1"/>
  <c r="AP569" i="29"/>
  <c r="AQ569" i="29" s="1"/>
  <c r="AR569" i="29" s="1"/>
  <c r="AP411" i="29"/>
  <c r="AQ411" i="29" s="1"/>
  <c r="AR411" i="29" s="1"/>
  <c r="AP439" i="29"/>
  <c r="AQ439" i="29" s="1"/>
  <c r="AR439" i="29" s="1"/>
  <c r="AP409" i="29"/>
  <c r="AQ409" i="29" s="1"/>
  <c r="AR409" i="29" s="1"/>
  <c r="AP41" i="29"/>
  <c r="AQ41" i="29" s="1"/>
  <c r="AR41" i="29" s="1"/>
  <c r="AP247" i="29"/>
  <c r="AQ247" i="29" s="1"/>
  <c r="AR247" i="29" s="1"/>
  <c r="AP562" i="29"/>
  <c r="AQ562" i="29" s="1"/>
  <c r="AR562" i="29" s="1"/>
  <c r="AP42" i="29"/>
  <c r="AQ42" i="29" s="1"/>
  <c r="AR42" i="29" s="1"/>
  <c r="AP60" i="29"/>
  <c r="AQ60" i="29" s="1"/>
  <c r="AR60" i="29" s="1"/>
  <c r="AP579" i="29"/>
  <c r="AQ579" i="29" s="1"/>
  <c r="AR579" i="29" s="1"/>
  <c r="AP359" i="29"/>
  <c r="AQ359" i="29" s="1"/>
  <c r="AR359" i="29" s="1"/>
  <c r="AP578" i="29"/>
  <c r="AQ578" i="29" s="1"/>
  <c r="AR578" i="29" s="1"/>
  <c r="AP260" i="29"/>
  <c r="AQ260" i="29" s="1"/>
  <c r="AR260" i="29" s="1"/>
  <c r="AP20" i="29"/>
  <c r="AQ20" i="29" s="1"/>
  <c r="AR20" i="29" s="1"/>
  <c r="AP43" i="29"/>
  <c r="AQ43" i="29" s="1"/>
  <c r="AR43" i="29" s="1"/>
  <c r="AP484" i="29"/>
  <c r="AQ484" i="29" s="1"/>
  <c r="AR484" i="29" s="1"/>
  <c r="AP457" i="29"/>
  <c r="AQ457" i="29" s="1"/>
  <c r="AR457" i="29" s="1"/>
  <c r="AP413" i="29"/>
  <c r="AQ413" i="29" s="1"/>
  <c r="AR413" i="29" s="1"/>
  <c r="AP91" i="29"/>
  <c r="AQ91" i="29" s="1"/>
  <c r="AR91" i="29" s="1"/>
  <c r="AP150" i="29"/>
  <c r="AQ150" i="29" s="1"/>
  <c r="AR150" i="29" s="1"/>
  <c r="AP238" i="29"/>
  <c r="AQ238" i="29" s="1"/>
  <c r="AR238" i="29" s="1"/>
  <c r="AP374" i="29"/>
  <c r="AQ374" i="29" s="1"/>
  <c r="AR374" i="29" s="1"/>
  <c r="AP564" i="29"/>
  <c r="AQ564" i="29" s="1"/>
  <c r="AR564" i="29" s="1"/>
  <c r="AP327" i="29"/>
  <c r="AQ327" i="29" s="1"/>
  <c r="AR327" i="29" s="1"/>
  <c r="AP263" i="29"/>
  <c r="AQ263" i="29" s="1"/>
  <c r="AR263" i="29" s="1"/>
  <c r="AP315" i="29"/>
  <c r="AQ315" i="29" s="1"/>
  <c r="AR315" i="29" s="1"/>
  <c r="AP492" i="29"/>
  <c r="AQ492" i="29" s="1"/>
  <c r="AR492" i="29" s="1"/>
  <c r="AP325" i="29"/>
  <c r="AQ325" i="29" s="1"/>
  <c r="AR325" i="29" s="1"/>
  <c r="AP339" i="29"/>
  <c r="AQ339" i="29" s="1"/>
  <c r="AR339" i="29" s="1"/>
  <c r="AP256" i="29"/>
  <c r="AQ256" i="29" s="1"/>
  <c r="AR256" i="29" s="1"/>
  <c r="AP542" i="29"/>
  <c r="AQ542" i="29" s="1"/>
  <c r="AR542" i="29" s="1"/>
  <c r="AP164" i="29"/>
  <c r="AQ164" i="29" s="1"/>
  <c r="AR164" i="29" s="1"/>
  <c r="AP386" i="29"/>
  <c r="AQ386" i="29" s="1"/>
  <c r="AR386" i="29" s="1"/>
  <c r="AP470" i="29"/>
  <c r="AQ470" i="29" s="1"/>
  <c r="AR470" i="29" s="1"/>
  <c r="AP312" i="29"/>
  <c r="AQ312" i="29" s="1"/>
  <c r="AR312" i="29" s="1"/>
  <c r="AP295" i="29"/>
  <c r="AQ295" i="29" s="1"/>
  <c r="AR295" i="29" s="1"/>
  <c r="AP116" i="29"/>
  <c r="AQ116" i="29" s="1"/>
  <c r="AR116" i="29" s="1"/>
  <c r="AP482" i="29"/>
  <c r="AQ482" i="29" s="1"/>
  <c r="AR482" i="29" s="1"/>
  <c r="AP83" i="29"/>
  <c r="AQ83" i="29" s="1"/>
  <c r="AR83" i="29" s="1"/>
  <c r="AP285" i="29"/>
  <c r="AQ285" i="29" s="1"/>
  <c r="AR285" i="29" s="1"/>
  <c r="AP128" i="29"/>
  <c r="AQ128" i="29" s="1"/>
  <c r="AR128" i="29" s="1"/>
  <c r="AP272" i="29"/>
  <c r="AQ272" i="29" s="1"/>
  <c r="AR272" i="29" s="1"/>
  <c r="AP97" i="29"/>
  <c r="AQ97" i="29" s="1"/>
  <c r="AR97" i="29" s="1"/>
  <c r="AP422" i="29"/>
  <c r="AQ422" i="29" s="1"/>
  <c r="AR422" i="29" s="1"/>
  <c r="AP556" i="29"/>
  <c r="AQ556" i="29" s="1"/>
  <c r="AR556" i="29" s="1"/>
  <c r="AP252" i="29"/>
  <c r="AQ252" i="29" s="1"/>
  <c r="AR252" i="29" s="1"/>
  <c r="AP244" i="29"/>
  <c r="AQ244" i="29" s="1"/>
  <c r="AR244" i="29" s="1"/>
  <c r="AP452" i="29"/>
  <c r="AQ452" i="29" s="1"/>
  <c r="AR452" i="29" s="1"/>
  <c r="AP21" i="29"/>
  <c r="AQ21" i="29" s="1"/>
  <c r="AR21" i="29" s="1"/>
  <c r="AP30" i="29"/>
  <c r="AQ30" i="29" s="1"/>
  <c r="AR30" i="29" s="1"/>
  <c r="AP102" i="29"/>
  <c r="AQ102" i="29" s="1"/>
  <c r="AR102" i="29" s="1"/>
  <c r="AP580" i="29"/>
  <c r="AQ580" i="29" s="1"/>
  <c r="AR580" i="29" s="1"/>
  <c r="AP268" i="29"/>
  <c r="AQ268" i="29" s="1"/>
  <c r="AR268" i="29" s="1"/>
  <c r="AP460" i="29"/>
  <c r="AQ460" i="29" s="1"/>
  <c r="AR460" i="29" s="1"/>
  <c r="AP497" i="29"/>
  <c r="AQ497" i="29" s="1"/>
  <c r="AR497" i="29" s="1"/>
  <c r="AP345" i="29"/>
  <c r="AQ345" i="29" s="1"/>
  <c r="AR345" i="29" s="1"/>
  <c r="AP220" i="29"/>
  <c r="AQ220" i="29" s="1"/>
  <c r="AR220" i="29" s="1"/>
  <c r="AP609" i="29"/>
  <c r="AQ609" i="29" s="1"/>
  <c r="AR609" i="29" s="1"/>
  <c r="AP504" i="29"/>
  <c r="AQ504" i="29" s="1"/>
  <c r="AR504" i="29" s="1"/>
  <c r="AP512" i="29"/>
  <c r="AQ512" i="29" s="1"/>
  <c r="AR512" i="29" s="1"/>
  <c r="AP587" i="29"/>
  <c r="AQ587" i="29" s="1"/>
  <c r="AR587" i="29" s="1"/>
  <c r="AP443" i="29"/>
  <c r="AQ443" i="29" s="1"/>
  <c r="AR443" i="29" s="1"/>
  <c r="AP506" i="29"/>
  <c r="AQ506" i="29" s="1"/>
  <c r="AR506" i="29" s="1"/>
  <c r="AP16" i="29"/>
  <c r="AQ16" i="29" s="1"/>
  <c r="AR16" i="29" s="1"/>
  <c r="AP112" i="29"/>
  <c r="AQ112" i="29" s="1"/>
  <c r="AR112" i="29" s="1"/>
  <c r="AP387" i="29"/>
  <c r="AQ387" i="29" s="1"/>
  <c r="AR387" i="29" s="1"/>
  <c r="AP148" i="29"/>
  <c r="AQ148" i="29" s="1"/>
  <c r="AR148" i="29" s="1"/>
  <c r="AP373" i="29"/>
  <c r="AQ373" i="29" s="1"/>
  <c r="AR373" i="29" s="1"/>
  <c r="AP420" i="29"/>
  <c r="AQ420" i="29" s="1"/>
  <c r="AR420" i="29" s="1"/>
  <c r="AP145" i="29"/>
  <c r="AQ145" i="29" s="1"/>
  <c r="AR145" i="29" s="1"/>
  <c r="AP246" i="29"/>
  <c r="AQ246" i="29" s="1"/>
  <c r="AR246" i="29" s="1"/>
  <c r="AP174" i="29"/>
  <c r="AQ174" i="29" s="1"/>
  <c r="AR174" i="29" s="1"/>
  <c r="AP421" i="29"/>
  <c r="AQ421" i="29" s="1"/>
  <c r="AR421" i="29" s="1"/>
  <c r="AP80" i="29"/>
  <c r="AQ80" i="29" s="1"/>
  <c r="AR80" i="29" s="1"/>
  <c r="AP403" i="29"/>
  <c r="AQ403" i="29" s="1"/>
  <c r="AR403" i="29" s="1"/>
  <c r="AP509" i="29"/>
  <c r="AQ509" i="29" s="1"/>
  <c r="AR509" i="29" s="1"/>
  <c r="AP477" i="29"/>
  <c r="AQ477" i="29" s="1"/>
  <c r="AR477" i="29" s="1"/>
  <c r="AP479" i="29"/>
  <c r="AQ479" i="29" s="1"/>
  <c r="AR479" i="29" s="1"/>
  <c r="AP566" i="29"/>
  <c r="AQ566" i="29" s="1"/>
  <c r="AR566" i="29" s="1"/>
  <c r="AP172" i="29"/>
  <c r="AQ172" i="29" s="1"/>
  <c r="AR172" i="29" s="1"/>
  <c r="AP471" i="29"/>
  <c r="AQ471" i="29" s="1"/>
  <c r="AR471" i="29" s="1"/>
  <c r="AP553" i="29"/>
  <c r="AQ553" i="29" s="1"/>
  <c r="AR553" i="29" s="1"/>
  <c r="AP121" i="29"/>
  <c r="AQ121" i="29" s="1"/>
  <c r="AR121" i="29" s="1"/>
  <c r="AP363" i="29"/>
  <c r="AQ363" i="29" s="1"/>
  <c r="AR363" i="29" s="1"/>
  <c r="AP549" i="29"/>
  <c r="AQ549" i="29" s="1"/>
  <c r="AR549" i="29" s="1"/>
  <c r="AP274" i="29"/>
  <c r="AQ274" i="29" s="1"/>
  <c r="AR274" i="29" s="1"/>
  <c r="AP425" i="29"/>
  <c r="AQ425" i="29" s="1"/>
  <c r="AR425" i="29" s="1"/>
  <c r="AP316" i="29"/>
  <c r="AQ316" i="29" s="1"/>
  <c r="AR316" i="29" s="1"/>
  <c r="AP343" i="29"/>
  <c r="AQ343" i="29" s="1"/>
  <c r="AR343" i="29" s="1"/>
  <c r="AP508" i="29"/>
  <c r="AQ508" i="29" s="1"/>
  <c r="AR508" i="29" s="1"/>
  <c r="AP366" i="29"/>
  <c r="AQ366" i="29" s="1"/>
  <c r="AR366" i="29" s="1"/>
  <c r="AP297" i="29"/>
  <c r="AQ297" i="29" s="1"/>
  <c r="AR297" i="29" s="1"/>
  <c r="AP48" i="29"/>
  <c r="AQ48" i="29" s="1"/>
  <c r="AR48" i="29" s="1"/>
  <c r="AP142" i="29"/>
  <c r="AQ142" i="29" s="1"/>
  <c r="AR142" i="29" s="1"/>
  <c r="AP127" i="29"/>
  <c r="AQ127" i="29" s="1"/>
  <c r="AR127" i="29" s="1"/>
  <c r="AP408" i="29"/>
  <c r="AQ408" i="29" s="1"/>
  <c r="AR408" i="29" s="1"/>
  <c r="AP511" i="29"/>
  <c r="AQ511" i="29" s="1"/>
  <c r="AR511" i="29" s="1"/>
  <c r="AP69" i="29"/>
  <c r="AQ69" i="29" s="1"/>
  <c r="AR69" i="29" s="1"/>
  <c r="AP205" i="29"/>
  <c r="AQ205" i="29" s="1"/>
  <c r="AR205" i="29" s="1"/>
  <c r="AP377" i="29"/>
  <c r="AQ377" i="29" s="1"/>
  <c r="AR377" i="29" s="1"/>
  <c r="AP93" i="29"/>
  <c r="AQ93" i="29" s="1"/>
  <c r="AR93" i="29" s="1"/>
  <c r="AP331" i="29"/>
  <c r="AQ331" i="29" s="1"/>
  <c r="AR331" i="29" s="1"/>
  <c r="AP76" i="29"/>
  <c r="AQ76" i="29" s="1"/>
  <c r="AR76" i="29" s="1"/>
  <c r="AP395" i="29"/>
  <c r="AQ395" i="29" s="1"/>
  <c r="AR395" i="29" s="1"/>
  <c r="AP14" i="29"/>
  <c r="AQ14" i="29" s="1"/>
  <c r="AR14" i="29" s="1"/>
  <c r="AP602" i="29"/>
  <c r="AQ602" i="29" s="1"/>
  <c r="AR602" i="29" s="1"/>
  <c r="AP242" i="29"/>
  <c r="AQ242" i="29" s="1"/>
  <c r="AR242" i="29" s="1"/>
  <c r="AP230" i="29"/>
  <c r="AQ230" i="29" s="1"/>
  <c r="AR230" i="29" s="1"/>
  <c r="AP486" i="29"/>
  <c r="AQ486" i="29" s="1"/>
  <c r="AR486" i="29" s="1"/>
  <c r="AP23" i="29"/>
  <c r="AQ23" i="29" s="1"/>
  <c r="AR23" i="29" s="1"/>
  <c r="AP211" i="29"/>
  <c r="AQ211" i="29" s="1"/>
  <c r="AR211" i="29" s="1"/>
  <c r="AP453" i="29"/>
  <c r="AQ453" i="29" s="1"/>
  <c r="AR453" i="29" s="1"/>
  <c r="AP528" i="29"/>
  <c r="AQ528" i="29" s="1"/>
  <c r="AR528" i="29" s="1"/>
  <c r="AP77" i="29"/>
  <c r="AQ77" i="29" s="1"/>
  <c r="AR77" i="29" s="1"/>
  <c r="AP271" i="29"/>
  <c r="AQ271" i="29" s="1"/>
  <c r="AR271" i="29" s="1"/>
  <c r="AP385" i="29"/>
  <c r="AQ385" i="29" s="1"/>
  <c r="AR385" i="29" s="1"/>
  <c r="AP232" i="29"/>
  <c r="AQ232" i="29" s="1"/>
  <c r="AR232" i="29" s="1"/>
  <c r="AP74" i="29"/>
  <c r="AQ74" i="29" s="1"/>
  <c r="AR74" i="29" s="1"/>
  <c r="AP384" i="29"/>
  <c r="AQ384" i="29" s="1"/>
  <c r="AR384" i="29" s="1"/>
  <c r="AP514" i="29"/>
  <c r="AQ514" i="29" s="1"/>
  <c r="AR514" i="29" s="1"/>
  <c r="AP427" i="29"/>
  <c r="AQ427" i="29" s="1"/>
  <c r="AR427" i="29" s="1"/>
  <c r="AP328" i="29"/>
  <c r="AQ328" i="29" s="1"/>
  <c r="AR328" i="29" s="1"/>
  <c r="AP517" i="29"/>
  <c r="AQ517" i="29" s="1"/>
  <c r="AR517" i="29" s="1"/>
  <c r="AP404" i="29"/>
  <c r="AQ404" i="29" s="1"/>
  <c r="AR404" i="29" s="1"/>
  <c r="AP389" i="29"/>
  <c r="AQ389" i="29" s="1"/>
  <c r="AR389" i="29" s="1"/>
  <c r="AP372" i="29"/>
  <c r="AQ372" i="29" s="1"/>
  <c r="AR372" i="29" s="1"/>
  <c r="AP300" i="29"/>
  <c r="AQ300" i="29" s="1"/>
  <c r="AR300" i="29" s="1"/>
  <c r="AP493" i="29"/>
  <c r="AQ493" i="29" s="1"/>
  <c r="AR493" i="29" s="1"/>
  <c r="AP219" i="29"/>
  <c r="AQ219" i="29" s="1"/>
  <c r="AR219" i="29" s="1"/>
  <c r="AP123" i="29"/>
  <c r="AQ123" i="29" s="1"/>
  <c r="AR123" i="29" s="1"/>
  <c r="AP22" i="29"/>
  <c r="AQ22" i="29" s="1"/>
  <c r="AR22" i="29" s="1"/>
  <c r="AP431" i="29"/>
  <c r="AQ431" i="29" s="1"/>
  <c r="AR431" i="29" s="1"/>
  <c r="AP156" i="29"/>
  <c r="AQ156" i="29" s="1"/>
  <c r="AR156" i="29" s="1"/>
  <c r="AP472" i="29"/>
  <c r="AQ472" i="29" s="1"/>
  <c r="AR472" i="29" s="1"/>
  <c r="AP364" i="29"/>
  <c r="AQ364" i="29" s="1"/>
  <c r="AR364" i="29" s="1"/>
  <c r="AP489" i="29"/>
  <c r="AQ489" i="29" s="1"/>
  <c r="AR489" i="29" s="1"/>
  <c r="AP444" i="29"/>
  <c r="AQ444" i="29" s="1"/>
  <c r="AR444" i="29" s="1"/>
  <c r="AP209" i="29"/>
  <c r="AQ209" i="29" s="1"/>
  <c r="AR209" i="29" s="1"/>
  <c r="AP304" i="29"/>
  <c r="AQ304" i="29" s="1"/>
  <c r="AR304" i="29" s="1"/>
  <c r="AP537" i="29"/>
  <c r="AQ537" i="29" s="1"/>
  <c r="AR537" i="29" s="1"/>
  <c r="AP264" i="29"/>
  <c r="AQ264" i="29" s="1"/>
  <c r="AR264" i="29" s="1"/>
  <c r="AP79" i="29"/>
  <c r="AQ79" i="29" s="1"/>
  <c r="AR79" i="29" s="1"/>
  <c r="AP473" i="29"/>
  <c r="AQ473" i="29" s="1"/>
  <c r="AR473" i="29" s="1"/>
  <c r="AP532" i="29"/>
  <c r="AQ532" i="29" s="1"/>
  <c r="AR532" i="29" s="1"/>
  <c r="AP592" i="29"/>
  <c r="AQ592" i="29" s="1"/>
  <c r="AR592" i="29" s="1"/>
  <c r="AP399" i="29"/>
  <c r="AQ399" i="29" s="1"/>
  <c r="AR399" i="29" s="1"/>
  <c r="AP362" i="29"/>
  <c r="AQ362" i="29" s="1"/>
  <c r="AR362" i="29" s="1"/>
  <c r="AP390" i="29"/>
  <c r="AQ390" i="29" s="1"/>
  <c r="AR390" i="29" s="1"/>
  <c r="AP64" i="29"/>
  <c r="AQ64" i="29" s="1"/>
  <c r="AR64" i="29" s="1"/>
  <c r="AP314" i="29"/>
  <c r="AQ314" i="29" s="1"/>
  <c r="AR314" i="29" s="1"/>
  <c r="AP576" i="29"/>
  <c r="AQ576" i="29" s="1"/>
  <c r="AR576" i="29" s="1"/>
  <c r="AP45" i="29"/>
  <c r="AQ45" i="29" s="1"/>
  <c r="AR45" i="29" s="1"/>
  <c r="AP391" i="29"/>
  <c r="AQ391" i="29" s="1"/>
  <c r="AR391" i="29" s="1"/>
  <c r="AP368" i="29"/>
  <c r="AQ368" i="29" s="1"/>
  <c r="AR368" i="29" s="1"/>
  <c r="AP118" i="29"/>
  <c r="AQ118" i="29" s="1"/>
  <c r="AR118" i="29" s="1"/>
  <c r="AP296" i="29"/>
  <c r="AQ296" i="29" s="1"/>
  <c r="AR296" i="29" s="1"/>
  <c r="AP177" i="29"/>
  <c r="AQ177" i="29" s="1"/>
  <c r="AR177" i="29" s="1"/>
  <c r="AP375" i="29"/>
  <c r="AQ375" i="29" s="1"/>
  <c r="AR375" i="29" s="1"/>
  <c r="AP563" i="29"/>
  <c r="AQ563" i="29" s="1"/>
  <c r="AR563" i="29" s="1"/>
  <c r="AP89" i="29"/>
  <c r="AQ89" i="29" s="1"/>
  <c r="AR89" i="29" s="1"/>
  <c r="AP465" i="29"/>
  <c r="AQ465" i="29" s="1"/>
  <c r="AR465" i="29" s="1"/>
  <c r="AP234" i="29"/>
  <c r="AQ234" i="29" s="1"/>
  <c r="AR234" i="29" s="1"/>
  <c r="AP397" i="29"/>
  <c r="AQ397" i="29" s="1"/>
  <c r="AR397" i="29" s="1"/>
  <c r="AP591" i="29"/>
  <c r="AQ591" i="29" s="1"/>
  <c r="AR591" i="29" s="1"/>
  <c r="AP338" i="29"/>
  <c r="AQ338" i="29" s="1"/>
  <c r="AR338" i="29" s="1"/>
  <c r="AP190" i="29"/>
  <c r="AQ190" i="29" s="1"/>
  <c r="AR190" i="29" s="1"/>
  <c r="AP269" i="29"/>
  <c r="AQ269" i="29" s="1"/>
  <c r="AR269" i="29" s="1"/>
  <c r="AP600" i="29"/>
  <c r="AQ600" i="29" s="1"/>
  <c r="AR600" i="29" s="1"/>
  <c r="AP250" i="29"/>
  <c r="AQ250" i="29" s="1"/>
  <c r="AR250" i="29" s="1"/>
  <c r="AP378" i="29"/>
  <c r="AQ378" i="29" s="1"/>
  <c r="AR378" i="29" s="1"/>
  <c r="AP361" i="29"/>
  <c r="AQ361" i="29" s="1"/>
  <c r="AR361" i="29" s="1"/>
  <c r="AP249" i="29"/>
  <c r="AQ249" i="29" s="1"/>
  <c r="AR249" i="29" s="1"/>
  <c r="AP407" i="29"/>
  <c r="AQ407" i="29" s="1"/>
  <c r="AR407" i="29" s="1"/>
  <c r="AP323" i="29"/>
  <c r="AQ323" i="29" s="1"/>
  <c r="AR323" i="29" s="1"/>
  <c r="AP184" i="29"/>
  <c r="AQ184" i="29" s="1"/>
  <c r="AR184" i="29" s="1"/>
  <c r="AP458" i="29"/>
  <c r="AQ458" i="29" s="1"/>
  <c r="AR458" i="29" s="1"/>
  <c r="AP120" i="29"/>
  <c r="AQ120" i="29" s="1"/>
  <c r="AR120" i="29" s="1"/>
  <c r="AP38" i="29"/>
  <c r="AQ38" i="29" s="1"/>
  <c r="AR38" i="29" s="1"/>
  <c r="AP119" i="29"/>
  <c r="AQ119" i="29" s="1"/>
  <c r="AR119" i="29" s="1"/>
  <c r="AP303" i="29"/>
  <c r="AQ303" i="29" s="1"/>
  <c r="AR303" i="29" s="1"/>
  <c r="AP266" i="29"/>
  <c r="AQ266" i="29" s="1"/>
  <c r="AR266" i="29" s="1"/>
  <c r="AP27" i="29"/>
  <c r="AQ27" i="29" s="1"/>
  <c r="AR27" i="29" s="1"/>
  <c r="AP416" i="29"/>
  <c r="AQ416" i="29" s="1"/>
  <c r="AR416" i="29" s="1"/>
  <c r="AP463" i="29"/>
  <c r="AQ463" i="29" s="1"/>
  <c r="AR463" i="29" s="1"/>
  <c r="AP584" i="29"/>
  <c r="AQ584" i="29" s="1"/>
  <c r="AR584" i="29" s="1"/>
  <c r="AP149" i="29"/>
  <c r="AQ149" i="29" s="1"/>
  <c r="AR149" i="29" s="1"/>
  <c r="AP503" i="29"/>
  <c r="AQ503" i="29" s="1"/>
  <c r="AR503" i="29" s="1"/>
  <c r="AP464" i="29"/>
  <c r="AQ464" i="29" s="1"/>
  <c r="AR464" i="29" s="1"/>
  <c r="AP199" i="29"/>
  <c r="AQ199" i="29" s="1"/>
  <c r="AR199" i="29" s="1"/>
  <c r="AP341" i="29"/>
  <c r="AQ341" i="29" s="1"/>
  <c r="AR341" i="29" s="1"/>
  <c r="AP165" i="29"/>
  <c r="AQ165" i="29" s="1"/>
  <c r="AR165" i="29" s="1"/>
  <c r="AP426" i="29"/>
  <c r="AQ426" i="29" s="1"/>
  <c r="AR426" i="29" s="1"/>
  <c r="AP103" i="29"/>
  <c r="AQ103" i="29" s="1"/>
  <c r="AR103" i="29" s="1"/>
  <c r="AP110" i="29"/>
  <c r="AQ110" i="29" s="1"/>
  <c r="AR110" i="29" s="1"/>
  <c r="AP159" i="29"/>
  <c r="AQ159" i="29" s="1"/>
  <c r="AR159" i="29" s="1"/>
  <c r="AP469" i="29"/>
  <c r="AQ469" i="29" s="1"/>
  <c r="AR469" i="29" s="1"/>
  <c r="AP152" i="29"/>
  <c r="AQ152" i="29" s="1"/>
  <c r="AR152" i="29" s="1"/>
  <c r="AP185" i="29"/>
  <c r="AQ185" i="29" s="1"/>
  <c r="AR185" i="29" s="1"/>
  <c r="AP594" i="29"/>
  <c r="AQ594" i="29" s="1"/>
  <c r="AR594" i="29" s="1"/>
  <c r="AP181" i="29"/>
  <c r="AQ181" i="29" s="1"/>
  <c r="AR181" i="29" s="1"/>
  <c r="AP155" i="29"/>
  <c r="AQ155" i="29" s="1"/>
  <c r="AR155" i="29" s="1"/>
  <c r="AP369" i="29"/>
  <c r="AQ369" i="29" s="1"/>
  <c r="AR369" i="29" s="1"/>
  <c r="AP394" i="29"/>
  <c r="AQ394" i="29" s="1"/>
  <c r="AR394" i="29" s="1"/>
  <c r="AP607" i="29"/>
  <c r="AQ607" i="29" s="1"/>
  <c r="AR607" i="29" s="1"/>
  <c r="AP333" i="29"/>
  <c r="AQ333" i="29" s="1"/>
  <c r="AR333" i="29" s="1"/>
  <c r="AP401" i="29"/>
  <c r="AQ401" i="29" s="1"/>
  <c r="AR401" i="29" s="1"/>
  <c r="AP429" i="29"/>
  <c r="AQ429" i="29" s="1"/>
  <c r="AR429" i="29" s="1"/>
  <c r="AP258" i="29"/>
  <c r="AQ258" i="29" s="1"/>
  <c r="AR258" i="29" s="1"/>
  <c r="AP606" i="29"/>
  <c r="AQ606" i="29" s="1"/>
  <c r="AR606" i="29" s="1"/>
  <c r="AP62" i="29"/>
  <c r="AQ62" i="29" s="1"/>
  <c r="AR62" i="29" s="1"/>
  <c r="AP548" i="29"/>
  <c r="AQ548" i="29" s="1"/>
  <c r="AR548" i="29" s="1"/>
  <c r="AP154" i="29"/>
  <c r="AQ154" i="29" s="1"/>
  <c r="AR154" i="29" s="1"/>
  <c r="AP275" i="29"/>
  <c r="AQ275" i="29" s="1"/>
  <c r="AR275" i="29" s="1"/>
  <c r="AP216" i="29"/>
  <c r="AQ216" i="29" s="1"/>
  <c r="AR216" i="29" s="1"/>
  <c r="AP326" i="29"/>
  <c r="AQ326" i="29" s="1"/>
  <c r="AR326" i="29" s="1"/>
  <c r="AP513" i="29"/>
  <c r="AQ513" i="29" s="1"/>
  <c r="AR513" i="29" s="1"/>
  <c r="AP419" i="29"/>
  <c r="AQ419" i="29" s="1"/>
  <c r="AR419" i="29" s="1"/>
  <c r="AP499" i="29"/>
  <c r="AQ499" i="29" s="1"/>
  <c r="AR499" i="29" s="1"/>
  <c r="AP353" i="29"/>
  <c r="AQ353" i="29" s="1"/>
  <c r="AR353" i="29" s="1"/>
  <c r="AP55" i="29"/>
  <c r="AQ55" i="29" s="1"/>
  <c r="AR55" i="29" s="1"/>
  <c r="AP455" i="29"/>
  <c r="AQ455" i="29" s="1"/>
  <c r="AR455" i="29" s="1"/>
  <c r="AP555" i="29"/>
  <c r="AQ555" i="29" s="1"/>
  <c r="AR555" i="29" s="1"/>
  <c r="AP565" i="29"/>
  <c r="AQ565" i="29" s="1"/>
  <c r="AR565" i="29" s="1"/>
  <c r="AP550" i="29"/>
  <c r="AQ550" i="29" s="1"/>
  <c r="AR550" i="29" s="1"/>
  <c r="AP535" i="29"/>
  <c r="AQ535" i="29" s="1"/>
  <c r="AR535" i="29" s="1"/>
  <c r="AP406" i="29"/>
  <c r="AQ406" i="29" s="1"/>
  <c r="AR406" i="29" s="1"/>
  <c r="AP596" i="29"/>
  <c r="AQ596" i="29" s="1"/>
  <c r="AR596" i="29" s="1"/>
  <c r="AP162" i="29"/>
  <c r="AQ162" i="29" s="1"/>
  <c r="AR162" i="29" s="1"/>
  <c r="AP571" i="29"/>
  <c r="AQ571" i="29" s="1"/>
  <c r="AR571" i="29" s="1"/>
  <c r="AP515" i="29"/>
  <c r="AQ515" i="29" s="1"/>
  <c r="AR515" i="29" s="1"/>
  <c r="AP480" i="29"/>
  <c r="AQ480" i="29" s="1"/>
  <c r="AR480" i="29" s="1"/>
  <c r="AP126" i="29"/>
  <c r="AQ126" i="29" s="1"/>
  <c r="AR126" i="29" s="1"/>
  <c r="AP501" i="29"/>
  <c r="AQ501" i="29" s="1"/>
  <c r="AR501" i="29" s="1"/>
  <c r="AP289" i="29"/>
  <c r="AQ289" i="29" s="1"/>
  <c r="AR289" i="29" s="1"/>
  <c r="AP402" i="29"/>
  <c r="AQ402" i="29" s="1"/>
  <c r="AR402" i="29" s="1"/>
  <c r="AP228" i="29"/>
  <c r="AQ228" i="29" s="1"/>
  <c r="AR228" i="29" s="1"/>
  <c r="AP259" i="29"/>
  <c r="AQ259" i="29" s="1"/>
  <c r="AR259" i="29" s="1"/>
  <c r="AP598" i="29"/>
  <c r="AQ598" i="29" s="1"/>
  <c r="AR598" i="29" s="1"/>
  <c r="AP371" i="29"/>
  <c r="AQ371" i="29" s="1"/>
  <c r="AR371" i="29" s="1"/>
  <c r="AP510" i="29"/>
  <c r="AQ510" i="29" s="1"/>
  <c r="AR510" i="29" s="1"/>
  <c r="AP51" i="29"/>
  <c r="AQ51" i="29" s="1"/>
  <c r="AR51" i="29" s="1"/>
  <c r="AP95" i="29"/>
  <c r="AQ95" i="29" s="1"/>
  <c r="AR95" i="29" s="1"/>
  <c r="AP365" i="29"/>
  <c r="AQ365" i="29" s="1"/>
  <c r="AR365" i="29" s="1"/>
  <c r="AP286" i="29"/>
  <c r="AQ286" i="29" s="1"/>
  <c r="AR286" i="29" s="1"/>
  <c r="AP117" i="29"/>
  <c r="AQ117" i="29" s="1"/>
  <c r="AR117" i="29" s="1"/>
  <c r="AP99" i="29"/>
  <c r="AQ99" i="29" s="1"/>
  <c r="AR99" i="29" s="1"/>
  <c r="D55" i="29"/>
  <c r="D56" i="29" s="1"/>
  <c r="D57" i="29" s="1"/>
  <c r="AP191" i="29"/>
  <c r="AQ191" i="29" s="1"/>
  <c r="AR191" i="29" s="1"/>
  <c r="AP412" i="29"/>
  <c r="AQ412" i="29" s="1"/>
  <c r="AR412" i="29" s="1"/>
  <c r="AP525" i="29"/>
  <c r="AQ525" i="29" s="1"/>
  <c r="AR525" i="29" s="1"/>
  <c r="AP143" i="29"/>
  <c r="AQ143" i="29" s="1"/>
  <c r="AR143" i="29" s="1"/>
  <c r="AT195" i="25"/>
  <c r="AY195" i="25" s="1"/>
  <c r="AU195" i="25"/>
  <c r="AT160" i="25"/>
  <c r="AY160" i="25" s="1"/>
  <c r="AU160" i="25"/>
  <c r="AT227" i="25"/>
  <c r="AU227" i="25"/>
  <c r="BY292" i="24"/>
  <c r="CA292" i="24" s="1"/>
  <c r="BM292" i="24"/>
  <c r="BN292" i="24" s="1"/>
  <c r="BE254" i="24"/>
  <c r="BT254" i="24" s="1"/>
  <c r="BD254" i="24"/>
  <c r="AY254" i="24"/>
  <c r="AZ254" i="24" s="1"/>
  <c r="BD37" i="24"/>
  <c r="AY37" i="24"/>
  <c r="AZ37" i="24" s="1"/>
  <c r="BE37" i="24"/>
  <c r="BT37" i="24" s="1"/>
  <c r="BB275" i="25"/>
  <c r="BS275" i="25" s="1"/>
  <c r="BC275" i="25"/>
  <c r="BT275" i="25" s="1"/>
  <c r="BA275" i="25"/>
  <c r="BE245" i="24"/>
  <c r="BT245" i="24" s="1"/>
  <c r="AY245" i="24"/>
  <c r="AZ245" i="24" s="1"/>
  <c r="BD245" i="24"/>
  <c r="AT16" i="25"/>
  <c r="AY16" i="25" s="1"/>
  <c r="AU16" i="25"/>
  <c r="BB232" i="25"/>
  <c r="BS232" i="25" s="1"/>
  <c r="BC232" i="25"/>
  <c r="BT232" i="25" s="1"/>
  <c r="BA232" i="25"/>
  <c r="AT119" i="25"/>
  <c r="AY119" i="25" s="1"/>
  <c r="AU119" i="25"/>
  <c r="BE220" i="24"/>
  <c r="BT220" i="24" s="1"/>
  <c r="AY220" i="24"/>
  <c r="AZ220" i="24" s="1"/>
  <c r="BD220" i="24"/>
  <c r="BS19" i="24"/>
  <c r="BG19" i="24"/>
  <c r="BM19" i="24" s="1"/>
  <c r="AT304" i="25"/>
  <c r="AU304" i="25"/>
  <c r="AT299" i="25"/>
  <c r="AU299" i="25"/>
  <c r="AT182" i="25"/>
  <c r="AY182" i="25" s="1"/>
  <c r="AU182" i="25"/>
  <c r="BC261" i="25"/>
  <c r="BT261" i="25" s="1"/>
  <c r="BB261" i="25"/>
  <c r="BS261" i="25" s="1"/>
  <c r="BA261" i="25"/>
  <c r="AT281" i="25"/>
  <c r="AU281" i="25"/>
  <c r="AT185" i="25"/>
  <c r="AY185" i="25" s="1"/>
  <c r="AU185" i="25"/>
  <c r="BC179" i="25"/>
  <c r="BT179" i="25" s="1"/>
  <c r="BA179" i="25"/>
  <c r="BB179" i="25"/>
  <c r="BS179" i="25" s="1"/>
  <c r="AY146" i="24"/>
  <c r="AZ146" i="24" s="1"/>
  <c r="BE146" i="24"/>
  <c r="BT146" i="24" s="1"/>
  <c r="BD146" i="24"/>
  <c r="BB6" i="25"/>
  <c r="BS6" i="25" s="1"/>
  <c r="BA6" i="25"/>
  <c r="BC6" i="25"/>
  <c r="BT6" i="25" s="1"/>
  <c r="BE163" i="24"/>
  <c r="BT163" i="24" s="1"/>
  <c r="BD163" i="24"/>
  <c r="AY163" i="24"/>
  <c r="AZ163" i="24" s="1"/>
  <c r="BD13" i="24"/>
  <c r="AY13" i="24"/>
  <c r="AZ13" i="24" s="1"/>
  <c r="BE13" i="24"/>
  <c r="BT13" i="24" s="1"/>
  <c r="BE124" i="24"/>
  <c r="BT124" i="24" s="1"/>
  <c r="BD124" i="24"/>
  <c r="AY124" i="24"/>
  <c r="AZ124" i="24" s="1"/>
  <c r="BE315" i="24"/>
  <c r="BT315" i="24" s="1"/>
  <c r="BD315" i="24"/>
  <c r="AY315" i="24"/>
  <c r="AZ315" i="24" s="1"/>
  <c r="BB243" i="25"/>
  <c r="BS243" i="25" s="1"/>
  <c r="BA243" i="25"/>
  <c r="BC243" i="25"/>
  <c r="BT243" i="25" s="1"/>
  <c r="BE94" i="24"/>
  <c r="BT94" i="24" s="1"/>
  <c r="AY94" i="24"/>
  <c r="AZ94" i="24" s="1"/>
  <c r="BD94" i="24"/>
  <c r="BD59" i="24"/>
  <c r="BE59" i="24"/>
  <c r="BT59" i="24" s="1"/>
  <c r="AY59" i="24"/>
  <c r="AZ59" i="24" s="1"/>
  <c r="BE150" i="24"/>
  <c r="BT150" i="24" s="1"/>
  <c r="BD150" i="24"/>
  <c r="AY150" i="24"/>
  <c r="AZ150" i="24" s="1"/>
  <c r="AT54" i="25"/>
  <c r="AY54" i="25" s="1"/>
  <c r="AU54" i="25"/>
  <c r="BE60" i="24"/>
  <c r="BT60" i="24" s="1"/>
  <c r="BD60" i="24"/>
  <c r="AY60" i="24"/>
  <c r="AZ60" i="24" s="1"/>
  <c r="AT196" i="25"/>
  <c r="AY196" i="25" s="1"/>
  <c r="AU196" i="25"/>
  <c r="BD227" i="24"/>
  <c r="AY227" i="24"/>
  <c r="AZ227" i="24" s="1"/>
  <c r="BE227" i="24"/>
  <c r="BT227" i="24" s="1"/>
  <c r="BD281" i="24"/>
  <c r="AY281" i="24"/>
  <c r="AZ281" i="24" s="1"/>
  <c r="BE281" i="24"/>
  <c r="BT281" i="24" s="1"/>
  <c r="BD167" i="24"/>
  <c r="BE167" i="24"/>
  <c r="BT167" i="24" s="1"/>
  <c r="AY167" i="24"/>
  <c r="AZ167" i="24" s="1"/>
  <c r="BG152" i="24"/>
  <c r="AT301" i="25"/>
  <c r="AU301" i="25"/>
  <c r="BE267" i="24"/>
  <c r="BT267" i="24" s="1"/>
  <c r="BD267" i="24"/>
  <c r="AY267" i="24"/>
  <c r="AZ267" i="24" s="1"/>
  <c r="BD134" i="24"/>
  <c r="AY134" i="24"/>
  <c r="AZ134" i="24" s="1"/>
  <c r="BE134" i="24"/>
  <c r="BT134" i="24" s="1"/>
  <c r="BE307" i="24"/>
  <c r="BT307" i="24" s="1"/>
  <c r="BD307" i="24"/>
  <c r="AY307" i="24"/>
  <c r="AZ307" i="24" s="1"/>
  <c r="AY210" i="24"/>
  <c r="AZ210" i="24" s="1"/>
  <c r="BD210" i="24"/>
  <c r="BE210" i="24"/>
  <c r="BT210" i="24" s="1"/>
  <c r="AT311" i="25"/>
  <c r="AU311" i="25"/>
  <c r="AT135" i="25"/>
  <c r="AY135" i="25" s="1"/>
  <c r="AU135" i="25"/>
  <c r="BE272" i="24"/>
  <c r="BT272" i="24" s="1"/>
  <c r="BD272" i="24"/>
  <c r="AY272" i="24"/>
  <c r="AZ272" i="24" s="1"/>
  <c r="BD96" i="24"/>
  <c r="BE96" i="24"/>
  <c r="BT96" i="24" s="1"/>
  <c r="AY96" i="24"/>
  <c r="AZ96" i="24" s="1"/>
  <c r="AY244" i="24"/>
  <c r="AZ244" i="24" s="1"/>
  <c r="BE244" i="24"/>
  <c r="BT244" i="24" s="1"/>
  <c r="BD244" i="24"/>
  <c r="BD297" i="24"/>
  <c r="AY297" i="24"/>
  <c r="AZ297" i="24" s="1"/>
  <c r="BE297" i="24"/>
  <c r="BT297" i="24" s="1"/>
  <c r="BE115" i="24"/>
  <c r="BT115" i="24" s="1"/>
  <c r="BD115" i="24"/>
  <c r="AY115" i="24"/>
  <c r="AZ115" i="24" s="1"/>
  <c r="AT164" i="25"/>
  <c r="AY164" i="25" s="1"/>
  <c r="AU164" i="25"/>
  <c r="AY231" i="24"/>
  <c r="AZ231" i="24" s="1"/>
  <c r="BD231" i="24"/>
  <c r="BE231" i="24"/>
  <c r="BT231" i="24" s="1"/>
  <c r="AY314" i="24"/>
  <c r="AZ314" i="24" s="1"/>
  <c r="BD314" i="24"/>
  <c r="BE314" i="24"/>
  <c r="BT314" i="24" s="1"/>
  <c r="BE303" i="24"/>
  <c r="BT303" i="24" s="1"/>
  <c r="BD303" i="24"/>
  <c r="AY303" i="24"/>
  <c r="AZ303" i="24" s="1"/>
  <c r="AY95" i="24"/>
  <c r="AZ95" i="24" s="1"/>
  <c r="BE95" i="24"/>
  <c r="BT95" i="24" s="1"/>
  <c r="BD95" i="24"/>
  <c r="AT103" i="25"/>
  <c r="AY103" i="25" s="1"/>
  <c r="AU103" i="25"/>
  <c r="AY11" i="24"/>
  <c r="AZ11" i="24" s="1"/>
  <c r="BE11" i="24"/>
  <c r="BT11" i="24" s="1"/>
  <c r="BD11" i="24"/>
  <c r="AT127" i="25"/>
  <c r="AY127" i="25" s="1"/>
  <c r="AU127" i="25"/>
  <c r="BA59" i="25"/>
  <c r="BC59" i="25"/>
  <c r="BT59" i="25" s="1"/>
  <c r="BB59" i="25"/>
  <c r="BS59" i="25" s="1"/>
  <c r="BG21" i="24"/>
  <c r="BM21" i="24" s="1"/>
  <c r="BS21" i="24"/>
  <c r="BV21" i="24" s="1"/>
  <c r="BX21" i="24" s="1"/>
  <c r="AT242" i="25"/>
  <c r="AU242" i="25"/>
  <c r="BE39" i="24"/>
  <c r="BT39" i="24" s="1"/>
  <c r="AY39" i="24"/>
  <c r="AZ39" i="24" s="1"/>
  <c r="BD39" i="24"/>
  <c r="AT153" i="25"/>
  <c r="AY153" i="25" s="1"/>
  <c r="AU153" i="25"/>
  <c r="AT233" i="25"/>
  <c r="AU233" i="25"/>
  <c r="AT218" i="25"/>
  <c r="AU218" i="25"/>
  <c r="BA62" i="25"/>
  <c r="BC62" i="25"/>
  <c r="BT62" i="25" s="1"/>
  <c r="BB62" i="25"/>
  <c r="BS62" i="25" s="1"/>
  <c r="AT93" i="25"/>
  <c r="AY93" i="25" s="1"/>
  <c r="AU93" i="25"/>
  <c r="BS41" i="24"/>
  <c r="BV41" i="24" s="1"/>
  <c r="BX41" i="24" s="1"/>
  <c r="BG41" i="24"/>
  <c r="BM41" i="24" s="1"/>
  <c r="BE262" i="24"/>
  <c r="BT262" i="24" s="1"/>
  <c r="BD262" i="24"/>
  <c r="AY262" i="24"/>
  <c r="AZ262" i="24" s="1"/>
  <c r="BG135" i="24"/>
  <c r="BS135" i="24"/>
  <c r="AT49" i="25"/>
  <c r="AY49" i="25" s="1"/>
  <c r="AU49" i="25"/>
  <c r="AT285" i="25"/>
  <c r="AU285" i="25"/>
  <c r="BD186" i="24"/>
  <c r="AY186" i="24"/>
  <c r="AZ186" i="24" s="1"/>
  <c r="BE186" i="24"/>
  <c r="BT186" i="24" s="1"/>
  <c r="AT300" i="25"/>
  <c r="AU300" i="25"/>
  <c r="AT263" i="25"/>
  <c r="AU263" i="25"/>
  <c r="AT310" i="25"/>
  <c r="AU310" i="25"/>
  <c r="AT274" i="25"/>
  <c r="AU274" i="25"/>
  <c r="BD78" i="24"/>
  <c r="AY78" i="24"/>
  <c r="AZ78" i="24" s="1"/>
  <c r="BE78" i="24"/>
  <c r="BT78" i="24" s="1"/>
  <c r="AY36" i="24"/>
  <c r="AZ36" i="24" s="1"/>
  <c r="BD36" i="24"/>
  <c r="BE36" i="24"/>
  <c r="BT36" i="24" s="1"/>
  <c r="AY225" i="24"/>
  <c r="AZ225" i="24" s="1"/>
  <c r="BD225" i="24"/>
  <c r="BE225" i="24"/>
  <c r="BT225" i="24" s="1"/>
  <c r="BC114" i="25"/>
  <c r="BT114" i="25" s="1"/>
  <c r="BB114" i="25"/>
  <c r="BS114" i="25" s="1"/>
  <c r="BA114" i="25"/>
  <c r="BD92" i="24"/>
  <c r="AY92" i="24"/>
  <c r="AZ92" i="24" s="1"/>
  <c r="BE92" i="24"/>
  <c r="BT92" i="24" s="1"/>
  <c r="BA280" i="25"/>
  <c r="BC280" i="25"/>
  <c r="BT280" i="25" s="1"/>
  <c r="BB280" i="25"/>
  <c r="BS280" i="25" s="1"/>
  <c r="AT249" i="25"/>
  <c r="AU249" i="25"/>
  <c r="AT18" i="25"/>
  <c r="AY18" i="25" s="1"/>
  <c r="AU18" i="25"/>
  <c r="BB273" i="25"/>
  <c r="BS273" i="25" s="1"/>
  <c r="BA273" i="25"/>
  <c r="BC273" i="25"/>
  <c r="BT273" i="25" s="1"/>
  <c r="BD277" i="24"/>
  <c r="BE277" i="24"/>
  <c r="BT277" i="24" s="1"/>
  <c r="AY277" i="24"/>
  <c r="AZ277" i="24" s="1"/>
  <c r="AT210" i="25"/>
  <c r="AY210" i="25" s="1"/>
  <c r="AU210" i="25"/>
  <c r="BE68" i="24"/>
  <c r="BT68" i="24" s="1"/>
  <c r="BD68" i="24"/>
  <c r="AY68" i="24"/>
  <c r="AZ68" i="24" s="1"/>
  <c r="AY287" i="24"/>
  <c r="AZ287" i="24" s="1"/>
  <c r="BD287" i="24"/>
  <c r="BE287" i="24"/>
  <c r="BT287" i="24" s="1"/>
  <c r="BE312" i="24"/>
  <c r="BT312" i="24" s="1"/>
  <c r="BD312" i="24"/>
  <c r="AY312" i="24"/>
  <c r="AZ312" i="24" s="1"/>
  <c r="BC293" i="25"/>
  <c r="BT293" i="25" s="1"/>
  <c r="BA293" i="25"/>
  <c r="BB293" i="25"/>
  <c r="BS293" i="25" s="1"/>
  <c r="AT254" i="25"/>
  <c r="AU254" i="25"/>
  <c r="AT39" i="25"/>
  <c r="AY39" i="25" s="1"/>
  <c r="AU39" i="25"/>
  <c r="BC229" i="25"/>
  <c r="BT229" i="25" s="1"/>
  <c r="BB229" i="25"/>
  <c r="BS229" i="25" s="1"/>
  <c r="BA229" i="25"/>
  <c r="BD221" i="24"/>
  <c r="AY221" i="24"/>
  <c r="AZ221" i="24" s="1"/>
  <c r="BE221" i="24"/>
  <c r="BT221" i="24" s="1"/>
  <c r="AT156" i="25"/>
  <c r="AY156" i="25" s="1"/>
  <c r="AU156" i="25"/>
  <c r="BA255" i="25"/>
  <c r="BB255" i="25"/>
  <c r="BS255" i="25" s="1"/>
  <c r="BC255" i="25"/>
  <c r="BT255" i="25" s="1"/>
  <c r="AT316" i="25"/>
  <c r="AU316" i="25"/>
  <c r="AT172" i="25"/>
  <c r="AY172" i="25" s="1"/>
  <c r="AU172" i="25"/>
  <c r="BA306" i="25"/>
  <c r="BC306" i="25"/>
  <c r="BT306" i="25" s="1"/>
  <c r="BB306" i="25"/>
  <c r="BS306" i="25" s="1"/>
  <c r="AT99" i="25"/>
  <c r="AY99" i="25" s="1"/>
  <c r="AU99" i="25"/>
  <c r="BB87" i="25"/>
  <c r="BS87" i="25" s="1"/>
  <c r="BA87" i="25"/>
  <c r="BC87" i="25"/>
  <c r="BT87" i="25" s="1"/>
  <c r="AT162" i="25"/>
  <c r="AY162" i="25" s="1"/>
  <c r="AU162" i="25"/>
  <c r="AT117" i="25"/>
  <c r="AY117" i="25" s="1"/>
  <c r="AU117" i="25"/>
  <c r="AY125" i="24"/>
  <c r="AZ125" i="24" s="1"/>
  <c r="BD125" i="24"/>
  <c r="BE125" i="24"/>
  <c r="BT125" i="24" s="1"/>
  <c r="BA305" i="25"/>
  <c r="BC305" i="25"/>
  <c r="BT305" i="25" s="1"/>
  <c r="BB305" i="25"/>
  <c r="BS305" i="25" s="1"/>
  <c r="AT88" i="25"/>
  <c r="AY88" i="25" s="1"/>
  <c r="AU88" i="25"/>
  <c r="AT226" i="25"/>
  <c r="AU226" i="25"/>
  <c r="BE84" i="24"/>
  <c r="BT84" i="24" s="1"/>
  <c r="BD84" i="24"/>
  <c r="AY84" i="24"/>
  <c r="AZ84" i="24" s="1"/>
  <c r="BE80" i="24"/>
  <c r="BT80" i="24" s="1"/>
  <c r="BD80" i="24"/>
  <c r="AY80" i="24"/>
  <c r="AZ80" i="24" s="1"/>
  <c r="AT25" i="25"/>
  <c r="AY25" i="25" s="1"/>
  <c r="AU25" i="25"/>
  <c r="BC246" i="25"/>
  <c r="BT246" i="25" s="1"/>
  <c r="BA246" i="25"/>
  <c r="BB246" i="25"/>
  <c r="BS246" i="25" s="1"/>
  <c r="AT290" i="25"/>
  <c r="AU290" i="25"/>
  <c r="BC262" i="25"/>
  <c r="BT262" i="25" s="1"/>
  <c r="BB262" i="25"/>
  <c r="BS262" i="25" s="1"/>
  <c r="BA262" i="25"/>
  <c r="AT169" i="25"/>
  <c r="AY169" i="25" s="1"/>
  <c r="AU169" i="25"/>
  <c r="AY291" i="24"/>
  <c r="AZ291" i="24" s="1"/>
  <c r="BE291" i="24"/>
  <c r="BT291" i="24" s="1"/>
  <c r="BD291" i="24"/>
  <c r="AT260" i="25"/>
  <c r="AU260" i="25"/>
  <c r="AY102" i="24"/>
  <c r="AZ102" i="24" s="1"/>
  <c r="BD102" i="24"/>
  <c r="BE102" i="24"/>
  <c r="BT102" i="24" s="1"/>
  <c r="BE223" i="24"/>
  <c r="BT223" i="24" s="1"/>
  <c r="AY223" i="24"/>
  <c r="AZ223" i="24" s="1"/>
  <c r="BD223" i="24"/>
  <c r="AT52" i="25"/>
  <c r="AY52" i="25" s="1"/>
  <c r="AU52" i="25"/>
  <c r="BE141" i="24"/>
  <c r="BT141" i="24" s="1"/>
  <c r="AY141" i="24"/>
  <c r="AZ141" i="24" s="1"/>
  <c r="BD141" i="24"/>
  <c r="BD251" i="24"/>
  <c r="BE251" i="24"/>
  <c r="BT251" i="24" s="1"/>
  <c r="AY251" i="24"/>
  <c r="AZ251" i="24" s="1"/>
  <c r="BA186" i="25"/>
  <c r="BC186" i="25"/>
  <c r="BT186" i="25" s="1"/>
  <c r="BB186" i="25"/>
  <c r="BS186" i="25" s="1"/>
  <c r="AT120" i="25"/>
  <c r="AY120" i="25" s="1"/>
  <c r="AU120" i="25"/>
  <c r="BD302" i="24"/>
  <c r="AY302" i="24"/>
  <c r="AZ302" i="24" s="1"/>
  <c r="BE302" i="24"/>
  <c r="BT302" i="24" s="1"/>
  <c r="AT219" i="25"/>
  <c r="AU219" i="25"/>
  <c r="AT217" i="25"/>
  <c r="AU217" i="25"/>
  <c r="AT209" i="25"/>
  <c r="AY209" i="25" s="1"/>
  <c r="AU209" i="25"/>
  <c r="BD127" i="24"/>
  <c r="AY127" i="24"/>
  <c r="AZ127" i="24" s="1"/>
  <c r="BE127" i="24"/>
  <c r="BT127" i="24" s="1"/>
  <c r="BB170" i="25"/>
  <c r="BS170" i="25" s="1"/>
  <c r="BA170" i="25"/>
  <c r="BC170" i="25"/>
  <c r="BT170" i="25" s="1"/>
  <c r="AT63" i="25"/>
  <c r="AY63" i="25" s="1"/>
  <c r="AU63" i="25"/>
  <c r="BE207" i="24"/>
  <c r="BT207" i="24" s="1"/>
  <c r="BD207" i="24"/>
  <c r="AY207" i="24"/>
  <c r="AZ207" i="24" s="1"/>
  <c r="AT79" i="25"/>
  <c r="AY79" i="25" s="1"/>
  <c r="AU79" i="25"/>
  <c r="AT146" i="25"/>
  <c r="AY146" i="25" s="1"/>
  <c r="AU146" i="25"/>
  <c r="BB206" i="25"/>
  <c r="BS206" i="25" s="1"/>
  <c r="BA206" i="25"/>
  <c r="BC206" i="25"/>
  <c r="BT206" i="25" s="1"/>
  <c r="AT137" i="25"/>
  <c r="AY137" i="25" s="1"/>
  <c r="AU137" i="25"/>
  <c r="AY173" i="24"/>
  <c r="AZ173" i="24" s="1"/>
  <c r="BE173" i="24"/>
  <c r="BT173" i="24" s="1"/>
  <c r="BD173" i="24"/>
  <c r="AT159" i="25"/>
  <c r="AY159" i="25" s="1"/>
  <c r="AU159" i="25"/>
  <c r="AT10" i="25"/>
  <c r="AY10" i="25" s="1"/>
  <c r="AU10" i="25"/>
  <c r="AY49" i="24"/>
  <c r="AZ49" i="24" s="1"/>
  <c r="BD49" i="24"/>
  <c r="BE49" i="24"/>
  <c r="BT49" i="24" s="1"/>
  <c r="AT121" i="25"/>
  <c r="AY121" i="25" s="1"/>
  <c r="AU121" i="25"/>
  <c r="BD77" i="24"/>
  <c r="BE77" i="24"/>
  <c r="BT77" i="24" s="1"/>
  <c r="AY77" i="24"/>
  <c r="AZ77" i="24" s="1"/>
  <c r="BS6" i="24"/>
  <c r="BG6" i="24"/>
  <c r="BM6" i="24" s="1"/>
  <c r="AY196" i="24"/>
  <c r="AZ196" i="24" s="1"/>
  <c r="BD196" i="24"/>
  <c r="BE196" i="24"/>
  <c r="BT196" i="24" s="1"/>
  <c r="BA178" i="25"/>
  <c r="BB178" i="25"/>
  <c r="BS178" i="25" s="1"/>
  <c r="BC178" i="25"/>
  <c r="BT178" i="25" s="1"/>
  <c r="AT141" i="25"/>
  <c r="AY141" i="25" s="1"/>
  <c r="AU141" i="25"/>
  <c r="BA34" i="25"/>
  <c r="BC34" i="25"/>
  <c r="BT34" i="25" s="1"/>
  <c r="BB34" i="25"/>
  <c r="BS34" i="25" s="1"/>
  <c r="BE67" i="24"/>
  <c r="BT67" i="24" s="1"/>
  <c r="BD67" i="24"/>
  <c r="AY67" i="24"/>
  <c r="AZ67" i="24" s="1"/>
  <c r="AT253" i="25"/>
  <c r="AU253" i="25"/>
  <c r="AY88" i="24"/>
  <c r="AZ88" i="24" s="1"/>
  <c r="BE88" i="24"/>
  <c r="BT88" i="24" s="1"/>
  <c r="BD88" i="24"/>
  <c r="BB89" i="25"/>
  <c r="BS89" i="25" s="1"/>
  <c r="BA89" i="25"/>
  <c r="BC89" i="25"/>
  <c r="BT89" i="25" s="1"/>
  <c r="AT294" i="25"/>
  <c r="AU294" i="25"/>
  <c r="BS248" i="24"/>
  <c r="BG248" i="24"/>
  <c r="AT40" i="25"/>
  <c r="AY40" i="25" s="1"/>
  <c r="AU40" i="25"/>
  <c r="BA291" i="25"/>
  <c r="BC291" i="25"/>
  <c r="BT291" i="25" s="1"/>
  <c r="BB291" i="25"/>
  <c r="BS291" i="25" s="1"/>
  <c r="AT9" i="25"/>
  <c r="AY9" i="25" s="1"/>
  <c r="AU9" i="25"/>
  <c r="AT24" i="25"/>
  <c r="AY24" i="25" s="1"/>
  <c r="AU24" i="25"/>
  <c r="BE235" i="24"/>
  <c r="BT235" i="24" s="1"/>
  <c r="BD235" i="24"/>
  <c r="AY235" i="24"/>
  <c r="AZ235" i="24" s="1"/>
  <c r="BE241" i="24"/>
  <c r="BT241" i="24" s="1"/>
  <c r="AY241" i="24"/>
  <c r="AZ241" i="24" s="1"/>
  <c r="BD241" i="24"/>
  <c r="BE74" i="24"/>
  <c r="BT74" i="24" s="1"/>
  <c r="BD74" i="24"/>
  <c r="AY74" i="24"/>
  <c r="AZ74" i="24" s="1"/>
  <c r="BA97" i="25"/>
  <c r="BC97" i="25"/>
  <c r="BT97" i="25" s="1"/>
  <c r="BB97" i="25"/>
  <c r="BS97" i="25" s="1"/>
  <c r="BD261" i="24"/>
  <c r="AY261" i="24"/>
  <c r="AZ261" i="24" s="1"/>
  <c r="BE261" i="24"/>
  <c r="BT261" i="24" s="1"/>
  <c r="BE116" i="24"/>
  <c r="BT116" i="24" s="1"/>
  <c r="BD116" i="24"/>
  <c r="AY116" i="24"/>
  <c r="AZ116" i="24" s="1"/>
  <c r="AT222" i="25"/>
  <c r="AU222" i="25"/>
  <c r="BA238" i="25"/>
  <c r="BC238" i="25"/>
  <c r="BT238" i="25" s="1"/>
  <c r="BB238" i="25"/>
  <c r="BS238" i="25" s="1"/>
  <c r="BD164" i="24"/>
  <c r="BE164" i="24"/>
  <c r="BT164" i="24" s="1"/>
  <c r="AY164" i="24"/>
  <c r="AZ164" i="24" s="1"/>
  <c r="AT53" i="25"/>
  <c r="AY53" i="25" s="1"/>
  <c r="AU53" i="25"/>
  <c r="AT22" i="25"/>
  <c r="AY22" i="25" s="1"/>
  <c r="AU22" i="25"/>
  <c r="AT231" i="25"/>
  <c r="AU231" i="25"/>
  <c r="AT90" i="25"/>
  <c r="AY90" i="25" s="1"/>
  <c r="AU90" i="25"/>
  <c r="BE98" i="24"/>
  <c r="BT98" i="24" s="1"/>
  <c r="BD98" i="24"/>
  <c r="AY98" i="24"/>
  <c r="AZ98" i="24" s="1"/>
  <c r="BD69" i="24"/>
  <c r="AY69" i="24"/>
  <c r="AZ69" i="24" s="1"/>
  <c r="BE69" i="24"/>
  <c r="BT69" i="24" s="1"/>
  <c r="BC94" i="25"/>
  <c r="BT94" i="25" s="1"/>
  <c r="BB94" i="25"/>
  <c r="BS94" i="25" s="1"/>
  <c r="BA94" i="25"/>
  <c r="AY149" i="24"/>
  <c r="AZ149" i="24" s="1"/>
  <c r="BD149" i="24"/>
  <c r="BE149" i="24"/>
  <c r="BT149" i="24" s="1"/>
  <c r="AY64" i="24"/>
  <c r="AZ64" i="24" s="1"/>
  <c r="BE64" i="24"/>
  <c r="BT64" i="24" s="1"/>
  <c r="BD64" i="24"/>
  <c r="AY82" i="24"/>
  <c r="AZ82" i="24" s="1"/>
  <c r="BD82" i="24"/>
  <c r="BE82" i="24"/>
  <c r="BT82" i="24" s="1"/>
  <c r="AY180" i="24"/>
  <c r="AZ180" i="24" s="1"/>
  <c r="BD180" i="24"/>
  <c r="BE180" i="24"/>
  <c r="BT180" i="24" s="1"/>
  <c r="BA167" i="25"/>
  <c r="BC167" i="25"/>
  <c r="BT167" i="25" s="1"/>
  <c r="BB167" i="25"/>
  <c r="BS167" i="25" s="1"/>
  <c r="BG264" i="24"/>
  <c r="BS264" i="24"/>
  <c r="BX264" i="24" s="1"/>
  <c r="BE308" i="24"/>
  <c r="BT308" i="24" s="1"/>
  <c r="AY308" i="24"/>
  <c r="AZ308" i="24" s="1"/>
  <c r="BD308" i="24"/>
  <c r="AT203" i="25"/>
  <c r="AY203" i="25" s="1"/>
  <c r="AU203" i="25"/>
  <c r="BE200" i="24"/>
  <c r="BT200" i="24" s="1"/>
  <c r="AY200" i="24"/>
  <c r="AZ200" i="24" s="1"/>
  <c r="BD200" i="24"/>
  <c r="AT221" i="25"/>
  <c r="AU221" i="25"/>
  <c r="BD170" i="24"/>
  <c r="BE170" i="24"/>
  <c r="BT170" i="24" s="1"/>
  <c r="AY170" i="24"/>
  <c r="AZ170" i="24" s="1"/>
  <c r="BE23" i="24"/>
  <c r="BT23" i="24" s="1"/>
  <c r="BD23" i="24"/>
  <c r="AY23" i="24"/>
  <c r="AZ23" i="24" s="1"/>
  <c r="AY155" i="24"/>
  <c r="AZ155" i="24" s="1"/>
  <c r="BD155" i="24"/>
  <c r="BE155" i="24"/>
  <c r="BT155" i="24" s="1"/>
  <c r="AT116" i="25"/>
  <c r="AY116" i="25" s="1"/>
  <c r="AU116" i="25"/>
  <c r="AT74" i="25"/>
  <c r="AY74" i="25" s="1"/>
  <c r="AU74" i="25"/>
  <c r="AT47" i="25"/>
  <c r="AY47" i="25" s="1"/>
  <c r="AU47" i="25"/>
  <c r="AT298" i="25"/>
  <c r="AU298" i="25"/>
  <c r="BD81" i="24"/>
  <c r="AY81" i="24"/>
  <c r="AZ81" i="24" s="1"/>
  <c r="BE81" i="24"/>
  <c r="BT81" i="24" s="1"/>
  <c r="BB155" i="25"/>
  <c r="BS155" i="25" s="1"/>
  <c r="BC155" i="25"/>
  <c r="BT155" i="25" s="1"/>
  <c r="BA155" i="25"/>
  <c r="AT142" i="25"/>
  <c r="AY142" i="25" s="1"/>
  <c r="AU142" i="25"/>
  <c r="BD43" i="24"/>
  <c r="BE43" i="24"/>
  <c r="BT43" i="24" s="1"/>
  <c r="AY43" i="24"/>
  <c r="AZ43" i="24" s="1"/>
  <c r="BD199" i="24"/>
  <c r="BE199" i="24"/>
  <c r="BT199" i="24" s="1"/>
  <c r="AY199" i="24"/>
  <c r="AZ199" i="24" s="1"/>
  <c r="AY178" i="24"/>
  <c r="AZ178" i="24" s="1"/>
  <c r="BE178" i="24"/>
  <c r="BT178" i="24" s="1"/>
  <c r="BD178" i="24"/>
  <c r="AT132" i="25"/>
  <c r="AY132" i="25" s="1"/>
  <c r="AU132" i="25"/>
  <c r="BA14" i="25"/>
  <c r="BC14" i="25"/>
  <c r="BT14" i="25" s="1"/>
  <c r="BB14" i="25"/>
  <c r="BS14" i="25" s="1"/>
  <c r="AT45" i="25"/>
  <c r="AY45" i="25" s="1"/>
  <c r="AU45" i="25"/>
  <c r="BA192" i="25"/>
  <c r="BC192" i="25"/>
  <c r="BT192" i="25" s="1"/>
  <c r="BB192" i="25"/>
  <c r="BS192" i="25" s="1"/>
  <c r="BC283" i="25"/>
  <c r="BT283" i="25" s="1"/>
  <c r="BA283" i="25"/>
  <c r="BB283" i="25"/>
  <c r="BS283" i="25" s="1"/>
  <c r="BE9" i="24"/>
  <c r="BT9" i="24" s="1"/>
  <c r="AY9" i="24"/>
  <c r="AZ9" i="24" s="1"/>
  <c r="BD9" i="24"/>
  <c r="AT84" i="25"/>
  <c r="AY84" i="25" s="1"/>
  <c r="AU84" i="25"/>
  <c r="BB204" i="25"/>
  <c r="BS204" i="25" s="1"/>
  <c r="BA204" i="25"/>
  <c r="BC204" i="25"/>
  <c r="BT204" i="25" s="1"/>
  <c r="BE194" i="24"/>
  <c r="BT194" i="24" s="1"/>
  <c r="BD194" i="24"/>
  <c r="AY194" i="24"/>
  <c r="AZ194" i="24" s="1"/>
  <c r="AT234" i="25"/>
  <c r="AU234" i="25"/>
  <c r="BE229" i="24"/>
  <c r="BT229" i="24" s="1"/>
  <c r="BD229" i="24"/>
  <c r="AY229" i="24"/>
  <c r="AZ229" i="24" s="1"/>
  <c r="AY201" i="24"/>
  <c r="AZ201" i="24" s="1"/>
  <c r="BE201" i="24"/>
  <c r="BT201" i="24" s="1"/>
  <c r="BD201" i="24"/>
  <c r="BG191" i="24"/>
  <c r="BS191" i="24"/>
  <c r="BX191" i="24" s="1"/>
  <c r="AT83" i="25"/>
  <c r="AY83" i="25" s="1"/>
  <c r="AU83" i="25"/>
  <c r="BE42" i="24"/>
  <c r="BT42" i="24" s="1"/>
  <c r="AY42" i="24"/>
  <c r="AZ42" i="24" s="1"/>
  <c r="BD42" i="24"/>
  <c r="BE139" i="24"/>
  <c r="BT139" i="24" s="1"/>
  <c r="BD139" i="24"/>
  <c r="AY139" i="24"/>
  <c r="AZ139" i="24" s="1"/>
  <c r="AT35" i="25"/>
  <c r="AY35" i="25" s="1"/>
  <c r="AU35" i="25"/>
  <c r="AY278" i="24"/>
  <c r="AZ278" i="24" s="1"/>
  <c r="BE278" i="24"/>
  <c r="BT278" i="24" s="1"/>
  <c r="BD278" i="24"/>
  <c r="AT230" i="25"/>
  <c r="AU230" i="25"/>
  <c r="BE275" i="24"/>
  <c r="BT275" i="24" s="1"/>
  <c r="AY275" i="24"/>
  <c r="AZ275" i="24" s="1"/>
  <c r="BD275" i="24"/>
  <c r="AT236" i="25"/>
  <c r="AU236" i="25"/>
  <c r="AT123" i="25"/>
  <c r="AY123" i="25" s="1"/>
  <c r="AU123" i="25"/>
  <c r="BE126" i="24"/>
  <c r="BT126" i="24" s="1"/>
  <c r="AY126" i="24"/>
  <c r="AZ126" i="24" s="1"/>
  <c r="BD126" i="24"/>
  <c r="BE284" i="24"/>
  <c r="BT284" i="24" s="1"/>
  <c r="AY284" i="24"/>
  <c r="AZ284" i="24" s="1"/>
  <c r="BD284" i="24"/>
  <c r="BD30" i="24"/>
  <c r="AY30" i="24"/>
  <c r="AZ30" i="24" s="1"/>
  <c r="BE30" i="24"/>
  <c r="BT30" i="24" s="1"/>
  <c r="AY114" i="24"/>
  <c r="AZ114" i="24" s="1"/>
  <c r="BE114" i="24"/>
  <c r="BT114" i="24" s="1"/>
  <c r="BD114" i="24"/>
  <c r="AT250" i="25"/>
  <c r="AU250" i="25"/>
  <c r="AT33" i="25"/>
  <c r="AY33" i="25" s="1"/>
  <c r="AU33" i="25"/>
  <c r="BD136" i="24"/>
  <c r="AY136" i="24"/>
  <c r="AZ136" i="24" s="1"/>
  <c r="BE136" i="24"/>
  <c r="BT136" i="24" s="1"/>
  <c r="AT112" i="25"/>
  <c r="AY112" i="25" s="1"/>
  <c r="AU112" i="25"/>
  <c r="BD177" i="24"/>
  <c r="AY177" i="24"/>
  <c r="AZ177" i="24" s="1"/>
  <c r="BE177" i="24"/>
  <c r="BT177" i="24" s="1"/>
  <c r="AT7" i="25"/>
  <c r="AY7" i="25" s="1"/>
  <c r="AU7" i="25"/>
  <c r="AT256" i="25"/>
  <c r="AU256" i="25"/>
  <c r="BA30" i="25"/>
  <c r="BB30" i="25"/>
  <c r="BS30" i="25" s="1"/>
  <c r="BC30" i="25"/>
  <c r="BT30" i="25" s="1"/>
  <c r="BA113" i="25"/>
  <c r="BC113" i="25"/>
  <c r="BT113" i="25" s="1"/>
  <c r="BB113" i="25"/>
  <c r="BS113" i="25" s="1"/>
  <c r="AY203" i="24"/>
  <c r="AZ203" i="24" s="1"/>
  <c r="BD203" i="24"/>
  <c r="BE203" i="24"/>
  <c r="BT203" i="24" s="1"/>
  <c r="AT8" i="25"/>
  <c r="AY8" i="25" s="1"/>
  <c r="AU8" i="25"/>
  <c r="BE63" i="24"/>
  <c r="BT63" i="24" s="1"/>
  <c r="BD63" i="24"/>
  <c r="AY63" i="24"/>
  <c r="AZ63" i="24" s="1"/>
  <c r="AT15" i="25"/>
  <c r="AY15" i="25" s="1"/>
  <c r="AU15" i="25"/>
  <c r="AT239" i="25"/>
  <c r="AU239" i="25"/>
  <c r="BD76" i="24"/>
  <c r="BE76" i="24"/>
  <c r="BT76" i="24" s="1"/>
  <c r="AY76" i="24"/>
  <c r="AZ76" i="24" s="1"/>
  <c r="BG44" i="24"/>
  <c r="BM44" i="24" s="1"/>
  <c r="BS44" i="24"/>
  <c r="BV44" i="24" s="1"/>
  <c r="BX44" i="24" s="1"/>
  <c r="AT70" i="25"/>
  <c r="AY70" i="25" s="1"/>
  <c r="AU70" i="25"/>
  <c r="AT76" i="25"/>
  <c r="AY76" i="25" s="1"/>
  <c r="AU76" i="25"/>
  <c r="BE27" i="24"/>
  <c r="BT27" i="24" s="1"/>
  <c r="AY27" i="24"/>
  <c r="AZ27" i="24" s="1"/>
  <c r="BD27" i="24"/>
  <c r="BD301" i="24"/>
  <c r="BE301" i="24"/>
  <c r="BT301" i="24" s="1"/>
  <c r="AY301" i="24"/>
  <c r="AZ301" i="24" s="1"/>
  <c r="BE17" i="24"/>
  <c r="BT17" i="24" s="1"/>
  <c r="BD17" i="24"/>
  <c r="AY17" i="24"/>
  <c r="AZ17" i="24" s="1"/>
  <c r="BE156" i="24"/>
  <c r="BT156" i="24" s="1"/>
  <c r="BD156" i="24"/>
  <c r="AY156" i="24"/>
  <c r="AZ156" i="24" s="1"/>
  <c r="AY174" i="24"/>
  <c r="AZ174" i="24" s="1"/>
  <c r="BE174" i="24"/>
  <c r="BT174" i="24" s="1"/>
  <c r="BD174" i="24"/>
  <c r="BE290" i="24"/>
  <c r="BT290" i="24" s="1"/>
  <c r="AY290" i="24"/>
  <c r="AZ290" i="24" s="1"/>
  <c r="BD290" i="24"/>
  <c r="AT202" i="25"/>
  <c r="AY202" i="25" s="1"/>
  <c r="AU202" i="25"/>
  <c r="BD131" i="24"/>
  <c r="AY131" i="24"/>
  <c r="AZ131" i="24" s="1"/>
  <c r="BE131" i="24"/>
  <c r="BT131" i="24" s="1"/>
  <c r="AY249" i="24"/>
  <c r="AZ249" i="24" s="1"/>
  <c r="BE249" i="24"/>
  <c r="BT249" i="24" s="1"/>
  <c r="BD249" i="24"/>
  <c r="BD183" i="24"/>
  <c r="AY183" i="24"/>
  <c r="AZ183" i="24" s="1"/>
  <c r="BE183" i="24"/>
  <c r="BT183" i="24" s="1"/>
  <c r="BE35" i="24"/>
  <c r="BT35" i="24" s="1"/>
  <c r="BD35" i="24"/>
  <c r="AY35" i="24"/>
  <c r="AZ35" i="24" s="1"/>
  <c r="BE89" i="24"/>
  <c r="BT89" i="24" s="1"/>
  <c r="BD89" i="24"/>
  <c r="AY89" i="24"/>
  <c r="AZ89" i="24" s="1"/>
  <c r="AT180" i="25"/>
  <c r="AY180" i="25" s="1"/>
  <c r="AU180" i="25"/>
  <c r="BC21" i="25"/>
  <c r="BT21" i="25" s="1"/>
  <c r="BB21" i="25"/>
  <c r="BS21" i="25" s="1"/>
  <c r="BA21" i="25"/>
  <c r="AT223" i="25"/>
  <c r="AU223" i="25"/>
  <c r="BB190" i="25"/>
  <c r="BS190" i="25" s="1"/>
  <c r="BC190" i="25"/>
  <c r="BT190" i="25" s="1"/>
  <c r="BA190" i="25"/>
  <c r="BE268" i="24"/>
  <c r="BT268" i="24" s="1"/>
  <c r="BD268" i="24"/>
  <c r="AY268" i="24"/>
  <c r="AZ268" i="24" s="1"/>
  <c r="AT64" i="25"/>
  <c r="AY64" i="25" s="1"/>
  <c r="AU64" i="25"/>
  <c r="AT200" i="25"/>
  <c r="AY200" i="25" s="1"/>
  <c r="AU200" i="25"/>
  <c r="AT55" i="25"/>
  <c r="AY55" i="25" s="1"/>
  <c r="AU55" i="25"/>
  <c r="AT122" i="25"/>
  <c r="AY122" i="25" s="1"/>
  <c r="AU122" i="25"/>
  <c r="AT73" i="25"/>
  <c r="AY73" i="25" s="1"/>
  <c r="AU73" i="25"/>
  <c r="AY205" i="24"/>
  <c r="AZ205" i="24" s="1"/>
  <c r="BE205" i="24"/>
  <c r="BT205" i="24" s="1"/>
  <c r="BD205" i="24"/>
  <c r="BE309" i="24"/>
  <c r="BT309" i="24" s="1"/>
  <c r="AY309" i="24"/>
  <c r="AZ309" i="24" s="1"/>
  <c r="BD309" i="24"/>
  <c r="AT72" i="25"/>
  <c r="AY72" i="25" s="1"/>
  <c r="AU72" i="25"/>
  <c r="BG259" i="24"/>
  <c r="BS259" i="24"/>
  <c r="BC82" i="25"/>
  <c r="BT82" i="25" s="1"/>
  <c r="BB82" i="25"/>
  <c r="BS82" i="25" s="1"/>
  <c r="BA82" i="25"/>
  <c r="BE193" i="24"/>
  <c r="BT193" i="24" s="1"/>
  <c r="BD193" i="24"/>
  <c r="AY193" i="24"/>
  <c r="AZ193" i="24" s="1"/>
  <c r="AT125" i="25"/>
  <c r="AY125" i="25" s="1"/>
  <c r="AU125" i="25"/>
  <c r="BE65" i="24"/>
  <c r="BT65" i="24" s="1"/>
  <c r="BD65" i="24"/>
  <c r="AY65" i="24"/>
  <c r="AZ65" i="24" s="1"/>
  <c r="AT37" i="25"/>
  <c r="AY37" i="25" s="1"/>
  <c r="AU37" i="25"/>
  <c r="BE110" i="25"/>
  <c r="BR110" i="25"/>
  <c r="BX110" i="25" s="1"/>
  <c r="BD97" i="24"/>
  <c r="BE97" i="24"/>
  <c r="BT97" i="24" s="1"/>
  <c r="AY97" i="24"/>
  <c r="AZ97" i="24" s="1"/>
  <c r="AY243" i="24"/>
  <c r="AZ243" i="24" s="1"/>
  <c r="BD243" i="24"/>
  <c r="BE243" i="24"/>
  <c r="BT243" i="24" s="1"/>
  <c r="BA259" i="25"/>
  <c r="BB259" i="25"/>
  <c r="BS259" i="25" s="1"/>
  <c r="BC259" i="25"/>
  <c r="BT259" i="25" s="1"/>
  <c r="BG294" i="24"/>
  <c r="BS294" i="24"/>
  <c r="BX294" i="24" s="1"/>
  <c r="AT277" i="25"/>
  <c r="AU277" i="25"/>
  <c r="BD87" i="24"/>
  <c r="AY87" i="24"/>
  <c r="AZ87" i="24" s="1"/>
  <c r="BE87" i="24"/>
  <c r="BT87" i="24" s="1"/>
  <c r="AT75" i="25"/>
  <c r="AY75" i="25" s="1"/>
  <c r="AU75" i="25"/>
  <c r="AT268" i="25"/>
  <c r="AU268" i="25"/>
  <c r="AT46" i="25"/>
  <c r="AY46" i="25" s="1"/>
  <c r="AU46" i="25"/>
  <c r="BA161" i="25"/>
  <c r="BC161" i="25"/>
  <c r="BT161" i="25" s="1"/>
  <c r="BB161" i="25"/>
  <c r="BS161" i="25" s="1"/>
  <c r="AT184" i="25"/>
  <c r="AY184" i="25" s="1"/>
  <c r="AU184" i="25"/>
  <c r="AT80" i="25"/>
  <c r="AY80" i="25" s="1"/>
  <c r="AU80" i="25"/>
  <c r="BE46" i="24"/>
  <c r="BT46" i="24" s="1"/>
  <c r="AY46" i="24"/>
  <c r="AZ46" i="24" s="1"/>
  <c r="BD46" i="24"/>
  <c r="BE47" i="24"/>
  <c r="BT47" i="24" s="1"/>
  <c r="BD47" i="24"/>
  <c r="AY47" i="24"/>
  <c r="AZ47" i="24" s="1"/>
  <c r="AT175" i="25"/>
  <c r="AY175" i="25" s="1"/>
  <c r="AU175" i="25"/>
  <c r="BE197" i="24"/>
  <c r="BT197" i="24" s="1"/>
  <c r="BD197" i="24"/>
  <c r="AY197" i="24"/>
  <c r="AZ197" i="24" s="1"/>
  <c r="AY159" i="24"/>
  <c r="AZ159" i="24" s="1"/>
  <c r="BD159" i="24"/>
  <c r="BE159" i="24"/>
  <c r="BT159" i="24" s="1"/>
  <c r="AT56" i="25"/>
  <c r="AY56" i="25" s="1"/>
  <c r="AU56" i="25"/>
  <c r="BC314" i="25"/>
  <c r="BT314" i="25" s="1"/>
  <c r="BB314" i="25"/>
  <c r="BS314" i="25" s="1"/>
  <c r="BA314" i="25"/>
  <c r="AT313" i="25"/>
  <c r="AU313" i="25"/>
  <c r="BE79" i="24"/>
  <c r="BT79" i="24" s="1"/>
  <c r="BD79" i="24"/>
  <c r="AY79" i="24"/>
  <c r="AZ79" i="24" s="1"/>
  <c r="BC13" i="25"/>
  <c r="BT13" i="25" s="1"/>
  <c r="BB13" i="25"/>
  <c r="BS13" i="25" s="1"/>
  <c r="BA13" i="25"/>
  <c r="AY93" i="24"/>
  <c r="AZ93" i="24" s="1"/>
  <c r="BE93" i="24"/>
  <c r="BT93" i="24" s="1"/>
  <c r="BD93" i="24"/>
  <c r="AT23" i="25"/>
  <c r="AY23" i="25" s="1"/>
  <c r="AU23" i="25"/>
  <c r="AT207" i="25"/>
  <c r="AY207" i="25" s="1"/>
  <c r="AU207" i="25"/>
  <c r="BD286" i="24"/>
  <c r="AY286" i="24"/>
  <c r="AZ286" i="24" s="1"/>
  <c r="BE286" i="24"/>
  <c r="BT286" i="24" s="1"/>
  <c r="AT36" i="25"/>
  <c r="AY36" i="25" s="1"/>
  <c r="AU36" i="25"/>
  <c r="AT27" i="25"/>
  <c r="AY27" i="25" s="1"/>
  <c r="AU27" i="25"/>
  <c r="BE52" i="24"/>
  <c r="BT52" i="24" s="1"/>
  <c r="AY52" i="24"/>
  <c r="AZ52" i="24" s="1"/>
  <c r="BD52" i="24"/>
  <c r="AT12" i="25"/>
  <c r="AY12" i="25" s="1"/>
  <c r="AU12" i="25"/>
  <c r="BE181" i="24"/>
  <c r="BT181" i="24" s="1"/>
  <c r="BD181" i="24"/>
  <c r="AY181" i="24"/>
  <c r="AZ181" i="24" s="1"/>
  <c r="AT19" i="25"/>
  <c r="AY19" i="25" s="1"/>
  <c r="AU19" i="25"/>
  <c r="BC148" i="25"/>
  <c r="BT148" i="25" s="1"/>
  <c r="BA148" i="25"/>
  <c r="BB148" i="25"/>
  <c r="BS148" i="25" s="1"/>
  <c r="BD176" i="24"/>
  <c r="AY176" i="24"/>
  <c r="AZ176" i="24" s="1"/>
  <c r="BE176" i="24"/>
  <c r="BT176" i="24" s="1"/>
  <c r="BG101" i="24"/>
  <c r="BM101" i="24" s="1"/>
  <c r="BS101" i="24"/>
  <c r="BV101" i="24" s="1"/>
  <c r="BX101" i="24" s="1"/>
  <c r="BE217" i="24"/>
  <c r="BT217" i="24" s="1"/>
  <c r="BD217" i="24"/>
  <c r="AY217" i="24"/>
  <c r="AZ217" i="24" s="1"/>
  <c r="BD274" i="24"/>
  <c r="AY274" i="24"/>
  <c r="AZ274" i="24" s="1"/>
  <c r="BE274" i="24"/>
  <c r="BT274" i="24" s="1"/>
  <c r="BA174" i="25"/>
  <c r="BB174" i="25"/>
  <c r="BS174" i="25" s="1"/>
  <c r="BC174" i="25"/>
  <c r="BT174" i="25" s="1"/>
  <c r="BD289" i="24"/>
  <c r="AY289" i="24"/>
  <c r="AZ289" i="24" s="1"/>
  <c r="BE289" i="24"/>
  <c r="BT289" i="24" s="1"/>
  <c r="BE86" i="24"/>
  <c r="BT86" i="24" s="1"/>
  <c r="BD86" i="24"/>
  <c r="AY86" i="24"/>
  <c r="AZ86" i="24" s="1"/>
  <c r="AT44" i="25"/>
  <c r="AY44" i="25" s="1"/>
  <c r="AU44" i="25"/>
  <c r="BS7" i="24"/>
  <c r="BV7" i="24" s="1"/>
  <c r="BX7" i="24" s="1"/>
  <c r="BG7" i="24"/>
  <c r="BM7" i="24" s="1"/>
  <c r="BD270" i="24"/>
  <c r="BE270" i="24"/>
  <c r="BT270" i="24" s="1"/>
  <c r="AY270" i="24"/>
  <c r="AZ270" i="24" s="1"/>
  <c r="AT284" i="25"/>
  <c r="AU284" i="25"/>
  <c r="BC71" i="25"/>
  <c r="BT71" i="25" s="1"/>
  <c r="BB71" i="25"/>
  <c r="BS71" i="25" s="1"/>
  <c r="BA71" i="25"/>
  <c r="AT126" i="25"/>
  <c r="AY126" i="25" s="1"/>
  <c r="AU126" i="25"/>
  <c r="AY304" i="24"/>
  <c r="AZ304" i="24" s="1"/>
  <c r="BE304" i="24"/>
  <c r="BT304" i="24" s="1"/>
  <c r="BD304" i="24"/>
  <c r="AT168" i="25"/>
  <c r="AY168" i="25" s="1"/>
  <c r="AU168" i="25"/>
  <c r="BA96" i="25"/>
  <c r="BB96" i="25"/>
  <c r="BS96" i="25" s="1"/>
  <c r="BC96" i="25"/>
  <c r="BT96" i="25" s="1"/>
  <c r="AT145" i="25"/>
  <c r="AY145" i="25" s="1"/>
  <c r="AU145" i="25"/>
  <c r="BE189" i="24"/>
  <c r="BT189" i="24" s="1"/>
  <c r="AY189" i="24"/>
  <c r="AZ189" i="24" s="1"/>
  <c r="BD189" i="24"/>
  <c r="AT150" i="25"/>
  <c r="AY150" i="25" s="1"/>
  <c r="AU150" i="25"/>
  <c r="AY230" i="24"/>
  <c r="AZ230" i="24" s="1"/>
  <c r="BE230" i="24"/>
  <c r="BT230" i="24" s="1"/>
  <c r="BD230" i="24"/>
  <c r="BA240" i="25"/>
  <c r="BC240" i="25"/>
  <c r="BT240" i="25" s="1"/>
  <c r="BB240" i="25"/>
  <c r="BS240" i="25" s="1"/>
  <c r="AT98" i="25"/>
  <c r="AY98" i="25" s="1"/>
  <c r="AU98" i="25"/>
  <c r="AT228" i="25"/>
  <c r="AU228" i="25"/>
  <c r="BE187" i="24"/>
  <c r="BT187" i="24" s="1"/>
  <c r="AY187" i="24"/>
  <c r="AZ187" i="24" s="1"/>
  <c r="BD187" i="24"/>
  <c r="BD300" i="24"/>
  <c r="BE300" i="24"/>
  <c r="BT300" i="24" s="1"/>
  <c r="AY300" i="24"/>
  <c r="AZ300" i="24" s="1"/>
  <c r="AY168" i="24"/>
  <c r="AZ168" i="24" s="1"/>
  <c r="BE168" i="24"/>
  <c r="BT168" i="24" s="1"/>
  <c r="BD168" i="24"/>
  <c r="BD113" i="24"/>
  <c r="AY113" i="24"/>
  <c r="AZ113" i="24" s="1"/>
  <c r="BE113" i="24"/>
  <c r="BT113" i="24" s="1"/>
  <c r="BE15" i="24"/>
  <c r="BT15" i="24" s="1"/>
  <c r="BD15" i="24"/>
  <c r="AY15" i="24"/>
  <c r="AZ15" i="24" s="1"/>
  <c r="BE208" i="24"/>
  <c r="BT208" i="24" s="1"/>
  <c r="BD208" i="24"/>
  <c r="AY208" i="24"/>
  <c r="AZ208" i="24" s="1"/>
  <c r="AT144" i="25"/>
  <c r="AY144" i="25" s="1"/>
  <c r="AU144" i="25"/>
  <c r="BB247" i="25"/>
  <c r="BS247" i="25" s="1"/>
  <c r="BA247" i="25"/>
  <c r="BC247" i="25"/>
  <c r="BT247" i="25" s="1"/>
  <c r="AT51" i="25"/>
  <c r="AY51" i="25" s="1"/>
  <c r="AU51" i="25"/>
  <c r="AT61" i="25"/>
  <c r="AY61" i="25" s="1"/>
  <c r="AU61" i="25"/>
  <c r="AY293" i="24"/>
  <c r="AZ293" i="24" s="1"/>
  <c r="BD293" i="24"/>
  <c r="BE293" i="24"/>
  <c r="BT293" i="24" s="1"/>
  <c r="BE288" i="24"/>
  <c r="BT288" i="24" s="1"/>
  <c r="AY288" i="24"/>
  <c r="AZ288" i="24" s="1"/>
  <c r="BD288" i="24"/>
  <c r="BC267" i="25"/>
  <c r="BT267" i="25" s="1"/>
  <c r="BB267" i="25"/>
  <c r="BS267" i="25" s="1"/>
  <c r="BA267" i="25"/>
  <c r="BE118" i="24"/>
  <c r="BT118" i="24" s="1"/>
  <c r="BD118" i="24"/>
  <c r="AY118" i="24"/>
  <c r="AZ118" i="24" s="1"/>
  <c r="BE266" i="24"/>
  <c r="BT266" i="24" s="1"/>
  <c r="AY266" i="24"/>
  <c r="AZ266" i="24" s="1"/>
  <c r="BD266" i="24"/>
  <c r="AT208" i="25"/>
  <c r="AY208" i="25" s="1"/>
  <c r="AU208" i="25"/>
  <c r="BB29" i="25"/>
  <c r="BS29" i="25" s="1"/>
  <c r="BC29" i="25"/>
  <c r="BT29" i="25" s="1"/>
  <c r="BA29" i="25"/>
  <c r="AT105" i="25"/>
  <c r="B124" i="2"/>
  <c r="B114" i="2"/>
  <c r="AU105" i="25"/>
  <c r="BD175" i="24"/>
  <c r="AY175" i="24"/>
  <c r="AZ175" i="24" s="1"/>
  <c r="BE175" i="24"/>
  <c r="BT175" i="24" s="1"/>
  <c r="AT42" i="25"/>
  <c r="AY42" i="25" s="1"/>
  <c r="AU42" i="25"/>
  <c r="BA265" i="25"/>
  <c r="BB265" i="25"/>
  <c r="BS265" i="25" s="1"/>
  <c r="BC265" i="25"/>
  <c r="BT265" i="25" s="1"/>
  <c r="AT171" i="25"/>
  <c r="AY171" i="25" s="1"/>
  <c r="AU171" i="25"/>
  <c r="AY202" i="24"/>
  <c r="AZ202" i="24" s="1"/>
  <c r="BE202" i="24"/>
  <c r="BT202" i="24" s="1"/>
  <c r="BD202" i="24"/>
  <c r="BD206" i="24"/>
  <c r="AY206" i="24"/>
  <c r="AZ206" i="24" s="1"/>
  <c r="BE206" i="24"/>
  <c r="BT206" i="24" s="1"/>
  <c r="AY188" i="24"/>
  <c r="AZ188" i="24" s="1"/>
  <c r="BD188" i="24"/>
  <c r="BE188" i="24"/>
  <c r="BT188" i="24" s="1"/>
  <c r="AY66" i="24"/>
  <c r="AZ66" i="24" s="1"/>
  <c r="BE66" i="24"/>
  <c r="BT66" i="24" s="1"/>
  <c r="BD66" i="24"/>
  <c r="BE179" i="24"/>
  <c r="BT179" i="24" s="1"/>
  <c r="BD179" i="24"/>
  <c r="AY179" i="24"/>
  <c r="AZ179" i="24" s="1"/>
  <c r="BD153" i="24"/>
  <c r="AY153" i="24"/>
  <c r="AZ153" i="24" s="1"/>
  <c r="BE153" i="24"/>
  <c r="BT153" i="24" s="1"/>
  <c r="AT86" i="25"/>
  <c r="AY86" i="25" s="1"/>
  <c r="AU86" i="25"/>
  <c r="BA11" i="25"/>
  <c r="BB11" i="25"/>
  <c r="BS11" i="25" s="1"/>
  <c r="BC11" i="25"/>
  <c r="BT11" i="25" s="1"/>
  <c r="AT188" i="25"/>
  <c r="AY188" i="25" s="1"/>
  <c r="AU188" i="25"/>
  <c r="BE133" i="24"/>
  <c r="BT133" i="24" s="1"/>
  <c r="BD133" i="24"/>
  <c r="AY133" i="24"/>
  <c r="AZ133" i="24" s="1"/>
  <c r="AY246" i="24"/>
  <c r="AZ246" i="24" s="1"/>
  <c r="BD246" i="24"/>
  <c r="BE246" i="24"/>
  <c r="BT246" i="24" s="1"/>
  <c r="AY209" i="24"/>
  <c r="AZ209" i="24" s="1"/>
  <c r="BE209" i="24"/>
  <c r="BT209" i="24" s="1"/>
  <c r="BD209" i="24"/>
  <c r="BB131" i="25"/>
  <c r="BS131" i="25" s="1"/>
  <c r="BC131" i="25"/>
  <c r="BT131" i="25" s="1"/>
  <c r="BA131" i="25"/>
  <c r="AT43" i="25"/>
  <c r="AY43" i="25" s="1"/>
  <c r="AU43" i="25"/>
  <c r="BG240" i="24"/>
  <c r="BS240" i="24"/>
  <c r="BX240" i="24" s="1"/>
  <c r="AT102" i="25"/>
  <c r="AY102" i="25" s="1"/>
  <c r="AU102" i="25"/>
  <c r="AY25" i="24"/>
  <c r="AZ25" i="24" s="1"/>
  <c r="BD25" i="24"/>
  <c r="BE25" i="24"/>
  <c r="BT25" i="24" s="1"/>
  <c r="BG283" i="24" l="1"/>
  <c r="CB292" i="24"/>
  <c r="CF292" i="24"/>
  <c r="BS12" i="24"/>
  <c r="BV12" i="24" s="1"/>
  <c r="BX12" i="24" s="1"/>
  <c r="BS219" i="24"/>
  <c r="BX219" i="24" s="1"/>
  <c r="AO106" i="29"/>
  <c r="U106" i="29" s="1"/>
  <c r="BS147" i="24"/>
  <c r="BX147" i="24" s="1"/>
  <c r="BS242" i="24"/>
  <c r="BX242" i="24" s="1"/>
  <c r="BX260" i="24"/>
  <c r="BG18" i="24"/>
  <c r="BM18" i="24" s="1"/>
  <c r="BY18" i="24" s="1"/>
  <c r="CA18" i="24" s="1"/>
  <c r="CB18" i="24" s="1"/>
  <c r="BS34" i="24"/>
  <c r="BV34" i="24" s="1"/>
  <c r="BX34" i="24" s="1"/>
  <c r="BA154" i="25"/>
  <c r="BE154" i="25" s="1"/>
  <c r="BC154" i="25"/>
  <c r="BT154" i="25" s="1"/>
  <c r="BS265" i="24"/>
  <c r="BX265" i="24" s="1"/>
  <c r="BX259" i="24"/>
  <c r="BX283" i="24"/>
  <c r="BG121" i="24"/>
  <c r="BM121" i="24" s="1"/>
  <c r="BN121" i="24" s="1"/>
  <c r="BX120" i="24"/>
  <c r="BV26" i="24"/>
  <c r="BX26" i="24" s="1"/>
  <c r="BX111" i="24"/>
  <c r="AO49" i="29"/>
  <c r="V49" i="29" s="1"/>
  <c r="AO397" i="29"/>
  <c r="U397" i="29" s="1"/>
  <c r="AO510" i="29"/>
  <c r="U510" i="29" s="1"/>
  <c r="AO194" i="29"/>
  <c r="V194" i="29" s="1"/>
  <c r="AO284" i="29"/>
  <c r="V284" i="29" s="1"/>
  <c r="AO454" i="29"/>
  <c r="U454" i="29" s="1"/>
  <c r="AO384" i="29"/>
  <c r="U384" i="29" s="1"/>
  <c r="AO340" i="29"/>
  <c r="U340" i="29" s="1"/>
  <c r="AO98" i="29"/>
  <c r="V98" i="29" s="1"/>
  <c r="AO107" i="29"/>
  <c r="V107" i="29" s="1"/>
  <c r="AO127" i="29"/>
  <c r="U127" i="29" s="1"/>
  <c r="AO289" i="29"/>
  <c r="V289" i="29" s="1"/>
  <c r="BX152" i="24"/>
  <c r="AO73" i="29"/>
  <c r="V73" i="29" s="1"/>
  <c r="AO22" i="29"/>
  <c r="U22" i="29" s="1"/>
  <c r="AO367" i="29"/>
  <c r="U367" i="29" s="1"/>
  <c r="AO123" i="29"/>
  <c r="V123" i="29" s="1"/>
  <c r="AO470" i="29"/>
  <c r="U470" i="29" s="1"/>
  <c r="AO161" i="29"/>
  <c r="U161" i="29" s="1"/>
  <c r="AO222" i="29"/>
  <c r="V222" i="29" s="1"/>
  <c r="AO379" i="29"/>
  <c r="V379" i="29" s="1"/>
  <c r="AO298" i="29"/>
  <c r="U298" i="29" s="1"/>
  <c r="AO257" i="29"/>
  <c r="U257" i="29" s="1"/>
  <c r="AO417" i="29"/>
  <c r="V417" i="29" s="1"/>
  <c r="AO603" i="29"/>
  <c r="V603" i="29" s="1"/>
  <c r="AO229" i="29"/>
  <c r="U229" i="29" s="1"/>
  <c r="AO471" i="29"/>
  <c r="U471" i="29" s="1"/>
  <c r="AO152" i="29"/>
  <c r="U152" i="29" s="1"/>
  <c r="AO590" i="29"/>
  <c r="U590" i="29" s="1"/>
  <c r="AO558" i="29"/>
  <c r="U558" i="29" s="1"/>
  <c r="AO111" i="29"/>
  <c r="V111" i="29" s="1"/>
  <c r="AO391" i="29"/>
  <c r="U391" i="29" s="1"/>
  <c r="AO557" i="29"/>
  <c r="V557" i="29" s="1"/>
  <c r="AO361" i="29"/>
  <c r="U361" i="29" s="1"/>
  <c r="AO515" i="29"/>
  <c r="V515" i="29" s="1"/>
  <c r="AO233" i="29"/>
  <c r="U233" i="29" s="1"/>
  <c r="AO327" i="29"/>
  <c r="U327" i="29" s="1"/>
  <c r="AO596" i="29"/>
  <c r="U596" i="29" s="1"/>
  <c r="AO373" i="29"/>
  <c r="V373" i="29" s="1"/>
  <c r="AO54" i="29"/>
  <c r="U54" i="29" s="1"/>
  <c r="AO613" i="29"/>
  <c r="U613" i="29" s="1"/>
  <c r="AO493" i="29"/>
  <c r="V493" i="29" s="1"/>
  <c r="AO475" i="29"/>
  <c r="V475" i="29" s="1"/>
  <c r="AO53" i="29"/>
  <c r="U53" i="29" s="1"/>
  <c r="AO322" i="29"/>
  <c r="V322" i="29" s="1"/>
  <c r="AO242" i="29"/>
  <c r="V242" i="29" s="1"/>
  <c r="AO205" i="29"/>
  <c r="U205" i="29" s="1"/>
  <c r="AO19" i="29"/>
  <c r="V19" i="29" s="1"/>
  <c r="AO466" i="29"/>
  <c r="U466" i="29" s="1"/>
  <c r="AO586" i="29"/>
  <c r="U586" i="29" s="1"/>
  <c r="AO144" i="29"/>
  <c r="V144" i="29" s="1"/>
  <c r="AO43" i="29"/>
  <c r="U43" i="29" s="1"/>
  <c r="BS130" i="24"/>
  <c r="BY130" i="24" s="1"/>
  <c r="CA130" i="24" s="1"/>
  <c r="CB130" i="24" s="1"/>
  <c r="BX135" i="24"/>
  <c r="AO168" i="29"/>
  <c r="U168" i="29" s="1"/>
  <c r="AO608" i="29"/>
  <c r="V608" i="29" s="1"/>
  <c r="AO563" i="29"/>
  <c r="U563" i="29" s="1"/>
  <c r="AO577" i="29"/>
  <c r="U577" i="29" s="1"/>
  <c r="AO598" i="29"/>
  <c r="V598" i="29" s="1"/>
  <c r="AO443" i="29"/>
  <c r="U443" i="29" s="1"/>
  <c r="AO293" i="29"/>
  <c r="U293" i="29" s="1"/>
  <c r="AO400" i="29"/>
  <c r="U400" i="29" s="1"/>
  <c r="AO578" i="29"/>
  <c r="U578" i="29" s="1"/>
  <c r="AO604" i="29"/>
  <c r="U604" i="29" s="1"/>
  <c r="AO203" i="29"/>
  <c r="U203" i="29" s="1"/>
  <c r="AO326" i="29"/>
  <c r="V326" i="29" s="1"/>
  <c r="BX121" i="24"/>
  <c r="BS232" i="24"/>
  <c r="BX232" i="24" s="1"/>
  <c r="BS295" i="24"/>
  <c r="BX295" i="24" s="1"/>
  <c r="BS253" i="24"/>
  <c r="BX253" i="24" s="1"/>
  <c r="BV6" i="24"/>
  <c r="BX6" i="24" s="1"/>
  <c r="BS238" i="24"/>
  <c r="BX238" i="24" s="1"/>
  <c r="BS298" i="24"/>
  <c r="BX298" i="24" s="1"/>
  <c r="BS296" i="24"/>
  <c r="BX296" i="24" s="1"/>
  <c r="BS305" i="24"/>
  <c r="BX305" i="24" s="1"/>
  <c r="BS280" i="24"/>
  <c r="BX280" i="24" s="1"/>
  <c r="BS112" i="24"/>
  <c r="BX112" i="24" s="1"/>
  <c r="BG28" i="24"/>
  <c r="BM28" i="24" s="1"/>
  <c r="BY28" i="24" s="1"/>
  <c r="CA28" i="24" s="1"/>
  <c r="CB28" i="24" s="1"/>
  <c r="AO105" i="29"/>
  <c r="V105" i="29" s="1"/>
  <c r="AO511" i="29"/>
  <c r="V511" i="29" s="1"/>
  <c r="AO412" i="29"/>
  <c r="V412" i="29" s="1"/>
  <c r="AO555" i="29"/>
  <c r="V555" i="29" s="1"/>
  <c r="AO499" i="29"/>
  <c r="U499" i="29" s="1"/>
  <c r="AO208" i="29"/>
  <c r="U208" i="29" s="1"/>
  <c r="AO71" i="29"/>
  <c r="U71" i="29" s="1"/>
  <c r="AO118" i="29"/>
  <c r="U118" i="29" s="1"/>
  <c r="AO186" i="29"/>
  <c r="V186" i="29" s="1"/>
  <c r="AO316" i="29"/>
  <c r="V316" i="29" s="1"/>
  <c r="AO104" i="29"/>
  <c r="V104" i="29" s="1"/>
  <c r="AO35" i="29"/>
  <c r="U35" i="29" s="1"/>
  <c r="AO571" i="29"/>
  <c r="V571" i="29" s="1"/>
  <c r="AO428" i="29"/>
  <c r="U428" i="29" s="1"/>
  <c r="AO309" i="29"/>
  <c r="U309" i="29" s="1"/>
  <c r="AO514" i="29"/>
  <c r="V514" i="29" s="1"/>
  <c r="AO362" i="29"/>
  <c r="V362" i="29" s="1"/>
  <c r="AO438" i="29"/>
  <c r="U438" i="29" s="1"/>
  <c r="AO32" i="29"/>
  <c r="V32" i="29" s="1"/>
  <c r="AO48" i="29"/>
  <c r="U48" i="29" s="1"/>
  <c r="AO319" i="29"/>
  <c r="V319" i="29" s="1"/>
  <c r="AO447" i="29"/>
  <c r="V447" i="29" s="1"/>
  <c r="AO507" i="29"/>
  <c r="V507" i="29" s="1"/>
  <c r="AO120" i="29"/>
  <c r="V120" i="29" s="1"/>
  <c r="AO553" i="29"/>
  <c r="U553" i="29" s="1"/>
  <c r="AO236" i="29"/>
  <c r="U236" i="29" s="1"/>
  <c r="AO505" i="29"/>
  <c r="U505" i="29" s="1"/>
  <c r="AO246" i="29"/>
  <c r="V246" i="29" s="1"/>
  <c r="AO529" i="29"/>
  <c r="V529" i="29" s="1"/>
  <c r="AO486" i="29"/>
  <c r="U486" i="29" s="1"/>
  <c r="AO338" i="29"/>
  <c r="V338" i="29" s="1"/>
  <c r="AO17" i="29"/>
  <c r="U17" i="29" s="1"/>
  <c r="AO207" i="29"/>
  <c r="V207" i="29" s="1"/>
  <c r="AO390" i="29"/>
  <c r="V390" i="29" s="1"/>
  <c r="AO151" i="29"/>
  <c r="U151" i="29" s="1"/>
  <c r="AO512" i="29"/>
  <c r="U512" i="29" s="1"/>
  <c r="AO494" i="29"/>
  <c r="U494" i="29" s="1"/>
  <c r="AO339" i="29"/>
  <c r="U339" i="29" s="1"/>
  <c r="AO556" i="29"/>
  <c r="V556" i="29" s="1"/>
  <c r="AO448" i="29"/>
  <c r="V448" i="29" s="1"/>
  <c r="AO349" i="29"/>
  <c r="V349" i="29" s="1"/>
  <c r="AO239" i="29"/>
  <c r="U239" i="29" s="1"/>
  <c r="AO370" i="29"/>
  <c r="U370" i="29" s="1"/>
  <c r="AO418" i="29"/>
  <c r="U418" i="29" s="1"/>
  <c r="AO609" i="29"/>
  <c r="V609" i="29" s="1"/>
  <c r="AO543" i="29"/>
  <c r="U543" i="29" s="1"/>
  <c r="AO540" i="29"/>
  <c r="V540" i="29" s="1"/>
  <c r="AO580" i="29"/>
  <c r="U580" i="29" s="1"/>
  <c r="AO368" i="29"/>
  <c r="U368" i="29" s="1"/>
  <c r="AO39" i="29"/>
  <c r="U39" i="29" s="1"/>
  <c r="AO587" i="29"/>
  <c r="V587" i="29" s="1"/>
  <c r="AO388" i="29"/>
  <c r="U388" i="29" s="1"/>
  <c r="AO413" i="29"/>
  <c r="U413" i="29" s="1"/>
  <c r="AO89" i="29"/>
  <c r="V89" i="29" s="1"/>
  <c r="AO250" i="29"/>
  <c r="U250" i="29" s="1"/>
  <c r="AO402" i="29"/>
  <c r="U402" i="29" s="1"/>
  <c r="AO136" i="29"/>
  <c r="U136" i="29" s="1"/>
  <c r="AO365" i="29"/>
  <c r="V365" i="29" s="1"/>
  <c r="AO516" i="29"/>
  <c r="U516" i="29" s="1"/>
  <c r="AO334" i="29"/>
  <c r="U334" i="29" s="1"/>
  <c r="AO488" i="29"/>
  <c r="V488" i="29" s="1"/>
  <c r="AO597" i="29"/>
  <c r="U597" i="29" s="1"/>
  <c r="AO330" i="29"/>
  <c r="V330" i="29" s="1"/>
  <c r="AO165" i="29"/>
  <c r="V165" i="29" s="1"/>
  <c r="AO461" i="29"/>
  <c r="U461" i="29" s="1"/>
  <c r="AO57" i="29"/>
  <c r="U57" i="29" s="1"/>
  <c r="AO359" i="29"/>
  <c r="U359" i="29" s="1"/>
  <c r="AO387" i="29"/>
  <c r="V387" i="29" s="1"/>
  <c r="AO40" i="29"/>
  <c r="U40" i="29" s="1"/>
  <c r="AO220" i="29"/>
  <c r="U220" i="29" s="1"/>
  <c r="AO612" i="29"/>
  <c r="U612" i="29" s="1"/>
  <c r="AO50" i="29"/>
  <c r="V50" i="29" s="1"/>
  <c r="BV19" i="24"/>
  <c r="BX19" i="24" s="1"/>
  <c r="BS279" i="24"/>
  <c r="BX279" i="24" s="1"/>
  <c r="BS299" i="24"/>
  <c r="BX299" i="24" s="1"/>
  <c r="AO354" i="29"/>
  <c r="U354" i="29" s="1"/>
  <c r="AO376" i="29"/>
  <c r="U376" i="29" s="1"/>
  <c r="AO216" i="29"/>
  <c r="V216" i="29" s="1"/>
  <c r="AO125" i="29"/>
  <c r="U125" i="29" s="1"/>
  <c r="AO244" i="29"/>
  <c r="V244" i="29" s="1"/>
  <c r="AO395" i="29"/>
  <c r="U395" i="29" s="1"/>
  <c r="AO550" i="29"/>
  <c r="U550" i="29" s="1"/>
  <c r="AO254" i="29"/>
  <c r="V254" i="29" s="1"/>
  <c r="AO266" i="29"/>
  <c r="V266" i="29" s="1"/>
  <c r="AO25" i="29"/>
  <c r="V25" i="29" s="1"/>
  <c r="AO404" i="29"/>
  <c r="U404" i="29" s="1"/>
  <c r="AO210" i="29"/>
  <c r="V210" i="29" s="1"/>
  <c r="AO275" i="29"/>
  <c r="U275" i="29" s="1"/>
  <c r="AO502" i="29"/>
  <c r="V502" i="29" s="1"/>
  <c r="AO154" i="29"/>
  <c r="V154" i="29" s="1"/>
  <c r="AO217" i="29"/>
  <c r="U217" i="29" s="1"/>
  <c r="AO503" i="29"/>
  <c r="U503" i="29" s="1"/>
  <c r="AO342" i="29"/>
  <c r="U342" i="29" s="1"/>
  <c r="AO347" i="29"/>
  <c r="V347" i="29" s="1"/>
  <c r="AO259" i="29"/>
  <c r="U259" i="29" s="1"/>
  <c r="AO103" i="29"/>
  <c r="V103" i="29" s="1"/>
  <c r="AO433" i="29"/>
  <c r="V433" i="29" s="1"/>
  <c r="AO117" i="29"/>
  <c r="V117" i="29" s="1"/>
  <c r="AO582" i="29"/>
  <c r="U582" i="29" s="1"/>
  <c r="AO308" i="29"/>
  <c r="U308" i="29" s="1"/>
  <c r="AO268" i="29"/>
  <c r="U268" i="29" s="1"/>
  <c r="AO480" i="29"/>
  <c r="V480" i="29" s="1"/>
  <c r="AO112" i="29"/>
  <c r="V112" i="29" s="1"/>
  <c r="AO272" i="29"/>
  <c r="U272" i="29" s="1"/>
  <c r="AO378" i="29"/>
  <c r="U378" i="29" s="1"/>
  <c r="AO358" i="29"/>
  <c r="U358" i="29" s="1"/>
  <c r="BG26" i="24"/>
  <c r="BM26" i="24" s="1"/>
  <c r="BN26" i="24" s="1"/>
  <c r="AO86" i="29"/>
  <c r="V86" i="29" s="1"/>
  <c r="AO190" i="29"/>
  <c r="U190" i="29" s="1"/>
  <c r="AO185" i="29"/>
  <c r="V185" i="29" s="1"/>
  <c r="AO219" i="29"/>
  <c r="V219" i="29" s="1"/>
  <c r="AO409" i="29"/>
  <c r="U409" i="29" s="1"/>
  <c r="AO593" i="29"/>
  <c r="U593" i="29" s="1"/>
  <c r="AO267" i="29"/>
  <c r="U267" i="29" s="1"/>
  <c r="AO79" i="29"/>
  <c r="U79" i="29" s="1"/>
  <c r="BS148" i="24"/>
  <c r="BX148" i="24" s="1"/>
  <c r="BS282" i="24"/>
  <c r="BX282" i="24" s="1"/>
  <c r="BS54" i="24"/>
  <c r="BV54" i="24" s="1"/>
  <c r="BX54" i="24" s="1"/>
  <c r="BS247" i="24"/>
  <c r="BX247" i="24" s="1"/>
  <c r="BG228" i="24"/>
  <c r="BM228" i="24" s="1"/>
  <c r="BN228" i="24" s="1"/>
  <c r="BS20" i="24"/>
  <c r="BV20" i="24" s="1"/>
  <c r="BX20" i="24" s="1"/>
  <c r="BX248" i="24"/>
  <c r="AO141" i="29"/>
  <c r="U141" i="29" s="1"/>
  <c r="AO230" i="29"/>
  <c r="V230" i="29" s="1"/>
  <c r="AO44" i="29"/>
  <c r="U44" i="29" s="1"/>
  <c r="AO332" i="29"/>
  <c r="V332" i="29" s="1"/>
  <c r="AO389" i="29"/>
  <c r="V389" i="29" s="1"/>
  <c r="AO320" i="29"/>
  <c r="U320" i="29" s="1"/>
  <c r="AO446" i="29"/>
  <c r="U446" i="29" s="1"/>
  <c r="AO100" i="29"/>
  <c r="V100" i="29" s="1"/>
  <c r="AO301" i="29"/>
  <c r="V301" i="29" s="1"/>
  <c r="AO214" i="29"/>
  <c r="U214" i="29" s="1"/>
  <c r="AO440" i="29"/>
  <c r="V440" i="29" s="1"/>
  <c r="AO345" i="29"/>
  <c r="U345" i="29" s="1"/>
  <c r="AO381" i="29"/>
  <c r="V381" i="29" s="1"/>
  <c r="AO243" i="29"/>
  <c r="U243" i="29" s="1"/>
  <c r="AO164" i="29"/>
  <c r="V164" i="29" s="1"/>
  <c r="AO547" i="29"/>
  <c r="V547" i="29" s="1"/>
  <c r="AO291" i="29"/>
  <c r="V291" i="29" s="1"/>
  <c r="AO114" i="29"/>
  <c r="U114" i="29" s="1"/>
  <c r="AO299" i="29"/>
  <c r="U299" i="29" s="1"/>
  <c r="AO237" i="29"/>
  <c r="U237" i="29" s="1"/>
  <c r="AO588" i="29"/>
  <c r="V588" i="29" s="1"/>
  <c r="AO407" i="29"/>
  <c r="U407" i="29" s="1"/>
  <c r="AO252" i="29"/>
  <c r="V252" i="29" s="1"/>
  <c r="AO600" i="29"/>
  <c r="U600" i="29" s="1"/>
  <c r="AO465" i="29"/>
  <c r="V465" i="29" s="1"/>
  <c r="AO274" i="29"/>
  <c r="U274" i="29" s="1"/>
  <c r="AO122" i="29"/>
  <c r="V122" i="29" s="1"/>
  <c r="AO306" i="29"/>
  <c r="U306" i="29" s="1"/>
  <c r="AO273" i="29"/>
  <c r="U273" i="29" s="1"/>
  <c r="AO83" i="29"/>
  <c r="U83" i="29" s="1"/>
  <c r="AO70" i="29"/>
  <c r="V70" i="29" s="1"/>
  <c r="AO410" i="29"/>
  <c r="V410" i="29" s="1"/>
  <c r="AO147" i="29"/>
  <c r="V147" i="29" s="1"/>
  <c r="AO183" i="29"/>
  <c r="V183" i="29" s="1"/>
  <c r="AO377" i="29"/>
  <c r="U377" i="29" s="1"/>
  <c r="AO146" i="29"/>
  <c r="V146" i="29" s="1"/>
  <c r="AO351" i="29"/>
  <c r="V351" i="29" s="1"/>
  <c r="AO132" i="29"/>
  <c r="V132" i="29" s="1"/>
  <c r="AO343" i="29"/>
  <c r="V343" i="29" s="1"/>
  <c r="AO52" i="29"/>
  <c r="V52" i="29" s="1"/>
  <c r="AO424" i="29"/>
  <c r="U424" i="29" s="1"/>
  <c r="AO84" i="29"/>
  <c r="V84" i="29" s="1"/>
  <c r="AO526" i="29"/>
  <c r="V526" i="29" s="1"/>
  <c r="AO504" i="29"/>
  <c r="V504" i="29" s="1"/>
  <c r="AO434" i="29"/>
  <c r="V434" i="29" s="1"/>
  <c r="AO195" i="29"/>
  <c r="V195" i="29" s="1"/>
  <c r="AO297" i="29"/>
  <c r="V297" i="29" s="1"/>
  <c r="AO501" i="29"/>
  <c r="U501" i="29" s="1"/>
  <c r="AO167" i="29"/>
  <c r="U167" i="29" s="1"/>
  <c r="AO559" i="29"/>
  <c r="V559" i="29" s="1"/>
  <c r="AO423" i="29"/>
  <c r="U423" i="29" s="1"/>
  <c r="AO116" i="29"/>
  <c r="V116" i="29" s="1"/>
  <c r="AO548" i="29"/>
  <c r="U548" i="29" s="1"/>
  <c r="AO108" i="29"/>
  <c r="V108" i="29" s="1"/>
  <c r="AO166" i="29"/>
  <c r="V166" i="29" s="1"/>
  <c r="AO270" i="29"/>
  <c r="V270" i="29" s="1"/>
  <c r="AO422" i="29"/>
  <c r="V422" i="29" s="1"/>
  <c r="AO325" i="29"/>
  <c r="V325" i="29" s="1"/>
  <c r="AO265" i="29"/>
  <c r="V265" i="29" s="1"/>
  <c r="AO569" i="29"/>
  <c r="V569" i="29" s="1"/>
  <c r="AO202" i="29"/>
  <c r="V202" i="29" s="1"/>
  <c r="AO562" i="29"/>
  <c r="V562" i="29" s="1"/>
  <c r="AO592" i="29"/>
  <c r="U592" i="29" s="1"/>
  <c r="AO140" i="29"/>
  <c r="V140" i="29" s="1"/>
  <c r="AO346" i="29"/>
  <c r="U346" i="29" s="1"/>
  <c r="AO468" i="29"/>
  <c r="U468" i="29" s="1"/>
  <c r="AO95" i="29"/>
  <c r="U95" i="29" s="1"/>
  <c r="AO283" i="29"/>
  <c r="U283" i="29" s="1"/>
  <c r="AO27" i="29"/>
  <c r="U27" i="29" s="1"/>
  <c r="AO198" i="29"/>
  <c r="V198" i="29" s="1"/>
  <c r="AO427" i="29"/>
  <c r="U427" i="29" s="1"/>
  <c r="AO350" i="29"/>
  <c r="V350" i="29" s="1"/>
  <c r="AO321" i="29"/>
  <c r="U321" i="29" s="1"/>
  <c r="AO331" i="29"/>
  <c r="U331" i="29" s="1"/>
  <c r="AO421" i="29"/>
  <c r="V421" i="29" s="1"/>
  <c r="AO92" i="29"/>
  <c r="V92" i="29" s="1"/>
  <c r="AO517" i="29"/>
  <c r="U517" i="29" s="1"/>
  <c r="AO130" i="29"/>
  <c r="V130" i="29" s="1"/>
  <c r="AO315" i="29"/>
  <c r="V315" i="29" s="1"/>
  <c r="AO221" i="29"/>
  <c r="V221" i="29" s="1"/>
  <c r="AO324" i="29"/>
  <c r="V324" i="29" s="1"/>
  <c r="AO256" i="29"/>
  <c r="U256" i="29" s="1"/>
  <c r="AO38" i="29"/>
  <c r="V38" i="29" s="1"/>
  <c r="AO91" i="29"/>
  <c r="V91" i="29" s="1"/>
  <c r="BV33" i="24"/>
  <c r="BX33" i="24" s="1"/>
  <c r="BS24" i="24"/>
  <c r="BV24" i="24" s="1"/>
  <c r="BX24" i="24" s="1"/>
  <c r="AO414" i="29"/>
  <c r="U414" i="29" s="1"/>
  <c r="AO235" i="29"/>
  <c r="U235" i="29" s="1"/>
  <c r="AO138" i="29"/>
  <c r="U138" i="29" s="1"/>
  <c r="AO102" i="29"/>
  <c r="U102" i="29" s="1"/>
  <c r="AO177" i="29"/>
  <c r="V177" i="29" s="1"/>
  <c r="AO492" i="29"/>
  <c r="V492" i="29" s="1"/>
  <c r="AO453" i="29"/>
  <c r="V453" i="29" s="1"/>
  <c r="AO506" i="29"/>
  <c r="U506" i="29" s="1"/>
  <c r="AO567" i="29"/>
  <c r="U567" i="29" s="1"/>
  <c r="AO314" i="29"/>
  <c r="V314" i="29" s="1"/>
  <c r="AO462" i="29"/>
  <c r="U462" i="29" s="1"/>
  <c r="AO303" i="29"/>
  <c r="U303" i="29" s="1"/>
  <c r="AO188" i="29"/>
  <c r="U188" i="29" s="1"/>
  <c r="AO94" i="29"/>
  <c r="U94" i="29" s="1"/>
  <c r="AO467" i="29"/>
  <c r="U467" i="29" s="1"/>
  <c r="AO156" i="29"/>
  <c r="V156" i="29" s="1"/>
  <c r="AO439" i="29"/>
  <c r="V439" i="29" s="1"/>
  <c r="AO312" i="29"/>
  <c r="V312" i="29" s="1"/>
  <c r="AO15" i="29"/>
  <c r="V15" i="29" s="1"/>
  <c r="AO451" i="29"/>
  <c r="U451" i="29" s="1"/>
  <c r="AO68" i="29"/>
  <c r="U68" i="29" s="1"/>
  <c r="AO23" i="29"/>
  <c r="V23" i="29" s="1"/>
  <c r="AO20" i="29"/>
  <c r="U20" i="29" s="1"/>
  <c r="AO21" i="29"/>
  <c r="U21" i="29" s="1"/>
  <c r="AO546" i="29"/>
  <c r="U546" i="29" s="1"/>
  <c r="AO121" i="29"/>
  <c r="V121" i="29" s="1"/>
  <c r="AO527" i="29"/>
  <c r="V527" i="29" s="1"/>
  <c r="AO449" i="29"/>
  <c r="V449" i="29" s="1"/>
  <c r="AO199" i="29"/>
  <c r="V199" i="29" s="1"/>
  <c r="AO200" i="29"/>
  <c r="V200" i="29" s="1"/>
  <c r="BV58" i="24"/>
  <c r="BX58" i="24" s="1"/>
  <c r="AO204" i="29"/>
  <c r="V204" i="29" s="1"/>
  <c r="AO415" i="29"/>
  <c r="U415" i="29" s="1"/>
  <c r="AO180" i="29"/>
  <c r="V180" i="29" s="1"/>
  <c r="AO482" i="29"/>
  <c r="U482" i="29" s="1"/>
  <c r="AO278" i="29"/>
  <c r="V278" i="29" s="1"/>
  <c r="AO240" i="29"/>
  <c r="V240" i="29" s="1"/>
  <c r="AO160" i="29"/>
  <c r="U160" i="29" s="1"/>
  <c r="AO457" i="29"/>
  <c r="U457" i="29" s="1"/>
  <c r="AO429" i="29"/>
  <c r="V429" i="29" s="1"/>
  <c r="AO90" i="29"/>
  <c r="V90" i="29" s="1"/>
  <c r="AO534" i="29"/>
  <c r="V534" i="29" s="1"/>
  <c r="AO360" i="29"/>
  <c r="V360" i="29" s="1"/>
  <c r="AO277" i="29"/>
  <c r="V277" i="29" s="1"/>
  <c r="AO583" i="29"/>
  <c r="V583" i="29" s="1"/>
  <c r="AO172" i="29"/>
  <c r="V172" i="29" s="1"/>
  <c r="AO535" i="29"/>
  <c r="U535" i="29" s="1"/>
  <c r="AO153" i="29"/>
  <c r="V153" i="29" s="1"/>
  <c r="AO552" i="29"/>
  <c r="U552" i="29" s="1"/>
  <c r="AO75" i="29"/>
  <c r="V75" i="29" s="1"/>
  <c r="AO524" i="29"/>
  <c r="V524" i="29" s="1"/>
  <c r="AO157" i="29"/>
  <c r="V157" i="29" s="1"/>
  <c r="AO135" i="29"/>
  <c r="U135" i="29" s="1"/>
  <c r="AO489" i="29"/>
  <c r="V489" i="29" s="1"/>
  <c r="AO490" i="29"/>
  <c r="V490" i="29" s="1"/>
  <c r="AO611" i="29"/>
  <c r="V611" i="29" s="1"/>
  <c r="AO479" i="29"/>
  <c r="U479" i="29" s="1"/>
  <c r="AO143" i="29"/>
  <c r="V143" i="29" s="1"/>
  <c r="AO335" i="29"/>
  <c r="V335" i="29" s="1"/>
  <c r="AO385" i="29"/>
  <c r="U385" i="29" s="1"/>
  <c r="AO430" i="29"/>
  <c r="V430" i="29" s="1"/>
  <c r="AO356" i="29"/>
  <c r="V356" i="29" s="1"/>
  <c r="AO317" i="29"/>
  <c r="U317" i="29" s="1"/>
  <c r="AO408" i="29"/>
  <c r="U408" i="29" s="1"/>
  <c r="AO96" i="29"/>
  <c r="U96" i="29" s="1"/>
  <c r="AO474" i="29"/>
  <c r="V474" i="29" s="1"/>
  <c r="AO62" i="29"/>
  <c r="U62" i="29" s="1"/>
  <c r="AO542" i="29"/>
  <c r="V542" i="29" s="1"/>
  <c r="AO455" i="29"/>
  <c r="V455" i="29" s="1"/>
  <c r="AO191" i="29"/>
  <c r="U191" i="29" s="1"/>
  <c r="AO476" i="29"/>
  <c r="U476" i="29" s="1"/>
  <c r="AO481" i="29"/>
  <c r="U481" i="29" s="1"/>
  <c r="AO530" i="29"/>
  <c r="V530" i="29" s="1"/>
  <c r="AO13" i="29"/>
  <c r="V13" i="29" s="1"/>
  <c r="AO99" i="29"/>
  <c r="V99" i="29" s="1"/>
  <c r="AO182" i="29"/>
  <c r="U182" i="29" s="1"/>
  <c r="AO375" i="29"/>
  <c r="V375" i="29" s="1"/>
  <c r="AO575" i="29"/>
  <c r="U575" i="29" s="1"/>
  <c r="AO333" i="29"/>
  <c r="U333" i="29" s="1"/>
  <c r="AO65" i="29"/>
  <c r="U65" i="29" s="1"/>
  <c r="AO69" i="29"/>
  <c r="U69" i="29" s="1"/>
  <c r="AO574" i="29"/>
  <c r="V574" i="29" s="1"/>
  <c r="AO209" i="29"/>
  <c r="V209" i="29" s="1"/>
  <c r="AO525" i="29"/>
  <c r="V525" i="29" s="1"/>
  <c r="AO416" i="29"/>
  <c r="U416" i="29" s="1"/>
  <c r="AO119" i="29"/>
  <c r="V119" i="29" s="1"/>
  <c r="AO336" i="29"/>
  <c r="V336" i="29" s="1"/>
  <c r="AO398" i="29"/>
  <c r="V398" i="29" s="1"/>
  <c r="AO341" i="29"/>
  <c r="V341" i="29" s="1"/>
  <c r="AO463" i="29"/>
  <c r="V463" i="29" s="1"/>
  <c r="AO131" i="29"/>
  <c r="U131" i="29" s="1"/>
  <c r="AO227" i="29"/>
  <c r="U227" i="29" s="1"/>
  <c r="AO76" i="29"/>
  <c r="U76" i="29" s="1"/>
  <c r="AO318" i="29"/>
  <c r="V318" i="29" s="1"/>
  <c r="AO344" i="29"/>
  <c r="U344" i="29" s="1"/>
  <c r="AO56" i="29"/>
  <c r="V56" i="29" s="1"/>
  <c r="AO45" i="29"/>
  <c r="V45" i="29" s="1"/>
  <c r="AO519" i="29"/>
  <c r="U519" i="29" s="1"/>
  <c r="AO372" i="29"/>
  <c r="U372" i="29" s="1"/>
  <c r="AO300" i="29"/>
  <c r="U300" i="29" s="1"/>
  <c r="AO364" i="29"/>
  <c r="U364" i="29" s="1"/>
  <c r="AO16" i="29"/>
  <c r="U16" i="29" s="1"/>
  <c r="AO178" i="29"/>
  <c r="U178" i="29" s="1"/>
  <c r="AO518" i="29"/>
  <c r="V518" i="29" s="1"/>
  <c r="AO218" i="29"/>
  <c r="V218" i="29" s="1"/>
  <c r="AO129" i="29"/>
  <c r="U129" i="29" s="1"/>
  <c r="AO459" i="29"/>
  <c r="V459" i="29" s="1"/>
  <c r="AO281" i="29"/>
  <c r="U281" i="29" s="1"/>
  <c r="AO232" i="29"/>
  <c r="V232" i="29" s="1"/>
  <c r="AO450" i="29"/>
  <c r="V450" i="29" s="1"/>
  <c r="AO472" i="29"/>
  <c r="U472" i="29" s="1"/>
  <c r="AO513" i="29"/>
  <c r="V513" i="29" s="1"/>
  <c r="AO139" i="29"/>
  <c r="V139" i="29" s="1"/>
  <c r="AO383" i="29"/>
  <c r="V383" i="29" s="1"/>
  <c r="AO564" i="29"/>
  <c r="V564" i="29" s="1"/>
  <c r="AO396" i="29"/>
  <c r="U396" i="29" s="1"/>
  <c r="AO533" i="29"/>
  <c r="V533" i="29" s="1"/>
  <c r="AO403" i="29"/>
  <c r="U403" i="29" s="1"/>
  <c r="AO357" i="29"/>
  <c r="V357" i="29" s="1"/>
  <c r="AO292" i="29"/>
  <c r="U292" i="29" s="1"/>
  <c r="AO594" i="29"/>
  <c r="V594" i="29" s="1"/>
  <c r="BB237" i="25"/>
  <c r="BS237" i="25" s="1"/>
  <c r="BA237" i="25"/>
  <c r="BC237" i="25"/>
  <c r="BT237" i="25" s="1"/>
  <c r="AO169" i="29"/>
  <c r="U169" i="29" s="1"/>
  <c r="AO67" i="29"/>
  <c r="U67" i="29" s="1"/>
  <c r="AO435" i="29"/>
  <c r="U435" i="29" s="1"/>
  <c r="AO34" i="29"/>
  <c r="U34" i="29" s="1"/>
  <c r="AO554" i="29"/>
  <c r="U554" i="29" s="1"/>
  <c r="AO81" i="29"/>
  <c r="U81" i="29" s="1"/>
  <c r="AO549" i="29"/>
  <c r="U549" i="29" s="1"/>
  <c r="AO37" i="29"/>
  <c r="V37" i="29" s="1"/>
  <c r="AO51" i="29"/>
  <c r="U51" i="29" s="1"/>
  <c r="AO313" i="29"/>
  <c r="U313" i="29" s="1"/>
  <c r="AO264" i="29"/>
  <c r="V264" i="29" s="1"/>
  <c r="AO353" i="29"/>
  <c r="V353" i="29" s="1"/>
  <c r="AO294" i="29"/>
  <c r="V294" i="29" s="1"/>
  <c r="BS117" i="24"/>
  <c r="BX117" i="24" s="1"/>
  <c r="AJ212" i="25"/>
  <c r="AM212" i="25"/>
  <c r="AP212" i="25" s="1"/>
  <c r="AX212" i="25"/>
  <c r="AW212" i="25"/>
  <c r="AO187" i="29"/>
  <c r="V187" i="29" s="1"/>
  <c r="AO520" i="29"/>
  <c r="V520" i="29" s="1"/>
  <c r="AO101" i="29"/>
  <c r="U101" i="29" s="1"/>
  <c r="AO311" i="29"/>
  <c r="U311" i="29" s="1"/>
  <c r="AO93" i="29"/>
  <c r="U93" i="29" s="1"/>
  <c r="AO366" i="29"/>
  <c r="V366" i="29" s="1"/>
  <c r="AO282" i="29"/>
  <c r="U282" i="29" s="1"/>
  <c r="AO179" i="29"/>
  <c r="V179" i="29" s="1"/>
  <c r="AO87" i="29"/>
  <c r="U87" i="29" s="1"/>
  <c r="AO456" i="29"/>
  <c r="U456" i="29" s="1"/>
  <c r="BG224" i="24"/>
  <c r="BY224" i="24" s="1"/>
  <c r="CA224" i="24" s="1"/>
  <c r="CB224" i="24" s="1"/>
  <c r="AO523" i="29"/>
  <c r="V523" i="29" s="1"/>
  <c r="AO296" i="29"/>
  <c r="V296" i="29" s="1"/>
  <c r="AO269" i="29"/>
  <c r="U269" i="29" s="1"/>
  <c r="AO498" i="29"/>
  <c r="V498" i="29" s="1"/>
  <c r="AO607" i="29"/>
  <c r="U607" i="29" s="1"/>
  <c r="AO109" i="29"/>
  <c r="V109" i="29" s="1"/>
  <c r="AO142" i="29"/>
  <c r="V142" i="29" s="1"/>
  <c r="AO605" i="29"/>
  <c r="U605" i="29" s="1"/>
  <c r="AO420" i="29"/>
  <c r="U420" i="29" s="1"/>
  <c r="AO173" i="29"/>
  <c r="V173" i="29" s="1"/>
  <c r="AO565" i="29"/>
  <c r="V565" i="29" s="1"/>
  <c r="AO260" i="29"/>
  <c r="V260" i="29" s="1"/>
  <c r="AO158" i="29"/>
  <c r="V158" i="29" s="1"/>
  <c r="AO560" i="29"/>
  <c r="V560" i="29" s="1"/>
  <c r="AO115" i="29"/>
  <c r="V115" i="29" s="1"/>
  <c r="AO286" i="29"/>
  <c r="V286" i="29" s="1"/>
  <c r="AO211" i="29"/>
  <c r="U211" i="29" s="1"/>
  <c r="AO532" i="29"/>
  <c r="V532" i="29" s="1"/>
  <c r="AO405" i="29"/>
  <c r="U405" i="29" s="1"/>
  <c r="AO355" i="29"/>
  <c r="U355" i="29" s="1"/>
  <c r="AO444" i="29"/>
  <c r="V444" i="29" s="1"/>
  <c r="AO258" i="29"/>
  <c r="U258" i="29" s="1"/>
  <c r="AO469" i="29"/>
  <c r="U469" i="29" s="1"/>
  <c r="AO88" i="29"/>
  <c r="V88" i="29" s="1"/>
  <c r="AO36" i="29"/>
  <c r="U36" i="29" s="1"/>
  <c r="AO394" i="29"/>
  <c r="U394" i="29" s="1"/>
  <c r="AO263" i="29"/>
  <c r="U263" i="29" s="1"/>
  <c r="AO228" i="29"/>
  <c r="U228" i="29" s="1"/>
  <c r="AO215" i="29"/>
  <c r="U215" i="29" s="1"/>
  <c r="AO460" i="29"/>
  <c r="V460" i="29" s="1"/>
  <c r="AO201" i="29"/>
  <c r="V201" i="29" s="1"/>
  <c r="AO30" i="29"/>
  <c r="U30" i="29" s="1"/>
  <c r="AO55" i="29"/>
  <c r="V55" i="29" s="1"/>
  <c r="AO31" i="29"/>
  <c r="V31" i="29" s="1"/>
  <c r="AO42" i="29"/>
  <c r="U42" i="29" s="1"/>
  <c r="AO573" i="29"/>
  <c r="V573" i="29" s="1"/>
  <c r="AO307" i="29"/>
  <c r="U307" i="29" s="1"/>
  <c r="AO348" i="29"/>
  <c r="V348" i="29" s="1"/>
  <c r="AO175" i="29"/>
  <c r="U175" i="29" s="1"/>
  <c r="AO522" i="29"/>
  <c r="V522" i="29" s="1"/>
  <c r="AO213" i="29"/>
  <c r="V213" i="29" s="1"/>
  <c r="AO386" i="29"/>
  <c r="U386" i="29" s="1"/>
  <c r="AO26" i="29"/>
  <c r="V26" i="29" s="1"/>
  <c r="AO262" i="29"/>
  <c r="U262" i="29" s="1"/>
  <c r="AO47" i="29"/>
  <c r="U47" i="29" s="1"/>
  <c r="AO192" i="29"/>
  <c r="V192" i="29" s="1"/>
  <c r="AO305" i="29"/>
  <c r="V305" i="29" s="1"/>
  <c r="AO610" i="29"/>
  <c r="V610" i="29" s="1"/>
  <c r="AO288" i="29"/>
  <c r="U288" i="29" s="1"/>
  <c r="AO82" i="29"/>
  <c r="V82" i="29" s="1"/>
  <c r="AO595" i="29"/>
  <c r="V595" i="29" s="1"/>
  <c r="AO134" i="29"/>
  <c r="U134" i="29" s="1"/>
  <c r="AO280" i="29"/>
  <c r="V280" i="29" s="1"/>
  <c r="AO473" i="29"/>
  <c r="U473" i="29" s="1"/>
  <c r="AO241" i="29"/>
  <c r="U241" i="29" s="1"/>
  <c r="AO401" i="29"/>
  <c r="V401" i="29" s="1"/>
  <c r="AO496" i="29"/>
  <c r="U496" i="29" s="1"/>
  <c r="AO28" i="29"/>
  <c r="U28" i="29" s="1"/>
  <c r="AO601" i="29"/>
  <c r="U601" i="29" s="1"/>
  <c r="AO500" i="29"/>
  <c r="V500" i="29" s="1"/>
  <c r="AO77" i="29"/>
  <c r="U77" i="29" s="1"/>
  <c r="AO276" i="29"/>
  <c r="U276" i="29" s="1"/>
  <c r="AO411" i="29"/>
  <c r="U411" i="29" s="1"/>
  <c r="AO29" i="29"/>
  <c r="U29" i="29" s="1"/>
  <c r="AO128" i="29"/>
  <c r="V128" i="29" s="1"/>
  <c r="AO570" i="29"/>
  <c r="U570" i="29" s="1"/>
  <c r="AO579" i="29"/>
  <c r="U579" i="29" s="1"/>
  <c r="AO538" i="29"/>
  <c r="U538" i="29" s="1"/>
  <c r="AO484" i="29"/>
  <c r="U484" i="29" s="1"/>
  <c r="AO197" i="29"/>
  <c r="U197" i="29" s="1"/>
  <c r="AO572" i="29"/>
  <c r="U572" i="29" s="1"/>
  <c r="AO234" i="29"/>
  <c r="V234" i="29" s="1"/>
  <c r="AO431" i="29"/>
  <c r="V431" i="29" s="1"/>
  <c r="AO441" i="29"/>
  <c r="V441" i="29" s="1"/>
  <c r="AO150" i="29"/>
  <c r="V150" i="29" s="1"/>
  <c r="AO369" i="29"/>
  <c r="V369" i="29" s="1"/>
  <c r="AO528" i="29"/>
  <c r="V528" i="29" s="1"/>
  <c r="AO302" i="29"/>
  <c r="U302" i="29" s="1"/>
  <c r="AO245" i="29"/>
  <c r="V245" i="29" s="1"/>
  <c r="AO497" i="29"/>
  <c r="U497" i="29" s="1"/>
  <c r="AO399" i="29"/>
  <c r="U399" i="29" s="1"/>
  <c r="AO162" i="29"/>
  <c r="U162" i="29" s="1"/>
  <c r="AO226" i="29"/>
  <c r="V226" i="29" s="1"/>
  <c r="AO247" i="29"/>
  <c r="U247" i="29" s="1"/>
  <c r="AO436" i="29"/>
  <c r="U436" i="29" s="1"/>
  <c r="AO33" i="29"/>
  <c r="V33" i="29" s="1"/>
  <c r="AO382" i="29"/>
  <c r="V382" i="29" s="1"/>
  <c r="AO170" i="29"/>
  <c r="V170" i="29" s="1"/>
  <c r="AO545" i="29"/>
  <c r="U545" i="29" s="1"/>
  <c r="AO561" i="29"/>
  <c r="V561" i="29" s="1"/>
  <c r="AO72" i="29"/>
  <c r="V72" i="29" s="1"/>
  <c r="AO249" i="29"/>
  <c r="U249" i="29" s="1"/>
  <c r="AO531" i="29"/>
  <c r="V531" i="29" s="1"/>
  <c r="AO581" i="29"/>
  <c r="U581" i="29" s="1"/>
  <c r="AO589" i="29"/>
  <c r="U589" i="29" s="1"/>
  <c r="AO184" i="29"/>
  <c r="U184" i="29" s="1"/>
  <c r="AO487" i="29"/>
  <c r="U487" i="29" s="1"/>
  <c r="AO196" i="29"/>
  <c r="U196" i="29" s="1"/>
  <c r="AO458" i="29"/>
  <c r="U458" i="29" s="1"/>
  <c r="AO432" i="29"/>
  <c r="V432" i="29" s="1"/>
  <c r="AO426" i="29"/>
  <c r="V426" i="29" s="1"/>
  <c r="AO406" i="29"/>
  <c r="V406" i="29" s="1"/>
  <c r="AO80" i="29"/>
  <c r="U80" i="29" s="1"/>
  <c r="AO224" i="29"/>
  <c r="U224" i="29" s="1"/>
  <c r="AO495" i="29"/>
  <c r="V495" i="29" s="1"/>
  <c r="AO126" i="29"/>
  <c r="U126" i="29" s="1"/>
  <c r="AO290" i="29"/>
  <c r="V290" i="29" s="1"/>
  <c r="AO41" i="29"/>
  <c r="V41" i="29" s="1"/>
  <c r="AO392" i="29"/>
  <c r="U392" i="29" s="1"/>
  <c r="AO329" i="29"/>
  <c r="U329" i="29" s="1"/>
  <c r="AO477" i="29"/>
  <c r="U477" i="29" s="1"/>
  <c r="AO133" i="29"/>
  <c r="V133" i="29" s="1"/>
  <c r="AO491" i="29"/>
  <c r="U491" i="29" s="1"/>
  <c r="AO568" i="29"/>
  <c r="V568" i="29" s="1"/>
  <c r="AO176" i="29"/>
  <c r="U176" i="29" s="1"/>
  <c r="AO310" i="29"/>
  <c r="V310" i="29" s="1"/>
  <c r="AO419" i="29"/>
  <c r="U419" i="29" s="1"/>
  <c r="AO539" i="29"/>
  <c r="U539" i="29" s="1"/>
  <c r="AO14" i="29"/>
  <c r="U14" i="29" s="1"/>
  <c r="AO171" i="29"/>
  <c r="U171" i="29" s="1"/>
  <c r="AO287" i="29"/>
  <c r="V287" i="29" s="1"/>
  <c r="AO425" i="29"/>
  <c r="U425" i="29" s="1"/>
  <c r="AO255" i="29"/>
  <c r="V255" i="29" s="1"/>
  <c r="AO251" i="29"/>
  <c r="V251" i="29" s="1"/>
  <c r="AO145" i="29"/>
  <c r="V145" i="29" s="1"/>
  <c r="AO149" i="29"/>
  <c r="V149" i="29" s="1"/>
  <c r="AO295" i="29"/>
  <c r="U295" i="29" s="1"/>
  <c r="BB77" i="25"/>
  <c r="BS77" i="25" s="1"/>
  <c r="BA77" i="25"/>
  <c r="BC77" i="25"/>
  <c r="BT77" i="25" s="1"/>
  <c r="BS25" i="24"/>
  <c r="BV25" i="24" s="1"/>
  <c r="BX25" i="24" s="1"/>
  <c r="BG25" i="24"/>
  <c r="BM25" i="24" s="1"/>
  <c r="BG133" i="24"/>
  <c r="BS133" i="24"/>
  <c r="BX133" i="24" s="1"/>
  <c r="BC175" i="25"/>
  <c r="BT175" i="25" s="1"/>
  <c r="BA175" i="25"/>
  <c r="BB175" i="25"/>
  <c r="BS175" i="25" s="1"/>
  <c r="BA64" i="25"/>
  <c r="BB64" i="25"/>
  <c r="BS64" i="25" s="1"/>
  <c r="BC64" i="25"/>
  <c r="BT64" i="25" s="1"/>
  <c r="BB171" i="25"/>
  <c r="BS171" i="25" s="1"/>
  <c r="BA171" i="25"/>
  <c r="BC171" i="25"/>
  <c r="BT171" i="25" s="1"/>
  <c r="BR240" i="25"/>
  <c r="BX240" i="25" s="1"/>
  <c r="BE240" i="25"/>
  <c r="BG189" i="24"/>
  <c r="BS189" i="24"/>
  <c r="BX189" i="24" s="1"/>
  <c r="BG93" i="24"/>
  <c r="BM93" i="24" s="1"/>
  <c r="BS93" i="24"/>
  <c r="BV93" i="24" s="1"/>
  <c r="BX93" i="24" s="1"/>
  <c r="BC73" i="25"/>
  <c r="BT73" i="25" s="1"/>
  <c r="BA73" i="25"/>
  <c r="BB73" i="25"/>
  <c r="BS73" i="25" s="1"/>
  <c r="BS268" i="24"/>
  <c r="BX268" i="24" s="1"/>
  <c r="BG268" i="24"/>
  <c r="BR21" i="25"/>
  <c r="BV21" i="25" s="1"/>
  <c r="BX21" i="25" s="1"/>
  <c r="BE21" i="25"/>
  <c r="BK21" i="25" s="1"/>
  <c r="BN44" i="24"/>
  <c r="BY44" i="24"/>
  <c r="CA44" i="24" s="1"/>
  <c r="CB44" i="24" s="1"/>
  <c r="BB8" i="25"/>
  <c r="BS8" i="25" s="1"/>
  <c r="BA8" i="25"/>
  <c r="BC8" i="25"/>
  <c r="BT8" i="25" s="1"/>
  <c r="BG42" i="24"/>
  <c r="BM42" i="24" s="1"/>
  <c r="BS42" i="24"/>
  <c r="BV42" i="24" s="1"/>
  <c r="BX42" i="24" s="1"/>
  <c r="BY191" i="24"/>
  <c r="CA191" i="24" s="1"/>
  <c r="BM191" i="24"/>
  <c r="BN191" i="24" s="1"/>
  <c r="BA234" i="25"/>
  <c r="BC234" i="25"/>
  <c r="BT234" i="25" s="1"/>
  <c r="BB234" i="25"/>
  <c r="BS234" i="25" s="1"/>
  <c r="BB84" i="25"/>
  <c r="BS84" i="25" s="1"/>
  <c r="BC84" i="25"/>
  <c r="BT84" i="25" s="1"/>
  <c r="BA84" i="25"/>
  <c r="BS43" i="24"/>
  <c r="BV43" i="24" s="1"/>
  <c r="BX43" i="24" s="1"/>
  <c r="BG43" i="24"/>
  <c r="BM43" i="24" s="1"/>
  <c r="BC116" i="25"/>
  <c r="BT116" i="25" s="1"/>
  <c r="BB116" i="25"/>
  <c r="BS116" i="25" s="1"/>
  <c r="BA116" i="25"/>
  <c r="BG116" i="24"/>
  <c r="BS116" i="24"/>
  <c r="BX116" i="24" s="1"/>
  <c r="BE34" i="25"/>
  <c r="BK34" i="25" s="1"/>
  <c r="BR34" i="25"/>
  <c r="BV34" i="25" s="1"/>
  <c r="BX34" i="25" s="1"/>
  <c r="BG196" i="24"/>
  <c r="BS196" i="24"/>
  <c r="BX196" i="24" s="1"/>
  <c r="BG173" i="24"/>
  <c r="BS173" i="24"/>
  <c r="BX173" i="24" s="1"/>
  <c r="BB146" i="25"/>
  <c r="BS146" i="25" s="1"/>
  <c r="BC146" i="25"/>
  <c r="BT146" i="25" s="1"/>
  <c r="BA146" i="25"/>
  <c r="BC63" i="25"/>
  <c r="BT63" i="25" s="1"/>
  <c r="BB63" i="25"/>
  <c r="BS63" i="25" s="1"/>
  <c r="BA63" i="25"/>
  <c r="BA52" i="25"/>
  <c r="BB52" i="25"/>
  <c r="BS52" i="25" s="1"/>
  <c r="BC52" i="25"/>
  <c r="BT52" i="25" s="1"/>
  <c r="BB290" i="25"/>
  <c r="BS290" i="25" s="1"/>
  <c r="BC290" i="25"/>
  <c r="BT290" i="25" s="1"/>
  <c r="BA290" i="25"/>
  <c r="BG125" i="24"/>
  <c r="BS125" i="24"/>
  <c r="BX125" i="24" s="1"/>
  <c r="BS221" i="24"/>
  <c r="BX221" i="24" s="1"/>
  <c r="BG221" i="24"/>
  <c r="BB249" i="25"/>
  <c r="BS249" i="25" s="1"/>
  <c r="BA249" i="25"/>
  <c r="BC249" i="25"/>
  <c r="BT249" i="25" s="1"/>
  <c r="BE114" i="25"/>
  <c r="BR114" i="25"/>
  <c r="BX114" i="25" s="1"/>
  <c r="BB300" i="25"/>
  <c r="BS300" i="25" s="1"/>
  <c r="BA300" i="25"/>
  <c r="BC300" i="25"/>
  <c r="BT300" i="25" s="1"/>
  <c r="BG186" i="24"/>
  <c r="BS186" i="24"/>
  <c r="BX186" i="24" s="1"/>
  <c r="BA153" i="25"/>
  <c r="BB153" i="25"/>
  <c r="BS153" i="25" s="1"/>
  <c r="BC153" i="25"/>
  <c r="BT153" i="25" s="1"/>
  <c r="BN21" i="24"/>
  <c r="BY21" i="24"/>
  <c r="CA21" i="24" s="1"/>
  <c r="CB21" i="24" s="1"/>
  <c r="BG267" i="24"/>
  <c r="BS267" i="24"/>
  <c r="BX267" i="24" s="1"/>
  <c r="BG281" i="24"/>
  <c r="BS281" i="24"/>
  <c r="BX281" i="24" s="1"/>
  <c r="BS94" i="24"/>
  <c r="BV94" i="24" s="1"/>
  <c r="BX94" i="24" s="1"/>
  <c r="BG94" i="24"/>
  <c r="BM94" i="24" s="1"/>
  <c r="BS13" i="24"/>
  <c r="BV13" i="24" s="1"/>
  <c r="BX13" i="24" s="1"/>
  <c r="BG13" i="24"/>
  <c r="BM13" i="24" s="1"/>
  <c r="BA281" i="25"/>
  <c r="BC281" i="25"/>
  <c r="BT281" i="25" s="1"/>
  <c r="BB281" i="25"/>
  <c r="BS281" i="25" s="1"/>
  <c r="BG220" i="24"/>
  <c r="BS220" i="24"/>
  <c r="BX220" i="24" s="1"/>
  <c r="BE275" i="25"/>
  <c r="BR275" i="25"/>
  <c r="BX275" i="25" s="1"/>
  <c r="BA160" i="25"/>
  <c r="BB160" i="25"/>
  <c r="BS160" i="25" s="1"/>
  <c r="BC160" i="25"/>
  <c r="BT160" i="25" s="1"/>
  <c r="U452" i="29"/>
  <c r="V452" i="29"/>
  <c r="U97" i="29"/>
  <c r="V97" i="29"/>
  <c r="U159" i="29"/>
  <c r="V159" i="29"/>
  <c r="V485" i="29"/>
  <c r="U485" i="29"/>
  <c r="V285" i="29"/>
  <c r="U285" i="29"/>
  <c r="U271" i="29"/>
  <c r="V271" i="29"/>
  <c r="V599" i="29"/>
  <c r="U599" i="29"/>
  <c r="U304" i="29"/>
  <c r="V304" i="29"/>
  <c r="V193" i="29"/>
  <c r="U193" i="29"/>
  <c r="U478" i="29"/>
  <c r="V478" i="29"/>
  <c r="U58" i="29"/>
  <c r="V58" i="29"/>
  <c r="AO585" i="29"/>
  <c r="BG222" i="24"/>
  <c r="BS222" i="24"/>
  <c r="BX222" i="24" s="1"/>
  <c r="BS70" i="24"/>
  <c r="BV70" i="24" s="1"/>
  <c r="BX70" i="24" s="1"/>
  <c r="BG70" i="24"/>
  <c r="BM70" i="24" s="1"/>
  <c r="BE282" i="25"/>
  <c r="BR282" i="25"/>
  <c r="BX282" i="25" s="1"/>
  <c r="BB302" i="25"/>
  <c r="BS302" i="25" s="1"/>
  <c r="BC302" i="25"/>
  <c r="BT302" i="25" s="1"/>
  <c r="BA302" i="25"/>
  <c r="BB176" i="25"/>
  <c r="BS176" i="25" s="1"/>
  <c r="BC176" i="25"/>
  <c r="BT176" i="25" s="1"/>
  <c r="BA176" i="25"/>
  <c r="BG158" i="24"/>
  <c r="BS158" i="24"/>
  <c r="BX158" i="24" s="1"/>
  <c r="BR201" i="25"/>
  <c r="BX201" i="25" s="1"/>
  <c r="BE201" i="25"/>
  <c r="BG90" i="24"/>
  <c r="BM90" i="24" s="1"/>
  <c r="BS90" i="24"/>
  <c r="BV90" i="24" s="1"/>
  <c r="BX90" i="24" s="1"/>
  <c r="BE95" i="25"/>
  <c r="BK95" i="25" s="1"/>
  <c r="BR95" i="25"/>
  <c r="BV95" i="25" s="1"/>
  <c r="BX95" i="25" s="1"/>
  <c r="BA41" i="25"/>
  <c r="BB41" i="25"/>
  <c r="BS41" i="25" s="1"/>
  <c r="BC41" i="25"/>
  <c r="BT41" i="25" s="1"/>
  <c r="BA17" i="25"/>
  <c r="BB17" i="25"/>
  <c r="BS17" i="25" s="1"/>
  <c r="BC17" i="25"/>
  <c r="BT17" i="25" s="1"/>
  <c r="BS56" i="24"/>
  <c r="BV56" i="24" s="1"/>
  <c r="BX56" i="24" s="1"/>
  <c r="BG56" i="24"/>
  <c r="BM56" i="24" s="1"/>
  <c r="BS91" i="24"/>
  <c r="BV91" i="24" s="1"/>
  <c r="BX91" i="24" s="1"/>
  <c r="BG91" i="24"/>
  <c r="BM91" i="24" s="1"/>
  <c r="BE92" i="25"/>
  <c r="BK92" i="25" s="1"/>
  <c r="BR92" i="25"/>
  <c r="BV92" i="25" s="1"/>
  <c r="BX92" i="25" s="1"/>
  <c r="BN24" i="24"/>
  <c r="BY190" i="24"/>
  <c r="CA190" i="24" s="1"/>
  <c r="CB190" i="24" s="1"/>
  <c r="BM190" i="24"/>
  <c r="BN190" i="24" s="1"/>
  <c r="BS40" i="24"/>
  <c r="BV40" i="24" s="1"/>
  <c r="BX40" i="24" s="1"/>
  <c r="BG40" i="24"/>
  <c r="BM40" i="24" s="1"/>
  <c r="BG140" i="24"/>
  <c r="BS140" i="24"/>
  <c r="BX140" i="24" s="1"/>
  <c r="BC286" i="25"/>
  <c r="BT286" i="25" s="1"/>
  <c r="BB286" i="25"/>
  <c r="BS286" i="25" s="1"/>
  <c r="BA286" i="25"/>
  <c r="BA60" i="25"/>
  <c r="BC60" i="25"/>
  <c r="BT60" i="25" s="1"/>
  <c r="BB60" i="25"/>
  <c r="BS60" i="25" s="1"/>
  <c r="BG310" i="24"/>
  <c r="BS310" i="24"/>
  <c r="BX310" i="24" s="1"/>
  <c r="BA101" i="25"/>
  <c r="BC101" i="25"/>
  <c r="BT101" i="25" s="1"/>
  <c r="BB101" i="25"/>
  <c r="BS101" i="25" s="1"/>
  <c r="BB26" i="25"/>
  <c r="BS26" i="25" s="1"/>
  <c r="BC26" i="25"/>
  <c r="BT26" i="25" s="1"/>
  <c r="BA26" i="25"/>
  <c r="BE296" i="25"/>
  <c r="BR296" i="25"/>
  <c r="BX296" i="25" s="1"/>
  <c r="BN34" i="24"/>
  <c r="BA51" i="25"/>
  <c r="BC51" i="25"/>
  <c r="BT51" i="25" s="1"/>
  <c r="BB51" i="25"/>
  <c r="BS51" i="25" s="1"/>
  <c r="BG113" i="24"/>
  <c r="BS113" i="24"/>
  <c r="BX113" i="24" s="1"/>
  <c r="BA150" i="25"/>
  <c r="BB150" i="25"/>
  <c r="BS150" i="25" s="1"/>
  <c r="BC150" i="25"/>
  <c r="BT150" i="25" s="1"/>
  <c r="BG181" i="24"/>
  <c r="BS181" i="24"/>
  <c r="BX181" i="24" s="1"/>
  <c r="BS87" i="24"/>
  <c r="BV87" i="24" s="1"/>
  <c r="BX87" i="24" s="1"/>
  <c r="BG87" i="24"/>
  <c r="BM87" i="24" s="1"/>
  <c r="BG118" i="24"/>
  <c r="BS118" i="24"/>
  <c r="BX118" i="24" s="1"/>
  <c r="BE247" i="25"/>
  <c r="BR247" i="25"/>
  <c r="BX247" i="25" s="1"/>
  <c r="BG168" i="24"/>
  <c r="BS168" i="24"/>
  <c r="BX168" i="24" s="1"/>
  <c r="BB12" i="25"/>
  <c r="BS12" i="25" s="1"/>
  <c r="BC12" i="25"/>
  <c r="BT12" i="25" s="1"/>
  <c r="BA12" i="25"/>
  <c r="BG47" i="24"/>
  <c r="BM47" i="24" s="1"/>
  <c r="BS47" i="24"/>
  <c r="BV47" i="24" s="1"/>
  <c r="BX47" i="24" s="1"/>
  <c r="BA46" i="25"/>
  <c r="BB46" i="25"/>
  <c r="BS46" i="25" s="1"/>
  <c r="BC46" i="25"/>
  <c r="BT46" i="25" s="1"/>
  <c r="BB75" i="25"/>
  <c r="BS75" i="25" s="1"/>
  <c r="BC75" i="25"/>
  <c r="BT75" i="25" s="1"/>
  <c r="BA75" i="25"/>
  <c r="BG243" i="24"/>
  <c r="BS243" i="24"/>
  <c r="BX243" i="24" s="1"/>
  <c r="BG249" i="24"/>
  <c r="BS249" i="24"/>
  <c r="BX249" i="24" s="1"/>
  <c r="BA7" i="25"/>
  <c r="BB7" i="25"/>
  <c r="BS7" i="25" s="1"/>
  <c r="BC7" i="25"/>
  <c r="BT7" i="25" s="1"/>
  <c r="BC112" i="25"/>
  <c r="BT112" i="25" s="1"/>
  <c r="BB112" i="25"/>
  <c r="BS112" i="25" s="1"/>
  <c r="BA112" i="25"/>
  <c r="BC250" i="25"/>
  <c r="BT250" i="25" s="1"/>
  <c r="BA250" i="25"/>
  <c r="BB250" i="25"/>
  <c r="BS250" i="25" s="1"/>
  <c r="BG126" i="24"/>
  <c r="BS126" i="24"/>
  <c r="BX126" i="24" s="1"/>
  <c r="BG275" i="24"/>
  <c r="BS275" i="24"/>
  <c r="BX275" i="24" s="1"/>
  <c r="BG81" i="24"/>
  <c r="BM81" i="24" s="1"/>
  <c r="BS81" i="24"/>
  <c r="BV81" i="24" s="1"/>
  <c r="BX81" i="24" s="1"/>
  <c r="BG200" i="24"/>
  <c r="BS200" i="24"/>
  <c r="BX200" i="24" s="1"/>
  <c r="BS180" i="24"/>
  <c r="BX180" i="24" s="1"/>
  <c r="BG180" i="24"/>
  <c r="BC294" i="25"/>
  <c r="BT294" i="25" s="1"/>
  <c r="BB294" i="25"/>
  <c r="BS294" i="25" s="1"/>
  <c r="BA294" i="25"/>
  <c r="BE186" i="25"/>
  <c r="BR186" i="25"/>
  <c r="BX186" i="25" s="1"/>
  <c r="BE131" i="25"/>
  <c r="BR131" i="25"/>
  <c r="BX131" i="25" s="1"/>
  <c r="BG246" i="24"/>
  <c r="BS246" i="24"/>
  <c r="BX246" i="24" s="1"/>
  <c r="BS66" i="24"/>
  <c r="BV66" i="24" s="1"/>
  <c r="BX66" i="24" s="1"/>
  <c r="BG66" i="24"/>
  <c r="BM66" i="24" s="1"/>
  <c r="BG293" i="24"/>
  <c r="BS293" i="24"/>
  <c r="BX293" i="24" s="1"/>
  <c r="BG15" i="24"/>
  <c r="BM15" i="24" s="1"/>
  <c r="BS15" i="24"/>
  <c r="BV15" i="24" s="1"/>
  <c r="BX15" i="24" s="1"/>
  <c r="BG230" i="24"/>
  <c r="BS230" i="24"/>
  <c r="BX230" i="24" s="1"/>
  <c r="BB168" i="25"/>
  <c r="BS168" i="25" s="1"/>
  <c r="BC168" i="25"/>
  <c r="BT168" i="25" s="1"/>
  <c r="BA168" i="25"/>
  <c r="BE174" i="25"/>
  <c r="BR174" i="25"/>
  <c r="BX174" i="25" s="1"/>
  <c r="BE314" i="25"/>
  <c r="BR314" i="25"/>
  <c r="BX314" i="25" s="1"/>
  <c r="BB184" i="25"/>
  <c r="BS184" i="25" s="1"/>
  <c r="BC184" i="25"/>
  <c r="BT184" i="25" s="1"/>
  <c r="BA184" i="25"/>
  <c r="BY294" i="24"/>
  <c r="CA294" i="24" s="1"/>
  <c r="CB294" i="24" s="1"/>
  <c r="BM294" i="24"/>
  <c r="BN294" i="24" s="1"/>
  <c r="BR82" i="25"/>
  <c r="BV82" i="25" s="1"/>
  <c r="BX82" i="25" s="1"/>
  <c r="BE82" i="25"/>
  <c r="BK82" i="25" s="1"/>
  <c r="BG309" i="24"/>
  <c r="BS309" i="24"/>
  <c r="BX309" i="24" s="1"/>
  <c r="BG35" i="24"/>
  <c r="BM35" i="24" s="1"/>
  <c r="BS35" i="24"/>
  <c r="BV35" i="24" s="1"/>
  <c r="BX35" i="24" s="1"/>
  <c r="BC202" i="25"/>
  <c r="BT202" i="25" s="1"/>
  <c r="BB202" i="25"/>
  <c r="BS202" i="25" s="1"/>
  <c r="BA202" i="25"/>
  <c r="BG174" i="24"/>
  <c r="BS174" i="24"/>
  <c r="BX174" i="24" s="1"/>
  <c r="BC142" i="25"/>
  <c r="BT142" i="25" s="1"/>
  <c r="BB142" i="25"/>
  <c r="BS142" i="25" s="1"/>
  <c r="BA142" i="25"/>
  <c r="BC298" i="25"/>
  <c r="BT298" i="25" s="1"/>
  <c r="BB298" i="25"/>
  <c r="BS298" i="25" s="1"/>
  <c r="BA298" i="25"/>
  <c r="BS23" i="24"/>
  <c r="BV23" i="24" s="1"/>
  <c r="BX23" i="24" s="1"/>
  <c r="BG23" i="24"/>
  <c r="BM23" i="24" s="1"/>
  <c r="BA22" i="25"/>
  <c r="BC22" i="25"/>
  <c r="BT22" i="25" s="1"/>
  <c r="BB22" i="25"/>
  <c r="BS22" i="25" s="1"/>
  <c r="BG74" i="24"/>
  <c r="BM74" i="24" s="1"/>
  <c r="BS74" i="24"/>
  <c r="BV74" i="24" s="1"/>
  <c r="BX74" i="24" s="1"/>
  <c r="BB253" i="25"/>
  <c r="BS253" i="25" s="1"/>
  <c r="BC253" i="25"/>
  <c r="BT253" i="25" s="1"/>
  <c r="BA253" i="25"/>
  <c r="BA141" i="25"/>
  <c r="BC141" i="25"/>
  <c r="BT141" i="25" s="1"/>
  <c r="BB141" i="25"/>
  <c r="BS141" i="25" s="1"/>
  <c r="BG127" i="24"/>
  <c r="BS127" i="24"/>
  <c r="BX127" i="24" s="1"/>
  <c r="BB162" i="25"/>
  <c r="BS162" i="25" s="1"/>
  <c r="BC162" i="25"/>
  <c r="BT162" i="25" s="1"/>
  <c r="BA162" i="25"/>
  <c r="BE229" i="25"/>
  <c r="BR229" i="25"/>
  <c r="BX229" i="25" s="1"/>
  <c r="BG312" i="24"/>
  <c r="BS312" i="24"/>
  <c r="BX312" i="24" s="1"/>
  <c r="BS68" i="24"/>
  <c r="BV68" i="24" s="1"/>
  <c r="BX68" i="24" s="1"/>
  <c r="BG68" i="24"/>
  <c r="BM68" i="24" s="1"/>
  <c r="BM282" i="24"/>
  <c r="BN282" i="24" s="1"/>
  <c r="BS36" i="24"/>
  <c r="BV36" i="24" s="1"/>
  <c r="BX36" i="24" s="1"/>
  <c r="BG36" i="24"/>
  <c r="BM36" i="24" s="1"/>
  <c r="BA285" i="25"/>
  <c r="BB285" i="25"/>
  <c r="BS285" i="25" s="1"/>
  <c r="BC285" i="25"/>
  <c r="BT285" i="25" s="1"/>
  <c r="BG262" i="24"/>
  <c r="BS262" i="24"/>
  <c r="BX262" i="24" s="1"/>
  <c r="BA103" i="25"/>
  <c r="BC103" i="25"/>
  <c r="BT103" i="25" s="1"/>
  <c r="BB103" i="25"/>
  <c r="BS103" i="25" s="1"/>
  <c r="BA164" i="25"/>
  <c r="BC164" i="25"/>
  <c r="BT164" i="25" s="1"/>
  <c r="BB164" i="25"/>
  <c r="BS164" i="25" s="1"/>
  <c r="BG297" i="24"/>
  <c r="BS297" i="24"/>
  <c r="BX297" i="24" s="1"/>
  <c r="BS96" i="24"/>
  <c r="BV96" i="24" s="1"/>
  <c r="BX96" i="24" s="1"/>
  <c r="BG96" i="24"/>
  <c r="BM96" i="24" s="1"/>
  <c r="BS60" i="24"/>
  <c r="BV60" i="24" s="1"/>
  <c r="BX60" i="24" s="1"/>
  <c r="BG60" i="24"/>
  <c r="BM60" i="24" s="1"/>
  <c r="U110" i="29"/>
  <c r="V110" i="29"/>
  <c r="U231" i="29"/>
  <c r="V231" i="29"/>
  <c r="V464" i="29"/>
  <c r="U464" i="29"/>
  <c r="V279" i="29"/>
  <c r="U279" i="29"/>
  <c r="U602" i="29"/>
  <c r="V602" i="29"/>
  <c r="U363" i="29"/>
  <c r="V363" i="29"/>
  <c r="V113" i="29"/>
  <c r="U113" i="29"/>
  <c r="U155" i="29"/>
  <c r="V155" i="29"/>
  <c r="U483" i="29"/>
  <c r="V483" i="29"/>
  <c r="BE258" i="25"/>
  <c r="BR258" i="25"/>
  <c r="BX258" i="25" s="1"/>
  <c r="BA50" i="25"/>
  <c r="BB50" i="25"/>
  <c r="BS50" i="25" s="1"/>
  <c r="BC50" i="25"/>
  <c r="BT50" i="25" s="1"/>
  <c r="BR28" i="25"/>
  <c r="BV28" i="25" s="1"/>
  <c r="BX28" i="25" s="1"/>
  <c r="BE28" i="25"/>
  <c r="BK28" i="25" s="1"/>
  <c r="BA216" i="25"/>
  <c r="BB216" i="25"/>
  <c r="BS216" i="25" s="1"/>
  <c r="BC216" i="25"/>
  <c r="BT216" i="25" s="1"/>
  <c r="BG192" i="24"/>
  <c r="BS192" i="24"/>
  <c r="BX192" i="24" s="1"/>
  <c r="BE32" i="25"/>
  <c r="BK32" i="25" s="1"/>
  <c r="BR32" i="25"/>
  <c r="BV32" i="25" s="1"/>
  <c r="BX32" i="25" s="1"/>
  <c r="BA193" i="25"/>
  <c r="BB193" i="25"/>
  <c r="BS193" i="25" s="1"/>
  <c r="BC193" i="25"/>
  <c r="BT193" i="25" s="1"/>
  <c r="BG218" i="24"/>
  <c r="BS218" i="24"/>
  <c r="BX218" i="24" s="1"/>
  <c r="BM117" i="24"/>
  <c r="BN117" i="24" s="1"/>
  <c r="BA152" i="25"/>
  <c r="BB152" i="25"/>
  <c r="BS152" i="25" s="1"/>
  <c r="BC152" i="25"/>
  <c r="BT152" i="25" s="1"/>
  <c r="BS32" i="24"/>
  <c r="BV32" i="24" s="1"/>
  <c r="BX32" i="24" s="1"/>
  <c r="BG32" i="24"/>
  <c r="BM32" i="24" s="1"/>
  <c r="BB197" i="25"/>
  <c r="BS197" i="25" s="1"/>
  <c r="BC197" i="25"/>
  <c r="BT197" i="25" s="1"/>
  <c r="BA197" i="25"/>
  <c r="BG271" i="24"/>
  <c r="BS271" i="24"/>
  <c r="BX271" i="24" s="1"/>
  <c r="BC288" i="25"/>
  <c r="BT288" i="25" s="1"/>
  <c r="BB288" i="25"/>
  <c r="BS288" i="25" s="1"/>
  <c r="BA288" i="25"/>
  <c r="BS62" i="24"/>
  <c r="BV62" i="24" s="1"/>
  <c r="BX62" i="24" s="1"/>
  <c r="BG62" i="24"/>
  <c r="BM62" i="24" s="1"/>
  <c r="BC308" i="25"/>
  <c r="BT308" i="25" s="1"/>
  <c r="BB308" i="25"/>
  <c r="BS308" i="25" s="1"/>
  <c r="BA308" i="25"/>
  <c r="BS103" i="24"/>
  <c r="BV103" i="24" s="1"/>
  <c r="BX103" i="24" s="1"/>
  <c r="BG103" i="24"/>
  <c r="BM103" i="24" s="1"/>
  <c r="BS73" i="24"/>
  <c r="BV73" i="24" s="1"/>
  <c r="BX73" i="24" s="1"/>
  <c r="BG73" i="24"/>
  <c r="BM73" i="24" s="1"/>
  <c r="BY143" i="25"/>
  <c r="CA143" i="25" s="1"/>
  <c r="CB143" i="25" s="1"/>
  <c r="BL143" i="25"/>
  <c r="BK143" i="25"/>
  <c r="BG285" i="24"/>
  <c r="BS285" i="24"/>
  <c r="BX285" i="24" s="1"/>
  <c r="BE177" i="25"/>
  <c r="BR177" i="25"/>
  <c r="BX177" i="25" s="1"/>
  <c r="BG171" i="24"/>
  <c r="BS171" i="24"/>
  <c r="BX171" i="24" s="1"/>
  <c r="BY120" i="24"/>
  <c r="CA120" i="24" s="1"/>
  <c r="CB120" i="24" s="1"/>
  <c r="BM120" i="24"/>
  <c r="BN120" i="24" s="1"/>
  <c r="BB220" i="25"/>
  <c r="BS220" i="25" s="1"/>
  <c r="BC220" i="25"/>
  <c r="BT220" i="25" s="1"/>
  <c r="BA220" i="25"/>
  <c r="BA163" i="25"/>
  <c r="BC163" i="25"/>
  <c r="BT163" i="25" s="1"/>
  <c r="BB163" i="25"/>
  <c r="BS163" i="25" s="1"/>
  <c r="B122" i="2"/>
  <c r="B125" i="2"/>
  <c r="L36" i="1" s="1"/>
  <c r="BG176" i="24"/>
  <c r="BS176" i="24"/>
  <c r="BX176" i="24" s="1"/>
  <c r="BA27" i="25"/>
  <c r="BB27" i="25"/>
  <c r="BS27" i="25" s="1"/>
  <c r="BC27" i="25"/>
  <c r="BT27" i="25" s="1"/>
  <c r="BG153" i="24"/>
  <c r="BS153" i="24"/>
  <c r="BX153" i="24" s="1"/>
  <c r="BA208" i="25"/>
  <c r="BC208" i="25"/>
  <c r="BT208" i="25" s="1"/>
  <c r="BB208" i="25"/>
  <c r="BS208" i="25" s="1"/>
  <c r="BY240" i="24"/>
  <c r="CA240" i="24" s="1"/>
  <c r="CB240" i="24" s="1"/>
  <c r="BM240" i="24"/>
  <c r="BN240" i="24" s="1"/>
  <c r="BG175" i="24"/>
  <c r="BS175" i="24"/>
  <c r="BX175" i="24" s="1"/>
  <c r="BE267" i="25"/>
  <c r="BR267" i="25"/>
  <c r="BX267" i="25" s="1"/>
  <c r="BA228" i="25"/>
  <c r="BB228" i="25"/>
  <c r="BS228" i="25" s="1"/>
  <c r="BC228" i="25"/>
  <c r="BT228" i="25" s="1"/>
  <c r="BA126" i="25"/>
  <c r="BB126" i="25"/>
  <c r="BS126" i="25" s="1"/>
  <c r="BC126" i="25"/>
  <c r="BT126" i="25" s="1"/>
  <c r="BG86" i="24"/>
  <c r="BM86" i="24" s="1"/>
  <c r="BS86" i="24"/>
  <c r="BV86" i="24" s="1"/>
  <c r="BX86" i="24" s="1"/>
  <c r="BN101" i="24"/>
  <c r="BY101" i="24"/>
  <c r="CA101" i="24" s="1"/>
  <c r="BA19" i="25"/>
  <c r="BC19" i="25"/>
  <c r="BT19" i="25" s="1"/>
  <c r="BB19" i="25"/>
  <c r="BS19" i="25" s="1"/>
  <c r="BS52" i="24"/>
  <c r="BV52" i="24" s="1"/>
  <c r="BX52" i="24" s="1"/>
  <c r="BG52" i="24"/>
  <c r="BM52" i="24" s="1"/>
  <c r="BS79" i="24"/>
  <c r="BV79" i="24" s="1"/>
  <c r="BX79" i="24" s="1"/>
  <c r="BG79" i="24"/>
  <c r="BM79" i="24" s="1"/>
  <c r="BG197" i="24"/>
  <c r="BS197" i="24"/>
  <c r="BX197" i="24" s="1"/>
  <c r="BA268" i="25"/>
  <c r="BC268" i="25"/>
  <c r="BT268" i="25" s="1"/>
  <c r="BB268" i="25"/>
  <c r="BS268" i="25" s="1"/>
  <c r="BS65" i="24"/>
  <c r="BV65" i="24" s="1"/>
  <c r="BX65" i="24" s="1"/>
  <c r="BG65" i="24"/>
  <c r="BM65" i="24" s="1"/>
  <c r="BE190" i="25"/>
  <c r="BR190" i="25"/>
  <c r="BX190" i="25" s="1"/>
  <c r="BG17" i="24"/>
  <c r="BM17" i="24" s="1"/>
  <c r="BS17" i="24"/>
  <c r="BV17" i="24" s="1"/>
  <c r="BX17" i="24" s="1"/>
  <c r="BG114" i="24"/>
  <c r="BS114" i="24"/>
  <c r="BX114" i="24" s="1"/>
  <c r="BG30" i="24"/>
  <c r="BM30" i="24" s="1"/>
  <c r="BS30" i="24"/>
  <c r="BV30" i="24" s="1"/>
  <c r="BX30" i="24" s="1"/>
  <c r="BA35" i="25"/>
  <c r="BB35" i="25"/>
  <c r="BS35" i="25" s="1"/>
  <c r="BC35" i="25"/>
  <c r="BT35" i="25" s="1"/>
  <c r="BG201" i="24"/>
  <c r="BS201" i="24"/>
  <c r="BX201" i="24" s="1"/>
  <c r="BS9" i="24"/>
  <c r="BV9" i="24" s="1"/>
  <c r="BX9" i="24" s="1"/>
  <c r="BG9" i="24"/>
  <c r="BM9" i="24" s="1"/>
  <c r="BR192" i="25"/>
  <c r="BX192" i="25" s="1"/>
  <c r="BE192" i="25"/>
  <c r="BE238" i="25"/>
  <c r="BR238" i="25"/>
  <c r="BX238" i="25" s="1"/>
  <c r="BA24" i="25"/>
  <c r="BB24" i="25"/>
  <c r="BS24" i="25" s="1"/>
  <c r="BC24" i="25"/>
  <c r="BT24" i="25" s="1"/>
  <c r="BE291" i="25"/>
  <c r="BR291" i="25"/>
  <c r="BX291" i="25" s="1"/>
  <c r="BN6" i="24"/>
  <c r="BS49" i="24"/>
  <c r="BV49" i="24" s="1"/>
  <c r="BX49" i="24" s="1"/>
  <c r="BG49" i="24"/>
  <c r="BM49" i="24" s="1"/>
  <c r="BC79" i="25"/>
  <c r="BT79" i="25" s="1"/>
  <c r="BB79" i="25"/>
  <c r="BS79" i="25" s="1"/>
  <c r="BA79" i="25"/>
  <c r="BG223" i="24"/>
  <c r="BS223" i="24"/>
  <c r="BX223" i="24" s="1"/>
  <c r="BM279" i="24"/>
  <c r="BN279" i="24" s="1"/>
  <c r="BB169" i="25"/>
  <c r="BS169" i="25" s="1"/>
  <c r="BC169" i="25"/>
  <c r="BT169" i="25" s="1"/>
  <c r="BA169" i="25"/>
  <c r="BC310" i="25"/>
  <c r="BT310" i="25" s="1"/>
  <c r="BA310" i="25"/>
  <c r="BB310" i="25"/>
  <c r="BS310" i="25" s="1"/>
  <c r="BS39" i="24"/>
  <c r="BV39" i="24" s="1"/>
  <c r="BX39" i="24" s="1"/>
  <c r="BG39" i="24"/>
  <c r="BM39" i="24" s="1"/>
  <c r="BG314" i="24"/>
  <c r="BS314" i="24"/>
  <c r="BX314" i="24" s="1"/>
  <c r="BA135" i="25"/>
  <c r="BB135" i="25"/>
  <c r="BS135" i="25" s="1"/>
  <c r="BC135" i="25"/>
  <c r="BT135" i="25" s="1"/>
  <c r="BG307" i="24"/>
  <c r="BS307" i="24"/>
  <c r="BX307" i="24" s="1"/>
  <c r="BA301" i="25"/>
  <c r="BB301" i="25"/>
  <c r="BS301" i="25" s="1"/>
  <c r="BC301" i="25"/>
  <c r="BT301" i="25" s="1"/>
  <c r="BY152" i="24"/>
  <c r="CA152" i="24" s="1"/>
  <c r="CB152" i="24" s="1"/>
  <c r="BM152" i="24"/>
  <c r="BN152" i="24" s="1"/>
  <c r="BG124" i="24"/>
  <c r="BS124" i="24"/>
  <c r="BX124" i="24" s="1"/>
  <c r="BG163" i="24"/>
  <c r="BS163" i="24"/>
  <c r="BX163" i="24" s="1"/>
  <c r="BR261" i="25"/>
  <c r="BX261" i="25" s="1"/>
  <c r="BE261" i="25"/>
  <c r="BA304" i="25"/>
  <c r="BC304" i="25"/>
  <c r="BT304" i="25" s="1"/>
  <c r="BB304" i="25"/>
  <c r="BS304" i="25" s="1"/>
  <c r="BB195" i="25"/>
  <c r="BS195" i="25" s="1"/>
  <c r="BC195" i="25"/>
  <c r="BT195" i="25" s="1"/>
  <c r="BA195" i="25"/>
  <c r="V393" i="29"/>
  <c r="U393" i="29"/>
  <c r="U445" i="29"/>
  <c r="V445" i="29"/>
  <c r="V106" i="29"/>
  <c r="V261" i="29"/>
  <c r="U261" i="29"/>
  <c r="U328" i="29"/>
  <c r="V328" i="29"/>
  <c r="V78" i="29"/>
  <c r="U78" i="29"/>
  <c r="U59" i="29"/>
  <c r="V59" i="29"/>
  <c r="V174" i="29"/>
  <c r="U174" i="29"/>
  <c r="V163" i="29"/>
  <c r="U163" i="29"/>
  <c r="V206" i="29"/>
  <c r="U206" i="29"/>
  <c r="U337" i="29"/>
  <c r="V337" i="29"/>
  <c r="V253" i="29"/>
  <c r="U253" i="29"/>
  <c r="BG184" i="24"/>
  <c r="BS184" i="24"/>
  <c r="BX184" i="24" s="1"/>
  <c r="BG157" i="24"/>
  <c r="BS157" i="24"/>
  <c r="BX157" i="24" s="1"/>
  <c r="BY260" i="24"/>
  <c r="CA260" i="24" s="1"/>
  <c r="CB260" i="24" s="1"/>
  <c r="BM260" i="24"/>
  <c r="BN260" i="24" s="1"/>
  <c r="BN58" i="24"/>
  <c r="BC272" i="25"/>
  <c r="BT272" i="25" s="1"/>
  <c r="BB272" i="25"/>
  <c r="BS272" i="25" s="1"/>
  <c r="BA272" i="25"/>
  <c r="BY22" i="24"/>
  <c r="CA22" i="24" s="1"/>
  <c r="CB22" i="24" s="1"/>
  <c r="BN22" i="24"/>
  <c r="BG123" i="24"/>
  <c r="BS123" i="24"/>
  <c r="BX123" i="24" s="1"/>
  <c r="BG198" i="24"/>
  <c r="BS198" i="24"/>
  <c r="BX198" i="24" s="1"/>
  <c r="BG258" i="24"/>
  <c r="BS258" i="24"/>
  <c r="BX258" i="24" s="1"/>
  <c r="BA303" i="25"/>
  <c r="BC303" i="25"/>
  <c r="BT303" i="25" s="1"/>
  <c r="BB303" i="25"/>
  <c r="BS303" i="25" s="1"/>
  <c r="BB205" i="25"/>
  <c r="BS205" i="25" s="1"/>
  <c r="BC205" i="25"/>
  <c r="BT205" i="25" s="1"/>
  <c r="BA205" i="25"/>
  <c r="BE31" i="25"/>
  <c r="BK31" i="25" s="1"/>
  <c r="BR31" i="25"/>
  <c r="BV31" i="25" s="1"/>
  <c r="BX31" i="25" s="1"/>
  <c r="BG71" i="24"/>
  <c r="BM71" i="24" s="1"/>
  <c r="BS71" i="24"/>
  <c r="BV71" i="24" s="1"/>
  <c r="BX71" i="24" s="1"/>
  <c r="BB295" i="25"/>
  <c r="BS295" i="25" s="1"/>
  <c r="BC295" i="25"/>
  <c r="BT295" i="25" s="1"/>
  <c r="BA295" i="25"/>
  <c r="BG195" i="24"/>
  <c r="BS195" i="24"/>
  <c r="BX195" i="24" s="1"/>
  <c r="BG129" i="24"/>
  <c r="BS129" i="24"/>
  <c r="BX129" i="24" s="1"/>
  <c r="BA38" i="25"/>
  <c r="BC38" i="25"/>
  <c r="BT38" i="25" s="1"/>
  <c r="BB38" i="25"/>
  <c r="BS38" i="25" s="1"/>
  <c r="BA20" i="25"/>
  <c r="BC20" i="25"/>
  <c r="BT20" i="25" s="1"/>
  <c r="BB20" i="25"/>
  <c r="BS20" i="25" s="1"/>
  <c r="BG104" i="24"/>
  <c r="BM104" i="24" s="1"/>
  <c r="BS104" i="24"/>
  <c r="BV104" i="24" s="1"/>
  <c r="BX104" i="24" s="1"/>
  <c r="BN20" i="24"/>
  <c r="BA307" i="25"/>
  <c r="BB307" i="25"/>
  <c r="BS307" i="25" s="1"/>
  <c r="BC307" i="25"/>
  <c r="BT307" i="25" s="1"/>
  <c r="BY142" i="24"/>
  <c r="CA142" i="24" s="1"/>
  <c r="CB142" i="24" s="1"/>
  <c r="BM142" i="24"/>
  <c r="BN142" i="24" s="1"/>
  <c r="BB315" i="25"/>
  <c r="BS315" i="25" s="1"/>
  <c r="BC315" i="25"/>
  <c r="BT315" i="25" s="1"/>
  <c r="BA315" i="25"/>
  <c r="BG144" i="24"/>
  <c r="BS144" i="24"/>
  <c r="BX144" i="24" s="1"/>
  <c r="BB133" i="25"/>
  <c r="BS133" i="25" s="1"/>
  <c r="BA133" i="25"/>
  <c r="BC133" i="25"/>
  <c r="BT133" i="25" s="1"/>
  <c r="BC134" i="25"/>
  <c r="BT134" i="25" s="1"/>
  <c r="BB134" i="25"/>
  <c r="BS134" i="25" s="1"/>
  <c r="BA134" i="25"/>
  <c r="BC140" i="25"/>
  <c r="BT140" i="25" s="1"/>
  <c r="BB140" i="25"/>
  <c r="BS140" i="25" s="1"/>
  <c r="BA140" i="25"/>
  <c r="BG304" i="24"/>
  <c r="BS304" i="24"/>
  <c r="BX304" i="24" s="1"/>
  <c r="BA70" i="25"/>
  <c r="BB70" i="25"/>
  <c r="BS70" i="25" s="1"/>
  <c r="BC70" i="25"/>
  <c r="BT70" i="25" s="1"/>
  <c r="BG206" i="24"/>
  <c r="BS206" i="24"/>
  <c r="BX206" i="24" s="1"/>
  <c r="BB61" i="25"/>
  <c r="BS61" i="25" s="1"/>
  <c r="BA61" i="25"/>
  <c r="BC61" i="25"/>
  <c r="BT61" i="25" s="1"/>
  <c r="BB145" i="25"/>
  <c r="BS145" i="25" s="1"/>
  <c r="BC145" i="25"/>
  <c r="BT145" i="25" s="1"/>
  <c r="BA145" i="25"/>
  <c r="BG286" i="24"/>
  <c r="BS286" i="24"/>
  <c r="BX286" i="24" s="1"/>
  <c r="BE13" i="25"/>
  <c r="BK13" i="25" s="1"/>
  <c r="BR13" i="25"/>
  <c r="BV13" i="25" s="1"/>
  <c r="BX13" i="25" s="1"/>
  <c r="BG46" i="24"/>
  <c r="BM46" i="24" s="1"/>
  <c r="BS46" i="24"/>
  <c r="BV46" i="24" s="1"/>
  <c r="BX46" i="24" s="1"/>
  <c r="BC122" i="25"/>
  <c r="BT122" i="25" s="1"/>
  <c r="BA122" i="25"/>
  <c r="BB122" i="25"/>
  <c r="BS122" i="25" s="1"/>
  <c r="BA180" i="25"/>
  <c r="BC180" i="25"/>
  <c r="BT180" i="25" s="1"/>
  <c r="BB180" i="25"/>
  <c r="BS180" i="25" s="1"/>
  <c r="BB76" i="25"/>
  <c r="BS76" i="25" s="1"/>
  <c r="BC76" i="25"/>
  <c r="BT76" i="25" s="1"/>
  <c r="BA76" i="25"/>
  <c r="BG76" i="24"/>
  <c r="BM76" i="24" s="1"/>
  <c r="BS76" i="24"/>
  <c r="BV76" i="24" s="1"/>
  <c r="BX76" i="24" s="1"/>
  <c r="BS203" i="24"/>
  <c r="BX203" i="24" s="1"/>
  <c r="BG203" i="24"/>
  <c r="BG284" i="24"/>
  <c r="BS284" i="24"/>
  <c r="BX284" i="24" s="1"/>
  <c r="BB230" i="25"/>
  <c r="BS230" i="25" s="1"/>
  <c r="BA230" i="25"/>
  <c r="BC230" i="25"/>
  <c r="BT230" i="25" s="1"/>
  <c r="BG194" i="24"/>
  <c r="BS194" i="24"/>
  <c r="BX194" i="24" s="1"/>
  <c r="BB45" i="25"/>
  <c r="BS45" i="25" s="1"/>
  <c r="BC45" i="25"/>
  <c r="BT45" i="25" s="1"/>
  <c r="BA45" i="25"/>
  <c r="BR14" i="25"/>
  <c r="BV14" i="25" s="1"/>
  <c r="BX14" i="25" s="1"/>
  <c r="BE14" i="25"/>
  <c r="BK14" i="25" s="1"/>
  <c r="BE155" i="25"/>
  <c r="BR155" i="25"/>
  <c r="BX155" i="25" s="1"/>
  <c r="BA47" i="25"/>
  <c r="BC47" i="25"/>
  <c r="BT47" i="25" s="1"/>
  <c r="BB47" i="25"/>
  <c r="BS47" i="25" s="1"/>
  <c r="BC203" i="25"/>
  <c r="BT203" i="25" s="1"/>
  <c r="BB203" i="25"/>
  <c r="BS203" i="25" s="1"/>
  <c r="BA203" i="25"/>
  <c r="BY264" i="24"/>
  <c r="CA264" i="24" s="1"/>
  <c r="CB264" i="24" s="1"/>
  <c r="BM264" i="24"/>
  <c r="BN264" i="24" s="1"/>
  <c r="BS82" i="24"/>
  <c r="BV82" i="24" s="1"/>
  <c r="BX82" i="24" s="1"/>
  <c r="BG82" i="24"/>
  <c r="BM82" i="24" s="1"/>
  <c r="BS69" i="24"/>
  <c r="BV69" i="24" s="1"/>
  <c r="BX69" i="24" s="1"/>
  <c r="BG69" i="24"/>
  <c r="BM69" i="24" s="1"/>
  <c r="BB53" i="25"/>
  <c r="BS53" i="25" s="1"/>
  <c r="BC53" i="25"/>
  <c r="BT53" i="25" s="1"/>
  <c r="BA53" i="25"/>
  <c r="BG241" i="24"/>
  <c r="BS241" i="24"/>
  <c r="BX241" i="24" s="1"/>
  <c r="BB137" i="25"/>
  <c r="BS137" i="25" s="1"/>
  <c r="BC137" i="25"/>
  <c r="BT137" i="25" s="1"/>
  <c r="BA137" i="25"/>
  <c r="BE170" i="25"/>
  <c r="BR170" i="25"/>
  <c r="BX170" i="25" s="1"/>
  <c r="BA209" i="25"/>
  <c r="BB209" i="25"/>
  <c r="BS209" i="25" s="1"/>
  <c r="BC209" i="25"/>
  <c r="BT209" i="25" s="1"/>
  <c r="BG302" i="24"/>
  <c r="BS302" i="24"/>
  <c r="BX302" i="24" s="1"/>
  <c r="BE246" i="25"/>
  <c r="BR246" i="25"/>
  <c r="BX246" i="25" s="1"/>
  <c r="BS84" i="24"/>
  <c r="BV84" i="24" s="1"/>
  <c r="BX84" i="24" s="1"/>
  <c r="BG84" i="24"/>
  <c r="BM84" i="24" s="1"/>
  <c r="BE305" i="25"/>
  <c r="BR305" i="25"/>
  <c r="BX305" i="25" s="1"/>
  <c r="BN54" i="24"/>
  <c r="BE306" i="25"/>
  <c r="BR306" i="25"/>
  <c r="BX306" i="25" s="1"/>
  <c r="BE255" i="25"/>
  <c r="BR255" i="25"/>
  <c r="BX255" i="25" s="1"/>
  <c r="BA254" i="25"/>
  <c r="BB254" i="25"/>
  <c r="BS254" i="25" s="1"/>
  <c r="BC254" i="25"/>
  <c r="BT254" i="25" s="1"/>
  <c r="BB210" i="25"/>
  <c r="BS210" i="25" s="1"/>
  <c r="BC210" i="25"/>
  <c r="BT210" i="25" s="1"/>
  <c r="BA210" i="25"/>
  <c r="BE273" i="25"/>
  <c r="BR273" i="25"/>
  <c r="BX273" i="25" s="1"/>
  <c r="BY41" i="24"/>
  <c r="CA41" i="24" s="1"/>
  <c r="CB41" i="24" s="1"/>
  <c r="BN41" i="24"/>
  <c r="BR62" i="25"/>
  <c r="BV62" i="25" s="1"/>
  <c r="BX62" i="25" s="1"/>
  <c r="BE62" i="25"/>
  <c r="BK62" i="25" s="1"/>
  <c r="BE59" i="25"/>
  <c r="BK59" i="25" s="1"/>
  <c r="BR59" i="25"/>
  <c r="BV59" i="25" s="1"/>
  <c r="BX59" i="25" s="1"/>
  <c r="BS95" i="24"/>
  <c r="BV95" i="24" s="1"/>
  <c r="BX95" i="24" s="1"/>
  <c r="BG95" i="24"/>
  <c r="BM95" i="24" s="1"/>
  <c r="BG244" i="24"/>
  <c r="BS244" i="24"/>
  <c r="BX244" i="24" s="1"/>
  <c r="BG272" i="24"/>
  <c r="BS272" i="24"/>
  <c r="BX272" i="24" s="1"/>
  <c r="BG227" i="24"/>
  <c r="BS227" i="24"/>
  <c r="BX227" i="24" s="1"/>
  <c r="BG59" i="24"/>
  <c r="BM59" i="24" s="1"/>
  <c r="BS59" i="24"/>
  <c r="BV59" i="24" s="1"/>
  <c r="BX59" i="24" s="1"/>
  <c r="BE179" i="25"/>
  <c r="BR179" i="25"/>
  <c r="BX179" i="25" s="1"/>
  <c r="BA16" i="25"/>
  <c r="BB16" i="25"/>
  <c r="BS16" i="25" s="1"/>
  <c r="BC16" i="25"/>
  <c r="BT16" i="25" s="1"/>
  <c r="U536" i="29"/>
  <c r="V536" i="29"/>
  <c r="U46" i="29"/>
  <c r="V46" i="29"/>
  <c r="U212" i="29"/>
  <c r="V212" i="29"/>
  <c r="V148" i="29"/>
  <c r="U148" i="29"/>
  <c r="V380" i="29"/>
  <c r="U380" i="29"/>
  <c r="U63" i="29"/>
  <c r="V63" i="29"/>
  <c r="U591" i="29"/>
  <c r="V591" i="29"/>
  <c r="V442" i="29"/>
  <c r="U442" i="29"/>
  <c r="V576" i="29"/>
  <c r="U576" i="29"/>
  <c r="U521" i="29"/>
  <c r="V521" i="29"/>
  <c r="U544" i="29"/>
  <c r="V544" i="29"/>
  <c r="BY236" i="24"/>
  <c r="CA236" i="24" s="1"/>
  <c r="CB236" i="24" s="1"/>
  <c r="BM236" i="24"/>
  <c r="BN236" i="24" s="1"/>
  <c r="BG53" i="24"/>
  <c r="BM53" i="24" s="1"/>
  <c r="BS53" i="24"/>
  <c r="BV53" i="24" s="1"/>
  <c r="BX53" i="24" s="1"/>
  <c r="BC111" i="25"/>
  <c r="BT111" i="25" s="1"/>
  <c r="BB111" i="25"/>
  <c r="BS111" i="25" s="1"/>
  <c r="BA111" i="25"/>
  <c r="BG85" i="24"/>
  <c r="BM85" i="24" s="1"/>
  <c r="BS85" i="24"/>
  <c r="BV85" i="24" s="1"/>
  <c r="BX85" i="24" s="1"/>
  <c r="BC181" i="25"/>
  <c r="BT181" i="25" s="1"/>
  <c r="BB181" i="25"/>
  <c r="BS181" i="25" s="1"/>
  <c r="BA181" i="25"/>
  <c r="BM148" i="24"/>
  <c r="BN148" i="24" s="1"/>
  <c r="BG276" i="24"/>
  <c r="BS276" i="24"/>
  <c r="BX276" i="24" s="1"/>
  <c r="BB287" i="25"/>
  <c r="BS287" i="25" s="1"/>
  <c r="BC287" i="25"/>
  <c r="BT287" i="25" s="1"/>
  <c r="BA287" i="25"/>
  <c r="BA57" i="25"/>
  <c r="BB57" i="25"/>
  <c r="BS57" i="25" s="1"/>
  <c r="BC57" i="25"/>
  <c r="BT57" i="25" s="1"/>
  <c r="BB151" i="25"/>
  <c r="BS151" i="25" s="1"/>
  <c r="BC151" i="25"/>
  <c r="BT151" i="25" s="1"/>
  <c r="BA151" i="25"/>
  <c r="BG182" i="24"/>
  <c r="BS182" i="24"/>
  <c r="BX182" i="24" s="1"/>
  <c r="BG138" i="24"/>
  <c r="BS138" i="24"/>
  <c r="BX138" i="24" s="1"/>
  <c r="BY233" i="24"/>
  <c r="CA233" i="24" s="1"/>
  <c r="CB233" i="24" s="1"/>
  <c r="BM233" i="24"/>
  <c r="BN233" i="24" s="1"/>
  <c r="BY257" i="24"/>
  <c r="CA257" i="24" s="1"/>
  <c r="BM257" i="24"/>
  <c r="BN257" i="24" s="1"/>
  <c r="BC252" i="25"/>
  <c r="BT252" i="25" s="1"/>
  <c r="BB252" i="25"/>
  <c r="BS252" i="25" s="1"/>
  <c r="BA252" i="25"/>
  <c r="BB271" i="25"/>
  <c r="BS271" i="25" s="1"/>
  <c r="BC271" i="25"/>
  <c r="BT271" i="25" s="1"/>
  <c r="BA271" i="25"/>
  <c r="BB91" i="25"/>
  <c r="BS91" i="25" s="1"/>
  <c r="BC91" i="25"/>
  <c r="BT91" i="25" s="1"/>
  <c r="BA91" i="25"/>
  <c r="BG185" i="24"/>
  <c r="BS185" i="24"/>
  <c r="BX185" i="24" s="1"/>
  <c r="BS8" i="24"/>
  <c r="BV8" i="24" s="1"/>
  <c r="BX8" i="24" s="1"/>
  <c r="BG8" i="24"/>
  <c r="BM8" i="24" s="1"/>
  <c r="BE173" i="25"/>
  <c r="BR173" i="25"/>
  <c r="BX173" i="25" s="1"/>
  <c r="BA183" i="25"/>
  <c r="BB183" i="25"/>
  <c r="BS183" i="25" s="1"/>
  <c r="BC183" i="25"/>
  <c r="BT183" i="25" s="1"/>
  <c r="BE248" i="25"/>
  <c r="BR248" i="25"/>
  <c r="BX248" i="25" s="1"/>
  <c r="BA157" i="25"/>
  <c r="BB157" i="25"/>
  <c r="BS157" i="25" s="1"/>
  <c r="BC157" i="25"/>
  <c r="BT157" i="25" s="1"/>
  <c r="BM265" i="24"/>
  <c r="BN265" i="24" s="1"/>
  <c r="BG105" i="24"/>
  <c r="BM105" i="24" s="1"/>
  <c r="BS105" i="24"/>
  <c r="BV105" i="24" s="1"/>
  <c r="BX105" i="24" s="1"/>
  <c r="BA289" i="25"/>
  <c r="BB289" i="25"/>
  <c r="BS289" i="25" s="1"/>
  <c r="BC289" i="25"/>
  <c r="BT289" i="25" s="1"/>
  <c r="BA118" i="25"/>
  <c r="BB118" i="25"/>
  <c r="BS118" i="25" s="1"/>
  <c r="BC118" i="25"/>
  <c r="BT118" i="25" s="1"/>
  <c r="BS99" i="24"/>
  <c r="BV99" i="24" s="1"/>
  <c r="BX99" i="24" s="1"/>
  <c r="BG99" i="24"/>
  <c r="BM99" i="24" s="1"/>
  <c r="BG269" i="24"/>
  <c r="BS269" i="24"/>
  <c r="BX269" i="24" s="1"/>
  <c r="BE265" i="25"/>
  <c r="BR265" i="25"/>
  <c r="BX265" i="25" s="1"/>
  <c r="BG274" i="24"/>
  <c r="BS274" i="24"/>
  <c r="BX274" i="24" s="1"/>
  <c r="BE11" i="25"/>
  <c r="BK11" i="25" s="1"/>
  <c r="BR11" i="25"/>
  <c r="BV11" i="25" s="1"/>
  <c r="BX11" i="25" s="1"/>
  <c r="BG179" i="24"/>
  <c r="BS179" i="24"/>
  <c r="BX179" i="24" s="1"/>
  <c r="BA105" i="25"/>
  <c r="BB105" i="25"/>
  <c r="BS105" i="25" s="1"/>
  <c r="BC105" i="25"/>
  <c r="BT105" i="25" s="1"/>
  <c r="BE29" i="25"/>
  <c r="BK29" i="25" s="1"/>
  <c r="BR29" i="25"/>
  <c r="BV29" i="25" s="1"/>
  <c r="BX29" i="25" s="1"/>
  <c r="BY295" i="24"/>
  <c r="CA295" i="24" s="1"/>
  <c r="CB295" i="24" s="1"/>
  <c r="BM295" i="24"/>
  <c r="BN295" i="24" s="1"/>
  <c r="BB144" i="25"/>
  <c r="BS144" i="25" s="1"/>
  <c r="BC144" i="25"/>
  <c r="BT144" i="25" s="1"/>
  <c r="BA144" i="25"/>
  <c r="BG209" i="24"/>
  <c r="BS209" i="24"/>
  <c r="BX209" i="24" s="1"/>
  <c r="BA86" i="25"/>
  <c r="BB86" i="25"/>
  <c r="BS86" i="25" s="1"/>
  <c r="BC86" i="25"/>
  <c r="BT86" i="25" s="1"/>
  <c r="BG202" i="24"/>
  <c r="BS202" i="24"/>
  <c r="BX202" i="24" s="1"/>
  <c r="B112" i="2"/>
  <c r="B115" i="2"/>
  <c r="E36" i="1" s="1"/>
  <c r="BG266" i="24"/>
  <c r="BS266" i="24"/>
  <c r="BX266" i="24" s="1"/>
  <c r="BG288" i="24"/>
  <c r="BS288" i="24"/>
  <c r="BX288" i="24" s="1"/>
  <c r="BA98" i="25"/>
  <c r="BB98" i="25"/>
  <c r="BS98" i="25" s="1"/>
  <c r="BC98" i="25"/>
  <c r="BT98" i="25" s="1"/>
  <c r="BR71" i="25"/>
  <c r="BV71" i="25" s="1"/>
  <c r="BX71" i="25" s="1"/>
  <c r="BE71" i="25"/>
  <c r="BK71" i="25" s="1"/>
  <c r="BG270" i="24"/>
  <c r="BS270" i="24"/>
  <c r="BX270" i="24" s="1"/>
  <c r="BA207" i="25"/>
  <c r="BC207" i="25"/>
  <c r="BT207" i="25" s="1"/>
  <c r="BB207" i="25"/>
  <c r="BS207" i="25" s="1"/>
  <c r="BA56" i="25"/>
  <c r="BB56" i="25"/>
  <c r="BS56" i="25" s="1"/>
  <c r="BC56" i="25"/>
  <c r="BT56" i="25" s="1"/>
  <c r="BG97" i="24"/>
  <c r="BM97" i="24" s="1"/>
  <c r="BS97" i="24"/>
  <c r="BV97" i="24" s="1"/>
  <c r="BX97" i="24" s="1"/>
  <c r="BB125" i="25"/>
  <c r="BS125" i="25" s="1"/>
  <c r="BC125" i="25"/>
  <c r="BT125" i="25" s="1"/>
  <c r="BA125" i="25"/>
  <c r="BG205" i="24"/>
  <c r="BS205" i="24"/>
  <c r="BX205" i="24" s="1"/>
  <c r="BS63" i="24"/>
  <c r="BV63" i="24" s="1"/>
  <c r="BX63" i="24" s="1"/>
  <c r="BG63" i="24"/>
  <c r="BM63" i="24" s="1"/>
  <c r="BE30" i="25"/>
  <c r="BK30" i="25" s="1"/>
  <c r="BR30" i="25"/>
  <c r="BV30" i="25" s="1"/>
  <c r="BX30" i="25" s="1"/>
  <c r="BG177" i="24"/>
  <c r="BS177" i="24"/>
  <c r="BX177" i="24" s="1"/>
  <c r="BS136" i="24"/>
  <c r="BX136" i="24" s="1"/>
  <c r="BG136" i="24"/>
  <c r="BC123" i="25"/>
  <c r="BT123" i="25" s="1"/>
  <c r="BB123" i="25"/>
  <c r="BS123" i="25" s="1"/>
  <c r="BA123" i="25"/>
  <c r="BA83" i="25"/>
  <c r="BB83" i="25"/>
  <c r="BS83" i="25" s="1"/>
  <c r="BC83" i="25"/>
  <c r="BT83" i="25" s="1"/>
  <c r="BB132" i="25"/>
  <c r="BS132" i="25" s="1"/>
  <c r="BA132" i="25"/>
  <c r="BC132" i="25"/>
  <c r="BT132" i="25" s="1"/>
  <c r="BG199" i="24"/>
  <c r="BS199" i="24"/>
  <c r="BX199" i="24" s="1"/>
  <c r="BG155" i="24"/>
  <c r="BS155" i="24"/>
  <c r="BX155" i="24" s="1"/>
  <c r="BG149" i="24"/>
  <c r="BS149" i="24"/>
  <c r="BX149" i="24" s="1"/>
  <c r="BB90" i="25"/>
  <c r="BS90" i="25" s="1"/>
  <c r="BC90" i="25"/>
  <c r="BT90" i="25" s="1"/>
  <c r="BA90" i="25"/>
  <c r="BC222" i="25"/>
  <c r="BT222" i="25" s="1"/>
  <c r="BB222" i="25"/>
  <c r="BS222" i="25" s="1"/>
  <c r="BA222" i="25"/>
  <c r="BG261" i="24"/>
  <c r="BS261" i="24"/>
  <c r="BX261" i="24" s="1"/>
  <c r="BA40" i="25"/>
  <c r="BB40" i="25"/>
  <c r="BS40" i="25" s="1"/>
  <c r="BC40" i="25"/>
  <c r="BT40" i="25" s="1"/>
  <c r="BE89" i="25"/>
  <c r="BK89" i="25" s="1"/>
  <c r="BR89" i="25"/>
  <c r="BV89" i="25" s="1"/>
  <c r="BX89" i="25" s="1"/>
  <c r="BG67" i="24"/>
  <c r="BM67" i="24" s="1"/>
  <c r="BS67" i="24"/>
  <c r="BV67" i="24" s="1"/>
  <c r="BX67" i="24" s="1"/>
  <c r="BB10" i="25"/>
  <c r="BS10" i="25" s="1"/>
  <c r="BA10" i="25"/>
  <c r="BC10" i="25"/>
  <c r="BT10" i="25" s="1"/>
  <c r="BB120" i="25"/>
  <c r="BS120" i="25" s="1"/>
  <c r="BC120" i="25"/>
  <c r="BT120" i="25" s="1"/>
  <c r="BA120" i="25"/>
  <c r="BG251" i="24"/>
  <c r="BS251" i="24"/>
  <c r="BX251" i="24" s="1"/>
  <c r="BM238" i="24"/>
  <c r="BN238" i="24" s="1"/>
  <c r="BE262" i="25"/>
  <c r="BR262" i="25"/>
  <c r="BX262" i="25" s="1"/>
  <c r="BA156" i="25"/>
  <c r="BB156" i="25"/>
  <c r="BS156" i="25" s="1"/>
  <c r="BC156" i="25"/>
  <c r="BT156" i="25" s="1"/>
  <c r="BE280" i="25"/>
  <c r="BR280" i="25"/>
  <c r="BX280" i="25" s="1"/>
  <c r="BY219" i="24"/>
  <c r="CA219" i="24" s="1"/>
  <c r="CB219" i="24" s="1"/>
  <c r="BM219" i="24"/>
  <c r="BN219" i="24" s="1"/>
  <c r="BA263" i="25"/>
  <c r="BB263" i="25"/>
  <c r="BS263" i="25" s="1"/>
  <c r="BC263" i="25"/>
  <c r="BT263" i="25" s="1"/>
  <c r="BA49" i="25"/>
  <c r="BB49" i="25"/>
  <c r="BS49" i="25" s="1"/>
  <c r="BC49" i="25"/>
  <c r="BT49" i="25" s="1"/>
  <c r="BA218" i="25"/>
  <c r="BC218" i="25"/>
  <c r="BT218" i="25" s="1"/>
  <c r="BB218" i="25"/>
  <c r="BS218" i="25" s="1"/>
  <c r="BC127" i="25"/>
  <c r="BT127" i="25" s="1"/>
  <c r="BB127" i="25"/>
  <c r="BS127" i="25" s="1"/>
  <c r="BA127" i="25"/>
  <c r="BM296" i="24"/>
  <c r="BN296" i="24" s="1"/>
  <c r="BG115" i="24"/>
  <c r="BS115" i="24"/>
  <c r="BX115" i="24" s="1"/>
  <c r="BC311" i="25"/>
  <c r="BT311" i="25" s="1"/>
  <c r="BB311" i="25"/>
  <c r="BS311" i="25" s="1"/>
  <c r="BA311" i="25"/>
  <c r="BC196" i="25"/>
  <c r="BT196" i="25" s="1"/>
  <c r="BB196" i="25"/>
  <c r="BS196" i="25" s="1"/>
  <c r="BA196" i="25"/>
  <c r="BB54" i="25"/>
  <c r="BS54" i="25" s="1"/>
  <c r="BA54" i="25"/>
  <c r="BC54" i="25"/>
  <c r="BT54" i="25" s="1"/>
  <c r="BE243" i="25"/>
  <c r="BR243" i="25"/>
  <c r="BX243" i="25" s="1"/>
  <c r="BB119" i="25"/>
  <c r="BS119" i="25" s="1"/>
  <c r="BC119" i="25"/>
  <c r="BT119" i="25" s="1"/>
  <c r="BA119" i="25"/>
  <c r="D58" i="29"/>
  <c r="D50" i="29" s="1"/>
  <c r="D51" i="29" s="1"/>
  <c r="D60" i="29" s="1"/>
  <c r="U374" i="29"/>
  <c r="V374" i="29"/>
  <c r="U60" i="29"/>
  <c r="V60" i="29"/>
  <c r="U189" i="29"/>
  <c r="V189" i="29"/>
  <c r="U238" i="29"/>
  <c r="V238" i="29"/>
  <c r="U223" i="29"/>
  <c r="V223" i="29"/>
  <c r="V18" i="29"/>
  <c r="U18" i="29"/>
  <c r="V137" i="29"/>
  <c r="U137" i="29"/>
  <c r="V566" i="29"/>
  <c r="U566" i="29"/>
  <c r="BG250" i="24"/>
  <c r="BS250" i="24"/>
  <c r="BX250" i="24" s="1"/>
  <c r="BS50" i="24"/>
  <c r="BV50" i="24" s="1"/>
  <c r="BX50" i="24" s="1"/>
  <c r="BG50" i="24"/>
  <c r="BM50" i="24" s="1"/>
  <c r="BM130" i="24"/>
  <c r="BN130" i="24" s="1"/>
  <c r="BN12" i="24"/>
  <c r="BM147" i="24"/>
  <c r="BN147" i="24" s="1"/>
  <c r="BG145" i="24"/>
  <c r="BS145" i="24"/>
  <c r="BX145" i="24" s="1"/>
  <c r="BG255" i="24"/>
  <c r="BS255" i="24"/>
  <c r="BX255" i="24" s="1"/>
  <c r="BA235" i="25"/>
  <c r="BB235" i="25"/>
  <c r="BS235" i="25" s="1"/>
  <c r="BC235" i="25"/>
  <c r="BT235" i="25" s="1"/>
  <c r="BC309" i="25"/>
  <c r="BT309" i="25" s="1"/>
  <c r="BB309" i="25"/>
  <c r="BS309" i="25" s="1"/>
  <c r="BA309" i="25"/>
  <c r="BC251" i="25"/>
  <c r="BT251" i="25" s="1"/>
  <c r="BA251" i="25"/>
  <c r="BB251" i="25"/>
  <c r="BS251" i="25" s="1"/>
  <c r="BG252" i="24"/>
  <c r="BS252" i="24"/>
  <c r="BX252" i="24" s="1"/>
  <c r="BN55" i="24"/>
  <c r="BY55" i="24"/>
  <c r="CA55" i="24" s="1"/>
  <c r="BG151" i="24"/>
  <c r="BS151" i="24"/>
  <c r="BX151" i="24" s="1"/>
  <c r="BR104" i="25"/>
  <c r="BV104" i="25" s="1"/>
  <c r="BX104" i="25" s="1"/>
  <c r="BE104" i="25"/>
  <c r="BK104" i="25" s="1"/>
  <c r="BA65" i="25"/>
  <c r="BB65" i="25"/>
  <c r="BS65" i="25" s="1"/>
  <c r="BC65" i="25"/>
  <c r="BT65" i="25" s="1"/>
  <c r="BN45" i="24"/>
  <c r="BY45" i="24"/>
  <c r="CA45" i="24" s="1"/>
  <c r="BS10" i="24"/>
  <c r="BV10" i="24" s="1"/>
  <c r="BX10" i="24" s="1"/>
  <c r="BG10" i="24"/>
  <c r="BM10" i="24" s="1"/>
  <c r="BA264" i="25"/>
  <c r="BC264" i="25"/>
  <c r="BT264" i="25" s="1"/>
  <c r="BB264" i="25"/>
  <c r="BS264" i="25" s="1"/>
  <c r="BE257" i="25"/>
  <c r="BR257" i="25"/>
  <c r="BX257" i="25" s="1"/>
  <c r="BA68" i="25"/>
  <c r="BC68" i="25"/>
  <c r="BT68" i="25" s="1"/>
  <c r="BB68" i="25"/>
  <c r="BS68" i="25" s="1"/>
  <c r="BE198" i="25"/>
  <c r="BR198" i="25"/>
  <c r="BX198" i="25" s="1"/>
  <c r="BG316" i="24"/>
  <c r="BS316" i="24"/>
  <c r="BX316" i="24" s="1"/>
  <c r="BA278" i="25"/>
  <c r="BB278" i="25"/>
  <c r="BS278" i="25" s="1"/>
  <c r="BC278" i="25"/>
  <c r="BT278" i="25" s="1"/>
  <c r="BC297" i="25"/>
  <c r="BT297" i="25" s="1"/>
  <c r="BB297" i="25"/>
  <c r="BS297" i="25" s="1"/>
  <c r="BA297" i="25"/>
  <c r="BG169" i="24"/>
  <c r="BS169" i="24"/>
  <c r="BX169" i="24" s="1"/>
  <c r="BS154" i="24"/>
  <c r="BX154" i="24" s="1"/>
  <c r="BG154" i="24"/>
  <c r="BA224" i="25"/>
  <c r="BC224" i="25"/>
  <c r="BT224" i="25" s="1"/>
  <c r="BB224" i="25"/>
  <c r="BS224" i="25" s="1"/>
  <c r="BY7" i="24"/>
  <c r="CA7" i="24" s="1"/>
  <c r="CB7" i="24" s="1"/>
  <c r="BN7" i="24"/>
  <c r="BB74" i="25"/>
  <c r="BS74" i="25" s="1"/>
  <c r="BC74" i="25"/>
  <c r="BT74" i="25" s="1"/>
  <c r="BA74" i="25"/>
  <c r="BG170" i="24"/>
  <c r="BS170" i="24"/>
  <c r="BX170" i="24" s="1"/>
  <c r="BM280" i="24"/>
  <c r="BN280" i="24" s="1"/>
  <c r="BE178" i="25"/>
  <c r="BR178" i="25"/>
  <c r="BX178" i="25" s="1"/>
  <c r="BG207" i="24"/>
  <c r="BS207" i="24"/>
  <c r="BX207" i="24" s="1"/>
  <c r="BA217" i="25"/>
  <c r="BB217" i="25"/>
  <c r="BS217" i="25" s="1"/>
  <c r="BC217" i="25"/>
  <c r="BT217" i="25" s="1"/>
  <c r="BG141" i="24"/>
  <c r="BS141" i="24"/>
  <c r="BX141" i="24" s="1"/>
  <c r="BA260" i="25"/>
  <c r="BC260" i="25"/>
  <c r="BT260" i="25" s="1"/>
  <c r="BB260" i="25"/>
  <c r="BS260" i="25" s="1"/>
  <c r="BA226" i="25"/>
  <c r="BC226" i="25"/>
  <c r="BT226" i="25" s="1"/>
  <c r="BB226" i="25"/>
  <c r="BS226" i="25" s="1"/>
  <c r="BR87" i="25"/>
  <c r="BV87" i="25" s="1"/>
  <c r="BX87" i="25" s="1"/>
  <c r="BE87" i="25"/>
  <c r="BK87" i="25" s="1"/>
  <c r="BA172" i="25"/>
  <c r="BC172" i="25"/>
  <c r="BT172" i="25" s="1"/>
  <c r="BB172" i="25"/>
  <c r="BS172" i="25" s="1"/>
  <c r="BG78" i="24"/>
  <c r="BM78" i="24" s="1"/>
  <c r="BS78" i="24"/>
  <c r="BV78" i="24" s="1"/>
  <c r="BX78" i="24" s="1"/>
  <c r="BA242" i="25"/>
  <c r="BC242" i="25"/>
  <c r="BT242" i="25" s="1"/>
  <c r="BB242" i="25"/>
  <c r="BS242" i="25" s="1"/>
  <c r="BG167" i="24"/>
  <c r="BS167" i="24"/>
  <c r="BX167" i="24" s="1"/>
  <c r="BE6" i="25"/>
  <c r="BK6" i="25" s="1"/>
  <c r="BR6" i="25"/>
  <c r="BV6" i="25" s="1"/>
  <c r="BX6" i="25" s="1"/>
  <c r="BC182" i="25"/>
  <c r="BT182" i="25" s="1"/>
  <c r="BB182" i="25"/>
  <c r="BS182" i="25" s="1"/>
  <c r="BA182" i="25"/>
  <c r="BN19" i="24"/>
  <c r="BG245" i="24"/>
  <c r="BS245" i="24"/>
  <c r="BX245" i="24" s="1"/>
  <c r="BG37" i="24"/>
  <c r="BM37" i="24" s="1"/>
  <c r="BS37" i="24"/>
  <c r="BV37" i="24" s="1"/>
  <c r="BX37" i="24" s="1"/>
  <c r="BC227" i="25"/>
  <c r="BT227" i="25" s="1"/>
  <c r="BB227" i="25"/>
  <c r="BS227" i="25" s="1"/>
  <c r="BA227" i="25"/>
  <c r="U225" i="29"/>
  <c r="V225" i="29"/>
  <c r="U323" i="29"/>
  <c r="V323" i="29"/>
  <c r="U371" i="29"/>
  <c r="V371" i="29"/>
  <c r="BC312" i="25"/>
  <c r="BT312" i="25" s="1"/>
  <c r="BA312" i="25"/>
  <c r="BB312" i="25"/>
  <c r="BS312" i="25" s="1"/>
  <c r="BG237" i="24"/>
  <c r="BS237" i="24"/>
  <c r="BX237" i="24" s="1"/>
  <c r="BC269" i="25"/>
  <c r="BT269" i="25" s="1"/>
  <c r="BB269" i="25"/>
  <c r="BS269" i="25" s="1"/>
  <c r="BA269" i="25"/>
  <c r="BE147" i="25"/>
  <c r="BR147" i="25"/>
  <c r="BX147" i="25" s="1"/>
  <c r="BL129" i="25"/>
  <c r="BY129" i="25"/>
  <c r="CA129" i="25" s="1"/>
  <c r="CB129" i="25" s="1"/>
  <c r="BK129" i="25"/>
  <c r="BG226" i="24"/>
  <c r="BS226" i="24"/>
  <c r="BX226" i="24" s="1"/>
  <c r="BC78" i="25"/>
  <c r="BT78" i="25" s="1"/>
  <c r="BA78" i="25"/>
  <c r="BB78" i="25"/>
  <c r="BS78" i="25" s="1"/>
  <c r="BC138" i="25"/>
  <c r="BT138" i="25" s="1"/>
  <c r="BB138" i="25"/>
  <c r="BS138" i="25" s="1"/>
  <c r="BA138" i="25"/>
  <c r="BR158" i="25"/>
  <c r="BX158" i="25" s="1"/>
  <c r="BE158" i="25"/>
  <c r="BM298" i="24"/>
  <c r="BN298" i="24" s="1"/>
  <c r="BA166" i="25"/>
  <c r="BC166" i="25"/>
  <c r="BT166" i="25" s="1"/>
  <c r="BB166" i="25"/>
  <c r="BS166" i="25" s="1"/>
  <c r="BC149" i="25"/>
  <c r="BT149" i="25" s="1"/>
  <c r="BB149" i="25"/>
  <c r="BS149" i="25" s="1"/>
  <c r="BA149" i="25"/>
  <c r="BG128" i="24"/>
  <c r="BS128" i="24"/>
  <c r="BX128" i="24" s="1"/>
  <c r="BB266" i="25"/>
  <c r="BS266" i="25" s="1"/>
  <c r="BC266" i="25"/>
  <c r="BT266" i="25" s="1"/>
  <c r="BA266" i="25"/>
  <c r="BB69" i="25"/>
  <c r="BS69" i="25" s="1"/>
  <c r="BC69" i="25"/>
  <c r="BT69" i="25" s="1"/>
  <c r="BA69" i="25"/>
  <c r="BS61" i="24"/>
  <c r="BV61" i="24" s="1"/>
  <c r="BX61" i="24" s="1"/>
  <c r="BG61" i="24"/>
  <c r="BM61" i="24" s="1"/>
  <c r="BG263" i="24"/>
  <c r="BS263" i="24"/>
  <c r="BX263" i="24" s="1"/>
  <c r="BC81" i="25"/>
  <c r="BT81" i="25" s="1"/>
  <c r="BA81" i="25"/>
  <c r="BB81" i="25"/>
  <c r="BS81" i="25" s="1"/>
  <c r="BG234" i="24"/>
  <c r="BS234" i="24"/>
  <c r="BX234" i="24" s="1"/>
  <c r="BY160" i="24"/>
  <c r="CA160" i="24" s="1"/>
  <c r="CB160" i="24" s="1"/>
  <c r="BM160" i="24"/>
  <c r="BN160" i="24" s="1"/>
  <c r="BA244" i="25"/>
  <c r="BC244" i="25"/>
  <c r="BT244" i="25" s="1"/>
  <c r="BB244" i="25"/>
  <c r="BS244" i="25" s="1"/>
  <c r="BB130" i="25"/>
  <c r="BS130" i="25" s="1"/>
  <c r="BC130" i="25"/>
  <c r="BT130" i="25" s="1"/>
  <c r="BA130" i="25"/>
  <c r="BB55" i="25"/>
  <c r="BS55" i="25" s="1"/>
  <c r="BA55" i="25"/>
  <c r="BC55" i="25"/>
  <c r="BT55" i="25" s="1"/>
  <c r="BG183" i="24"/>
  <c r="BS183" i="24"/>
  <c r="BX183" i="24" s="1"/>
  <c r="BC239" i="25"/>
  <c r="BT239" i="25" s="1"/>
  <c r="BB239" i="25"/>
  <c r="BS239" i="25" s="1"/>
  <c r="BA239" i="25"/>
  <c r="BG278" i="24"/>
  <c r="BS278" i="24"/>
  <c r="BX278" i="24" s="1"/>
  <c r="BG139" i="24"/>
  <c r="BS139" i="24"/>
  <c r="BX139" i="24" s="1"/>
  <c r="BA43" i="25"/>
  <c r="BB43" i="25"/>
  <c r="BS43" i="25" s="1"/>
  <c r="BC43" i="25"/>
  <c r="BT43" i="25" s="1"/>
  <c r="BG188" i="24"/>
  <c r="BS188" i="24"/>
  <c r="BX188" i="24" s="1"/>
  <c r="BC42" i="25"/>
  <c r="BT42" i="25" s="1"/>
  <c r="BB42" i="25"/>
  <c r="BS42" i="25" s="1"/>
  <c r="BA42" i="25"/>
  <c r="B143" i="2"/>
  <c r="AY105" i="25"/>
  <c r="BG208" i="24"/>
  <c r="BS208" i="24"/>
  <c r="BX208" i="24" s="1"/>
  <c r="BG300" i="24"/>
  <c r="BS300" i="24"/>
  <c r="BX300" i="24" s="1"/>
  <c r="BG289" i="24"/>
  <c r="BS289" i="24"/>
  <c r="BX289" i="24" s="1"/>
  <c r="BC23" i="25"/>
  <c r="BT23" i="25" s="1"/>
  <c r="BB23" i="25"/>
  <c r="BS23" i="25" s="1"/>
  <c r="BA23" i="25"/>
  <c r="BA313" i="25"/>
  <c r="BC313" i="25"/>
  <c r="BT313" i="25" s="1"/>
  <c r="BB313" i="25"/>
  <c r="BS313" i="25" s="1"/>
  <c r="BE161" i="25"/>
  <c r="BR161" i="25"/>
  <c r="BX161" i="25" s="1"/>
  <c r="BA277" i="25"/>
  <c r="BB277" i="25"/>
  <c r="BS277" i="25" s="1"/>
  <c r="BC277" i="25"/>
  <c r="BT277" i="25" s="1"/>
  <c r="BE259" i="25"/>
  <c r="BR259" i="25"/>
  <c r="BX259" i="25" s="1"/>
  <c r="BL110" i="25"/>
  <c r="BY110" i="25"/>
  <c r="CA110" i="25" s="1"/>
  <c r="CB110" i="25" s="1"/>
  <c r="BK110" i="25"/>
  <c r="BA72" i="25"/>
  <c r="BC72" i="25"/>
  <c r="BT72" i="25" s="1"/>
  <c r="BB72" i="25"/>
  <c r="BS72" i="25" s="1"/>
  <c r="BG89" i="24"/>
  <c r="BM89" i="24" s="1"/>
  <c r="BS89" i="24"/>
  <c r="BV89" i="24" s="1"/>
  <c r="BX89" i="24" s="1"/>
  <c r="BG131" i="24"/>
  <c r="BS131" i="24"/>
  <c r="BX131" i="24" s="1"/>
  <c r="BS290" i="24"/>
  <c r="BX290" i="24" s="1"/>
  <c r="BG290" i="24"/>
  <c r="BG156" i="24"/>
  <c r="BS156" i="24"/>
  <c r="BX156" i="24" s="1"/>
  <c r="BG301" i="24"/>
  <c r="BS301" i="24"/>
  <c r="BX301" i="24" s="1"/>
  <c r="BC256" i="25"/>
  <c r="BT256" i="25" s="1"/>
  <c r="BB256" i="25"/>
  <c r="BS256" i="25" s="1"/>
  <c r="BA256" i="25"/>
  <c r="BM299" i="24"/>
  <c r="BN299" i="24" s="1"/>
  <c r="BA33" i="25"/>
  <c r="BB33" i="25"/>
  <c r="BS33" i="25" s="1"/>
  <c r="BC33" i="25"/>
  <c r="BT33" i="25" s="1"/>
  <c r="BC236" i="25"/>
  <c r="BT236" i="25" s="1"/>
  <c r="BA236" i="25"/>
  <c r="BB236" i="25"/>
  <c r="BS236" i="25" s="1"/>
  <c r="BG229" i="24"/>
  <c r="BS229" i="24"/>
  <c r="BX229" i="24" s="1"/>
  <c r="BE204" i="25"/>
  <c r="BR204" i="25"/>
  <c r="BX204" i="25" s="1"/>
  <c r="BE283" i="25"/>
  <c r="BR283" i="25"/>
  <c r="BX283" i="25" s="1"/>
  <c r="BG178" i="24"/>
  <c r="BS178" i="24"/>
  <c r="BX178" i="24" s="1"/>
  <c r="BA221" i="25"/>
  <c r="BB221" i="25"/>
  <c r="BS221" i="25" s="1"/>
  <c r="BC221" i="25"/>
  <c r="BT221" i="25" s="1"/>
  <c r="BG308" i="24"/>
  <c r="BS308" i="24"/>
  <c r="BX308" i="24" s="1"/>
  <c r="BR167" i="25"/>
  <c r="BX167" i="25" s="1"/>
  <c r="BE167" i="25"/>
  <c r="BS64" i="24"/>
  <c r="BV64" i="24" s="1"/>
  <c r="BX64" i="24" s="1"/>
  <c r="BG64" i="24"/>
  <c r="BM64" i="24" s="1"/>
  <c r="BE94" i="25"/>
  <c r="BK94" i="25" s="1"/>
  <c r="BR94" i="25"/>
  <c r="BV94" i="25" s="1"/>
  <c r="BX94" i="25" s="1"/>
  <c r="BA231" i="25"/>
  <c r="BB231" i="25"/>
  <c r="BS231" i="25" s="1"/>
  <c r="BC231" i="25"/>
  <c r="BT231" i="25" s="1"/>
  <c r="BA9" i="25"/>
  <c r="BB9" i="25"/>
  <c r="BS9" i="25" s="1"/>
  <c r="BC9" i="25"/>
  <c r="BT9" i="25" s="1"/>
  <c r="BY248" i="24"/>
  <c r="CA248" i="24" s="1"/>
  <c r="CB248" i="24" s="1"/>
  <c r="BM248" i="24"/>
  <c r="BN248" i="24" s="1"/>
  <c r="BS88" i="24"/>
  <c r="BV88" i="24" s="1"/>
  <c r="BX88" i="24" s="1"/>
  <c r="BG88" i="24"/>
  <c r="BM88" i="24" s="1"/>
  <c r="BG77" i="24"/>
  <c r="BM77" i="24" s="1"/>
  <c r="BS77" i="24"/>
  <c r="BV77" i="24" s="1"/>
  <c r="BX77" i="24" s="1"/>
  <c r="BA159" i="25"/>
  <c r="BB159" i="25"/>
  <c r="BS159" i="25" s="1"/>
  <c r="BC159" i="25"/>
  <c r="BT159" i="25" s="1"/>
  <c r="BR206" i="25"/>
  <c r="BX206" i="25" s="1"/>
  <c r="BE206" i="25"/>
  <c r="BC25" i="25"/>
  <c r="BT25" i="25" s="1"/>
  <c r="BB25" i="25"/>
  <c r="BS25" i="25" s="1"/>
  <c r="BA25" i="25"/>
  <c r="BM242" i="24"/>
  <c r="BN242" i="24" s="1"/>
  <c r="BM253" i="24"/>
  <c r="BN253" i="24" s="1"/>
  <c r="BE293" i="25"/>
  <c r="BR293" i="25"/>
  <c r="BX293" i="25" s="1"/>
  <c r="BG287" i="24"/>
  <c r="BS287" i="24"/>
  <c r="BX287" i="24" s="1"/>
  <c r="BC18" i="25"/>
  <c r="BT18" i="25" s="1"/>
  <c r="BB18" i="25"/>
  <c r="BS18" i="25" s="1"/>
  <c r="BA18" i="25"/>
  <c r="BG225" i="24"/>
  <c r="BS225" i="24"/>
  <c r="BX225" i="24" s="1"/>
  <c r="BA274" i="25"/>
  <c r="BB274" i="25"/>
  <c r="BS274" i="25" s="1"/>
  <c r="BC274" i="25"/>
  <c r="BT274" i="25" s="1"/>
  <c r="BC233" i="25"/>
  <c r="BT233" i="25" s="1"/>
  <c r="BA233" i="25"/>
  <c r="BB233" i="25"/>
  <c r="BS233" i="25" s="1"/>
  <c r="BG11" i="24"/>
  <c r="BM11" i="24" s="1"/>
  <c r="BS11" i="24"/>
  <c r="BV11" i="24" s="1"/>
  <c r="BX11" i="24" s="1"/>
  <c r="BS134" i="24"/>
  <c r="BX134" i="24" s="1"/>
  <c r="BG134" i="24"/>
  <c r="BB185" i="25"/>
  <c r="BS185" i="25" s="1"/>
  <c r="BC185" i="25"/>
  <c r="BT185" i="25" s="1"/>
  <c r="BA185" i="25"/>
  <c r="BE232" i="25"/>
  <c r="BR232" i="25"/>
  <c r="BX232" i="25" s="1"/>
  <c r="U181" i="29"/>
  <c r="V181" i="29"/>
  <c r="U64" i="29"/>
  <c r="V64" i="29"/>
  <c r="U551" i="29"/>
  <c r="V551" i="29"/>
  <c r="V437" i="29"/>
  <c r="U437" i="29"/>
  <c r="U66" i="29"/>
  <c r="V66" i="29"/>
  <c r="U509" i="29"/>
  <c r="V509" i="29"/>
  <c r="U124" i="29"/>
  <c r="V124" i="29"/>
  <c r="U537" i="29"/>
  <c r="V537" i="29"/>
  <c r="V85" i="29"/>
  <c r="U85" i="29"/>
  <c r="BN33" i="24"/>
  <c r="BC128" i="25"/>
  <c r="BT128" i="25" s="1"/>
  <c r="BA128" i="25"/>
  <c r="BB128" i="25"/>
  <c r="BS128" i="25" s="1"/>
  <c r="BB194" i="25"/>
  <c r="BS194" i="25" s="1"/>
  <c r="BC194" i="25"/>
  <c r="BT194" i="25" s="1"/>
  <c r="BA194" i="25"/>
  <c r="BG204" i="24"/>
  <c r="BS204" i="24"/>
  <c r="BX204" i="24" s="1"/>
  <c r="BG166" i="24"/>
  <c r="BS166" i="24"/>
  <c r="BX166" i="24" s="1"/>
  <c r="BB136" i="25"/>
  <c r="BS136" i="25" s="1"/>
  <c r="BC136" i="25"/>
  <c r="BT136" i="25" s="1"/>
  <c r="BA136" i="25"/>
  <c r="BA100" i="25"/>
  <c r="BB100" i="25"/>
  <c r="BS100" i="25" s="1"/>
  <c r="BC100" i="25"/>
  <c r="BT100" i="25" s="1"/>
  <c r="BG161" i="24"/>
  <c r="BS161" i="24"/>
  <c r="BX161" i="24" s="1"/>
  <c r="BB48" i="25"/>
  <c r="BS48" i="25" s="1"/>
  <c r="BA48" i="25"/>
  <c r="BC48" i="25"/>
  <c r="BT48" i="25" s="1"/>
  <c r="BY132" i="24"/>
  <c r="CA132" i="24" s="1"/>
  <c r="CB132" i="24" s="1"/>
  <c r="BM132" i="24"/>
  <c r="BN132" i="24" s="1"/>
  <c r="BS273" i="24"/>
  <c r="BX273" i="24" s="1"/>
  <c r="BG273" i="24"/>
  <c r="BE189" i="25"/>
  <c r="BR189" i="25"/>
  <c r="BX189" i="25" s="1"/>
  <c r="BA124" i="25"/>
  <c r="BC124" i="25"/>
  <c r="BT124" i="25" s="1"/>
  <c r="BB124" i="25"/>
  <c r="BS124" i="25" s="1"/>
  <c r="BS38" i="24"/>
  <c r="BV38" i="24" s="1"/>
  <c r="BX38" i="24" s="1"/>
  <c r="BG38" i="24"/>
  <c r="BM38" i="24" s="1"/>
  <c r="BA67" i="25"/>
  <c r="BC67" i="25"/>
  <c r="BT67" i="25" s="1"/>
  <c r="BB67" i="25"/>
  <c r="BS67" i="25" s="1"/>
  <c r="BG14" i="24"/>
  <c r="BM14" i="24" s="1"/>
  <c r="BS14" i="24"/>
  <c r="BV14" i="24" s="1"/>
  <c r="BX14" i="24" s="1"/>
  <c r="BG137" i="24"/>
  <c r="BS137" i="24"/>
  <c r="BX137" i="24" s="1"/>
  <c r="BY162" i="24"/>
  <c r="CA162" i="24" s="1"/>
  <c r="BM162" i="24"/>
  <c r="BN162" i="24" s="1"/>
  <c r="BG122" i="24"/>
  <c r="BS122" i="24"/>
  <c r="BX122" i="24" s="1"/>
  <c r="BA270" i="25"/>
  <c r="BC270" i="25"/>
  <c r="BT270" i="25" s="1"/>
  <c r="BB270" i="25"/>
  <c r="BS270" i="25" s="1"/>
  <c r="BY111" i="24"/>
  <c r="CA111" i="24" s="1"/>
  <c r="CB111" i="24" s="1"/>
  <c r="BM111" i="24"/>
  <c r="BN111" i="24" s="1"/>
  <c r="BS256" i="24"/>
  <c r="BX256" i="24" s="1"/>
  <c r="BG256" i="24"/>
  <c r="BE276" i="25"/>
  <c r="BR276" i="25"/>
  <c r="BX276" i="25" s="1"/>
  <c r="BG75" i="24"/>
  <c r="BM75" i="24" s="1"/>
  <c r="BS75" i="24"/>
  <c r="BV75" i="24" s="1"/>
  <c r="BX75" i="24" s="1"/>
  <c r="BB241" i="25"/>
  <c r="BS241" i="25" s="1"/>
  <c r="BC241" i="25"/>
  <c r="BT241" i="25" s="1"/>
  <c r="BA241" i="25"/>
  <c r="BY119" i="24"/>
  <c r="CA119" i="24" s="1"/>
  <c r="CB119" i="24" s="1"/>
  <c r="BM119" i="24"/>
  <c r="BN119" i="24" s="1"/>
  <c r="BG31" i="24"/>
  <c r="BM31" i="24" s="1"/>
  <c r="BS31" i="24"/>
  <c r="BV31" i="24" s="1"/>
  <c r="BX31" i="24" s="1"/>
  <c r="BB139" i="25"/>
  <c r="BS139" i="25" s="1"/>
  <c r="BC139" i="25"/>
  <c r="BT139" i="25" s="1"/>
  <c r="BA139" i="25"/>
  <c r="BS29" i="24"/>
  <c r="BV29" i="24" s="1"/>
  <c r="BX29" i="24" s="1"/>
  <c r="BG29" i="24"/>
  <c r="BM29" i="24" s="1"/>
  <c r="BY259" i="24"/>
  <c r="CA259" i="24" s="1"/>
  <c r="CB259" i="24" s="1"/>
  <c r="BM259" i="24"/>
  <c r="BN259" i="24" s="1"/>
  <c r="BA223" i="25"/>
  <c r="BC223" i="25"/>
  <c r="BT223" i="25" s="1"/>
  <c r="BB223" i="25"/>
  <c r="BS223" i="25" s="1"/>
  <c r="BA102" i="25"/>
  <c r="BB102" i="25"/>
  <c r="BS102" i="25" s="1"/>
  <c r="BC102" i="25"/>
  <c r="BT102" i="25" s="1"/>
  <c r="BA188" i="25"/>
  <c r="BC188" i="25"/>
  <c r="BT188" i="25" s="1"/>
  <c r="BB188" i="25"/>
  <c r="BS188" i="25" s="1"/>
  <c r="BG187" i="24"/>
  <c r="BS187" i="24"/>
  <c r="BX187" i="24" s="1"/>
  <c r="BE96" i="25"/>
  <c r="BK96" i="25" s="1"/>
  <c r="BR96" i="25"/>
  <c r="BV96" i="25" s="1"/>
  <c r="BX96" i="25" s="1"/>
  <c r="BA284" i="25"/>
  <c r="BB284" i="25"/>
  <c r="BS284" i="25" s="1"/>
  <c r="BC284" i="25"/>
  <c r="BT284" i="25" s="1"/>
  <c r="BC44" i="25"/>
  <c r="BT44" i="25" s="1"/>
  <c r="BB44" i="25"/>
  <c r="BS44" i="25" s="1"/>
  <c r="BA44" i="25"/>
  <c r="BG217" i="24"/>
  <c r="BS217" i="24"/>
  <c r="BX217" i="24" s="1"/>
  <c r="BE148" i="25"/>
  <c r="BR148" i="25"/>
  <c r="BX148" i="25" s="1"/>
  <c r="BB36" i="25"/>
  <c r="BS36" i="25" s="1"/>
  <c r="BA36" i="25"/>
  <c r="BC36" i="25"/>
  <c r="BT36" i="25" s="1"/>
  <c r="BY283" i="24"/>
  <c r="CA283" i="24" s="1"/>
  <c r="CB283" i="24" s="1"/>
  <c r="BM283" i="24"/>
  <c r="BN283" i="24" s="1"/>
  <c r="BG159" i="24"/>
  <c r="BS159" i="24"/>
  <c r="BX159" i="24" s="1"/>
  <c r="BA80" i="25"/>
  <c r="BB80" i="25"/>
  <c r="BS80" i="25" s="1"/>
  <c r="BC80" i="25"/>
  <c r="BT80" i="25" s="1"/>
  <c r="BB37" i="25"/>
  <c r="BS37" i="25" s="1"/>
  <c r="BC37" i="25"/>
  <c r="BT37" i="25" s="1"/>
  <c r="BA37" i="25"/>
  <c r="BG193" i="24"/>
  <c r="BS193" i="24"/>
  <c r="BX193" i="24" s="1"/>
  <c r="BA200" i="25"/>
  <c r="BB200" i="25"/>
  <c r="BS200" i="25" s="1"/>
  <c r="BC200" i="25"/>
  <c r="BT200" i="25" s="1"/>
  <c r="BS27" i="24"/>
  <c r="BV27" i="24" s="1"/>
  <c r="BX27" i="24" s="1"/>
  <c r="BG27" i="24"/>
  <c r="BM27" i="24" s="1"/>
  <c r="BB15" i="25"/>
  <c r="BS15" i="25" s="1"/>
  <c r="BC15" i="25"/>
  <c r="BT15" i="25" s="1"/>
  <c r="BA15" i="25"/>
  <c r="BE113" i="25"/>
  <c r="BR113" i="25"/>
  <c r="BX113" i="25" s="1"/>
  <c r="BG98" i="24"/>
  <c r="BM98" i="24" s="1"/>
  <c r="BS98" i="24"/>
  <c r="BV98" i="24" s="1"/>
  <c r="BX98" i="24" s="1"/>
  <c r="BG164" i="24"/>
  <c r="BS164" i="24"/>
  <c r="BX164" i="24" s="1"/>
  <c r="BE97" i="25"/>
  <c r="BK97" i="25" s="1"/>
  <c r="BR97" i="25"/>
  <c r="BV97" i="25" s="1"/>
  <c r="BX97" i="25" s="1"/>
  <c r="BG235" i="24"/>
  <c r="BS235" i="24"/>
  <c r="BX235" i="24" s="1"/>
  <c r="BA121" i="25"/>
  <c r="BB121" i="25"/>
  <c r="BS121" i="25" s="1"/>
  <c r="BC121" i="25"/>
  <c r="BT121" i="25" s="1"/>
  <c r="BB219" i="25"/>
  <c r="BS219" i="25" s="1"/>
  <c r="BC219" i="25"/>
  <c r="BT219" i="25" s="1"/>
  <c r="BA219" i="25"/>
  <c r="BG102" i="24"/>
  <c r="BM102" i="24" s="1"/>
  <c r="BS102" i="24"/>
  <c r="BV102" i="24" s="1"/>
  <c r="BX102" i="24" s="1"/>
  <c r="BG291" i="24"/>
  <c r="BS291" i="24"/>
  <c r="BX291" i="24" s="1"/>
  <c r="BS80" i="24"/>
  <c r="BV80" i="24" s="1"/>
  <c r="BX80" i="24" s="1"/>
  <c r="BG80" i="24"/>
  <c r="BM80" i="24" s="1"/>
  <c r="BA88" i="25"/>
  <c r="BC88" i="25"/>
  <c r="BT88" i="25" s="1"/>
  <c r="BB88" i="25"/>
  <c r="BS88" i="25" s="1"/>
  <c r="BA117" i="25"/>
  <c r="BC117" i="25"/>
  <c r="BT117" i="25" s="1"/>
  <c r="BB117" i="25"/>
  <c r="BS117" i="25" s="1"/>
  <c r="BB99" i="25"/>
  <c r="BS99" i="25" s="1"/>
  <c r="BC99" i="25"/>
  <c r="BT99" i="25" s="1"/>
  <c r="BA99" i="25"/>
  <c r="BA316" i="25"/>
  <c r="BC316" i="25"/>
  <c r="BT316" i="25" s="1"/>
  <c r="BB316" i="25"/>
  <c r="BS316" i="25" s="1"/>
  <c r="BC39" i="25"/>
  <c r="BT39" i="25" s="1"/>
  <c r="BA39" i="25"/>
  <c r="BB39" i="25"/>
  <c r="BS39" i="25" s="1"/>
  <c r="BG277" i="24"/>
  <c r="BS277" i="24"/>
  <c r="BX277" i="24" s="1"/>
  <c r="BS92" i="24"/>
  <c r="BV92" i="24" s="1"/>
  <c r="BX92" i="24" s="1"/>
  <c r="BG92" i="24"/>
  <c r="BM92" i="24" s="1"/>
  <c r="BM112" i="24"/>
  <c r="BN112" i="24" s="1"/>
  <c r="BY135" i="24"/>
  <c r="CA135" i="24" s="1"/>
  <c r="BM135" i="24"/>
  <c r="BN135" i="24" s="1"/>
  <c r="BA93" i="25"/>
  <c r="BC93" i="25"/>
  <c r="BT93" i="25" s="1"/>
  <c r="BB93" i="25"/>
  <c r="BS93" i="25" s="1"/>
  <c r="BG303" i="24"/>
  <c r="BS303" i="24"/>
  <c r="BX303" i="24" s="1"/>
  <c r="BS231" i="24"/>
  <c r="BX231" i="24" s="1"/>
  <c r="BG231" i="24"/>
  <c r="BM232" i="24"/>
  <c r="BN232" i="24" s="1"/>
  <c r="BG210" i="24"/>
  <c r="E19" i="1"/>
  <c r="BS210" i="24"/>
  <c r="BX210" i="24" s="1"/>
  <c r="BM247" i="24"/>
  <c r="BN247" i="24" s="1"/>
  <c r="BG150" i="24"/>
  <c r="BS150" i="24"/>
  <c r="BX150" i="24" s="1"/>
  <c r="BM305" i="24"/>
  <c r="BN305" i="24" s="1"/>
  <c r="BG315" i="24"/>
  <c r="BS315" i="24"/>
  <c r="BX315" i="24" s="1"/>
  <c r="BG146" i="24"/>
  <c r="BS146" i="24"/>
  <c r="BX146" i="24" s="1"/>
  <c r="BB299" i="25"/>
  <c r="BS299" i="25" s="1"/>
  <c r="BC299" i="25"/>
  <c r="BT299" i="25" s="1"/>
  <c r="BA299" i="25"/>
  <c r="BG254" i="24"/>
  <c r="BS254" i="24"/>
  <c r="BX254" i="24" s="1"/>
  <c r="V541" i="29"/>
  <c r="U541" i="29"/>
  <c r="U352" i="29"/>
  <c r="V352" i="29"/>
  <c r="V508" i="29"/>
  <c r="U508" i="29"/>
  <c r="U61" i="29"/>
  <c r="V61" i="29"/>
  <c r="V248" i="29"/>
  <c r="U248" i="29"/>
  <c r="V74" i="29"/>
  <c r="U74" i="29"/>
  <c r="V584" i="29"/>
  <c r="U584" i="29"/>
  <c r="V606" i="29"/>
  <c r="U606" i="29"/>
  <c r="V24" i="29"/>
  <c r="U24" i="29"/>
  <c r="BA165" i="25"/>
  <c r="BC165" i="25"/>
  <c r="BT165" i="25" s="1"/>
  <c r="BB165" i="25"/>
  <c r="BS165" i="25" s="1"/>
  <c r="BG172" i="24"/>
  <c r="BS172" i="24"/>
  <c r="BX172" i="24" s="1"/>
  <c r="BG165" i="24"/>
  <c r="BS165" i="24"/>
  <c r="BX165" i="24" s="1"/>
  <c r="BG239" i="24"/>
  <c r="BS239" i="24"/>
  <c r="BX239" i="24" s="1"/>
  <c r="BS72" i="24"/>
  <c r="BV72" i="24" s="1"/>
  <c r="BX72" i="24" s="1"/>
  <c r="BG72" i="24"/>
  <c r="BM72" i="24" s="1"/>
  <c r="BC191" i="25"/>
  <c r="BT191" i="25" s="1"/>
  <c r="BA191" i="25"/>
  <c r="BB191" i="25"/>
  <c r="BS191" i="25" s="1"/>
  <c r="BG143" i="24"/>
  <c r="BS143" i="24"/>
  <c r="BX143" i="24" s="1"/>
  <c r="BS57" i="24"/>
  <c r="BV57" i="24" s="1"/>
  <c r="BX57" i="24" s="1"/>
  <c r="BG57" i="24"/>
  <c r="BM57" i="24" s="1"/>
  <c r="BA58" i="25"/>
  <c r="BB58" i="25"/>
  <c r="BS58" i="25" s="1"/>
  <c r="BC58" i="25"/>
  <c r="BT58" i="25" s="1"/>
  <c r="BS83" i="24"/>
  <c r="BV83" i="24" s="1"/>
  <c r="BX83" i="24" s="1"/>
  <c r="BG83" i="24"/>
  <c r="BM83" i="24" s="1"/>
  <c r="BR199" i="25"/>
  <c r="BX199" i="25" s="1"/>
  <c r="BE199" i="25"/>
  <c r="BB225" i="25"/>
  <c r="BS225" i="25" s="1"/>
  <c r="BA225" i="25"/>
  <c r="BC225" i="25"/>
  <c r="BT225" i="25" s="1"/>
  <c r="BB187" i="25"/>
  <c r="BS187" i="25" s="1"/>
  <c r="BC187" i="25"/>
  <c r="BT187" i="25" s="1"/>
  <c r="BA187" i="25"/>
  <c r="BA245" i="25"/>
  <c r="BC245" i="25"/>
  <c r="BT245" i="25" s="1"/>
  <c r="BB245" i="25"/>
  <c r="BS245" i="25" s="1"/>
  <c r="BC115" i="25"/>
  <c r="BT115" i="25" s="1"/>
  <c r="BB115" i="25"/>
  <c r="BS115" i="25" s="1"/>
  <c r="BA115" i="25"/>
  <c r="BS48" i="24"/>
  <c r="BV48" i="24" s="1"/>
  <c r="BX48" i="24" s="1"/>
  <c r="BG48" i="24"/>
  <c r="BM48" i="24" s="1"/>
  <c r="BB279" i="25"/>
  <c r="BS279" i="25" s="1"/>
  <c r="BC279" i="25"/>
  <c r="BT279" i="25" s="1"/>
  <c r="BA279" i="25"/>
  <c r="BS100" i="24"/>
  <c r="BV100" i="24" s="1"/>
  <c r="BX100" i="24" s="1"/>
  <c r="BG100" i="24"/>
  <c r="BM100" i="24" s="1"/>
  <c r="BS16" i="24"/>
  <c r="BV16" i="24" s="1"/>
  <c r="BX16" i="24" s="1"/>
  <c r="BG16" i="24"/>
  <c r="BM16" i="24" s="1"/>
  <c r="BG313" i="24"/>
  <c r="BS313" i="24"/>
  <c r="BX313" i="24" s="1"/>
  <c r="BS51" i="24"/>
  <c r="BV51" i="24" s="1"/>
  <c r="BX51" i="24" s="1"/>
  <c r="BG51" i="24"/>
  <c r="BM51" i="24" s="1"/>
  <c r="BG311" i="24"/>
  <c r="BS311" i="24"/>
  <c r="BX311" i="24" s="1"/>
  <c r="BB85" i="25"/>
  <c r="BS85" i="25" s="1"/>
  <c r="BC85" i="25"/>
  <c r="BT85" i="25" s="1"/>
  <c r="BA85" i="25"/>
  <c r="BE292" i="25"/>
  <c r="BR292" i="25"/>
  <c r="BX292" i="25" s="1"/>
  <c r="BG306" i="24"/>
  <c r="BS306" i="24"/>
  <c r="BX306" i="24" s="1"/>
  <c r="BB66" i="25"/>
  <c r="BS66" i="25" s="1"/>
  <c r="BA66" i="25"/>
  <c r="BC66" i="25"/>
  <c r="BT66" i="25" s="1"/>
  <c r="CB257" i="24" l="1"/>
  <c r="CF257" i="24"/>
  <c r="CB101" i="24"/>
  <c r="CF101" i="24"/>
  <c r="CB191" i="24"/>
  <c r="CF191" i="24"/>
  <c r="BY147" i="24"/>
  <c r="CA147" i="24" s="1"/>
  <c r="CB147" i="24" s="1"/>
  <c r="BY12" i="24"/>
  <c r="CA12" i="24" s="1"/>
  <c r="CB12" i="24" s="1"/>
  <c r="BY242" i="24"/>
  <c r="CA242" i="24" s="1"/>
  <c r="CB242" i="24" s="1"/>
  <c r="BY121" i="24"/>
  <c r="CA121" i="24" s="1"/>
  <c r="CB121" i="24" s="1"/>
  <c r="V71" i="29"/>
  <c r="BN18" i="24"/>
  <c r="U19" i="29"/>
  <c r="V604" i="29"/>
  <c r="X604" i="29" s="1"/>
  <c r="Y604" i="29" s="1"/>
  <c r="U266" i="29"/>
  <c r="W266" i="29" s="1"/>
  <c r="BR154" i="25"/>
  <c r="BX154" i="25" s="1"/>
  <c r="BY265" i="24"/>
  <c r="CA265" i="24" s="1"/>
  <c r="CB265" i="24" s="1"/>
  <c r="U603" i="29"/>
  <c r="AG603" i="29" s="1"/>
  <c r="V309" i="29"/>
  <c r="AH309" i="29" s="1"/>
  <c r="U379" i="29"/>
  <c r="W379" i="29" s="1"/>
  <c r="U338" i="29"/>
  <c r="W338" i="29" s="1"/>
  <c r="U507" i="29"/>
  <c r="AG507" i="29" s="1"/>
  <c r="BY112" i="24"/>
  <c r="CA112" i="24" s="1"/>
  <c r="CB112" i="24" s="1"/>
  <c r="U284" i="29"/>
  <c r="W284" i="29" s="1"/>
  <c r="BX130" i="24"/>
  <c r="U322" i="29"/>
  <c r="AG322" i="29" s="1"/>
  <c r="V384" i="29"/>
  <c r="AH384" i="29" s="1"/>
  <c r="V168" i="29"/>
  <c r="X168" i="29" s="1"/>
  <c r="Y168" i="29" s="1"/>
  <c r="U186" i="29"/>
  <c r="W186" i="29" s="1"/>
  <c r="U105" i="29"/>
  <c r="W105" i="29" s="1"/>
  <c r="V205" i="29"/>
  <c r="X205" i="29" s="1"/>
  <c r="Y205" i="29" s="1"/>
  <c r="U562" i="29"/>
  <c r="AG562" i="29" s="1"/>
  <c r="U198" i="29"/>
  <c r="AG198" i="29" s="1"/>
  <c r="V367" i="29"/>
  <c r="AH367" i="29" s="1"/>
  <c r="V578" i="29"/>
  <c r="AH578" i="29" s="1"/>
  <c r="U608" i="29"/>
  <c r="W608" i="29" s="1"/>
  <c r="BY6" i="24"/>
  <c r="CA6" i="24" s="1"/>
  <c r="CB6" i="24" s="1"/>
  <c r="U373" i="29"/>
  <c r="AG373" i="29" s="1"/>
  <c r="V391" i="29"/>
  <c r="AH391" i="29" s="1"/>
  <c r="V257" i="29"/>
  <c r="AH257" i="29" s="1"/>
  <c r="V22" i="29"/>
  <c r="X22" i="29" s="1"/>
  <c r="Y22" i="29" s="1"/>
  <c r="U511" i="29"/>
  <c r="W511" i="29" s="1"/>
  <c r="U417" i="29"/>
  <c r="W417" i="29" s="1"/>
  <c r="BY238" i="24"/>
  <c r="CA238" i="24" s="1"/>
  <c r="CB238" i="24" s="1"/>
  <c r="U207" i="29"/>
  <c r="AG207" i="29" s="1"/>
  <c r="U111" i="29"/>
  <c r="W111" i="29" s="1"/>
  <c r="V553" i="29"/>
  <c r="AH553" i="29" s="1"/>
  <c r="U362" i="29"/>
  <c r="W362" i="29" s="1"/>
  <c r="U343" i="29"/>
  <c r="AG343" i="29" s="1"/>
  <c r="V340" i="29"/>
  <c r="AH340" i="29" s="1"/>
  <c r="V54" i="29"/>
  <c r="AH54" i="29" s="1"/>
  <c r="BY279" i="24"/>
  <c r="CA279" i="24" s="1"/>
  <c r="CB279" i="24" s="1"/>
  <c r="U108" i="29"/>
  <c r="AG108" i="29" s="1"/>
  <c r="V358" i="29"/>
  <c r="X358" i="29" s="1"/>
  <c r="Y358" i="29" s="1"/>
  <c r="BY27" i="24"/>
  <c r="CA27" i="24" s="1"/>
  <c r="CB27" i="24" s="1"/>
  <c r="V457" i="29"/>
  <c r="AH457" i="29" s="1"/>
  <c r="V79" i="29"/>
  <c r="AH79" i="29" s="1"/>
  <c r="V370" i="29"/>
  <c r="AH370" i="29" s="1"/>
  <c r="V276" i="29"/>
  <c r="AH276" i="29" s="1"/>
  <c r="U348" i="29"/>
  <c r="AG348" i="29" s="1"/>
  <c r="BY298" i="24"/>
  <c r="CA298" i="24" s="1"/>
  <c r="CB298" i="24" s="1"/>
  <c r="V317" i="29"/>
  <c r="AH317" i="29" s="1"/>
  <c r="U252" i="29"/>
  <c r="W252" i="29" s="1"/>
  <c r="U365" i="29"/>
  <c r="W365" i="29" s="1"/>
  <c r="V203" i="29"/>
  <c r="X203" i="29" s="1"/>
  <c r="Y203" i="29" s="1"/>
  <c r="U70" i="29"/>
  <c r="AG70" i="29" s="1"/>
  <c r="U357" i="29"/>
  <c r="AG357" i="29" s="1"/>
  <c r="V258" i="29"/>
  <c r="AH258" i="29" s="1"/>
  <c r="U123" i="29"/>
  <c r="W123" i="29" s="1"/>
  <c r="BY299" i="24"/>
  <c r="CA299" i="24" s="1"/>
  <c r="U109" i="29"/>
  <c r="AG109" i="29" s="1"/>
  <c r="U560" i="29"/>
  <c r="W560" i="29" s="1"/>
  <c r="V466" i="29"/>
  <c r="X466" i="29" s="1"/>
  <c r="Y466" i="29" s="1"/>
  <c r="U107" i="29"/>
  <c r="AG107" i="29" s="1"/>
  <c r="U475" i="29"/>
  <c r="W475" i="29" s="1"/>
  <c r="CB55" i="24"/>
  <c r="B271" i="2" s="1"/>
  <c r="CF55" i="24"/>
  <c r="U115" i="29"/>
  <c r="AG115" i="29" s="1"/>
  <c r="U254" i="29"/>
  <c r="AG254" i="29" s="1"/>
  <c r="V80" i="29"/>
  <c r="AH80" i="29" s="1"/>
  <c r="V516" i="29"/>
  <c r="X516" i="29" s="1"/>
  <c r="Y516" i="29" s="1"/>
  <c r="V563" i="29"/>
  <c r="AH563" i="29" s="1"/>
  <c r="V34" i="29"/>
  <c r="X34" i="29" s="1"/>
  <c r="Y34" i="29" s="1"/>
  <c r="V408" i="29"/>
  <c r="AH408" i="29" s="1"/>
  <c r="V501" i="29"/>
  <c r="AH501" i="29" s="1"/>
  <c r="U429" i="29"/>
  <c r="AG429" i="29" s="1"/>
  <c r="U156" i="29"/>
  <c r="AG156" i="29" s="1"/>
  <c r="V151" i="29"/>
  <c r="AH151" i="29" s="1"/>
  <c r="U49" i="29"/>
  <c r="AG49" i="29" s="1"/>
  <c r="U587" i="29"/>
  <c r="AG587" i="29" s="1"/>
  <c r="V582" i="29"/>
  <c r="AH582" i="29" s="1"/>
  <c r="V217" i="29"/>
  <c r="AH217" i="29" s="1"/>
  <c r="U611" i="29"/>
  <c r="W611" i="29" s="1"/>
  <c r="V359" i="29"/>
  <c r="X359" i="29" s="1"/>
  <c r="Y359" i="29" s="1"/>
  <c r="U557" i="29"/>
  <c r="AG557" i="29" s="1"/>
  <c r="BY24" i="24"/>
  <c r="CA24" i="24" s="1"/>
  <c r="CB24" i="24" s="1"/>
  <c r="U166" i="29"/>
  <c r="AG166" i="29" s="1"/>
  <c r="U104" i="29"/>
  <c r="W104" i="29" s="1"/>
  <c r="U153" i="29"/>
  <c r="AG153" i="29" s="1"/>
  <c r="V589" i="29"/>
  <c r="X589" i="29" s="1"/>
  <c r="Y589" i="29" s="1"/>
  <c r="U98" i="29"/>
  <c r="AG98" i="29" s="1"/>
  <c r="V292" i="29"/>
  <c r="AH292" i="29" s="1"/>
  <c r="U513" i="29"/>
  <c r="W513" i="29" s="1"/>
  <c r="V613" i="29"/>
  <c r="AH613" i="29" s="1"/>
  <c r="V477" i="29"/>
  <c r="X477" i="29" s="1"/>
  <c r="Y477" i="29" s="1"/>
  <c r="U52" i="29"/>
  <c r="AG52" i="29" s="1"/>
  <c r="U204" i="29"/>
  <c r="W204" i="29" s="1"/>
  <c r="BY282" i="24"/>
  <c r="CA282" i="24" s="1"/>
  <c r="CB282" i="24" s="1"/>
  <c r="U571" i="29"/>
  <c r="AG571" i="29" s="1"/>
  <c r="V161" i="29"/>
  <c r="X161" i="29" s="1"/>
  <c r="Y161" i="29" s="1"/>
  <c r="V235" i="29"/>
  <c r="X235" i="29" s="1"/>
  <c r="Y235" i="29" s="1"/>
  <c r="U598" i="29"/>
  <c r="AG598" i="29" s="1"/>
  <c r="U144" i="29"/>
  <c r="W144" i="29" s="1"/>
  <c r="V510" i="29"/>
  <c r="X510" i="29" s="1"/>
  <c r="Y510" i="29" s="1"/>
  <c r="U515" i="29"/>
  <c r="W515" i="29" s="1"/>
  <c r="V471" i="29"/>
  <c r="AH471" i="29" s="1"/>
  <c r="BY305" i="24"/>
  <c r="CA305" i="24" s="1"/>
  <c r="CB305" i="24" s="1"/>
  <c r="V127" i="29"/>
  <c r="X127" i="29" s="1"/>
  <c r="Y127" i="29" s="1"/>
  <c r="U216" i="29"/>
  <c r="AG216" i="29" s="1"/>
  <c r="U326" i="29"/>
  <c r="AG326" i="29" s="1"/>
  <c r="BY296" i="24"/>
  <c r="CA296" i="24" s="1"/>
  <c r="CB296" i="24" s="1"/>
  <c r="U555" i="29"/>
  <c r="W555" i="29" s="1"/>
  <c r="V361" i="29"/>
  <c r="X361" i="29" s="1"/>
  <c r="Y361" i="29" s="1"/>
  <c r="V397" i="29"/>
  <c r="X397" i="29" s="1"/>
  <c r="Y397" i="29" s="1"/>
  <c r="U493" i="29"/>
  <c r="AG493" i="29" s="1"/>
  <c r="V229" i="29"/>
  <c r="X229" i="29" s="1"/>
  <c r="Y229" i="29" s="1"/>
  <c r="V35" i="29"/>
  <c r="AH35" i="29" s="1"/>
  <c r="V470" i="29"/>
  <c r="X470" i="29" s="1"/>
  <c r="Y470" i="29" s="1"/>
  <c r="V577" i="29"/>
  <c r="X577" i="29" s="1"/>
  <c r="Y577" i="29" s="1"/>
  <c r="V586" i="29"/>
  <c r="AH586" i="29" s="1"/>
  <c r="U270" i="29"/>
  <c r="AG270" i="29" s="1"/>
  <c r="U90" i="29"/>
  <c r="AG90" i="29" s="1"/>
  <c r="V241" i="29"/>
  <c r="AH241" i="29" s="1"/>
  <c r="U325" i="29"/>
  <c r="W325" i="29" s="1"/>
  <c r="V377" i="29"/>
  <c r="AH377" i="29" s="1"/>
  <c r="U532" i="29"/>
  <c r="W532" i="29" s="1"/>
  <c r="V339" i="29"/>
  <c r="X339" i="29" s="1"/>
  <c r="Y339" i="29" s="1"/>
  <c r="U194" i="29"/>
  <c r="W194" i="29" s="1"/>
  <c r="U347" i="29"/>
  <c r="AG347" i="29" s="1"/>
  <c r="V152" i="29"/>
  <c r="X152" i="29" s="1"/>
  <c r="Y152" i="29" s="1"/>
  <c r="V345" i="29"/>
  <c r="X345" i="29" s="1"/>
  <c r="Y345" i="29" s="1"/>
  <c r="V256" i="29"/>
  <c r="X256" i="29" s="1"/>
  <c r="Y256" i="29" s="1"/>
  <c r="U89" i="29"/>
  <c r="AG89" i="29" s="1"/>
  <c r="BY232" i="24"/>
  <c r="CA232" i="24" s="1"/>
  <c r="CB232" i="24" s="1"/>
  <c r="V220" i="29"/>
  <c r="AH220" i="29" s="1"/>
  <c r="U559" i="29"/>
  <c r="W559" i="29" s="1"/>
  <c r="V299" i="29"/>
  <c r="AH299" i="29" s="1"/>
  <c r="V138" i="29"/>
  <c r="X138" i="29" s="1"/>
  <c r="Y138" i="29" s="1"/>
  <c r="V462" i="29"/>
  <c r="AH462" i="29" s="1"/>
  <c r="BY280" i="24"/>
  <c r="CA280" i="24" s="1"/>
  <c r="CB280" i="24" s="1"/>
  <c r="V597" i="29"/>
  <c r="X597" i="29" s="1"/>
  <c r="Y597" i="29" s="1"/>
  <c r="U185" i="29"/>
  <c r="AG185" i="29" s="1"/>
  <c r="U332" i="29"/>
  <c r="W332" i="29" s="1"/>
  <c r="U222" i="29"/>
  <c r="AG222" i="29" s="1"/>
  <c r="U480" i="29"/>
  <c r="AG480" i="29" s="1"/>
  <c r="V443" i="29"/>
  <c r="X443" i="29" s="1"/>
  <c r="Y443" i="29" s="1"/>
  <c r="V43" i="29"/>
  <c r="AH43" i="29" s="1"/>
  <c r="V331" i="29"/>
  <c r="AH331" i="29" s="1"/>
  <c r="U526" i="29"/>
  <c r="AG526" i="29" s="1"/>
  <c r="U122" i="29"/>
  <c r="AG122" i="29" s="1"/>
  <c r="V543" i="29"/>
  <c r="X543" i="29" s="1"/>
  <c r="Y543" i="29" s="1"/>
  <c r="BY54" i="24"/>
  <c r="CA54" i="24" s="1"/>
  <c r="CB54" i="24" s="1"/>
  <c r="V53" i="29"/>
  <c r="AH53" i="29" s="1"/>
  <c r="V468" i="29"/>
  <c r="X468" i="29" s="1"/>
  <c r="Y468" i="29" s="1"/>
  <c r="V404" i="29"/>
  <c r="AH404" i="29" s="1"/>
  <c r="V233" i="29"/>
  <c r="AH233" i="29" s="1"/>
  <c r="U289" i="29"/>
  <c r="AG289" i="29" s="1"/>
  <c r="V327" i="29"/>
  <c r="AH327" i="29" s="1"/>
  <c r="V93" i="29"/>
  <c r="X93" i="29" s="1"/>
  <c r="Y93" i="29" s="1"/>
  <c r="U73" i="29"/>
  <c r="W73" i="29" s="1"/>
  <c r="U165" i="29"/>
  <c r="W165" i="29" s="1"/>
  <c r="V293" i="29"/>
  <c r="AH293" i="29" s="1"/>
  <c r="V402" i="29"/>
  <c r="AH402" i="29" s="1"/>
  <c r="V596" i="29"/>
  <c r="AH596" i="29" s="1"/>
  <c r="V590" i="29"/>
  <c r="X590" i="29" s="1"/>
  <c r="Y590" i="29" s="1"/>
  <c r="V580" i="29"/>
  <c r="AH580" i="29" s="1"/>
  <c r="BN28" i="24"/>
  <c r="V454" i="29"/>
  <c r="X454" i="29" s="1"/>
  <c r="Y454" i="29" s="1"/>
  <c r="U50" i="29"/>
  <c r="W50" i="29" s="1"/>
  <c r="U448" i="29"/>
  <c r="AG448" i="29" s="1"/>
  <c r="U556" i="29"/>
  <c r="AG556" i="29" s="1"/>
  <c r="V558" i="29"/>
  <c r="X558" i="29" s="1"/>
  <c r="Y558" i="29" s="1"/>
  <c r="V298" i="29"/>
  <c r="AH298" i="29" s="1"/>
  <c r="V400" i="29"/>
  <c r="X400" i="29" s="1"/>
  <c r="Y400" i="29" s="1"/>
  <c r="U242" i="29"/>
  <c r="AG242" i="29" s="1"/>
  <c r="BY253" i="24"/>
  <c r="CA253" i="24" s="1"/>
  <c r="CB253" i="24" s="1"/>
  <c r="V303" i="29"/>
  <c r="AH303" i="29" s="1"/>
  <c r="V503" i="29"/>
  <c r="AH503" i="29" s="1"/>
  <c r="U139" i="29"/>
  <c r="W139" i="29" s="1"/>
  <c r="V48" i="29"/>
  <c r="AH48" i="29" s="1"/>
  <c r="V308" i="29"/>
  <c r="AH308" i="29" s="1"/>
  <c r="V184" i="29"/>
  <c r="AH184" i="29" s="1"/>
  <c r="V546" i="29"/>
  <c r="X546" i="29" s="1"/>
  <c r="Y546" i="29" s="1"/>
  <c r="U246" i="29"/>
  <c r="W246" i="29" s="1"/>
  <c r="U387" i="29"/>
  <c r="W387" i="29" s="1"/>
  <c r="U610" i="29"/>
  <c r="AG610" i="29" s="1"/>
  <c r="V497" i="29"/>
  <c r="AH497" i="29" s="1"/>
  <c r="CB45" i="24"/>
  <c r="CF45" i="24"/>
  <c r="CB135" i="24"/>
  <c r="CF135" i="24"/>
  <c r="U530" i="29"/>
  <c r="W530" i="29" s="1"/>
  <c r="V96" i="29"/>
  <c r="X96" i="29" s="1"/>
  <c r="Y96" i="29" s="1"/>
  <c r="U439" i="29"/>
  <c r="AG439" i="29" s="1"/>
  <c r="U86" i="29"/>
  <c r="W86" i="29" s="1"/>
  <c r="V512" i="29"/>
  <c r="AH512" i="29" s="1"/>
  <c r="U218" i="29"/>
  <c r="AG218" i="29" s="1"/>
  <c r="U221" i="29"/>
  <c r="AG221" i="29" s="1"/>
  <c r="U350" i="29"/>
  <c r="AG350" i="29" s="1"/>
  <c r="BM224" i="24"/>
  <c r="BN224" i="24" s="1"/>
  <c r="V567" i="29"/>
  <c r="AH567" i="29" s="1"/>
  <c r="V414" i="29"/>
  <c r="AH414" i="29" s="1"/>
  <c r="U401" i="29"/>
  <c r="AG401" i="29" s="1"/>
  <c r="V214" i="29"/>
  <c r="X214" i="29" s="1"/>
  <c r="Y214" i="29" s="1"/>
  <c r="V29" i="29"/>
  <c r="AH29" i="29" s="1"/>
  <c r="U45" i="29"/>
  <c r="W45" i="29" s="1"/>
  <c r="U522" i="29"/>
  <c r="AG522" i="29" s="1"/>
  <c r="V30" i="29"/>
  <c r="AH30" i="29" s="1"/>
  <c r="V171" i="29"/>
  <c r="X171" i="29" s="1"/>
  <c r="Y171" i="29" s="1"/>
  <c r="U88" i="29"/>
  <c r="W88" i="29" s="1"/>
  <c r="V224" i="29"/>
  <c r="X224" i="29" s="1"/>
  <c r="Y224" i="29" s="1"/>
  <c r="V605" i="29"/>
  <c r="X605" i="29" s="1"/>
  <c r="Y605" i="29" s="1"/>
  <c r="V101" i="29"/>
  <c r="AH101" i="29" s="1"/>
  <c r="U234" i="29"/>
  <c r="AG234" i="29" s="1"/>
  <c r="V418" i="29"/>
  <c r="AH418" i="29" s="1"/>
  <c r="U529" i="29"/>
  <c r="AG529" i="29" s="1"/>
  <c r="U140" i="29"/>
  <c r="AG140" i="29" s="1"/>
  <c r="U133" i="29"/>
  <c r="AG133" i="29" s="1"/>
  <c r="V554" i="29"/>
  <c r="AH554" i="29" s="1"/>
  <c r="U465" i="29"/>
  <c r="AG465" i="29" s="1"/>
  <c r="U341" i="29"/>
  <c r="AG341" i="29" s="1"/>
  <c r="U291" i="29"/>
  <c r="AG291" i="29" s="1"/>
  <c r="V388" i="29"/>
  <c r="AH388" i="29" s="1"/>
  <c r="U594" i="29"/>
  <c r="W594" i="29" s="1"/>
  <c r="V552" i="29"/>
  <c r="AH552" i="29" s="1"/>
  <c r="V499" i="29"/>
  <c r="AH499" i="29" s="1"/>
  <c r="V354" i="29"/>
  <c r="X354" i="29" s="1"/>
  <c r="Y354" i="29" s="1"/>
  <c r="V334" i="29"/>
  <c r="AH334" i="29" s="1"/>
  <c r="U230" i="29"/>
  <c r="W230" i="29" s="1"/>
  <c r="V69" i="29"/>
  <c r="AH69" i="29" s="1"/>
  <c r="V479" i="29"/>
  <c r="AH479" i="29" s="1"/>
  <c r="V415" i="29"/>
  <c r="AH415" i="29" s="1"/>
  <c r="U286" i="29"/>
  <c r="W286" i="29" s="1"/>
  <c r="V167" i="29"/>
  <c r="AH167" i="29" s="1"/>
  <c r="V424" i="29"/>
  <c r="AH424" i="29" s="1"/>
  <c r="U147" i="29"/>
  <c r="AG147" i="29" s="1"/>
  <c r="U170" i="29"/>
  <c r="AG170" i="29" s="1"/>
  <c r="U294" i="29"/>
  <c r="W294" i="29" s="1"/>
  <c r="U319" i="29"/>
  <c r="W319" i="29" s="1"/>
  <c r="U25" i="29"/>
  <c r="AG25" i="29" s="1"/>
  <c r="V44" i="29"/>
  <c r="AH44" i="29" s="1"/>
  <c r="V190" i="29"/>
  <c r="X190" i="29" s="1"/>
  <c r="Y190" i="29" s="1"/>
  <c r="V376" i="29"/>
  <c r="AH376" i="29" s="1"/>
  <c r="V342" i="29"/>
  <c r="AH342" i="29" s="1"/>
  <c r="V413" i="29"/>
  <c r="AH413" i="29" s="1"/>
  <c r="V81" i="29"/>
  <c r="X81" i="29" s="1"/>
  <c r="Y81" i="29" s="1"/>
  <c r="U440" i="29"/>
  <c r="W440" i="29" s="1"/>
  <c r="U422" i="29"/>
  <c r="AG422" i="29" s="1"/>
  <c r="V428" i="29"/>
  <c r="AH428" i="29" s="1"/>
  <c r="V40" i="29"/>
  <c r="AH40" i="29" s="1"/>
  <c r="V268" i="29"/>
  <c r="AH268" i="29" s="1"/>
  <c r="U609" i="29"/>
  <c r="W609" i="29" s="1"/>
  <c r="V486" i="29"/>
  <c r="X486" i="29" s="1"/>
  <c r="Y486" i="29" s="1"/>
  <c r="V321" i="29"/>
  <c r="X321" i="29" s="1"/>
  <c r="Y321" i="29" s="1"/>
  <c r="U447" i="29"/>
  <c r="W447" i="29" s="1"/>
  <c r="U84" i="29"/>
  <c r="AG84" i="29" s="1"/>
  <c r="V208" i="29"/>
  <c r="X208" i="29" s="1"/>
  <c r="Y208" i="29" s="1"/>
  <c r="U180" i="29"/>
  <c r="W180" i="29" s="1"/>
  <c r="V274" i="29"/>
  <c r="AH274" i="29" s="1"/>
  <c r="U488" i="29"/>
  <c r="W488" i="29" s="1"/>
  <c r="V494" i="29"/>
  <c r="X494" i="29" s="1"/>
  <c r="Y494" i="29" s="1"/>
  <c r="U183" i="29"/>
  <c r="AG183" i="29" s="1"/>
  <c r="V114" i="29"/>
  <c r="AH114" i="29" s="1"/>
  <c r="U463" i="29"/>
  <c r="AG463" i="29" s="1"/>
  <c r="U474" i="29"/>
  <c r="AG474" i="29" s="1"/>
  <c r="U324" i="29"/>
  <c r="W324" i="29" s="1"/>
  <c r="V346" i="29"/>
  <c r="X346" i="29" s="1"/>
  <c r="Y346" i="29" s="1"/>
  <c r="U13" i="29"/>
  <c r="AG13" i="29" s="1"/>
  <c r="BY26" i="24"/>
  <c r="CA26" i="24" s="1"/>
  <c r="CB26" i="24" s="1"/>
  <c r="BY148" i="24"/>
  <c r="CA148" i="24" s="1"/>
  <c r="CB148" i="24" s="1"/>
  <c r="V550" i="29"/>
  <c r="X550" i="29" s="1"/>
  <c r="Y550" i="29" s="1"/>
  <c r="U406" i="29"/>
  <c r="AG406" i="29" s="1"/>
  <c r="V581" i="29"/>
  <c r="X581" i="29" s="1"/>
  <c r="Y581" i="29" s="1"/>
  <c r="U453" i="29"/>
  <c r="W453" i="29" s="1"/>
  <c r="U33" i="29"/>
  <c r="W33" i="29" s="1"/>
  <c r="V57" i="29"/>
  <c r="AH57" i="29" s="1"/>
  <c r="U187" i="29"/>
  <c r="AG187" i="29" s="1"/>
  <c r="V302" i="29"/>
  <c r="X302" i="29" s="1"/>
  <c r="Y302" i="29" s="1"/>
  <c r="V197" i="29"/>
  <c r="AH197" i="29" s="1"/>
  <c r="BY58" i="24"/>
  <c r="CA58" i="24" s="1"/>
  <c r="CB58" i="24" s="1"/>
  <c r="V239" i="29"/>
  <c r="X239" i="29" s="1"/>
  <c r="Y239" i="29" s="1"/>
  <c r="U154" i="29"/>
  <c r="AG154" i="29" s="1"/>
  <c r="U336" i="29"/>
  <c r="AG336" i="29" s="1"/>
  <c r="V333" i="29"/>
  <c r="X333" i="29" s="1"/>
  <c r="Y333" i="29" s="1"/>
  <c r="U32" i="29"/>
  <c r="W32" i="29" s="1"/>
  <c r="U412" i="29"/>
  <c r="AG412" i="29" s="1"/>
  <c r="V267" i="29"/>
  <c r="X267" i="29" s="1"/>
  <c r="Y267" i="29" s="1"/>
  <c r="U117" i="29"/>
  <c r="W117" i="29" s="1"/>
  <c r="U390" i="29"/>
  <c r="W390" i="29" s="1"/>
  <c r="V178" i="29"/>
  <c r="AH178" i="29" s="1"/>
  <c r="U130" i="29"/>
  <c r="AG130" i="29" s="1"/>
  <c r="V505" i="29"/>
  <c r="AH505" i="29" s="1"/>
  <c r="U149" i="29"/>
  <c r="AG149" i="29" s="1"/>
  <c r="V329" i="29"/>
  <c r="AH329" i="29" s="1"/>
  <c r="BY33" i="24"/>
  <c r="CA33" i="24" s="1"/>
  <c r="CB33" i="24" s="1"/>
  <c r="V535" i="29"/>
  <c r="AH535" i="29" s="1"/>
  <c r="V467" i="29"/>
  <c r="X467" i="29" s="1"/>
  <c r="Y467" i="29" s="1"/>
  <c r="U164" i="29"/>
  <c r="AG164" i="29" s="1"/>
  <c r="U100" i="29"/>
  <c r="W100" i="29" s="1"/>
  <c r="U192" i="29"/>
  <c r="W192" i="29" s="1"/>
  <c r="V472" i="29"/>
  <c r="AH472" i="29" s="1"/>
  <c r="U297" i="29"/>
  <c r="AG297" i="29" s="1"/>
  <c r="V435" i="29"/>
  <c r="X435" i="29" s="1"/>
  <c r="Y435" i="29" s="1"/>
  <c r="V20" i="29"/>
  <c r="X20" i="29" s="1"/>
  <c r="Y20" i="29" s="1"/>
  <c r="V344" i="29"/>
  <c r="AH344" i="29" s="1"/>
  <c r="U460" i="29"/>
  <c r="W460" i="29" s="1"/>
  <c r="V476" i="29"/>
  <c r="AH476" i="29" s="1"/>
  <c r="V87" i="29"/>
  <c r="X87" i="29" s="1"/>
  <c r="Y87" i="29" s="1"/>
  <c r="U264" i="29"/>
  <c r="W264" i="29" s="1"/>
  <c r="U490" i="29"/>
  <c r="W490" i="29" s="1"/>
  <c r="V39" i="29"/>
  <c r="X39" i="29" s="1"/>
  <c r="Y39" i="29" s="1"/>
  <c r="V473" i="29"/>
  <c r="X473" i="29" s="1"/>
  <c r="Y473" i="29" s="1"/>
  <c r="V118" i="29"/>
  <c r="X118" i="29" s="1"/>
  <c r="Y118" i="29" s="1"/>
  <c r="V306" i="29"/>
  <c r="AH306" i="29" s="1"/>
  <c r="U540" i="29"/>
  <c r="W540" i="29" s="1"/>
  <c r="U330" i="29"/>
  <c r="AG330" i="29" s="1"/>
  <c r="U514" i="29"/>
  <c r="AG514" i="29" s="1"/>
  <c r="V17" i="29"/>
  <c r="X17" i="29" s="1"/>
  <c r="Y17" i="29" s="1"/>
  <c r="U120" i="29"/>
  <c r="W120" i="29" s="1"/>
  <c r="BY247" i="24"/>
  <c r="CA247" i="24" s="1"/>
  <c r="CB247" i="24" s="1"/>
  <c r="U210" i="29"/>
  <c r="AG210" i="29" s="1"/>
  <c r="U574" i="29"/>
  <c r="W574" i="29" s="1"/>
  <c r="V236" i="29"/>
  <c r="X236" i="29" s="1"/>
  <c r="Y236" i="29" s="1"/>
  <c r="U349" i="29"/>
  <c r="W349" i="29" s="1"/>
  <c r="U316" i="29"/>
  <c r="W316" i="29" s="1"/>
  <c r="BY19" i="24"/>
  <c r="CA19" i="24" s="1"/>
  <c r="CB19" i="24" s="1"/>
  <c r="V461" i="29"/>
  <c r="AH461" i="29" s="1"/>
  <c r="V136" i="29"/>
  <c r="X136" i="29" s="1"/>
  <c r="Y136" i="29" s="1"/>
  <c r="V438" i="29"/>
  <c r="X438" i="29" s="1"/>
  <c r="Y438" i="29" s="1"/>
  <c r="U23" i="29"/>
  <c r="AG23" i="29" s="1"/>
  <c r="V368" i="29"/>
  <c r="AH368" i="29" s="1"/>
  <c r="V612" i="29"/>
  <c r="X612" i="29" s="1"/>
  <c r="Y612" i="29" s="1"/>
  <c r="V250" i="29"/>
  <c r="AH250" i="29" s="1"/>
  <c r="U128" i="29"/>
  <c r="W128" i="29" s="1"/>
  <c r="V125" i="29"/>
  <c r="X125" i="29" s="1"/>
  <c r="Y125" i="29" s="1"/>
  <c r="U112" i="29"/>
  <c r="W112" i="29" s="1"/>
  <c r="U277" i="29"/>
  <c r="W277" i="29" s="1"/>
  <c r="U72" i="29"/>
  <c r="W72" i="29" s="1"/>
  <c r="U146" i="29"/>
  <c r="W146" i="29" s="1"/>
  <c r="U498" i="29"/>
  <c r="AG498" i="29" s="1"/>
  <c r="U219" i="29"/>
  <c r="AG219" i="29" s="1"/>
  <c r="U150" i="29"/>
  <c r="AG150" i="29" s="1"/>
  <c r="V281" i="29"/>
  <c r="AH281" i="29" s="1"/>
  <c r="V259" i="29"/>
  <c r="AH259" i="29" s="1"/>
  <c r="U366" i="29"/>
  <c r="W366" i="29" s="1"/>
  <c r="U569" i="29"/>
  <c r="W569" i="29" s="1"/>
  <c r="V262" i="29"/>
  <c r="AH262" i="29" s="1"/>
  <c r="U116" i="29"/>
  <c r="AG116" i="29" s="1"/>
  <c r="U588" i="29"/>
  <c r="AG588" i="29" s="1"/>
  <c r="BY228" i="24"/>
  <c r="CA228" i="24" s="1"/>
  <c r="CB228" i="24" s="1"/>
  <c r="U455" i="29"/>
  <c r="W455" i="29" s="1"/>
  <c r="V320" i="29"/>
  <c r="X320" i="29" s="1"/>
  <c r="Y320" i="29" s="1"/>
  <c r="U430" i="29"/>
  <c r="AG430" i="29" s="1"/>
  <c r="U432" i="29"/>
  <c r="AG432" i="29" s="1"/>
  <c r="U240" i="29"/>
  <c r="AG240" i="29" s="1"/>
  <c r="U351" i="29"/>
  <c r="AG351" i="29" s="1"/>
  <c r="V272" i="29"/>
  <c r="AH272" i="29" s="1"/>
  <c r="U199" i="29"/>
  <c r="AG199" i="29" s="1"/>
  <c r="V538" i="29"/>
  <c r="X538" i="29" s="1"/>
  <c r="Y538" i="29" s="1"/>
  <c r="V228" i="29"/>
  <c r="AH228" i="29" s="1"/>
  <c r="U41" i="29"/>
  <c r="AG41" i="29" s="1"/>
  <c r="V135" i="29"/>
  <c r="X135" i="29" s="1"/>
  <c r="Y135" i="29" s="1"/>
  <c r="U434" i="29"/>
  <c r="AG434" i="29" s="1"/>
  <c r="U38" i="29"/>
  <c r="W38" i="29" s="1"/>
  <c r="U177" i="29"/>
  <c r="AG177" i="29" s="1"/>
  <c r="V409" i="29"/>
  <c r="AH409" i="29" s="1"/>
  <c r="V76" i="29"/>
  <c r="X76" i="29" s="1"/>
  <c r="Y76" i="29" s="1"/>
  <c r="U244" i="29"/>
  <c r="W244" i="29" s="1"/>
  <c r="U583" i="29"/>
  <c r="W583" i="29" s="1"/>
  <c r="V273" i="29"/>
  <c r="AH273" i="29" s="1"/>
  <c r="V283" i="29"/>
  <c r="X283" i="29" s="1"/>
  <c r="Y283" i="29" s="1"/>
  <c r="V169" i="29"/>
  <c r="AH169" i="29" s="1"/>
  <c r="U103" i="29"/>
  <c r="W103" i="29" s="1"/>
  <c r="U92" i="29"/>
  <c r="W92" i="29" s="1"/>
  <c r="V355" i="29"/>
  <c r="X355" i="29" s="1"/>
  <c r="Y355" i="29" s="1"/>
  <c r="V249" i="29"/>
  <c r="X249" i="29" s="1"/>
  <c r="Y249" i="29" s="1"/>
  <c r="V188" i="29"/>
  <c r="X188" i="29" s="1"/>
  <c r="Y188" i="29" s="1"/>
  <c r="U232" i="29"/>
  <c r="W232" i="29" s="1"/>
  <c r="V275" i="29"/>
  <c r="X275" i="29" s="1"/>
  <c r="Y275" i="29" s="1"/>
  <c r="BY34" i="24"/>
  <c r="CA34" i="24" s="1"/>
  <c r="CB34" i="24" s="1"/>
  <c r="U260" i="29"/>
  <c r="W260" i="29" s="1"/>
  <c r="V395" i="29"/>
  <c r="AH395" i="29" s="1"/>
  <c r="V378" i="29"/>
  <c r="AH378" i="29" s="1"/>
  <c r="V539" i="29"/>
  <c r="AH539" i="29" s="1"/>
  <c r="V403" i="29"/>
  <c r="X403" i="29" s="1"/>
  <c r="Y403" i="29" s="1"/>
  <c r="V575" i="29"/>
  <c r="AH575" i="29" s="1"/>
  <c r="V446" i="29"/>
  <c r="X446" i="29" s="1"/>
  <c r="Y446" i="29" s="1"/>
  <c r="U433" i="29"/>
  <c r="AG433" i="29" s="1"/>
  <c r="U195" i="29"/>
  <c r="W195" i="29" s="1"/>
  <c r="V407" i="29"/>
  <c r="X407" i="29" s="1"/>
  <c r="Y407" i="29" s="1"/>
  <c r="V593" i="29"/>
  <c r="AH593" i="29" s="1"/>
  <c r="V484" i="29"/>
  <c r="X484" i="29" s="1"/>
  <c r="Y484" i="29" s="1"/>
  <c r="U502" i="29"/>
  <c r="AG502" i="29" s="1"/>
  <c r="V94" i="29"/>
  <c r="AH94" i="29" s="1"/>
  <c r="BY20" i="24"/>
  <c r="CA20" i="24" s="1"/>
  <c r="CB20" i="24" s="1"/>
  <c r="V295" i="29"/>
  <c r="X295" i="29" s="1"/>
  <c r="Y295" i="29" s="1"/>
  <c r="U201" i="29"/>
  <c r="W201" i="29" s="1"/>
  <c r="U523" i="29"/>
  <c r="W523" i="29" s="1"/>
  <c r="U383" i="29"/>
  <c r="AG383" i="29" s="1"/>
  <c r="V519" i="29"/>
  <c r="AH519" i="29" s="1"/>
  <c r="V36" i="29"/>
  <c r="AH36" i="29" s="1"/>
  <c r="V469" i="29"/>
  <c r="AH469" i="29" s="1"/>
  <c r="U245" i="29"/>
  <c r="AG245" i="29" s="1"/>
  <c r="V572" i="29"/>
  <c r="X572" i="29" s="1"/>
  <c r="Y572" i="29" s="1"/>
  <c r="U305" i="29"/>
  <c r="AG305" i="29" s="1"/>
  <c r="V411" i="29"/>
  <c r="AH411" i="29" s="1"/>
  <c r="U410" i="29"/>
  <c r="AG410" i="29" s="1"/>
  <c r="V21" i="29"/>
  <c r="AH21" i="29" s="1"/>
  <c r="U518" i="29"/>
  <c r="W518" i="29" s="1"/>
  <c r="U520" i="29"/>
  <c r="W520" i="29" s="1"/>
  <c r="V592" i="29"/>
  <c r="X592" i="29" s="1"/>
  <c r="Y592" i="29" s="1"/>
  <c r="V141" i="29"/>
  <c r="AH141" i="29" s="1"/>
  <c r="V14" i="29"/>
  <c r="AH14" i="29" s="1"/>
  <c r="V481" i="29"/>
  <c r="X481" i="29" s="1"/>
  <c r="Y481" i="29" s="1"/>
  <c r="U142" i="29"/>
  <c r="AG142" i="29" s="1"/>
  <c r="U382" i="29"/>
  <c r="AG382" i="29" s="1"/>
  <c r="V506" i="29"/>
  <c r="X506" i="29" s="1"/>
  <c r="Y506" i="29" s="1"/>
  <c r="V600" i="29"/>
  <c r="AH600" i="29" s="1"/>
  <c r="U353" i="29"/>
  <c r="AG353" i="29" s="1"/>
  <c r="U547" i="29"/>
  <c r="AG547" i="29" s="1"/>
  <c r="U315" i="29"/>
  <c r="AG315" i="29" s="1"/>
  <c r="V65" i="29"/>
  <c r="X65" i="29" s="1"/>
  <c r="Y65" i="29" s="1"/>
  <c r="U398" i="29"/>
  <c r="W398" i="29" s="1"/>
  <c r="U56" i="29"/>
  <c r="AG56" i="29" s="1"/>
  <c r="V456" i="29"/>
  <c r="X456" i="29" s="1"/>
  <c r="Y456" i="29" s="1"/>
  <c r="U301" i="29"/>
  <c r="AG301" i="29" s="1"/>
  <c r="V427" i="29"/>
  <c r="X427" i="29" s="1"/>
  <c r="Y427" i="29" s="1"/>
  <c r="V175" i="29"/>
  <c r="X175" i="29" s="1"/>
  <c r="Y175" i="29" s="1"/>
  <c r="V263" i="29"/>
  <c r="AH263" i="29" s="1"/>
  <c r="U145" i="29"/>
  <c r="W145" i="29" s="1"/>
  <c r="U356" i="29"/>
  <c r="AG356" i="29" s="1"/>
  <c r="U91" i="29"/>
  <c r="AG91" i="29" s="1"/>
  <c r="V243" i="29"/>
  <c r="X243" i="29" s="1"/>
  <c r="Y243" i="29" s="1"/>
  <c r="U450" i="29"/>
  <c r="AG450" i="29" s="1"/>
  <c r="U200" i="29"/>
  <c r="AG200" i="29" s="1"/>
  <c r="U531" i="29"/>
  <c r="AG531" i="29" s="1"/>
  <c r="U179" i="29"/>
  <c r="AG179" i="29" s="1"/>
  <c r="U202" i="29"/>
  <c r="W202" i="29" s="1"/>
  <c r="U426" i="29"/>
  <c r="W426" i="29" s="1"/>
  <c r="U172" i="29"/>
  <c r="W172" i="29" s="1"/>
  <c r="V191" i="29"/>
  <c r="AH191" i="29" s="1"/>
  <c r="V77" i="29"/>
  <c r="X77" i="29" s="1"/>
  <c r="Y77" i="29" s="1"/>
  <c r="V47" i="29"/>
  <c r="X47" i="29" s="1"/>
  <c r="Y47" i="29" s="1"/>
  <c r="V27" i="29"/>
  <c r="X27" i="29" s="1"/>
  <c r="Y27" i="29" s="1"/>
  <c r="U318" i="29"/>
  <c r="W318" i="29" s="1"/>
  <c r="V307" i="29"/>
  <c r="AH307" i="29" s="1"/>
  <c r="U119" i="29"/>
  <c r="W119" i="29" s="1"/>
  <c r="V160" i="29"/>
  <c r="AH160" i="29" s="1"/>
  <c r="V67" i="29"/>
  <c r="AH67" i="29" s="1"/>
  <c r="V313" i="29"/>
  <c r="X313" i="29" s="1"/>
  <c r="Y313" i="29" s="1"/>
  <c r="V16" i="29"/>
  <c r="X16" i="29" s="1"/>
  <c r="Y16" i="29" s="1"/>
  <c r="U158" i="29"/>
  <c r="W158" i="29" s="1"/>
  <c r="V392" i="29"/>
  <c r="X392" i="29" s="1"/>
  <c r="Y392" i="29" s="1"/>
  <c r="V548" i="29"/>
  <c r="AH548" i="29" s="1"/>
  <c r="U489" i="29"/>
  <c r="W489" i="29" s="1"/>
  <c r="U280" i="29"/>
  <c r="AG280" i="29" s="1"/>
  <c r="U444" i="29"/>
  <c r="AG444" i="29" s="1"/>
  <c r="U132" i="29"/>
  <c r="AG132" i="29" s="1"/>
  <c r="V83" i="29"/>
  <c r="AH83" i="29" s="1"/>
  <c r="V607" i="29"/>
  <c r="AH607" i="29" s="1"/>
  <c r="U492" i="29"/>
  <c r="AG492" i="29" s="1"/>
  <c r="V436" i="29"/>
  <c r="AH436" i="29" s="1"/>
  <c r="U528" i="29"/>
  <c r="AG528" i="29" s="1"/>
  <c r="V517" i="29"/>
  <c r="AH517" i="29" s="1"/>
  <c r="V215" i="29"/>
  <c r="AH215" i="29" s="1"/>
  <c r="V385" i="29"/>
  <c r="X385" i="29" s="1"/>
  <c r="Y385" i="29" s="1"/>
  <c r="U157" i="29"/>
  <c r="W157" i="29" s="1"/>
  <c r="U504" i="29"/>
  <c r="W504" i="29" s="1"/>
  <c r="V458" i="29"/>
  <c r="AH458" i="29" s="1"/>
  <c r="U449" i="29"/>
  <c r="W449" i="29" s="1"/>
  <c r="V237" i="29"/>
  <c r="X237" i="29" s="1"/>
  <c r="Y237" i="29" s="1"/>
  <c r="U226" i="29"/>
  <c r="W226" i="29" s="1"/>
  <c r="V601" i="29"/>
  <c r="AH601" i="29" s="1"/>
  <c r="U595" i="29"/>
  <c r="AG595" i="29" s="1"/>
  <c r="U26" i="29"/>
  <c r="AG26" i="29" s="1"/>
  <c r="V42" i="29"/>
  <c r="AH42" i="29" s="1"/>
  <c r="U265" i="29"/>
  <c r="W265" i="29" s="1"/>
  <c r="U542" i="29"/>
  <c r="AG542" i="29" s="1"/>
  <c r="U565" i="29"/>
  <c r="W565" i="29" s="1"/>
  <c r="U381" i="29"/>
  <c r="W381" i="29" s="1"/>
  <c r="U389" i="29"/>
  <c r="W389" i="29" s="1"/>
  <c r="V396" i="29"/>
  <c r="AH396" i="29" s="1"/>
  <c r="V95" i="29"/>
  <c r="X95" i="29" s="1"/>
  <c r="Y95" i="29" s="1"/>
  <c r="V182" i="29"/>
  <c r="AH182" i="29" s="1"/>
  <c r="V579" i="29"/>
  <c r="AH579" i="29" s="1"/>
  <c r="V269" i="29"/>
  <c r="AH269" i="29" s="1"/>
  <c r="V451" i="29"/>
  <c r="AH451" i="29" s="1"/>
  <c r="V102" i="29"/>
  <c r="X102" i="29" s="1"/>
  <c r="Y102" i="29" s="1"/>
  <c r="U37" i="29"/>
  <c r="AG37" i="29" s="1"/>
  <c r="U421" i="29"/>
  <c r="AG421" i="29" s="1"/>
  <c r="V300" i="29"/>
  <c r="X300" i="29" s="1"/>
  <c r="Y300" i="29" s="1"/>
  <c r="V227" i="29"/>
  <c r="AH227" i="29" s="1"/>
  <c r="V405" i="29"/>
  <c r="X405" i="29" s="1"/>
  <c r="Y405" i="29" s="1"/>
  <c r="U290" i="29"/>
  <c r="W290" i="29" s="1"/>
  <c r="V423" i="29"/>
  <c r="AH423" i="29" s="1"/>
  <c r="U278" i="29"/>
  <c r="AG278" i="29" s="1"/>
  <c r="U525" i="29"/>
  <c r="AG525" i="29" s="1"/>
  <c r="U568" i="29"/>
  <c r="W568" i="29" s="1"/>
  <c r="V126" i="29"/>
  <c r="AH126" i="29" s="1"/>
  <c r="CB162" i="24"/>
  <c r="CF162" i="24"/>
  <c r="U524" i="29"/>
  <c r="W524" i="29" s="1"/>
  <c r="U561" i="29"/>
  <c r="W561" i="29" s="1"/>
  <c r="U255" i="29"/>
  <c r="W255" i="29" s="1"/>
  <c r="V247" i="29"/>
  <c r="AH247" i="29" s="1"/>
  <c r="V134" i="29"/>
  <c r="X134" i="29" s="1"/>
  <c r="Y134" i="29" s="1"/>
  <c r="U287" i="29"/>
  <c r="W287" i="29" s="1"/>
  <c r="U533" i="29"/>
  <c r="AG533" i="29" s="1"/>
  <c r="U573" i="29"/>
  <c r="AG573" i="29" s="1"/>
  <c r="U375" i="29"/>
  <c r="AG375" i="29" s="1"/>
  <c r="U251" i="29"/>
  <c r="AG251" i="29" s="1"/>
  <c r="V51" i="29"/>
  <c r="AH51" i="29" s="1"/>
  <c r="U310" i="29"/>
  <c r="AG310" i="29" s="1"/>
  <c r="V68" i="29"/>
  <c r="AH68" i="29" s="1"/>
  <c r="V282" i="29"/>
  <c r="AH282" i="29" s="1"/>
  <c r="U369" i="29"/>
  <c r="AG369" i="29" s="1"/>
  <c r="U500" i="29"/>
  <c r="W500" i="29" s="1"/>
  <c r="V364" i="29"/>
  <c r="AH364" i="29" s="1"/>
  <c r="V416" i="29"/>
  <c r="X416" i="29" s="1"/>
  <c r="Y416" i="29" s="1"/>
  <c r="U15" i="29"/>
  <c r="AG15" i="29" s="1"/>
  <c r="U296" i="29"/>
  <c r="W296" i="29" s="1"/>
  <c r="V386" i="29"/>
  <c r="X386" i="29" s="1"/>
  <c r="Y386" i="29" s="1"/>
  <c r="U31" i="29"/>
  <c r="W31" i="29" s="1"/>
  <c r="V491" i="29"/>
  <c r="AH491" i="29" s="1"/>
  <c r="V211" i="29"/>
  <c r="AH211" i="29" s="1"/>
  <c r="U75" i="29"/>
  <c r="AG75" i="29" s="1"/>
  <c r="U534" i="29"/>
  <c r="W534" i="29" s="1"/>
  <c r="V399" i="29"/>
  <c r="AH399" i="29" s="1"/>
  <c r="U82" i="29"/>
  <c r="AG82" i="29" s="1"/>
  <c r="V570" i="29"/>
  <c r="AH570" i="29" s="1"/>
  <c r="U459" i="29"/>
  <c r="W459" i="29" s="1"/>
  <c r="V549" i="29"/>
  <c r="AH549" i="29" s="1"/>
  <c r="U99" i="29"/>
  <c r="AG99" i="29" s="1"/>
  <c r="U527" i="29"/>
  <c r="W527" i="29" s="1"/>
  <c r="U312" i="29"/>
  <c r="AG312" i="29" s="1"/>
  <c r="U314" i="29"/>
  <c r="W314" i="29" s="1"/>
  <c r="U431" i="29"/>
  <c r="AG431" i="29" s="1"/>
  <c r="V131" i="29"/>
  <c r="X131" i="29" s="1"/>
  <c r="Y131" i="29" s="1"/>
  <c r="U55" i="29"/>
  <c r="W55" i="29" s="1"/>
  <c r="V425" i="29"/>
  <c r="AH425" i="29" s="1"/>
  <c r="V394" i="29"/>
  <c r="X394" i="29" s="1"/>
  <c r="Y394" i="29" s="1"/>
  <c r="U143" i="29"/>
  <c r="W143" i="29" s="1"/>
  <c r="V482" i="29"/>
  <c r="X482" i="29" s="1"/>
  <c r="Y482" i="29" s="1"/>
  <c r="V487" i="29"/>
  <c r="AH487" i="29" s="1"/>
  <c r="U564" i="29"/>
  <c r="W564" i="29" s="1"/>
  <c r="V419" i="29"/>
  <c r="AH419" i="29" s="1"/>
  <c r="U173" i="29"/>
  <c r="W173" i="29" s="1"/>
  <c r="V420" i="29"/>
  <c r="AH420" i="29" s="1"/>
  <c r="U121" i="29"/>
  <c r="W121" i="29" s="1"/>
  <c r="V545" i="29"/>
  <c r="X545" i="29" s="1"/>
  <c r="Y545" i="29" s="1"/>
  <c r="V28" i="29"/>
  <c r="X28" i="29" s="1"/>
  <c r="Y28" i="29" s="1"/>
  <c r="V496" i="29"/>
  <c r="AH496" i="29" s="1"/>
  <c r="U441" i="29"/>
  <c r="AG441" i="29" s="1"/>
  <c r="BY117" i="24"/>
  <c r="CA117" i="24" s="1"/>
  <c r="CB117" i="24" s="1"/>
  <c r="U213" i="29"/>
  <c r="AG213" i="29" s="1"/>
  <c r="V372" i="29"/>
  <c r="AH372" i="29" s="1"/>
  <c r="U209" i="29"/>
  <c r="W209" i="29" s="1"/>
  <c r="V62" i="29"/>
  <c r="AH62" i="29" s="1"/>
  <c r="U495" i="29"/>
  <c r="AG495" i="29" s="1"/>
  <c r="U335" i="29"/>
  <c r="AG335" i="29" s="1"/>
  <c r="U360" i="29"/>
  <c r="AG360" i="29" s="1"/>
  <c r="V196" i="29"/>
  <c r="X196" i="29" s="1"/>
  <c r="Y196" i="29" s="1"/>
  <c r="V311" i="29"/>
  <c r="AH311" i="29" s="1"/>
  <c r="V162" i="29"/>
  <c r="AH162" i="29" s="1"/>
  <c r="V288" i="29"/>
  <c r="AH288" i="29" s="1"/>
  <c r="V129" i="29"/>
  <c r="AH129" i="29" s="1"/>
  <c r="BE237" i="25"/>
  <c r="BR237" i="25"/>
  <c r="BX237" i="25" s="1"/>
  <c r="V176" i="29"/>
  <c r="X176" i="29" s="1"/>
  <c r="Y176" i="29" s="1"/>
  <c r="AR212" i="25"/>
  <c r="BG212" i="25"/>
  <c r="BJ212" i="25" s="1"/>
  <c r="CE212" i="25"/>
  <c r="BH212" i="25"/>
  <c r="BW212" i="25"/>
  <c r="BU212" i="25"/>
  <c r="BF212" i="25"/>
  <c r="BR77" i="25"/>
  <c r="BV77" i="25" s="1"/>
  <c r="BX77" i="25" s="1"/>
  <c r="BE77" i="25"/>
  <c r="BK77" i="25" s="1"/>
  <c r="CF279" i="24"/>
  <c r="AH24" i="29"/>
  <c r="X24" i="29"/>
  <c r="Y24" i="29" s="1"/>
  <c r="BN16" i="24"/>
  <c r="BY16" i="24"/>
  <c r="CA16" i="24" s="1"/>
  <c r="CB16" i="24" s="1"/>
  <c r="BE191" i="25"/>
  <c r="BR191" i="25"/>
  <c r="BX191" i="25" s="1"/>
  <c r="X455" i="29"/>
  <c r="Y455" i="29" s="1"/>
  <c r="AH455" i="29"/>
  <c r="W248" i="29"/>
  <c r="AG248" i="29"/>
  <c r="X116" i="29"/>
  <c r="Y116" i="29" s="1"/>
  <c r="AH116" i="29"/>
  <c r="BY311" i="24"/>
  <c r="CA311" i="24" s="1"/>
  <c r="BM311" i="24"/>
  <c r="BN311" i="24" s="1"/>
  <c r="BR225" i="25"/>
  <c r="BX225" i="25" s="1"/>
  <c r="BE225" i="25"/>
  <c r="BR58" i="25"/>
  <c r="BV58" i="25" s="1"/>
  <c r="BX58" i="25" s="1"/>
  <c r="BE58" i="25"/>
  <c r="BK58" i="25" s="1"/>
  <c r="BY72" i="24"/>
  <c r="CA72" i="24" s="1"/>
  <c r="CB72" i="24" s="1"/>
  <c r="BN72" i="24"/>
  <c r="AH606" i="29"/>
  <c r="X606" i="29"/>
  <c r="Y606" i="29" s="1"/>
  <c r="AH584" i="29"/>
  <c r="X584" i="29"/>
  <c r="Y584" i="29" s="1"/>
  <c r="W355" i="29"/>
  <c r="AG355" i="29"/>
  <c r="X270" i="29"/>
  <c r="Y270" i="29" s="1"/>
  <c r="AH270" i="29"/>
  <c r="X248" i="29"/>
  <c r="Y248" i="29" s="1"/>
  <c r="AH248" i="29"/>
  <c r="X133" i="29"/>
  <c r="Y133" i="29" s="1"/>
  <c r="AH133" i="29"/>
  <c r="AG408" i="29"/>
  <c r="W408" i="29"/>
  <c r="W392" i="29"/>
  <c r="AG392" i="29"/>
  <c r="X290" i="29"/>
  <c r="Y290" i="29" s="1"/>
  <c r="AH290" i="29"/>
  <c r="AH143" i="29"/>
  <c r="X143" i="29"/>
  <c r="Y143" i="29" s="1"/>
  <c r="AG404" i="29"/>
  <c r="W404" i="29"/>
  <c r="AG35" i="29"/>
  <c r="W35" i="29"/>
  <c r="W423" i="29"/>
  <c r="AG423" i="29"/>
  <c r="X611" i="29"/>
  <c r="Y611" i="29" s="1"/>
  <c r="AH611" i="29"/>
  <c r="BY303" i="24"/>
  <c r="CA303" i="24" s="1"/>
  <c r="CB303" i="24" s="1"/>
  <c r="BM303" i="24"/>
  <c r="BN303" i="24" s="1"/>
  <c r="BY92" i="24"/>
  <c r="CA92" i="24" s="1"/>
  <c r="BN92" i="24"/>
  <c r="BN102" i="24"/>
  <c r="BY102" i="24"/>
  <c r="CA102" i="24" s="1"/>
  <c r="BY235" i="24"/>
  <c r="CA235" i="24" s="1"/>
  <c r="CB235" i="24" s="1"/>
  <c r="BM235" i="24"/>
  <c r="BN235" i="24" s="1"/>
  <c r="BY113" i="25"/>
  <c r="CA113" i="25" s="1"/>
  <c r="CB113" i="25" s="1"/>
  <c r="BL113" i="25"/>
  <c r="BK113" i="25"/>
  <c r="BE200" i="25"/>
  <c r="BR200" i="25"/>
  <c r="BX200" i="25" s="1"/>
  <c r="BE80" i="25"/>
  <c r="BK80" i="25" s="1"/>
  <c r="BR80" i="25"/>
  <c r="BV80" i="25" s="1"/>
  <c r="BX80" i="25" s="1"/>
  <c r="BE188" i="25"/>
  <c r="BR188" i="25"/>
  <c r="BX188" i="25" s="1"/>
  <c r="BL276" i="25"/>
  <c r="BY276" i="25"/>
  <c r="CA276" i="25" s="1"/>
  <c r="CB276" i="25" s="1"/>
  <c r="BK276" i="25"/>
  <c r="W257" i="29"/>
  <c r="AG257" i="29"/>
  <c r="AG118" i="29"/>
  <c r="W118" i="29"/>
  <c r="W135" i="29"/>
  <c r="AG135" i="29"/>
  <c r="AH406" i="29"/>
  <c r="X406" i="29"/>
  <c r="Y406" i="29" s="1"/>
  <c r="AG124" i="29"/>
  <c r="W124" i="29"/>
  <c r="AG66" i="29"/>
  <c r="W66" i="29"/>
  <c r="AG535" i="29"/>
  <c r="W535" i="29"/>
  <c r="AH583" i="29"/>
  <c r="X583" i="29"/>
  <c r="Y583" i="29" s="1"/>
  <c r="X277" i="29"/>
  <c r="Y277" i="29" s="1"/>
  <c r="AH277" i="29"/>
  <c r="W208" i="29"/>
  <c r="AG208" i="29"/>
  <c r="W457" i="29"/>
  <c r="AG457" i="29"/>
  <c r="W499" i="29"/>
  <c r="AG499" i="29"/>
  <c r="AH278" i="29"/>
  <c r="X278" i="29"/>
  <c r="Y278" i="29" s="1"/>
  <c r="AG482" i="29"/>
  <c r="W482" i="29"/>
  <c r="AG487" i="29"/>
  <c r="W487" i="29"/>
  <c r="X123" i="29"/>
  <c r="Y123" i="29" s="1"/>
  <c r="AH123" i="29"/>
  <c r="AH412" i="29"/>
  <c r="X412" i="29"/>
  <c r="Y412" i="29" s="1"/>
  <c r="AG415" i="29"/>
  <c r="W415" i="29"/>
  <c r="BE159" i="25"/>
  <c r="BR159" i="25"/>
  <c r="BX159" i="25" s="1"/>
  <c r="BE256" i="25"/>
  <c r="BR256" i="25"/>
  <c r="BX256" i="25" s="1"/>
  <c r="BR42" i="25"/>
  <c r="BV42" i="25" s="1"/>
  <c r="BX42" i="25" s="1"/>
  <c r="BE42" i="25"/>
  <c r="BK42" i="25" s="1"/>
  <c r="BY183" i="24"/>
  <c r="CA183" i="24" s="1"/>
  <c r="CB183" i="24" s="1"/>
  <c r="BM183" i="24"/>
  <c r="BN183" i="24" s="1"/>
  <c r="BE266" i="25"/>
  <c r="BR266" i="25"/>
  <c r="BX266" i="25" s="1"/>
  <c r="BY237" i="24"/>
  <c r="CA237" i="24" s="1"/>
  <c r="CB237" i="24" s="1"/>
  <c r="BM237" i="24"/>
  <c r="BN237" i="24" s="1"/>
  <c r="AG384" i="29"/>
  <c r="W384" i="29"/>
  <c r="AH323" i="29"/>
  <c r="X323" i="29"/>
  <c r="Y323" i="29" s="1"/>
  <c r="W303" i="29"/>
  <c r="AG303" i="29"/>
  <c r="BY37" i="24"/>
  <c r="CA37" i="24" s="1"/>
  <c r="CB37" i="24" s="1"/>
  <c r="BN37" i="24"/>
  <c r="BY78" i="24"/>
  <c r="CA78" i="24" s="1"/>
  <c r="CB78" i="24" s="1"/>
  <c r="BN78" i="24"/>
  <c r="BL198" i="25"/>
  <c r="BY198" i="25"/>
  <c r="CA198" i="25" s="1"/>
  <c r="BK198" i="25"/>
  <c r="BE264" i="25"/>
  <c r="BR264" i="25"/>
  <c r="BX264" i="25" s="1"/>
  <c r="BL104" i="25"/>
  <c r="BY104" i="25"/>
  <c r="CA104" i="25" s="1"/>
  <c r="BE235" i="25"/>
  <c r="BR235" i="25"/>
  <c r="BX235" i="25" s="1"/>
  <c r="AG456" i="29"/>
  <c r="W456" i="29"/>
  <c r="AH341" i="29"/>
  <c r="X341" i="29"/>
  <c r="Y341" i="29" s="1"/>
  <c r="X252" i="29"/>
  <c r="Y252" i="29" s="1"/>
  <c r="AH252" i="29"/>
  <c r="AG436" i="29"/>
  <c r="W436" i="29"/>
  <c r="W40" i="29"/>
  <c r="AG40" i="29"/>
  <c r="AG57" i="29"/>
  <c r="W57" i="29"/>
  <c r="AG272" i="29"/>
  <c r="W272" i="29"/>
  <c r="AH398" i="29"/>
  <c r="X398" i="29"/>
  <c r="Y398" i="29" s="1"/>
  <c r="W114" i="29"/>
  <c r="AG114" i="29"/>
  <c r="AG578" i="29"/>
  <c r="W578" i="29"/>
  <c r="AG334" i="29"/>
  <c r="W334" i="29"/>
  <c r="X490" i="29"/>
  <c r="Y490" i="29" s="1"/>
  <c r="AH490" i="29"/>
  <c r="X365" i="29"/>
  <c r="Y365" i="29" s="1"/>
  <c r="AH365" i="29"/>
  <c r="AG293" i="29"/>
  <c r="W293" i="29"/>
  <c r="AH187" i="29"/>
  <c r="X187" i="29"/>
  <c r="Y187" i="29" s="1"/>
  <c r="BE127" i="25"/>
  <c r="BR127" i="25"/>
  <c r="BX127" i="25" s="1"/>
  <c r="BR49" i="25"/>
  <c r="BV49" i="25" s="1"/>
  <c r="BX49" i="25" s="1"/>
  <c r="BE49" i="25"/>
  <c r="BK49" i="25" s="1"/>
  <c r="BY251" i="24"/>
  <c r="CA251" i="24" s="1"/>
  <c r="CB251" i="24" s="1"/>
  <c r="BM251" i="24"/>
  <c r="BN251" i="24" s="1"/>
  <c r="BY67" i="24"/>
  <c r="CA67" i="24" s="1"/>
  <c r="CB67" i="24" s="1"/>
  <c r="BN67" i="24"/>
  <c r="BE222" i="25"/>
  <c r="BR222" i="25"/>
  <c r="BX222" i="25" s="1"/>
  <c r="BY177" i="24"/>
  <c r="CA177" i="24" s="1"/>
  <c r="CB177" i="24" s="1"/>
  <c r="BM177" i="24"/>
  <c r="BN177" i="24" s="1"/>
  <c r="BR98" i="25"/>
  <c r="BV98" i="25" s="1"/>
  <c r="BX98" i="25" s="1"/>
  <c r="BE98" i="25"/>
  <c r="BK98" i="25" s="1"/>
  <c r="BY202" i="24"/>
  <c r="CA202" i="24" s="1"/>
  <c r="BM202" i="24"/>
  <c r="BN202" i="24" s="1"/>
  <c r="BE183" i="25"/>
  <c r="BR183" i="25"/>
  <c r="BX183" i="25" s="1"/>
  <c r="BE151" i="25"/>
  <c r="BR151" i="25"/>
  <c r="BX151" i="25" s="1"/>
  <c r="AG402" i="29"/>
  <c r="W402" i="29"/>
  <c r="AG544" i="29"/>
  <c r="W544" i="29"/>
  <c r="AG313" i="29"/>
  <c r="W313" i="29"/>
  <c r="AH442" i="29"/>
  <c r="X442" i="29"/>
  <c r="Y442" i="29" s="1"/>
  <c r="AH598" i="29"/>
  <c r="X598" i="29"/>
  <c r="Y598" i="29" s="1"/>
  <c r="AG409" i="29"/>
  <c r="W409" i="29"/>
  <c r="AH587" i="29"/>
  <c r="X587" i="29"/>
  <c r="Y587" i="29" s="1"/>
  <c r="AG577" i="29"/>
  <c r="W577" i="29"/>
  <c r="AG591" i="29"/>
  <c r="W591" i="29"/>
  <c r="AH185" i="29"/>
  <c r="X185" i="29"/>
  <c r="Y185" i="29" s="1"/>
  <c r="W268" i="29"/>
  <c r="AG268" i="29"/>
  <c r="AH86" i="29"/>
  <c r="X86" i="29"/>
  <c r="Y86" i="29" s="1"/>
  <c r="W543" i="29"/>
  <c r="AG543" i="29"/>
  <c r="X148" i="29"/>
  <c r="Y148" i="29" s="1"/>
  <c r="AH148" i="29"/>
  <c r="X230" i="29"/>
  <c r="Y230" i="29" s="1"/>
  <c r="AH230" i="29"/>
  <c r="X609" i="29"/>
  <c r="Y609" i="29" s="1"/>
  <c r="AH609" i="29"/>
  <c r="X511" i="29"/>
  <c r="Y511" i="29" s="1"/>
  <c r="AH511" i="29"/>
  <c r="BY95" i="24"/>
  <c r="CA95" i="24" s="1"/>
  <c r="CB95" i="24" s="1"/>
  <c r="BN95" i="24"/>
  <c r="BN84" i="24"/>
  <c r="BY84" i="24"/>
  <c r="CA84" i="24" s="1"/>
  <c r="CB84" i="24" s="1"/>
  <c r="BE47" i="25"/>
  <c r="BK47" i="25" s="1"/>
  <c r="BR47" i="25"/>
  <c r="BV47" i="25" s="1"/>
  <c r="BX47" i="25" s="1"/>
  <c r="BE180" i="25"/>
  <c r="BR180" i="25"/>
  <c r="BX180" i="25" s="1"/>
  <c r="BR61" i="25"/>
  <c r="BV61" i="25" s="1"/>
  <c r="BX61" i="25" s="1"/>
  <c r="BE61" i="25"/>
  <c r="BK61" i="25" s="1"/>
  <c r="BY304" i="24"/>
  <c r="CA304" i="24" s="1"/>
  <c r="CB304" i="24" s="1"/>
  <c r="BM304" i="24"/>
  <c r="BN304" i="24" s="1"/>
  <c r="BE133" i="25"/>
  <c r="BR133" i="25"/>
  <c r="BX133" i="25" s="1"/>
  <c r="BY31" i="25"/>
  <c r="CA31" i="25" s="1"/>
  <c r="CB31" i="25" s="1"/>
  <c r="BL31" i="25"/>
  <c r="BY258" i="24"/>
  <c r="CA258" i="24" s="1"/>
  <c r="CB258" i="24" s="1"/>
  <c r="BM258" i="24"/>
  <c r="BN258" i="24" s="1"/>
  <c r="W206" i="29"/>
  <c r="AG206" i="29"/>
  <c r="AG174" i="29"/>
  <c r="W174" i="29"/>
  <c r="AH128" i="29"/>
  <c r="X128" i="29"/>
  <c r="Y128" i="29" s="1"/>
  <c r="AH19" i="29"/>
  <c r="X19" i="29"/>
  <c r="Y19" i="29" s="1"/>
  <c r="AH328" i="29"/>
  <c r="X328" i="29"/>
  <c r="Y328" i="29" s="1"/>
  <c r="AH322" i="29"/>
  <c r="X322" i="29"/>
  <c r="Y322" i="29" s="1"/>
  <c r="W393" i="29"/>
  <c r="AG393" i="29"/>
  <c r="BY307" i="24"/>
  <c r="CA307" i="24" s="1"/>
  <c r="BM307" i="24"/>
  <c r="BN307" i="24" s="1"/>
  <c r="BL192" i="25"/>
  <c r="BY192" i="25"/>
  <c r="CA192" i="25" s="1"/>
  <c r="BK192" i="25"/>
  <c r="BE35" i="25"/>
  <c r="BK35" i="25" s="1"/>
  <c r="BR35" i="25"/>
  <c r="BV35" i="25" s="1"/>
  <c r="BX35" i="25" s="1"/>
  <c r="BY190" i="25"/>
  <c r="CA190" i="25" s="1"/>
  <c r="BL190" i="25"/>
  <c r="BK190" i="25"/>
  <c r="BN79" i="24"/>
  <c r="BY79" i="24"/>
  <c r="CA79" i="24" s="1"/>
  <c r="BE228" i="25"/>
  <c r="BR228" i="25"/>
  <c r="BX228" i="25" s="1"/>
  <c r="BY176" i="24"/>
  <c r="CA176" i="24" s="1"/>
  <c r="CB176" i="24" s="1"/>
  <c r="BM176" i="24"/>
  <c r="BN176" i="24" s="1"/>
  <c r="BE288" i="25"/>
  <c r="BR288" i="25"/>
  <c r="BX288" i="25" s="1"/>
  <c r="BN32" i="24"/>
  <c r="BY32" i="24"/>
  <c r="CA32" i="24" s="1"/>
  <c r="CB32" i="24" s="1"/>
  <c r="BY218" i="24"/>
  <c r="CA218" i="24" s="1"/>
  <c r="CB218" i="24" s="1"/>
  <c r="BM218" i="24"/>
  <c r="BN218" i="24" s="1"/>
  <c r="AG327" i="29"/>
  <c r="W327" i="29"/>
  <c r="AG113" i="29"/>
  <c r="W113" i="29"/>
  <c r="BY15" i="24"/>
  <c r="CA15" i="24" s="1"/>
  <c r="CB15" i="24" s="1"/>
  <c r="B272" i="2" s="1"/>
  <c r="BN15" i="24"/>
  <c r="BY131" i="25"/>
  <c r="CA131" i="25" s="1"/>
  <c r="CB131" i="25" s="1"/>
  <c r="BL131" i="25"/>
  <c r="BK131" i="25"/>
  <c r="BR7" i="25"/>
  <c r="BV7" i="25" s="1"/>
  <c r="BX7" i="25" s="1"/>
  <c r="BE7" i="25"/>
  <c r="BK7" i="25" s="1"/>
  <c r="BR60" i="25"/>
  <c r="BV60" i="25" s="1"/>
  <c r="BX60" i="25" s="1"/>
  <c r="BE60" i="25"/>
  <c r="BK60" i="25" s="1"/>
  <c r="BN56" i="24"/>
  <c r="BY56" i="24"/>
  <c r="CA56" i="24" s="1"/>
  <c r="BE176" i="25"/>
  <c r="BR176" i="25"/>
  <c r="BX176" i="25" s="1"/>
  <c r="BN70" i="24"/>
  <c r="BY70" i="24"/>
  <c r="CA70" i="24" s="1"/>
  <c r="CB70" i="24" s="1"/>
  <c r="AG416" i="29"/>
  <c r="W416" i="29"/>
  <c r="AG346" i="29"/>
  <c r="W346" i="29"/>
  <c r="AH55" i="29"/>
  <c r="X55" i="29"/>
  <c r="Y55" i="29" s="1"/>
  <c r="X201" i="29"/>
  <c r="Y201" i="29" s="1"/>
  <c r="AH201" i="29"/>
  <c r="X599" i="29"/>
  <c r="Y599" i="29" s="1"/>
  <c r="AH599" i="29"/>
  <c r="W65" i="29"/>
  <c r="AG65" i="29"/>
  <c r="AH460" i="29"/>
  <c r="X460" i="29"/>
  <c r="Y460" i="29" s="1"/>
  <c r="AG425" i="29"/>
  <c r="W425" i="29"/>
  <c r="W575" i="29"/>
  <c r="AG575" i="29"/>
  <c r="W171" i="29"/>
  <c r="AG171" i="29"/>
  <c r="AG438" i="29"/>
  <c r="W438" i="29"/>
  <c r="AH99" i="29"/>
  <c r="X99" i="29"/>
  <c r="Y99" i="29" s="1"/>
  <c r="AG176" i="29"/>
  <c r="W176" i="29"/>
  <c r="AG476" i="29"/>
  <c r="W476" i="29"/>
  <c r="BY281" i="24"/>
  <c r="CA281" i="24" s="1"/>
  <c r="CB281" i="24" s="1"/>
  <c r="BM281" i="24"/>
  <c r="BN281" i="24" s="1"/>
  <c r="BE249" i="25"/>
  <c r="BR249" i="25"/>
  <c r="BX249" i="25" s="1"/>
  <c r="BY42" i="24"/>
  <c r="CA42" i="24" s="1"/>
  <c r="CB42" i="24" s="1"/>
  <c r="BN42" i="24"/>
  <c r="BY268" i="24"/>
  <c r="CA268" i="24" s="1"/>
  <c r="BM268" i="24"/>
  <c r="BN268" i="24" s="1"/>
  <c r="BY189" i="24"/>
  <c r="CA189" i="24" s="1"/>
  <c r="CB189" i="24" s="1"/>
  <c r="BM189" i="24"/>
  <c r="BN189" i="24" s="1"/>
  <c r="BR64" i="25"/>
  <c r="BV64" i="25" s="1"/>
  <c r="BX64" i="25" s="1"/>
  <c r="BE64" i="25"/>
  <c r="BK64" i="25" s="1"/>
  <c r="BY165" i="24"/>
  <c r="CA165" i="24" s="1"/>
  <c r="CB165" i="24" s="1"/>
  <c r="BM165" i="24"/>
  <c r="BN165" i="24" s="1"/>
  <c r="AH61" i="29"/>
  <c r="X61" i="29"/>
  <c r="Y61" i="29" s="1"/>
  <c r="BE115" i="25"/>
  <c r="BR115" i="25"/>
  <c r="BX115" i="25" s="1"/>
  <c r="BN100" i="24"/>
  <c r="BY100" i="24"/>
  <c r="CA100" i="24" s="1"/>
  <c r="CB100" i="24" s="1"/>
  <c r="BY172" i="24"/>
  <c r="CA172" i="24" s="1"/>
  <c r="CB172" i="24" s="1"/>
  <c r="BM172" i="24"/>
  <c r="BN172" i="24" s="1"/>
  <c r="AG584" i="29"/>
  <c r="W584" i="29"/>
  <c r="AH210" i="29"/>
  <c r="X210" i="29"/>
  <c r="Y210" i="29" s="1"/>
  <c r="BY306" i="24"/>
  <c r="CA306" i="24" s="1"/>
  <c r="BM306" i="24"/>
  <c r="BN306" i="24" s="1"/>
  <c r="BY51" i="24"/>
  <c r="CA51" i="24" s="1"/>
  <c r="CB51" i="24" s="1"/>
  <c r="BN51" i="24"/>
  <c r="BE279" i="25"/>
  <c r="BR279" i="25"/>
  <c r="BX279" i="25" s="1"/>
  <c r="BY57" i="24"/>
  <c r="CA57" i="24" s="1"/>
  <c r="CB57" i="24" s="1"/>
  <c r="BN57" i="24"/>
  <c r="AG74" i="29"/>
  <c r="W74" i="29"/>
  <c r="W508" i="29"/>
  <c r="AG508" i="29"/>
  <c r="AH286" i="29"/>
  <c r="X286" i="29"/>
  <c r="Y286" i="29" s="1"/>
  <c r="AH560" i="29"/>
  <c r="X560" i="29"/>
  <c r="Y560" i="29" s="1"/>
  <c r="AH25" i="29"/>
  <c r="X25" i="29"/>
  <c r="Y25" i="29" s="1"/>
  <c r="BY315" i="24"/>
  <c r="CA315" i="24" s="1"/>
  <c r="BM315" i="24"/>
  <c r="BN315" i="24" s="1"/>
  <c r="BE316" i="25"/>
  <c r="BR316" i="25"/>
  <c r="BX316" i="25" s="1"/>
  <c r="BE219" i="25"/>
  <c r="BR219" i="25"/>
  <c r="BX219" i="25" s="1"/>
  <c r="BR15" i="25"/>
  <c r="BV15" i="25" s="1"/>
  <c r="BX15" i="25" s="1"/>
  <c r="BE15" i="25"/>
  <c r="BK15" i="25" s="1"/>
  <c r="BY148" i="25"/>
  <c r="CA148" i="25" s="1"/>
  <c r="CB148" i="25" s="1"/>
  <c r="BL148" i="25"/>
  <c r="BK148" i="25"/>
  <c r="BE284" i="25"/>
  <c r="BR284" i="25"/>
  <c r="BX284" i="25" s="1"/>
  <c r="BY29" i="24"/>
  <c r="CA29" i="24" s="1"/>
  <c r="CB29" i="24" s="1"/>
  <c r="BN29" i="24"/>
  <c r="BY256" i="24"/>
  <c r="CA256" i="24" s="1"/>
  <c r="CB256" i="24" s="1"/>
  <c r="BM256" i="24"/>
  <c r="BN256" i="24" s="1"/>
  <c r="BY122" i="24"/>
  <c r="CA122" i="24" s="1"/>
  <c r="CB122" i="24" s="1"/>
  <c r="BM122" i="24"/>
  <c r="BN122" i="24" s="1"/>
  <c r="BL189" i="25"/>
  <c r="BY189" i="25"/>
  <c r="CA189" i="25" s="1"/>
  <c r="BK189" i="25"/>
  <c r="BR128" i="25"/>
  <c r="BX128" i="25" s="1"/>
  <c r="BE128" i="25"/>
  <c r="W85" i="29"/>
  <c r="AG85" i="29"/>
  <c r="AH509" i="29"/>
  <c r="X509" i="29"/>
  <c r="Y509" i="29" s="1"/>
  <c r="X52" i="29"/>
  <c r="Y52" i="29" s="1"/>
  <c r="AH52" i="29"/>
  <c r="AH90" i="29"/>
  <c r="X90" i="29"/>
  <c r="Y90" i="29" s="1"/>
  <c r="AH216" i="29"/>
  <c r="X216" i="29"/>
  <c r="Y216" i="29" s="1"/>
  <c r="W367" i="29"/>
  <c r="AG367" i="29"/>
  <c r="BE25" i="25"/>
  <c r="BK25" i="25" s="1"/>
  <c r="BR25" i="25"/>
  <c r="BV25" i="25" s="1"/>
  <c r="BX25" i="25" s="1"/>
  <c r="BR9" i="25"/>
  <c r="BV9" i="25" s="1"/>
  <c r="BX9" i="25" s="1"/>
  <c r="BE9" i="25"/>
  <c r="BK9" i="25" s="1"/>
  <c r="BY167" i="25"/>
  <c r="CA167" i="25" s="1"/>
  <c r="CB167" i="25" s="1"/>
  <c r="BL167" i="25"/>
  <c r="BK167" i="25"/>
  <c r="BY178" i="24"/>
  <c r="CA178" i="24" s="1"/>
  <c r="BM178" i="24"/>
  <c r="BN178" i="24" s="1"/>
  <c r="BR236" i="25"/>
  <c r="BX236" i="25" s="1"/>
  <c r="BE236" i="25"/>
  <c r="BY161" i="25"/>
  <c r="CA161" i="25" s="1"/>
  <c r="BL161" i="25"/>
  <c r="BK161" i="25"/>
  <c r="BY289" i="24"/>
  <c r="CA289" i="24" s="1"/>
  <c r="CB289" i="24" s="1"/>
  <c r="BM289" i="24"/>
  <c r="BN289" i="24" s="1"/>
  <c r="BY139" i="24"/>
  <c r="CA139" i="24" s="1"/>
  <c r="BM139" i="24"/>
  <c r="BN139" i="24" s="1"/>
  <c r="BE244" i="25"/>
  <c r="BR244" i="25"/>
  <c r="BX244" i="25" s="1"/>
  <c r="AH183" i="29"/>
  <c r="X183" i="29"/>
  <c r="Y183" i="29" s="1"/>
  <c r="AH200" i="29"/>
  <c r="X200" i="29"/>
  <c r="Y200" i="29" s="1"/>
  <c r="AH173" i="29"/>
  <c r="X173" i="29"/>
  <c r="Y173" i="29" s="1"/>
  <c r="W420" i="29"/>
  <c r="AG420" i="29"/>
  <c r="AH121" i="29"/>
  <c r="X121" i="29"/>
  <c r="Y121" i="29" s="1"/>
  <c r="W605" i="29"/>
  <c r="AG605" i="29"/>
  <c r="AG273" i="29"/>
  <c r="W273" i="29"/>
  <c r="AH107" i="29"/>
  <c r="X107" i="29"/>
  <c r="Y107" i="29" s="1"/>
  <c r="AG607" i="29"/>
  <c r="W607" i="29"/>
  <c r="W323" i="29"/>
  <c r="AG323" i="29"/>
  <c r="W269" i="29"/>
  <c r="AG269" i="29"/>
  <c r="W68" i="29"/>
  <c r="AG68" i="29"/>
  <c r="AH439" i="29"/>
  <c r="X439" i="29"/>
  <c r="Y439" i="29" s="1"/>
  <c r="W545" i="29"/>
  <c r="AG545" i="29"/>
  <c r="X170" i="29"/>
  <c r="Y170" i="29" s="1"/>
  <c r="AH170" i="29"/>
  <c r="X465" i="29"/>
  <c r="Y465" i="29" s="1"/>
  <c r="AH465" i="29"/>
  <c r="X49" i="29"/>
  <c r="Y49" i="29" s="1"/>
  <c r="AH49" i="29"/>
  <c r="BY6" i="25"/>
  <c r="CA6" i="25" s="1"/>
  <c r="CB6" i="25" s="1"/>
  <c r="BL6" i="25"/>
  <c r="BY10" i="24"/>
  <c r="CA10" i="24" s="1"/>
  <c r="CB10" i="24" s="1"/>
  <c r="BN10" i="24"/>
  <c r="BE251" i="25"/>
  <c r="BR251" i="25"/>
  <c r="BX251" i="25" s="1"/>
  <c r="AG137" i="29"/>
  <c r="W137" i="29"/>
  <c r="AH588" i="29"/>
  <c r="X588" i="29"/>
  <c r="Y588" i="29" s="1"/>
  <c r="AH326" i="29"/>
  <c r="X326" i="29"/>
  <c r="Y326" i="29" s="1"/>
  <c r="AH366" i="29"/>
  <c r="X366" i="29"/>
  <c r="Y366" i="29" s="1"/>
  <c r="AH223" i="29"/>
  <c r="X223" i="29"/>
  <c r="Y223" i="29" s="1"/>
  <c r="AH238" i="29"/>
  <c r="X238" i="29"/>
  <c r="Y238" i="29" s="1"/>
  <c r="BE311" i="25"/>
  <c r="BR311" i="25"/>
  <c r="BX311" i="25" s="1"/>
  <c r="BE120" i="25"/>
  <c r="BR120" i="25"/>
  <c r="BX120" i="25" s="1"/>
  <c r="BY155" i="24"/>
  <c r="CA155" i="24" s="1"/>
  <c r="CB155" i="24" s="1"/>
  <c r="BM155" i="24"/>
  <c r="BN155" i="24" s="1"/>
  <c r="BR83" i="25"/>
  <c r="BV83" i="25" s="1"/>
  <c r="BX83" i="25" s="1"/>
  <c r="BE83" i="25"/>
  <c r="BK83" i="25" s="1"/>
  <c r="BR207" i="25"/>
  <c r="BX207" i="25" s="1"/>
  <c r="BE207" i="25"/>
  <c r="BY179" i="24"/>
  <c r="CA179" i="24" s="1"/>
  <c r="BM179" i="24"/>
  <c r="BN179" i="24" s="1"/>
  <c r="BY269" i="24"/>
  <c r="CA269" i="24" s="1"/>
  <c r="CB269" i="24" s="1"/>
  <c r="BM269" i="24"/>
  <c r="BN269" i="24" s="1"/>
  <c r="BE118" i="25"/>
  <c r="BR118" i="25"/>
  <c r="BX118" i="25" s="1"/>
  <c r="BN85" i="24"/>
  <c r="BY85" i="24"/>
  <c r="CA85" i="24" s="1"/>
  <c r="CB85" i="24" s="1"/>
  <c r="AG601" i="29"/>
  <c r="W601" i="29"/>
  <c r="AG413" i="29"/>
  <c r="W413" i="29"/>
  <c r="AH150" i="29"/>
  <c r="X150" i="29"/>
  <c r="Y150" i="29" s="1"/>
  <c r="AG380" i="29"/>
  <c r="W380" i="29"/>
  <c r="AG308" i="29"/>
  <c r="W308" i="29"/>
  <c r="W538" i="29"/>
  <c r="AG538" i="29"/>
  <c r="AH536" i="29"/>
  <c r="X536" i="29"/>
  <c r="Y536" i="29" s="1"/>
  <c r="BY59" i="24"/>
  <c r="CA59" i="24" s="1"/>
  <c r="CB59" i="24" s="1"/>
  <c r="BN59" i="24"/>
  <c r="BL273" i="25"/>
  <c r="BY273" i="25"/>
  <c r="CA273" i="25" s="1"/>
  <c r="CB273" i="25" s="1"/>
  <c r="BK273" i="25"/>
  <c r="BY255" i="25"/>
  <c r="CA255" i="25" s="1"/>
  <c r="CB255" i="25" s="1"/>
  <c r="BL255" i="25"/>
  <c r="BK255" i="25"/>
  <c r="BY241" i="24"/>
  <c r="CA241" i="24" s="1"/>
  <c r="BM241" i="24"/>
  <c r="BN241" i="24" s="1"/>
  <c r="BY194" i="24"/>
  <c r="CA194" i="24" s="1"/>
  <c r="CB194" i="24" s="1"/>
  <c r="BM194" i="24"/>
  <c r="BN194" i="24" s="1"/>
  <c r="BY286" i="24"/>
  <c r="CA286" i="24" s="1"/>
  <c r="BM286" i="24"/>
  <c r="BN286" i="24" s="1"/>
  <c r="BE140" i="25"/>
  <c r="BR140" i="25"/>
  <c r="BX140" i="25" s="1"/>
  <c r="BY195" i="24"/>
  <c r="CA195" i="24" s="1"/>
  <c r="CB195" i="24" s="1"/>
  <c r="BM195" i="24"/>
  <c r="BN195" i="24" s="1"/>
  <c r="BR205" i="25"/>
  <c r="BX205" i="25" s="1"/>
  <c r="BE205" i="25"/>
  <c r="BY184" i="24"/>
  <c r="CA184" i="24" s="1"/>
  <c r="CB184" i="24" s="1"/>
  <c r="BM184" i="24"/>
  <c r="BN184" i="24" s="1"/>
  <c r="AH206" i="29"/>
  <c r="X206" i="29"/>
  <c r="Y206" i="29" s="1"/>
  <c r="W51" i="29"/>
  <c r="AG51" i="29"/>
  <c r="X533" i="29"/>
  <c r="Y533" i="29" s="1"/>
  <c r="AH533" i="29"/>
  <c r="AH174" i="29"/>
  <c r="X174" i="29"/>
  <c r="Y174" i="29" s="1"/>
  <c r="AH383" i="29"/>
  <c r="X383" i="29"/>
  <c r="Y383" i="29" s="1"/>
  <c r="AG586" i="29"/>
  <c r="W586" i="29"/>
  <c r="W29" i="29"/>
  <c r="AG29" i="29"/>
  <c r="AH448" i="29"/>
  <c r="X448" i="29"/>
  <c r="Y448" i="29" s="1"/>
  <c r="AG19" i="29"/>
  <c r="W19" i="29"/>
  <c r="W328" i="29"/>
  <c r="AG328" i="29"/>
  <c r="W276" i="29"/>
  <c r="AG276" i="29"/>
  <c r="AH450" i="29"/>
  <c r="X450" i="29"/>
  <c r="Y450" i="29" s="1"/>
  <c r="W281" i="29"/>
  <c r="AG281" i="29"/>
  <c r="W53" i="29"/>
  <c r="AG53" i="29"/>
  <c r="W47" i="29"/>
  <c r="AG47" i="29"/>
  <c r="AH393" i="29"/>
  <c r="X393" i="29"/>
  <c r="Y393" i="29" s="1"/>
  <c r="BY124" i="24"/>
  <c r="CA124" i="24" s="1"/>
  <c r="CB124" i="24" s="1"/>
  <c r="BM124" i="24"/>
  <c r="BN124" i="24" s="1"/>
  <c r="BE310" i="25"/>
  <c r="BR310" i="25"/>
  <c r="BX310" i="25" s="1"/>
  <c r="BY223" i="24"/>
  <c r="CA223" i="24" s="1"/>
  <c r="CB223" i="24" s="1"/>
  <c r="BM223" i="24"/>
  <c r="BN223" i="24" s="1"/>
  <c r="BN65" i="24"/>
  <c r="BY65" i="24"/>
  <c r="CA65" i="24" s="1"/>
  <c r="CB65" i="24" s="1"/>
  <c r="BR208" i="25"/>
  <c r="BX208" i="25" s="1"/>
  <c r="BE208" i="25"/>
  <c r="BY177" i="25"/>
  <c r="CA177" i="25" s="1"/>
  <c r="BL177" i="25"/>
  <c r="BK177" i="25"/>
  <c r="BN103" i="24"/>
  <c r="BY103" i="24"/>
  <c r="CA103" i="24" s="1"/>
  <c r="BL258" i="25"/>
  <c r="BY258" i="25"/>
  <c r="CA258" i="25" s="1"/>
  <c r="CB258" i="25" s="1"/>
  <c r="BK258" i="25"/>
  <c r="AH207" i="29"/>
  <c r="X207" i="29"/>
  <c r="Y207" i="29" s="1"/>
  <c r="AH338" i="29"/>
  <c r="X338" i="29"/>
  <c r="Y338" i="29" s="1"/>
  <c r="X221" i="29"/>
  <c r="Y221" i="29" s="1"/>
  <c r="AH221" i="29"/>
  <c r="AH113" i="29"/>
  <c r="X113" i="29"/>
  <c r="Y113" i="29" s="1"/>
  <c r="AG517" i="29"/>
  <c r="W517" i="29"/>
  <c r="AH421" i="29"/>
  <c r="X421" i="29"/>
  <c r="Y421" i="29" s="1"/>
  <c r="AH557" i="29"/>
  <c r="X557" i="29"/>
  <c r="Y557" i="29" s="1"/>
  <c r="AH350" i="29"/>
  <c r="X350" i="29"/>
  <c r="Y350" i="29" s="1"/>
  <c r="W427" i="29"/>
  <c r="AG427" i="29"/>
  <c r="AG27" i="29"/>
  <c r="W27" i="29"/>
  <c r="AG217" i="29"/>
  <c r="W217" i="29"/>
  <c r="AH522" i="29"/>
  <c r="X522" i="29"/>
  <c r="Y522" i="29" s="1"/>
  <c r="X318" i="29"/>
  <c r="Y318" i="29" s="1"/>
  <c r="AH318" i="29"/>
  <c r="AG227" i="29"/>
  <c r="W227" i="29"/>
  <c r="AG590" i="29"/>
  <c r="W590" i="29"/>
  <c r="AG95" i="29"/>
  <c r="W95" i="29"/>
  <c r="AG152" i="29"/>
  <c r="W152" i="29"/>
  <c r="BY297" i="24"/>
  <c r="CA297" i="24" s="1"/>
  <c r="BM297" i="24"/>
  <c r="BN297" i="24" s="1"/>
  <c r="BY262" i="24"/>
  <c r="CA262" i="24" s="1"/>
  <c r="CB262" i="24" s="1"/>
  <c r="BM262" i="24"/>
  <c r="BN262" i="24" s="1"/>
  <c r="BY68" i="24"/>
  <c r="CA68" i="24" s="1"/>
  <c r="CB68" i="24" s="1"/>
  <c r="BN68" i="24"/>
  <c r="BE298" i="25"/>
  <c r="BR298" i="25"/>
  <c r="BX298" i="25" s="1"/>
  <c r="BE184" i="25"/>
  <c r="BR184" i="25"/>
  <c r="BX184" i="25" s="1"/>
  <c r="BY200" i="24"/>
  <c r="CA200" i="24" s="1"/>
  <c r="BM200" i="24"/>
  <c r="BN200" i="24" s="1"/>
  <c r="BR250" i="25"/>
  <c r="BX250" i="25" s="1"/>
  <c r="BE250" i="25"/>
  <c r="BY168" i="24"/>
  <c r="CA168" i="24" s="1"/>
  <c r="BM168" i="24"/>
  <c r="BN168" i="24" s="1"/>
  <c r="BY181" i="24"/>
  <c r="CA181" i="24" s="1"/>
  <c r="CB181" i="24" s="1"/>
  <c r="BM181" i="24"/>
  <c r="BN181" i="24" s="1"/>
  <c r="BR51" i="25"/>
  <c r="BV51" i="25" s="1"/>
  <c r="BX51" i="25" s="1"/>
  <c r="BE51" i="25"/>
  <c r="BK51" i="25" s="1"/>
  <c r="BR286" i="25"/>
  <c r="BX286" i="25" s="1"/>
  <c r="BE286" i="25"/>
  <c r="BY95" i="25"/>
  <c r="CA95" i="25" s="1"/>
  <c r="CB95" i="25" s="1"/>
  <c r="BL95" i="25"/>
  <c r="AG295" i="29"/>
  <c r="W295" i="29"/>
  <c r="AG193" i="29"/>
  <c r="W193" i="29"/>
  <c r="W333" i="29"/>
  <c r="AG333" i="29"/>
  <c r="AG285" i="29"/>
  <c r="W285" i="29"/>
  <c r="X562" i="29"/>
  <c r="Y562" i="29" s="1"/>
  <c r="AH562" i="29"/>
  <c r="AH569" i="29"/>
  <c r="X569" i="29"/>
  <c r="Y569" i="29" s="1"/>
  <c r="AH159" i="29"/>
  <c r="X159" i="29"/>
  <c r="Y159" i="29" s="1"/>
  <c r="AH265" i="29"/>
  <c r="X265" i="29"/>
  <c r="Y265" i="29" s="1"/>
  <c r="BY186" i="24"/>
  <c r="CA186" i="24" s="1"/>
  <c r="BM186" i="24"/>
  <c r="BN186" i="24" s="1"/>
  <c r="BY116" i="24"/>
  <c r="CA116" i="24" s="1"/>
  <c r="CB116" i="24" s="1"/>
  <c r="BM116" i="24"/>
  <c r="BN116" i="24" s="1"/>
  <c r="BL240" i="25"/>
  <c r="BY240" i="25"/>
  <c r="CA240" i="25" s="1"/>
  <c r="CB240" i="25" s="1"/>
  <c r="BK240" i="25"/>
  <c r="AH514" i="29"/>
  <c r="X514" i="29"/>
  <c r="Y514" i="29" s="1"/>
  <c r="AG309" i="29"/>
  <c r="W309" i="29"/>
  <c r="W62" i="29"/>
  <c r="AG62" i="29"/>
  <c r="AH422" i="29"/>
  <c r="X422" i="29"/>
  <c r="Y422" i="29" s="1"/>
  <c r="AH74" i="29"/>
  <c r="X74" i="29"/>
  <c r="Y74" i="29" s="1"/>
  <c r="AH166" i="29"/>
  <c r="X166" i="29"/>
  <c r="Y166" i="29" s="1"/>
  <c r="AG477" i="29"/>
  <c r="W477" i="29"/>
  <c r="X508" i="29"/>
  <c r="Y508" i="29" s="1"/>
  <c r="AH508" i="29"/>
  <c r="X41" i="29"/>
  <c r="Y41" i="29" s="1"/>
  <c r="AH41" i="29"/>
  <c r="AH495" i="29"/>
  <c r="X495" i="29"/>
  <c r="Y495" i="29" s="1"/>
  <c r="AH335" i="29"/>
  <c r="X335" i="29"/>
  <c r="Y335" i="29" s="1"/>
  <c r="AG479" i="29"/>
  <c r="W479" i="29"/>
  <c r="W550" i="29"/>
  <c r="AG550" i="29"/>
  <c r="AH559" i="29"/>
  <c r="X559" i="29"/>
  <c r="Y559" i="29" s="1"/>
  <c r="BY254" i="24"/>
  <c r="CA254" i="24" s="1"/>
  <c r="CB254" i="24" s="1"/>
  <c r="BM254" i="24"/>
  <c r="BN254" i="24" s="1"/>
  <c r="BY210" i="24"/>
  <c r="CA210" i="24" s="1"/>
  <c r="BM210" i="24"/>
  <c r="BN210" i="24" s="1"/>
  <c r="BE99" i="25"/>
  <c r="BK99" i="25" s="1"/>
  <c r="BR99" i="25"/>
  <c r="BV99" i="25" s="1"/>
  <c r="BX99" i="25" s="1"/>
  <c r="BE88" i="25"/>
  <c r="BK88" i="25" s="1"/>
  <c r="BR88" i="25"/>
  <c r="BV88" i="25" s="1"/>
  <c r="BX88" i="25" s="1"/>
  <c r="BY97" i="25"/>
  <c r="CA97" i="25" s="1"/>
  <c r="BL97" i="25"/>
  <c r="BY193" i="24"/>
  <c r="CA193" i="24" s="1"/>
  <c r="BM193" i="24"/>
  <c r="BN193" i="24" s="1"/>
  <c r="BY159" i="24"/>
  <c r="CA159" i="24" s="1"/>
  <c r="CB159" i="24" s="1"/>
  <c r="BM159" i="24"/>
  <c r="BN159" i="24" s="1"/>
  <c r="BE241" i="25"/>
  <c r="BR241" i="25"/>
  <c r="BX241" i="25" s="1"/>
  <c r="BE67" i="25"/>
  <c r="BK67" i="25" s="1"/>
  <c r="BR67" i="25"/>
  <c r="BV67" i="25" s="1"/>
  <c r="BX67" i="25" s="1"/>
  <c r="BY273" i="24"/>
  <c r="CA273" i="24" s="1"/>
  <c r="CB273" i="24" s="1"/>
  <c r="BM273" i="24"/>
  <c r="BN273" i="24" s="1"/>
  <c r="BY161" i="24"/>
  <c r="CA161" i="24" s="1"/>
  <c r="BM161" i="24"/>
  <c r="BN161" i="24" s="1"/>
  <c r="BY166" i="24"/>
  <c r="CA166" i="24" s="1"/>
  <c r="BM166" i="24"/>
  <c r="BN166" i="24" s="1"/>
  <c r="AG80" i="29"/>
  <c r="W80" i="29"/>
  <c r="AH85" i="29"/>
  <c r="X85" i="29"/>
  <c r="Y85" i="29" s="1"/>
  <c r="AH157" i="29"/>
  <c r="X157" i="29"/>
  <c r="Y157" i="29" s="1"/>
  <c r="X426" i="29"/>
  <c r="Y426" i="29" s="1"/>
  <c r="AH426" i="29"/>
  <c r="X434" i="29"/>
  <c r="Y434" i="29" s="1"/>
  <c r="AH434" i="29"/>
  <c r="W509" i="29"/>
  <c r="AG509" i="29"/>
  <c r="AH84" i="29"/>
  <c r="X84" i="29"/>
  <c r="Y84" i="29" s="1"/>
  <c r="AH222" i="29"/>
  <c r="X222" i="29"/>
  <c r="Y222" i="29" s="1"/>
  <c r="AH360" i="29"/>
  <c r="X360" i="29"/>
  <c r="Y360" i="29" s="1"/>
  <c r="AG458" i="29"/>
  <c r="W458" i="29"/>
  <c r="W470" i="29"/>
  <c r="AG470" i="29"/>
  <c r="W196" i="29"/>
  <c r="AG196" i="29"/>
  <c r="AH351" i="29"/>
  <c r="X351" i="29"/>
  <c r="Y351" i="29" s="1"/>
  <c r="AH146" i="29"/>
  <c r="X146" i="29"/>
  <c r="Y146" i="29" s="1"/>
  <c r="W377" i="29"/>
  <c r="AG377" i="29"/>
  <c r="BY134" i="24"/>
  <c r="CA134" i="24" s="1"/>
  <c r="CB134" i="24" s="1"/>
  <c r="BM134" i="24"/>
  <c r="BN134" i="24" s="1"/>
  <c r="BY287" i="24"/>
  <c r="CA287" i="24" s="1"/>
  <c r="CB287" i="24" s="1"/>
  <c r="BM287" i="24"/>
  <c r="BN287" i="24" s="1"/>
  <c r="BY77" i="24"/>
  <c r="CA77" i="24" s="1"/>
  <c r="CB77" i="24" s="1"/>
  <c r="BN77" i="24"/>
  <c r="BY131" i="24"/>
  <c r="CA131" i="24" s="1"/>
  <c r="CB131" i="24" s="1"/>
  <c r="BM131" i="24"/>
  <c r="BN131" i="24" s="1"/>
  <c r="BE55" i="25"/>
  <c r="BK55" i="25" s="1"/>
  <c r="BR55" i="25"/>
  <c r="BV55" i="25" s="1"/>
  <c r="BX55" i="25" s="1"/>
  <c r="BY263" i="24"/>
  <c r="CA263" i="24" s="1"/>
  <c r="BM263" i="24"/>
  <c r="BN263" i="24" s="1"/>
  <c r="BE166" i="25"/>
  <c r="BR166" i="25"/>
  <c r="BX166" i="25" s="1"/>
  <c r="BE312" i="25"/>
  <c r="BR312" i="25"/>
  <c r="BX312" i="25" s="1"/>
  <c r="X260" i="29"/>
  <c r="Y260" i="29" s="1"/>
  <c r="AH260" i="29"/>
  <c r="AG235" i="29"/>
  <c r="W235" i="29"/>
  <c r="W546" i="29"/>
  <c r="AG546" i="29"/>
  <c r="W454" i="29"/>
  <c r="AG454" i="29"/>
  <c r="AH498" i="29"/>
  <c r="X498" i="29"/>
  <c r="Y498" i="29" s="1"/>
  <c r="AH561" i="29"/>
  <c r="X561" i="29"/>
  <c r="Y561" i="29" s="1"/>
  <c r="W462" i="29"/>
  <c r="AG462" i="29"/>
  <c r="AH523" i="29"/>
  <c r="X523" i="29"/>
  <c r="Y523" i="29" s="1"/>
  <c r="BY245" i="24"/>
  <c r="CA245" i="24" s="1"/>
  <c r="BM245" i="24"/>
  <c r="BN245" i="24" s="1"/>
  <c r="BE226" i="25"/>
  <c r="BR226" i="25"/>
  <c r="BX226" i="25" s="1"/>
  <c r="BE217" i="25"/>
  <c r="BR217" i="25"/>
  <c r="BX217" i="25" s="1"/>
  <c r="BY170" i="24"/>
  <c r="CA170" i="24" s="1"/>
  <c r="BM170" i="24"/>
  <c r="BN170" i="24" s="1"/>
  <c r="BE224" i="25"/>
  <c r="BR224" i="25"/>
  <c r="BX224" i="25" s="1"/>
  <c r="BY255" i="24"/>
  <c r="CA255" i="24" s="1"/>
  <c r="CB255" i="24" s="1"/>
  <c r="BM255" i="24"/>
  <c r="BN255" i="24" s="1"/>
  <c r="W87" i="29"/>
  <c r="AG87" i="29"/>
  <c r="AH294" i="29"/>
  <c r="X294" i="29"/>
  <c r="Y294" i="29" s="1"/>
  <c r="X33" i="29"/>
  <c r="Y33" i="29" s="1"/>
  <c r="AH33" i="29"/>
  <c r="W407" i="29"/>
  <c r="AG407" i="29"/>
  <c r="X137" i="29"/>
  <c r="Y137" i="29" s="1"/>
  <c r="AH137" i="29"/>
  <c r="W247" i="29"/>
  <c r="AG247" i="29"/>
  <c r="AG461" i="29"/>
  <c r="W461" i="29"/>
  <c r="W223" i="29"/>
  <c r="AG223" i="29"/>
  <c r="AH291" i="29"/>
  <c r="X291" i="29"/>
  <c r="Y291" i="29" s="1"/>
  <c r="W311" i="29"/>
  <c r="AG311" i="29"/>
  <c r="W162" i="29"/>
  <c r="AG162" i="29"/>
  <c r="AH164" i="29"/>
  <c r="X164" i="29"/>
  <c r="Y164" i="29" s="1"/>
  <c r="AG238" i="29"/>
  <c r="W238" i="29"/>
  <c r="AG400" i="29"/>
  <c r="W400" i="29"/>
  <c r="X480" i="29"/>
  <c r="Y480" i="29" s="1"/>
  <c r="AH480" i="29"/>
  <c r="AH489" i="29"/>
  <c r="X489" i="29"/>
  <c r="Y489" i="29" s="1"/>
  <c r="BY243" i="25"/>
  <c r="CA243" i="25" s="1"/>
  <c r="CB243" i="25" s="1"/>
  <c r="BL243" i="25"/>
  <c r="BK243" i="25"/>
  <c r="BE156" i="25"/>
  <c r="BR156" i="25"/>
  <c r="BX156" i="25" s="1"/>
  <c r="BY89" i="25"/>
  <c r="CA89" i="25" s="1"/>
  <c r="BL89" i="25"/>
  <c r="BE123" i="25"/>
  <c r="BR123" i="25"/>
  <c r="BX123" i="25" s="1"/>
  <c r="BY30" i="25"/>
  <c r="CA30" i="25" s="1"/>
  <c r="CB30" i="25" s="1"/>
  <c r="BL30" i="25"/>
  <c r="BY288" i="24"/>
  <c r="CA288" i="24" s="1"/>
  <c r="BM288" i="24"/>
  <c r="BN288" i="24" s="1"/>
  <c r="BY173" i="25"/>
  <c r="CA173" i="25" s="1"/>
  <c r="BL173" i="25"/>
  <c r="BK173" i="25"/>
  <c r="BE271" i="25"/>
  <c r="BR271" i="25"/>
  <c r="BX271" i="25" s="1"/>
  <c r="BY276" i="24"/>
  <c r="CA276" i="24" s="1"/>
  <c r="BM276" i="24"/>
  <c r="BN276" i="24" s="1"/>
  <c r="BE111" i="25"/>
  <c r="BR111" i="25"/>
  <c r="BX111" i="25" s="1"/>
  <c r="W267" i="29"/>
  <c r="AG267" i="29"/>
  <c r="AG250" i="29"/>
  <c r="W250" i="29"/>
  <c r="AH528" i="29"/>
  <c r="X528" i="29"/>
  <c r="Y528" i="29" s="1"/>
  <c r="AH369" i="29"/>
  <c r="X369" i="29"/>
  <c r="Y369" i="29" s="1"/>
  <c r="X440" i="29"/>
  <c r="Y440" i="29" s="1"/>
  <c r="AH440" i="29"/>
  <c r="X301" i="29"/>
  <c r="Y301" i="29" s="1"/>
  <c r="AH301" i="29"/>
  <c r="AG39" i="29"/>
  <c r="W39" i="29"/>
  <c r="W320" i="29"/>
  <c r="AG320" i="29"/>
  <c r="X431" i="29"/>
  <c r="Y431" i="29" s="1"/>
  <c r="AH431" i="29"/>
  <c r="AH380" i="29"/>
  <c r="X380" i="29"/>
  <c r="Y380" i="29" s="1"/>
  <c r="AG572" i="29"/>
  <c r="W572" i="29"/>
  <c r="W197" i="29"/>
  <c r="AG197" i="29"/>
  <c r="AG44" i="29"/>
  <c r="W44" i="29"/>
  <c r="AG418" i="29"/>
  <c r="W418" i="29"/>
  <c r="W536" i="29"/>
  <c r="AG536" i="29"/>
  <c r="BE210" i="25"/>
  <c r="BR210" i="25"/>
  <c r="BX210" i="25" s="1"/>
  <c r="BR209" i="25"/>
  <c r="BX209" i="25" s="1"/>
  <c r="BE209" i="25"/>
  <c r="BE53" i="25"/>
  <c r="BK53" i="25" s="1"/>
  <c r="BR53" i="25"/>
  <c r="BV53" i="25" s="1"/>
  <c r="BX53" i="25" s="1"/>
  <c r="BY155" i="25"/>
  <c r="CA155" i="25" s="1"/>
  <c r="CB155" i="25" s="1"/>
  <c r="BL155" i="25"/>
  <c r="BK155" i="25"/>
  <c r="BN76" i="24"/>
  <c r="BY76" i="24"/>
  <c r="CA76" i="24" s="1"/>
  <c r="CB76" i="24" s="1"/>
  <c r="BE122" i="25"/>
  <c r="BR122" i="25"/>
  <c r="BX122" i="25" s="1"/>
  <c r="BE20" i="25"/>
  <c r="BK20" i="25" s="1"/>
  <c r="BR20" i="25"/>
  <c r="BV20" i="25" s="1"/>
  <c r="BX20" i="25" s="1"/>
  <c r="BE295" i="25"/>
  <c r="BR295" i="25"/>
  <c r="BX295" i="25" s="1"/>
  <c r="BY198" i="24"/>
  <c r="CA198" i="24" s="1"/>
  <c r="CB198" i="24" s="1"/>
  <c r="BM198" i="24"/>
  <c r="BN198" i="24" s="1"/>
  <c r="AG239" i="29"/>
  <c r="W239" i="29"/>
  <c r="AG78" i="29"/>
  <c r="W78" i="29"/>
  <c r="X347" i="29"/>
  <c r="Y347" i="29" s="1"/>
  <c r="AH347" i="29"/>
  <c r="X513" i="29"/>
  <c r="Y513" i="29" s="1"/>
  <c r="AH513" i="29"/>
  <c r="W261" i="29"/>
  <c r="AG261" i="29"/>
  <c r="AG205" i="29"/>
  <c r="W205" i="29"/>
  <c r="BR79" i="25"/>
  <c r="BV79" i="25" s="1"/>
  <c r="BX79" i="25" s="1"/>
  <c r="BE79" i="25"/>
  <c r="BK79" i="25" s="1"/>
  <c r="BY291" i="25"/>
  <c r="CA291" i="25" s="1"/>
  <c r="CB291" i="25" s="1"/>
  <c r="BL291" i="25"/>
  <c r="BK291" i="25"/>
  <c r="BY9" i="24"/>
  <c r="CA9" i="24" s="1"/>
  <c r="CB9" i="24" s="1"/>
  <c r="BN9" i="24"/>
  <c r="BY30" i="24"/>
  <c r="CA30" i="24" s="1"/>
  <c r="CB30" i="24" s="1"/>
  <c r="BN30" i="24"/>
  <c r="BY52" i="24"/>
  <c r="CA52" i="24" s="1"/>
  <c r="CB52" i="24" s="1"/>
  <c r="BN52" i="24"/>
  <c r="BY86" i="24"/>
  <c r="CA86" i="24" s="1"/>
  <c r="CB86" i="24" s="1"/>
  <c r="BN86" i="24"/>
  <c r="BL267" i="25"/>
  <c r="BY267" i="25"/>
  <c r="CA267" i="25" s="1"/>
  <c r="CB267" i="25" s="1"/>
  <c r="BK267" i="25"/>
  <c r="BE216" i="25"/>
  <c r="BR216" i="25"/>
  <c r="BX216" i="25" s="1"/>
  <c r="AG549" i="29"/>
  <c r="W549" i="29"/>
  <c r="AH602" i="29"/>
  <c r="X602" i="29"/>
  <c r="Y602" i="29" s="1"/>
  <c r="AG76" i="29"/>
  <c r="W76" i="29"/>
  <c r="BY35" i="24"/>
  <c r="CA35" i="24" s="1"/>
  <c r="CB35" i="24" s="1"/>
  <c r="BN35" i="24"/>
  <c r="BE168" i="25"/>
  <c r="BR168" i="25"/>
  <c r="BX168" i="25" s="1"/>
  <c r="BY293" i="24"/>
  <c r="CA293" i="24" s="1"/>
  <c r="CB293" i="24" s="1"/>
  <c r="BM293" i="24"/>
  <c r="BN293" i="24" s="1"/>
  <c r="BY186" i="25"/>
  <c r="CA186" i="25" s="1"/>
  <c r="BL186" i="25"/>
  <c r="BK186" i="25"/>
  <c r="BY249" i="24"/>
  <c r="CA249" i="24" s="1"/>
  <c r="CB249" i="24" s="1"/>
  <c r="BM249" i="24"/>
  <c r="BN249" i="24" s="1"/>
  <c r="BR46" i="25"/>
  <c r="BV46" i="25" s="1"/>
  <c r="BX46" i="25" s="1"/>
  <c r="BE46" i="25"/>
  <c r="BK46" i="25" s="1"/>
  <c r="AG468" i="29"/>
  <c r="W468" i="29"/>
  <c r="AH507" i="29"/>
  <c r="X507" i="29"/>
  <c r="Y507" i="29" s="1"/>
  <c r="AH447" i="29"/>
  <c r="X447" i="29"/>
  <c r="Y447" i="29" s="1"/>
  <c r="AH209" i="29"/>
  <c r="X209" i="29"/>
  <c r="Y209" i="29" s="1"/>
  <c r="W30" i="29"/>
  <c r="AG30" i="29"/>
  <c r="X193" i="29"/>
  <c r="Y193" i="29" s="1"/>
  <c r="AH193" i="29"/>
  <c r="AH140" i="29"/>
  <c r="X140" i="29"/>
  <c r="Y140" i="29" s="1"/>
  <c r="X285" i="29"/>
  <c r="Y285" i="29" s="1"/>
  <c r="AH285" i="29"/>
  <c r="X202" i="29"/>
  <c r="Y202" i="29" s="1"/>
  <c r="AH202" i="29"/>
  <c r="W182" i="29"/>
  <c r="AG182" i="29"/>
  <c r="AG419" i="29"/>
  <c r="W419" i="29"/>
  <c r="AG228" i="29"/>
  <c r="W228" i="29"/>
  <c r="AG159" i="29"/>
  <c r="W159" i="29"/>
  <c r="BE281" i="25"/>
  <c r="BR281" i="25"/>
  <c r="BX281" i="25" s="1"/>
  <c r="BY267" i="24"/>
  <c r="CA267" i="24" s="1"/>
  <c r="BM267" i="24"/>
  <c r="BN267" i="24" s="1"/>
  <c r="BY221" i="24"/>
  <c r="CA221" i="24" s="1"/>
  <c r="CB221" i="24" s="1"/>
  <c r="BM221" i="24"/>
  <c r="BN221" i="24" s="1"/>
  <c r="BE116" i="25"/>
  <c r="BR116" i="25"/>
  <c r="BX116" i="25" s="1"/>
  <c r="BE8" i="25"/>
  <c r="BK8" i="25" s="1"/>
  <c r="BR8" i="25"/>
  <c r="BV8" i="25" s="1"/>
  <c r="BX8" i="25" s="1"/>
  <c r="BE175" i="25"/>
  <c r="BR175" i="25"/>
  <c r="BX175" i="25" s="1"/>
  <c r="AG258" i="29"/>
  <c r="W258" i="29"/>
  <c r="BL292" i="25"/>
  <c r="BY292" i="25"/>
  <c r="CA292" i="25" s="1"/>
  <c r="CB292" i="25" s="1"/>
  <c r="BK292" i="25"/>
  <c r="BE245" i="25"/>
  <c r="BR245" i="25"/>
  <c r="BX245" i="25" s="1"/>
  <c r="BY239" i="24"/>
  <c r="CA239" i="24" s="1"/>
  <c r="CB239" i="24" s="1"/>
  <c r="BM239" i="24"/>
  <c r="BN239" i="24" s="1"/>
  <c r="W24" i="29"/>
  <c r="AG24" i="29"/>
  <c r="W81" i="29"/>
  <c r="AG81" i="29"/>
  <c r="X108" i="29"/>
  <c r="Y108" i="29" s="1"/>
  <c r="AH108" i="29"/>
  <c r="X266" i="29"/>
  <c r="Y266" i="29" s="1"/>
  <c r="AH266" i="29"/>
  <c r="AH104" i="29"/>
  <c r="X104" i="29"/>
  <c r="Y104" i="29" s="1"/>
  <c r="BE299" i="25"/>
  <c r="BR299" i="25"/>
  <c r="BX299" i="25" s="1"/>
  <c r="BR93" i="25"/>
  <c r="BV93" i="25" s="1"/>
  <c r="BX93" i="25" s="1"/>
  <c r="BE93" i="25"/>
  <c r="BK93" i="25" s="1"/>
  <c r="BY277" i="24"/>
  <c r="CA277" i="24" s="1"/>
  <c r="CB277" i="24" s="1"/>
  <c r="BM277" i="24"/>
  <c r="BN277" i="24" s="1"/>
  <c r="BN80" i="24"/>
  <c r="BY80" i="24"/>
  <c r="CA80" i="24" s="1"/>
  <c r="BE37" i="25"/>
  <c r="BK37" i="25" s="1"/>
  <c r="BR37" i="25"/>
  <c r="BV37" i="25" s="1"/>
  <c r="BX37" i="25" s="1"/>
  <c r="BY217" i="24"/>
  <c r="CA217" i="24" s="1"/>
  <c r="CB217" i="24" s="1"/>
  <c r="BM217" i="24"/>
  <c r="BN217" i="24" s="1"/>
  <c r="BL96" i="25"/>
  <c r="BY96" i="25"/>
  <c r="CA96" i="25" s="1"/>
  <c r="CB96" i="25" s="1"/>
  <c r="BE102" i="25"/>
  <c r="BK102" i="25" s="1"/>
  <c r="BR102" i="25"/>
  <c r="BV102" i="25" s="1"/>
  <c r="BX102" i="25" s="1"/>
  <c r="BE139" i="25"/>
  <c r="BR139" i="25"/>
  <c r="BX139" i="25" s="1"/>
  <c r="BY38" i="24"/>
  <c r="CA38" i="24" s="1"/>
  <c r="CB38" i="24" s="1"/>
  <c r="BN38" i="24"/>
  <c r="AG437" i="29"/>
  <c r="W437" i="29"/>
  <c r="AH551" i="29"/>
  <c r="X551" i="29"/>
  <c r="Y551" i="29" s="1"/>
  <c r="AH181" i="29"/>
  <c r="X181" i="29"/>
  <c r="Y181" i="29" s="1"/>
  <c r="BE274" i="25"/>
  <c r="BR274" i="25"/>
  <c r="BX274" i="25" s="1"/>
  <c r="BN88" i="24"/>
  <c r="BY88" i="24"/>
  <c r="CA88" i="24" s="1"/>
  <c r="BY283" i="25"/>
  <c r="CA283" i="25" s="1"/>
  <c r="CB283" i="25" s="1"/>
  <c r="BL283" i="25"/>
  <c r="BK283" i="25"/>
  <c r="BY300" i="24"/>
  <c r="CA300" i="24" s="1"/>
  <c r="CB300" i="24" s="1"/>
  <c r="BM300" i="24"/>
  <c r="BN300" i="24" s="1"/>
  <c r="BY278" i="24"/>
  <c r="CA278" i="24" s="1"/>
  <c r="CB278" i="24" s="1"/>
  <c r="BM278" i="24"/>
  <c r="BN278" i="24" s="1"/>
  <c r="BY61" i="24"/>
  <c r="CA61" i="24" s="1"/>
  <c r="CB61" i="24" s="1"/>
  <c r="BN61" i="24"/>
  <c r="BR78" i="25"/>
  <c r="BV78" i="25" s="1"/>
  <c r="BX78" i="25" s="1"/>
  <c r="BE78" i="25"/>
  <c r="BK78" i="25" s="1"/>
  <c r="BY147" i="25"/>
  <c r="CA147" i="25" s="1"/>
  <c r="BL147" i="25"/>
  <c r="BK147" i="25"/>
  <c r="X531" i="29"/>
  <c r="Y531" i="29" s="1"/>
  <c r="AH531" i="29"/>
  <c r="AH410" i="29"/>
  <c r="X410" i="29"/>
  <c r="Y410" i="29" s="1"/>
  <c r="X289" i="29"/>
  <c r="Y289" i="29" s="1"/>
  <c r="AH289" i="29"/>
  <c r="W127" i="29"/>
  <c r="AG127" i="29"/>
  <c r="AH98" i="29"/>
  <c r="X98" i="29"/>
  <c r="Y98" i="29" s="1"/>
  <c r="AG510" i="29"/>
  <c r="W510" i="29"/>
  <c r="W20" i="29"/>
  <c r="AG20" i="29"/>
  <c r="AG451" i="29"/>
  <c r="W451" i="29"/>
  <c r="W94" i="29"/>
  <c r="AG94" i="29"/>
  <c r="AH382" i="29"/>
  <c r="X382" i="29"/>
  <c r="Y382" i="29" s="1"/>
  <c r="W506" i="29"/>
  <c r="AG506" i="29"/>
  <c r="BY167" i="24"/>
  <c r="CA167" i="24" s="1"/>
  <c r="CB167" i="24" s="1"/>
  <c r="BM167" i="24"/>
  <c r="BN167" i="24" s="1"/>
  <c r="BE74" i="25"/>
  <c r="BK74" i="25" s="1"/>
  <c r="BR74" i="25"/>
  <c r="BV74" i="25" s="1"/>
  <c r="BX74" i="25" s="1"/>
  <c r="BY154" i="24"/>
  <c r="CA154" i="24" s="1"/>
  <c r="CB154" i="24" s="1"/>
  <c r="BM154" i="24"/>
  <c r="BN154" i="24" s="1"/>
  <c r="BE68" i="25"/>
  <c r="BK68" i="25" s="1"/>
  <c r="BR68" i="25"/>
  <c r="BV68" i="25" s="1"/>
  <c r="BX68" i="25" s="1"/>
  <c r="BY151" i="24"/>
  <c r="CA151" i="24" s="1"/>
  <c r="BM151" i="24"/>
  <c r="BN151" i="24" s="1"/>
  <c r="BE309" i="25"/>
  <c r="BR309" i="25"/>
  <c r="BX309" i="25" s="1"/>
  <c r="BY50" i="24"/>
  <c r="CA50" i="24" s="1"/>
  <c r="CB50" i="24" s="1"/>
  <c r="BN50" i="24"/>
  <c r="AG18" i="29"/>
  <c r="W18" i="29"/>
  <c r="AH387" i="29"/>
  <c r="X387" i="29"/>
  <c r="Y387" i="29" s="1"/>
  <c r="X330" i="29"/>
  <c r="Y330" i="29" s="1"/>
  <c r="AH330" i="29"/>
  <c r="AH189" i="29"/>
  <c r="X189" i="29"/>
  <c r="Y189" i="29" s="1"/>
  <c r="AH60" i="29"/>
  <c r="X60" i="29"/>
  <c r="Y60" i="29" s="1"/>
  <c r="X374" i="29"/>
  <c r="Y374" i="29" s="1"/>
  <c r="AH374" i="29"/>
  <c r="BE263" i="25"/>
  <c r="BR263" i="25"/>
  <c r="BX263" i="25" s="1"/>
  <c r="BR90" i="25"/>
  <c r="BV90" i="25" s="1"/>
  <c r="BX90" i="25" s="1"/>
  <c r="BE90" i="25"/>
  <c r="BK90" i="25" s="1"/>
  <c r="BY199" i="24"/>
  <c r="CA199" i="24" s="1"/>
  <c r="CB199" i="24" s="1"/>
  <c r="BM199" i="24"/>
  <c r="BN199" i="24" s="1"/>
  <c r="BN63" i="24"/>
  <c r="BY63" i="24"/>
  <c r="CA63" i="24" s="1"/>
  <c r="CB63" i="24" s="1"/>
  <c r="BN97" i="24"/>
  <c r="BY97" i="24"/>
  <c r="CA97" i="24" s="1"/>
  <c r="CB97" i="24" s="1"/>
  <c r="BY270" i="24"/>
  <c r="CA270" i="24" s="1"/>
  <c r="CB270" i="24" s="1"/>
  <c r="BM270" i="24"/>
  <c r="BN270" i="24" s="1"/>
  <c r="BR86" i="25"/>
  <c r="BV86" i="25" s="1"/>
  <c r="BX86" i="25" s="1"/>
  <c r="BE86" i="25"/>
  <c r="BK86" i="25" s="1"/>
  <c r="BY11" i="25"/>
  <c r="CA11" i="25" s="1"/>
  <c r="CB11" i="25" s="1"/>
  <c r="BL11" i="25"/>
  <c r="BE157" i="25"/>
  <c r="BR157" i="25"/>
  <c r="BX157" i="25" s="1"/>
  <c r="BN8" i="24"/>
  <c r="BY8" i="24"/>
  <c r="CA8" i="24" s="1"/>
  <c r="CB8" i="24" s="1"/>
  <c r="AG446" i="29"/>
  <c r="W446" i="29"/>
  <c r="W484" i="29"/>
  <c r="AG484" i="29"/>
  <c r="X46" i="29"/>
  <c r="Y46" i="29" s="1"/>
  <c r="AH46" i="29"/>
  <c r="BY227" i="24"/>
  <c r="CA227" i="24" s="1"/>
  <c r="CB227" i="24" s="1"/>
  <c r="BM227" i="24"/>
  <c r="BN227" i="24" s="1"/>
  <c r="BY59" i="25"/>
  <c r="CA59" i="25" s="1"/>
  <c r="CB59" i="25" s="1"/>
  <c r="BL59" i="25"/>
  <c r="BY306" i="25"/>
  <c r="CA306" i="25" s="1"/>
  <c r="CB306" i="25" s="1"/>
  <c r="BL306" i="25"/>
  <c r="BK306" i="25"/>
  <c r="BE203" i="25"/>
  <c r="BR203" i="25"/>
  <c r="BX203" i="25" s="1"/>
  <c r="BY14" i="25"/>
  <c r="CA14" i="25" s="1"/>
  <c r="CB14" i="25" s="1"/>
  <c r="BL14" i="25"/>
  <c r="BE230" i="25"/>
  <c r="BR230" i="25"/>
  <c r="BX230" i="25" s="1"/>
  <c r="BR76" i="25"/>
  <c r="BV76" i="25" s="1"/>
  <c r="BX76" i="25" s="1"/>
  <c r="BE76" i="25"/>
  <c r="BK76" i="25" s="1"/>
  <c r="BY206" i="24"/>
  <c r="CA206" i="24" s="1"/>
  <c r="CB206" i="24" s="1"/>
  <c r="BM206" i="24"/>
  <c r="BN206" i="24" s="1"/>
  <c r="BY144" i="24"/>
  <c r="CA144" i="24" s="1"/>
  <c r="CB144" i="24" s="1"/>
  <c r="BM144" i="24"/>
  <c r="BN144" i="24" s="1"/>
  <c r="BE307" i="25"/>
  <c r="BR307" i="25"/>
  <c r="BX307" i="25" s="1"/>
  <c r="X594" i="29"/>
  <c r="Y594" i="29" s="1"/>
  <c r="AH594" i="29"/>
  <c r="AG582" i="29"/>
  <c r="W582" i="29"/>
  <c r="X82" i="29"/>
  <c r="Y82" i="29" s="1"/>
  <c r="AH82" i="29"/>
  <c r="W370" i="29"/>
  <c r="AG370" i="29"/>
  <c r="W570" i="29"/>
  <c r="AG570" i="29"/>
  <c r="AH78" i="29"/>
  <c r="X78" i="29"/>
  <c r="Y78" i="29" s="1"/>
  <c r="AH103" i="29"/>
  <c r="X103" i="29"/>
  <c r="Y103" i="29" s="1"/>
  <c r="AH139" i="29"/>
  <c r="X139" i="29"/>
  <c r="Y139" i="29" s="1"/>
  <c r="X261" i="29"/>
  <c r="Y261" i="29" s="1"/>
  <c r="AH261" i="29"/>
  <c r="AG77" i="29"/>
  <c r="W77" i="29"/>
  <c r="AH459" i="29"/>
  <c r="X459" i="29"/>
  <c r="Y459" i="29" s="1"/>
  <c r="AG494" i="29"/>
  <c r="W494" i="29"/>
  <c r="W151" i="29"/>
  <c r="AG151" i="29"/>
  <c r="W613" i="29"/>
  <c r="AG613" i="29"/>
  <c r="AH218" i="29"/>
  <c r="X218" i="29"/>
  <c r="Y218" i="29" s="1"/>
  <c r="BE304" i="25"/>
  <c r="BR304" i="25"/>
  <c r="BX304" i="25" s="1"/>
  <c r="BE135" i="25"/>
  <c r="BR135" i="25"/>
  <c r="BX135" i="25" s="1"/>
  <c r="BE169" i="25"/>
  <c r="BR169" i="25"/>
  <c r="BX169" i="25" s="1"/>
  <c r="BY153" i="24"/>
  <c r="CA153" i="24" s="1"/>
  <c r="CB153" i="24" s="1"/>
  <c r="BM153" i="24"/>
  <c r="BN153" i="24" s="1"/>
  <c r="BY285" i="24"/>
  <c r="CA285" i="24" s="1"/>
  <c r="BM285" i="24"/>
  <c r="BN285" i="24" s="1"/>
  <c r="BE308" i="25"/>
  <c r="BR308" i="25"/>
  <c r="BX308" i="25" s="1"/>
  <c r="BE193" i="25"/>
  <c r="BR193" i="25"/>
  <c r="BX193" i="25" s="1"/>
  <c r="BL28" i="25"/>
  <c r="BY28" i="25"/>
  <c r="CA28" i="25" s="1"/>
  <c r="CB28" i="25" s="1"/>
  <c r="AG262" i="29"/>
  <c r="W262" i="29"/>
  <c r="W17" i="29"/>
  <c r="AG17" i="29"/>
  <c r="AG233" i="29"/>
  <c r="W233" i="29"/>
  <c r="W178" i="29"/>
  <c r="AG178" i="29"/>
  <c r="W386" i="29"/>
  <c r="AG386" i="29"/>
  <c r="AG361" i="29"/>
  <c r="W361" i="29"/>
  <c r="AG602" i="29"/>
  <c r="W602" i="29"/>
  <c r="AG16" i="29"/>
  <c r="W16" i="29"/>
  <c r="AH529" i="29"/>
  <c r="X529" i="29"/>
  <c r="Y529" i="29" s="1"/>
  <c r="AG519" i="29"/>
  <c r="W519" i="29"/>
  <c r="W391" i="29"/>
  <c r="AG391" i="29"/>
  <c r="X56" i="29"/>
  <c r="Y56" i="29" s="1"/>
  <c r="AH56" i="29"/>
  <c r="W344" i="29"/>
  <c r="AG344" i="29"/>
  <c r="AG505" i="29"/>
  <c r="W505" i="29"/>
  <c r="W175" i="29"/>
  <c r="AG175" i="29"/>
  <c r="AG553" i="29"/>
  <c r="W553" i="29"/>
  <c r="AH463" i="29"/>
  <c r="X463" i="29"/>
  <c r="Y463" i="29" s="1"/>
  <c r="BY127" i="24"/>
  <c r="CA127" i="24" s="1"/>
  <c r="CB127" i="24" s="1"/>
  <c r="BM127" i="24"/>
  <c r="BN127" i="24" s="1"/>
  <c r="BY74" i="24"/>
  <c r="CA74" i="24" s="1"/>
  <c r="BN74" i="24"/>
  <c r="BY66" i="24"/>
  <c r="CA66" i="24" s="1"/>
  <c r="CB66" i="24" s="1"/>
  <c r="BN66" i="24"/>
  <c r="BR294" i="25"/>
  <c r="BX294" i="25" s="1"/>
  <c r="BE294" i="25"/>
  <c r="BY81" i="24"/>
  <c r="CA81" i="24" s="1"/>
  <c r="BN81" i="24"/>
  <c r="BE112" i="25"/>
  <c r="BR112" i="25"/>
  <c r="BX112" i="25" s="1"/>
  <c r="BY247" i="25"/>
  <c r="CA247" i="25" s="1"/>
  <c r="CB247" i="25" s="1"/>
  <c r="BL247" i="25"/>
  <c r="BK247" i="25"/>
  <c r="BR101" i="25"/>
  <c r="BV101" i="25" s="1"/>
  <c r="BX101" i="25" s="1"/>
  <c r="BE101" i="25"/>
  <c r="BK101" i="25" s="1"/>
  <c r="BY90" i="24"/>
  <c r="CA90" i="24" s="1"/>
  <c r="CB90" i="24" s="1"/>
  <c r="BN90" i="24"/>
  <c r="BE302" i="25"/>
  <c r="BR302" i="25"/>
  <c r="BX302" i="25" s="1"/>
  <c r="BY222" i="24"/>
  <c r="CA222" i="24" s="1"/>
  <c r="CB222" i="24" s="1"/>
  <c r="BM222" i="24"/>
  <c r="BN222" i="24" s="1"/>
  <c r="AH478" i="29"/>
  <c r="X478" i="29"/>
  <c r="Y478" i="29" s="1"/>
  <c r="AH603" i="29"/>
  <c r="X603" i="29"/>
  <c r="Y603" i="29" s="1"/>
  <c r="AH287" i="29"/>
  <c r="X287" i="29"/>
  <c r="Y287" i="29" s="1"/>
  <c r="W485" i="29"/>
  <c r="AG485" i="29"/>
  <c r="W263" i="29"/>
  <c r="AG263" i="29"/>
  <c r="BR160" i="25"/>
  <c r="BX160" i="25" s="1"/>
  <c r="BE160" i="25"/>
  <c r="BY13" i="24"/>
  <c r="CA13" i="24" s="1"/>
  <c r="CB13" i="24" s="1"/>
  <c r="BN13" i="24"/>
  <c r="BE300" i="25"/>
  <c r="BR300" i="25"/>
  <c r="BX300" i="25" s="1"/>
  <c r="BE52" i="25"/>
  <c r="BK52" i="25" s="1"/>
  <c r="BR52" i="25"/>
  <c r="BV52" i="25" s="1"/>
  <c r="BX52" i="25" s="1"/>
  <c r="BY173" i="24"/>
  <c r="CA173" i="24" s="1"/>
  <c r="BM173" i="24"/>
  <c r="BN173" i="24" s="1"/>
  <c r="BR73" i="25"/>
  <c r="BV73" i="25" s="1"/>
  <c r="BX73" i="25" s="1"/>
  <c r="BE73" i="25"/>
  <c r="BK73" i="25" s="1"/>
  <c r="BE85" i="25"/>
  <c r="BK85" i="25" s="1"/>
  <c r="BR85" i="25"/>
  <c r="BV85" i="25" s="1"/>
  <c r="BX85" i="25" s="1"/>
  <c r="X568" i="29"/>
  <c r="Y568" i="29" s="1"/>
  <c r="AH568" i="29"/>
  <c r="X474" i="29"/>
  <c r="Y474" i="29" s="1"/>
  <c r="AH474" i="29"/>
  <c r="AH532" i="29"/>
  <c r="X532" i="29"/>
  <c r="Y532" i="29" s="1"/>
  <c r="AG428" i="29"/>
  <c r="W428" i="29"/>
  <c r="AG96" i="29"/>
  <c r="W96" i="29"/>
  <c r="W329" i="29"/>
  <c r="AG329" i="29"/>
  <c r="AH356" i="29"/>
  <c r="X356" i="29"/>
  <c r="Y356" i="29" s="1"/>
  <c r="W126" i="29"/>
  <c r="AG126" i="29"/>
  <c r="AH430" i="29"/>
  <c r="X430" i="29"/>
  <c r="Y430" i="29" s="1"/>
  <c r="AH115" i="29"/>
  <c r="X115" i="29"/>
  <c r="Y115" i="29" s="1"/>
  <c r="AH158" i="29"/>
  <c r="X158" i="29"/>
  <c r="Y158" i="29" s="1"/>
  <c r="AH316" i="29"/>
  <c r="X316" i="29"/>
  <c r="Y316" i="29" s="1"/>
  <c r="AH244" i="29"/>
  <c r="X244" i="29"/>
  <c r="Y244" i="29" s="1"/>
  <c r="BY164" i="24"/>
  <c r="CA164" i="24" s="1"/>
  <c r="CB164" i="24" s="1"/>
  <c r="BM164" i="24"/>
  <c r="BN164" i="24" s="1"/>
  <c r="BN27" i="24"/>
  <c r="BE44" i="25"/>
  <c r="BK44" i="25" s="1"/>
  <c r="BR44" i="25"/>
  <c r="BV44" i="25" s="1"/>
  <c r="BX44" i="25" s="1"/>
  <c r="BY204" i="24"/>
  <c r="CA204" i="24" s="1"/>
  <c r="BM204" i="24"/>
  <c r="BN204" i="24" s="1"/>
  <c r="AH91" i="29"/>
  <c r="X91" i="29"/>
  <c r="Y91" i="29" s="1"/>
  <c r="AG501" i="29"/>
  <c r="W501" i="29"/>
  <c r="X524" i="29"/>
  <c r="Y524" i="29" s="1"/>
  <c r="AH524" i="29"/>
  <c r="AH432" i="29"/>
  <c r="X432" i="29"/>
  <c r="Y432" i="29" s="1"/>
  <c r="AG298" i="29"/>
  <c r="W298" i="29"/>
  <c r="AH526" i="29"/>
  <c r="X526" i="29"/>
  <c r="Y526" i="29" s="1"/>
  <c r="AH379" i="29"/>
  <c r="X379" i="29"/>
  <c r="Y379" i="29" s="1"/>
  <c r="AG424" i="29"/>
  <c r="W424" i="29"/>
  <c r="AH437" i="29"/>
  <c r="X437" i="29"/>
  <c r="Y437" i="29" s="1"/>
  <c r="AG161" i="29"/>
  <c r="W161" i="29"/>
  <c r="AG125" i="29"/>
  <c r="W125" i="29"/>
  <c r="W160" i="29"/>
  <c r="AG160" i="29"/>
  <c r="AH555" i="29"/>
  <c r="X555" i="29"/>
  <c r="Y555" i="29" s="1"/>
  <c r="AG551" i="29"/>
  <c r="W551" i="29"/>
  <c r="AH343" i="29"/>
  <c r="X343" i="29"/>
  <c r="Y343" i="29" s="1"/>
  <c r="W184" i="29"/>
  <c r="AG184" i="29"/>
  <c r="AG589" i="29"/>
  <c r="W589" i="29"/>
  <c r="AH180" i="29"/>
  <c r="X180" i="29"/>
  <c r="Y180" i="29" s="1"/>
  <c r="W181" i="29"/>
  <c r="AG181" i="29"/>
  <c r="BL293" i="25"/>
  <c r="BY293" i="25"/>
  <c r="CA293" i="25" s="1"/>
  <c r="CB293" i="25" s="1"/>
  <c r="BK293" i="25"/>
  <c r="BL206" i="25"/>
  <c r="BY206" i="25"/>
  <c r="CA206" i="25" s="1"/>
  <c r="CB206" i="25" s="1"/>
  <c r="BK206" i="25"/>
  <c r="BE231" i="25"/>
  <c r="BR231" i="25"/>
  <c r="BX231" i="25" s="1"/>
  <c r="BY308" i="24"/>
  <c r="CA308" i="24" s="1"/>
  <c r="BM308" i="24"/>
  <c r="BN308" i="24" s="1"/>
  <c r="BY301" i="24"/>
  <c r="CA301" i="24" s="1"/>
  <c r="CB301" i="24" s="1"/>
  <c r="BM301" i="24"/>
  <c r="BN301" i="24" s="1"/>
  <c r="BN89" i="24"/>
  <c r="BY89" i="24"/>
  <c r="CA89" i="24" s="1"/>
  <c r="CB89" i="24" s="1"/>
  <c r="BY259" i="25"/>
  <c r="CA259" i="25" s="1"/>
  <c r="CB259" i="25" s="1"/>
  <c r="BL259" i="25"/>
  <c r="BK259" i="25"/>
  <c r="BE313" i="25"/>
  <c r="BR313" i="25"/>
  <c r="BX313" i="25" s="1"/>
  <c r="BY188" i="24"/>
  <c r="CA188" i="24" s="1"/>
  <c r="CB188" i="24" s="1"/>
  <c r="BM188" i="24"/>
  <c r="BN188" i="24" s="1"/>
  <c r="BR239" i="25"/>
  <c r="BX239" i="25" s="1"/>
  <c r="BE239" i="25"/>
  <c r="BE130" i="25"/>
  <c r="BR130" i="25"/>
  <c r="BX130" i="25" s="1"/>
  <c r="BY128" i="24"/>
  <c r="CA128" i="24" s="1"/>
  <c r="CB128" i="24" s="1"/>
  <c r="BM128" i="24"/>
  <c r="BN128" i="24" s="1"/>
  <c r="BE269" i="25"/>
  <c r="BR269" i="25"/>
  <c r="BX269" i="25" s="1"/>
  <c r="AH371" i="29"/>
  <c r="X371" i="29"/>
  <c r="Y371" i="29" s="1"/>
  <c r="AH449" i="29"/>
  <c r="X449" i="29"/>
  <c r="Y449" i="29" s="1"/>
  <c r="W249" i="29"/>
  <c r="AG249" i="29"/>
  <c r="X225" i="29"/>
  <c r="Y225" i="29" s="1"/>
  <c r="AH225" i="29"/>
  <c r="AH72" i="29"/>
  <c r="X72" i="29"/>
  <c r="Y72" i="29" s="1"/>
  <c r="AH156" i="29"/>
  <c r="X156" i="29"/>
  <c r="Y156" i="29" s="1"/>
  <c r="BE227" i="25"/>
  <c r="BR227" i="25"/>
  <c r="BX227" i="25" s="1"/>
  <c r="BY207" i="24"/>
  <c r="CA207" i="24" s="1"/>
  <c r="CB207" i="24" s="1"/>
  <c r="BM207" i="24"/>
  <c r="BN207" i="24" s="1"/>
  <c r="BE278" i="25"/>
  <c r="BR278" i="25"/>
  <c r="BX278" i="25" s="1"/>
  <c r="BY145" i="24"/>
  <c r="CA145" i="24" s="1"/>
  <c r="CB145" i="24" s="1"/>
  <c r="BM145" i="24"/>
  <c r="BN145" i="24" s="1"/>
  <c r="AG414" i="29"/>
  <c r="W414" i="29"/>
  <c r="AH518" i="29"/>
  <c r="X518" i="29"/>
  <c r="Y518" i="29" s="1"/>
  <c r="AH179" i="29"/>
  <c r="X179" i="29"/>
  <c r="Y179" i="29" s="1"/>
  <c r="AH264" i="29"/>
  <c r="X264" i="29"/>
  <c r="Y264" i="29" s="1"/>
  <c r="AH18" i="29"/>
  <c r="X18" i="29"/>
  <c r="Y18" i="29" s="1"/>
  <c r="AG237" i="29"/>
  <c r="W237" i="29"/>
  <c r="X204" i="29"/>
  <c r="Y204" i="29" s="1"/>
  <c r="AH204" i="29"/>
  <c r="AH165" i="29"/>
  <c r="X165" i="29"/>
  <c r="Y165" i="29" s="1"/>
  <c r="AG597" i="29"/>
  <c r="W597" i="29"/>
  <c r="W93" i="29"/>
  <c r="AG93" i="29"/>
  <c r="AG191" i="29"/>
  <c r="W191" i="29"/>
  <c r="W101" i="29"/>
  <c r="AG101" i="29"/>
  <c r="W516" i="29"/>
  <c r="AG516" i="29"/>
  <c r="AG189" i="29"/>
  <c r="W189" i="29"/>
  <c r="W60" i="29"/>
  <c r="AG60" i="29"/>
  <c r="W374" i="29"/>
  <c r="AG374" i="29"/>
  <c r="AG497" i="29"/>
  <c r="W497" i="29"/>
  <c r="BE54" i="25"/>
  <c r="BK54" i="25" s="1"/>
  <c r="BR54" i="25"/>
  <c r="BV54" i="25" s="1"/>
  <c r="BX54" i="25" s="1"/>
  <c r="BY262" i="25"/>
  <c r="CA262" i="25" s="1"/>
  <c r="CB262" i="25" s="1"/>
  <c r="BL262" i="25"/>
  <c r="BK262" i="25"/>
  <c r="BL71" i="25"/>
  <c r="BY71" i="25"/>
  <c r="CA71" i="25" s="1"/>
  <c r="BY266" i="24"/>
  <c r="CA266" i="24" s="1"/>
  <c r="CB266" i="24" s="1"/>
  <c r="BM266" i="24"/>
  <c r="BN266" i="24" s="1"/>
  <c r="BY29" i="25"/>
  <c r="CA29" i="25" s="1"/>
  <c r="CB29" i="25" s="1"/>
  <c r="BL29" i="25"/>
  <c r="BE289" i="25"/>
  <c r="BR289" i="25"/>
  <c r="BX289" i="25" s="1"/>
  <c r="W79" i="29"/>
  <c r="AG79" i="29"/>
  <c r="W593" i="29"/>
  <c r="AG593" i="29"/>
  <c r="AG443" i="29"/>
  <c r="W443" i="29"/>
  <c r="AG28" i="29"/>
  <c r="W28" i="29"/>
  <c r="W496" i="29"/>
  <c r="AG496" i="29"/>
  <c r="X401" i="29"/>
  <c r="Y401" i="29" s="1"/>
  <c r="AH401" i="29"/>
  <c r="X441" i="29"/>
  <c r="Y441" i="29" s="1"/>
  <c r="AH441" i="29"/>
  <c r="W214" i="29"/>
  <c r="AG214" i="29"/>
  <c r="W241" i="29"/>
  <c r="AG241" i="29"/>
  <c r="W563" i="29"/>
  <c r="AG563" i="29"/>
  <c r="W473" i="29"/>
  <c r="AG473" i="29"/>
  <c r="X234" i="29"/>
  <c r="Y234" i="29" s="1"/>
  <c r="AH234" i="29"/>
  <c r="W580" i="29"/>
  <c r="AG580" i="29"/>
  <c r="X332" i="29"/>
  <c r="Y332" i="29" s="1"/>
  <c r="AH332" i="29"/>
  <c r="AG134" i="29"/>
  <c r="W134" i="29"/>
  <c r="W46" i="29"/>
  <c r="AG46" i="29"/>
  <c r="W579" i="29"/>
  <c r="AG579" i="29"/>
  <c r="BL62" i="25"/>
  <c r="BY62" i="25"/>
  <c r="CA62" i="25" s="1"/>
  <c r="BL170" i="25"/>
  <c r="BY170" i="25"/>
  <c r="CA170" i="25" s="1"/>
  <c r="BK170" i="25"/>
  <c r="BR145" i="25"/>
  <c r="BX145" i="25" s="1"/>
  <c r="BE145" i="25"/>
  <c r="BE134" i="25"/>
  <c r="BR134" i="25"/>
  <c r="BX134" i="25" s="1"/>
  <c r="BE315" i="25"/>
  <c r="BR315" i="25"/>
  <c r="BX315" i="25" s="1"/>
  <c r="BY123" i="24"/>
  <c r="CA123" i="24" s="1"/>
  <c r="CB123" i="24" s="1"/>
  <c r="BM123" i="24"/>
  <c r="BN123" i="24" s="1"/>
  <c r="AG253" i="29"/>
  <c r="W253" i="29"/>
  <c r="AG403" i="29"/>
  <c r="W403" i="29"/>
  <c r="AG106" i="29"/>
  <c r="W106" i="29"/>
  <c r="W339" i="29"/>
  <c r="AG339" i="29"/>
  <c r="X475" i="29"/>
  <c r="Y475" i="29" s="1"/>
  <c r="AH475" i="29"/>
  <c r="BL261" i="25"/>
  <c r="BY261" i="25"/>
  <c r="CA261" i="25" s="1"/>
  <c r="CB261" i="25" s="1"/>
  <c r="BK261" i="25"/>
  <c r="BY114" i="24"/>
  <c r="CA114" i="24" s="1"/>
  <c r="CB114" i="24" s="1"/>
  <c r="BM114" i="24"/>
  <c r="BN114" i="24" s="1"/>
  <c r="BY175" i="24"/>
  <c r="CA175" i="24" s="1"/>
  <c r="CB175" i="24" s="1"/>
  <c r="BM175" i="24"/>
  <c r="BN175" i="24" s="1"/>
  <c r="BY271" i="24"/>
  <c r="CA271" i="24" s="1"/>
  <c r="CB271" i="24" s="1"/>
  <c r="BM271" i="24"/>
  <c r="BN271" i="24" s="1"/>
  <c r="BE152" i="25"/>
  <c r="BR152" i="25"/>
  <c r="BX152" i="25" s="1"/>
  <c r="AH483" i="29"/>
  <c r="X483" i="29"/>
  <c r="Y483" i="29" s="1"/>
  <c r="X155" i="29"/>
  <c r="Y155" i="29" s="1"/>
  <c r="AH155" i="29"/>
  <c r="AG256" i="29"/>
  <c r="W256" i="29"/>
  <c r="AH198" i="29"/>
  <c r="X198" i="29"/>
  <c r="Y198" i="29" s="1"/>
  <c r="AH154" i="29"/>
  <c r="X154" i="29"/>
  <c r="Y154" i="29" s="1"/>
  <c r="W464" i="29"/>
  <c r="AG464" i="29"/>
  <c r="X110" i="29"/>
  <c r="Y110" i="29" s="1"/>
  <c r="AH110" i="29"/>
  <c r="BY60" i="24"/>
  <c r="CA60" i="24" s="1"/>
  <c r="CB60" i="24" s="1"/>
  <c r="BN60" i="24"/>
  <c r="BE164" i="25"/>
  <c r="BR164" i="25"/>
  <c r="BX164" i="25" s="1"/>
  <c r="BE285" i="25"/>
  <c r="BR285" i="25"/>
  <c r="BX285" i="25" s="1"/>
  <c r="BY312" i="24"/>
  <c r="CA312" i="24" s="1"/>
  <c r="CB312" i="24" s="1"/>
  <c r="BM312" i="24"/>
  <c r="BN312" i="24" s="1"/>
  <c r="BE142" i="25"/>
  <c r="BR142" i="25"/>
  <c r="BX142" i="25" s="1"/>
  <c r="BY309" i="24"/>
  <c r="CA309" i="24" s="1"/>
  <c r="BM309" i="24"/>
  <c r="BN309" i="24" s="1"/>
  <c r="BY243" i="24"/>
  <c r="CA243" i="24" s="1"/>
  <c r="CB243" i="24" s="1"/>
  <c r="BM243" i="24"/>
  <c r="BN243" i="24" s="1"/>
  <c r="BY47" i="24"/>
  <c r="CA47" i="24" s="1"/>
  <c r="CB47" i="24" s="1"/>
  <c r="BN47" i="24"/>
  <c r="BE150" i="25"/>
  <c r="BR150" i="25"/>
  <c r="BX150" i="25" s="1"/>
  <c r="BE17" i="25"/>
  <c r="BK17" i="25" s="1"/>
  <c r="BR17" i="25"/>
  <c r="BV17" i="25" s="1"/>
  <c r="BX17" i="25" s="1"/>
  <c r="BY201" i="25"/>
  <c r="CA201" i="25" s="1"/>
  <c r="BL201" i="25"/>
  <c r="BK201" i="25"/>
  <c r="AG307" i="29"/>
  <c r="W307" i="29"/>
  <c r="X573" i="29"/>
  <c r="Y573" i="29" s="1"/>
  <c r="AH573" i="29"/>
  <c r="AH525" i="29"/>
  <c r="X525" i="29"/>
  <c r="Y525" i="29" s="1"/>
  <c r="AH319" i="29"/>
  <c r="X319" i="29"/>
  <c r="Y319" i="29" s="1"/>
  <c r="AG229" i="29"/>
  <c r="W229" i="29"/>
  <c r="AG478" i="29"/>
  <c r="W478" i="29"/>
  <c r="X251" i="29"/>
  <c r="Y251" i="29" s="1"/>
  <c r="AH251" i="29"/>
  <c r="AG69" i="29"/>
  <c r="W69" i="29"/>
  <c r="AG48" i="29"/>
  <c r="W48" i="29"/>
  <c r="X485" i="29"/>
  <c r="Y485" i="29" s="1"/>
  <c r="AH485" i="29"/>
  <c r="AH417" i="29"/>
  <c r="X417" i="29"/>
  <c r="Y417" i="29" s="1"/>
  <c r="AG14" i="29"/>
  <c r="W14" i="29"/>
  <c r="AH362" i="29"/>
  <c r="X362" i="29"/>
  <c r="Y362" i="29" s="1"/>
  <c r="AG481" i="29"/>
  <c r="W481" i="29"/>
  <c r="AG394" i="29"/>
  <c r="W394" i="29"/>
  <c r="BR63" i="25"/>
  <c r="BV63" i="25" s="1"/>
  <c r="BX63" i="25" s="1"/>
  <c r="BE63" i="25"/>
  <c r="BK63" i="25" s="1"/>
  <c r="BE234" i="25"/>
  <c r="BR234" i="25"/>
  <c r="BX234" i="25" s="1"/>
  <c r="BE171" i="25"/>
  <c r="BR171" i="25"/>
  <c r="BX171" i="25" s="1"/>
  <c r="BR165" i="25"/>
  <c r="BX165" i="25" s="1"/>
  <c r="BE165" i="25"/>
  <c r="BN48" i="24"/>
  <c r="BY48" i="24"/>
  <c r="CA48" i="24" s="1"/>
  <c r="CB48" i="24" s="1"/>
  <c r="BE187" i="25"/>
  <c r="BR187" i="25"/>
  <c r="BX187" i="25" s="1"/>
  <c r="BY143" i="24"/>
  <c r="CA143" i="24" s="1"/>
  <c r="CB143" i="24" s="1"/>
  <c r="BM143" i="24"/>
  <c r="BN143" i="24" s="1"/>
  <c r="AH352" i="29"/>
  <c r="X352" i="29"/>
  <c r="Y352" i="29" s="1"/>
  <c r="AG541" i="29"/>
  <c r="W541" i="29"/>
  <c r="AH186" i="29"/>
  <c r="X186" i="29"/>
  <c r="Y186" i="29" s="1"/>
  <c r="BY150" i="24"/>
  <c r="CA150" i="24" s="1"/>
  <c r="CB150" i="24" s="1"/>
  <c r="BM150" i="24"/>
  <c r="BN150" i="24" s="1"/>
  <c r="BY231" i="24"/>
  <c r="CA231" i="24" s="1"/>
  <c r="CB231" i="24" s="1"/>
  <c r="BM231" i="24"/>
  <c r="BN231" i="24" s="1"/>
  <c r="BR39" i="25"/>
  <c r="BV39" i="25" s="1"/>
  <c r="BX39" i="25" s="1"/>
  <c r="BE39" i="25"/>
  <c r="BK39" i="25" s="1"/>
  <c r="BY187" i="24"/>
  <c r="CA187" i="24" s="1"/>
  <c r="CB187" i="24" s="1"/>
  <c r="BM187" i="24"/>
  <c r="BN187" i="24" s="1"/>
  <c r="BY137" i="24"/>
  <c r="CA137" i="24" s="1"/>
  <c r="CB137" i="24" s="1"/>
  <c r="BM137" i="24"/>
  <c r="BN137" i="24" s="1"/>
  <c r="BE100" i="25"/>
  <c r="BK100" i="25" s="1"/>
  <c r="BR100" i="25"/>
  <c r="BV100" i="25" s="1"/>
  <c r="BX100" i="25" s="1"/>
  <c r="BE194" i="25"/>
  <c r="BR194" i="25"/>
  <c r="BX194" i="25" s="1"/>
  <c r="X537" i="29"/>
  <c r="Y537" i="29" s="1"/>
  <c r="AH537" i="29"/>
  <c r="X153" i="29"/>
  <c r="Y153" i="29" s="1"/>
  <c r="AH153" i="29"/>
  <c r="AG71" i="29"/>
  <c r="W71" i="29"/>
  <c r="AG376" i="29"/>
  <c r="W376" i="29"/>
  <c r="AH64" i="29"/>
  <c r="X64" i="29"/>
  <c r="Y64" i="29" s="1"/>
  <c r="BY11" i="24"/>
  <c r="CA11" i="24" s="1"/>
  <c r="CB11" i="24" s="1"/>
  <c r="BN11" i="24"/>
  <c r="BY225" i="24"/>
  <c r="CA225" i="24" s="1"/>
  <c r="CB225" i="24" s="1"/>
  <c r="BM225" i="24"/>
  <c r="BN225" i="24" s="1"/>
  <c r="BY204" i="25"/>
  <c r="CA204" i="25" s="1"/>
  <c r="BL204" i="25"/>
  <c r="BK204" i="25"/>
  <c r="BE33" i="25"/>
  <c r="BK33" i="25" s="1"/>
  <c r="BR33" i="25"/>
  <c r="BV33" i="25" s="1"/>
  <c r="BX33" i="25" s="1"/>
  <c r="BE23" i="25"/>
  <c r="BK23" i="25" s="1"/>
  <c r="BR23" i="25"/>
  <c r="BV23" i="25" s="1"/>
  <c r="BX23" i="25" s="1"/>
  <c r="BY208" i="24"/>
  <c r="CA208" i="24" s="1"/>
  <c r="BM208" i="24"/>
  <c r="BN208" i="24" s="1"/>
  <c r="BY234" i="24"/>
  <c r="CA234" i="24" s="1"/>
  <c r="CB234" i="24" s="1"/>
  <c r="BM234" i="24"/>
  <c r="BN234" i="24" s="1"/>
  <c r="BR69" i="25"/>
  <c r="BV69" i="25" s="1"/>
  <c r="BX69" i="25" s="1"/>
  <c r="BE69" i="25"/>
  <c r="BK69" i="25" s="1"/>
  <c r="BR149" i="25"/>
  <c r="BX149" i="25" s="1"/>
  <c r="BE149" i="25"/>
  <c r="BY158" i="25"/>
  <c r="CA158" i="25" s="1"/>
  <c r="CB158" i="25" s="1"/>
  <c r="BL158" i="25"/>
  <c r="BK158" i="25"/>
  <c r="AG138" i="29"/>
  <c r="W138" i="29"/>
  <c r="AH565" i="29"/>
  <c r="X565" i="29"/>
  <c r="Y565" i="29" s="1"/>
  <c r="W371" i="29"/>
  <c r="AG371" i="29"/>
  <c r="AH147" i="29"/>
  <c r="X147" i="29"/>
  <c r="Y147" i="29" s="1"/>
  <c r="AG67" i="29"/>
  <c r="W67" i="29"/>
  <c r="X142" i="29"/>
  <c r="Y142" i="29" s="1"/>
  <c r="AH142" i="29"/>
  <c r="W21" i="29"/>
  <c r="AG21" i="29"/>
  <c r="AG306" i="29"/>
  <c r="W306" i="29"/>
  <c r="X284" i="29"/>
  <c r="Y284" i="29" s="1"/>
  <c r="AH284" i="29"/>
  <c r="AG225" i="29"/>
  <c r="W225" i="29"/>
  <c r="AH15" i="29"/>
  <c r="X15" i="29"/>
  <c r="Y15" i="29" s="1"/>
  <c r="AH296" i="29"/>
  <c r="X296" i="29"/>
  <c r="Y296" i="29" s="1"/>
  <c r="AG274" i="29"/>
  <c r="W274" i="29"/>
  <c r="W397" i="29"/>
  <c r="AG397" i="29"/>
  <c r="X453" i="29"/>
  <c r="Y453" i="29" s="1"/>
  <c r="AH453" i="29"/>
  <c r="BE182" i="25"/>
  <c r="BR182" i="25"/>
  <c r="BX182" i="25" s="1"/>
  <c r="BE172" i="25"/>
  <c r="BR172" i="25"/>
  <c r="BX172" i="25" s="1"/>
  <c r="BE260" i="25"/>
  <c r="BR260" i="25"/>
  <c r="BX260" i="25" s="1"/>
  <c r="BY257" i="25"/>
  <c r="CA257" i="25" s="1"/>
  <c r="CB257" i="25" s="1"/>
  <c r="BL257" i="25"/>
  <c r="BK257" i="25"/>
  <c r="AG566" i="29"/>
  <c r="W566" i="29"/>
  <c r="AG612" i="29"/>
  <c r="W612" i="29"/>
  <c r="AG220" i="29"/>
  <c r="W220" i="29"/>
  <c r="AH226" i="29"/>
  <c r="X226" i="29"/>
  <c r="Y226" i="29" s="1"/>
  <c r="D64" i="29"/>
  <c r="E59" i="1" s="1"/>
  <c r="D61" i="29"/>
  <c r="BY115" i="24"/>
  <c r="CA115" i="24" s="1"/>
  <c r="CB115" i="24" s="1"/>
  <c r="BM115" i="24"/>
  <c r="BN115" i="24" s="1"/>
  <c r="BE218" i="25"/>
  <c r="BR218" i="25"/>
  <c r="BX218" i="25" s="1"/>
  <c r="BE10" i="25"/>
  <c r="BK10" i="25" s="1"/>
  <c r="BR10" i="25"/>
  <c r="BV10" i="25" s="1"/>
  <c r="BX10" i="25" s="1"/>
  <c r="BR40" i="25"/>
  <c r="BV40" i="25" s="1"/>
  <c r="BX40" i="25" s="1"/>
  <c r="BE40" i="25"/>
  <c r="BK40" i="25" s="1"/>
  <c r="BE132" i="25"/>
  <c r="BR132" i="25"/>
  <c r="BX132" i="25" s="1"/>
  <c r="BY136" i="24"/>
  <c r="CA136" i="24" s="1"/>
  <c r="CB136" i="24" s="1"/>
  <c r="BM136" i="24"/>
  <c r="BN136" i="24" s="1"/>
  <c r="BY209" i="24"/>
  <c r="CA209" i="24" s="1"/>
  <c r="BM209" i="24"/>
  <c r="BN209" i="24" s="1"/>
  <c r="BY274" i="24"/>
  <c r="CA274" i="24" s="1"/>
  <c r="BM274" i="24"/>
  <c r="BN274" i="24" s="1"/>
  <c r="BY99" i="24"/>
  <c r="CA99" i="24" s="1"/>
  <c r="CB99" i="24" s="1"/>
  <c r="BN99" i="24"/>
  <c r="BY248" i="25"/>
  <c r="CA248" i="25" s="1"/>
  <c r="CB248" i="25" s="1"/>
  <c r="BL248" i="25"/>
  <c r="BK248" i="25"/>
  <c r="BE252" i="25"/>
  <c r="BR252" i="25"/>
  <c r="BX252" i="25" s="1"/>
  <c r="BY138" i="24"/>
  <c r="CA138" i="24" s="1"/>
  <c r="CB138" i="24" s="1"/>
  <c r="BM138" i="24"/>
  <c r="BN138" i="24" s="1"/>
  <c r="BR57" i="25"/>
  <c r="BV57" i="25" s="1"/>
  <c r="BX57" i="25" s="1"/>
  <c r="BE57" i="25"/>
  <c r="BK57" i="25" s="1"/>
  <c r="BE181" i="25"/>
  <c r="BR181" i="25"/>
  <c r="BX181" i="25" s="1"/>
  <c r="W302" i="29"/>
  <c r="AG302" i="29"/>
  <c r="X521" i="29"/>
  <c r="Y521" i="29" s="1"/>
  <c r="AH521" i="29"/>
  <c r="AG576" i="29"/>
  <c r="W576" i="29"/>
  <c r="AG345" i="29"/>
  <c r="W345" i="29"/>
  <c r="AH63" i="29"/>
  <c r="X63" i="29"/>
  <c r="Y63" i="29" s="1"/>
  <c r="X595" i="29"/>
  <c r="Y595" i="29" s="1"/>
  <c r="AH595" i="29"/>
  <c r="AH212" i="29"/>
  <c r="X212" i="29"/>
  <c r="Y212" i="29" s="1"/>
  <c r="BE16" i="25"/>
  <c r="BK16" i="25" s="1"/>
  <c r="BR16" i="25"/>
  <c r="BV16" i="25" s="1"/>
  <c r="BX16" i="25" s="1"/>
  <c r="BY272" i="24"/>
  <c r="CA272" i="24" s="1"/>
  <c r="BM272" i="24"/>
  <c r="BN272" i="24" s="1"/>
  <c r="BY246" i="25"/>
  <c r="CA246" i="25" s="1"/>
  <c r="CB246" i="25" s="1"/>
  <c r="BL246" i="25"/>
  <c r="BK246" i="25"/>
  <c r="BE137" i="25"/>
  <c r="BR137" i="25"/>
  <c r="BX137" i="25" s="1"/>
  <c r="BY69" i="24"/>
  <c r="CA69" i="24" s="1"/>
  <c r="CB69" i="24" s="1"/>
  <c r="BN69" i="24"/>
  <c r="BR45" i="25"/>
  <c r="BV45" i="25" s="1"/>
  <c r="BX45" i="25" s="1"/>
  <c r="BE45" i="25"/>
  <c r="BK45" i="25" s="1"/>
  <c r="BN46" i="24"/>
  <c r="BY46" i="24"/>
  <c r="CA46" i="24" s="1"/>
  <c r="CB46" i="24" s="1"/>
  <c r="BR38" i="25"/>
  <c r="BV38" i="25" s="1"/>
  <c r="BX38" i="25" s="1"/>
  <c r="BE38" i="25"/>
  <c r="BK38" i="25" s="1"/>
  <c r="AH253" i="29"/>
  <c r="X253" i="29"/>
  <c r="Y253" i="29" s="1"/>
  <c r="AG292" i="29"/>
  <c r="W292" i="29"/>
  <c r="X117" i="29"/>
  <c r="Y117" i="29" s="1"/>
  <c r="AH117" i="29"/>
  <c r="W396" i="29"/>
  <c r="AG396" i="29"/>
  <c r="X564" i="29"/>
  <c r="Y564" i="29" s="1"/>
  <c r="AH564" i="29"/>
  <c r="X433" i="29"/>
  <c r="Y433" i="29" s="1"/>
  <c r="AH433" i="29"/>
  <c r="X610" i="29"/>
  <c r="Y610" i="29" s="1"/>
  <c r="AH610" i="29"/>
  <c r="AH349" i="29"/>
  <c r="X349" i="29"/>
  <c r="Y349" i="29" s="1"/>
  <c r="AH305" i="29"/>
  <c r="X305" i="29"/>
  <c r="Y305" i="29" s="1"/>
  <c r="W411" i="29"/>
  <c r="AG411" i="29"/>
  <c r="AH106" i="29"/>
  <c r="X106" i="29"/>
  <c r="Y106" i="29" s="1"/>
  <c r="W503" i="29"/>
  <c r="AG503" i="29"/>
  <c r="AH232" i="29"/>
  <c r="X232" i="29"/>
  <c r="Y232" i="29" s="1"/>
  <c r="AG512" i="29"/>
  <c r="W512" i="29"/>
  <c r="X390" i="29"/>
  <c r="Y390" i="29" s="1"/>
  <c r="AH390" i="29"/>
  <c r="AG54" i="29"/>
  <c r="W54" i="29"/>
  <c r="BY314" i="24"/>
  <c r="CA314" i="24" s="1"/>
  <c r="CB314" i="24" s="1"/>
  <c r="BM314" i="24"/>
  <c r="BN314" i="24" s="1"/>
  <c r="BY49" i="24"/>
  <c r="CA49" i="24" s="1"/>
  <c r="CB49" i="24" s="1"/>
  <c r="BN49" i="24"/>
  <c r="BE24" i="25"/>
  <c r="BK24" i="25" s="1"/>
  <c r="BR24" i="25"/>
  <c r="BV24" i="25" s="1"/>
  <c r="BX24" i="25" s="1"/>
  <c r="BY201" i="24"/>
  <c r="CA201" i="24" s="1"/>
  <c r="BM201" i="24"/>
  <c r="BN201" i="24" s="1"/>
  <c r="BE268" i="25"/>
  <c r="BR268" i="25"/>
  <c r="BX268" i="25" s="1"/>
  <c r="BE126" i="25"/>
  <c r="BR126" i="25"/>
  <c r="BX126" i="25" s="1"/>
  <c r="BE163" i="25"/>
  <c r="BR163" i="25"/>
  <c r="BX163" i="25" s="1"/>
  <c r="BY171" i="24"/>
  <c r="CA171" i="24" s="1"/>
  <c r="CB171" i="24" s="1"/>
  <c r="BM171" i="24"/>
  <c r="BN171" i="24" s="1"/>
  <c r="BE197" i="25"/>
  <c r="BR197" i="25"/>
  <c r="BX197" i="25" s="1"/>
  <c r="BY32" i="25"/>
  <c r="CA32" i="25" s="1"/>
  <c r="CB32" i="25" s="1"/>
  <c r="BL32" i="25"/>
  <c r="AH37" i="29"/>
  <c r="X37" i="29"/>
  <c r="Y37" i="29" s="1"/>
  <c r="W483" i="29"/>
  <c r="AG483" i="29"/>
  <c r="W155" i="29"/>
  <c r="AG155" i="29"/>
  <c r="AG486" i="29"/>
  <c r="W486" i="29"/>
  <c r="AH515" i="29"/>
  <c r="X515" i="29"/>
  <c r="Y515" i="29" s="1"/>
  <c r="AH92" i="29"/>
  <c r="X92" i="29"/>
  <c r="Y92" i="29" s="1"/>
  <c r="W331" i="29"/>
  <c r="AG331" i="29"/>
  <c r="AG321" i="29"/>
  <c r="W321" i="29"/>
  <c r="W300" i="29"/>
  <c r="AG300" i="29"/>
  <c r="AH45" i="29"/>
  <c r="X45" i="29"/>
  <c r="Y45" i="29" s="1"/>
  <c r="AH502" i="29"/>
  <c r="X502" i="29"/>
  <c r="Y502" i="29" s="1"/>
  <c r="AG283" i="29"/>
  <c r="W283" i="29"/>
  <c r="W131" i="29"/>
  <c r="AG131" i="29"/>
  <c r="AH464" i="29"/>
  <c r="X464" i="29"/>
  <c r="Y464" i="29" s="1"/>
  <c r="W110" i="29"/>
  <c r="AG110" i="29"/>
  <c r="BY36" i="24"/>
  <c r="CA36" i="24" s="1"/>
  <c r="CB36" i="24" s="1"/>
  <c r="BN36" i="24"/>
  <c r="BY174" i="24"/>
  <c r="CA174" i="24" s="1"/>
  <c r="CB174" i="24" s="1"/>
  <c r="BM174" i="24"/>
  <c r="BN174" i="24" s="1"/>
  <c r="BL82" i="25"/>
  <c r="BY82" i="25"/>
  <c r="CA82" i="25" s="1"/>
  <c r="BY314" i="25"/>
  <c r="CA314" i="25" s="1"/>
  <c r="CB314" i="25" s="1"/>
  <c r="BL314" i="25"/>
  <c r="BK314" i="25"/>
  <c r="BY275" i="24"/>
  <c r="CA275" i="24" s="1"/>
  <c r="CB275" i="24" s="1"/>
  <c r="BM275" i="24"/>
  <c r="BN275" i="24" s="1"/>
  <c r="BR75" i="25"/>
  <c r="BV75" i="25" s="1"/>
  <c r="BX75" i="25" s="1"/>
  <c r="BE75" i="25"/>
  <c r="BK75" i="25" s="1"/>
  <c r="BR12" i="25"/>
  <c r="BV12" i="25" s="1"/>
  <c r="BX12" i="25" s="1"/>
  <c r="BE12" i="25"/>
  <c r="BK12" i="25" s="1"/>
  <c r="BY118" i="24"/>
  <c r="CA118" i="24" s="1"/>
  <c r="CB118" i="24" s="1"/>
  <c r="BM118" i="24"/>
  <c r="BN118" i="24" s="1"/>
  <c r="BL296" i="25"/>
  <c r="BY296" i="25"/>
  <c r="CA296" i="25" s="1"/>
  <c r="CB296" i="25" s="1"/>
  <c r="BK296" i="25"/>
  <c r="BY310" i="24"/>
  <c r="CA310" i="24" s="1"/>
  <c r="BM310" i="24"/>
  <c r="BN310" i="24" s="1"/>
  <c r="BY140" i="24"/>
  <c r="CA140" i="24" s="1"/>
  <c r="CB140" i="24" s="1"/>
  <c r="BM140" i="24"/>
  <c r="BN140" i="24" s="1"/>
  <c r="BY92" i="25"/>
  <c r="CA92" i="25" s="1"/>
  <c r="BL92" i="25"/>
  <c r="X348" i="29"/>
  <c r="Y348" i="29" s="1"/>
  <c r="AH348" i="29"/>
  <c r="AH58" i="29"/>
  <c r="X58" i="29"/>
  <c r="Y58" i="29" s="1"/>
  <c r="X304" i="29"/>
  <c r="Y304" i="29" s="1"/>
  <c r="AH304" i="29"/>
  <c r="X271" i="29"/>
  <c r="Y271" i="29" s="1"/>
  <c r="AH271" i="29"/>
  <c r="X32" i="29"/>
  <c r="Y32" i="29" s="1"/>
  <c r="AH32" i="29"/>
  <c r="AH13" i="29"/>
  <c r="X13" i="29"/>
  <c r="Y13" i="29" s="1"/>
  <c r="X97" i="29"/>
  <c r="Y97" i="29" s="1"/>
  <c r="AH97" i="29"/>
  <c r="AH452" i="29"/>
  <c r="X452" i="29"/>
  <c r="Y452" i="29" s="1"/>
  <c r="BL275" i="25"/>
  <c r="BY275" i="25"/>
  <c r="CA275" i="25" s="1"/>
  <c r="CB275" i="25" s="1"/>
  <c r="BK275" i="25"/>
  <c r="BN94" i="24"/>
  <c r="BY94" i="24"/>
  <c r="CA94" i="24" s="1"/>
  <c r="CB94" i="24" s="1"/>
  <c r="BY125" i="24"/>
  <c r="CA125" i="24" s="1"/>
  <c r="CB125" i="24" s="1"/>
  <c r="BM125" i="24"/>
  <c r="BN125" i="24" s="1"/>
  <c r="BY196" i="24"/>
  <c r="CA196" i="24" s="1"/>
  <c r="CB196" i="24" s="1"/>
  <c r="BM196" i="24"/>
  <c r="BN196" i="24" s="1"/>
  <c r="BY43" i="24"/>
  <c r="CA43" i="24" s="1"/>
  <c r="CB43" i="24" s="1"/>
  <c r="BN43" i="24"/>
  <c r="BY133" i="24"/>
  <c r="CA133" i="24" s="1"/>
  <c r="CB133" i="24" s="1"/>
  <c r="BM133" i="24"/>
  <c r="BN133" i="24" s="1"/>
  <c r="BR66" i="25"/>
  <c r="BV66" i="25" s="1"/>
  <c r="BX66" i="25" s="1"/>
  <c r="BE66" i="25"/>
  <c r="BK66" i="25" s="1"/>
  <c r="BY313" i="24"/>
  <c r="CA313" i="24" s="1"/>
  <c r="CB313" i="24" s="1"/>
  <c r="BM313" i="24"/>
  <c r="BN313" i="24" s="1"/>
  <c r="BY83" i="24"/>
  <c r="CA83" i="24" s="1"/>
  <c r="CB83" i="24" s="1"/>
  <c r="BN83" i="24"/>
  <c r="AH325" i="29"/>
  <c r="X325" i="29"/>
  <c r="Y325" i="29" s="1"/>
  <c r="W469" i="29"/>
  <c r="AG469" i="29"/>
  <c r="AH444" i="29"/>
  <c r="X444" i="29"/>
  <c r="Y444" i="29" s="1"/>
  <c r="AH542" i="29"/>
  <c r="X542" i="29"/>
  <c r="Y542" i="29" s="1"/>
  <c r="AG554" i="29"/>
  <c r="W554" i="29"/>
  <c r="AG34" i="29"/>
  <c r="W34" i="29"/>
  <c r="W491" i="29"/>
  <c r="AG491" i="29"/>
  <c r="AG61" i="29"/>
  <c r="W61" i="29"/>
  <c r="AG317" i="29"/>
  <c r="W317" i="29"/>
  <c r="AG211" i="29"/>
  <c r="W211" i="29"/>
  <c r="AG548" i="29"/>
  <c r="W548" i="29"/>
  <c r="AG385" i="29"/>
  <c r="W385" i="29"/>
  <c r="W352" i="29"/>
  <c r="AG352" i="29"/>
  <c r="AG224" i="29"/>
  <c r="W224" i="29"/>
  <c r="AH541" i="29"/>
  <c r="X541" i="29"/>
  <c r="Y541" i="29" s="1"/>
  <c r="AH254" i="29"/>
  <c r="X254" i="29"/>
  <c r="Y254" i="29" s="1"/>
  <c r="AH105" i="29"/>
  <c r="X105" i="29"/>
  <c r="Y105" i="29" s="1"/>
  <c r="BY291" i="24"/>
  <c r="CA291" i="24" s="1"/>
  <c r="BM291" i="24"/>
  <c r="BN291" i="24" s="1"/>
  <c r="BE121" i="25"/>
  <c r="BR121" i="25"/>
  <c r="BX121" i="25" s="1"/>
  <c r="BN98" i="24"/>
  <c r="BY98" i="24"/>
  <c r="CA98" i="24" s="1"/>
  <c r="BE36" i="25"/>
  <c r="BK36" i="25" s="1"/>
  <c r="BR36" i="25"/>
  <c r="BV36" i="25" s="1"/>
  <c r="BX36" i="25" s="1"/>
  <c r="BE223" i="25"/>
  <c r="BR223" i="25"/>
  <c r="BX223" i="25" s="1"/>
  <c r="BN75" i="24"/>
  <c r="BY75" i="24"/>
  <c r="CA75" i="24" s="1"/>
  <c r="CB75" i="24" s="1"/>
  <c r="BE136" i="25"/>
  <c r="BR136" i="25"/>
  <c r="BX136" i="25" s="1"/>
  <c r="AG169" i="29"/>
  <c r="W169" i="29"/>
  <c r="W167" i="29"/>
  <c r="AG167" i="29"/>
  <c r="W537" i="29"/>
  <c r="AG537" i="29"/>
  <c r="X297" i="29"/>
  <c r="Y297" i="29" s="1"/>
  <c r="AH297" i="29"/>
  <c r="X75" i="29"/>
  <c r="Y75" i="29" s="1"/>
  <c r="AH75" i="29"/>
  <c r="AH504" i="29"/>
  <c r="X504" i="29"/>
  <c r="Y504" i="29" s="1"/>
  <c r="W552" i="29"/>
  <c r="AG552" i="29"/>
  <c r="AH172" i="29"/>
  <c r="X172" i="29"/>
  <c r="Y172" i="29" s="1"/>
  <c r="X71" i="29"/>
  <c r="Y71" i="29" s="1"/>
  <c r="AH71" i="29"/>
  <c r="X534" i="29"/>
  <c r="Y534" i="29" s="1"/>
  <c r="AH534" i="29"/>
  <c r="AH429" i="29"/>
  <c r="X429" i="29"/>
  <c r="Y429" i="29" s="1"/>
  <c r="X240" i="29"/>
  <c r="Y240" i="29" s="1"/>
  <c r="AH240" i="29"/>
  <c r="W354" i="29"/>
  <c r="AG354" i="29"/>
  <c r="AH132" i="29"/>
  <c r="X132" i="29"/>
  <c r="Y132" i="29" s="1"/>
  <c r="AG64" i="29"/>
  <c r="W64" i="29"/>
  <c r="AG22" i="29"/>
  <c r="W22" i="29"/>
  <c r="AH73" i="29"/>
  <c r="X73" i="29"/>
  <c r="Y73" i="29" s="1"/>
  <c r="BL232" i="25"/>
  <c r="BY232" i="25"/>
  <c r="CA232" i="25" s="1"/>
  <c r="CB232" i="25" s="1"/>
  <c r="BK232" i="25"/>
  <c r="BR18" i="25"/>
  <c r="BV18" i="25" s="1"/>
  <c r="BX18" i="25" s="1"/>
  <c r="BE18" i="25"/>
  <c r="BK18" i="25" s="1"/>
  <c r="BL94" i="25"/>
  <c r="BY94" i="25"/>
  <c r="CA94" i="25" s="1"/>
  <c r="CB94" i="25" s="1"/>
  <c r="BY156" i="24"/>
  <c r="CA156" i="24" s="1"/>
  <c r="CB156" i="24" s="1"/>
  <c r="BM156" i="24"/>
  <c r="BN156" i="24" s="1"/>
  <c r="BY226" i="24"/>
  <c r="CA226" i="24" s="1"/>
  <c r="CB226" i="24" s="1"/>
  <c r="BM226" i="24"/>
  <c r="BN226" i="24" s="1"/>
  <c r="W581" i="29"/>
  <c r="AG581" i="29"/>
  <c r="AH70" i="29"/>
  <c r="X70" i="29"/>
  <c r="Y70" i="29" s="1"/>
  <c r="X109" i="29"/>
  <c r="Y109" i="29" s="1"/>
  <c r="AH109" i="29"/>
  <c r="W340" i="29"/>
  <c r="AG340" i="29"/>
  <c r="AG358" i="29"/>
  <c r="W358" i="29"/>
  <c r="BE242" i="25"/>
  <c r="BR242" i="25"/>
  <c r="BX242" i="25" s="1"/>
  <c r="BY87" i="25"/>
  <c r="CA87" i="25" s="1"/>
  <c r="CB87" i="25" s="1"/>
  <c r="BL87" i="25"/>
  <c r="BY178" i="25"/>
  <c r="CA178" i="25" s="1"/>
  <c r="CB178" i="25" s="1"/>
  <c r="BL178" i="25"/>
  <c r="BK178" i="25"/>
  <c r="BY169" i="24"/>
  <c r="CA169" i="24" s="1"/>
  <c r="CB169" i="24" s="1"/>
  <c r="BM169" i="24"/>
  <c r="BN169" i="24" s="1"/>
  <c r="BY316" i="24"/>
  <c r="CA316" i="24" s="1"/>
  <c r="BM316" i="24"/>
  <c r="BY250" i="24"/>
  <c r="CA250" i="24" s="1"/>
  <c r="CB250" i="24" s="1"/>
  <c r="BM250" i="24"/>
  <c r="BN250" i="24" s="1"/>
  <c r="W600" i="29"/>
  <c r="AG600" i="29"/>
  <c r="AH353" i="29"/>
  <c r="X353" i="29"/>
  <c r="Y353" i="29" s="1"/>
  <c r="AH566" i="29"/>
  <c r="X566" i="29"/>
  <c r="Y566" i="29" s="1"/>
  <c r="W299" i="29"/>
  <c r="AG299" i="29"/>
  <c r="W359" i="29"/>
  <c r="AG359" i="29"/>
  <c r="W282" i="29"/>
  <c r="AG282" i="29"/>
  <c r="AG102" i="29"/>
  <c r="W102" i="29"/>
  <c r="AG203" i="29"/>
  <c r="W203" i="29"/>
  <c r="W604" i="29"/>
  <c r="AG604" i="29"/>
  <c r="X488" i="29"/>
  <c r="Y488" i="29" s="1"/>
  <c r="AH488" i="29"/>
  <c r="AH547" i="29"/>
  <c r="X547" i="29"/>
  <c r="Y547" i="29" s="1"/>
  <c r="W399" i="29"/>
  <c r="AG399" i="29"/>
  <c r="X520" i="29"/>
  <c r="Y520" i="29" s="1"/>
  <c r="AH520" i="29"/>
  <c r="W243" i="29"/>
  <c r="AG243" i="29"/>
  <c r="W136" i="29"/>
  <c r="AG136" i="29"/>
  <c r="BR119" i="25"/>
  <c r="BX119" i="25" s="1"/>
  <c r="BE119" i="25"/>
  <c r="BR196" i="25"/>
  <c r="BX196" i="25" s="1"/>
  <c r="BE196" i="25"/>
  <c r="BY205" i="24"/>
  <c r="CA205" i="24" s="1"/>
  <c r="BM205" i="24"/>
  <c r="BN205" i="24" s="1"/>
  <c r="BR56" i="25"/>
  <c r="BV56" i="25" s="1"/>
  <c r="BX56" i="25" s="1"/>
  <c r="BE56" i="25"/>
  <c r="BK56" i="25" s="1"/>
  <c r="BE144" i="25"/>
  <c r="BR144" i="25"/>
  <c r="BX144" i="25" s="1"/>
  <c r="BN105" i="24"/>
  <c r="BY105" i="24"/>
  <c r="CA105" i="24" s="1"/>
  <c r="BY185" i="24"/>
  <c r="CA185" i="24" s="1"/>
  <c r="BM185" i="24"/>
  <c r="BN185" i="24" s="1"/>
  <c r="BE287" i="25"/>
  <c r="BR287" i="25"/>
  <c r="BX287" i="25" s="1"/>
  <c r="BN53" i="24"/>
  <c r="BY53" i="24"/>
  <c r="CA53" i="24" s="1"/>
  <c r="CB53" i="24" s="1"/>
  <c r="AH245" i="29"/>
  <c r="X245" i="29"/>
  <c r="Y245" i="29" s="1"/>
  <c r="AH381" i="29"/>
  <c r="X381" i="29"/>
  <c r="Y381" i="29" s="1"/>
  <c r="AG521" i="29"/>
  <c r="W521" i="29"/>
  <c r="X576" i="29"/>
  <c r="Y576" i="29" s="1"/>
  <c r="AH576" i="29"/>
  <c r="AG388" i="29"/>
  <c r="W388" i="29"/>
  <c r="X219" i="29"/>
  <c r="Y219" i="29" s="1"/>
  <c r="AH219" i="29"/>
  <c r="X100" i="29"/>
  <c r="Y100" i="29" s="1"/>
  <c r="AH100" i="29"/>
  <c r="AG368" i="29"/>
  <c r="W368" i="29"/>
  <c r="X389" i="29"/>
  <c r="Y389" i="29" s="1"/>
  <c r="AH389" i="29"/>
  <c r="AG63" i="29"/>
  <c r="W63" i="29"/>
  <c r="AG190" i="29"/>
  <c r="W190" i="29"/>
  <c r="AH540" i="29"/>
  <c r="X540" i="29"/>
  <c r="Y540" i="29" s="1"/>
  <c r="X280" i="29"/>
  <c r="Y280" i="29" s="1"/>
  <c r="AH280" i="29"/>
  <c r="AG212" i="29"/>
  <c r="W212" i="29"/>
  <c r="W168" i="29"/>
  <c r="AG168" i="29"/>
  <c r="W141" i="29"/>
  <c r="AG141" i="29"/>
  <c r="BY284" i="24"/>
  <c r="CA284" i="24" s="1"/>
  <c r="BM284" i="24"/>
  <c r="BN284" i="24" s="1"/>
  <c r="BR70" i="25"/>
  <c r="BV70" i="25" s="1"/>
  <c r="BX70" i="25" s="1"/>
  <c r="BE70" i="25"/>
  <c r="BK70" i="25" s="1"/>
  <c r="BY71" i="24"/>
  <c r="CA71" i="24" s="1"/>
  <c r="CB71" i="24" s="1"/>
  <c r="BN71" i="24"/>
  <c r="BE303" i="25"/>
  <c r="BR303" i="25"/>
  <c r="BX303" i="25" s="1"/>
  <c r="AH337" i="29"/>
  <c r="X337" i="29"/>
  <c r="Y337" i="29" s="1"/>
  <c r="AH357" i="29"/>
  <c r="X357" i="29"/>
  <c r="Y357" i="29" s="1"/>
  <c r="AG163" i="29"/>
  <c r="W163" i="29"/>
  <c r="AH59" i="29"/>
  <c r="X59" i="29"/>
  <c r="Y59" i="29" s="1"/>
  <c r="W342" i="29"/>
  <c r="AG342" i="29"/>
  <c r="AH556" i="29"/>
  <c r="X556" i="29"/>
  <c r="Y556" i="29" s="1"/>
  <c r="X445" i="29"/>
  <c r="Y445" i="29" s="1"/>
  <c r="AH445" i="29"/>
  <c r="BE195" i="25"/>
  <c r="BR195" i="25"/>
  <c r="BX195" i="25" s="1"/>
  <c r="BE301" i="25"/>
  <c r="BR301" i="25"/>
  <c r="BX301" i="25" s="1"/>
  <c r="BN39" i="24"/>
  <c r="BY39" i="24"/>
  <c r="CA39" i="24" s="1"/>
  <c r="CB39" i="24" s="1"/>
  <c r="BY17" i="24"/>
  <c r="CA17" i="24" s="1"/>
  <c r="CB17" i="24" s="1"/>
  <c r="BN17" i="24"/>
  <c r="BR19" i="25"/>
  <c r="BV19" i="25" s="1"/>
  <c r="BX19" i="25" s="1"/>
  <c r="BE19" i="25"/>
  <c r="BK19" i="25" s="1"/>
  <c r="BE27" i="25"/>
  <c r="BK27" i="25" s="1"/>
  <c r="BR27" i="25"/>
  <c r="BV27" i="25" s="1"/>
  <c r="BX27" i="25" s="1"/>
  <c r="BE220" i="25"/>
  <c r="BR220" i="25"/>
  <c r="BX220" i="25" s="1"/>
  <c r="BN62" i="24"/>
  <c r="BY62" i="24"/>
  <c r="CA62" i="24" s="1"/>
  <c r="CB62" i="24" s="1"/>
  <c r="X26" i="29"/>
  <c r="Y26" i="29" s="1"/>
  <c r="AH26" i="29"/>
  <c r="AG596" i="29"/>
  <c r="W596" i="29"/>
  <c r="AH363" i="29"/>
  <c r="X363" i="29"/>
  <c r="Y363" i="29" s="1"/>
  <c r="W279" i="29"/>
  <c r="AG279" i="29"/>
  <c r="AH231" i="29"/>
  <c r="X231" i="29"/>
  <c r="Y231" i="29" s="1"/>
  <c r="AH120" i="29"/>
  <c r="X120" i="29"/>
  <c r="Y120" i="29" s="1"/>
  <c r="BY96" i="24"/>
  <c r="CA96" i="24" s="1"/>
  <c r="CB96" i="24" s="1"/>
  <c r="BN96" i="24"/>
  <c r="BL229" i="25"/>
  <c r="BY229" i="25"/>
  <c r="CA229" i="25" s="1"/>
  <c r="CB229" i="25" s="1"/>
  <c r="BK229" i="25"/>
  <c r="BE141" i="25"/>
  <c r="BR141" i="25"/>
  <c r="BX141" i="25" s="1"/>
  <c r="BE22" i="25"/>
  <c r="BK22" i="25" s="1"/>
  <c r="BR22" i="25"/>
  <c r="BV22" i="25" s="1"/>
  <c r="BX22" i="25" s="1"/>
  <c r="BR202" i="25"/>
  <c r="BX202" i="25" s="1"/>
  <c r="BE202" i="25"/>
  <c r="BY230" i="24"/>
  <c r="CA230" i="24" s="1"/>
  <c r="CB230" i="24" s="1"/>
  <c r="BM230" i="24"/>
  <c r="BN230" i="24" s="1"/>
  <c r="BY246" i="24"/>
  <c r="CA246" i="24" s="1"/>
  <c r="CB246" i="24" s="1"/>
  <c r="BM246" i="24"/>
  <c r="BN246" i="24" s="1"/>
  <c r="BY180" i="24"/>
  <c r="CA180" i="24" s="1"/>
  <c r="BM180" i="24"/>
  <c r="BN180" i="24" s="1"/>
  <c r="BN87" i="24"/>
  <c r="BY87" i="24"/>
  <c r="CA87" i="24" s="1"/>
  <c r="CB87" i="24" s="1"/>
  <c r="BY113" i="24"/>
  <c r="CA113" i="24" s="1"/>
  <c r="CB113" i="24" s="1"/>
  <c r="BM113" i="24"/>
  <c r="BN113" i="24" s="1"/>
  <c r="BR26" i="25"/>
  <c r="BV26" i="25" s="1"/>
  <c r="BX26" i="25" s="1"/>
  <c r="BE26" i="25"/>
  <c r="BK26" i="25" s="1"/>
  <c r="BN40" i="24"/>
  <c r="BY40" i="24"/>
  <c r="CA40" i="24" s="1"/>
  <c r="CB40" i="24" s="1"/>
  <c r="BN91" i="24"/>
  <c r="BY91" i="24"/>
  <c r="CA91" i="24" s="1"/>
  <c r="CB91" i="24" s="1"/>
  <c r="V585" i="29"/>
  <c r="U585" i="29"/>
  <c r="AH149" i="29"/>
  <c r="X149" i="29"/>
  <c r="Y149" i="29" s="1"/>
  <c r="AH119" i="29"/>
  <c r="X119" i="29"/>
  <c r="Y119" i="29" s="1"/>
  <c r="AG58" i="29"/>
  <c r="W58" i="29"/>
  <c r="W42" i="29"/>
  <c r="AG42" i="29"/>
  <c r="X31" i="29"/>
  <c r="Y31" i="29" s="1"/>
  <c r="AH31" i="29"/>
  <c r="AH574" i="29"/>
  <c r="X574" i="29"/>
  <c r="Y574" i="29" s="1"/>
  <c r="AG304" i="29"/>
  <c r="W304" i="29"/>
  <c r="X255" i="29"/>
  <c r="Y255" i="29" s="1"/>
  <c r="AH255" i="29"/>
  <c r="AG271" i="29"/>
  <c r="W271" i="29"/>
  <c r="AG592" i="29"/>
  <c r="W592" i="29"/>
  <c r="W215" i="29"/>
  <c r="AG215" i="29"/>
  <c r="X375" i="29"/>
  <c r="Y375" i="29" s="1"/>
  <c r="AH375" i="29"/>
  <c r="W539" i="29"/>
  <c r="AG539" i="29"/>
  <c r="AH310" i="29"/>
  <c r="X310" i="29"/>
  <c r="Y310" i="29" s="1"/>
  <c r="AG97" i="29"/>
  <c r="W97" i="29"/>
  <c r="W452" i="29"/>
  <c r="AG452" i="29"/>
  <c r="BY114" i="25"/>
  <c r="CA114" i="25" s="1"/>
  <c r="CB114" i="25" s="1"/>
  <c r="BL114" i="25"/>
  <c r="BK114" i="25"/>
  <c r="BE290" i="25"/>
  <c r="BR290" i="25"/>
  <c r="BX290" i="25" s="1"/>
  <c r="BY21" i="25"/>
  <c r="CA21" i="25" s="1"/>
  <c r="CB21" i="25" s="1"/>
  <c r="BL21" i="25"/>
  <c r="BY93" i="24"/>
  <c r="CA93" i="24" s="1"/>
  <c r="CB93" i="24" s="1"/>
  <c r="BN93" i="24"/>
  <c r="BY25" i="24"/>
  <c r="CA25" i="24" s="1"/>
  <c r="CB25" i="24" s="1"/>
  <c r="BN25" i="24"/>
  <c r="BY199" i="25"/>
  <c r="CA199" i="25" s="1"/>
  <c r="BL199" i="25"/>
  <c r="BK199" i="25"/>
  <c r="X88" i="29"/>
  <c r="Y88" i="29" s="1"/>
  <c r="AH88" i="29"/>
  <c r="X571" i="29"/>
  <c r="Y571" i="29" s="1"/>
  <c r="AH571" i="29"/>
  <c r="W606" i="29"/>
  <c r="AG606" i="29"/>
  <c r="AG405" i="29"/>
  <c r="W405" i="29"/>
  <c r="W395" i="29"/>
  <c r="AG395" i="29"/>
  <c r="BY146" i="24"/>
  <c r="CA146" i="24" s="1"/>
  <c r="CB146" i="24" s="1"/>
  <c r="BM146" i="24"/>
  <c r="BN146" i="24" s="1"/>
  <c r="BE117" i="25"/>
  <c r="BR117" i="25"/>
  <c r="BX117" i="25" s="1"/>
  <c r="BN31" i="24"/>
  <c r="BY31" i="24"/>
  <c r="CA31" i="24" s="1"/>
  <c r="CB31" i="24" s="1"/>
  <c r="BE270" i="25"/>
  <c r="BR270" i="25"/>
  <c r="BX270" i="25" s="1"/>
  <c r="BY14" i="24"/>
  <c r="CA14" i="24" s="1"/>
  <c r="CB14" i="24" s="1"/>
  <c r="BN14" i="24"/>
  <c r="BE124" i="25"/>
  <c r="BR124" i="25"/>
  <c r="BX124" i="25" s="1"/>
  <c r="BR48" i="25"/>
  <c r="BV48" i="25" s="1"/>
  <c r="BX48" i="25" s="1"/>
  <c r="BE48" i="25"/>
  <c r="BK48" i="25" s="1"/>
  <c r="AH195" i="29"/>
  <c r="X195" i="29"/>
  <c r="Y195" i="29" s="1"/>
  <c r="AH124" i="29"/>
  <c r="X124" i="29"/>
  <c r="Y124" i="29" s="1"/>
  <c r="AH66" i="29"/>
  <c r="X66" i="29"/>
  <c r="Y66" i="29" s="1"/>
  <c r="BR185" i="25"/>
  <c r="BX185" i="25" s="1"/>
  <c r="BE185" i="25"/>
  <c r="BE233" i="25"/>
  <c r="BR233" i="25"/>
  <c r="BX233" i="25" s="1"/>
  <c r="BY64" i="24"/>
  <c r="CA64" i="24" s="1"/>
  <c r="CB64" i="24" s="1"/>
  <c r="BN64" i="24"/>
  <c r="BE221" i="25"/>
  <c r="BR221" i="25"/>
  <c r="BX221" i="25" s="1"/>
  <c r="BY229" i="24"/>
  <c r="CA229" i="24" s="1"/>
  <c r="CB229" i="24" s="1"/>
  <c r="BM229" i="24"/>
  <c r="BN229" i="24" s="1"/>
  <c r="BY290" i="24"/>
  <c r="CA290" i="24" s="1"/>
  <c r="CB290" i="24" s="1"/>
  <c r="BM290" i="24"/>
  <c r="BN290" i="24" s="1"/>
  <c r="BR72" i="25"/>
  <c r="BV72" i="25" s="1"/>
  <c r="BX72" i="25" s="1"/>
  <c r="BE72" i="25"/>
  <c r="BK72" i="25" s="1"/>
  <c r="BE277" i="25"/>
  <c r="BR277" i="25"/>
  <c r="BX277" i="25" s="1"/>
  <c r="B138" i="2"/>
  <c r="B144" i="2"/>
  <c r="E32" i="1" s="1"/>
  <c r="BR43" i="25"/>
  <c r="BV43" i="25" s="1"/>
  <c r="BX43" i="25" s="1"/>
  <c r="BE43" i="25"/>
  <c r="BK43" i="25" s="1"/>
  <c r="BR81" i="25"/>
  <c r="BV81" i="25" s="1"/>
  <c r="BX81" i="25" s="1"/>
  <c r="BE81" i="25"/>
  <c r="BK81" i="25" s="1"/>
  <c r="BE138" i="25"/>
  <c r="BR138" i="25"/>
  <c r="BX138" i="25" s="1"/>
  <c r="X38" i="29"/>
  <c r="Y38" i="29" s="1"/>
  <c r="AH38" i="29"/>
  <c r="W435" i="29"/>
  <c r="AG435" i="29"/>
  <c r="AH199" i="29"/>
  <c r="X199" i="29"/>
  <c r="Y199" i="29" s="1"/>
  <c r="AH527" i="29"/>
  <c r="X527" i="29"/>
  <c r="Y527" i="29" s="1"/>
  <c r="AG83" i="29"/>
  <c r="W83" i="29"/>
  <c r="X122" i="29"/>
  <c r="Y122" i="29" s="1"/>
  <c r="AH122" i="29"/>
  <c r="AH194" i="29"/>
  <c r="X194" i="29"/>
  <c r="Y194" i="29" s="1"/>
  <c r="AH23" i="29"/>
  <c r="X23" i="29"/>
  <c r="Y23" i="29" s="1"/>
  <c r="X312" i="29"/>
  <c r="Y312" i="29" s="1"/>
  <c r="AH312" i="29"/>
  <c r="AG467" i="29"/>
  <c r="W467" i="29"/>
  <c r="AG188" i="29"/>
  <c r="W188" i="29"/>
  <c r="AH314" i="29"/>
  <c r="X314" i="29"/>
  <c r="Y314" i="29" s="1"/>
  <c r="W567" i="29"/>
  <c r="AG567" i="29"/>
  <c r="X492" i="29"/>
  <c r="Y492" i="29" s="1"/>
  <c r="AH492" i="29"/>
  <c r="BY141" i="24"/>
  <c r="CA141" i="24" s="1"/>
  <c r="CB141" i="24" s="1"/>
  <c r="BM141" i="24"/>
  <c r="BN141" i="24" s="1"/>
  <c r="BE297" i="25"/>
  <c r="BR297" i="25"/>
  <c r="BX297" i="25" s="1"/>
  <c r="BR65" i="25"/>
  <c r="BV65" i="25" s="1"/>
  <c r="BX65" i="25" s="1"/>
  <c r="BE65" i="25"/>
  <c r="BK65" i="25" s="1"/>
  <c r="BY252" i="24"/>
  <c r="CA252" i="24" s="1"/>
  <c r="CB252" i="24" s="1"/>
  <c r="BM252" i="24"/>
  <c r="BN252" i="24" s="1"/>
  <c r="X50" i="29"/>
  <c r="Y50" i="29" s="1"/>
  <c r="AH50" i="29"/>
  <c r="AH177" i="29"/>
  <c r="X177" i="29"/>
  <c r="Y177" i="29" s="1"/>
  <c r="W378" i="29"/>
  <c r="AG378" i="29"/>
  <c r="AH112" i="29"/>
  <c r="X112" i="29"/>
  <c r="Y112" i="29" s="1"/>
  <c r="BY280" i="25"/>
  <c r="CA280" i="25" s="1"/>
  <c r="CB280" i="25" s="1"/>
  <c r="BL280" i="25"/>
  <c r="BK280" i="25"/>
  <c r="BY261" i="24"/>
  <c r="CA261" i="24" s="1"/>
  <c r="CB261" i="24" s="1"/>
  <c r="BM261" i="24"/>
  <c r="BN261" i="24" s="1"/>
  <c r="BY149" i="24"/>
  <c r="CA149" i="24" s="1"/>
  <c r="CB149" i="24" s="1"/>
  <c r="BM149" i="24"/>
  <c r="BN149" i="24" s="1"/>
  <c r="BR125" i="25"/>
  <c r="BX125" i="25" s="1"/>
  <c r="BE125" i="25"/>
  <c r="BE105" i="25"/>
  <c r="BK105" i="25" s="1"/>
  <c r="BR105" i="25"/>
  <c r="BV105" i="25" s="1"/>
  <c r="BX105" i="25" s="1"/>
  <c r="BL265" i="25"/>
  <c r="BY265" i="25"/>
  <c r="CA265" i="25" s="1"/>
  <c r="CB265" i="25" s="1"/>
  <c r="BK265" i="25"/>
  <c r="BE91" i="25"/>
  <c r="BK91" i="25" s="1"/>
  <c r="BR91" i="25"/>
  <c r="BV91" i="25" s="1"/>
  <c r="BX91" i="25" s="1"/>
  <c r="BY182" i="24"/>
  <c r="CA182" i="24" s="1"/>
  <c r="BM182" i="24"/>
  <c r="BN182" i="24" s="1"/>
  <c r="AH544" i="29"/>
  <c r="X544" i="29"/>
  <c r="Y544" i="29" s="1"/>
  <c r="X89" i="29"/>
  <c r="Y89" i="29" s="1"/>
  <c r="AH89" i="29"/>
  <c r="AG442" i="29"/>
  <c r="W442" i="29"/>
  <c r="AH591" i="29"/>
  <c r="X591" i="29"/>
  <c r="Y591" i="29" s="1"/>
  <c r="AH608" i="29"/>
  <c r="X608" i="29"/>
  <c r="Y608" i="29" s="1"/>
  <c r="W148" i="29"/>
  <c r="AG148" i="29"/>
  <c r="BL179" i="25"/>
  <c r="BY179" i="25"/>
  <c r="CA179" i="25" s="1"/>
  <c r="BK179" i="25"/>
  <c r="BY244" i="24"/>
  <c r="CA244" i="24" s="1"/>
  <c r="CB244" i="24" s="1"/>
  <c r="BM244" i="24"/>
  <c r="BN244" i="24" s="1"/>
  <c r="BE254" i="25"/>
  <c r="BR254" i="25"/>
  <c r="BX254" i="25" s="1"/>
  <c r="BL305" i="25"/>
  <c r="BY305" i="25"/>
  <c r="CA305" i="25" s="1"/>
  <c r="CB305" i="25" s="1"/>
  <c r="BK305" i="25"/>
  <c r="BY302" i="24"/>
  <c r="CA302" i="24" s="1"/>
  <c r="CB302" i="24" s="1"/>
  <c r="BM302" i="24"/>
  <c r="BN302" i="24" s="1"/>
  <c r="BN82" i="24"/>
  <c r="BY82" i="24"/>
  <c r="CA82" i="24" s="1"/>
  <c r="CB82" i="24" s="1"/>
  <c r="BY203" i="24"/>
  <c r="CA203" i="24" s="1"/>
  <c r="BM203" i="24"/>
  <c r="BN203" i="24" s="1"/>
  <c r="BL13" i="25"/>
  <c r="BY13" i="25"/>
  <c r="CA13" i="25" s="1"/>
  <c r="CB13" i="25" s="1"/>
  <c r="BY104" i="24"/>
  <c r="CA104" i="24" s="1"/>
  <c r="BN104" i="24"/>
  <c r="BY129" i="24"/>
  <c r="CA129" i="24" s="1"/>
  <c r="CB129" i="24" s="1"/>
  <c r="BM129" i="24"/>
  <c r="BN129" i="24" s="1"/>
  <c r="BE272" i="25"/>
  <c r="BR272" i="25"/>
  <c r="BX272" i="25" s="1"/>
  <c r="BY157" i="24"/>
  <c r="CA157" i="24" s="1"/>
  <c r="BM157" i="24"/>
  <c r="BN157" i="24" s="1"/>
  <c r="AG337" i="29"/>
  <c r="W337" i="29"/>
  <c r="AH163" i="29"/>
  <c r="X163" i="29"/>
  <c r="Y163" i="29" s="1"/>
  <c r="AG43" i="29"/>
  <c r="W43" i="29"/>
  <c r="AG288" i="29"/>
  <c r="W288" i="29"/>
  <c r="W59" i="29"/>
  <c r="AG59" i="29"/>
  <c r="X144" i="29"/>
  <c r="Y144" i="29" s="1"/>
  <c r="AH144" i="29"/>
  <c r="W259" i="29"/>
  <c r="AG259" i="29"/>
  <c r="W466" i="29"/>
  <c r="AG466" i="29"/>
  <c r="AH192" i="29"/>
  <c r="X192" i="29"/>
  <c r="Y192" i="29" s="1"/>
  <c r="AG472" i="29"/>
  <c r="W472" i="29"/>
  <c r="AH242" i="29"/>
  <c r="X242" i="29"/>
  <c r="Y242" i="29" s="1"/>
  <c r="W129" i="29"/>
  <c r="AG129" i="29"/>
  <c r="W445" i="29"/>
  <c r="AG445" i="29"/>
  <c r="AH493" i="29"/>
  <c r="X493" i="29"/>
  <c r="Y493" i="29" s="1"/>
  <c r="AH500" i="29"/>
  <c r="X500" i="29"/>
  <c r="Y500" i="29" s="1"/>
  <c r="BY163" i="24"/>
  <c r="CA163" i="24" s="1"/>
  <c r="CB163" i="24" s="1"/>
  <c r="BM163" i="24"/>
  <c r="BN163" i="24" s="1"/>
  <c r="BL238" i="25"/>
  <c r="BY238" i="25"/>
  <c r="CA238" i="25" s="1"/>
  <c r="CB238" i="25" s="1"/>
  <c r="BK238" i="25"/>
  <c r="BY197" i="24"/>
  <c r="CA197" i="24" s="1"/>
  <c r="CB197" i="24" s="1"/>
  <c r="BM197" i="24"/>
  <c r="BN197" i="24" s="1"/>
  <c r="BL154" i="25"/>
  <c r="BK154" i="25"/>
  <c r="BY73" i="24"/>
  <c r="CA73" i="24" s="1"/>
  <c r="BN73" i="24"/>
  <c r="BY192" i="24"/>
  <c r="CA192" i="24" s="1"/>
  <c r="CB192" i="24" s="1"/>
  <c r="BM192" i="24"/>
  <c r="BN192" i="24" s="1"/>
  <c r="BE50" i="25"/>
  <c r="BK50" i="25" s="1"/>
  <c r="BR50" i="25"/>
  <c r="BV50" i="25" s="1"/>
  <c r="BX50" i="25" s="1"/>
  <c r="X373" i="29"/>
  <c r="Y373" i="29" s="1"/>
  <c r="AH373" i="29"/>
  <c r="X324" i="29"/>
  <c r="Y324" i="29" s="1"/>
  <c r="AH324" i="29"/>
  <c r="X315" i="29"/>
  <c r="Y315" i="29" s="1"/>
  <c r="AH315" i="29"/>
  <c r="X130" i="29"/>
  <c r="Y130" i="29" s="1"/>
  <c r="AH130" i="29"/>
  <c r="W363" i="29"/>
  <c r="AG363" i="29"/>
  <c r="AH213" i="29"/>
  <c r="X213" i="29"/>
  <c r="Y213" i="29" s="1"/>
  <c r="W364" i="29"/>
  <c r="AG364" i="29"/>
  <c r="AG372" i="29"/>
  <c r="W372" i="29"/>
  <c r="AH246" i="29"/>
  <c r="X246" i="29"/>
  <c r="Y246" i="29" s="1"/>
  <c r="X111" i="29"/>
  <c r="Y111" i="29" s="1"/>
  <c r="AH111" i="29"/>
  <c r="W558" i="29"/>
  <c r="AG558" i="29"/>
  <c r="X279" i="29"/>
  <c r="Y279" i="29" s="1"/>
  <c r="AH279" i="29"/>
  <c r="W275" i="29"/>
  <c r="AG275" i="29"/>
  <c r="AG236" i="29"/>
  <c r="W236" i="29"/>
  <c r="W231" i="29"/>
  <c r="AG231" i="29"/>
  <c r="BE103" i="25"/>
  <c r="BK103" i="25" s="1"/>
  <c r="BR103" i="25"/>
  <c r="BV103" i="25" s="1"/>
  <c r="BX103" i="25" s="1"/>
  <c r="BE162" i="25"/>
  <c r="BR162" i="25"/>
  <c r="BX162" i="25" s="1"/>
  <c r="BE253" i="25"/>
  <c r="BR253" i="25"/>
  <c r="BX253" i="25" s="1"/>
  <c r="BY23" i="24"/>
  <c r="CA23" i="24" s="1"/>
  <c r="CB23" i="24" s="1"/>
  <c r="BN23" i="24"/>
  <c r="BL174" i="25"/>
  <c r="BY174" i="25"/>
  <c r="CA174" i="25" s="1"/>
  <c r="BK174" i="25"/>
  <c r="BY126" i="24"/>
  <c r="CA126" i="24" s="1"/>
  <c r="CB126" i="24" s="1"/>
  <c r="BM126" i="24"/>
  <c r="BN126" i="24" s="1"/>
  <c r="BR41" i="25"/>
  <c r="BV41" i="25" s="1"/>
  <c r="BX41" i="25" s="1"/>
  <c r="BE41" i="25"/>
  <c r="BK41" i="25" s="1"/>
  <c r="BY158" i="24"/>
  <c r="CA158" i="24" s="1"/>
  <c r="CB158" i="24" s="1"/>
  <c r="BM158" i="24"/>
  <c r="BN158" i="24" s="1"/>
  <c r="BY282" i="25"/>
  <c r="CA282" i="25" s="1"/>
  <c r="CB282" i="25" s="1"/>
  <c r="BL282" i="25"/>
  <c r="BK282" i="25"/>
  <c r="AH336" i="29"/>
  <c r="X336" i="29"/>
  <c r="Y336" i="29" s="1"/>
  <c r="X145" i="29"/>
  <c r="Y145" i="29" s="1"/>
  <c r="AH145" i="29"/>
  <c r="AG471" i="29"/>
  <c r="W471" i="29"/>
  <c r="W599" i="29"/>
  <c r="AG599" i="29"/>
  <c r="AH530" i="29"/>
  <c r="X530" i="29"/>
  <c r="Y530" i="29" s="1"/>
  <c r="W36" i="29"/>
  <c r="AG36" i="29"/>
  <c r="BY220" i="24"/>
  <c r="CA220" i="24" s="1"/>
  <c r="CB220" i="24" s="1"/>
  <c r="BM220" i="24"/>
  <c r="BN220" i="24" s="1"/>
  <c r="BE153" i="25"/>
  <c r="BR153" i="25"/>
  <c r="BX153" i="25" s="1"/>
  <c r="BE146" i="25"/>
  <c r="BR146" i="25"/>
  <c r="BX146" i="25" s="1"/>
  <c r="BY34" i="25"/>
  <c r="CA34" i="25" s="1"/>
  <c r="CB34" i="25" s="1"/>
  <c r="BL34" i="25"/>
  <c r="BR84" i="25"/>
  <c r="BV84" i="25" s="1"/>
  <c r="BX84" i="25" s="1"/>
  <c r="BE84" i="25"/>
  <c r="BK84" i="25" s="1"/>
  <c r="AG338" i="29" l="1"/>
  <c r="W108" i="29"/>
  <c r="CB161" i="24"/>
  <c r="CF161" i="24"/>
  <c r="CB267" i="24"/>
  <c r="CF267" i="24"/>
  <c r="CB73" i="24"/>
  <c r="CF73" i="24"/>
  <c r="CB147" i="25"/>
  <c r="CF147" i="25"/>
  <c r="CB56" i="24"/>
  <c r="CF56" i="24"/>
  <c r="CB151" i="24"/>
  <c r="CF151" i="24"/>
  <c r="CB177" i="25"/>
  <c r="CF177" i="25"/>
  <c r="CB316" i="24"/>
  <c r="CF316" i="24"/>
  <c r="CB210" i="24"/>
  <c r="CF210" i="24"/>
  <c r="CB198" i="25"/>
  <c r="CF198" i="25"/>
  <c r="CB173" i="25"/>
  <c r="CF173" i="25"/>
  <c r="CB192" i="25"/>
  <c r="CF192" i="25"/>
  <c r="CB182" i="24"/>
  <c r="CF182" i="24"/>
  <c r="CB288" i="24"/>
  <c r="CF288" i="24"/>
  <c r="CB80" i="24"/>
  <c r="CF80" i="24"/>
  <c r="CB208" i="24"/>
  <c r="CF208" i="24"/>
  <c r="CB174" i="25"/>
  <c r="CF174" i="25"/>
  <c r="CB193" i="24"/>
  <c r="CF193" i="24"/>
  <c r="CB299" i="24"/>
  <c r="CF299" i="24"/>
  <c r="CB88" i="24"/>
  <c r="CF88" i="24"/>
  <c r="CB89" i="25"/>
  <c r="CF89" i="25"/>
  <c r="CB104" i="24"/>
  <c r="CF104" i="24"/>
  <c r="CB308" i="24"/>
  <c r="CF308" i="24"/>
  <c r="CB202" i="24"/>
  <c r="CF202" i="24"/>
  <c r="CB204" i="25"/>
  <c r="CF204" i="25"/>
  <c r="CB297" i="24"/>
  <c r="CF297" i="24"/>
  <c r="CB82" i="25"/>
  <c r="CF82" i="25"/>
  <c r="CB180" i="24"/>
  <c r="CF180" i="24"/>
  <c r="CB286" i="24"/>
  <c r="CF286" i="24"/>
  <c r="CB81" i="24"/>
  <c r="CF81" i="24"/>
  <c r="AH604" i="29"/>
  <c r="CB204" i="24"/>
  <c r="CF204" i="24"/>
  <c r="CB310" i="24"/>
  <c r="CF310" i="24"/>
  <c r="CB190" i="25"/>
  <c r="CF190" i="25"/>
  <c r="CB98" i="24"/>
  <c r="CF98" i="24"/>
  <c r="CB306" i="24"/>
  <c r="CF306" i="24"/>
  <c r="CB200" i="24"/>
  <c r="CF200" i="24"/>
  <c r="CB179" i="25"/>
  <c r="CF179" i="25"/>
  <c r="W562" i="29"/>
  <c r="AJ562" i="29" s="1"/>
  <c r="AK562" i="29" s="1"/>
  <c r="CB203" i="24"/>
  <c r="CF203" i="24"/>
  <c r="CB309" i="24"/>
  <c r="CF309" i="24"/>
  <c r="CB307" i="24"/>
  <c r="CF307" i="24"/>
  <c r="CB201" i="24"/>
  <c r="CF201" i="24"/>
  <c r="CB103" i="24"/>
  <c r="CF103" i="24"/>
  <c r="AG266" i="29"/>
  <c r="CB62" i="25"/>
  <c r="CF62" i="25"/>
  <c r="CB71" i="25"/>
  <c r="CF71" i="25"/>
  <c r="W603" i="29"/>
  <c r="AJ602" i="29" s="1"/>
  <c r="AK602" i="29" s="1"/>
  <c r="CB104" i="25"/>
  <c r="CF104" i="25"/>
  <c r="AG511" i="29"/>
  <c r="AH203" i="29"/>
  <c r="W49" i="29"/>
  <c r="AJ48" i="29" s="1"/>
  <c r="AK48" i="29" s="1"/>
  <c r="AH543" i="29"/>
  <c r="AH477" i="29"/>
  <c r="W322" i="29"/>
  <c r="AJ322" i="29" s="1"/>
  <c r="AK322" i="29" s="1"/>
  <c r="X309" i="29"/>
  <c r="Y309" i="29" s="1"/>
  <c r="AG475" i="29"/>
  <c r="AG417" i="29"/>
  <c r="X384" i="29"/>
  <c r="Y384" i="29" s="1"/>
  <c r="AH34" i="29"/>
  <c r="W153" i="29"/>
  <c r="AJ152" i="29" s="1"/>
  <c r="AK152" i="29" s="1"/>
  <c r="X578" i="29"/>
  <c r="Y578" i="29" s="1"/>
  <c r="AH339" i="29"/>
  <c r="X220" i="29"/>
  <c r="Y220" i="29" s="1"/>
  <c r="AH577" i="29"/>
  <c r="AH466" i="29"/>
  <c r="AH22" i="29"/>
  <c r="X79" i="29"/>
  <c r="Y79" i="29" s="1"/>
  <c r="AG144" i="29"/>
  <c r="W198" i="29"/>
  <c r="AJ197" i="29" s="1"/>
  <c r="AK197" i="29" s="1"/>
  <c r="W166" i="29"/>
  <c r="AJ166" i="29" s="1"/>
  <c r="AK166" i="29" s="1"/>
  <c r="AG284" i="29"/>
  <c r="AG332" i="29"/>
  <c r="AH516" i="29"/>
  <c r="BY154" i="25"/>
  <c r="CA154" i="25" s="1"/>
  <c r="CB154" i="25" s="1"/>
  <c r="AH93" i="29"/>
  <c r="W343" i="29"/>
  <c r="AJ343" i="29" s="1"/>
  <c r="AK343" i="29" s="1"/>
  <c r="CB311" i="24"/>
  <c r="CF311" i="24"/>
  <c r="CB205" i="24"/>
  <c r="CF205" i="24"/>
  <c r="AG379" i="29"/>
  <c r="X408" i="29"/>
  <c r="Y408" i="29" s="1"/>
  <c r="AH589" i="29"/>
  <c r="CF154" i="25"/>
  <c r="CB189" i="25"/>
  <c r="CF189" i="25"/>
  <c r="CB199" i="25"/>
  <c r="CF199" i="25"/>
  <c r="AH168" i="29"/>
  <c r="X217" i="29"/>
  <c r="Y217" i="29" s="1"/>
  <c r="AG608" i="29"/>
  <c r="CB186" i="25"/>
  <c r="CF186" i="25"/>
  <c r="CB201" i="25"/>
  <c r="CF201" i="25"/>
  <c r="AG611" i="29"/>
  <c r="AG186" i="29"/>
  <c r="W207" i="29"/>
  <c r="AA207" i="29" s="1"/>
  <c r="W98" i="29"/>
  <c r="AJ97" i="29" s="1"/>
  <c r="AK97" i="29" s="1"/>
  <c r="W109" i="29"/>
  <c r="AJ109" i="29" s="1"/>
  <c r="AK109" i="29" s="1"/>
  <c r="AG252" i="29"/>
  <c r="X391" i="29"/>
  <c r="Y391" i="29" s="1"/>
  <c r="AG123" i="29"/>
  <c r="W493" i="29"/>
  <c r="AA493" i="29" s="1"/>
  <c r="AH205" i="29"/>
  <c r="X553" i="29"/>
  <c r="Y553" i="29" s="1"/>
  <c r="W557" i="29"/>
  <c r="AJ557" i="29" s="1"/>
  <c r="AK557" i="29" s="1"/>
  <c r="W571" i="29"/>
  <c r="AJ570" i="29" s="1"/>
  <c r="AK570" i="29" s="1"/>
  <c r="X241" i="29"/>
  <c r="Y241" i="29" s="1"/>
  <c r="X501" i="29"/>
  <c r="Y501" i="29" s="1"/>
  <c r="W89" i="29"/>
  <c r="AA89" i="29" s="1"/>
  <c r="AG349" i="29"/>
  <c r="W507" i="29"/>
  <c r="AJ506" i="29" s="1"/>
  <c r="AK506" i="29" s="1"/>
  <c r="AG488" i="29"/>
  <c r="X596" i="29"/>
  <c r="Y596" i="29" s="1"/>
  <c r="AH229" i="29"/>
  <c r="AG105" i="29"/>
  <c r="AH359" i="29"/>
  <c r="W115" i="29"/>
  <c r="AJ114" i="29" s="1"/>
  <c r="AK114" i="29" s="1"/>
  <c r="AH161" i="29"/>
  <c r="CB105" i="24"/>
  <c r="CF105" i="24"/>
  <c r="CB161" i="25"/>
  <c r="CF161" i="25"/>
  <c r="CB186" i="24"/>
  <c r="CF186" i="24"/>
  <c r="X367" i="29"/>
  <c r="Y367" i="29" s="1"/>
  <c r="W70" i="29"/>
  <c r="AA70" i="29" s="1"/>
  <c r="X340" i="29"/>
  <c r="Y340" i="29" s="1"/>
  <c r="X415" i="29"/>
  <c r="Y415" i="29" s="1"/>
  <c r="X370" i="29"/>
  <c r="Y370" i="29" s="1"/>
  <c r="W107" i="29"/>
  <c r="AJ106" i="29" s="1"/>
  <c r="AK106" i="29" s="1"/>
  <c r="W357" i="29"/>
  <c r="AJ357" i="29" s="1"/>
  <c r="AK357" i="29" s="1"/>
  <c r="AG204" i="29"/>
  <c r="X54" i="29"/>
  <c r="Y54" i="29" s="1"/>
  <c r="X582" i="29"/>
  <c r="Y582" i="29" s="1"/>
  <c r="X276" i="29"/>
  <c r="Y276" i="29" s="1"/>
  <c r="X151" i="29"/>
  <c r="Y151" i="29" s="1"/>
  <c r="AG365" i="29"/>
  <c r="W291" i="29"/>
  <c r="AJ290" i="29" s="1"/>
  <c r="AK290" i="29" s="1"/>
  <c r="W185" i="29"/>
  <c r="AJ185" i="29" s="1"/>
  <c r="AK185" i="29" s="1"/>
  <c r="AG560" i="29"/>
  <c r="W234" i="29"/>
  <c r="AA234" i="29" s="1"/>
  <c r="W326" i="29"/>
  <c r="AJ325" i="29" s="1"/>
  <c r="AK325" i="29" s="1"/>
  <c r="X457" i="29"/>
  <c r="Y457" i="29" s="1"/>
  <c r="X257" i="29"/>
  <c r="Y257" i="29" s="1"/>
  <c r="W122" i="29"/>
  <c r="AJ121" i="29" s="1"/>
  <c r="AK121" i="29" s="1"/>
  <c r="AG294" i="29"/>
  <c r="W598" i="29"/>
  <c r="AJ598" i="29" s="1"/>
  <c r="AK598" i="29" s="1"/>
  <c r="AH302" i="29"/>
  <c r="AG362" i="29"/>
  <c r="X580" i="29"/>
  <c r="Y580" i="29" s="1"/>
  <c r="X184" i="29"/>
  <c r="Y184" i="29" s="1"/>
  <c r="AG532" i="29"/>
  <c r="X613" i="29"/>
  <c r="Y613" i="29" s="1"/>
  <c r="X327" i="29"/>
  <c r="Y327" i="29" s="1"/>
  <c r="X80" i="29"/>
  <c r="Y80" i="29" s="1"/>
  <c r="AG45" i="29"/>
  <c r="AH400" i="29"/>
  <c r="AH470" i="29"/>
  <c r="AH17" i="29"/>
  <c r="AH81" i="29"/>
  <c r="W330" i="29"/>
  <c r="AA330" i="29" s="1"/>
  <c r="AG325" i="29"/>
  <c r="W13" i="29"/>
  <c r="AA13" i="29" s="1"/>
  <c r="AG111" i="29"/>
  <c r="W373" i="29"/>
  <c r="AJ372" i="29" s="1"/>
  <c r="AK372" i="29" s="1"/>
  <c r="AG192" i="29"/>
  <c r="W547" i="29"/>
  <c r="AJ546" i="29" s="1"/>
  <c r="AK546" i="29" s="1"/>
  <c r="X292" i="29"/>
  <c r="Y292" i="29" s="1"/>
  <c r="W147" i="29"/>
  <c r="AA147" i="29" s="1"/>
  <c r="AH214" i="29"/>
  <c r="AH333" i="29"/>
  <c r="X512" i="29"/>
  <c r="Y512" i="29" s="1"/>
  <c r="W433" i="29"/>
  <c r="AA433" i="29" s="1"/>
  <c r="W498" i="29"/>
  <c r="AA498" i="29" s="1"/>
  <c r="AG609" i="29"/>
  <c r="AH358" i="29"/>
  <c r="X42" i="29"/>
  <c r="Y42" i="29" s="1"/>
  <c r="W429" i="29"/>
  <c r="AA429" i="29" s="1"/>
  <c r="X169" i="29"/>
  <c r="Y169" i="29" s="1"/>
  <c r="X317" i="29"/>
  <c r="Y317" i="29" s="1"/>
  <c r="X331" i="29"/>
  <c r="Y331" i="29" s="1"/>
  <c r="AH612" i="29"/>
  <c r="AH256" i="29"/>
  <c r="AH127" i="29"/>
  <c r="W465" i="29"/>
  <c r="AJ464" i="29" s="1"/>
  <c r="AK464" i="29" s="1"/>
  <c r="X342" i="29"/>
  <c r="Y342" i="29" s="1"/>
  <c r="X334" i="29"/>
  <c r="Y334" i="29" s="1"/>
  <c r="X57" i="29"/>
  <c r="Y57" i="29" s="1"/>
  <c r="AH558" i="29"/>
  <c r="AG38" i="29"/>
  <c r="X141" i="29"/>
  <c r="Y141" i="29" s="1"/>
  <c r="X48" i="29"/>
  <c r="Y48" i="29" s="1"/>
  <c r="X505" i="29"/>
  <c r="Y505" i="29" s="1"/>
  <c r="X233" i="29"/>
  <c r="Y233" i="29" s="1"/>
  <c r="W348" i="29"/>
  <c r="AA348" i="29" s="1"/>
  <c r="X471" i="29"/>
  <c r="Y471" i="29" s="1"/>
  <c r="AH397" i="29"/>
  <c r="X258" i="29"/>
  <c r="Y258" i="29" s="1"/>
  <c r="X293" i="29"/>
  <c r="Y293" i="29" s="1"/>
  <c r="AH605" i="29"/>
  <c r="W116" i="29"/>
  <c r="AH87" i="29"/>
  <c r="W351" i="29"/>
  <c r="AA351" i="29" s="1"/>
  <c r="AH175" i="29"/>
  <c r="AH572" i="29"/>
  <c r="AG230" i="29"/>
  <c r="X35" i="29"/>
  <c r="Y35" i="29" s="1"/>
  <c r="W526" i="29"/>
  <c r="AA526" i="29" s="1"/>
  <c r="W216" i="29"/>
  <c r="AA216" i="29" s="1"/>
  <c r="X377" i="29"/>
  <c r="Y377" i="29" s="1"/>
  <c r="W219" i="29"/>
  <c r="AJ219" i="29" s="1"/>
  <c r="AK219" i="29" s="1"/>
  <c r="W341" i="29"/>
  <c r="AJ341" i="29" s="1"/>
  <c r="AK341" i="29" s="1"/>
  <c r="W289" i="29"/>
  <c r="AJ288" i="29" s="1"/>
  <c r="AK288" i="29" s="1"/>
  <c r="W156" i="29"/>
  <c r="AJ155" i="29" s="1"/>
  <c r="AK155" i="29" s="1"/>
  <c r="W254" i="29"/>
  <c r="AJ254" i="29" s="1"/>
  <c r="AK254" i="29" s="1"/>
  <c r="AH597" i="29"/>
  <c r="AH235" i="29"/>
  <c r="AG513" i="29"/>
  <c r="W187" i="29"/>
  <c r="AA187" i="29" s="1"/>
  <c r="W52" i="29"/>
  <c r="AJ52" i="29" s="1"/>
  <c r="AK52" i="29" s="1"/>
  <c r="W529" i="29"/>
  <c r="AA529" i="29" s="1"/>
  <c r="W587" i="29"/>
  <c r="AA587" i="29" s="1"/>
  <c r="AG246" i="29"/>
  <c r="AG73" i="29"/>
  <c r="X586" i="29"/>
  <c r="Y586" i="29" s="1"/>
  <c r="AH473" i="29"/>
  <c r="AH20" i="29"/>
  <c r="X563" i="29"/>
  <c r="Y563" i="29" s="1"/>
  <c r="AH510" i="29"/>
  <c r="AG530" i="29"/>
  <c r="AG117" i="29"/>
  <c r="AH484" i="29"/>
  <c r="AG104" i="29"/>
  <c r="CB245" i="24"/>
  <c r="CF245" i="24"/>
  <c r="CB139" i="24"/>
  <c r="CF139" i="24"/>
  <c r="X299" i="29"/>
  <c r="Y299" i="29" s="1"/>
  <c r="AH171" i="29"/>
  <c r="AG165" i="29"/>
  <c r="W270" i="29"/>
  <c r="AJ269" i="29" s="1"/>
  <c r="AK269" i="29" s="1"/>
  <c r="AH136" i="29"/>
  <c r="AG390" i="29"/>
  <c r="AG594" i="29"/>
  <c r="W140" i="29"/>
  <c r="AJ140" i="29" s="1"/>
  <c r="AK140" i="29" s="1"/>
  <c r="AH320" i="29"/>
  <c r="X303" i="29"/>
  <c r="Y303" i="29" s="1"/>
  <c r="W347" i="29"/>
  <c r="AH454" i="29"/>
  <c r="W480" i="29"/>
  <c r="AJ479" i="29" s="1"/>
  <c r="AK479" i="29" s="1"/>
  <c r="W222" i="29"/>
  <c r="AA222" i="29" s="1"/>
  <c r="AG194" i="29"/>
  <c r="AG387" i="29"/>
  <c r="W463" i="29"/>
  <c r="AA463" i="29" s="1"/>
  <c r="AH361" i="29"/>
  <c r="X259" i="29"/>
  <c r="Y259" i="29" s="1"/>
  <c r="AG515" i="29"/>
  <c r="AG555" i="29"/>
  <c r="AH96" i="29"/>
  <c r="W25" i="29"/>
  <c r="AA25" i="29" s="1"/>
  <c r="X30" i="29"/>
  <c r="Y30" i="29" s="1"/>
  <c r="W84" i="29"/>
  <c r="AJ84" i="29" s="1"/>
  <c r="AK84" i="29" s="1"/>
  <c r="AG559" i="29"/>
  <c r="W41" i="29"/>
  <c r="AA41" i="29" s="1"/>
  <c r="W210" i="29"/>
  <c r="AA210" i="29" s="1"/>
  <c r="X535" i="29"/>
  <c r="Y535" i="29" s="1"/>
  <c r="W406" i="29"/>
  <c r="AJ406" i="29" s="1"/>
  <c r="AK406" i="29" s="1"/>
  <c r="W422" i="29"/>
  <c r="AA422" i="29" s="1"/>
  <c r="X53" i="29"/>
  <c r="Y53" i="29" s="1"/>
  <c r="AG50" i="29"/>
  <c r="X499" i="29"/>
  <c r="Y499" i="29" s="1"/>
  <c r="X40" i="29"/>
  <c r="Y40" i="29" s="1"/>
  <c r="AG460" i="29"/>
  <c r="W90" i="29"/>
  <c r="AA90" i="29" s="1"/>
  <c r="AH152" i="29"/>
  <c r="X503" i="29"/>
  <c r="Y503" i="29" s="1"/>
  <c r="AH355" i="29"/>
  <c r="W154" i="29"/>
  <c r="AJ154" i="29" s="1"/>
  <c r="AK154" i="29" s="1"/>
  <c r="AH468" i="29"/>
  <c r="AG324" i="29"/>
  <c r="W133" i="29"/>
  <c r="AJ133" i="29" s="1"/>
  <c r="AK133" i="29" s="1"/>
  <c r="AH190" i="29"/>
  <c r="AH295" i="29"/>
  <c r="X162" i="29"/>
  <c r="Y162" i="29" s="1"/>
  <c r="W610" i="29"/>
  <c r="AJ610" i="29" s="1"/>
  <c r="AK610" i="29" s="1"/>
  <c r="X306" i="29"/>
  <c r="Y306" i="29" s="1"/>
  <c r="AH138" i="29"/>
  <c r="AG88" i="29"/>
  <c r="X178" i="29"/>
  <c r="Y178" i="29" s="1"/>
  <c r="X414" i="29"/>
  <c r="Y414" i="29" s="1"/>
  <c r="AG180" i="29"/>
  <c r="X167" i="29"/>
  <c r="Y167" i="29" s="1"/>
  <c r="AG574" i="29"/>
  <c r="AG453" i="29"/>
  <c r="AH443" i="29"/>
  <c r="X402" i="29"/>
  <c r="Y402" i="29" s="1"/>
  <c r="X404" i="29"/>
  <c r="Y404" i="29" s="1"/>
  <c r="AH345" i="29"/>
  <c r="X43" i="29"/>
  <c r="Y43" i="29" s="1"/>
  <c r="X462" i="29"/>
  <c r="Y462" i="29" s="1"/>
  <c r="W448" i="29"/>
  <c r="AJ448" i="29" s="1"/>
  <c r="AK448" i="29" s="1"/>
  <c r="W439" i="29"/>
  <c r="AJ438" i="29" s="1"/>
  <c r="AK438" i="29" s="1"/>
  <c r="W164" i="29"/>
  <c r="AA164" i="29" s="1"/>
  <c r="AH385" i="29"/>
  <c r="X376" i="29"/>
  <c r="Y376" i="29" s="1"/>
  <c r="X274" i="29"/>
  <c r="Y274" i="29" s="1"/>
  <c r="AH236" i="29"/>
  <c r="AG139" i="29"/>
  <c r="AG100" i="29"/>
  <c r="W556" i="29"/>
  <c r="AA556" i="29" s="1"/>
  <c r="W130" i="29"/>
  <c r="AJ129" i="29" s="1"/>
  <c r="AK129" i="29" s="1"/>
  <c r="X497" i="29"/>
  <c r="Y497" i="29" s="1"/>
  <c r="X476" i="29"/>
  <c r="Y476" i="29" s="1"/>
  <c r="AG540" i="29"/>
  <c r="AH346" i="29"/>
  <c r="AH354" i="29"/>
  <c r="CB209" i="24"/>
  <c r="CF209" i="24"/>
  <c r="CB315" i="24"/>
  <c r="CF315" i="24"/>
  <c r="X368" i="29"/>
  <c r="Y368" i="29" s="1"/>
  <c r="X268" i="29"/>
  <c r="Y268" i="29" s="1"/>
  <c r="W401" i="29"/>
  <c r="AJ401" i="29" s="1"/>
  <c r="AK401" i="29" s="1"/>
  <c r="AG33" i="29"/>
  <c r="AG459" i="29"/>
  <c r="W336" i="29"/>
  <c r="AJ336" i="29" s="1"/>
  <c r="AK336" i="29" s="1"/>
  <c r="X554" i="29"/>
  <c r="Y554" i="29" s="1"/>
  <c r="AG86" i="29"/>
  <c r="AH224" i="29"/>
  <c r="X424" i="29"/>
  <c r="Y424" i="29" s="1"/>
  <c r="X101" i="29"/>
  <c r="Y101" i="29" s="1"/>
  <c r="X413" i="29"/>
  <c r="Y413" i="29" s="1"/>
  <c r="AG316" i="29"/>
  <c r="W218" i="29"/>
  <c r="AA218" i="29" s="1"/>
  <c r="X298" i="29"/>
  <c r="Y298" i="29" s="1"/>
  <c r="AH590" i="29"/>
  <c r="AH494" i="29"/>
  <c r="X308" i="29"/>
  <c r="Y308" i="29" s="1"/>
  <c r="X29" i="29"/>
  <c r="Y29" i="29" s="1"/>
  <c r="W170" i="29"/>
  <c r="AA170" i="29" s="1"/>
  <c r="AH486" i="29"/>
  <c r="W177" i="29"/>
  <c r="AA177" i="29" s="1"/>
  <c r="W514" i="29"/>
  <c r="AJ514" i="29" s="1"/>
  <c r="AK514" i="29" s="1"/>
  <c r="AH435" i="29"/>
  <c r="W242" i="29"/>
  <c r="AJ241" i="29" s="1"/>
  <c r="AK241" i="29" s="1"/>
  <c r="AH546" i="29"/>
  <c r="AH581" i="29"/>
  <c r="AH118" i="29"/>
  <c r="AH239" i="29"/>
  <c r="W474" i="29"/>
  <c r="AA474" i="29" s="1"/>
  <c r="X44" i="29"/>
  <c r="Y44" i="29" s="1"/>
  <c r="AH208" i="29"/>
  <c r="X567" i="29"/>
  <c r="Y567" i="29" s="1"/>
  <c r="AG286" i="29"/>
  <c r="X552" i="29"/>
  <c r="Y552" i="29" s="1"/>
  <c r="W502" i="29"/>
  <c r="AJ501" i="29" s="1"/>
  <c r="AK501" i="29" s="1"/>
  <c r="X428" i="29"/>
  <c r="Y428" i="29" s="1"/>
  <c r="X344" i="29"/>
  <c r="Y344" i="29" s="1"/>
  <c r="AH188" i="29"/>
  <c r="AH467" i="29"/>
  <c r="CB241" i="24"/>
  <c r="CF241" i="24"/>
  <c r="CB284" i="24"/>
  <c r="CF284" i="24"/>
  <c r="CB178" i="24"/>
  <c r="CF178" i="24"/>
  <c r="CB291" i="24"/>
  <c r="CF291" i="24"/>
  <c r="X451" i="29"/>
  <c r="Y451" i="29" s="1"/>
  <c r="CB185" i="24"/>
  <c r="CF185" i="24"/>
  <c r="X329" i="29"/>
  <c r="Y329" i="29" s="1"/>
  <c r="W522" i="29"/>
  <c r="AA522" i="29" s="1"/>
  <c r="AH321" i="29"/>
  <c r="AG565" i="29"/>
  <c r="AG319" i="29"/>
  <c r="W150" i="29"/>
  <c r="AJ150" i="29" s="1"/>
  <c r="AK150" i="29" s="1"/>
  <c r="AH267" i="29"/>
  <c r="AG120" i="29"/>
  <c r="W297" i="29"/>
  <c r="AJ297" i="29" s="1"/>
  <c r="AK297" i="29" s="1"/>
  <c r="W221" i="29"/>
  <c r="AA221" i="29" s="1"/>
  <c r="AG490" i="29"/>
  <c r="X114" i="29"/>
  <c r="Y114" i="29" s="1"/>
  <c r="W412" i="29"/>
  <c r="AJ412" i="29" s="1"/>
  <c r="AK412" i="29" s="1"/>
  <c r="X69" i="29"/>
  <c r="Y69" i="29" s="1"/>
  <c r="AG128" i="29"/>
  <c r="AH39" i="29"/>
  <c r="X479" i="29"/>
  <c r="Y479" i="29" s="1"/>
  <c r="X388" i="29"/>
  <c r="Y388" i="29" s="1"/>
  <c r="AG447" i="29"/>
  <c r="X418" i="29"/>
  <c r="Y418" i="29" s="1"/>
  <c r="X197" i="29"/>
  <c r="Y197" i="29" s="1"/>
  <c r="AG440" i="29"/>
  <c r="W350" i="29"/>
  <c r="W183" i="29"/>
  <c r="AA183" i="29" s="1"/>
  <c r="AG92" i="29"/>
  <c r="AH550" i="29"/>
  <c r="W142" i="29"/>
  <c r="AJ142" i="29" s="1"/>
  <c r="AK142" i="29" s="1"/>
  <c r="AG426" i="29"/>
  <c r="AG527" i="29"/>
  <c r="X364" i="29"/>
  <c r="Y364" i="29" s="1"/>
  <c r="AH28" i="29"/>
  <c r="AG201" i="29"/>
  <c r="X250" i="29"/>
  <c r="Y250" i="29" s="1"/>
  <c r="X272" i="29"/>
  <c r="Y272" i="29" s="1"/>
  <c r="W149" i="29"/>
  <c r="AG264" i="29"/>
  <c r="AG260" i="29"/>
  <c r="AG103" i="29"/>
  <c r="W588" i="29"/>
  <c r="AA588" i="29" s="1"/>
  <c r="AG32" i="29"/>
  <c r="X472" i="29"/>
  <c r="Y472" i="29" s="1"/>
  <c r="AH416" i="29"/>
  <c r="AG398" i="29"/>
  <c r="AH125" i="29"/>
  <c r="X461" i="29"/>
  <c r="Y461" i="29" s="1"/>
  <c r="X281" i="29"/>
  <c r="Y281" i="29" s="1"/>
  <c r="X423" i="29"/>
  <c r="Y423" i="29" s="1"/>
  <c r="X409" i="29"/>
  <c r="Y409" i="29" s="1"/>
  <c r="X548" i="29"/>
  <c r="Y548" i="29" s="1"/>
  <c r="X378" i="29"/>
  <c r="Y378" i="29" s="1"/>
  <c r="AG455" i="29"/>
  <c r="AG561" i="29"/>
  <c r="AH482" i="29"/>
  <c r="W356" i="29"/>
  <c r="AJ355" i="29" s="1"/>
  <c r="AK355" i="29" s="1"/>
  <c r="W410" i="29"/>
  <c r="AA410" i="29" s="1"/>
  <c r="W528" i="29"/>
  <c r="X395" i="29"/>
  <c r="Y395" i="29" s="1"/>
  <c r="AG119" i="29"/>
  <c r="AH76" i="29"/>
  <c r="X593" i="29"/>
  <c r="Y593" i="29" s="1"/>
  <c r="AH237" i="29"/>
  <c r="AH538" i="29"/>
  <c r="W383" i="29"/>
  <c r="AJ383" i="29" s="1"/>
  <c r="AK383" i="29" s="1"/>
  <c r="W312" i="29"/>
  <c r="AJ311" i="29" s="1"/>
  <c r="AK311" i="29" s="1"/>
  <c r="W251" i="29"/>
  <c r="AA251" i="29" s="1"/>
  <c r="AG489" i="29"/>
  <c r="AG366" i="29"/>
  <c r="AH438" i="29"/>
  <c r="AH403" i="29"/>
  <c r="AG112" i="29"/>
  <c r="AG277" i="29"/>
  <c r="W430" i="29"/>
  <c r="AA430" i="29" s="1"/>
  <c r="AG583" i="29"/>
  <c r="AG72" i="29"/>
  <c r="AG232" i="29"/>
  <c r="X575" i="29"/>
  <c r="Y575" i="29" s="1"/>
  <c r="AH135" i="29"/>
  <c r="AG520" i="29"/>
  <c r="W23" i="29"/>
  <c r="AA23" i="29" s="1"/>
  <c r="AH77" i="29"/>
  <c r="X273" i="29"/>
  <c r="Y273" i="29" s="1"/>
  <c r="W132" i="29"/>
  <c r="AA132" i="29" s="1"/>
  <c r="AG569" i="29"/>
  <c r="AH283" i="29"/>
  <c r="AH446" i="29"/>
  <c r="W434" i="29"/>
  <c r="AA434" i="29" s="1"/>
  <c r="X469" i="29"/>
  <c r="Y469" i="29" s="1"/>
  <c r="AH592" i="29"/>
  <c r="X262" i="29"/>
  <c r="Y262" i="29" s="1"/>
  <c r="X94" i="29"/>
  <c r="Y94" i="29" s="1"/>
  <c r="W301" i="29"/>
  <c r="AJ301" i="29" s="1"/>
  <c r="AK301" i="29" s="1"/>
  <c r="AH275" i="29"/>
  <c r="W240" i="29"/>
  <c r="AJ240" i="29" s="1"/>
  <c r="AK240" i="29" s="1"/>
  <c r="W432" i="29"/>
  <c r="AA432" i="29" s="1"/>
  <c r="AG146" i="29"/>
  <c r="AG157" i="29"/>
  <c r="AH65" i="29"/>
  <c r="AG449" i="29"/>
  <c r="X411" i="29"/>
  <c r="Y411" i="29" s="1"/>
  <c r="AG143" i="29"/>
  <c r="W199" i="29"/>
  <c r="AA199" i="29" s="1"/>
  <c r="W375" i="29"/>
  <c r="AJ375" i="29" s="1"/>
  <c r="AK375" i="29" s="1"/>
  <c r="AG524" i="29"/>
  <c r="AG202" i="29"/>
  <c r="AG145" i="29"/>
  <c r="X436" i="29"/>
  <c r="Y436" i="29" s="1"/>
  <c r="X129" i="29"/>
  <c r="Y129" i="29" s="1"/>
  <c r="AG290" i="29"/>
  <c r="W75" i="29"/>
  <c r="AJ75" i="29" s="1"/>
  <c r="AK75" i="29" s="1"/>
  <c r="AG523" i="29"/>
  <c r="W542" i="29"/>
  <c r="AA542" i="29" s="1"/>
  <c r="AH481" i="29"/>
  <c r="X307" i="29"/>
  <c r="Y307" i="29" s="1"/>
  <c r="AH407" i="29"/>
  <c r="X51" i="29"/>
  <c r="Y51" i="29" s="1"/>
  <c r="AG244" i="29"/>
  <c r="W56" i="29"/>
  <c r="AA56" i="29" s="1"/>
  <c r="X539" i="29"/>
  <c r="Y539" i="29" s="1"/>
  <c r="X228" i="29"/>
  <c r="Y228" i="29" s="1"/>
  <c r="AH249" i="29"/>
  <c r="X21" i="29"/>
  <c r="Y21" i="29" s="1"/>
  <c r="AG172" i="29"/>
  <c r="W91" i="29"/>
  <c r="W573" i="29"/>
  <c r="AJ573" i="29" s="1"/>
  <c r="AK573" i="29" s="1"/>
  <c r="AG500" i="29"/>
  <c r="W315" i="29"/>
  <c r="AA315" i="29" s="1"/>
  <c r="W492" i="29"/>
  <c r="W305" i="29"/>
  <c r="AJ305" i="29" s="1"/>
  <c r="AK305" i="29" s="1"/>
  <c r="AG195" i="29"/>
  <c r="AG265" i="29"/>
  <c r="AH392" i="29"/>
  <c r="W99" i="29"/>
  <c r="AJ99" i="29" s="1"/>
  <c r="AK99" i="29" s="1"/>
  <c r="X263" i="29"/>
  <c r="Y263" i="29" s="1"/>
  <c r="X14" i="29"/>
  <c r="Y14" i="29" s="1"/>
  <c r="X579" i="29"/>
  <c r="Y579" i="29" s="1"/>
  <c r="AH394" i="29"/>
  <c r="W179" i="29"/>
  <c r="AJ178" i="29" s="1"/>
  <c r="AK178" i="29" s="1"/>
  <c r="X211" i="29"/>
  <c r="Y211" i="29" s="1"/>
  <c r="X160" i="29"/>
  <c r="Y160" i="29" s="1"/>
  <c r="X487" i="29"/>
  <c r="Y487" i="29" s="1"/>
  <c r="X399" i="29"/>
  <c r="Y399" i="29" s="1"/>
  <c r="W382" i="29"/>
  <c r="AJ381" i="29" s="1"/>
  <c r="AK381" i="29" s="1"/>
  <c r="X519" i="29"/>
  <c r="Y519" i="29" s="1"/>
  <c r="X517" i="29"/>
  <c r="Y517" i="29" s="1"/>
  <c r="AG226" i="29"/>
  <c r="AH102" i="29"/>
  <c r="W15" i="29"/>
  <c r="AA15" i="29" s="1"/>
  <c r="W278" i="29"/>
  <c r="AJ277" i="29" s="1"/>
  <c r="AK277" i="29" s="1"/>
  <c r="AG314" i="29"/>
  <c r="AG255" i="29"/>
  <c r="W280" i="29"/>
  <c r="AA280" i="29" s="1"/>
  <c r="AG381" i="29"/>
  <c r="X496" i="29"/>
  <c r="Y496" i="29" s="1"/>
  <c r="W335" i="29"/>
  <c r="W353" i="29"/>
  <c r="AA353" i="29" s="1"/>
  <c r="AH386" i="29"/>
  <c r="AH427" i="29"/>
  <c r="W595" i="29"/>
  <c r="AA595" i="29" s="1"/>
  <c r="X570" i="29"/>
  <c r="Y570" i="29" s="1"/>
  <c r="X419" i="29"/>
  <c r="Y419" i="29" s="1"/>
  <c r="W450" i="29"/>
  <c r="AJ450" i="29" s="1"/>
  <c r="AK450" i="29" s="1"/>
  <c r="AH313" i="29"/>
  <c r="W213" i="29"/>
  <c r="AA213" i="29" s="1"/>
  <c r="X600" i="29"/>
  <c r="Y600" i="29" s="1"/>
  <c r="AG568" i="29"/>
  <c r="AH196" i="29"/>
  <c r="AH47" i="29"/>
  <c r="X68" i="29"/>
  <c r="Y68" i="29" s="1"/>
  <c r="W245" i="29"/>
  <c r="AJ245" i="29" s="1"/>
  <c r="AK245" i="29" s="1"/>
  <c r="AH131" i="29"/>
  <c r="X126" i="29"/>
  <c r="Y126" i="29" s="1"/>
  <c r="X396" i="29"/>
  <c r="Y396" i="29" s="1"/>
  <c r="AH134" i="29"/>
  <c r="W421" i="29"/>
  <c r="X36" i="29"/>
  <c r="Y36" i="29" s="1"/>
  <c r="X458" i="29"/>
  <c r="Y458" i="29" s="1"/>
  <c r="AG318" i="29"/>
  <c r="AH405" i="29"/>
  <c r="AG209" i="29"/>
  <c r="AH456" i="29"/>
  <c r="AH243" i="29"/>
  <c r="X601" i="29"/>
  <c r="Y601" i="29" s="1"/>
  <c r="AG121" i="29"/>
  <c r="W444" i="29"/>
  <c r="AJ443" i="29" s="1"/>
  <c r="AK443" i="29" s="1"/>
  <c r="AG389" i="29"/>
  <c r="AG518" i="29"/>
  <c r="W310" i="29"/>
  <c r="AJ310" i="29" s="1"/>
  <c r="AK310" i="29" s="1"/>
  <c r="X67" i="29"/>
  <c r="Y67" i="29" s="1"/>
  <c r="X215" i="29"/>
  <c r="Y215" i="29" s="1"/>
  <c r="W37" i="29"/>
  <c r="AJ36" i="29" s="1"/>
  <c r="AK36" i="29" s="1"/>
  <c r="X191" i="29"/>
  <c r="Y191" i="29" s="1"/>
  <c r="W525" i="29"/>
  <c r="AH506" i="29"/>
  <c r="X425" i="29"/>
  <c r="Y425" i="29" s="1"/>
  <c r="X282" i="29"/>
  <c r="Y282" i="29" s="1"/>
  <c r="AG504" i="29"/>
  <c r="W369" i="29"/>
  <c r="AA369" i="29" s="1"/>
  <c r="X311" i="29"/>
  <c r="Y311" i="29" s="1"/>
  <c r="X227" i="29"/>
  <c r="Y227" i="29" s="1"/>
  <c r="AH27" i="29"/>
  <c r="AG173" i="29"/>
  <c r="AG55" i="29"/>
  <c r="W26" i="29"/>
  <c r="X83" i="29"/>
  <c r="Y83" i="29" s="1"/>
  <c r="AG158" i="29"/>
  <c r="AH16" i="29"/>
  <c r="X182" i="29"/>
  <c r="Y182" i="29" s="1"/>
  <c r="W533" i="29"/>
  <c r="AJ532" i="29" s="1"/>
  <c r="AK532" i="29" s="1"/>
  <c r="W200" i="29"/>
  <c r="AJ200" i="29" s="1"/>
  <c r="AK200" i="29" s="1"/>
  <c r="X372" i="29"/>
  <c r="Y372" i="29" s="1"/>
  <c r="AH300" i="29"/>
  <c r="X549" i="29"/>
  <c r="Y549" i="29" s="1"/>
  <c r="AH95" i="29"/>
  <c r="X420" i="29"/>
  <c r="Y420" i="29" s="1"/>
  <c r="AG31" i="29"/>
  <c r="X491" i="29"/>
  <c r="Y491" i="29" s="1"/>
  <c r="AG287" i="29"/>
  <c r="W531" i="29"/>
  <c r="AJ531" i="29" s="1"/>
  <c r="AK531" i="29" s="1"/>
  <c r="X607" i="29"/>
  <c r="Y607" i="29" s="1"/>
  <c r="AH545" i="29"/>
  <c r="X62" i="29"/>
  <c r="Y62" i="29" s="1"/>
  <c r="X269" i="29"/>
  <c r="Y269" i="29" s="1"/>
  <c r="CB170" i="25"/>
  <c r="CF170" i="25"/>
  <c r="CB170" i="24"/>
  <c r="CF170" i="24"/>
  <c r="CB276" i="24"/>
  <c r="CF276" i="24"/>
  <c r="W360" i="29"/>
  <c r="AJ359" i="29" s="1"/>
  <c r="AK359" i="29" s="1"/>
  <c r="CB166" i="24"/>
  <c r="CF166" i="24"/>
  <c r="CB272" i="24"/>
  <c r="CF272" i="24"/>
  <c r="CB102" i="24"/>
  <c r="CF102" i="24"/>
  <c r="W441" i="29"/>
  <c r="AA441" i="29" s="1"/>
  <c r="CB92" i="25"/>
  <c r="CF92" i="25"/>
  <c r="CB92" i="24"/>
  <c r="CF92" i="24"/>
  <c r="AH176" i="29"/>
  <c r="W82" i="29"/>
  <c r="AA82" i="29" s="1"/>
  <c r="AG564" i="29"/>
  <c r="AG296" i="29"/>
  <c r="W431" i="29"/>
  <c r="AA431" i="29" s="1"/>
  <c r="X247" i="29"/>
  <c r="Y247" i="29" s="1"/>
  <c r="CB268" i="24"/>
  <c r="CF268" i="24"/>
  <c r="CB157" i="24"/>
  <c r="CF157" i="24"/>
  <c r="CB263" i="24"/>
  <c r="CF263" i="24"/>
  <c r="CB79" i="24"/>
  <c r="CF79" i="24"/>
  <c r="CB274" i="24"/>
  <c r="CF274" i="24"/>
  <c r="CB168" i="24"/>
  <c r="CF168" i="24"/>
  <c r="CB285" i="24"/>
  <c r="CF285" i="24"/>
  <c r="CB179" i="24"/>
  <c r="CF179" i="24"/>
  <c r="W495" i="29"/>
  <c r="AJ494" i="29" s="1"/>
  <c r="AK494" i="29" s="1"/>
  <c r="X288" i="29"/>
  <c r="Y288" i="29" s="1"/>
  <c r="AG534" i="29"/>
  <c r="BY237" i="25"/>
  <c r="CA237" i="25" s="1"/>
  <c r="CB237" i="25" s="1"/>
  <c r="BL237" i="25"/>
  <c r="BK237" i="25"/>
  <c r="AT212" i="25"/>
  <c r="AY212" i="25" s="1"/>
  <c r="AU212" i="25"/>
  <c r="BY77" i="25"/>
  <c r="CA77" i="25" s="1"/>
  <c r="CB77" i="25" s="1"/>
  <c r="BL77" i="25"/>
  <c r="CB173" i="24"/>
  <c r="CF173" i="24"/>
  <c r="CB74" i="24"/>
  <c r="CF74" i="24"/>
  <c r="AA599" i="29"/>
  <c r="AJ58" i="29"/>
  <c r="AK58" i="29" s="1"/>
  <c r="AA59" i="29"/>
  <c r="AA201" i="29"/>
  <c r="BY72" i="25"/>
  <c r="CA72" i="25" s="1"/>
  <c r="BL72" i="25"/>
  <c r="AA325" i="29"/>
  <c r="AJ324" i="29"/>
  <c r="AK324" i="29" s="1"/>
  <c r="BL146" i="25"/>
  <c r="BY146" i="25"/>
  <c r="CA146" i="25" s="1"/>
  <c r="CB146" i="25" s="1"/>
  <c r="BK146" i="25"/>
  <c r="AA460" i="29"/>
  <c r="AJ459" i="29"/>
  <c r="AK459" i="29" s="1"/>
  <c r="AJ54" i="29"/>
  <c r="AK54" i="29" s="1"/>
  <c r="AA55" i="29"/>
  <c r="BL41" i="25"/>
  <c r="BY41" i="25"/>
  <c r="CA41" i="25" s="1"/>
  <c r="CB41" i="25" s="1"/>
  <c r="AJ119" i="29"/>
  <c r="AK119" i="29" s="1"/>
  <c r="AA120" i="29"/>
  <c r="AA445" i="29"/>
  <c r="AJ258" i="29"/>
  <c r="AK258" i="29" s="1"/>
  <c r="AA259" i="29"/>
  <c r="AA148" i="29"/>
  <c r="BL125" i="25"/>
  <c r="BY125" i="25"/>
  <c r="CA125" i="25" s="1"/>
  <c r="CB125" i="25" s="1"/>
  <c r="BK125" i="25"/>
  <c r="AA490" i="29"/>
  <c r="AJ489" i="29"/>
  <c r="AK489" i="29" s="1"/>
  <c r="AA435" i="29"/>
  <c r="AA277" i="29"/>
  <c r="AJ276" i="29"/>
  <c r="AK276" i="29" s="1"/>
  <c r="AJ214" i="29"/>
  <c r="AK214" i="29" s="1"/>
  <c r="AA215" i="29"/>
  <c r="AA246" i="29"/>
  <c r="AA596" i="29"/>
  <c r="AA63" i="29"/>
  <c r="AJ62" i="29"/>
  <c r="AK62" i="29" s="1"/>
  <c r="AA521" i="29"/>
  <c r="AJ520" i="29"/>
  <c r="AK520" i="29" s="1"/>
  <c r="BY119" i="25"/>
  <c r="CA119" i="25" s="1"/>
  <c r="CB119" i="25" s="1"/>
  <c r="BL119" i="25"/>
  <c r="BK119" i="25"/>
  <c r="AJ202" i="29"/>
  <c r="AK202" i="29" s="1"/>
  <c r="AA203" i="29"/>
  <c r="BN316" i="24"/>
  <c r="L94" i="2"/>
  <c r="AJ313" i="29"/>
  <c r="AK313" i="29" s="1"/>
  <c r="AA314" i="29"/>
  <c r="AJ339" i="29"/>
  <c r="AK339" i="29" s="1"/>
  <c r="AA340" i="29"/>
  <c r="AA38" i="29"/>
  <c r="AA64" i="29"/>
  <c r="AJ63" i="29"/>
  <c r="AK63" i="29" s="1"/>
  <c r="AJ168" i="29"/>
  <c r="AK168" i="29" s="1"/>
  <c r="AA169" i="29"/>
  <c r="AJ223" i="29"/>
  <c r="AK223" i="29" s="1"/>
  <c r="AA224" i="29"/>
  <c r="AA211" i="29"/>
  <c r="AJ30" i="29"/>
  <c r="AK30" i="29" s="1"/>
  <c r="AA31" i="29"/>
  <c r="BL75" i="25"/>
  <c r="BY75" i="25"/>
  <c r="CA75" i="25" s="1"/>
  <c r="CB75" i="25" s="1"/>
  <c r="BY163" i="25"/>
  <c r="CA163" i="25" s="1"/>
  <c r="BL163" i="25"/>
  <c r="BK163" i="25"/>
  <c r="BY24" i="25"/>
  <c r="CA24" i="25" s="1"/>
  <c r="CB24" i="25" s="1"/>
  <c r="BL24" i="25"/>
  <c r="AA100" i="29"/>
  <c r="AA576" i="29"/>
  <c r="AJ575" i="29"/>
  <c r="AK575" i="29" s="1"/>
  <c r="AA306" i="29"/>
  <c r="AA67" i="29"/>
  <c r="AJ66" i="29"/>
  <c r="AK66" i="29" s="1"/>
  <c r="BY23" i="25"/>
  <c r="CA23" i="25" s="1"/>
  <c r="CB23" i="25" s="1"/>
  <c r="BL23" i="25"/>
  <c r="BL39" i="25"/>
  <c r="BY39" i="25"/>
  <c r="CA39" i="25" s="1"/>
  <c r="CB39" i="25" s="1"/>
  <c r="AA481" i="29"/>
  <c r="AA69" i="29"/>
  <c r="AJ68" i="29"/>
  <c r="AK68" i="29" s="1"/>
  <c r="BY150" i="25"/>
  <c r="CA150" i="25" s="1"/>
  <c r="CB150" i="25" s="1"/>
  <c r="BL150" i="25"/>
  <c r="BK150" i="25"/>
  <c r="BY142" i="25"/>
  <c r="CA142" i="25" s="1"/>
  <c r="CB142" i="25" s="1"/>
  <c r="BL142" i="25"/>
  <c r="BK142" i="25"/>
  <c r="AA403" i="29"/>
  <c r="AJ402" i="29"/>
  <c r="AK402" i="29" s="1"/>
  <c r="AA241" i="29"/>
  <c r="AA496" i="29"/>
  <c r="AJ78" i="29"/>
  <c r="AK78" i="29" s="1"/>
  <c r="AA79" i="29"/>
  <c r="AA497" i="29"/>
  <c r="AJ496" i="29"/>
  <c r="AK496" i="29" s="1"/>
  <c r="AJ596" i="29"/>
  <c r="AK596" i="29" s="1"/>
  <c r="AA597" i="29"/>
  <c r="AA565" i="29"/>
  <c r="AJ564" i="29"/>
  <c r="AK564" i="29" s="1"/>
  <c r="AA184" i="29"/>
  <c r="AJ159" i="29"/>
  <c r="AK159" i="29" s="1"/>
  <c r="AA160" i="29"/>
  <c r="BY85" i="25"/>
  <c r="CA85" i="25" s="1"/>
  <c r="CB85" i="25" s="1"/>
  <c r="BL85" i="25"/>
  <c r="BL300" i="25"/>
  <c r="BY300" i="25"/>
  <c r="CA300" i="25" s="1"/>
  <c r="CB300" i="25" s="1"/>
  <c r="BK300" i="25"/>
  <c r="AJ262" i="29"/>
  <c r="AK262" i="29" s="1"/>
  <c r="AA263" i="29"/>
  <c r="BL294" i="25"/>
  <c r="BY294" i="25"/>
  <c r="CA294" i="25" s="1"/>
  <c r="CB294" i="25" s="1"/>
  <c r="BK294" i="25"/>
  <c r="AA519" i="29"/>
  <c r="AJ518" i="29"/>
  <c r="AK518" i="29" s="1"/>
  <c r="AA361" i="29"/>
  <c r="AJ76" i="29"/>
  <c r="AK76" i="29" s="1"/>
  <c r="AA77" i="29"/>
  <c r="AA582" i="29"/>
  <c r="AJ581" i="29"/>
  <c r="AK581" i="29" s="1"/>
  <c r="AA264" i="29"/>
  <c r="AJ263" i="29"/>
  <c r="AK263" i="29" s="1"/>
  <c r="BL175" i="25"/>
  <c r="BY175" i="25"/>
  <c r="CA175" i="25" s="1"/>
  <c r="BK175" i="25"/>
  <c r="AA205" i="29"/>
  <c r="AJ204" i="29"/>
  <c r="AK204" i="29" s="1"/>
  <c r="BL53" i="25"/>
  <c r="BY53" i="25"/>
  <c r="CA53" i="25" s="1"/>
  <c r="CB53" i="25" s="1"/>
  <c r="AJ196" i="29"/>
  <c r="AK196" i="29" s="1"/>
  <c r="AA197" i="29"/>
  <c r="AA320" i="29"/>
  <c r="AJ319" i="29"/>
  <c r="AK319" i="29" s="1"/>
  <c r="AA311" i="29"/>
  <c r="AJ86" i="29"/>
  <c r="AK86" i="29" s="1"/>
  <c r="AA87" i="29"/>
  <c r="BL217" i="25"/>
  <c r="BY217" i="25"/>
  <c r="CA217" i="25" s="1"/>
  <c r="CB217" i="25" s="1"/>
  <c r="BK217" i="25"/>
  <c r="BY67" i="25"/>
  <c r="CA67" i="25" s="1"/>
  <c r="CB67" i="25" s="1"/>
  <c r="BL67" i="25"/>
  <c r="CB97" i="25"/>
  <c r="CF97" i="25"/>
  <c r="AJ285" i="29"/>
  <c r="AK285" i="29" s="1"/>
  <c r="AA286" i="29"/>
  <c r="AJ192" i="29"/>
  <c r="AK192" i="29" s="1"/>
  <c r="AA193" i="29"/>
  <c r="BL286" i="25"/>
  <c r="BY286" i="25"/>
  <c r="CA286" i="25" s="1"/>
  <c r="CB286" i="25" s="1"/>
  <c r="BK286" i="25"/>
  <c r="BL250" i="25"/>
  <c r="BY250" i="25"/>
  <c r="CA250" i="25" s="1"/>
  <c r="CB250" i="25" s="1"/>
  <c r="BK250" i="25"/>
  <c r="AA95" i="29"/>
  <c r="AJ94" i="29"/>
  <c r="AK94" i="29" s="1"/>
  <c r="BL83" i="25"/>
  <c r="BY83" i="25"/>
  <c r="CA83" i="25" s="1"/>
  <c r="CB83" i="25" s="1"/>
  <c r="BY284" i="25"/>
  <c r="CA284" i="25" s="1"/>
  <c r="CB284" i="25" s="1"/>
  <c r="BL284" i="25"/>
  <c r="BK284" i="25"/>
  <c r="AJ424" i="29"/>
  <c r="AK424" i="29" s="1"/>
  <c r="AA425" i="29"/>
  <c r="AA416" i="29"/>
  <c r="AJ415" i="29"/>
  <c r="AK415" i="29" s="1"/>
  <c r="AJ392" i="29"/>
  <c r="AK392" i="29" s="1"/>
  <c r="AA393" i="29"/>
  <c r="BY133" i="25"/>
  <c r="CA133" i="25" s="1"/>
  <c r="CB133" i="25" s="1"/>
  <c r="BL133" i="25"/>
  <c r="BK133" i="25"/>
  <c r="BL47" i="25"/>
  <c r="BY47" i="25"/>
  <c r="CA47" i="25" s="1"/>
  <c r="CB47" i="25" s="1"/>
  <c r="AJ49" i="29"/>
  <c r="AK49" i="29" s="1"/>
  <c r="AA50" i="29"/>
  <c r="AA195" i="29"/>
  <c r="AJ194" i="29"/>
  <c r="AK194" i="29" s="1"/>
  <c r="BY80" i="25"/>
  <c r="CA80" i="25" s="1"/>
  <c r="BL80" i="25"/>
  <c r="BL225" i="25"/>
  <c r="BY225" i="25"/>
  <c r="CA225" i="25" s="1"/>
  <c r="CB225" i="25" s="1"/>
  <c r="BK225" i="25"/>
  <c r="AJ371" i="29"/>
  <c r="AK371" i="29" s="1"/>
  <c r="AA372" i="29"/>
  <c r="AA43" i="29"/>
  <c r="AJ42" i="29"/>
  <c r="AK42" i="29" s="1"/>
  <c r="AA398" i="29"/>
  <c r="AJ397" i="29"/>
  <c r="AK397" i="29" s="1"/>
  <c r="BY65" i="25"/>
  <c r="CA65" i="25" s="1"/>
  <c r="CB65" i="25" s="1"/>
  <c r="BL65" i="25"/>
  <c r="BY43" i="25"/>
  <c r="CA43" i="25" s="1"/>
  <c r="CB43" i="25" s="1"/>
  <c r="BL43" i="25"/>
  <c r="AA611" i="29"/>
  <c r="AJ404" i="29"/>
  <c r="AK404" i="29" s="1"/>
  <c r="AA405" i="29"/>
  <c r="AA592" i="29"/>
  <c r="AJ591" i="29"/>
  <c r="AK591" i="29" s="1"/>
  <c r="BY220" i="25"/>
  <c r="CA220" i="25" s="1"/>
  <c r="CB220" i="25" s="1"/>
  <c r="BL220" i="25"/>
  <c r="BK220" i="25"/>
  <c r="AA342" i="29"/>
  <c r="BL144" i="25"/>
  <c r="BY144" i="25"/>
  <c r="CA144" i="25" s="1"/>
  <c r="CB144" i="25" s="1"/>
  <c r="BK144" i="25"/>
  <c r="AA399" i="29"/>
  <c r="AJ398" i="29"/>
  <c r="AK398" i="29" s="1"/>
  <c r="AA359" i="29"/>
  <c r="AJ358" i="29"/>
  <c r="AK358" i="29" s="1"/>
  <c r="AA358" i="29"/>
  <c r="BY36" i="25"/>
  <c r="CA36" i="25" s="1"/>
  <c r="CB36" i="25" s="1"/>
  <c r="BL36" i="25"/>
  <c r="AA475" i="29"/>
  <c r="BL252" i="25"/>
  <c r="BY252" i="25"/>
  <c r="CA252" i="25" s="1"/>
  <c r="CB252" i="25" s="1"/>
  <c r="BK252" i="25"/>
  <c r="BY260" i="25"/>
  <c r="CA260" i="25" s="1"/>
  <c r="CB260" i="25" s="1"/>
  <c r="BL260" i="25"/>
  <c r="BK260" i="25"/>
  <c r="AJ396" i="29"/>
  <c r="AK396" i="29" s="1"/>
  <c r="AA397" i="29"/>
  <c r="BL69" i="25"/>
  <c r="BY69" i="25"/>
  <c r="CA69" i="25" s="1"/>
  <c r="CB69" i="25" s="1"/>
  <c r="BL194" i="25"/>
  <c r="BY194" i="25"/>
  <c r="CA194" i="25" s="1"/>
  <c r="BK194" i="25"/>
  <c r="BY187" i="25"/>
  <c r="CA187" i="25" s="1"/>
  <c r="CB187" i="25" s="1"/>
  <c r="BL187" i="25"/>
  <c r="BK187" i="25"/>
  <c r="BY234" i="25"/>
  <c r="CA234" i="25" s="1"/>
  <c r="CB234" i="25" s="1"/>
  <c r="BL234" i="25"/>
  <c r="BK234" i="25"/>
  <c r="AJ338" i="29"/>
  <c r="AK338" i="29" s="1"/>
  <c r="AA339" i="29"/>
  <c r="BL315" i="25"/>
  <c r="BY315" i="25"/>
  <c r="CA315" i="25" s="1"/>
  <c r="CB315" i="25" s="1"/>
  <c r="BK315" i="25"/>
  <c r="AA134" i="29"/>
  <c r="AJ27" i="29"/>
  <c r="AK27" i="29" s="1"/>
  <c r="AA28" i="29"/>
  <c r="AJ515" i="29"/>
  <c r="AK515" i="29" s="1"/>
  <c r="AA516" i="29"/>
  <c r="AJ386" i="29"/>
  <c r="AK386" i="29" s="1"/>
  <c r="AA387" i="29"/>
  <c r="BY278" i="25"/>
  <c r="CA278" i="25" s="1"/>
  <c r="CB278" i="25" s="1"/>
  <c r="BL278" i="25"/>
  <c r="BK278" i="25"/>
  <c r="BL130" i="25"/>
  <c r="BY130" i="25"/>
  <c r="CA130" i="25" s="1"/>
  <c r="CB130" i="25" s="1"/>
  <c r="BK130" i="25"/>
  <c r="AA125" i="29"/>
  <c r="AJ124" i="29"/>
  <c r="AK124" i="29" s="1"/>
  <c r="BY73" i="25"/>
  <c r="CA73" i="25" s="1"/>
  <c r="CB73" i="25" s="1"/>
  <c r="BL73" i="25"/>
  <c r="BL193" i="25"/>
  <c r="BY193" i="25"/>
  <c r="CA193" i="25" s="1"/>
  <c r="BK193" i="25"/>
  <c r="BL169" i="25"/>
  <c r="BY169" i="25"/>
  <c r="CA169" i="25" s="1"/>
  <c r="BK169" i="25"/>
  <c r="AJ613" i="29"/>
  <c r="AK613" i="29" s="1"/>
  <c r="AA613" i="29"/>
  <c r="AJ612" i="29"/>
  <c r="AK612" i="29" s="1"/>
  <c r="BY203" i="25"/>
  <c r="CA203" i="25" s="1"/>
  <c r="BL203" i="25"/>
  <c r="BK203" i="25"/>
  <c r="BL263" i="25"/>
  <c r="BY263" i="25"/>
  <c r="CA263" i="25" s="1"/>
  <c r="CB263" i="25" s="1"/>
  <c r="BK263" i="25"/>
  <c r="AA204" i="29"/>
  <c r="AJ203" i="29"/>
  <c r="AK203" i="29" s="1"/>
  <c r="AJ505" i="29"/>
  <c r="AK505" i="29" s="1"/>
  <c r="AA506" i="29"/>
  <c r="AJ560" i="29"/>
  <c r="AK560" i="29" s="1"/>
  <c r="AA561" i="29"/>
  <c r="AJ126" i="29"/>
  <c r="AK126" i="29" s="1"/>
  <c r="AA127" i="29"/>
  <c r="AA180" i="29"/>
  <c r="BL102" i="25"/>
  <c r="BY102" i="25"/>
  <c r="CA102" i="25" s="1"/>
  <c r="AJ243" i="29"/>
  <c r="AK243" i="29" s="1"/>
  <c r="AA244" i="29"/>
  <c r="AJ157" i="29"/>
  <c r="AK157" i="29" s="1"/>
  <c r="AA158" i="29"/>
  <c r="AJ80" i="29"/>
  <c r="AA81" i="29"/>
  <c r="BY245" i="25"/>
  <c r="CA245" i="25" s="1"/>
  <c r="CB245" i="25" s="1"/>
  <c r="BL245" i="25"/>
  <c r="BK245" i="25"/>
  <c r="AJ418" i="29"/>
  <c r="AK418" i="29" s="1"/>
  <c r="AA419" i="29"/>
  <c r="BL168" i="25"/>
  <c r="BY168" i="25"/>
  <c r="CA168" i="25" s="1"/>
  <c r="BK168" i="25"/>
  <c r="AJ593" i="29"/>
  <c r="AK593" i="29" s="1"/>
  <c r="AA594" i="29"/>
  <c r="BY122" i="25"/>
  <c r="CA122" i="25" s="1"/>
  <c r="CB122" i="25" s="1"/>
  <c r="BL122" i="25"/>
  <c r="BK122" i="25"/>
  <c r="BY209" i="25"/>
  <c r="CA209" i="25" s="1"/>
  <c r="BL209" i="25"/>
  <c r="BK209" i="25"/>
  <c r="AA572" i="29"/>
  <c r="AA39" i="29"/>
  <c r="AJ38" i="29"/>
  <c r="AK38" i="29" s="1"/>
  <c r="AJ237" i="29"/>
  <c r="AK237" i="29" s="1"/>
  <c r="AA238" i="29"/>
  <c r="AA560" i="29"/>
  <c r="AJ559" i="29"/>
  <c r="AK559" i="29" s="1"/>
  <c r="BL310" i="25"/>
  <c r="BY310" i="25"/>
  <c r="CA310" i="25" s="1"/>
  <c r="CB310" i="25" s="1"/>
  <c r="BK310" i="25"/>
  <c r="AA53" i="29"/>
  <c r="AJ275" i="29"/>
  <c r="AK275" i="29" s="1"/>
  <c r="AA276" i="29"/>
  <c r="AJ28" i="29"/>
  <c r="AK28" i="29" s="1"/>
  <c r="AA29" i="29"/>
  <c r="BY118" i="25"/>
  <c r="CA118" i="25" s="1"/>
  <c r="CB118" i="25" s="1"/>
  <c r="BL118" i="25"/>
  <c r="BK118" i="25"/>
  <c r="AA489" i="29"/>
  <c r="AJ488" i="29"/>
  <c r="AK488" i="29" s="1"/>
  <c r="AA33" i="29"/>
  <c r="AJ32" i="29"/>
  <c r="AK32" i="29" s="1"/>
  <c r="AA68" i="29"/>
  <c r="AJ67" i="29"/>
  <c r="AK67" i="29" s="1"/>
  <c r="AA146" i="29"/>
  <c r="AJ145" i="29"/>
  <c r="AK145" i="29" s="1"/>
  <c r="AA85" i="29"/>
  <c r="BY316" i="25"/>
  <c r="CA316" i="25" s="1"/>
  <c r="CB316" i="25" s="1"/>
  <c r="BL316" i="25"/>
  <c r="BK316" i="25"/>
  <c r="BL176" i="25"/>
  <c r="BY176" i="25"/>
  <c r="CA176" i="25" s="1"/>
  <c r="BK176" i="25"/>
  <c r="BY35" i="25"/>
  <c r="CA35" i="25" s="1"/>
  <c r="CB35" i="25" s="1"/>
  <c r="BL35" i="25"/>
  <c r="AA577" i="29"/>
  <c r="AJ576" i="29"/>
  <c r="AK576" i="29" s="1"/>
  <c r="AA402" i="29"/>
  <c r="BL98" i="25"/>
  <c r="BY98" i="25"/>
  <c r="CA98" i="25" s="1"/>
  <c r="AJ292" i="29"/>
  <c r="AK292" i="29" s="1"/>
  <c r="AA293" i="29"/>
  <c r="AJ577" i="29"/>
  <c r="AK577" i="29" s="1"/>
  <c r="AA578" i="29"/>
  <c r="AA272" i="29"/>
  <c r="AJ271" i="29"/>
  <c r="AK271" i="29" s="1"/>
  <c r="AJ302" i="29"/>
  <c r="AK302" i="29" s="1"/>
  <c r="AA303" i="29"/>
  <c r="BY256" i="25"/>
  <c r="CA256" i="25" s="1"/>
  <c r="CB256" i="25" s="1"/>
  <c r="BL256" i="25"/>
  <c r="BK256" i="25"/>
  <c r="AA499" i="29"/>
  <c r="AA257" i="29"/>
  <c r="AJ256" i="29"/>
  <c r="AK256" i="29" s="1"/>
  <c r="AJ391" i="29"/>
  <c r="AK391" i="29" s="1"/>
  <c r="AA392" i="29"/>
  <c r="AJ247" i="29"/>
  <c r="AK247" i="29" s="1"/>
  <c r="AA248" i="29"/>
  <c r="BL50" i="25"/>
  <c r="BY50" i="25"/>
  <c r="CA50" i="25" s="1"/>
  <c r="CB50" i="25" s="1"/>
  <c r="BL153" i="25"/>
  <c r="BY153" i="25"/>
  <c r="CA153" i="25" s="1"/>
  <c r="BK153" i="25"/>
  <c r="BL253" i="25"/>
  <c r="BY253" i="25"/>
  <c r="CA253" i="25" s="1"/>
  <c r="CB253" i="25" s="1"/>
  <c r="BK253" i="25"/>
  <c r="AJ230" i="29"/>
  <c r="AK230" i="29" s="1"/>
  <c r="AA231" i="29"/>
  <c r="AA558" i="29"/>
  <c r="AJ363" i="29"/>
  <c r="AK363" i="29" s="1"/>
  <c r="AA364" i="29"/>
  <c r="AJ128" i="29"/>
  <c r="AK128" i="29" s="1"/>
  <c r="AA129" i="29"/>
  <c r="BL272" i="25"/>
  <c r="BY272" i="25"/>
  <c r="CA272" i="25" s="1"/>
  <c r="CB272" i="25" s="1"/>
  <c r="BK272" i="25"/>
  <c r="AJ510" i="29"/>
  <c r="AK510" i="29" s="1"/>
  <c r="AA511" i="29"/>
  <c r="BL91" i="25"/>
  <c r="BY91" i="25"/>
  <c r="CA91" i="25" s="1"/>
  <c r="CB91" i="25" s="1"/>
  <c r="AJ566" i="29"/>
  <c r="AK566" i="29" s="1"/>
  <c r="AA567" i="29"/>
  <c r="BY233" i="25"/>
  <c r="CA233" i="25" s="1"/>
  <c r="CB233" i="25" s="1"/>
  <c r="BL233" i="25"/>
  <c r="BK233" i="25"/>
  <c r="AA123" i="29"/>
  <c r="AJ582" i="29"/>
  <c r="AK582" i="29" s="1"/>
  <c r="AA583" i="29"/>
  <c r="BY270" i="25"/>
  <c r="CA270" i="25" s="1"/>
  <c r="CB270" i="25" s="1"/>
  <c r="BL270" i="25"/>
  <c r="BK270" i="25"/>
  <c r="AJ451" i="29"/>
  <c r="AK451" i="29" s="1"/>
  <c r="AA452" i="29"/>
  <c r="AA539" i="29"/>
  <c r="AJ538" i="29"/>
  <c r="AK538" i="29" s="1"/>
  <c r="BY22" i="25"/>
  <c r="CA22" i="25" s="1"/>
  <c r="CB22" i="25" s="1"/>
  <c r="BL22" i="25"/>
  <c r="BY56" i="25"/>
  <c r="CA56" i="25" s="1"/>
  <c r="BL56" i="25"/>
  <c r="AA102" i="29"/>
  <c r="AJ101" i="29"/>
  <c r="AK101" i="29" s="1"/>
  <c r="BY242" i="25"/>
  <c r="CA242" i="25" s="1"/>
  <c r="CB242" i="25" s="1"/>
  <c r="BL242" i="25"/>
  <c r="BK242" i="25"/>
  <c r="AA186" i="29"/>
  <c r="AA317" i="29"/>
  <c r="AJ316" i="29"/>
  <c r="AK316" i="29" s="1"/>
  <c r="AJ33" i="29"/>
  <c r="AK33" i="29" s="1"/>
  <c r="AA34" i="29"/>
  <c r="AA255" i="29"/>
  <c r="AA131" i="29"/>
  <c r="AA331" i="29"/>
  <c r="BL126" i="25"/>
  <c r="BY126" i="25"/>
  <c r="CA126" i="25" s="1"/>
  <c r="CB126" i="25" s="1"/>
  <c r="BK126" i="25"/>
  <c r="AA503" i="29"/>
  <c r="AA396" i="29"/>
  <c r="AJ395" i="29"/>
  <c r="AK395" i="29" s="1"/>
  <c r="BY10" i="25"/>
  <c r="CA10" i="25" s="1"/>
  <c r="CB10" i="25" s="1"/>
  <c r="BL10" i="25"/>
  <c r="AA274" i="29"/>
  <c r="AJ273" i="29"/>
  <c r="AK273" i="29" s="1"/>
  <c r="AJ71" i="29"/>
  <c r="AK71" i="29" s="1"/>
  <c r="AA72" i="29"/>
  <c r="AJ137" i="29"/>
  <c r="AK137" i="29" s="1"/>
  <c r="AA138" i="29"/>
  <c r="BY33" i="25"/>
  <c r="CA33" i="25" s="1"/>
  <c r="CB33" i="25" s="1"/>
  <c r="BL33" i="25"/>
  <c r="AA73" i="29"/>
  <c r="AJ72" i="29"/>
  <c r="AK72" i="29" s="1"/>
  <c r="BY63" i="25"/>
  <c r="CA63" i="25" s="1"/>
  <c r="CB63" i="25" s="1"/>
  <c r="BL63" i="25"/>
  <c r="AA515" i="29"/>
  <c r="AJ231" i="29"/>
  <c r="AK231" i="29" s="1"/>
  <c r="AA232" i="29"/>
  <c r="AJ472" i="29"/>
  <c r="AK472" i="29" s="1"/>
  <c r="AA473" i="29"/>
  <c r="AA214" i="29"/>
  <c r="BY289" i="25"/>
  <c r="CA289" i="25" s="1"/>
  <c r="CB289" i="25" s="1"/>
  <c r="BL289" i="25"/>
  <c r="BK289" i="25"/>
  <c r="AJ236" i="29"/>
  <c r="AK236" i="29" s="1"/>
  <c r="AA237" i="29"/>
  <c r="BY239" i="25"/>
  <c r="CA239" i="25" s="1"/>
  <c r="CB239" i="25" s="1"/>
  <c r="BL239" i="25"/>
  <c r="BK239" i="25"/>
  <c r="BL231" i="25"/>
  <c r="BY231" i="25"/>
  <c r="CA231" i="25" s="1"/>
  <c r="CB231" i="25" s="1"/>
  <c r="BK231" i="25"/>
  <c r="AJ180" i="29"/>
  <c r="AK180" i="29" s="1"/>
  <c r="AA181" i="29"/>
  <c r="BY44" i="25"/>
  <c r="CA44" i="25" s="1"/>
  <c r="CB44" i="25" s="1"/>
  <c r="BL44" i="25"/>
  <c r="AA329" i="29"/>
  <c r="AJ328" i="29"/>
  <c r="AK328" i="29" s="1"/>
  <c r="AJ484" i="29"/>
  <c r="AK484" i="29" s="1"/>
  <c r="AA485" i="29"/>
  <c r="AJ318" i="29"/>
  <c r="AK318" i="29" s="1"/>
  <c r="AA319" i="29"/>
  <c r="AJ552" i="29"/>
  <c r="AK552" i="29" s="1"/>
  <c r="AA553" i="29"/>
  <c r="BY76" i="25"/>
  <c r="CA76" i="25" s="1"/>
  <c r="CB76" i="25" s="1"/>
  <c r="BL76" i="25"/>
  <c r="AJ331" i="29"/>
  <c r="AK331" i="29" s="1"/>
  <c r="AA332" i="29"/>
  <c r="BL157" i="25"/>
  <c r="BY157" i="25"/>
  <c r="CA157" i="25" s="1"/>
  <c r="CB157" i="25" s="1"/>
  <c r="BK157" i="25"/>
  <c r="AA451" i="29"/>
  <c r="AJ436" i="29"/>
  <c r="AK436" i="29" s="1"/>
  <c r="AA437" i="29"/>
  <c r="BL8" i="25"/>
  <c r="BY8" i="25"/>
  <c r="CA8" i="25" s="1"/>
  <c r="CB8" i="25" s="1"/>
  <c r="BL281" i="25"/>
  <c r="BY281" i="25"/>
  <c r="CA281" i="25" s="1"/>
  <c r="CB281" i="25" s="1"/>
  <c r="BK281" i="25"/>
  <c r="BY79" i="25"/>
  <c r="CA79" i="25" s="1"/>
  <c r="BL79" i="25"/>
  <c r="AA267" i="29"/>
  <c r="AJ266" i="29"/>
  <c r="AK266" i="29" s="1"/>
  <c r="BL271" i="25"/>
  <c r="BY271" i="25"/>
  <c r="CA271" i="25" s="1"/>
  <c r="CB271" i="25" s="1"/>
  <c r="BK271" i="25"/>
  <c r="AJ246" i="29"/>
  <c r="AK246" i="29" s="1"/>
  <c r="AA247" i="29"/>
  <c r="AA407" i="29"/>
  <c r="BY226" i="25"/>
  <c r="CA226" i="25" s="1"/>
  <c r="CB226" i="25" s="1"/>
  <c r="BL226" i="25"/>
  <c r="BK226" i="25"/>
  <c r="AA454" i="29"/>
  <c r="AJ453" i="29"/>
  <c r="AK453" i="29" s="1"/>
  <c r="BY55" i="25"/>
  <c r="CA55" i="25" s="1"/>
  <c r="BL55" i="25"/>
  <c r="BY241" i="25"/>
  <c r="CA241" i="25" s="1"/>
  <c r="CB241" i="25" s="1"/>
  <c r="BL241" i="25"/>
  <c r="BK241" i="25"/>
  <c r="BY88" i="25"/>
  <c r="CA88" i="25" s="1"/>
  <c r="CB88" i="25" s="1"/>
  <c r="BL88" i="25"/>
  <c r="AA285" i="29"/>
  <c r="AJ284" i="29"/>
  <c r="AK284" i="29" s="1"/>
  <c r="BY51" i="25"/>
  <c r="CA51" i="25" s="1"/>
  <c r="CB51" i="25" s="1"/>
  <c r="BL51" i="25"/>
  <c r="AJ589" i="29"/>
  <c r="AK589" i="29" s="1"/>
  <c r="AA590" i="29"/>
  <c r="AA217" i="29"/>
  <c r="BL208" i="25"/>
  <c r="BY208" i="25"/>
  <c r="CA208" i="25" s="1"/>
  <c r="BK208" i="25"/>
  <c r="AA586" i="29"/>
  <c r="BY205" i="25"/>
  <c r="CA205" i="25" s="1"/>
  <c r="BL205" i="25"/>
  <c r="BK205" i="25"/>
  <c r="AA413" i="29"/>
  <c r="AA294" i="29"/>
  <c r="AJ293" i="29"/>
  <c r="AK293" i="29" s="1"/>
  <c r="BY9" i="25"/>
  <c r="CA9" i="25" s="1"/>
  <c r="CB9" i="25" s="1"/>
  <c r="BL9" i="25"/>
  <c r="AA476" i="29"/>
  <c r="AJ475" i="29"/>
  <c r="AK475" i="29" s="1"/>
  <c r="AA438" i="29"/>
  <c r="AJ437" i="29"/>
  <c r="AK437" i="29" s="1"/>
  <c r="BL228" i="25"/>
  <c r="BY228" i="25"/>
  <c r="CA228" i="25" s="1"/>
  <c r="CB228" i="25" s="1"/>
  <c r="BK228" i="25"/>
  <c r="AJ205" i="29"/>
  <c r="AK205" i="29" s="1"/>
  <c r="AA206" i="29"/>
  <c r="AJ607" i="29"/>
  <c r="AK607" i="29" s="1"/>
  <c r="AA608" i="29"/>
  <c r="AJ39" i="29"/>
  <c r="AK39" i="29" s="1"/>
  <c r="AA40" i="29"/>
  <c r="BY264" i="25"/>
  <c r="CA264" i="25" s="1"/>
  <c r="CB264" i="25" s="1"/>
  <c r="BL264" i="25"/>
  <c r="BK264" i="25"/>
  <c r="AJ486" i="29"/>
  <c r="AK486" i="29" s="1"/>
  <c r="AA487" i="29"/>
  <c r="AA535" i="29"/>
  <c r="AJ534" i="29"/>
  <c r="AK534" i="29" s="1"/>
  <c r="BY200" i="25"/>
  <c r="CA200" i="25" s="1"/>
  <c r="BL200" i="25"/>
  <c r="BK200" i="25"/>
  <c r="AA408" i="29"/>
  <c r="AJ407" i="29"/>
  <c r="AK407" i="29" s="1"/>
  <c r="BL162" i="25"/>
  <c r="BY162" i="25"/>
  <c r="CA162" i="25" s="1"/>
  <c r="CB162" i="25" s="1"/>
  <c r="BK162" i="25"/>
  <c r="BY84" i="25"/>
  <c r="CA84" i="25" s="1"/>
  <c r="CB84" i="25" s="1"/>
  <c r="BL84" i="25"/>
  <c r="AA471" i="29"/>
  <c r="AJ470" i="29"/>
  <c r="AK470" i="29" s="1"/>
  <c r="AA236" i="29"/>
  <c r="AJ235" i="29"/>
  <c r="AK235" i="29" s="1"/>
  <c r="BY254" i="25"/>
  <c r="CA254" i="25" s="1"/>
  <c r="CB254" i="25" s="1"/>
  <c r="BL254" i="25"/>
  <c r="BK254" i="25"/>
  <c r="BL185" i="25"/>
  <c r="BY185" i="25"/>
  <c r="CA185" i="25" s="1"/>
  <c r="BK185" i="25"/>
  <c r="BY48" i="25"/>
  <c r="CA48" i="25" s="1"/>
  <c r="CB48" i="25" s="1"/>
  <c r="BL48" i="25"/>
  <c r="AA97" i="29"/>
  <c r="AJ96" i="29"/>
  <c r="AK96" i="29" s="1"/>
  <c r="AA271" i="29"/>
  <c r="BL26" i="25"/>
  <c r="BY26" i="25"/>
  <c r="CA26" i="25" s="1"/>
  <c r="CB26" i="25" s="1"/>
  <c r="AA279" i="29"/>
  <c r="BL27" i="25"/>
  <c r="BY27" i="25"/>
  <c r="CA27" i="25" s="1"/>
  <c r="CB27" i="25" s="1"/>
  <c r="BL301" i="25"/>
  <c r="BY301" i="25"/>
  <c r="CA301" i="25" s="1"/>
  <c r="CB301" i="25" s="1"/>
  <c r="BK301" i="25"/>
  <c r="BY303" i="25"/>
  <c r="CA303" i="25" s="1"/>
  <c r="CB303" i="25" s="1"/>
  <c r="BL303" i="25"/>
  <c r="BK303" i="25"/>
  <c r="AA141" i="29"/>
  <c r="BL287" i="25"/>
  <c r="BY287" i="25"/>
  <c r="CA287" i="25" s="1"/>
  <c r="CB287" i="25" s="1"/>
  <c r="BK287" i="25"/>
  <c r="AJ135" i="29"/>
  <c r="AK135" i="29" s="1"/>
  <c r="AA136" i="29"/>
  <c r="AJ298" i="29"/>
  <c r="AK298" i="29" s="1"/>
  <c r="AA299" i="29"/>
  <c r="BL136" i="25"/>
  <c r="BY136" i="25"/>
  <c r="CA136" i="25" s="1"/>
  <c r="CB136" i="25" s="1"/>
  <c r="BK136" i="25"/>
  <c r="AA352" i="29"/>
  <c r="AJ468" i="29"/>
  <c r="AK468" i="29" s="1"/>
  <c r="AA469" i="29"/>
  <c r="AJ282" i="29"/>
  <c r="AK282" i="29" s="1"/>
  <c r="AA283" i="29"/>
  <c r="AA512" i="29"/>
  <c r="AJ511" i="29"/>
  <c r="AK511" i="29" s="1"/>
  <c r="BY38" i="25"/>
  <c r="CA38" i="25" s="1"/>
  <c r="CB38" i="25" s="1"/>
  <c r="BL38" i="25"/>
  <c r="BY16" i="25"/>
  <c r="CA16" i="25" s="1"/>
  <c r="CB16" i="25" s="1"/>
  <c r="BL16" i="25"/>
  <c r="BY181" i="25"/>
  <c r="CA181" i="25" s="1"/>
  <c r="BL181" i="25"/>
  <c r="BK181" i="25"/>
  <c r="AJ487" i="29"/>
  <c r="AK487" i="29" s="1"/>
  <c r="AA488" i="29"/>
  <c r="AA220" i="29"/>
  <c r="BY172" i="25"/>
  <c r="CA172" i="25" s="1"/>
  <c r="BL172" i="25"/>
  <c r="BK172" i="25"/>
  <c r="AA449" i="29"/>
  <c r="AA534" i="29"/>
  <c r="BY100" i="25"/>
  <c r="CA100" i="25" s="1"/>
  <c r="CB100" i="25" s="1"/>
  <c r="BL100" i="25"/>
  <c r="AJ286" i="29"/>
  <c r="AK286" i="29" s="1"/>
  <c r="AA287" i="29"/>
  <c r="AA390" i="29"/>
  <c r="AJ389" i="29"/>
  <c r="AK389" i="29" s="1"/>
  <c r="AJ563" i="29"/>
  <c r="AK563" i="29" s="1"/>
  <c r="AA564" i="29"/>
  <c r="BY134" i="25"/>
  <c r="CA134" i="25" s="1"/>
  <c r="CB134" i="25" s="1"/>
  <c r="BL134" i="25"/>
  <c r="BK134" i="25"/>
  <c r="AA443" i="29"/>
  <c r="AJ442" i="29"/>
  <c r="AK442" i="29" s="1"/>
  <c r="AA374" i="29"/>
  <c r="AJ100" i="29"/>
  <c r="AK100" i="29" s="1"/>
  <c r="AA101" i="29"/>
  <c r="AJ248" i="29"/>
  <c r="AK248" i="29" s="1"/>
  <c r="AA249" i="29"/>
  <c r="AA551" i="29"/>
  <c r="AJ550" i="29"/>
  <c r="AK550" i="29" s="1"/>
  <c r="AA161" i="29"/>
  <c r="AJ160" i="29"/>
  <c r="AK160" i="29" s="1"/>
  <c r="AA501" i="29"/>
  <c r="AJ500" i="29"/>
  <c r="AK500" i="29" s="1"/>
  <c r="AA108" i="29"/>
  <c r="BL160" i="25"/>
  <c r="BY160" i="25"/>
  <c r="CA160" i="25" s="1"/>
  <c r="BK160" i="25"/>
  <c r="AA344" i="29"/>
  <c r="AJ385" i="29"/>
  <c r="AK385" i="29" s="1"/>
  <c r="AA386" i="29"/>
  <c r="AA17" i="29"/>
  <c r="AJ16" i="29"/>
  <c r="AK16" i="29" s="1"/>
  <c r="BY308" i="25"/>
  <c r="CA308" i="25" s="1"/>
  <c r="CB308" i="25" s="1"/>
  <c r="BL308" i="25"/>
  <c r="BK308" i="25"/>
  <c r="BY135" i="25"/>
  <c r="CA135" i="25" s="1"/>
  <c r="BL135" i="25"/>
  <c r="BK135" i="25"/>
  <c r="AA151" i="29"/>
  <c r="AA570" i="29"/>
  <c r="AJ569" i="29"/>
  <c r="AK569" i="29" s="1"/>
  <c r="AA446" i="29"/>
  <c r="AJ445" i="29"/>
  <c r="AK445" i="29" s="1"/>
  <c r="BY309" i="25"/>
  <c r="CA309" i="25" s="1"/>
  <c r="CB309" i="25" s="1"/>
  <c r="BL309" i="25"/>
  <c r="BK309" i="25"/>
  <c r="BL74" i="25"/>
  <c r="BY74" i="25"/>
  <c r="CA74" i="25" s="1"/>
  <c r="AJ259" i="29"/>
  <c r="AK259" i="29" s="1"/>
  <c r="AA260" i="29"/>
  <c r="AA555" i="29"/>
  <c r="AJ554" i="29"/>
  <c r="AK554" i="29" s="1"/>
  <c r="AA316" i="29"/>
  <c r="AA532" i="29"/>
  <c r="AJ87" i="29"/>
  <c r="AK87" i="29" s="1"/>
  <c r="AA88" i="29"/>
  <c r="AA468" i="29"/>
  <c r="AJ467" i="29"/>
  <c r="AK467" i="29" s="1"/>
  <c r="BY216" i="25"/>
  <c r="CA216" i="25" s="1"/>
  <c r="CB216" i="25" s="1"/>
  <c r="BL216" i="25"/>
  <c r="BK216" i="25"/>
  <c r="AA261" i="29"/>
  <c r="AJ260" i="29"/>
  <c r="AK260" i="29" s="1"/>
  <c r="AA103" i="29"/>
  <c r="AJ102" i="29"/>
  <c r="AK102" i="29" s="1"/>
  <c r="AA44" i="29"/>
  <c r="AJ43" i="29"/>
  <c r="AK43" i="29" s="1"/>
  <c r="BL123" i="25"/>
  <c r="BY123" i="25"/>
  <c r="CA123" i="25" s="1"/>
  <c r="CB123" i="25" s="1"/>
  <c r="BK123" i="25"/>
  <c r="AA328" i="29"/>
  <c r="AJ327" i="29"/>
  <c r="AK327" i="29" s="1"/>
  <c r="AJ537" i="29"/>
  <c r="AK537" i="29" s="1"/>
  <c r="AA538" i="29"/>
  <c r="AA269" i="29"/>
  <c r="AJ268" i="29"/>
  <c r="AK268" i="29" s="1"/>
  <c r="AA420" i="29"/>
  <c r="AJ419" i="29"/>
  <c r="AK419" i="29" s="1"/>
  <c r="BY244" i="25"/>
  <c r="CA244" i="25" s="1"/>
  <c r="CB244" i="25" s="1"/>
  <c r="BL244" i="25"/>
  <c r="BK244" i="25"/>
  <c r="BL236" i="25"/>
  <c r="BY236" i="25"/>
  <c r="CA236" i="25" s="1"/>
  <c r="CB236" i="25" s="1"/>
  <c r="BK236" i="25"/>
  <c r="AJ366" i="29"/>
  <c r="AK366" i="29" s="1"/>
  <c r="AA367" i="29"/>
  <c r="BY279" i="25"/>
  <c r="CA279" i="25" s="1"/>
  <c r="CB279" i="25" s="1"/>
  <c r="BL279" i="25"/>
  <c r="BK279" i="25"/>
  <c r="AJ144" i="29"/>
  <c r="AK144" i="29" s="1"/>
  <c r="AA145" i="29"/>
  <c r="AA327" i="29"/>
  <c r="AA174" i="29"/>
  <c r="AJ173" i="29"/>
  <c r="AK173" i="29" s="1"/>
  <c r="BY61" i="25"/>
  <c r="CA61" i="25" s="1"/>
  <c r="CB61" i="25" s="1"/>
  <c r="BL61" i="25"/>
  <c r="BY49" i="25"/>
  <c r="CA49" i="25" s="1"/>
  <c r="CB49" i="25" s="1"/>
  <c r="BL49" i="25"/>
  <c r="AA436" i="29"/>
  <c r="AJ435" i="29"/>
  <c r="AK435" i="29" s="1"/>
  <c r="AJ455" i="29"/>
  <c r="AK455" i="29" s="1"/>
  <c r="AA456" i="29"/>
  <c r="AJ172" i="29"/>
  <c r="AK172" i="29" s="1"/>
  <c r="AA173" i="29"/>
  <c r="BY266" i="25"/>
  <c r="CA266" i="25" s="1"/>
  <c r="CB266" i="25" s="1"/>
  <c r="BL266" i="25"/>
  <c r="BK266" i="25"/>
  <c r="BY159" i="25"/>
  <c r="CA159" i="25" s="1"/>
  <c r="BL159" i="25"/>
  <c r="BK159" i="25"/>
  <c r="AJ456" i="29"/>
  <c r="AK456" i="29" s="1"/>
  <c r="AA457" i="29"/>
  <c r="AA423" i="29"/>
  <c r="AJ454" i="29"/>
  <c r="AK454" i="29" s="1"/>
  <c r="AA455" i="29"/>
  <c r="AA609" i="29"/>
  <c r="AJ608" i="29"/>
  <c r="AK608" i="29" s="1"/>
  <c r="AJ85" i="29"/>
  <c r="AK85" i="29" s="1"/>
  <c r="AA86" i="29"/>
  <c r="BL297" i="25"/>
  <c r="BY297" i="25"/>
  <c r="CA297" i="25" s="1"/>
  <c r="CB297" i="25" s="1"/>
  <c r="BK297" i="25"/>
  <c r="AJ394" i="29"/>
  <c r="AK394" i="29" s="1"/>
  <c r="AA395" i="29"/>
  <c r="AA143" i="29"/>
  <c r="AJ605" i="29"/>
  <c r="AK605" i="29" s="1"/>
  <c r="AA606" i="29"/>
  <c r="BY141" i="25"/>
  <c r="CA141" i="25" s="1"/>
  <c r="CB141" i="25" s="1"/>
  <c r="BL141" i="25"/>
  <c r="BK141" i="25"/>
  <c r="BY19" i="25"/>
  <c r="CA19" i="25" s="1"/>
  <c r="CB19" i="25" s="1"/>
  <c r="BL19" i="25"/>
  <c r="AA163" i="29"/>
  <c r="AJ162" i="29"/>
  <c r="AK162" i="29" s="1"/>
  <c r="AJ367" i="29"/>
  <c r="AK367" i="29" s="1"/>
  <c r="AA368" i="29"/>
  <c r="AA388" i="29"/>
  <c r="AJ387" i="29"/>
  <c r="AK387" i="29" s="1"/>
  <c r="AA194" i="29"/>
  <c r="AJ193" i="29"/>
  <c r="AK193" i="29" s="1"/>
  <c r="AA385" i="29"/>
  <c r="AJ384" i="29"/>
  <c r="AK384" i="29" s="1"/>
  <c r="AA61" i="29"/>
  <c r="AJ60" i="29"/>
  <c r="AK60" i="29" s="1"/>
  <c r="AJ553" i="29"/>
  <c r="AK553" i="29" s="1"/>
  <c r="AA554" i="29"/>
  <c r="AA155" i="29"/>
  <c r="BY197" i="25"/>
  <c r="CA197" i="25" s="1"/>
  <c r="CB197" i="25" s="1"/>
  <c r="BL197" i="25"/>
  <c r="BK197" i="25"/>
  <c r="BY268" i="25"/>
  <c r="CA268" i="25" s="1"/>
  <c r="CB268" i="25" s="1"/>
  <c r="BL268" i="25"/>
  <c r="BK268" i="25"/>
  <c r="BY137" i="25"/>
  <c r="CA137" i="25" s="1"/>
  <c r="CB137" i="25" s="1"/>
  <c r="BL137" i="25"/>
  <c r="BK137" i="25"/>
  <c r="AJ344" i="29"/>
  <c r="AK344" i="29" s="1"/>
  <c r="AA345" i="29"/>
  <c r="BY57" i="25"/>
  <c r="CA57" i="25" s="1"/>
  <c r="CB57" i="25" s="1"/>
  <c r="BL57" i="25"/>
  <c r="BL218" i="25"/>
  <c r="BY218" i="25"/>
  <c r="CA218" i="25" s="1"/>
  <c r="CB218" i="25" s="1"/>
  <c r="BK218" i="25"/>
  <c r="AA225" i="29"/>
  <c r="AJ224" i="29"/>
  <c r="AK224" i="29" s="1"/>
  <c r="AA376" i="29"/>
  <c r="AA71" i="29"/>
  <c r="AA504" i="29"/>
  <c r="AJ503" i="29"/>
  <c r="AK503" i="29" s="1"/>
  <c r="AJ540" i="29"/>
  <c r="AK540" i="29" s="1"/>
  <c r="AA541" i="29"/>
  <c r="BY165" i="25"/>
  <c r="CA165" i="25" s="1"/>
  <c r="BL165" i="25"/>
  <c r="BK165" i="25"/>
  <c r="AA394" i="29"/>
  <c r="AJ393" i="29"/>
  <c r="AK393" i="29" s="1"/>
  <c r="AA14" i="29"/>
  <c r="AA478" i="29"/>
  <c r="AJ477" i="29"/>
  <c r="AK477" i="29" s="1"/>
  <c r="BL285" i="25"/>
  <c r="BY285" i="25"/>
  <c r="CA285" i="25" s="1"/>
  <c r="CB285" i="25" s="1"/>
  <c r="BK285" i="25"/>
  <c r="AA464" i="29"/>
  <c r="AA349" i="29"/>
  <c r="AA253" i="29"/>
  <c r="AJ252" i="29"/>
  <c r="AK252" i="29" s="1"/>
  <c r="BY145" i="25"/>
  <c r="CA145" i="25" s="1"/>
  <c r="CB145" i="25" s="1"/>
  <c r="BL145" i="25"/>
  <c r="BK145" i="25"/>
  <c r="AJ578" i="29"/>
  <c r="AK578" i="29" s="1"/>
  <c r="AA579" i="29"/>
  <c r="AA563" i="29"/>
  <c r="AA191" i="29"/>
  <c r="AJ190" i="29"/>
  <c r="AK190" i="29" s="1"/>
  <c r="AA414" i="29"/>
  <c r="AJ413" i="29"/>
  <c r="AK413" i="29" s="1"/>
  <c r="AJ103" i="29"/>
  <c r="AK103" i="29" s="1"/>
  <c r="AA104" i="29"/>
  <c r="AJ361" i="29"/>
  <c r="AK361" i="29" s="1"/>
  <c r="AA362" i="29"/>
  <c r="BY302" i="25"/>
  <c r="CA302" i="25" s="1"/>
  <c r="CB302" i="25" s="1"/>
  <c r="BL302" i="25"/>
  <c r="BK302" i="25"/>
  <c r="AA16" i="29"/>
  <c r="AJ261" i="29"/>
  <c r="AK261" i="29" s="1"/>
  <c r="AA262" i="29"/>
  <c r="AA494" i="29"/>
  <c r="BY86" i="25"/>
  <c r="CA86" i="25" s="1"/>
  <c r="CB86" i="25" s="1"/>
  <c r="BL86" i="25"/>
  <c r="BL93" i="25"/>
  <c r="BY93" i="25"/>
  <c r="CA93" i="25" s="1"/>
  <c r="CB93" i="25" s="1"/>
  <c r="BY116" i="25"/>
  <c r="CA116" i="25" s="1"/>
  <c r="CB116" i="25" s="1"/>
  <c r="BL116" i="25"/>
  <c r="BK116" i="25"/>
  <c r="AA265" i="29"/>
  <c r="AJ264" i="29"/>
  <c r="AK264" i="29" s="1"/>
  <c r="AA182" i="29"/>
  <c r="AJ181" i="29"/>
  <c r="AK181" i="29" s="1"/>
  <c r="AJ29" i="29"/>
  <c r="AK29" i="29" s="1"/>
  <c r="AA30" i="29"/>
  <c r="AA76" i="29"/>
  <c r="AA549" i="29"/>
  <c r="AJ548" i="29"/>
  <c r="AK548" i="29" s="1"/>
  <c r="AA459" i="29"/>
  <c r="AJ458" i="29"/>
  <c r="AK458" i="29" s="1"/>
  <c r="AA78" i="29"/>
  <c r="AJ77" i="29"/>
  <c r="AK77" i="29" s="1"/>
  <c r="BY210" i="25"/>
  <c r="CA210" i="25" s="1"/>
  <c r="BL210" i="25"/>
  <c r="BK210" i="25"/>
  <c r="AA223" i="29"/>
  <c r="BL224" i="25"/>
  <c r="BY224" i="25"/>
  <c r="CA224" i="25" s="1"/>
  <c r="CB224" i="25" s="1"/>
  <c r="BK224" i="25"/>
  <c r="AJ461" i="29"/>
  <c r="AK461" i="29" s="1"/>
  <c r="AA462" i="29"/>
  <c r="BY312" i="25"/>
  <c r="CA312" i="25" s="1"/>
  <c r="CB312" i="25" s="1"/>
  <c r="BL312" i="25"/>
  <c r="BK312" i="25"/>
  <c r="AJ376" i="29"/>
  <c r="AK376" i="29" s="1"/>
  <c r="AA377" i="29"/>
  <c r="AJ195" i="29"/>
  <c r="AK195" i="29" s="1"/>
  <c r="AA196" i="29"/>
  <c r="BL99" i="25"/>
  <c r="BY99" i="25"/>
  <c r="CA99" i="25" s="1"/>
  <c r="CB99" i="25" s="1"/>
  <c r="AA550" i="29"/>
  <c r="AJ549" i="29"/>
  <c r="AK549" i="29" s="1"/>
  <c r="AA209" i="29"/>
  <c r="AJ208" i="29"/>
  <c r="AK208" i="29" s="1"/>
  <c r="AA295" i="29"/>
  <c r="AJ294" i="29"/>
  <c r="AK294" i="29" s="1"/>
  <c r="AJ226" i="29"/>
  <c r="AK226" i="29" s="1"/>
  <c r="AA227" i="29"/>
  <c r="AA27" i="29"/>
  <c r="AA19" i="29"/>
  <c r="AJ18" i="29"/>
  <c r="AK18" i="29" s="1"/>
  <c r="AA380" i="29"/>
  <c r="AJ379" i="29"/>
  <c r="AK379" i="29" s="1"/>
  <c r="AA601" i="29"/>
  <c r="AJ600" i="29"/>
  <c r="AK600" i="29" s="1"/>
  <c r="AA137" i="29"/>
  <c r="AJ136" i="29"/>
  <c r="AK136" i="29" s="1"/>
  <c r="AA273" i="29"/>
  <c r="AJ272" i="29"/>
  <c r="AK272" i="29" s="1"/>
  <c r="AA426" i="29"/>
  <c r="AJ425" i="29"/>
  <c r="AK425" i="29" s="1"/>
  <c r="BL128" i="25"/>
  <c r="BY128" i="25"/>
  <c r="CA128" i="25" s="1"/>
  <c r="CB128" i="25" s="1"/>
  <c r="BK128" i="25"/>
  <c r="BY15" i="25"/>
  <c r="CA15" i="25" s="1"/>
  <c r="CB15" i="25" s="1"/>
  <c r="BL15" i="25"/>
  <c r="AA74" i="29"/>
  <c r="AJ73" i="29"/>
  <c r="AK73" i="29" s="1"/>
  <c r="BY64" i="25"/>
  <c r="CA64" i="25" s="1"/>
  <c r="BL64" i="25"/>
  <c r="AA176" i="29"/>
  <c r="AJ175" i="29"/>
  <c r="AK175" i="29" s="1"/>
  <c r="AA346" i="29"/>
  <c r="AJ345" i="29"/>
  <c r="AK345" i="29" s="1"/>
  <c r="BL60" i="25"/>
  <c r="BY60" i="25"/>
  <c r="CA60" i="25" s="1"/>
  <c r="CB60" i="25" s="1"/>
  <c r="AJ267" i="29"/>
  <c r="AK267" i="29" s="1"/>
  <c r="AA268" i="29"/>
  <c r="BY151" i="25"/>
  <c r="CA151" i="25" s="1"/>
  <c r="BL151" i="25"/>
  <c r="BK151" i="25"/>
  <c r="AJ111" i="29"/>
  <c r="AK111" i="29" s="1"/>
  <c r="AA112" i="29"/>
  <c r="AA415" i="29"/>
  <c r="AJ414" i="29"/>
  <c r="AK414" i="29" s="1"/>
  <c r="AA482" i="29"/>
  <c r="AJ481" i="29"/>
  <c r="AK481" i="29" s="1"/>
  <c r="AJ65" i="29"/>
  <c r="AK65" i="29" s="1"/>
  <c r="AA66" i="29"/>
  <c r="AA35" i="29"/>
  <c r="AJ34" i="29"/>
  <c r="AK34" i="29" s="1"/>
  <c r="AJ287" i="29"/>
  <c r="AK287" i="29" s="1"/>
  <c r="AA288" i="29"/>
  <c r="AA337" i="29"/>
  <c r="AA442" i="29"/>
  <c r="AA188" i="29"/>
  <c r="BY290" i="25"/>
  <c r="CA290" i="25" s="1"/>
  <c r="CB290" i="25" s="1"/>
  <c r="BL290" i="25"/>
  <c r="BK290" i="25"/>
  <c r="AG585" i="29"/>
  <c r="W585" i="29"/>
  <c r="AJ585" i="29" s="1"/>
  <c r="AK585" i="29" s="1"/>
  <c r="BY195" i="25"/>
  <c r="CA195" i="25" s="1"/>
  <c r="CB195" i="25" s="1"/>
  <c r="BL195" i="25"/>
  <c r="BK195" i="25"/>
  <c r="AA192" i="29"/>
  <c r="AJ191" i="29"/>
  <c r="AK191" i="29" s="1"/>
  <c r="AJ143" i="29"/>
  <c r="AK143" i="29" s="1"/>
  <c r="AA144" i="29"/>
  <c r="AJ167" i="29"/>
  <c r="AK167" i="29" s="1"/>
  <c r="AA168" i="29"/>
  <c r="AA243" i="29"/>
  <c r="AJ281" i="29"/>
  <c r="AK281" i="29" s="1"/>
  <c r="AA282" i="29"/>
  <c r="AJ599" i="29"/>
  <c r="AK599" i="29" s="1"/>
  <c r="AA600" i="29"/>
  <c r="AA354" i="29"/>
  <c r="AJ551" i="29"/>
  <c r="AK551" i="29" s="1"/>
  <c r="AA552" i="29"/>
  <c r="AA537" i="29"/>
  <c r="AJ536" i="29"/>
  <c r="AK536" i="29" s="1"/>
  <c r="BY121" i="25"/>
  <c r="CA121" i="25" s="1"/>
  <c r="CB121" i="25" s="1"/>
  <c r="BL121" i="25"/>
  <c r="BK121" i="25"/>
  <c r="AA54" i="29"/>
  <c r="AJ53" i="29"/>
  <c r="AK53" i="29" s="1"/>
  <c r="AJ388" i="29"/>
  <c r="AK388" i="29" s="1"/>
  <c r="AA389" i="29"/>
  <c r="AA302" i="29"/>
  <c r="AA612" i="29"/>
  <c r="AJ611" i="29"/>
  <c r="AK611" i="29" s="1"/>
  <c r="BY182" i="25"/>
  <c r="CA182" i="25" s="1"/>
  <c r="BL182" i="25"/>
  <c r="BK182" i="25"/>
  <c r="AA21" i="29"/>
  <c r="AJ20" i="29"/>
  <c r="AK20" i="29" s="1"/>
  <c r="AA45" i="29"/>
  <c r="AJ44" i="29"/>
  <c r="AK44" i="29" s="1"/>
  <c r="AA256" i="29"/>
  <c r="AJ255" i="29"/>
  <c r="AK255" i="29" s="1"/>
  <c r="AJ59" i="29"/>
  <c r="AK59" i="29" s="1"/>
  <c r="AA60" i="29"/>
  <c r="BY227" i="25"/>
  <c r="CA227" i="25" s="1"/>
  <c r="CB227" i="25" s="1"/>
  <c r="BL227" i="25"/>
  <c r="BK227" i="25"/>
  <c r="AJ295" i="29"/>
  <c r="AK295" i="29" s="1"/>
  <c r="AA296" i="29"/>
  <c r="BY269" i="25"/>
  <c r="CA269" i="25" s="1"/>
  <c r="CB269" i="25" s="1"/>
  <c r="BL269" i="25"/>
  <c r="BK269" i="25"/>
  <c r="AA589" i="29"/>
  <c r="AA298" i="29"/>
  <c r="AJ95" i="29"/>
  <c r="AK95" i="29" s="1"/>
  <c r="AA96" i="29"/>
  <c r="BL112" i="25"/>
  <c r="BY112" i="25"/>
  <c r="CA112" i="25" s="1"/>
  <c r="CB112" i="25" s="1"/>
  <c r="BK112" i="25"/>
  <c r="AA175" i="29"/>
  <c r="AJ174" i="29"/>
  <c r="AK174" i="29" s="1"/>
  <c r="AA178" i="29"/>
  <c r="BL304" i="25"/>
  <c r="BY304" i="25"/>
  <c r="CA304" i="25" s="1"/>
  <c r="CB304" i="25" s="1"/>
  <c r="BK304" i="25"/>
  <c r="AA370" i="29"/>
  <c r="BY307" i="25"/>
  <c r="CA307" i="25" s="1"/>
  <c r="CB307" i="25" s="1"/>
  <c r="BL307" i="25"/>
  <c r="BK307" i="25"/>
  <c r="BY230" i="25"/>
  <c r="CA230" i="25" s="1"/>
  <c r="CB230" i="25" s="1"/>
  <c r="BL230" i="25"/>
  <c r="BK230" i="25"/>
  <c r="AA518" i="29"/>
  <c r="AJ517" i="29"/>
  <c r="AK517" i="29" s="1"/>
  <c r="AJ19" i="29"/>
  <c r="AK19" i="29" s="1"/>
  <c r="AA20" i="29"/>
  <c r="BY274" i="25"/>
  <c r="CA274" i="25" s="1"/>
  <c r="CB274" i="25" s="1"/>
  <c r="BL274" i="25"/>
  <c r="BK274" i="25"/>
  <c r="AA24" i="29"/>
  <c r="AA258" i="29"/>
  <c r="AJ257" i="29"/>
  <c r="AK257" i="29" s="1"/>
  <c r="AA159" i="29"/>
  <c r="AJ158" i="29"/>
  <c r="AK158" i="29" s="1"/>
  <c r="BY295" i="25"/>
  <c r="CA295" i="25" s="1"/>
  <c r="CB295" i="25" s="1"/>
  <c r="BL295" i="25"/>
  <c r="BK295" i="25"/>
  <c r="AA479" i="29"/>
  <c r="AJ478" i="29"/>
  <c r="AK478" i="29" s="1"/>
  <c r="AA477" i="29"/>
  <c r="AJ476" i="29"/>
  <c r="AK476" i="29" s="1"/>
  <c r="AA333" i="29"/>
  <c r="AJ332" i="29"/>
  <c r="AK332" i="29" s="1"/>
  <c r="BL184" i="25"/>
  <c r="BY184" i="25"/>
  <c r="CA184" i="25" s="1"/>
  <c r="BK184" i="25"/>
  <c r="AA281" i="29"/>
  <c r="AJ50" i="29"/>
  <c r="AK50" i="29" s="1"/>
  <c r="AA51" i="29"/>
  <c r="BY120" i="25"/>
  <c r="CA120" i="25" s="1"/>
  <c r="CB120" i="25" s="1"/>
  <c r="BL120" i="25"/>
  <c r="BK120" i="25"/>
  <c r="AA545" i="29"/>
  <c r="AJ544" i="29"/>
  <c r="AK544" i="29" s="1"/>
  <c r="AA323" i="29"/>
  <c r="BY25" i="25"/>
  <c r="CA25" i="25" s="1"/>
  <c r="CB25" i="25" s="1"/>
  <c r="BL25" i="25"/>
  <c r="AA559" i="29"/>
  <c r="AJ558" i="29"/>
  <c r="AK558" i="29" s="1"/>
  <c r="BY115" i="25"/>
  <c r="CA115" i="25" s="1"/>
  <c r="CB115" i="25" s="1"/>
  <c r="BL115" i="25"/>
  <c r="BK115" i="25"/>
  <c r="BL249" i="25"/>
  <c r="BY249" i="25"/>
  <c r="CA249" i="25" s="1"/>
  <c r="CB249" i="25" s="1"/>
  <c r="BK249" i="25"/>
  <c r="AA171" i="29"/>
  <c r="AJ64" i="29"/>
  <c r="AK64" i="29" s="1"/>
  <c r="AA65" i="29"/>
  <c r="AA338" i="29"/>
  <c r="AJ337" i="29"/>
  <c r="AK337" i="29" s="1"/>
  <c r="AJ408" i="29"/>
  <c r="AK408" i="29" s="1"/>
  <c r="AA409" i="29"/>
  <c r="AA313" i="29"/>
  <c r="AA57" i="29"/>
  <c r="AA208" i="29"/>
  <c r="AJ134" i="29"/>
  <c r="AK134" i="29" s="1"/>
  <c r="AA135" i="29"/>
  <c r="AJ354" i="29"/>
  <c r="AK354" i="29" s="1"/>
  <c r="AA355" i="29"/>
  <c r="AJ364" i="29"/>
  <c r="AK364" i="29" s="1"/>
  <c r="AA365" i="29"/>
  <c r="AA36" i="29"/>
  <c r="AJ35" i="29"/>
  <c r="AK35" i="29" s="1"/>
  <c r="BY103" i="25"/>
  <c r="CA103" i="25" s="1"/>
  <c r="CB103" i="25" s="1"/>
  <c r="BL103" i="25"/>
  <c r="AJ274" i="29"/>
  <c r="AK274" i="29" s="1"/>
  <c r="AA275" i="29"/>
  <c r="AJ362" i="29"/>
  <c r="AK362" i="29" s="1"/>
  <c r="AA363" i="29"/>
  <c r="AA230" i="29"/>
  <c r="AJ229" i="29"/>
  <c r="AK229" i="29" s="1"/>
  <c r="AJ377" i="29"/>
  <c r="AK377" i="29" s="1"/>
  <c r="AA378" i="29"/>
  <c r="BY138" i="25"/>
  <c r="CA138" i="25" s="1"/>
  <c r="BL138" i="25"/>
  <c r="BK138" i="25"/>
  <c r="BY277" i="25"/>
  <c r="CA277" i="25" s="1"/>
  <c r="CB277" i="25" s="1"/>
  <c r="BL277" i="25"/>
  <c r="BK277" i="25"/>
  <c r="BL221" i="25"/>
  <c r="BY221" i="25"/>
  <c r="CA221" i="25" s="1"/>
  <c r="CB221" i="25" s="1"/>
  <c r="BK221" i="25"/>
  <c r="BY124" i="25"/>
  <c r="CA124" i="25" s="1"/>
  <c r="CB124" i="25" s="1"/>
  <c r="BL124" i="25"/>
  <c r="BK124" i="25"/>
  <c r="BY117" i="25"/>
  <c r="CA117" i="25" s="1"/>
  <c r="CB117" i="25" s="1"/>
  <c r="BL117" i="25"/>
  <c r="BK117" i="25"/>
  <c r="AA290" i="29"/>
  <c r="AA32" i="29"/>
  <c r="AJ31" i="29"/>
  <c r="AK31" i="29" s="1"/>
  <c r="AA42" i="29"/>
  <c r="AH585" i="29"/>
  <c r="X585" i="29"/>
  <c r="Y585" i="29" s="1"/>
  <c r="AA500" i="29"/>
  <c r="AJ499" i="29"/>
  <c r="AK499" i="29" s="1"/>
  <c r="BY70" i="25"/>
  <c r="CA70" i="25" s="1"/>
  <c r="CB70" i="25" s="1"/>
  <c r="BL70" i="25"/>
  <c r="AJ211" i="29"/>
  <c r="AK211" i="29" s="1"/>
  <c r="AA212" i="29"/>
  <c r="AA190" i="29"/>
  <c r="AJ189" i="29"/>
  <c r="AK189" i="29" s="1"/>
  <c r="BL196" i="25"/>
  <c r="BY196" i="25"/>
  <c r="CA196" i="25" s="1"/>
  <c r="BK196" i="25"/>
  <c r="AA581" i="29"/>
  <c r="AJ580" i="29"/>
  <c r="AK580" i="29" s="1"/>
  <c r="AA22" i="29"/>
  <c r="AJ21" i="29"/>
  <c r="AK21" i="29" s="1"/>
  <c r="AA548" i="29"/>
  <c r="BY66" i="25"/>
  <c r="CA66" i="25" s="1"/>
  <c r="CB66" i="25" s="1"/>
  <c r="BL66" i="25"/>
  <c r="AA574" i="29"/>
  <c r="AA119" i="29"/>
  <c r="AJ118" i="29"/>
  <c r="AK118" i="29" s="1"/>
  <c r="BY12" i="25"/>
  <c r="CA12" i="25" s="1"/>
  <c r="CB12" i="25" s="1"/>
  <c r="BL12" i="25"/>
  <c r="AA110" i="29"/>
  <c r="AA300" i="29"/>
  <c r="AJ299" i="29"/>
  <c r="AK299" i="29" s="1"/>
  <c r="AJ482" i="29"/>
  <c r="AK482" i="29" s="1"/>
  <c r="AA483" i="29"/>
  <c r="AA411" i="29"/>
  <c r="AA540" i="29"/>
  <c r="AJ539" i="29"/>
  <c r="AK539" i="29" s="1"/>
  <c r="BY132" i="25"/>
  <c r="CA132" i="25" s="1"/>
  <c r="BL132" i="25"/>
  <c r="BK132" i="25"/>
  <c r="AJ519" i="29"/>
  <c r="AK519" i="29" s="1"/>
  <c r="AA520" i="29"/>
  <c r="AA48" i="29"/>
  <c r="AJ47" i="29"/>
  <c r="AK47" i="29" s="1"/>
  <c r="AJ228" i="29"/>
  <c r="AK228" i="29" s="1"/>
  <c r="AA229" i="29"/>
  <c r="AA307" i="29"/>
  <c r="AJ306" i="29"/>
  <c r="AK306" i="29" s="1"/>
  <c r="BY17" i="25"/>
  <c r="CA17" i="25" s="1"/>
  <c r="CB17" i="25" s="1"/>
  <c r="BL17" i="25"/>
  <c r="BL164" i="25"/>
  <c r="BY164" i="25"/>
  <c r="CA164" i="25" s="1"/>
  <c r="BK164" i="25"/>
  <c r="BY152" i="25"/>
  <c r="CA152" i="25" s="1"/>
  <c r="CB152" i="25" s="1"/>
  <c r="BL152" i="25"/>
  <c r="BK152" i="25"/>
  <c r="AA106" i="29"/>
  <c r="AJ105" i="29"/>
  <c r="AK105" i="29" s="1"/>
  <c r="AA117" i="29"/>
  <c r="AA46" i="29"/>
  <c r="AJ45" i="29"/>
  <c r="AK45" i="29" s="1"/>
  <c r="AA580" i="29"/>
  <c r="AJ579" i="29"/>
  <c r="AK579" i="29" s="1"/>
  <c r="AA593" i="29"/>
  <c r="AJ592" i="29"/>
  <c r="AK592" i="29" s="1"/>
  <c r="AA189" i="29"/>
  <c r="AJ188" i="29"/>
  <c r="AK188" i="29" s="1"/>
  <c r="AJ265" i="29"/>
  <c r="AK265" i="29" s="1"/>
  <c r="AA266" i="29"/>
  <c r="AA126" i="29"/>
  <c r="AJ125" i="29"/>
  <c r="AK125" i="29" s="1"/>
  <c r="BY52" i="25"/>
  <c r="CA52" i="25" s="1"/>
  <c r="BL52" i="25"/>
  <c r="AA505" i="29"/>
  <c r="AJ504" i="29"/>
  <c r="AK504" i="29" s="1"/>
  <c r="AA602" i="29"/>
  <c r="AJ601" i="29"/>
  <c r="AK601" i="29" s="1"/>
  <c r="AJ232" i="29"/>
  <c r="AK232" i="29" s="1"/>
  <c r="AA233" i="29"/>
  <c r="AA484" i="29"/>
  <c r="AJ483" i="29"/>
  <c r="AK483" i="29" s="1"/>
  <c r="BL90" i="25"/>
  <c r="BY90" i="25"/>
  <c r="CA90" i="25" s="1"/>
  <c r="AA165" i="29"/>
  <c r="AA18" i="29"/>
  <c r="AJ17" i="29"/>
  <c r="AK17" i="29" s="1"/>
  <c r="AA510" i="29"/>
  <c r="AJ509" i="29"/>
  <c r="AK509" i="29" s="1"/>
  <c r="AA379" i="29"/>
  <c r="AJ378" i="29"/>
  <c r="AK378" i="29" s="1"/>
  <c r="AJ568" i="29"/>
  <c r="AK568" i="29" s="1"/>
  <c r="AA569" i="29"/>
  <c r="AA239" i="29"/>
  <c r="AJ238" i="29"/>
  <c r="AK238" i="29" s="1"/>
  <c r="AA536" i="29"/>
  <c r="AJ535" i="29"/>
  <c r="AK535" i="29" s="1"/>
  <c r="BL111" i="25"/>
  <c r="BY111" i="25"/>
  <c r="CA111" i="25" s="1"/>
  <c r="CB111" i="25" s="1"/>
  <c r="BK111" i="25"/>
  <c r="AA162" i="29"/>
  <c r="AJ161" i="29"/>
  <c r="AK161" i="29" s="1"/>
  <c r="AA366" i="29"/>
  <c r="AJ365" i="29"/>
  <c r="AK365" i="29" s="1"/>
  <c r="AJ545" i="29"/>
  <c r="AK545" i="29" s="1"/>
  <c r="AA546" i="29"/>
  <c r="BY166" i="25"/>
  <c r="CA166" i="25" s="1"/>
  <c r="BL166" i="25"/>
  <c r="BK166" i="25"/>
  <c r="AA470" i="29"/>
  <c r="AJ469" i="29"/>
  <c r="AK469" i="29" s="1"/>
  <c r="AJ508" i="29"/>
  <c r="AK508" i="29" s="1"/>
  <c r="AA509" i="29"/>
  <c r="AA62" i="29"/>
  <c r="AJ61" i="29"/>
  <c r="AK61" i="29" s="1"/>
  <c r="AA447" i="29"/>
  <c r="AJ446" i="29"/>
  <c r="AK446" i="29" s="1"/>
  <c r="AA152" i="29"/>
  <c r="AJ151" i="29"/>
  <c r="AK151" i="29" s="1"/>
  <c r="AA517" i="29"/>
  <c r="AJ516" i="29"/>
  <c r="AK516" i="29" s="1"/>
  <c r="AA308" i="29"/>
  <c r="AJ307" i="29"/>
  <c r="AK307" i="29" s="1"/>
  <c r="BY207" i="25"/>
  <c r="CA207" i="25" s="1"/>
  <c r="BL207" i="25"/>
  <c r="BK207" i="25"/>
  <c r="AA607" i="29"/>
  <c r="AJ606" i="29"/>
  <c r="AK606" i="29" s="1"/>
  <c r="AJ583" i="29"/>
  <c r="AK583" i="29" s="1"/>
  <c r="AA584" i="29"/>
  <c r="AA530" i="29"/>
  <c r="BY7" i="25"/>
  <c r="CA7" i="25" s="1"/>
  <c r="CB7" i="25" s="1"/>
  <c r="BL7" i="25"/>
  <c r="AA318" i="29"/>
  <c r="AJ317" i="29"/>
  <c r="AK317" i="29" s="1"/>
  <c r="BY288" i="25"/>
  <c r="CA288" i="25" s="1"/>
  <c r="CB288" i="25" s="1"/>
  <c r="BL288" i="25"/>
  <c r="BK288" i="25"/>
  <c r="BY180" i="25"/>
  <c r="CA180" i="25" s="1"/>
  <c r="BL180" i="25"/>
  <c r="BK180" i="25"/>
  <c r="AA543" i="29"/>
  <c r="BY183" i="25"/>
  <c r="CA183" i="25" s="1"/>
  <c r="BL183" i="25"/>
  <c r="BK183" i="25"/>
  <c r="BY222" i="25"/>
  <c r="CA222" i="25" s="1"/>
  <c r="CB222" i="25" s="1"/>
  <c r="BL222" i="25"/>
  <c r="BK222" i="25"/>
  <c r="BY127" i="25"/>
  <c r="CA127" i="25" s="1"/>
  <c r="CB127" i="25" s="1"/>
  <c r="BL127" i="25"/>
  <c r="BK127" i="25"/>
  <c r="AJ113" i="29"/>
  <c r="AK113" i="29" s="1"/>
  <c r="AA114" i="29"/>
  <c r="BY235" i="25"/>
  <c r="CA235" i="25" s="1"/>
  <c r="CB235" i="25" s="1"/>
  <c r="BL235" i="25"/>
  <c r="BK235" i="25"/>
  <c r="AA384" i="29"/>
  <c r="AA121" i="29"/>
  <c r="AJ120" i="29"/>
  <c r="AK120" i="29" s="1"/>
  <c r="BY42" i="25"/>
  <c r="CA42" i="25" s="1"/>
  <c r="CB42" i="25" s="1"/>
  <c r="BL42" i="25"/>
  <c r="AA124" i="29"/>
  <c r="AJ123" i="29"/>
  <c r="AK123" i="29" s="1"/>
  <c r="AA118" i="29"/>
  <c r="AJ117" i="29"/>
  <c r="AK117" i="29" s="1"/>
  <c r="BL188" i="25"/>
  <c r="BY188" i="25"/>
  <c r="CA188" i="25" s="1"/>
  <c r="CB188" i="25" s="1"/>
  <c r="BK188" i="25"/>
  <c r="AJ403" i="29"/>
  <c r="AK403" i="29" s="1"/>
  <c r="AA404" i="29"/>
  <c r="BL58" i="25"/>
  <c r="BY58" i="25"/>
  <c r="CA58" i="25" s="1"/>
  <c r="CB58" i="25" s="1"/>
  <c r="AA466" i="29"/>
  <c r="AA472" i="29"/>
  <c r="AJ471" i="29"/>
  <c r="AK471" i="29" s="1"/>
  <c r="BY105" i="25"/>
  <c r="CA105" i="25" s="1"/>
  <c r="BL105" i="25"/>
  <c r="AA252" i="29"/>
  <c r="AA467" i="29"/>
  <c r="AJ466" i="29"/>
  <c r="AK466" i="29" s="1"/>
  <c r="AA83" i="29"/>
  <c r="BL81" i="25"/>
  <c r="BY81" i="25"/>
  <c r="CA81" i="25" s="1"/>
  <c r="AJ303" i="29"/>
  <c r="AK303" i="29" s="1"/>
  <c r="AA304" i="29"/>
  <c r="AA58" i="29"/>
  <c r="AJ57" i="29"/>
  <c r="AK57" i="29" s="1"/>
  <c r="BL202" i="25"/>
  <c r="BY202" i="25"/>
  <c r="CA202" i="25" s="1"/>
  <c r="BK202" i="25"/>
  <c r="AJ110" i="29"/>
  <c r="AK110" i="29" s="1"/>
  <c r="AA111" i="29"/>
  <c r="AJ323" i="29"/>
  <c r="AK323" i="29" s="1"/>
  <c r="AA324" i="29"/>
  <c r="AA604" i="29"/>
  <c r="AJ225" i="29"/>
  <c r="AK225" i="29" s="1"/>
  <c r="AA226" i="29"/>
  <c r="AA527" i="29"/>
  <c r="BY18" i="25"/>
  <c r="CA18" i="25" s="1"/>
  <c r="CB18" i="25" s="1"/>
  <c r="BL18" i="25"/>
  <c r="AA167" i="29"/>
  <c r="BY223" i="25"/>
  <c r="CA223" i="25" s="1"/>
  <c r="CB223" i="25" s="1"/>
  <c r="BL223" i="25"/>
  <c r="BK223" i="25"/>
  <c r="AA491" i="29"/>
  <c r="AJ490" i="29"/>
  <c r="AK490" i="29" s="1"/>
  <c r="AA321" i="29"/>
  <c r="AJ320" i="29"/>
  <c r="AK320" i="29" s="1"/>
  <c r="AA486" i="29"/>
  <c r="AJ485" i="29"/>
  <c r="AK485" i="29" s="1"/>
  <c r="AA292" i="29"/>
  <c r="BL45" i="25"/>
  <c r="BY45" i="25"/>
  <c r="CA45" i="25" s="1"/>
  <c r="AJ380" i="29"/>
  <c r="AK380" i="29" s="1"/>
  <c r="AA381" i="29"/>
  <c r="BY40" i="25"/>
  <c r="CA40" i="25" s="1"/>
  <c r="CB40" i="25" s="1"/>
  <c r="BL40" i="25"/>
  <c r="D65" i="29"/>
  <c r="E61" i="1" s="1"/>
  <c r="D62" i="29"/>
  <c r="D66" i="29" s="1"/>
  <c r="E63" i="1" s="1"/>
  <c r="AA566" i="29"/>
  <c r="AJ565" i="29"/>
  <c r="AK565" i="29" s="1"/>
  <c r="AJ370" i="29"/>
  <c r="AK370" i="29" s="1"/>
  <c r="AA371" i="29"/>
  <c r="BL149" i="25"/>
  <c r="BY149" i="25"/>
  <c r="CA149" i="25" s="1"/>
  <c r="CB149" i="25" s="1"/>
  <c r="BK149" i="25"/>
  <c r="AJ171" i="29"/>
  <c r="AK171" i="29" s="1"/>
  <c r="AA172" i="29"/>
  <c r="AA105" i="29"/>
  <c r="AJ104" i="29"/>
  <c r="AK104" i="29" s="1"/>
  <c r="BY171" i="25"/>
  <c r="CA171" i="25" s="1"/>
  <c r="BL171" i="25"/>
  <c r="BK171" i="25"/>
  <c r="AA92" i="29"/>
  <c r="BY54" i="25"/>
  <c r="CA54" i="25" s="1"/>
  <c r="CB54" i="25" s="1"/>
  <c r="BL54" i="25"/>
  <c r="AA93" i="29"/>
  <c r="AJ92" i="29"/>
  <c r="AK92" i="29" s="1"/>
  <c r="AA453" i="29"/>
  <c r="AJ452" i="29"/>
  <c r="AK452" i="29" s="1"/>
  <c r="AJ283" i="29"/>
  <c r="AK283" i="29" s="1"/>
  <c r="AA284" i="29"/>
  <c r="BL313" i="25"/>
  <c r="BY313" i="25"/>
  <c r="CA313" i="25" s="1"/>
  <c r="CB313" i="25" s="1"/>
  <c r="BK313" i="25"/>
  <c r="AJ423" i="29"/>
  <c r="AK423" i="29" s="1"/>
  <c r="AA424" i="29"/>
  <c r="AA428" i="29"/>
  <c r="AJ427" i="29"/>
  <c r="AK427" i="29" s="1"/>
  <c r="AA417" i="29"/>
  <c r="AJ416" i="29"/>
  <c r="AK416" i="29" s="1"/>
  <c r="BL101" i="25"/>
  <c r="BY101" i="25"/>
  <c r="CA101" i="25" s="1"/>
  <c r="AJ390" i="29"/>
  <c r="AK390" i="29" s="1"/>
  <c r="AA391" i="29"/>
  <c r="AJ512" i="29"/>
  <c r="AK512" i="29" s="1"/>
  <c r="AA513" i="29"/>
  <c r="BL68" i="25"/>
  <c r="BY68" i="25"/>
  <c r="CA68" i="25" s="1"/>
  <c r="CB68" i="25" s="1"/>
  <c r="AA523" i="29"/>
  <c r="AA94" i="29"/>
  <c r="AJ93" i="29"/>
  <c r="AK93" i="29" s="1"/>
  <c r="BY78" i="25"/>
  <c r="CA78" i="25" s="1"/>
  <c r="CB78" i="25" s="1"/>
  <c r="BL78" i="25"/>
  <c r="AJ523" i="29"/>
  <c r="AK523" i="29" s="1"/>
  <c r="AA524" i="29"/>
  <c r="BL139" i="25"/>
  <c r="BY139" i="25"/>
  <c r="CA139" i="25" s="1"/>
  <c r="CB139" i="25" s="1"/>
  <c r="BK139" i="25"/>
  <c r="BY37" i="25"/>
  <c r="CA37" i="25" s="1"/>
  <c r="CB37" i="25" s="1"/>
  <c r="BL37" i="25"/>
  <c r="BY299" i="25"/>
  <c r="CA299" i="25" s="1"/>
  <c r="CB299" i="25" s="1"/>
  <c r="BL299" i="25"/>
  <c r="BK299" i="25"/>
  <c r="AJ567" i="29"/>
  <c r="AK567" i="29" s="1"/>
  <c r="AA568" i="29"/>
  <c r="AJ227" i="29"/>
  <c r="AK227" i="29" s="1"/>
  <c r="AA228" i="29"/>
  <c r="BL46" i="25"/>
  <c r="BY46" i="25"/>
  <c r="CA46" i="25" s="1"/>
  <c r="CB46" i="25" s="1"/>
  <c r="AA139" i="29"/>
  <c r="AJ138" i="29"/>
  <c r="AK138" i="29" s="1"/>
  <c r="BY20" i="25"/>
  <c r="CA20" i="25" s="1"/>
  <c r="CB20" i="25" s="1"/>
  <c r="BL20" i="25"/>
  <c r="AJ417" i="29"/>
  <c r="AK417" i="29" s="1"/>
  <c r="AA418" i="29"/>
  <c r="AA250" i="29"/>
  <c r="AJ249" i="29"/>
  <c r="AK249" i="29" s="1"/>
  <c r="BL156" i="25"/>
  <c r="BY156" i="25"/>
  <c r="CA156" i="25" s="1"/>
  <c r="BK156" i="25"/>
  <c r="AA400" i="29"/>
  <c r="AJ399" i="29"/>
  <c r="AK399" i="29" s="1"/>
  <c r="AA461" i="29"/>
  <c r="AJ460" i="29"/>
  <c r="AK460" i="29" s="1"/>
  <c r="AA235" i="29"/>
  <c r="AJ457" i="29"/>
  <c r="AK457" i="29" s="1"/>
  <c r="AA458" i="29"/>
  <c r="AA80" i="29"/>
  <c r="AJ79" i="29"/>
  <c r="AK79" i="29" s="1"/>
  <c r="AA309" i="29"/>
  <c r="AJ308" i="29"/>
  <c r="AK308" i="29" s="1"/>
  <c r="AJ201" i="29"/>
  <c r="AK201" i="29" s="1"/>
  <c r="AA202" i="29"/>
  <c r="BL298" i="25"/>
  <c r="BY298" i="25"/>
  <c r="CA298" i="25" s="1"/>
  <c r="CB298" i="25" s="1"/>
  <c r="BK298" i="25"/>
  <c r="AA427" i="29"/>
  <c r="AJ426" i="29"/>
  <c r="AK426" i="29" s="1"/>
  <c r="AJ46" i="29"/>
  <c r="AK46" i="29" s="1"/>
  <c r="AA47" i="29"/>
  <c r="AJ127" i="29"/>
  <c r="AK127" i="29" s="1"/>
  <c r="AA128" i="29"/>
  <c r="BY140" i="25"/>
  <c r="CA140" i="25" s="1"/>
  <c r="CB140" i="25" s="1"/>
  <c r="BL140" i="25"/>
  <c r="BK140" i="25"/>
  <c r="AA440" i="29"/>
  <c r="BY311" i="25"/>
  <c r="CA311" i="25" s="1"/>
  <c r="CB311" i="25" s="1"/>
  <c r="BL311" i="25"/>
  <c r="BK311" i="25"/>
  <c r="BY251" i="25"/>
  <c r="CA251" i="25" s="1"/>
  <c r="CB251" i="25" s="1"/>
  <c r="BL251" i="25"/>
  <c r="BK251" i="25"/>
  <c r="AJ604" i="29"/>
  <c r="AK604" i="29" s="1"/>
  <c r="AA605" i="29"/>
  <c r="AA157" i="29"/>
  <c r="BL219" i="25"/>
  <c r="BY219" i="25"/>
  <c r="CA219" i="25" s="1"/>
  <c r="CB219" i="25" s="1"/>
  <c r="BK219" i="25"/>
  <c r="AA508" i="29"/>
  <c r="AJ574" i="29"/>
  <c r="AK574" i="29" s="1"/>
  <c r="AA575" i="29"/>
  <c r="AA113" i="29"/>
  <c r="AJ112" i="29"/>
  <c r="AK112" i="29" s="1"/>
  <c r="AA591" i="29"/>
  <c r="AJ590" i="29"/>
  <c r="AK590" i="29" s="1"/>
  <c r="AA544" i="29"/>
  <c r="AJ543" i="29"/>
  <c r="AK543" i="29" s="1"/>
  <c r="AA334" i="29"/>
  <c r="AJ333" i="29"/>
  <c r="AK333" i="29" s="1"/>
  <c r="BY191" i="25"/>
  <c r="CA191" i="25" s="1"/>
  <c r="BL191" i="25"/>
  <c r="BK191" i="25"/>
  <c r="CB56" i="25" l="1"/>
  <c r="CF56" i="25"/>
  <c r="CB205" i="25"/>
  <c r="CF205" i="25"/>
  <c r="CB200" i="25"/>
  <c r="CF200" i="25"/>
  <c r="CB153" i="25"/>
  <c r="CF153" i="25"/>
  <c r="CB64" i="25"/>
  <c r="CF64" i="25"/>
  <c r="CB193" i="25"/>
  <c r="CF193" i="25"/>
  <c r="CB159" i="25"/>
  <c r="CF159" i="25"/>
  <c r="CB81" i="25"/>
  <c r="CF81" i="25"/>
  <c r="CB164" i="25"/>
  <c r="CF164" i="25"/>
  <c r="CB101" i="25"/>
  <c r="CF101" i="25"/>
  <c r="CB185" i="25"/>
  <c r="CF185" i="25"/>
  <c r="CB169" i="25"/>
  <c r="CF169" i="25"/>
  <c r="CB181" i="25"/>
  <c r="CF181" i="25"/>
  <c r="AJ342" i="29"/>
  <c r="AK342" i="29" s="1"/>
  <c r="CB151" i="25"/>
  <c r="CF151" i="25"/>
  <c r="AA562" i="29"/>
  <c r="AJ561" i="29"/>
  <c r="AK561" i="29" s="1"/>
  <c r="AA603" i="29"/>
  <c r="CB98" i="25"/>
  <c r="CF98" i="25"/>
  <c r="AA49" i="29"/>
  <c r="AA343" i="29"/>
  <c r="AA153" i="29"/>
  <c r="CB191" i="25"/>
  <c r="CF191" i="25"/>
  <c r="CB184" i="25"/>
  <c r="CF184" i="25"/>
  <c r="CB203" i="25"/>
  <c r="CF203" i="25"/>
  <c r="AJ603" i="29"/>
  <c r="AK603" i="29" s="1"/>
  <c r="CB172" i="25"/>
  <c r="CF172" i="25"/>
  <c r="CB202" i="25"/>
  <c r="CF202" i="25"/>
  <c r="AJ507" i="29"/>
  <c r="AK507" i="29" s="1"/>
  <c r="AA322" i="29"/>
  <c r="AJ321" i="29"/>
  <c r="AK321" i="29" s="1"/>
  <c r="AA98" i="29"/>
  <c r="AJ165" i="29"/>
  <c r="AK165" i="29" s="1"/>
  <c r="AA166" i="29"/>
  <c r="AA198" i="29"/>
  <c r="AA109" i="29"/>
  <c r="CB183" i="25"/>
  <c r="CF183" i="25"/>
  <c r="AK80" i="29"/>
  <c r="AJ88" i="29"/>
  <c r="AK88" i="29" s="1"/>
  <c r="AJ493" i="29"/>
  <c r="AK493" i="29" s="1"/>
  <c r="AJ207" i="29"/>
  <c r="AK207" i="29" s="1"/>
  <c r="CB180" i="25"/>
  <c r="CF180" i="25"/>
  <c r="AJ206" i="29"/>
  <c r="AK206" i="29" s="1"/>
  <c r="CB80" i="25"/>
  <c r="CF80" i="25"/>
  <c r="CB52" i="25"/>
  <c r="CF52" i="25"/>
  <c r="CB90" i="25"/>
  <c r="CF90" i="25"/>
  <c r="AJ108" i="29"/>
  <c r="AK108" i="29" s="1"/>
  <c r="CB196" i="25"/>
  <c r="CF196" i="25"/>
  <c r="AJ492" i="29"/>
  <c r="AK492" i="29" s="1"/>
  <c r="AA357" i="29"/>
  <c r="AJ348" i="29"/>
  <c r="AK348" i="29" s="1"/>
  <c r="AA270" i="29"/>
  <c r="AJ122" i="29"/>
  <c r="AK122" i="29" s="1"/>
  <c r="AA507" i="29"/>
  <c r="AJ465" i="29"/>
  <c r="AK465" i="29" s="1"/>
  <c r="AJ329" i="29"/>
  <c r="AK329" i="29" s="1"/>
  <c r="AA465" i="29"/>
  <c r="AA122" i="29"/>
  <c r="AJ330" i="29"/>
  <c r="AK330" i="29" s="1"/>
  <c r="AA571" i="29"/>
  <c r="AJ216" i="29"/>
  <c r="AK216" i="29" s="1"/>
  <c r="AJ571" i="29"/>
  <c r="AK571" i="29" s="1"/>
  <c r="AA557" i="29"/>
  <c r="AJ146" i="29"/>
  <c r="AK146" i="29" s="1"/>
  <c r="AJ147" i="29"/>
  <c r="AK147" i="29" s="1"/>
  <c r="AJ351" i="29"/>
  <c r="AK351" i="29" s="1"/>
  <c r="AJ184" i="29"/>
  <c r="AK184" i="29" s="1"/>
  <c r="AJ13" i="29"/>
  <c r="AK13" i="29" s="1"/>
  <c r="AA185" i="29"/>
  <c r="AA598" i="29"/>
  <c r="AJ597" i="29"/>
  <c r="AK597" i="29" s="1"/>
  <c r="AJ69" i="29"/>
  <c r="AK69" i="29" s="1"/>
  <c r="AA107" i="29"/>
  <c r="AJ373" i="29"/>
  <c r="AK373" i="29" s="1"/>
  <c r="AJ234" i="29"/>
  <c r="AK234" i="29" s="1"/>
  <c r="AJ115" i="29"/>
  <c r="AK115" i="29" s="1"/>
  <c r="AA373" i="29"/>
  <c r="AA115" i="29"/>
  <c r="AJ233" i="29"/>
  <c r="AK233" i="29" s="1"/>
  <c r="CB105" i="25"/>
  <c r="B270" i="2" s="1"/>
  <c r="CF105" i="25"/>
  <c r="AA547" i="29"/>
  <c r="CB132" i="25"/>
  <c r="CF132" i="25"/>
  <c r="CB165" i="25"/>
  <c r="CF165" i="25"/>
  <c r="AJ107" i="29"/>
  <c r="AK107" i="29" s="1"/>
  <c r="AJ422" i="29"/>
  <c r="AK422" i="29" s="1"/>
  <c r="AJ340" i="29"/>
  <c r="AK340" i="29" s="1"/>
  <c r="AA341" i="29"/>
  <c r="AJ24" i="29"/>
  <c r="AK24" i="29" s="1"/>
  <c r="AJ51" i="29"/>
  <c r="AK51" i="29" s="1"/>
  <c r="AJ25" i="29"/>
  <c r="AK25" i="29" s="1"/>
  <c r="CB207" i="25"/>
  <c r="CF207" i="25"/>
  <c r="AJ70" i="29"/>
  <c r="AK70" i="29" s="1"/>
  <c r="AJ326" i="29"/>
  <c r="AK326" i="29" s="1"/>
  <c r="AJ156" i="29"/>
  <c r="AK156" i="29" s="1"/>
  <c r="AA52" i="29"/>
  <c r="AJ428" i="29"/>
  <c r="AK428" i="29" s="1"/>
  <c r="AJ291" i="29"/>
  <c r="AK291" i="29" s="1"/>
  <c r="AA291" i="29"/>
  <c r="AJ253" i="29"/>
  <c r="AK253" i="29" s="1"/>
  <c r="AA254" i="29"/>
  <c r="AJ513" i="29"/>
  <c r="AK513" i="29" s="1"/>
  <c r="AJ547" i="29"/>
  <c r="AK547" i="29" s="1"/>
  <c r="AA326" i="29"/>
  <c r="AJ498" i="29"/>
  <c r="AK498" i="29" s="1"/>
  <c r="AA156" i="29"/>
  <c r="AJ586" i="29"/>
  <c r="AK586" i="29" s="1"/>
  <c r="AJ497" i="29"/>
  <c r="AK497" i="29" s="1"/>
  <c r="CB209" i="25"/>
  <c r="CF209" i="25"/>
  <c r="AJ116" i="29"/>
  <c r="AK116" i="29" s="1"/>
  <c r="AA242" i="29"/>
  <c r="AJ270" i="29"/>
  <c r="AK270" i="29" s="1"/>
  <c r="AA116" i="29"/>
  <c r="AJ215" i="29"/>
  <c r="AK215" i="29" s="1"/>
  <c r="AA150" i="29"/>
  <c r="AJ209" i="29"/>
  <c r="AK209" i="29" s="1"/>
  <c r="AJ350" i="29"/>
  <c r="AK350" i="29" s="1"/>
  <c r="AJ347" i="29"/>
  <c r="AK347" i="29" s="1"/>
  <c r="AJ89" i="29"/>
  <c r="AK89" i="29" s="1"/>
  <c r="AA480" i="29"/>
  <c r="AJ480" i="29"/>
  <c r="AK480" i="29" s="1"/>
  <c r="AJ90" i="29"/>
  <c r="AK90" i="29" s="1"/>
  <c r="AJ526" i="29"/>
  <c r="AK526" i="29" s="1"/>
  <c r="AJ346" i="29"/>
  <c r="AK346" i="29" s="1"/>
  <c r="AA347" i="29"/>
  <c r="AJ525" i="29"/>
  <c r="AK525" i="29" s="1"/>
  <c r="AJ529" i="29"/>
  <c r="AK529" i="29" s="1"/>
  <c r="AJ289" i="29"/>
  <c r="AK289" i="29" s="1"/>
  <c r="AJ528" i="29"/>
  <c r="AK528" i="29" s="1"/>
  <c r="AA289" i="29"/>
  <c r="AJ139" i="29"/>
  <c r="AK139" i="29" s="1"/>
  <c r="AJ186" i="29"/>
  <c r="AK186" i="29" s="1"/>
  <c r="AJ187" i="29"/>
  <c r="AK187" i="29" s="1"/>
  <c r="AA219" i="29"/>
  <c r="AJ400" i="29"/>
  <c r="AK400" i="29" s="1"/>
  <c r="AA401" i="29"/>
  <c r="AA406" i="29"/>
  <c r="AJ222" i="29"/>
  <c r="AK222" i="29" s="1"/>
  <c r="AJ405" i="29"/>
  <c r="AK405" i="29" s="1"/>
  <c r="CB138" i="25"/>
  <c r="CF138" i="25"/>
  <c r="CB55" i="25"/>
  <c r="CF55" i="25"/>
  <c r="AA140" i="29"/>
  <c r="AJ164" i="29"/>
  <c r="AK164" i="29" s="1"/>
  <c r="AA514" i="29"/>
  <c r="AJ463" i="29"/>
  <c r="AK463" i="29" s="1"/>
  <c r="AJ83" i="29"/>
  <c r="AK83" i="29" s="1"/>
  <c r="AA84" i="29"/>
  <c r="AJ462" i="29"/>
  <c r="AK462" i="29" s="1"/>
  <c r="AJ130" i="29"/>
  <c r="AK130" i="29" s="1"/>
  <c r="AA130" i="29"/>
  <c r="AJ421" i="29"/>
  <c r="AK421" i="29" s="1"/>
  <c r="AJ163" i="29"/>
  <c r="AK163" i="29" s="1"/>
  <c r="AJ242" i="29"/>
  <c r="AK242" i="29" s="1"/>
  <c r="AJ210" i="29"/>
  <c r="AK210" i="29" s="1"/>
  <c r="AJ149" i="29"/>
  <c r="AK149" i="29" s="1"/>
  <c r="AA133" i="29"/>
  <c r="AJ41" i="29"/>
  <c r="AK41" i="29" s="1"/>
  <c r="AJ40" i="29"/>
  <c r="AK40" i="29" s="1"/>
  <c r="AA502" i="29"/>
  <c r="AJ555" i="29"/>
  <c r="AK555" i="29" s="1"/>
  <c r="AA154" i="29"/>
  <c r="AA439" i="29"/>
  <c r="AJ153" i="29"/>
  <c r="AK153" i="29" s="1"/>
  <c r="AJ439" i="29"/>
  <c r="AK439" i="29" s="1"/>
  <c r="AA142" i="29"/>
  <c r="AJ502" i="29"/>
  <c r="AK502" i="29" s="1"/>
  <c r="AJ169" i="29"/>
  <c r="AK169" i="29" s="1"/>
  <c r="AA91" i="29"/>
  <c r="AA610" i="29"/>
  <c r="AJ609" i="29"/>
  <c r="AK609" i="29" s="1"/>
  <c r="AJ447" i="29"/>
  <c r="AK447" i="29" s="1"/>
  <c r="AJ522" i="29"/>
  <c r="AK522" i="29" s="1"/>
  <c r="AJ170" i="29"/>
  <c r="AK170" i="29" s="1"/>
  <c r="AA448" i="29"/>
  <c r="AJ521" i="29"/>
  <c r="AK521" i="29" s="1"/>
  <c r="AJ132" i="29"/>
  <c r="AK132" i="29" s="1"/>
  <c r="AJ221" i="29"/>
  <c r="AK221" i="29" s="1"/>
  <c r="AJ220" i="29"/>
  <c r="AK220" i="29" s="1"/>
  <c r="AJ556" i="29"/>
  <c r="AK556" i="29" s="1"/>
  <c r="AJ176" i="29"/>
  <c r="AK176" i="29" s="1"/>
  <c r="AJ141" i="29"/>
  <c r="AK141" i="29" s="1"/>
  <c r="AA336" i="29"/>
  <c r="AJ474" i="29"/>
  <c r="AK474" i="29" s="1"/>
  <c r="AJ335" i="29"/>
  <c r="AK335" i="29" s="1"/>
  <c r="AJ218" i="29"/>
  <c r="AK218" i="29" s="1"/>
  <c r="AA149" i="29"/>
  <c r="AJ148" i="29"/>
  <c r="AK148" i="29" s="1"/>
  <c r="AJ217" i="29"/>
  <c r="AK217" i="29" s="1"/>
  <c r="AJ473" i="29"/>
  <c r="AK473" i="29" s="1"/>
  <c r="AJ177" i="29"/>
  <c r="AK177" i="29" s="1"/>
  <c r="AJ588" i="29"/>
  <c r="AK588" i="29" s="1"/>
  <c r="AJ349" i="29"/>
  <c r="AK349" i="29" s="1"/>
  <c r="AJ587" i="29"/>
  <c r="AK587" i="29" s="1"/>
  <c r="AA350" i="29"/>
  <c r="CB208" i="25"/>
  <c r="CF208" i="25"/>
  <c r="AJ356" i="29"/>
  <c r="AK356" i="29" s="1"/>
  <c r="AA99" i="29"/>
  <c r="AJ441" i="29"/>
  <c r="AK441" i="29" s="1"/>
  <c r="AJ98" i="29"/>
  <c r="AK98" i="29" s="1"/>
  <c r="AJ278" i="29"/>
  <c r="AK278" i="29" s="1"/>
  <c r="AA573" i="29"/>
  <c r="AJ572" i="29"/>
  <c r="AK572" i="29" s="1"/>
  <c r="CB45" i="25"/>
  <c r="CF45" i="25"/>
  <c r="AJ411" i="29"/>
  <c r="AK411" i="29" s="1"/>
  <c r="AJ239" i="29"/>
  <c r="AK239" i="29" s="1"/>
  <c r="CB135" i="25"/>
  <c r="CF135" i="25"/>
  <c r="AA412" i="29"/>
  <c r="CB175" i="25"/>
  <c r="CF175" i="25"/>
  <c r="AJ296" i="29"/>
  <c r="AK296" i="29" s="1"/>
  <c r="AA297" i="29"/>
  <c r="CB182" i="25"/>
  <c r="CF182" i="25"/>
  <c r="AJ429" i="29"/>
  <c r="AK429" i="29" s="1"/>
  <c r="AJ183" i="29"/>
  <c r="AK183" i="29" s="1"/>
  <c r="AA312" i="29"/>
  <c r="AJ182" i="29"/>
  <c r="AK182" i="29" s="1"/>
  <c r="AJ527" i="29"/>
  <c r="AK527" i="29" s="1"/>
  <c r="AJ74" i="29"/>
  <c r="AK74" i="29" s="1"/>
  <c r="AA75" i="29"/>
  <c r="AA240" i="29"/>
  <c r="AJ56" i="29"/>
  <c r="AK56" i="29" s="1"/>
  <c r="AA356" i="29"/>
  <c r="AJ430" i="29"/>
  <c r="AK430" i="29" s="1"/>
  <c r="AA528" i="29"/>
  <c r="AJ312" i="29"/>
  <c r="AK312" i="29" s="1"/>
  <c r="AA533" i="29"/>
  <c r="AA383" i="29"/>
  <c r="AJ250" i="29"/>
  <c r="AK250" i="29" s="1"/>
  <c r="AJ251" i="29"/>
  <c r="AK251" i="29" s="1"/>
  <c r="AJ542" i="29"/>
  <c r="AK542" i="29" s="1"/>
  <c r="AJ22" i="29"/>
  <c r="AK22" i="29" s="1"/>
  <c r="AJ23" i="29"/>
  <c r="AK23" i="29" s="1"/>
  <c r="AJ410" i="29"/>
  <c r="AK410" i="29" s="1"/>
  <c r="AJ279" i="29"/>
  <c r="AK279" i="29" s="1"/>
  <c r="AJ131" i="29"/>
  <c r="AK131" i="29" s="1"/>
  <c r="AJ409" i="29"/>
  <c r="AK409" i="29" s="1"/>
  <c r="AJ280" i="29"/>
  <c r="AK280" i="29" s="1"/>
  <c r="AJ541" i="29"/>
  <c r="AK541" i="29" s="1"/>
  <c r="AA492" i="29"/>
  <c r="AJ491" i="29"/>
  <c r="AK491" i="29" s="1"/>
  <c r="AJ449" i="29"/>
  <c r="AK449" i="29" s="1"/>
  <c r="AA450" i="29"/>
  <c r="AJ179" i="29"/>
  <c r="AK179" i="29" s="1"/>
  <c r="AA245" i="29"/>
  <c r="AJ244" i="29"/>
  <c r="AK244" i="29" s="1"/>
  <c r="AA179" i="29"/>
  <c r="AJ595" i="29"/>
  <c r="AK595" i="29" s="1"/>
  <c r="AA37" i="29"/>
  <c r="AJ433" i="29"/>
  <c r="AK433" i="29" s="1"/>
  <c r="AJ434" i="29"/>
  <c r="AK434" i="29" s="1"/>
  <c r="AA382" i="29"/>
  <c r="AJ55" i="29"/>
  <c r="AK55" i="29" s="1"/>
  <c r="AJ432" i="29"/>
  <c r="AK432" i="29" s="1"/>
  <c r="AJ315" i="29"/>
  <c r="AK315" i="29" s="1"/>
  <c r="AJ382" i="29"/>
  <c r="AK382" i="29" s="1"/>
  <c r="AJ374" i="29"/>
  <c r="AK374" i="29" s="1"/>
  <c r="AJ369" i="29"/>
  <c r="AK369" i="29" s="1"/>
  <c r="AJ314" i="29"/>
  <c r="AK314" i="29" s="1"/>
  <c r="AJ420" i="29"/>
  <c r="AK420" i="29" s="1"/>
  <c r="AA375" i="29"/>
  <c r="AA421" i="29"/>
  <c r="AJ368" i="29"/>
  <c r="AK368" i="29" s="1"/>
  <c r="AJ198" i="29"/>
  <c r="AK198" i="29" s="1"/>
  <c r="AJ37" i="29"/>
  <c r="AK37" i="29" s="1"/>
  <c r="AJ431" i="29"/>
  <c r="AK431" i="29" s="1"/>
  <c r="AJ594" i="29"/>
  <c r="AK594" i="29" s="1"/>
  <c r="AJ300" i="29"/>
  <c r="AK300" i="29" s="1"/>
  <c r="AJ91" i="29"/>
  <c r="AK91" i="29" s="1"/>
  <c r="AA301" i="29"/>
  <c r="AJ533" i="29"/>
  <c r="AK533" i="29" s="1"/>
  <c r="AJ304" i="29"/>
  <c r="AK304" i="29" s="1"/>
  <c r="AA305" i="29"/>
  <c r="AA525" i="29"/>
  <c r="AJ524" i="29"/>
  <c r="AK524" i="29" s="1"/>
  <c r="AA444" i="29"/>
  <c r="AA335" i="29"/>
  <c r="AJ14" i="29"/>
  <c r="AK14" i="29" s="1"/>
  <c r="AJ15" i="29"/>
  <c r="AK15" i="29" s="1"/>
  <c r="AJ353" i="29"/>
  <c r="AK353" i="29" s="1"/>
  <c r="AJ213" i="29"/>
  <c r="AK213" i="29" s="1"/>
  <c r="AJ352" i="29"/>
  <c r="AK352" i="29" s="1"/>
  <c r="AJ212" i="29"/>
  <c r="AK212" i="29" s="1"/>
  <c r="AA26" i="29"/>
  <c r="AA278" i="29"/>
  <c r="AJ334" i="29"/>
  <c r="AK334" i="29" s="1"/>
  <c r="AA531" i="29"/>
  <c r="AJ82" i="29"/>
  <c r="AK82" i="29" s="1"/>
  <c r="AJ530" i="29"/>
  <c r="AK530" i="29" s="1"/>
  <c r="AA360" i="29"/>
  <c r="AJ81" i="29"/>
  <c r="AK81" i="29" s="1"/>
  <c r="AJ360" i="29"/>
  <c r="AK360" i="29" s="1"/>
  <c r="AJ444" i="29"/>
  <c r="AK444" i="29" s="1"/>
  <c r="AJ495" i="29"/>
  <c r="AK495" i="29" s="1"/>
  <c r="AJ309" i="29"/>
  <c r="AK309" i="29" s="1"/>
  <c r="AJ26" i="29"/>
  <c r="AK26" i="29" s="1"/>
  <c r="AA310" i="29"/>
  <c r="AA200" i="29"/>
  <c r="AJ199" i="29"/>
  <c r="AK199" i="29" s="1"/>
  <c r="CB168" i="25"/>
  <c r="CF168" i="25"/>
  <c r="AJ440" i="29"/>
  <c r="AK440" i="29" s="1"/>
  <c r="CF211" i="24"/>
  <c r="AA495" i="29"/>
  <c r="CB102" i="25"/>
  <c r="CF102" i="25"/>
  <c r="CB163" i="25"/>
  <c r="CF163" i="25"/>
  <c r="CB156" i="25"/>
  <c r="CF156" i="25"/>
  <c r="CB79" i="25"/>
  <c r="CF79" i="25"/>
  <c r="CB166" i="25"/>
  <c r="CF166" i="25"/>
  <c r="CB176" i="25"/>
  <c r="CF176" i="25"/>
  <c r="BB212" i="25"/>
  <c r="BS212" i="25" s="1"/>
  <c r="BC212" i="25"/>
  <c r="BT212" i="25" s="1"/>
  <c r="BA212" i="25"/>
  <c r="CB210" i="25"/>
  <c r="CF210" i="25"/>
  <c r="CB72" i="25"/>
  <c r="CF72" i="25"/>
  <c r="CB171" i="25"/>
  <c r="CF171" i="25"/>
  <c r="CB74" i="25"/>
  <c r="CF74" i="25"/>
  <c r="CB160" i="25"/>
  <c r="CF160" i="25"/>
  <c r="AA585" i="29"/>
  <c r="AJ584" i="29"/>
  <c r="AK584" i="29" s="1"/>
  <c r="CB194" i="25"/>
  <c r="CF194" i="25"/>
  <c r="L95" i="2"/>
  <c r="L96" i="2" s="1"/>
  <c r="L26" i="1" s="1"/>
  <c r="BE212" i="25" l="1"/>
  <c r="BR212" i="25"/>
  <c r="BX212" i="25" s="1"/>
  <c r="AK9" i="29"/>
  <c r="W5" i="29" s="1"/>
  <c r="B43" i="29" s="1"/>
  <c r="AK7" i="29"/>
  <c r="AL7" i="29" s="1"/>
  <c r="CF211" i="25"/>
  <c r="BL212" i="25" l="1"/>
  <c r="BY212" i="25"/>
  <c r="CA212" i="25" s="1"/>
  <c r="BK212" i="25"/>
  <c r="W4" i="29"/>
  <c r="G639" i="29" s="1"/>
  <c r="AL9" i="29"/>
  <c r="G617" i="29" l="1"/>
  <c r="J617" i="29" s="1"/>
  <c r="CB212" i="25"/>
  <c r="CF212" i="25"/>
  <c r="B42" i="29"/>
  <c r="G640" i="29"/>
  <c r="G618" i="29" l="1"/>
  <c r="G619" i="29" s="1"/>
  <c r="S617" i="29"/>
  <c r="I617" i="29"/>
  <c r="Q617" i="29"/>
  <c r="L617" i="29"/>
  <c r="AH617" i="29" s="1"/>
  <c r="K617" i="29"/>
  <c r="R617" i="29"/>
  <c r="O617" i="29"/>
  <c r="T617" i="29"/>
  <c r="P617" i="29"/>
  <c r="AG617" i="29" l="1"/>
  <c r="X617" i="29"/>
  <c r="Y617" i="29" s="1"/>
  <c r="AD617" i="29"/>
  <c r="AE617" i="29"/>
  <c r="W617" i="29"/>
  <c r="X620" i="2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Timothy Hegarty</author>
    <author>Xi, Youhao</author>
    <author>Hegarty, Timothy</author>
  </authors>
  <commentList>
    <comment ref="A3" authorId="0" shapeId="0" xr:uid="{00000000-0006-0000-0000-000001000000}">
      <text>
        <r>
          <rPr>
            <b/>
            <sz val="11"/>
            <color indexed="10"/>
            <rFont val="Tahoma"/>
            <family val="2"/>
          </rPr>
          <t>Welcome to the LM5185 Design Tool</t>
        </r>
        <r>
          <rPr>
            <sz val="9"/>
            <color indexed="81"/>
            <rFont val="Tahoma"/>
            <family val="2"/>
          </rPr>
          <t xml:space="preserve">
This stand-alone tool facilitates and assists the power supply engineer with design of an isolated DC/DC regulator based on the </t>
        </r>
        <r>
          <rPr>
            <b/>
            <sz val="9"/>
            <color indexed="81"/>
            <rFont val="Tahoma"/>
            <family val="2"/>
          </rPr>
          <t>LM5185 low I</t>
        </r>
        <r>
          <rPr>
            <b/>
            <vertAlign val="subscript"/>
            <sz val="9"/>
            <color indexed="81"/>
            <rFont val="Tahoma"/>
            <family val="2"/>
          </rPr>
          <t>Q</t>
        </r>
        <r>
          <rPr>
            <b/>
            <sz val="9"/>
            <color indexed="81"/>
            <rFont val="Tahoma"/>
            <family val="2"/>
          </rPr>
          <t xml:space="preserve"> PSR flyback controller.</t>
        </r>
        <r>
          <rPr>
            <sz val="9"/>
            <color indexed="81"/>
            <rFont val="Tahoma"/>
            <family val="2"/>
          </rPr>
          <t xml:space="preserve"> As such, the user can expeditiously arrive at an optimized design by virtue of the following:
- Select transformer parameters including turns ratio and mag inductance
- Select current sense resistor
- Select power MOSFET parameters including RdsON, Qg and Coss
- Determine input and output capacitances for specified ripple requirements (1% Vout and 5% Vin)
- Select components for feedback, soft-start, input UVLO, and temperature compensation
- Select desired open loop crossover frequency, and choose loop compensation network components 
- Advise componnets (usually optional) for SW voltage clamp and and flyback diode snubber
- Decide the optional use of dummy loads or output Zener clamp 
- Optimize the design using efficiency and solution size as key performance metrics
- Inspect converter efficiency and switching frequency over load and line
- Inspect open loop Bode Plots for appropriate loop design.
- Analyze efficiency based on selected component parameters
- Review auto-generated schematic and BOM list.
</t>
        </r>
        <r>
          <rPr>
            <b/>
            <sz val="9"/>
            <color indexed="81"/>
            <rFont val="Tahoma"/>
            <family val="2"/>
          </rPr>
          <t>IMPORTANT:</t>
        </r>
        <r>
          <rPr>
            <sz val="9"/>
            <color indexed="81"/>
            <rFont val="Tahoma"/>
            <family val="2"/>
          </rPr>
          <t xml:space="preserve"> You must enable macros if Microsoft EXCEL asks as the file is being opened.
U.S. English notation is used throughout.
</t>
        </r>
        <r>
          <rPr>
            <b/>
            <sz val="9"/>
            <color indexed="81"/>
            <rFont val="Tahoma"/>
            <family val="2"/>
          </rPr>
          <t>Dislcaimer:</t>
        </r>
        <r>
          <rPr>
            <u/>
            <sz val="9"/>
            <color indexed="12"/>
            <rFont val="Tahoma"/>
            <family val="2"/>
          </rPr>
          <t xml:space="preserve">
https://www.ti.com/legal/important-notice-and-disclaimer.html
</t>
        </r>
        <r>
          <rPr>
            <sz val="9"/>
            <color indexed="81"/>
            <rFont val="Tahoma"/>
            <family val="2"/>
          </rPr>
          <t xml:space="preserve">
</t>
        </r>
        <r>
          <rPr>
            <b/>
            <sz val="9"/>
            <color indexed="81"/>
            <rFont val="Tahoma"/>
            <family val="2"/>
          </rPr>
          <t xml:space="preserve">
Rev 3.1, Youhao Xi, Texas Instruments, Inc.</t>
        </r>
      </text>
    </comment>
    <comment ref="U3" authorId="0" shapeId="0" xr:uid="{00000000-0006-0000-0000-000002000000}">
      <text>
        <r>
          <rPr>
            <b/>
            <u/>
            <sz val="11"/>
            <color indexed="10"/>
            <rFont val="Tahoma"/>
            <family val="2"/>
          </rPr>
          <t>Texas Instruments</t>
        </r>
        <r>
          <rPr>
            <sz val="11"/>
            <color indexed="10"/>
            <rFont val="Tahoma"/>
            <family val="2"/>
          </rPr>
          <t>:</t>
        </r>
        <r>
          <rPr>
            <sz val="9"/>
            <color indexed="81"/>
            <rFont val="Tahoma"/>
            <family val="2"/>
          </rPr>
          <t xml:space="preserve">
</t>
        </r>
        <r>
          <rPr>
            <b/>
            <sz val="9"/>
            <color indexed="81"/>
            <rFont val="Tahoma"/>
            <family val="2"/>
          </rPr>
          <t>Limited Use Policy</t>
        </r>
        <r>
          <rPr>
            <sz val="9"/>
            <color indexed="81"/>
            <rFont val="Tahoma"/>
            <family val="2"/>
          </rPr>
          <t xml:space="preserve">
You must treat this software and documentation like any other copyrighted material.
</t>
        </r>
        <r>
          <rPr>
            <b/>
            <sz val="9"/>
            <color indexed="81"/>
            <rFont val="Tahoma"/>
            <family val="2"/>
          </rPr>
          <t>You may not:</t>
        </r>
        <r>
          <rPr>
            <sz val="9"/>
            <color indexed="81"/>
            <rFont val="Tahoma"/>
            <family val="2"/>
          </rPr>
          <t xml:space="preserve">
- Copy documentation of the software
- Copy this software except to make archival or backup copies
- Reverse engineer, disassemble, decompile or make any attempt to discover the source code of the software 
- Place the software onto a server so that it is accessible via a public network such as the internet 
- Sublicense, rent, lease or lend any portion of the software or documentation.
Texas Instruments is not responsible for the validity of any design created with this design tool and recommends that all designs be fully tested and carefully verified. Refer to the LM5185-Q1 product datasheet and EVM user's guides for more details.
</t>
        </r>
        <r>
          <rPr>
            <b/>
            <sz val="9"/>
            <color indexed="81"/>
            <rFont val="Tahoma"/>
            <family val="2"/>
          </rPr>
          <t>Rev 0, WVB/SR/APP, Texas Instruments, Inc.</t>
        </r>
      </text>
    </comment>
    <comment ref="F6" authorId="0" shapeId="0" xr:uid="{00000000-0006-0000-0000-000003000000}">
      <text>
        <r>
          <rPr>
            <b/>
            <u/>
            <sz val="9"/>
            <color indexed="81"/>
            <rFont val="Tahoma"/>
            <family val="2"/>
          </rPr>
          <t>Minimum Input Voltage</t>
        </r>
        <r>
          <rPr>
            <b/>
            <sz val="9"/>
            <color indexed="81"/>
            <rFont val="Tahoma"/>
            <family val="2"/>
          </rPr>
          <t>:</t>
        </r>
        <r>
          <rPr>
            <sz val="9"/>
            <color indexed="81"/>
            <rFont val="Tahoma"/>
            <family val="2"/>
          </rPr>
          <t xml:space="preserve">
Enter the minimum input operating voltage.
The LM5185 input voltage operating range is 4.5V to 100V.
</t>
        </r>
        <r>
          <rPr>
            <b/>
            <sz val="9"/>
            <color indexed="81"/>
            <rFont val="Tahoma"/>
            <family val="2"/>
          </rPr>
          <t>The text in this cell is red if:</t>
        </r>
        <r>
          <rPr>
            <sz val="9"/>
            <color indexed="81"/>
            <rFont val="Tahoma"/>
            <family val="2"/>
          </rPr>
          <t xml:space="preserve">
-The input voltage is above </t>
        </r>
        <r>
          <rPr>
            <b/>
            <sz val="9"/>
            <color indexed="10"/>
            <rFont val="Tahoma"/>
            <family val="2"/>
          </rPr>
          <t>100V</t>
        </r>
        <r>
          <rPr>
            <sz val="9"/>
            <color indexed="81"/>
            <rFont val="Tahoma"/>
            <family val="2"/>
          </rPr>
          <t xml:space="preserve">
-The input voltage is below </t>
        </r>
        <r>
          <rPr>
            <b/>
            <sz val="9"/>
            <color indexed="10"/>
            <rFont val="Tahoma"/>
            <family val="2"/>
          </rPr>
          <t xml:space="preserve">4.5V
</t>
        </r>
      </text>
    </comment>
    <comment ref="M6" authorId="0" shapeId="0" xr:uid="{00000000-0006-0000-0000-000004000000}">
      <text>
        <r>
          <rPr>
            <b/>
            <u/>
            <sz val="9"/>
            <color indexed="81"/>
            <rFont val="Tahoma"/>
            <family val="2"/>
          </rPr>
          <t>Recommended Magnetizing Inductance</t>
        </r>
        <r>
          <rPr>
            <b/>
            <sz val="9"/>
            <color indexed="81"/>
            <rFont val="Tahoma"/>
            <family val="2"/>
          </rPr>
          <t xml:space="preserve">:
</t>
        </r>
        <r>
          <rPr>
            <sz val="9"/>
            <color indexed="81"/>
            <rFont val="Tahoma"/>
            <family val="2"/>
          </rPr>
          <t>The recommended magnetizing inductance is set to operate at about 200 to 250kHz switching in BCM under full load and Vin_nom. Try not to deviate much from this recommended inductances:
--If the inductance is too high, the transformer would be larger and more expensive.
--If the inductance is too small, the efficiency would be sacrificed due to increase conduction losses with higher peak current.</t>
        </r>
      </text>
    </comment>
    <comment ref="F7" authorId="0" shapeId="0" xr:uid="{00000000-0006-0000-0000-000005000000}">
      <text>
        <r>
          <rPr>
            <b/>
            <u/>
            <sz val="9"/>
            <color indexed="81"/>
            <rFont val="Tahoma"/>
            <family val="2"/>
          </rPr>
          <t>Nominal Input Voltage</t>
        </r>
        <r>
          <rPr>
            <b/>
            <sz val="9"/>
            <color indexed="81"/>
            <rFont val="Tahoma"/>
            <family val="2"/>
          </rPr>
          <t>:</t>
        </r>
        <r>
          <rPr>
            <sz val="9"/>
            <color indexed="81"/>
            <rFont val="Tahoma"/>
            <family val="2"/>
          </rPr>
          <t xml:space="preserve">
Enter the nominal input operating voltage.
The LM5185 input voltage operating range is 4.5V to 100V.
</t>
        </r>
        <r>
          <rPr>
            <b/>
            <sz val="9"/>
            <color indexed="81"/>
            <rFont val="Tahoma"/>
            <family val="2"/>
          </rPr>
          <t xml:space="preserve">The text in this cell is red if:
</t>
        </r>
        <r>
          <rPr>
            <sz val="9"/>
            <color indexed="81"/>
            <rFont val="Tahoma"/>
            <family val="2"/>
          </rPr>
          <t>-The Nom Vin is less than Min Vin</t>
        </r>
        <r>
          <rPr>
            <b/>
            <sz val="9"/>
            <color indexed="81"/>
            <rFont val="Tahoma"/>
            <family val="2"/>
          </rPr>
          <t>.</t>
        </r>
        <r>
          <rPr>
            <sz val="9"/>
            <color indexed="81"/>
            <rFont val="Tahoma"/>
            <family val="2"/>
          </rPr>
          <t xml:space="preserve">
-The input voltage is above </t>
        </r>
        <r>
          <rPr>
            <b/>
            <sz val="9"/>
            <color indexed="10"/>
            <rFont val="Tahoma"/>
            <family val="2"/>
          </rPr>
          <t>100V</t>
        </r>
        <r>
          <rPr>
            <sz val="9"/>
            <color indexed="81"/>
            <rFont val="Tahoma"/>
            <family val="2"/>
          </rPr>
          <t xml:space="preserve">
-The input voltage is below </t>
        </r>
        <r>
          <rPr>
            <b/>
            <sz val="9"/>
            <color indexed="10"/>
            <rFont val="Tahoma"/>
            <family val="2"/>
          </rPr>
          <t xml:space="preserve">4.5V
</t>
        </r>
      </text>
    </comment>
    <comment ref="M7" authorId="0" shapeId="0" xr:uid="{00000000-0006-0000-0000-000006000000}">
      <text>
        <r>
          <rPr>
            <b/>
            <u/>
            <sz val="9"/>
            <color indexed="81"/>
            <rFont val="Tahoma"/>
            <family val="2"/>
          </rPr>
          <t>Magnetizing Inductance</t>
        </r>
        <r>
          <rPr>
            <b/>
            <sz val="9"/>
            <color indexed="81"/>
            <rFont val="Tahoma"/>
            <family val="2"/>
          </rPr>
          <t xml:space="preserve">:
</t>
        </r>
        <r>
          <rPr>
            <sz val="9"/>
            <color indexed="81"/>
            <rFont val="Tahoma"/>
            <family val="2"/>
          </rPr>
          <t xml:space="preserve">Enter the transformer mag inductance of your choice here.
Lower inductance provides an earlier transition from FFM to DCM but pushes out (or entirely eliminates) BCM operation. The main priviso is that the rated output current is achieved at nominal input voltage. Allow at least a 10% margin here to allow 
</t>
        </r>
        <r>
          <rPr>
            <b/>
            <sz val="9"/>
            <color indexed="81"/>
            <rFont val="Tahoma"/>
            <family val="2"/>
          </rPr>
          <t xml:space="preserve">This cell is flagged </t>
        </r>
        <r>
          <rPr>
            <b/>
            <sz val="9"/>
            <color indexed="10"/>
            <rFont val="Tahoma"/>
            <family val="2"/>
          </rPr>
          <t>RED</t>
        </r>
        <r>
          <rPr>
            <b/>
            <sz val="9"/>
            <color indexed="81"/>
            <rFont val="Tahoma"/>
            <family val="2"/>
          </rPr>
          <t xml:space="preserve"> if:</t>
        </r>
        <r>
          <rPr>
            <b/>
            <sz val="9"/>
            <color indexed="39"/>
            <rFont val="Tahoma"/>
            <family val="2"/>
          </rPr>
          <t xml:space="preserve">
</t>
        </r>
        <r>
          <rPr>
            <b/>
            <sz val="9"/>
            <color indexed="10"/>
            <rFont val="Tahoma"/>
            <family val="2"/>
          </rPr>
          <t>-The chosen inductance is too small. Increase the choosen value.</t>
        </r>
      </text>
    </comment>
    <comment ref="F8" authorId="0" shapeId="0" xr:uid="{00000000-0006-0000-0000-000007000000}">
      <text>
        <r>
          <rPr>
            <b/>
            <u/>
            <sz val="9"/>
            <color indexed="81"/>
            <rFont val="Tahoma"/>
            <family val="2"/>
          </rPr>
          <t>Maximum Input Voltage</t>
        </r>
        <r>
          <rPr>
            <b/>
            <sz val="9"/>
            <color indexed="81"/>
            <rFont val="Tahoma"/>
            <family val="2"/>
          </rPr>
          <t>:</t>
        </r>
        <r>
          <rPr>
            <sz val="9"/>
            <color indexed="81"/>
            <rFont val="Tahoma"/>
            <family val="2"/>
          </rPr>
          <t xml:space="preserve">
Enter the maximum input operating voltage.
The LM5185 input voltage operating range is 4.5V to 100V.
</t>
        </r>
        <r>
          <rPr>
            <b/>
            <sz val="9"/>
            <color indexed="81"/>
            <rFont val="Tahoma"/>
            <family val="2"/>
          </rPr>
          <t xml:space="preserve">The text in this cell is red if:
</t>
        </r>
        <r>
          <rPr>
            <sz val="9"/>
            <color indexed="81"/>
            <rFont val="Tahoma"/>
            <family val="2"/>
          </rPr>
          <t xml:space="preserve">-The Max Vin is less than the Nom Vin.
-The input voltage is above </t>
        </r>
        <r>
          <rPr>
            <b/>
            <sz val="9"/>
            <color indexed="10"/>
            <rFont val="Tahoma"/>
            <family val="2"/>
          </rPr>
          <t>100V</t>
        </r>
        <r>
          <rPr>
            <sz val="9"/>
            <color indexed="81"/>
            <rFont val="Tahoma"/>
            <family val="2"/>
          </rPr>
          <t xml:space="preserve">
-The input voltage is below </t>
        </r>
        <r>
          <rPr>
            <b/>
            <sz val="9"/>
            <color indexed="10"/>
            <rFont val="Tahoma"/>
            <family val="2"/>
          </rPr>
          <t xml:space="preserve">4.5V
</t>
        </r>
      </text>
    </comment>
    <comment ref="M8" authorId="0" shapeId="0" xr:uid="{00000000-0006-0000-0000-000008000000}">
      <text>
        <r>
          <rPr>
            <b/>
            <u/>
            <sz val="9"/>
            <color indexed="81"/>
            <rFont val="Tahoma"/>
            <family val="2"/>
          </rPr>
          <t>Primary Winding DCR</t>
        </r>
        <r>
          <rPr>
            <b/>
            <sz val="9"/>
            <color indexed="81"/>
            <rFont val="Tahoma"/>
            <family val="2"/>
          </rPr>
          <t xml:space="preserve">:
</t>
        </r>
        <r>
          <rPr>
            <sz val="9"/>
            <color indexed="81"/>
            <rFont val="Tahoma"/>
            <family val="2"/>
          </rPr>
          <t>Enter the primary winding DC resistance (DCR) here. This is typically specified in the transformer datasheet at 25°C copper temperature.</t>
        </r>
      </text>
    </comment>
    <comment ref="M9" authorId="0" shapeId="0" xr:uid="{00000000-0006-0000-0000-000009000000}">
      <text>
        <r>
          <rPr>
            <b/>
            <u/>
            <sz val="9"/>
            <color indexed="81"/>
            <rFont val="Tahoma"/>
            <family val="2"/>
          </rPr>
          <t>Secondary Winding DCR</t>
        </r>
        <r>
          <rPr>
            <b/>
            <sz val="9"/>
            <color indexed="81"/>
            <rFont val="Tahoma"/>
            <family val="2"/>
          </rPr>
          <t xml:space="preserve">:
</t>
        </r>
        <r>
          <rPr>
            <sz val="9"/>
            <color indexed="81"/>
            <rFont val="Tahoma"/>
            <family val="2"/>
          </rPr>
          <t>Enter the secondary winding DCR here. This is typically specified in the transformer datasheet at 25°C copper temperature.</t>
        </r>
      </text>
    </comment>
    <comment ref="F10" authorId="0" shapeId="0" xr:uid="{00000000-0006-0000-0000-00000A000000}">
      <text>
        <r>
          <rPr>
            <b/>
            <u/>
            <sz val="9"/>
            <color indexed="81"/>
            <rFont val="Tahoma"/>
            <family val="2"/>
          </rPr>
          <t>Output Voltage</t>
        </r>
        <r>
          <rPr>
            <b/>
            <sz val="9"/>
            <color indexed="81"/>
            <rFont val="Tahoma"/>
            <family val="2"/>
          </rPr>
          <t xml:space="preserve">:
</t>
        </r>
        <r>
          <rPr>
            <sz val="9"/>
            <color indexed="81"/>
            <rFont val="Tahoma"/>
            <family val="2"/>
          </rPr>
          <t xml:space="preserve">Enter the desired </t>
        </r>
        <r>
          <rPr>
            <sz val="9"/>
            <color indexed="8"/>
            <rFont val="Tahoma"/>
            <family val="2"/>
          </rPr>
          <t>output</t>
        </r>
        <r>
          <rPr>
            <sz val="9"/>
            <color indexed="81"/>
            <rFont val="Tahoma"/>
            <family val="2"/>
          </rPr>
          <t xml:space="preserve"> voltage here.</t>
        </r>
      </text>
    </comment>
    <comment ref="F11" authorId="0" shapeId="0" xr:uid="{00000000-0006-0000-0000-00000B000000}">
      <text>
        <r>
          <rPr>
            <b/>
            <u/>
            <sz val="9"/>
            <color indexed="81"/>
            <rFont val="Tahoma"/>
            <family val="2"/>
          </rPr>
          <t>Output Current</t>
        </r>
        <r>
          <rPr>
            <b/>
            <sz val="9"/>
            <color indexed="81"/>
            <rFont val="Tahoma"/>
            <family val="2"/>
          </rPr>
          <t xml:space="preserve">:
</t>
        </r>
        <r>
          <rPr>
            <sz val="9"/>
            <color indexed="81"/>
            <rFont val="Tahoma"/>
            <family val="2"/>
          </rPr>
          <t>Enter the desired output current here.</t>
        </r>
        <r>
          <rPr>
            <b/>
            <sz val="9"/>
            <color indexed="81"/>
            <rFont val="Tahoma"/>
            <family val="2"/>
          </rPr>
          <t xml:space="preserve">
</t>
        </r>
        <r>
          <rPr>
            <sz val="9"/>
            <color indexed="81"/>
            <rFont val="Tahoma"/>
            <family val="2"/>
          </rPr>
          <t xml:space="preserve">The text in this cell is </t>
        </r>
        <r>
          <rPr>
            <b/>
            <sz val="9"/>
            <color indexed="10"/>
            <rFont val="Tahoma"/>
            <family val="2"/>
          </rPr>
          <t>RED</t>
        </r>
        <r>
          <rPr>
            <sz val="9"/>
            <color indexed="81"/>
            <rFont val="Tahoma"/>
            <family val="2"/>
          </rPr>
          <t xml:space="preserve"> if:</t>
        </r>
        <r>
          <rPr>
            <b/>
            <sz val="9"/>
            <color indexed="81"/>
            <rFont val="Tahoma"/>
            <family val="2"/>
          </rPr>
          <t xml:space="preserve">
</t>
        </r>
        <r>
          <rPr>
            <b/>
            <sz val="9"/>
            <color indexed="39"/>
            <rFont val="Tahoma"/>
            <family val="2"/>
          </rPr>
          <t xml:space="preserve">-The output current is below </t>
        </r>
        <r>
          <rPr>
            <b/>
            <sz val="9"/>
            <color indexed="10"/>
            <rFont val="Tahoma"/>
            <family val="2"/>
          </rPr>
          <t xml:space="preserve">10mA
</t>
        </r>
      </text>
    </comment>
    <comment ref="M12" authorId="1" shapeId="0" xr:uid="{CAB962D0-E7B4-4770-8363-E972CE1155C9}">
      <text>
        <r>
          <rPr>
            <b/>
            <sz val="9"/>
            <color indexed="81"/>
            <rFont val="Tahoma"/>
            <family val="2"/>
          </rPr>
          <t xml:space="preserve">Proposed turns ratio.
</t>
        </r>
        <r>
          <rPr>
            <sz val="9"/>
            <color indexed="81"/>
            <rFont val="Tahoma"/>
            <family val="2"/>
          </rPr>
          <t xml:space="preserve">The cell will turn red if the duty cycle under VIN(min) exceeds 75%. The design may still work, but you may consider to adjust the turns ration slightly.
</t>
        </r>
      </text>
    </comment>
    <comment ref="F13" authorId="1" shapeId="0" xr:uid="{1722616E-F390-487A-A34E-2B05516BC09F}">
      <text>
        <r>
          <rPr>
            <b/>
            <sz val="9"/>
            <color indexed="81"/>
            <rFont val="Tahoma"/>
            <family val="2"/>
          </rPr>
          <t xml:space="preserve">Second Output Load Current.
</t>
        </r>
        <r>
          <rPr>
            <sz val="9"/>
            <color indexed="81"/>
            <rFont val="Tahoma"/>
            <family val="2"/>
          </rPr>
          <t>The text in the cell will turn</t>
        </r>
        <r>
          <rPr>
            <b/>
            <sz val="9"/>
            <color indexed="10"/>
            <rFont val="Tahoma"/>
            <family val="2"/>
          </rPr>
          <t xml:space="preserve"> red if</t>
        </r>
        <r>
          <rPr>
            <b/>
            <sz val="9"/>
            <color indexed="81"/>
            <rFont val="Tahoma"/>
            <family val="2"/>
          </rPr>
          <t xml:space="preserve"> </t>
        </r>
        <r>
          <rPr>
            <sz val="9"/>
            <color indexed="81"/>
            <rFont val="Tahoma"/>
            <family val="2"/>
          </rPr>
          <t>the current has a different sign from the VOUT2.</t>
        </r>
      </text>
    </comment>
    <comment ref="M15" authorId="0" shapeId="0" xr:uid="{00000000-0006-0000-0000-00000C000000}">
      <text>
        <r>
          <rPr>
            <b/>
            <u/>
            <sz val="9"/>
            <color indexed="81"/>
            <rFont val="Tahoma"/>
            <family val="2"/>
          </rPr>
          <t>Max Duty Cycle</t>
        </r>
        <r>
          <rPr>
            <b/>
            <sz val="9"/>
            <color indexed="81"/>
            <rFont val="Tahoma"/>
            <family val="2"/>
          </rPr>
          <t xml:space="preserve">:
</t>
        </r>
        <r>
          <rPr>
            <sz val="9"/>
            <color indexed="81"/>
            <rFont val="Tahoma"/>
            <family val="2"/>
          </rPr>
          <t>The max operating duty cycle is preferably kept below 75% to prevent high peak/rms currents in the flyback diode(s) and secondary winding(s).
If the cell shows "#VALUE!", reduce Rcs value in Cell E17.</t>
        </r>
      </text>
    </comment>
    <comment ref="M16" authorId="0" shapeId="0" xr:uid="{00000000-0006-0000-0000-00000D000000}">
      <text>
        <r>
          <rPr>
            <b/>
            <u/>
            <sz val="9"/>
            <color indexed="81"/>
            <rFont val="Tahoma"/>
            <family val="2"/>
          </rPr>
          <t>Max Output Current at VIN(min)</t>
        </r>
        <r>
          <rPr>
            <b/>
            <sz val="9"/>
            <color indexed="81"/>
            <rFont val="Tahoma"/>
            <family val="2"/>
          </rPr>
          <t xml:space="preserve">:
</t>
        </r>
        <r>
          <rPr>
            <sz val="9"/>
            <color indexed="81"/>
            <rFont val="Tahoma"/>
            <family val="2"/>
          </rPr>
          <t>The output power is most limited at minimum input voltage. Adjust the transformer turns ratio if needed. Allow at least a 10% margin viz-a-viz the required output power.
If the cell shows "#VALUE!", reduce Rcs value in E17.</t>
        </r>
      </text>
    </comment>
    <comment ref="F17" authorId="0" shapeId="0" xr:uid="{00000000-0006-0000-0000-00000E000000}">
      <text>
        <r>
          <rPr>
            <b/>
            <u/>
            <sz val="9"/>
            <color indexed="81"/>
            <rFont val="Tahoma"/>
            <family val="2"/>
          </rPr>
          <t>Current Sense Resistor</t>
        </r>
        <r>
          <rPr>
            <b/>
            <sz val="9"/>
            <color indexed="81"/>
            <rFont val="Tahoma"/>
            <family val="2"/>
          </rPr>
          <t xml:space="preserve">:
</t>
        </r>
        <r>
          <rPr>
            <sz val="9"/>
            <color indexed="81"/>
            <rFont val="Tahoma"/>
            <family val="2"/>
          </rPr>
          <t xml:space="preserve">Enter the current sense resistor value here.
The text in the cell will turn </t>
        </r>
        <r>
          <rPr>
            <b/>
            <sz val="9"/>
            <color indexed="10"/>
            <rFont val="Tahoma"/>
            <family val="2"/>
          </rPr>
          <t xml:space="preserve">  red </t>
        </r>
        <r>
          <rPr>
            <b/>
            <sz val="9"/>
            <color indexed="81"/>
            <rFont val="Tahoma"/>
            <family val="2"/>
          </rPr>
          <t xml:space="preserve"> if the selection is greater tha</t>
        </r>
        <r>
          <rPr>
            <sz val="9"/>
            <color indexed="81"/>
            <rFont val="Tahoma"/>
            <family val="2"/>
          </rPr>
          <t>n the recommended maximum Rcs value, and</t>
        </r>
        <r>
          <rPr>
            <b/>
            <sz val="9"/>
            <color indexed="81"/>
            <rFont val="Tahoma"/>
            <family val="2"/>
          </rPr>
          <t xml:space="preserve"> full load would not be guaranteed</t>
        </r>
        <r>
          <rPr>
            <sz val="9"/>
            <color indexed="81"/>
            <rFont val="Tahoma"/>
            <family val="2"/>
          </rPr>
          <t xml:space="preserve">. </t>
        </r>
      </text>
    </comment>
    <comment ref="F18" authorId="1" shapeId="0" xr:uid="{37226554-35AD-4B24-AFBD-ADB0FE41ABA9}">
      <text>
        <r>
          <rPr>
            <b/>
            <sz val="9"/>
            <color indexed="81"/>
            <rFont val="Tahoma"/>
            <family val="2"/>
          </rPr>
          <t xml:space="preserve">Important: The selected transformer Isat should </t>
        </r>
        <r>
          <rPr>
            <b/>
            <i/>
            <sz val="9"/>
            <color indexed="81"/>
            <rFont val="Tahoma"/>
            <family val="2"/>
          </rPr>
          <t>not</t>
        </r>
        <r>
          <rPr>
            <b/>
            <sz val="9"/>
            <color indexed="81"/>
            <rFont val="Tahoma"/>
            <family val="2"/>
          </rPr>
          <t xml:space="preserve"> be smaller than this value.</t>
        </r>
      </text>
    </comment>
    <comment ref="F23" authorId="1" shapeId="0" xr:uid="{8656CEB6-6ED9-41C6-8605-018CF280C9F0}">
      <text>
        <r>
          <rPr>
            <b/>
            <sz val="9"/>
            <color indexed="81"/>
            <rFont val="Tahoma"/>
            <family val="2"/>
          </rPr>
          <t>Selected Zener Rated Voltage.</t>
        </r>
        <r>
          <rPr>
            <sz val="9"/>
            <color indexed="81"/>
            <rFont val="Tahoma"/>
            <family val="2"/>
          </rPr>
          <t xml:space="preserve">
The text in the cell will turn </t>
        </r>
        <r>
          <rPr>
            <b/>
            <sz val="9"/>
            <color indexed="10"/>
            <rFont val="Tahoma"/>
            <family val="2"/>
          </rPr>
          <t>red if</t>
        </r>
        <r>
          <rPr>
            <sz val="9"/>
            <color indexed="81"/>
            <rFont val="Tahoma"/>
            <family val="2"/>
          </rPr>
          <t xml:space="preserve"> the selected Zener voltage is lower than the recommended value.</t>
        </r>
      </text>
    </comment>
    <comment ref="F24" authorId="1" shapeId="0" xr:uid="{31A291A4-31E5-44E3-9BAC-33CB570C70F5}">
      <text>
        <r>
          <rPr>
            <b/>
            <sz val="9"/>
            <color indexed="81"/>
            <rFont val="Tahoma"/>
            <family val="2"/>
          </rPr>
          <t>Power MOSFET Vds Rating</t>
        </r>
        <r>
          <rPr>
            <sz val="9"/>
            <color indexed="81"/>
            <rFont val="Tahoma"/>
            <family val="2"/>
          </rPr>
          <t xml:space="preserve"> should </t>
        </r>
        <r>
          <rPr>
            <b/>
            <i/>
            <sz val="9"/>
            <color indexed="81"/>
            <rFont val="Tahoma"/>
            <family val="2"/>
          </rPr>
          <t>not</t>
        </r>
        <r>
          <rPr>
            <sz val="9"/>
            <color indexed="81"/>
            <rFont val="Tahoma"/>
            <family val="2"/>
          </rPr>
          <t xml:space="preserve"> be less than this value. 
</t>
        </r>
      </text>
    </comment>
    <comment ref="M24" authorId="0" shapeId="0" xr:uid="{00000000-0006-0000-0000-00000F000000}">
      <text>
        <r>
          <rPr>
            <b/>
            <u/>
            <sz val="9"/>
            <color indexed="81"/>
            <rFont val="Tahoma"/>
            <family val="2"/>
          </rPr>
          <t>MOSFET Qg</t>
        </r>
        <r>
          <rPr>
            <b/>
            <sz val="9"/>
            <color indexed="81"/>
            <rFont val="Tahoma"/>
            <family val="2"/>
          </rPr>
          <t xml:space="preserve">:
</t>
        </r>
        <r>
          <rPr>
            <sz val="9"/>
            <color indexed="81"/>
            <rFont val="Tahoma"/>
            <family val="2"/>
          </rPr>
          <t>Choose a MOSFET having a total gate charge of less than the recommended Max Qg.</t>
        </r>
      </text>
    </comment>
    <comment ref="M25" authorId="0" shapeId="0" xr:uid="{00000000-0006-0000-0000-000010000000}">
      <text>
        <r>
          <rPr>
            <b/>
            <u/>
            <sz val="9"/>
            <color indexed="81"/>
            <rFont val="Tahoma"/>
            <family val="2"/>
          </rPr>
          <t>MOSFET Coss</t>
        </r>
        <r>
          <rPr>
            <sz val="9"/>
            <color indexed="81"/>
            <rFont val="Tahoma"/>
            <family val="2"/>
          </rPr>
          <t xml:space="preserve">
Enter the Coss parameter of selected MOSFET.</t>
        </r>
      </text>
    </comment>
    <comment ref="M26" authorId="0" shapeId="0" xr:uid="{CEB6B93C-5411-41EE-A8C1-47824136DD57}">
      <text>
        <r>
          <rPr>
            <b/>
            <u/>
            <sz val="9"/>
            <color indexed="81"/>
            <rFont val="Tahoma"/>
            <family val="2"/>
          </rPr>
          <t>MOSFET Power Dissipation</t>
        </r>
        <r>
          <rPr>
            <b/>
            <sz val="9"/>
            <color indexed="81"/>
            <rFont val="Tahoma"/>
            <family val="2"/>
          </rPr>
          <t xml:space="preserve">:
</t>
        </r>
        <r>
          <rPr>
            <sz val="9"/>
            <color indexed="81"/>
            <rFont val="Tahoma"/>
            <family val="2"/>
          </rPr>
          <t>Estimated maximum MOSFET power dissipation. Make sure to choose appropriate MOSFET package and/or heatsink for effective heat dissipation.</t>
        </r>
      </text>
    </comment>
    <comment ref="F29" authorId="0" shapeId="0" xr:uid="{00000000-0006-0000-0000-000011000000}">
      <text>
        <r>
          <rPr>
            <b/>
            <u/>
            <sz val="9"/>
            <color indexed="81"/>
            <rFont val="Tahoma"/>
            <family val="2"/>
          </rPr>
          <t>Minimum Recommended Cin</t>
        </r>
        <r>
          <rPr>
            <b/>
            <sz val="9"/>
            <color indexed="81"/>
            <rFont val="Tahoma"/>
            <family val="2"/>
          </rPr>
          <t xml:space="preserve">:
</t>
        </r>
        <r>
          <rPr>
            <sz val="9"/>
            <color indexed="81"/>
            <rFont val="Tahoma"/>
            <family val="2"/>
          </rPr>
          <t xml:space="preserve">This is the minimum input cap based on 10% pk-pk voltage ripple at the input.
</t>
        </r>
        <r>
          <rPr>
            <sz val="9"/>
            <color indexed="39"/>
            <rFont val="Tahoma"/>
            <family val="2"/>
          </rPr>
          <t xml:space="preserve">
</t>
        </r>
        <r>
          <rPr>
            <b/>
            <sz val="9"/>
            <color indexed="39"/>
            <rFont val="Tahoma"/>
            <family val="2"/>
          </rPr>
          <t>This condition is derived at VIN(nom).</t>
        </r>
        <r>
          <rPr>
            <b/>
            <sz val="9"/>
            <color indexed="81"/>
            <rFont val="Tahoma"/>
            <family val="2"/>
          </rPr>
          <t xml:space="preserve">
</t>
        </r>
      </text>
    </comment>
    <comment ref="F30" authorId="0" shapeId="0" xr:uid="{00000000-0006-0000-0000-000012000000}">
      <text>
        <r>
          <rPr>
            <b/>
            <u/>
            <sz val="9"/>
            <color indexed="81"/>
            <rFont val="Tahoma"/>
            <family val="2"/>
          </rPr>
          <t>Input Capacitance</t>
        </r>
        <r>
          <rPr>
            <b/>
            <sz val="9"/>
            <color indexed="81"/>
            <rFont val="Tahoma"/>
            <family val="2"/>
          </rPr>
          <t xml:space="preserve">:
</t>
        </r>
        <r>
          <rPr>
            <sz val="9"/>
            <color indexed="81"/>
            <rFont val="Tahoma"/>
            <family val="2"/>
          </rPr>
          <t xml:space="preserve">Enter the input capacitance here based on the minimum calculated result. Ensure that the nominal capacitance is appropriately derated for applied voltage.
</t>
        </r>
        <r>
          <rPr>
            <b/>
            <sz val="9"/>
            <color indexed="81"/>
            <rFont val="Tahoma"/>
            <family val="2"/>
          </rPr>
          <t xml:space="preserve">The text in this cell is flagged </t>
        </r>
        <r>
          <rPr>
            <b/>
            <sz val="9"/>
            <color indexed="10"/>
            <rFont val="Tahoma"/>
            <family val="2"/>
          </rPr>
          <t>red</t>
        </r>
        <r>
          <rPr>
            <b/>
            <sz val="9"/>
            <color indexed="81"/>
            <rFont val="Tahoma"/>
            <family val="2"/>
          </rPr>
          <t xml:space="preserve"> if:
</t>
        </r>
        <r>
          <rPr>
            <b/>
            <sz val="9"/>
            <color indexed="10"/>
            <rFont val="Tahoma"/>
            <family val="2"/>
          </rPr>
          <t>-The chosen input capacitor is smaller than the minimum ideal capacitance.</t>
        </r>
      </text>
    </comment>
    <comment ref="F31" authorId="0" shapeId="0" xr:uid="{00000000-0006-0000-0000-000013000000}">
      <text>
        <r>
          <rPr>
            <b/>
            <u/>
            <sz val="9"/>
            <color indexed="81"/>
            <rFont val="Tahoma"/>
            <family val="2"/>
          </rPr>
          <t>Input Capacitor ESR</t>
        </r>
        <r>
          <rPr>
            <b/>
            <sz val="9"/>
            <color indexed="81"/>
            <rFont val="Tahoma"/>
            <family val="2"/>
          </rPr>
          <t xml:space="preserve">:
</t>
        </r>
        <r>
          <rPr>
            <sz val="9"/>
            <color indexed="81"/>
            <rFont val="Tahoma"/>
            <family val="2"/>
          </rPr>
          <t>Enter the input capacitor ESR here based on the maximum allowed input capacitor ESR to meet the ripple voltage specification.</t>
        </r>
        <r>
          <rPr>
            <b/>
            <sz val="9"/>
            <color indexed="81"/>
            <rFont val="Tahoma"/>
            <family val="2"/>
          </rPr>
          <t xml:space="preserve">
The text in this cell will be </t>
        </r>
        <r>
          <rPr>
            <b/>
            <sz val="9"/>
            <color indexed="10"/>
            <rFont val="Tahoma"/>
            <family val="2"/>
          </rPr>
          <t>red</t>
        </r>
        <r>
          <rPr>
            <b/>
            <sz val="9"/>
            <color indexed="81"/>
            <rFont val="Tahoma"/>
            <family val="2"/>
          </rPr>
          <t xml:space="preserve"> if:
</t>
        </r>
        <r>
          <rPr>
            <b/>
            <sz val="9"/>
            <color indexed="10"/>
            <rFont val="Tahoma"/>
            <family val="2"/>
          </rPr>
          <t>-ESR is zero, or
-ESR exceeds maximum allowable ESR to meet the voltage ripple specification.</t>
        </r>
        <r>
          <rPr>
            <sz val="11"/>
            <color indexed="81"/>
            <rFont val="Tahoma"/>
            <family val="2"/>
          </rPr>
          <t xml:space="preserve">
</t>
        </r>
      </text>
    </comment>
    <comment ref="T31" authorId="1" shapeId="0" xr:uid="{29CE184D-A96B-4A3A-A63A-D90B0214AAB4}">
      <text>
        <r>
          <rPr>
            <b/>
            <sz val="9"/>
            <color indexed="81"/>
            <rFont val="Tahoma"/>
            <family val="2"/>
          </rPr>
          <t xml:space="preserve">Output #2 Diode Forward Voltage Drop at Rated Load Current.
</t>
        </r>
        <r>
          <rPr>
            <sz val="9"/>
            <color indexed="81"/>
            <rFont val="Tahoma"/>
            <family val="2"/>
          </rPr>
          <t>The text in the cell will turn</t>
        </r>
        <r>
          <rPr>
            <b/>
            <sz val="9"/>
            <color indexed="81"/>
            <rFont val="Tahoma"/>
            <family val="2"/>
          </rPr>
          <t xml:space="preserve"> </t>
        </r>
        <r>
          <rPr>
            <b/>
            <sz val="9"/>
            <color indexed="10"/>
            <rFont val="Tahoma"/>
            <family val="2"/>
          </rPr>
          <t>red</t>
        </r>
        <r>
          <rPr>
            <b/>
            <sz val="9"/>
            <color indexed="81"/>
            <rFont val="Tahoma"/>
            <family val="2"/>
          </rPr>
          <t xml:space="preserve"> </t>
        </r>
        <r>
          <rPr>
            <sz val="9"/>
            <color indexed="81"/>
            <rFont val="Tahoma"/>
            <family val="2"/>
          </rPr>
          <t xml:space="preserve">if the forward drop voltage is obviously wrong for being outside the normal 0.3V and 1.5V. 
</t>
        </r>
      </text>
    </comment>
    <comment ref="F33" authorId="0" shapeId="0" xr:uid="{00000000-0006-0000-0000-000014000000}">
      <text>
        <r>
          <rPr>
            <b/>
            <u/>
            <sz val="9"/>
            <color indexed="81"/>
            <rFont val="Tahoma"/>
            <family val="2"/>
          </rPr>
          <t>Minimum Recommneded Cout</t>
        </r>
        <r>
          <rPr>
            <b/>
            <sz val="9"/>
            <color indexed="81"/>
            <rFont val="Tahoma"/>
            <family val="2"/>
          </rPr>
          <t xml:space="preserve">:
</t>
        </r>
        <r>
          <rPr>
            <sz val="9"/>
            <color indexed="81"/>
            <rFont val="Tahoma"/>
            <family val="2"/>
          </rPr>
          <t xml:space="preserve">This is the minimum output cap based on 1% ripple at Vin(nom), full load
</t>
        </r>
        <r>
          <rPr>
            <sz val="9"/>
            <color indexed="39"/>
            <rFont val="Tahoma"/>
            <family val="2"/>
          </rPr>
          <t xml:space="preserve">
</t>
        </r>
        <r>
          <rPr>
            <b/>
            <sz val="9"/>
            <color indexed="39"/>
            <rFont val="Tahoma"/>
            <family val="2"/>
          </rPr>
          <t>NB: this condition is derived at VIN(nom).</t>
        </r>
        <r>
          <rPr>
            <b/>
            <sz val="9"/>
            <color indexed="81"/>
            <rFont val="Tahoma"/>
            <family val="2"/>
          </rPr>
          <t xml:space="preserve">
</t>
        </r>
      </text>
    </comment>
    <comment ref="F34" authorId="0" shapeId="0" xr:uid="{00000000-0006-0000-0000-000015000000}">
      <text>
        <r>
          <rPr>
            <b/>
            <u/>
            <sz val="9"/>
            <color indexed="81"/>
            <rFont val="Tahoma"/>
            <family val="2"/>
          </rPr>
          <t>Output Capacitance</t>
        </r>
        <r>
          <rPr>
            <b/>
            <sz val="9"/>
            <color indexed="81"/>
            <rFont val="Tahoma"/>
            <family val="2"/>
          </rPr>
          <t>:</t>
        </r>
        <r>
          <rPr>
            <sz val="9"/>
            <color indexed="81"/>
            <rFont val="Tahoma"/>
            <family val="2"/>
          </rPr>
          <t xml:space="preserve">
Enter the output capacitance here based on the minimum calculated result. Make sure that the nominal capacitance is appropriately derated for applied voltage, particularly with </t>
        </r>
        <r>
          <rPr>
            <sz val="9"/>
            <color indexed="39"/>
            <rFont val="Tahoma"/>
            <family val="2"/>
          </rPr>
          <t>ceramics</t>
        </r>
        <r>
          <rPr>
            <sz val="9"/>
            <color indexed="81"/>
            <rFont val="Tahoma"/>
            <family val="2"/>
          </rPr>
          <t xml:space="preserve">.
</t>
        </r>
        <r>
          <rPr>
            <b/>
            <sz val="9"/>
            <color indexed="81"/>
            <rFont val="Tahoma"/>
            <family val="2"/>
          </rPr>
          <t>The text in this cell is flagged red if:</t>
        </r>
        <r>
          <rPr>
            <sz val="9"/>
            <color indexed="81"/>
            <rFont val="Tahoma"/>
            <family val="2"/>
          </rPr>
          <t xml:space="preserve">
</t>
        </r>
        <r>
          <rPr>
            <b/>
            <sz val="9"/>
            <color indexed="10"/>
            <rFont val="Tahoma"/>
            <family val="2"/>
          </rPr>
          <t>-The chosen output capacitor is smaller than the minimum ideal capacitance.</t>
        </r>
      </text>
    </comment>
    <comment ref="F35" authorId="0" shapeId="0" xr:uid="{00000000-0006-0000-0000-000016000000}">
      <text>
        <r>
          <rPr>
            <b/>
            <u/>
            <sz val="9"/>
            <color indexed="81"/>
            <rFont val="Tahoma"/>
            <family val="2"/>
          </rPr>
          <t>Output Capacitor ESR</t>
        </r>
        <r>
          <rPr>
            <b/>
            <sz val="9"/>
            <color indexed="81"/>
            <rFont val="Tahoma"/>
            <family val="2"/>
          </rPr>
          <t xml:space="preserve">:
</t>
        </r>
        <r>
          <rPr>
            <sz val="9"/>
            <color indexed="81"/>
            <rFont val="Tahoma"/>
            <family val="2"/>
          </rPr>
          <t>Enter the output capacitor ESR here based on the maximum allowed output capacitor ESR to meet the ripple voltage specification.</t>
        </r>
        <r>
          <rPr>
            <b/>
            <sz val="9"/>
            <color indexed="81"/>
            <rFont val="Tahoma"/>
            <family val="2"/>
          </rPr>
          <t xml:space="preserve">
The text in this cell will be </t>
        </r>
        <r>
          <rPr>
            <b/>
            <sz val="9"/>
            <color indexed="10"/>
            <rFont val="Tahoma"/>
            <family val="2"/>
          </rPr>
          <t>red</t>
        </r>
        <r>
          <rPr>
            <b/>
            <sz val="9"/>
            <color indexed="81"/>
            <rFont val="Tahoma"/>
            <family val="2"/>
          </rPr>
          <t xml:space="preserve"> if:
</t>
        </r>
        <r>
          <rPr>
            <b/>
            <sz val="9"/>
            <color indexed="10"/>
            <rFont val="Tahoma"/>
            <family val="2"/>
          </rPr>
          <t>-ESR is zero, or
-ESR exceeds maximum allowable ESR to meet the voltage ripple specification.</t>
        </r>
        <r>
          <rPr>
            <sz val="11"/>
            <color indexed="81"/>
            <rFont val="Tahoma"/>
            <family val="2"/>
          </rPr>
          <t xml:space="preserve">
</t>
        </r>
      </text>
    </comment>
    <comment ref="F40" authorId="1" shapeId="0" xr:uid="{8F39E3FF-D354-49C6-9CDD-AD8F94FD11ED}">
      <text>
        <r>
          <rPr>
            <b/>
            <u/>
            <sz val="9"/>
            <color indexed="81"/>
            <rFont val="Tahoma"/>
            <family val="2"/>
          </rPr>
          <t>Feedback Resistor:</t>
        </r>
        <r>
          <rPr>
            <b/>
            <sz val="9"/>
            <color indexed="81"/>
            <rFont val="Tahoma"/>
            <family val="2"/>
          </rPr>
          <t xml:space="preserve">
</t>
        </r>
        <r>
          <rPr>
            <sz val="9"/>
            <color indexed="81"/>
            <rFont val="Tahoma"/>
            <family val="2"/>
          </rPr>
          <t xml:space="preserve">Choose a standard resistor value most close to above recommend value. To be more precise on Vout setting, you may consider to use a combination of two resistors to sever as the Feedback Resistor.  </t>
        </r>
        <r>
          <rPr>
            <b/>
            <sz val="9"/>
            <color indexed="81"/>
            <rFont val="Tahoma"/>
            <family val="2"/>
          </rPr>
          <t xml:space="preserve">
</t>
        </r>
        <r>
          <rPr>
            <b/>
            <sz val="9"/>
            <color indexed="10"/>
            <rFont val="Tahoma"/>
            <family val="2"/>
          </rPr>
          <t>Cell will turn red</t>
        </r>
        <r>
          <rPr>
            <b/>
            <sz val="9"/>
            <color indexed="81"/>
            <rFont val="Tahoma"/>
            <family val="2"/>
          </rPr>
          <t xml:space="preserve"> </t>
        </r>
        <r>
          <rPr>
            <sz val="9"/>
            <color indexed="81"/>
            <rFont val="Tahoma"/>
            <family val="2"/>
          </rPr>
          <t>if the selected Feedback Resistor has more than 3% errors.</t>
        </r>
        <r>
          <rPr>
            <b/>
            <sz val="9"/>
            <color indexed="81"/>
            <rFont val="Tahoma"/>
            <family val="2"/>
          </rPr>
          <t xml:space="preserve">  </t>
        </r>
        <r>
          <rPr>
            <sz val="9"/>
            <color indexed="81"/>
            <rFont val="Tahoma"/>
            <family val="2"/>
          </rPr>
          <t>Correct it by choosing a closer value, or the output voltage would have more errors.</t>
        </r>
        <r>
          <rPr>
            <b/>
            <sz val="9"/>
            <color indexed="81"/>
            <rFont val="Tahoma"/>
            <family val="2"/>
          </rPr>
          <t xml:space="preserve">
</t>
        </r>
      </text>
    </comment>
    <comment ref="F41" authorId="0" shapeId="0" xr:uid="{00000000-0006-0000-0000-000017000000}">
      <text>
        <r>
          <rPr>
            <b/>
            <u/>
            <sz val="9"/>
            <color indexed="81"/>
            <rFont val="Tahoma"/>
            <family val="2"/>
          </rPr>
          <t>Soft-Start Time</t>
        </r>
        <r>
          <rPr>
            <b/>
            <sz val="9"/>
            <color indexed="81"/>
            <rFont val="Tahoma"/>
            <family val="2"/>
          </rPr>
          <t xml:space="preserve">:
</t>
        </r>
        <r>
          <rPr>
            <sz val="9"/>
            <color indexed="81"/>
            <rFont val="Tahoma"/>
            <family val="2"/>
          </rPr>
          <t xml:space="preserve">Enter the </t>
        </r>
        <r>
          <rPr>
            <b/>
            <sz val="9"/>
            <color indexed="39"/>
            <rFont val="Tahoma"/>
            <family val="2"/>
          </rPr>
          <t>desired soft-start time</t>
        </r>
        <r>
          <rPr>
            <sz val="9"/>
            <color indexed="81"/>
            <rFont val="Tahoma"/>
            <family val="2"/>
          </rPr>
          <t xml:space="preserve"> as required (must be greater than 6ms).
Leave the </t>
        </r>
        <r>
          <rPr>
            <b/>
            <sz val="9"/>
            <color indexed="39"/>
            <rFont val="Tahoma"/>
            <family val="2"/>
          </rPr>
          <t>SS pin open circuit</t>
        </r>
        <r>
          <rPr>
            <sz val="9"/>
            <color indexed="81"/>
            <rFont val="Tahoma"/>
            <family val="2"/>
          </rPr>
          <t xml:space="preserve"> to provide a soft-start time of </t>
        </r>
        <r>
          <rPr>
            <b/>
            <sz val="9"/>
            <color indexed="81"/>
            <rFont val="Tahoma"/>
            <family val="2"/>
          </rPr>
          <t>6ms</t>
        </r>
        <r>
          <rPr>
            <sz val="9"/>
            <color indexed="81"/>
            <rFont val="Tahoma"/>
            <family val="2"/>
          </rPr>
          <t>.</t>
        </r>
        <r>
          <rPr>
            <b/>
            <sz val="9"/>
            <color indexed="81"/>
            <rFont val="Tahoma"/>
            <family val="2"/>
          </rPr>
          <t xml:space="preserve">
The text in the cell below becomes red if:
</t>
        </r>
        <r>
          <rPr>
            <b/>
            <sz val="9"/>
            <color indexed="10"/>
            <rFont val="Tahoma"/>
            <family val="2"/>
          </rPr>
          <t>-The specified programmable soft-start time is less than 6ms.</t>
        </r>
        <r>
          <rPr>
            <sz val="9"/>
            <color indexed="81"/>
            <rFont val="Tahoma"/>
            <family val="2"/>
          </rPr>
          <t xml:space="preserve">
</t>
        </r>
      </text>
    </comment>
    <comment ref="F47" authorId="0" shapeId="0" xr:uid="{00000000-0006-0000-0000-000018000000}">
      <text>
        <r>
          <rPr>
            <b/>
            <u/>
            <sz val="9"/>
            <color indexed="81"/>
            <rFont val="Tahoma"/>
            <family val="2"/>
          </rPr>
          <t>Nominal Input UVLO Turn-On/Off Threshold Levels</t>
        </r>
        <r>
          <rPr>
            <b/>
            <sz val="9"/>
            <color indexed="81"/>
            <rFont val="Tahoma"/>
            <family val="2"/>
          </rPr>
          <t>:</t>
        </r>
        <r>
          <rPr>
            <sz val="9"/>
            <color indexed="81"/>
            <rFont val="Tahoma"/>
            <family val="2"/>
          </rPr>
          <t xml:space="preserve">
Enter the nominal input voltages for UVLO turn-on and turn-off. 
Note that the LM5185 input operating voltage range is</t>
        </r>
        <r>
          <rPr>
            <b/>
            <sz val="9"/>
            <color indexed="81"/>
            <rFont val="Tahoma"/>
            <family val="2"/>
          </rPr>
          <t xml:space="preserve"> 4.5V to 100V</t>
        </r>
        <r>
          <rPr>
            <sz val="9"/>
            <color indexed="81"/>
            <rFont val="Tahoma"/>
            <family val="2"/>
          </rPr>
          <t xml:space="preserve">.
</t>
        </r>
        <r>
          <rPr>
            <b/>
            <sz val="9"/>
            <color indexed="81"/>
            <rFont val="Tahoma"/>
            <family val="2"/>
          </rPr>
          <t>The text in the cell below becomes red if:</t>
        </r>
        <r>
          <rPr>
            <sz val="9"/>
            <color indexed="81"/>
            <rFont val="Tahoma"/>
            <family val="2"/>
          </rPr>
          <t xml:space="preserve">
-The input voltage UVLO turn-on is above </t>
        </r>
        <r>
          <rPr>
            <b/>
            <sz val="9"/>
            <color indexed="10"/>
            <rFont val="Tahoma"/>
            <family val="2"/>
          </rPr>
          <t>100V</t>
        </r>
        <r>
          <rPr>
            <sz val="9"/>
            <color indexed="81"/>
            <rFont val="Tahoma"/>
            <family val="2"/>
          </rPr>
          <t xml:space="preserve">
-The input voltage UVLO turn-on is below </t>
        </r>
        <r>
          <rPr>
            <b/>
            <sz val="9"/>
            <color indexed="10"/>
            <rFont val="Tahoma"/>
            <family val="2"/>
          </rPr>
          <t xml:space="preserve">4.5V
</t>
        </r>
        <r>
          <rPr>
            <sz val="9"/>
            <color indexed="81"/>
            <rFont val="Tahoma"/>
            <family val="2"/>
          </rPr>
          <t>-The input voltage UVLO turn-off is below</t>
        </r>
        <r>
          <rPr>
            <b/>
            <sz val="9"/>
            <color indexed="10"/>
            <rFont val="Tahoma"/>
            <family val="2"/>
          </rPr>
          <t xml:space="preserve"> 3.5V
</t>
        </r>
        <r>
          <rPr>
            <b/>
            <sz val="9"/>
            <color indexed="39"/>
            <rFont val="Tahoma"/>
            <family val="2"/>
          </rPr>
          <t>If the internal UVLO is sufficient, connect EN to logic high or VIN.</t>
        </r>
      </text>
    </comment>
    <comment ref="F58" authorId="1" shapeId="0" xr:uid="{66D463F3-366F-4049-B7E1-9889759B4CB5}">
      <text>
        <r>
          <rPr>
            <b/>
            <sz val="9"/>
            <color indexed="81"/>
            <rFont val="Tahoma"/>
            <family val="2"/>
          </rPr>
          <t>Selected crossover frequency.</t>
        </r>
        <r>
          <rPr>
            <sz val="9"/>
            <color indexed="81"/>
            <rFont val="Tahoma"/>
            <family val="2"/>
          </rPr>
          <t xml:space="preserve">
</t>
        </r>
        <r>
          <rPr>
            <b/>
            <sz val="9"/>
            <color indexed="10"/>
            <rFont val="Tahoma"/>
            <family val="2"/>
          </rPr>
          <t>Cell will turn red if</t>
        </r>
        <r>
          <rPr>
            <sz val="9"/>
            <color indexed="81"/>
            <rFont val="Tahoma"/>
            <family val="2"/>
          </rPr>
          <t xml:space="preserve"> the selected Fco is greater than the allowed max cross frequency. 
</t>
        </r>
      </text>
    </comment>
    <comment ref="F74" authorId="1" shapeId="0" xr:uid="{A51CBC47-A0CB-455A-87DD-88758B3FDBAB}">
      <text>
        <r>
          <rPr>
            <b/>
            <u/>
            <sz val="9"/>
            <color indexed="81"/>
            <rFont val="Tahoma"/>
            <family val="2"/>
          </rPr>
          <t xml:space="preserve">Max Output Voltage Limit
</t>
        </r>
        <r>
          <rPr>
            <sz val="9"/>
            <color indexed="81"/>
            <rFont val="Tahoma"/>
            <family val="2"/>
          </rPr>
          <t xml:space="preserve">Enter the max Vout limit. 
</t>
        </r>
        <r>
          <rPr>
            <b/>
            <u/>
            <sz val="9"/>
            <color indexed="81"/>
            <rFont val="Tahoma"/>
            <family val="2"/>
          </rPr>
          <t xml:space="preserve">
</t>
        </r>
        <r>
          <rPr>
            <b/>
            <sz val="9"/>
            <color indexed="10"/>
            <rFont val="Tahoma"/>
            <family val="2"/>
          </rPr>
          <t>Cell will turn red</t>
        </r>
        <r>
          <rPr>
            <b/>
            <sz val="9"/>
            <color indexed="81"/>
            <rFont val="Tahoma"/>
            <family val="2"/>
          </rPr>
          <t xml:space="preserve"> </t>
        </r>
        <r>
          <rPr>
            <sz val="9"/>
            <color indexed="81"/>
            <rFont val="Tahoma"/>
            <family val="2"/>
          </rPr>
          <t xml:space="preserve">if the limit is less than the regulation level +3%. 
</t>
        </r>
        <r>
          <rPr>
            <b/>
            <sz val="9"/>
            <color indexed="81"/>
            <rFont val="Tahoma"/>
            <family val="2"/>
          </rPr>
          <t xml:space="preserve"> 
</t>
        </r>
        <r>
          <rPr>
            <sz val="9"/>
            <color indexed="81"/>
            <rFont val="Tahoma"/>
            <family val="2"/>
          </rPr>
          <t xml:space="preserve">
</t>
        </r>
      </text>
    </comment>
    <comment ref="M74" authorId="1" shapeId="0" xr:uid="{27B7591D-3163-44B0-8F59-E6AA7979D1D3}">
      <text>
        <r>
          <rPr>
            <b/>
            <u/>
            <sz val="9"/>
            <color indexed="81"/>
            <rFont val="Tahoma"/>
            <family val="2"/>
          </rPr>
          <t>Max Output Voltage Limit</t>
        </r>
        <r>
          <rPr>
            <b/>
            <sz val="9"/>
            <color indexed="81"/>
            <rFont val="Tahoma"/>
            <family val="2"/>
          </rPr>
          <t xml:space="preserve">
</t>
        </r>
        <r>
          <rPr>
            <sz val="9"/>
            <color indexed="81"/>
            <rFont val="Tahoma"/>
            <family val="2"/>
          </rPr>
          <t xml:space="preserve">Enter the max Vout limit. </t>
        </r>
        <r>
          <rPr>
            <b/>
            <sz val="9"/>
            <color indexed="81"/>
            <rFont val="Tahoma"/>
            <family val="2"/>
          </rPr>
          <t xml:space="preserve">
</t>
        </r>
        <r>
          <rPr>
            <b/>
            <sz val="10"/>
            <color indexed="10"/>
            <rFont val="Arial"/>
            <family val="2"/>
          </rPr>
          <t>Cell will turn red</t>
        </r>
        <r>
          <rPr>
            <sz val="9"/>
            <color indexed="81"/>
            <rFont val="Tahoma"/>
            <family val="2"/>
          </rPr>
          <t xml:space="preserve"> if the limit is less than the regulation level +3%. </t>
        </r>
      </text>
    </comment>
    <comment ref="F80" authorId="2" shapeId="0" xr:uid="{00000000-0006-0000-0000-000019000000}">
      <text>
        <r>
          <rPr>
            <b/>
            <u/>
            <sz val="9"/>
            <color indexed="81"/>
            <rFont val="Tahoma"/>
            <family val="2"/>
          </rPr>
          <t>Diode Drop</t>
        </r>
        <r>
          <rPr>
            <b/>
            <sz val="9"/>
            <color indexed="81"/>
            <rFont val="Tahoma"/>
            <family val="2"/>
          </rPr>
          <t>:</t>
        </r>
        <r>
          <rPr>
            <sz val="9"/>
            <color indexed="81"/>
            <rFont val="Tahoma"/>
            <family val="2"/>
          </rPr>
          <t xml:space="preserve">
Enter the voltage drop of the flyback diode at no load, 25°C (used for feedback resistor calculation)
The text in the cell will turn </t>
        </r>
        <r>
          <rPr>
            <b/>
            <sz val="9"/>
            <color indexed="10"/>
            <rFont val="Tahoma"/>
            <family val="2"/>
          </rPr>
          <t>red</t>
        </r>
        <r>
          <rPr>
            <sz val="9"/>
            <color indexed="81"/>
            <rFont val="Tahoma"/>
            <family val="2"/>
          </rPr>
          <t xml:space="preserve"> if the no load voltage drop is smaller than full load voltage drop. Wrong calculated can be resulted.
</t>
        </r>
      </text>
    </comment>
    <comment ref="F81" authorId="2" shapeId="0" xr:uid="{00000000-0006-0000-0000-00001A000000}">
      <text>
        <r>
          <rPr>
            <b/>
            <u/>
            <sz val="9"/>
            <color indexed="81"/>
            <rFont val="Tahoma"/>
            <family val="2"/>
          </rPr>
          <t>Diode Drop</t>
        </r>
        <r>
          <rPr>
            <b/>
            <sz val="9"/>
            <color indexed="81"/>
            <rFont val="Tahoma"/>
            <family val="2"/>
          </rPr>
          <t>:</t>
        </r>
        <r>
          <rPr>
            <sz val="9"/>
            <color indexed="81"/>
            <rFont val="Tahoma"/>
            <family val="2"/>
          </rPr>
          <t xml:space="preserve">
Enter the voltage drop of the flyback diode at full load, 25°C (used for power loss calculations)</t>
        </r>
      </text>
    </comment>
    <comment ref="F83" authorId="0" shapeId="0" xr:uid="{00000000-0006-0000-0000-00001C000000}">
      <text>
        <r>
          <rPr>
            <b/>
            <u/>
            <sz val="9"/>
            <color indexed="81"/>
            <rFont val="Tahoma"/>
            <family val="2"/>
          </rPr>
          <t>Ambient Operating Temperature</t>
        </r>
        <r>
          <rPr>
            <b/>
            <sz val="9"/>
            <color indexed="81"/>
            <rFont val="Tahoma"/>
            <family val="2"/>
          </rPr>
          <t xml:space="preserve">:
</t>
        </r>
        <r>
          <rPr>
            <sz val="9"/>
            <color indexed="81"/>
            <rFont val="Tahoma"/>
            <family val="2"/>
          </rPr>
          <t>Enter the LM5185's local ambient temperature (T</t>
        </r>
        <r>
          <rPr>
            <vertAlign val="subscript"/>
            <sz val="9"/>
            <color indexed="81"/>
            <rFont val="Tahoma"/>
            <family val="2"/>
          </rPr>
          <t>A</t>
        </r>
        <r>
          <rPr>
            <sz val="9"/>
            <color indexed="81"/>
            <rFont val="Tahoma"/>
            <family val="2"/>
          </rPr>
          <t xml:space="preserve">) here.
</t>
        </r>
        <r>
          <rPr>
            <b/>
            <sz val="9"/>
            <color indexed="81"/>
            <rFont val="Tahoma"/>
            <family val="2"/>
          </rPr>
          <t xml:space="preserve">The text in this cell is flagged </t>
        </r>
        <r>
          <rPr>
            <b/>
            <sz val="9"/>
            <color indexed="10"/>
            <rFont val="Tahoma"/>
            <family val="2"/>
          </rPr>
          <t>red</t>
        </r>
        <r>
          <rPr>
            <b/>
            <sz val="9"/>
            <color indexed="81"/>
            <rFont val="Tahoma"/>
            <family val="2"/>
          </rPr>
          <t xml:space="preserve"> if:
</t>
        </r>
        <r>
          <rPr>
            <b/>
            <sz val="9"/>
            <color indexed="10"/>
            <rFont val="Tahoma"/>
            <family val="2"/>
          </rPr>
          <t>-The chosen ambient temperature is below -40°C or above 150°C.</t>
        </r>
      </text>
    </comment>
    <comment ref="F85" authorId="0" shapeId="0" xr:uid="{00000000-0006-0000-0000-00001D000000}">
      <text>
        <r>
          <rPr>
            <b/>
            <u/>
            <sz val="9"/>
            <color indexed="81"/>
            <rFont val="Tahoma"/>
            <family val="2"/>
          </rPr>
          <t>Operating Junction Temperature</t>
        </r>
        <r>
          <rPr>
            <b/>
            <sz val="9"/>
            <color indexed="81"/>
            <rFont val="Tahoma"/>
            <family val="2"/>
          </rPr>
          <t xml:space="preserve">:
</t>
        </r>
        <r>
          <rPr>
            <sz val="9"/>
            <color indexed="81"/>
            <rFont val="Tahoma"/>
            <family val="2"/>
          </rPr>
          <t>Here is an estimate of the LM5185's opertaing junction temperature (T</t>
        </r>
        <r>
          <rPr>
            <vertAlign val="subscript"/>
            <sz val="9"/>
            <color indexed="81"/>
            <rFont val="Tahoma"/>
            <family val="2"/>
          </rPr>
          <t>J</t>
        </r>
        <r>
          <rPr>
            <sz val="9"/>
            <color indexed="81"/>
            <rFont val="Tahoma"/>
            <family val="2"/>
          </rPr>
          <t xml:space="preserve">) at full load and nominal input voltage.
</t>
        </r>
        <r>
          <rPr>
            <b/>
            <sz val="9"/>
            <color indexed="81"/>
            <rFont val="Tahoma"/>
            <family val="2"/>
          </rPr>
          <t xml:space="preserve">The text in this cell is flagged </t>
        </r>
        <r>
          <rPr>
            <b/>
            <sz val="9"/>
            <color indexed="10"/>
            <rFont val="Tahoma"/>
            <family val="2"/>
          </rPr>
          <t>red</t>
        </r>
        <r>
          <rPr>
            <b/>
            <sz val="9"/>
            <color indexed="81"/>
            <rFont val="Tahoma"/>
            <family val="2"/>
          </rPr>
          <t xml:space="preserve"> if:
</t>
        </r>
        <r>
          <rPr>
            <b/>
            <sz val="9"/>
            <color indexed="10"/>
            <rFont val="Tahoma"/>
            <family val="2"/>
          </rPr>
          <t>-The calculated junction temperature is below -40°C or above 150°C.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Timothy Hegarty</author>
  </authors>
  <commentList>
    <comment ref="A1" authorId="0" shapeId="0" xr:uid="{00000000-0006-0000-0300-000001000000}">
      <text>
        <r>
          <rPr>
            <sz val="11"/>
            <color indexed="81"/>
            <rFont val="Tahoma"/>
            <family val="2"/>
          </rPr>
          <t>This efficiency calculator is aimed towards low current, COT-type architectures. Specifically, the "On Time" is programmed by the timing resistor, Rt. Meanwhile, the "Off Time" is determined by zero crossing of the inductor current crosses (in DCM) or when FB touches VREF (in CCM). In the DCM configuration, it is assumed that the effective switching frequency is proportional to output current.</t>
        </r>
      </text>
    </comment>
    <comment ref="G2" authorId="0" shapeId="0" xr:uid="{00000000-0006-0000-0300-000002000000}">
      <text>
        <r>
          <rPr>
            <b/>
            <u/>
            <sz val="11"/>
            <color indexed="10"/>
            <rFont val="Tahoma"/>
            <family val="2"/>
          </rPr>
          <t>Texas Instruments</t>
        </r>
        <r>
          <rPr>
            <sz val="11"/>
            <color indexed="10"/>
            <rFont val="Tahoma"/>
            <family val="2"/>
          </rPr>
          <t>:</t>
        </r>
        <r>
          <rPr>
            <sz val="9"/>
            <color indexed="81"/>
            <rFont val="Tahoma"/>
            <family val="2"/>
          </rPr>
          <t xml:space="preserve">
</t>
        </r>
        <r>
          <rPr>
            <b/>
            <sz val="9"/>
            <color indexed="81"/>
            <rFont val="Tahoma"/>
            <family val="2"/>
          </rPr>
          <t>Limited Use Policy</t>
        </r>
        <r>
          <rPr>
            <sz val="9"/>
            <color indexed="81"/>
            <rFont val="Tahoma"/>
            <family val="2"/>
          </rPr>
          <t xml:space="preserve">
You must treat this software and documentation like any other copyrighted material.
</t>
        </r>
        <r>
          <rPr>
            <b/>
            <sz val="9"/>
            <color indexed="81"/>
            <rFont val="Tahoma"/>
            <family val="2"/>
          </rPr>
          <t>You may not:</t>
        </r>
        <r>
          <rPr>
            <sz val="9"/>
            <color indexed="81"/>
            <rFont val="Tahoma"/>
            <family val="2"/>
          </rPr>
          <t xml:space="preserve">
- Copy documentation of the software
- Copy this software except to make archival or backup copies
- Reverse engineer, disassemble, decompile or make any attempt to discover the source code of the Software 
- Place the software onto a server so that it is accessible via a public network such as the internet 
- Sublicense, rent, lease or lend any portion of the software or documentation.
Texas Instruments is not responsible for the validity of any design created with this software and urges all designs to be fully tested and carefully verified. Refer to the LM5165 product datasheet and EVM user guides for more details.
</t>
        </r>
        <r>
          <rPr>
            <b/>
            <sz val="9"/>
            <color indexed="81"/>
            <rFont val="Tahoma"/>
            <family val="2"/>
          </rPr>
          <t>Rev. 1, Timothy Hegarty, Texas Instruments, Inc.</t>
        </r>
      </text>
    </comment>
  </commentList>
</comments>
</file>

<file path=xl/sharedStrings.xml><?xml version="1.0" encoding="utf-8"?>
<sst xmlns="http://schemas.openxmlformats.org/spreadsheetml/2006/main" count="2461" uniqueCount="960">
  <si>
    <t>V</t>
  </si>
  <si>
    <t>A</t>
  </si>
  <si>
    <t>kHz</t>
  </si>
  <si>
    <t>Vin</t>
  </si>
  <si>
    <t>Vout</t>
  </si>
  <si>
    <t>Iout</t>
  </si>
  <si>
    <t>Value</t>
  </si>
  <si>
    <t>STD Units</t>
  </si>
  <si>
    <t>Hz</t>
  </si>
  <si>
    <t>Notes</t>
  </si>
  <si>
    <t>Nominal input voltage</t>
  </si>
  <si>
    <t>H</t>
  </si>
  <si>
    <t>Coutmin</t>
  </si>
  <si>
    <t>F</t>
  </si>
  <si>
    <t>Cout</t>
  </si>
  <si>
    <t>pF</t>
  </si>
  <si>
    <t>Pi</t>
  </si>
  <si>
    <t>Rfb2</t>
  </si>
  <si>
    <t>Vref</t>
  </si>
  <si>
    <t>Variable Name</t>
  </si>
  <si>
    <t>mΩ</t>
  </si>
  <si>
    <t>kΩ</t>
  </si>
  <si>
    <t>TERMS OF USE</t>
  </si>
  <si>
    <t>Currents</t>
  </si>
  <si>
    <t>IQ</t>
  </si>
  <si>
    <t>Step</t>
  </si>
  <si>
    <t>Design</t>
  </si>
  <si>
    <t>L</t>
  </si>
  <si>
    <t>Cin</t>
  </si>
  <si>
    <t>Components</t>
  </si>
  <si>
    <t>mA</t>
  </si>
  <si>
    <t>nC</t>
  </si>
  <si>
    <t>ns</t>
  </si>
  <si>
    <t>Units</t>
  </si>
  <si>
    <t>Outputs</t>
  </si>
  <si>
    <t>LTc</t>
  </si>
  <si>
    <t>Ta</t>
  </si>
  <si>
    <t>RCinEsr</t>
  </si>
  <si>
    <t>Tr</t>
  </si>
  <si>
    <t>Tf</t>
  </si>
  <si>
    <t>Ambient Temperature</t>
  </si>
  <si>
    <t>Description</t>
  </si>
  <si>
    <t>Input Parameters</t>
  </si>
  <si>
    <t>Input Value</t>
  </si>
  <si>
    <t>Power Dis</t>
  </si>
  <si>
    <t>W</t>
  </si>
  <si>
    <t>Temp rise</t>
  </si>
  <si>
    <t>Efficiency</t>
  </si>
  <si>
    <t>Duty Cycle</t>
  </si>
  <si>
    <t xml:space="preserve">IQ </t>
  </si>
  <si>
    <t>Quiescent Current Of Controller (Not Switching!)</t>
  </si>
  <si>
    <t>s</t>
  </si>
  <si>
    <t>Part Characteristics</t>
  </si>
  <si>
    <t>Rfb2_u</t>
  </si>
  <si>
    <t>CoutEsr</t>
  </si>
  <si>
    <t>Step 5: Input Capacitor</t>
  </si>
  <si>
    <t>nF</t>
  </si>
  <si>
    <t>VIN</t>
  </si>
  <si>
    <t>Icinrms</t>
  </si>
  <si>
    <t>= Input Box</t>
  </si>
  <si>
    <t>Input capacitance</t>
  </si>
  <si>
    <t>Step 1: Operational Specs</t>
  </si>
  <si>
    <t>Step 6: Soft Start</t>
  </si>
  <si>
    <t>ms</t>
  </si>
  <si>
    <t>Tss</t>
  </si>
  <si>
    <t>Iss</t>
  </si>
  <si>
    <t>Css</t>
  </si>
  <si>
    <t>Part Number</t>
  </si>
  <si>
    <t>Capacitors</t>
  </si>
  <si>
    <t>(pF)</t>
  </si>
  <si>
    <t>Standard Result</t>
  </si>
  <si>
    <t>Inputs</t>
  </si>
  <si>
    <t>Css_u</t>
  </si>
  <si>
    <t>Resistors</t>
  </si>
  <si>
    <t>inputs</t>
  </si>
  <si>
    <t>Cb</t>
  </si>
  <si>
    <t>Rs</t>
  </si>
  <si>
    <t xml:space="preserve">                </t>
  </si>
  <si>
    <t xml:space="preserve"> </t>
  </si>
  <si>
    <t>Rc1ea</t>
  </si>
  <si>
    <t>Blank out</t>
  </si>
  <si>
    <t>Input from user =</t>
  </si>
  <si>
    <t>Constant</t>
  </si>
  <si>
    <t>Step 8: Efficiency</t>
  </si>
  <si>
    <t>°C/W</t>
  </si>
  <si>
    <t>SCHEMATIC LABELS</t>
  </si>
  <si>
    <t>OUTPUT CURRENT</t>
  </si>
  <si>
    <t>Current (switching)</t>
  </si>
  <si>
    <t>Qrr Current</t>
  </si>
  <si>
    <t>Diode Current</t>
  </si>
  <si>
    <t>Std Units</t>
  </si>
  <si>
    <t>Total Application Switching IQ</t>
  </si>
  <si>
    <t>GND</t>
  </si>
  <si>
    <t>FB</t>
  </si>
  <si>
    <t>SW</t>
  </si>
  <si>
    <t>CIN</t>
  </si>
  <si>
    <t>µH</t>
  </si>
  <si>
    <t>µF</t>
  </si>
  <si>
    <t>Cinmin</t>
  </si>
  <si>
    <t>CinEsrMax</t>
  </si>
  <si>
    <t>Output =</t>
  </si>
  <si>
    <t>Step 1: Operating Specifications</t>
  </si>
  <si>
    <t>°C</t>
  </si>
  <si>
    <r>
      <t>mV</t>
    </r>
    <r>
      <rPr>
        <vertAlign val="subscript"/>
        <sz val="10"/>
        <rFont val="Arial"/>
        <family val="2"/>
      </rPr>
      <t>pk-pk</t>
    </r>
  </si>
  <si>
    <t xml:space="preserve">Input Capacitor ESR </t>
  </si>
  <si>
    <t>About</t>
  </si>
  <si>
    <t>xx</t>
  </si>
  <si>
    <t>Max ESR before ripple exceeds Vripple1</t>
  </si>
  <si>
    <t>Chosen ESR</t>
  </si>
  <si>
    <t>Input capacitance series resistance (ESR)</t>
  </si>
  <si>
    <r>
      <t>VIN</t>
    </r>
    <r>
      <rPr>
        <vertAlign val="subscript"/>
        <sz val="10"/>
        <rFont val="Arial"/>
        <family val="2"/>
      </rPr>
      <t>UVLO_ON</t>
    </r>
  </si>
  <si>
    <t>Rising UVLO/EN Threshold</t>
  </si>
  <si>
    <t>Falling UVLO/EN Threshold</t>
  </si>
  <si>
    <t>kΩ</t>
  </si>
  <si>
    <r>
      <t>VIN</t>
    </r>
    <r>
      <rPr>
        <vertAlign val="subscript"/>
        <sz val="10"/>
        <rFont val="Arial"/>
        <family val="2"/>
      </rPr>
      <t>UVLO_ON_ACTUAL</t>
    </r>
  </si>
  <si>
    <r>
      <t>VIN</t>
    </r>
    <r>
      <rPr>
        <vertAlign val="subscript"/>
        <sz val="10"/>
        <rFont val="Arial"/>
        <family val="2"/>
      </rPr>
      <t>UVLO_OFF_ACTUAL</t>
    </r>
  </si>
  <si>
    <t>Size</t>
  </si>
  <si>
    <t>MFR</t>
  </si>
  <si>
    <t>Std</t>
  </si>
  <si>
    <t>0603</t>
  </si>
  <si>
    <r>
      <t>C</t>
    </r>
    <r>
      <rPr>
        <vertAlign val="subscript"/>
        <sz val="10"/>
        <rFont val="Arial"/>
        <family val="2"/>
      </rPr>
      <t>IN</t>
    </r>
  </si>
  <si>
    <r>
      <t>C</t>
    </r>
    <r>
      <rPr>
        <vertAlign val="subscript"/>
        <sz val="10"/>
        <rFont val="Arial"/>
        <family val="2"/>
      </rPr>
      <t>OUT</t>
    </r>
  </si>
  <si>
    <t>Ref Des</t>
  </si>
  <si>
    <t>Count</t>
  </si>
  <si>
    <t>Various</t>
  </si>
  <si>
    <t>-</t>
  </si>
  <si>
    <r>
      <t>R</t>
    </r>
    <r>
      <rPr>
        <vertAlign val="subscript"/>
        <sz val="10"/>
        <rFont val="Arial"/>
        <family val="2"/>
      </rPr>
      <t>UV1</t>
    </r>
  </si>
  <si>
    <r>
      <t>R</t>
    </r>
    <r>
      <rPr>
        <vertAlign val="subscript"/>
        <sz val="10"/>
        <rFont val="Arial"/>
        <family val="2"/>
      </rPr>
      <t>UV2</t>
    </r>
  </si>
  <si>
    <r>
      <t>U</t>
    </r>
    <r>
      <rPr>
        <b/>
        <vertAlign val="subscript"/>
        <sz val="10"/>
        <rFont val="Arial"/>
        <family val="2"/>
      </rPr>
      <t>1</t>
    </r>
  </si>
  <si>
    <t>Rpgood</t>
  </si>
  <si>
    <t>Ruv1</t>
  </si>
  <si>
    <t>Ruv2</t>
  </si>
  <si>
    <t># of input caps</t>
  </si>
  <si>
    <t>Capacitance per component (Cin)</t>
  </si>
  <si>
    <t>Capacitance per component (Cout)</t>
  </si>
  <si>
    <t># of output caps</t>
  </si>
  <si>
    <t>Ω</t>
  </si>
  <si>
    <r>
      <rPr>
        <b/>
        <u/>
        <sz val="10"/>
        <rFont val="Arial"/>
        <family val="2"/>
      </rPr>
      <t>NOTES</t>
    </r>
    <r>
      <rPr>
        <b/>
        <sz val="10"/>
        <rFont val="Arial"/>
        <family val="2"/>
      </rPr>
      <t>:</t>
    </r>
  </si>
  <si>
    <t>%/°C</t>
  </si>
  <si>
    <t>Rt</t>
  </si>
  <si>
    <r>
      <t>Output Capacitance, C</t>
    </r>
    <r>
      <rPr>
        <b/>
        <vertAlign val="subscript"/>
        <sz val="10"/>
        <rFont val="Arial"/>
        <family val="2"/>
      </rPr>
      <t>OUT</t>
    </r>
    <r>
      <rPr>
        <b/>
        <sz val="10"/>
        <rFont val="Arial"/>
        <family val="2"/>
      </rPr>
      <t xml:space="preserve"> </t>
    </r>
  </si>
  <si>
    <r>
      <t>Input Capacitance, C</t>
    </r>
    <r>
      <rPr>
        <b/>
        <vertAlign val="subscript"/>
        <sz val="10"/>
        <color theme="1"/>
        <rFont val="Arial"/>
        <family val="2"/>
      </rPr>
      <t>IN</t>
    </r>
    <r>
      <rPr>
        <b/>
        <sz val="10"/>
        <color theme="1"/>
        <rFont val="Arial"/>
        <family val="2"/>
      </rPr>
      <t xml:space="preserve"> </t>
    </r>
  </si>
  <si>
    <r>
      <t>Soft-Start Capacitance, C</t>
    </r>
    <r>
      <rPr>
        <vertAlign val="subscript"/>
        <sz val="10"/>
        <rFont val="Arial"/>
        <family val="2"/>
      </rPr>
      <t>SS</t>
    </r>
    <r>
      <rPr>
        <sz val="10"/>
        <rFont val="Arial"/>
        <family val="2"/>
      </rPr>
      <t xml:space="preserve"> </t>
    </r>
  </si>
  <si>
    <t>VIN_nom</t>
  </si>
  <si>
    <t>VIN_max</t>
  </si>
  <si>
    <t>VIN_min</t>
  </si>
  <si>
    <t>Minimum input voltage</t>
  </si>
  <si>
    <t>Maximum input voltage</t>
  </si>
  <si>
    <t>Voltage Hysteresis</t>
  </si>
  <si>
    <t>mV</t>
  </si>
  <si>
    <t>Don_Vinmin</t>
  </si>
  <si>
    <t>Don_Vinmax</t>
  </si>
  <si>
    <t>Pout</t>
  </si>
  <si>
    <t>Iin_Vinmin</t>
  </si>
  <si>
    <t>Iin_Vinnom</t>
  </si>
  <si>
    <t>Iin_Vinmax</t>
  </si>
  <si>
    <t>Pin</t>
  </si>
  <si>
    <t>Don_Vinnom</t>
  </si>
  <si>
    <t>Output power</t>
  </si>
  <si>
    <t>Input currents at min, nom, max Vin</t>
  </si>
  <si>
    <t>Cslope_ideal</t>
  </si>
  <si>
    <t>mΩ</t>
  </si>
  <si>
    <t>Rshunt</t>
  </si>
  <si>
    <t>Output Cap RMS current</t>
  </si>
  <si>
    <t>Icoutrms_VINmin</t>
  </si>
  <si>
    <t>Icoutrms_VINnom</t>
  </si>
  <si>
    <t>Icoutrms_VINmax</t>
  </si>
  <si>
    <t>Chosen Output Capacitance</t>
  </si>
  <si>
    <t>Rout</t>
  </si>
  <si>
    <t>Load resistance</t>
  </si>
  <si>
    <t>p</t>
  </si>
  <si>
    <t>EXCEL Variables Names/Calculations</t>
  </si>
  <si>
    <t>IC Power Disipation</t>
  </si>
  <si>
    <t>Iteration</t>
  </si>
  <si>
    <t>Output Ripple Spec (pk-pk)</t>
  </si>
  <si>
    <t>Estimate of efficiency</t>
  </si>
  <si>
    <t>Soft-start time</t>
  </si>
  <si>
    <r>
      <rPr>
        <sz val="10"/>
        <rFont val="Calibri"/>
        <family val="2"/>
      </rPr>
      <t>θ</t>
    </r>
    <r>
      <rPr>
        <vertAlign val="subscript"/>
        <sz val="10"/>
        <rFont val="Arial"/>
        <family val="2"/>
      </rPr>
      <t>CA</t>
    </r>
  </si>
  <si>
    <t>Input Capacitor ESR</t>
  </si>
  <si>
    <t>RESULTS</t>
  </si>
  <si>
    <t>Reported Cinmin</t>
  </si>
  <si>
    <t>Reported Cout ESR max</t>
  </si>
  <si>
    <t>Reported Cin ESR max</t>
  </si>
  <si>
    <t>Full-load efficiency</t>
  </si>
  <si>
    <t>sec</t>
  </si>
  <si>
    <t>Toff_Vinmax</t>
  </si>
  <si>
    <t>Ton_Vinmin</t>
  </si>
  <si>
    <t>VIN range</t>
  </si>
  <si>
    <t>Current Limit</t>
  </si>
  <si>
    <t>Miscellaneous</t>
  </si>
  <si>
    <t>Inductor</t>
  </si>
  <si>
    <t xml:space="preserve">High-side MOSFET Losses </t>
  </si>
  <si>
    <t xml:space="preserve">Low-side MOSFET Losses </t>
  </si>
  <si>
    <t>Diode</t>
  </si>
  <si>
    <t>Iout (A)</t>
  </si>
  <si>
    <t>Ripple Current pk-pk (A)</t>
  </si>
  <si>
    <t>Off Time (sec)</t>
  </si>
  <si>
    <t>Switching Frequency (Hz)</t>
  </si>
  <si>
    <t>Active Mode Duration (sec)</t>
  </si>
  <si>
    <t>Sleep Mode Duration (sec)</t>
  </si>
  <si>
    <t>Irms (A)</t>
  </si>
  <si>
    <t>Inductor DCR Loss @ 25°C (W)</t>
  </si>
  <si>
    <t>Inductor Core Loss  (W)</t>
  </si>
  <si>
    <t>Total Inductor Loss (W)</t>
  </si>
  <si>
    <t>Cout ESR Loss (W)</t>
  </si>
  <si>
    <t>Total Cout Loss (W)</t>
  </si>
  <si>
    <t>Cin ESR Loss (W)</t>
  </si>
  <si>
    <t>Total Cin Loss (W)</t>
  </si>
  <si>
    <t>Rdson HS Loss @ 25°C (W)</t>
  </si>
  <si>
    <t xml:space="preserve">HS Gate Qg Loss (W)     </t>
  </si>
  <si>
    <t>HS Switching  Loss (W)</t>
  </si>
  <si>
    <t>Coss Loss (W)</t>
  </si>
  <si>
    <t>Total HS FET Loss (W)</t>
  </si>
  <si>
    <t>Rdson LS Loss @ 25°C (W)</t>
  </si>
  <si>
    <t>LS Gate Qg Loss (W)</t>
  </si>
  <si>
    <t>Reverse Recovery &amp; Leakage Losses</t>
  </si>
  <si>
    <t>DeadTime Loss @ 25°C (W)</t>
  </si>
  <si>
    <t>Total LS FET Loss (W)</t>
  </si>
  <si>
    <t>Quiescent Loss (W)</t>
  </si>
  <si>
    <t>LDO + Quiescent Loss (W)</t>
  </si>
  <si>
    <t>Total Gate Drive Loss (W)</t>
  </si>
  <si>
    <t>Total Power Loss in IC (W)</t>
  </si>
  <si>
    <t>Total Converter Power Loss (W)</t>
  </si>
  <si>
    <t>Pout (W)</t>
  </si>
  <si>
    <t>EFF (%)</t>
  </si>
  <si>
    <t>High-side MOSFET Rdson %</t>
  </si>
  <si>
    <t>Low-side MOSFET Rdson %</t>
  </si>
  <si>
    <t>Gate Drive (Qg) Loss from Vin %</t>
  </si>
  <si>
    <t>High-side MOSFET Switching Loss %</t>
  </si>
  <si>
    <t>Reverse Recovery &amp; Leakage Loss %</t>
  </si>
  <si>
    <t>Deadtime Loss %</t>
  </si>
  <si>
    <t>Inductor Cu Loss %</t>
  </si>
  <si>
    <t>Inductor Core Loss %</t>
  </si>
  <si>
    <t>Cin Cout ESR %</t>
  </si>
  <si>
    <t>Quiescent Current Loss %</t>
  </si>
  <si>
    <t>Total Loss %</t>
  </si>
  <si>
    <t>Overall Eff</t>
  </si>
  <si>
    <t>Current (mA)</t>
  </si>
  <si>
    <t>Keep for "previous" data series</t>
  </si>
  <si>
    <t>Frequency (kHz)</t>
  </si>
  <si>
    <t>Coss</t>
  </si>
  <si>
    <t>Iout(max)</t>
  </si>
  <si>
    <r>
      <rPr>
        <sz val="10"/>
        <rFont val="Arial"/>
        <family val="2"/>
      </rPr>
      <t>k</t>
    </r>
    <r>
      <rPr>
        <sz val="10"/>
        <rFont val="Symbol"/>
        <family val="1"/>
        <charset val="2"/>
      </rPr>
      <t>W</t>
    </r>
  </si>
  <si>
    <t>Tamb</t>
  </si>
  <si>
    <t>Ambient temperature</t>
  </si>
  <si>
    <t>VDD</t>
  </si>
  <si>
    <t>On-Time</t>
  </si>
  <si>
    <t>µs</t>
  </si>
  <si>
    <t>On Time - fixed</t>
  </si>
  <si>
    <t>Off Time</t>
  </si>
  <si>
    <t>Off Time - depends on Vout, L, Iout, DCR, etc.</t>
  </si>
  <si>
    <r>
      <rPr>
        <sz val="10"/>
        <rFont val="Symbol"/>
        <family val="1"/>
        <charset val="2"/>
      </rPr>
      <t>D</t>
    </r>
    <r>
      <rPr>
        <sz val="10"/>
        <rFont val="Arial"/>
        <family val="2"/>
      </rPr>
      <t>I</t>
    </r>
    <r>
      <rPr>
        <vertAlign val="subscript"/>
        <sz val="10"/>
        <rFont val="Arial"/>
        <family val="2"/>
      </rPr>
      <t>L</t>
    </r>
  </si>
  <si>
    <t>Inductor pk-pk ripple current in CCM</t>
  </si>
  <si>
    <t>CCM Freq</t>
  </si>
  <si>
    <t>Frequency in CCM</t>
  </si>
  <si>
    <t>Switch rise time</t>
  </si>
  <si>
    <t>Switch fall time</t>
  </si>
  <si>
    <t>Filter inductance</t>
  </si>
  <si>
    <r>
      <rPr>
        <sz val="10"/>
        <rFont val="Arial"/>
        <family val="2"/>
      </rPr>
      <t>m</t>
    </r>
    <r>
      <rPr>
        <sz val="10"/>
        <rFont val="Symbol"/>
        <family val="1"/>
        <charset val="2"/>
      </rPr>
      <t>W</t>
    </r>
  </si>
  <si>
    <t>Kcore</t>
  </si>
  <si>
    <t>RCinESR</t>
  </si>
  <si>
    <t>Input capacitor ESR</t>
  </si>
  <si>
    <t>Output capacitance</t>
  </si>
  <si>
    <t>RCoutESR</t>
  </si>
  <si>
    <t>Output capacitor ESR</t>
  </si>
  <si>
    <t>µA</t>
  </si>
  <si>
    <t>FOM</t>
  </si>
  <si>
    <r>
      <t>m</t>
    </r>
    <r>
      <rPr>
        <sz val="10"/>
        <rFont val="Times New Roman"/>
        <family val="1"/>
      </rPr>
      <t>Ω*</t>
    </r>
    <r>
      <rPr>
        <sz val="10"/>
        <rFont val="Arial"/>
        <family val="2"/>
      </rPr>
      <t>nC</t>
    </r>
  </si>
  <si>
    <t>BDserR</t>
  </si>
  <si>
    <t>Series resistance of body diode</t>
  </si>
  <si>
    <t>Reverse recovery charge of body diode at 100mA</t>
  </si>
  <si>
    <t>Reverse recovery time of body diode (not used)</t>
  </si>
  <si>
    <t>μA</t>
  </si>
  <si>
    <t>Leakage current of low-side device</t>
  </si>
  <si>
    <t>Eff (%)</t>
  </si>
  <si>
    <t>Iout (mA)</t>
  </si>
  <si>
    <t>min_I</t>
  </si>
  <si>
    <t>max_I</t>
  </si>
  <si>
    <t>100mA</t>
  </si>
  <si>
    <t>rr</t>
  </si>
  <si>
    <t>1mA</t>
  </si>
  <si>
    <t>Overall Eff %</t>
  </si>
  <si>
    <t>Total Inductor Loss (mW)</t>
  </si>
  <si>
    <t>Total Power Loss in IC (mW)</t>
  </si>
  <si>
    <t>LDO + Quiescent Loss (mW)</t>
  </si>
  <si>
    <t>Vdd</t>
  </si>
  <si>
    <t>MODE</t>
  </si>
  <si>
    <t>MODE_ILIM</t>
  </si>
  <si>
    <t>MODE_SS</t>
  </si>
  <si>
    <t>COT / PFM Overall Eff</t>
  </si>
  <si>
    <t>COT / PFM Total Inductor Loss (mW)</t>
  </si>
  <si>
    <t>COT / PFM LDO + Quiescent Loss (mW)</t>
  </si>
  <si>
    <t>Soft-Start Configuration</t>
  </si>
  <si>
    <t>mW</t>
  </si>
  <si>
    <r>
      <t>VIN</t>
    </r>
    <r>
      <rPr>
        <vertAlign val="subscript"/>
        <sz val="10"/>
        <rFont val="Arial"/>
        <family val="2"/>
      </rPr>
      <t>UVLO_OFF</t>
    </r>
  </si>
  <si>
    <t>Rhys</t>
  </si>
  <si>
    <t>Soft Start</t>
  </si>
  <si>
    <t>PLOT_TYPE</t>
  </si>
  <si>
    <t>FB resistor ref des shown or not?</t>
  </si>
  <si>
    <t>SHORT_ILIM</t>
  </si>
  <si>
    <t>ILIM pin shorted if 240mA selected</t>
  </si>
  <si>
    <t>ILIM resistor needed (60/120/180mA)</t>
  </si>
  <si>
    <t>Show Rt resistor ref des?</t>
  </si>
  <si>
    <t>Input UVLO Configuration</t>
  </si>
  <si>
    <t>MODE_UVLO</t>
  </si>
  <si>
    <t>Adjustable UVLO?</t>
  </si>
  <si>
    <t>Soft-start current</t>
  </si>
  <si>
    <t>10% load efficiency</t>
  </si>
  <si>
    <t>Required soft-start cap</t>
  </si>
  <si>
    <t>User selected SS cap</t>
  </si>
  <si>
    <t>100kΩ</t>
  </si>
  <si>
    <t>1% load efficiency</t>
  </si>
  <si>
    <t>linear scale only</t>
  </si>
  <si>
    <t>log scale only</t>
  </si>
  <si>
    <t xml:space="preserve">Minimum Input Capacitance </t>
  </si>
  <si>
    <t>Terms Of Use</t>
  </si>
  <si>
    <r>
      <rPr>
        <b/>
        <sz val="10"/>
        <rFont val="Arial"/>
        <family val="2"/>
      </rPr>
      <t>Iout</t>
    </r>
    <r>
      <rPr>
        <sz val="10"/>
        <rFont val="Arial"/>
        <family val="2"/>
      </rPr>
      <t xml:space="preserve"> Linear Axis</t>
    </r>
  </si>
  <si>
    <r>
      <rPr>
        <b/>
        <sz val="10"/>
        <rFont val="Arial"/>
        <family val="2"/>
      </rPr>
      <t>Iout</t>
    </r>
    <r>
      <rPr>
        <sz val="10"/>
        <rFont val="Arial"/>
        <family val="2"/>
      </rPr>
      <t xml:space="preserve"> Log Axis</t>
    </r>
  </si>
  <si>
    <t>UVLO</t>
  </si>
  <si>
    <t>n</t>
  </si>
  <si>
    <r>
      <t>Pk-to-Pk Ripple Current at V</t>
    </r>
    <r>
      <rPr>
        <vertAlign val="subscript"/>
        <sz val="10"/>
        <rFont val="Arial"/>
        <family val="2"/>
      </rPr>
      <t>IN(nom)</t>
    </r>
    <r>
      <rPr>
        <sz val="10"/>
        <rFont val="Arial"/>
        <family val="2"/>
      </rPr>
      <t xml:space="preserve">, </t>
    </r>
    <r>
      <rPr>
        <sz val="10"/>
        <rFont val="Symbol"/>
        <family val="1"/>
        <charset val="2"/>
      </rPr>
      <t>D</t>
    </r>
    <r>
      <rPr>
        <sz val="10"/>
        <rFont val="Arial"/>
        <family val="2"/>
      </rPr>
      <t>IL</t>
    </r>
  </si>
  <si>
    <t>SW Fall Time (ns)</t>
  </si>
  <si>
    <t>Peak Current (A)</t>
  </si>
  <si>
    <t>Valley Current (A)</t>
  </si>
  <si>
    <t>SW Rise Time (ns)</t>
  </si>
  <si>
    <t>Csw</t>
  </si>
  <si>
    <t>Capacitance (Coss)</t>
  </si>
  <si>
    <t>Operating Quiescent Current (A)</t>
  </si>
  <si>
    <t>6.3V</t>
  </si>
  <si>
    <t>10V</t>
  </si>
  <si>
    <t>16V</t>
  </si>
  <si>
    <t>25V</t>
  </si>
  <si>
    <t>Cout Voltage Rating</t>
  </si>
  <si>
    <t>Vout&lt;=5V</t>
  </si>
  <si>
    <t>Vout&lt;=20V</t>
  </si>
  <si>
    <t>Vout&lt;=8V</t>
  </si>
  <si>
    <t>Vout&lt;=12V</t>
  </si>
  <si>
    <t>50V</t>
  </si>
  <si>
    <t>Vout&gt;20V</t>
  </si>
  <si>
    <t>BOM display</t>
  </si>
  <si>
    <t>COT / PFM Total Power Loss in IC (mW)</t>
  </si>
  <si>
    <t>0402</t>
  </si>
  <si>
    <t>0805</t>
  </si>
  <si>
    <t>1206</t>
  </si>
  <si>
    <t>1210</t>
  </si>
  <si>
    <t>Component Size</t>
  </si>
  <si>
    <t>Footprint (mm)</t>
  </si>
  <si>
    <t>1.0 x 0.5</t>
  </si>
  <si>
    <t>6mm x 6mm</t>
  </si>
  <si>
    <t>7mm x 7mm</t>
  </si>
  <si>
    <t>3.2 x 1.6</t>
  </si>
  <si>
    <t>1.6 x 0.8</t>
  </si>
  <si>
    <t>2.0 x 1.25</t>
  </si>
  <si>
    <t>3.2 x 2.5</t>
  </si>
  <si>
    <r>
      <t>Area (mm</t>
    </r>
    <r>
      <rPr>
        <b/>
        <vertAlign val="superscript"/>
        <sz val="10"/>
        <color theme="0"/>
        <rFont val="Arial"/>
        <family val="2"/>
      </rPr>
      <t>2</t>
    </r>
    <r>
      <rPr>
        <b/>
        <sz val="10"/>
        <color theme="0"/>
        <rFont val="Arial"/>
        <family val="2"/>
      </rPr>
      <t>)</t>
    </r>
  </si>
  <si>
    <t>TI</t>
  </si>
  <si>
    <r>
      <t>in</t>
    </r>
    <r>
      <rPr>
        <b/>
        <vertAlign val="superscript"/>
        <sz val="12"/>
        <color rgb="FFFF0000"/>
        <rFont val="Arial"/>
        <family val="2"/>
      </rPr>
      <t>2</t>
    </r>
  </si>
  <si>
    <t>Total Solution Size (buffered by 25%)</t>
  </si>
  <si>
    <r>
      <t>mm</t>
    </r>
    <r>
      <rPr>
        <b/>
        <vertAlign val="superscript"/>
        <sz val="12"/>
        <color rgb="FFFF0000"/>
        <rFont val="Arial"/>
        <family val="2"/>
      </rPr>
      <t>2</t>
    </r>
    <r>
      <rPr>
        <b/>
        <sz val="12"/>
        <color rgb="FFFF0000"/>
        <rFont val="Arial"/>
        <family val="2"/>
      </rPr>
      <t xml:space="preserve">  =</t>
    </r>
  </si>
  <si>
    <t>Std Value Lower Feedback Resistance</t>
  </si>
  <si>
    <t>Step 2: Flyback Transformer</t>
  </si>
  <si>
    <t>SINGLE/DUAL OUTPUT</t>
  </si>
  <si>
    <t>SINGLE</t>
  </si>
  <si>
    <t>DUAL</t>
  </si>
  <si>
    <t>YES</t>
  </si>
  <si>
    <t>NO</t>
  </si>
  <si>
    <t>Single Output or Dual Outputs</t>
  </si>
  <si>
    <r>
      <t>Input Voltage – Min, V</t>
    </r>
    <r>
      <rPr>
        <b/>
        <vertAlign val="subscript"/>
        <sz val="10"/>
        <color theme="1"/>
        <rFont val="Arial"/>
        <family val="2"/>
      </rPr>
      <t>IN(min)</t>
    </r>
    <r>
      <rPr>
        <b/>
        <sz val="10"/>
        <color theme="1"/>
        <rFont val="Arial"/>
        <family val="2"/>
      </rPr>
      <t xml:space="preserve"> </t>
    </r>
  </si>
  <si>
    <r>
      <t>Input Voltage – Max, V</t>
    </r>
    <r>
      <rPr>
        <b/>
        <vertAlign val="subscript"/>
        <sz val="10"/>
        <color theme="1"/>
        <rFont val="Arial"/>
        <family val="2"/>
      </rPr>
      <t>IN(max)</t>
    </r>
  </si>
  <si>
    <r>
      <t>Selected Feedback Resistor, R</t>
    </r>
    <r>
      <rPr>
        <b/>
        <vertAlign val="subscript"/>
        <sz val="10"/>
        <rFont val="Arial"/>
        <family val="2"/>
      </rPr>
      <t>FB</t>
    </r>
  </si>
  <si>
    <t>Recommended Feedback Resistor</t>
  </si>
  <si>
    <t>Current Hysteresis</t>
  </si>
  <si>
    <t>Current after UVLO (rising)</t>
  </si>
  <si>
    <t>Current before UVLO (rising)</t>
  </si>
  <si>
    <t>Show TC resistor ref des?</t>
  </si>
  <si>
    <t>TC YES/NO</t>
  </si>
  <si>
    <t>MODE_TC</t>
  </si>
  <si>
    <t>Rtc</t>
  </si>
  <si>
    <t>RSET resistor</t>
  </si>
  <si>
    <t>SS Cap</t>
  </si>
  <si>
    <t>mV/°C</t>
  </si>
  <si>
    <t>VOUT Thermal Compensation</t>
  </si>
  <si>
    <r>
      <t>Thermal Compensation Resistor, R</t>
    </r>
    <r>
      <rPr>
        <vertAlign val="subscript"/>
        <sz val="10"/>
        <rFont val="Arial"/>
        <family val="2"/>
      </rPr>
      <t>TC</t>
    </r>
  </si>
  <si>
    <t>FB resistor</t>
  </si>
  <si>
    <t>Turns Ratio</t>
  </si>
  <si>
    <t>Rdcr_pri</t>
  </si>
  <si>
    <t>Rfb</t>
  </si>
  <si>
    <r>
      <t>Internal P</t>
    </r>
    <r>
      <rPr>
        <vertAlign val="subscript"/>
        <sz val="10"/>
        <rFont val="Arial"/>
        <family val="2"/>
      </rPr>
      <t>DISS</t>
    </r>
    <r>
      <rPr>
        <sz val="10"/>
        <rFont val="Arial"/>
        <family val="2"/>
      </rPr>
      <t xml:space="preserve"> at Full Load</t>
    </r>
  </si>
  <si>
    <t>Turns_Ratio</t>
  </si>
  <si>
    <t>Transformer Turns Ratio</t>
  </si>
  <si>
    <t>Schematic variable defined:</t>
  </si>
  <si>
    <t>Flyback MOSFET</t>
  </si>
  <si>
    <t>Rdson</t>
  </si>
  <si>
    <t>Qg</t>
  </si>
  <si>
    <t>Converter</t>
  </si>
  <si>
    <t>Gate charge of MOSFET @ VDD</t>
  </si>
  <si>
    <t>Drain-source resistance of MOSFET @ VDD, 25°C</t>
  </si>
  <si>
    <t>Flyback Diode</t>
  </si>
  <si>
    <t>Peak switch current</t>
  </si>
  <si>
    <t>Isw_max</t>
  </si>
  <si>
    <t>Qrr_Dfly</t>
  </si>
  <si>
    <t>Trr_Dfly</t>
  </si>
  <si>
    <t>Pout-max (W)</t>
  </si>
  <si>
    <t>Iout-max (A)</t>
  </si>
  <si>
    <t>Pout-max (W) at Vin-nom</t>
  </si>
  <si>
    <t>Iout-max (A) at Vin-nom</t>
  </si>
  <si>
    <t>Vsw-max (V) at Vin-nom</t>
  </si>
  <si>
    <t>Isw_min</t>
  </si>
  <si>
    <t>Min peak switch current</t>
  </si>
  <si>
    <t>Efficiency estimate</t>
  </si>
  <si>
    <t>Fsw_max</t>
  </si>
  <si>
    <t>Max Fsw</t>
  </si>
  <si>
    <t>Vin (V)</t>
  </si>
  <si>
    <t>Vsw-max (V)</t>
  </si>
  <si>
    <t>Isw (A)</t>
  </si>
  <si>
    <t>Ton-BCM (us)</t>
  </si>
  <si>
    <t>Toff-BCM (us)</t>
  </si>
  <si>
    <t>Ipri-min-BCM (A)</t>
  </si>
  <si>
    <t>Vout-Reflected (V)</t>
  </si>
  <si>
    <t>Fsw-BCM (kHz) at Iout-max</t>
  </si>
  <si>
    <t>Fsw-max-BCM (kHz)</t>
  </si>
  <si>
    <t>Voltages</t>
  </si>
  <si>
    <t>Toff-min-BCM (us)</t>
  </si>
  <si>
    <t>Iout-min-BCM (A)</t>
  </si>
  <si>
    <t>Toff-FFB (us)</t>
  </si>
  <si>
    <t xml:space="preserve">Fsw-BCM (kHz) </t>
  </si>
  <si>
    <t>Fsw-FFB (kHz)</t>
  </si>
  <si>
    <t>Iout-max-FFB (A)</t>
  </si>
  <si>
    <t>Fsw_DCM</t>
  </si>
  <si>
    <t>Ipri-DCM (A)</t>
  </si>
  <si>
    <t>Ipri (A)</t>
  </si>
  <si>
    <t>COMP (V)</t>
  </si>
  <si>
    <t>Fsw (kHz)</t>
  </si>
  <si>
    <t>Vout-actual (V)</t>
  </si>
  <si>
    <t>VIN-min</t>
  </si>
  <si>
    <t>VIN-max</t>
  </si>
  <si>
    <t>Vout_ripple</t>
  </si>
  <si>
    <t>Actual Output Ripple</t>
  </si>
  <si>
    <t>Ton at Full Load, Vin-nom</t>
  </si>
  <si>
    <t>Input voltage ripple spec (pk-pk) at Vin(nom) = 5%</t>
  </si>
  <si>
    <t>Input voltage ripple - Vinripple2</t>
  </si>
  <si>
    <t>Input current, full load, Vin(nom)</t>
  </si>
  <si>
    <t>Toff, Vin(nom)</t>
  </si>
  <si>
    <t>mVpk-pk</t>
  </si>
  <si>
    <t>Vpk-pk</t>
  </si>
  <si>
    <t>Peak primary current, full load, Vin(nom)</t>
  </si>
  <si>
    <t>Vinripple2</t>
  </si>
  <si>
    <t>Nps</t>
  </si>
  <si>
    <t>Rdcr_sec</t>
  </si>
  <si>
    <t>Rdcr_sec2</t>
  </si>
  <si>
    <t>Primary winding DCR</t>
  </si>
  <si>
    <t>Secondary winding DCR</t>
  </si>
  <si>
    <t>Chosen mag inductance</t>
  </si>
  <si>
    <t>Transformer Size</t>
  </si>
  <si>
    <t>1% Vout ripple spec</t>
  </si>
  <si>
    <t>Calculate input power assuming initial efficiency estimate</t>
  </si>
  <si>
    <t>Ipri-rms (A)</t>
  </si>
  <si>
    <t>Isec-rms (A)</t>
  </si>
  <si>
    <t>PCu-pri (W)</t>
  </si>
  <si>
    <t>PCu-sec (W)</t>
  </si>
  <si>
    <t>On/Off Times and Eff Duty Cycle</t>
  </si>
  <si>
    <t>Ton (µs)</t>
  </si>
  <si>
    <t>Toff (µs)</t>
  </si>
  <si>
    <t>Toff-FFB (µs)</t>
  </si>
  <si>
    <t>Toff-min-BCM (µs)</t>
  </si>
  <si>
    <t>Toff-BCM (µs)</t>
  </si>
  <si>
    <t>Ton-BCM (µs)</t>
  </si>
  <si>
    <t>Tsw (µs)</t>
  </si>
  <si>
    <t>Core Loss (W)</t>
  </si>
  <si>
    <t>P-FET-Coss (W)</t>
  </si>
  <si>
    <t>Cin / Cout</t>
  </si>
  <si>
    <t>RMS Currents</t>
  </si>
  <si>
    <t>Effective SW node capacitance (Ctr + Cdiode_refl)</t>
  </si>
  <si>
    <t>P-FET-Qg (W)</t>
  </si>
  <si>
    <t>P-FET-Cond (W)</t>
  </si>
  <si>
    <t>P-FET-Sw (W)</t>
  </si>
  <si>
    <t>P-Diode-Cond (W)</t>
  </si>
  <si>
    <t>P-Diode-Leak (W)</t>
  </si>
  <si>
    <r>
      <t>P-I</t>
    </r>
    <r>
      <rPr>
        <b/>
        <vertAlign val="subscript"/>
        <sz val="10"/>
        <rFont val="Arial"/>
        <family val="2"/>
      </rPr>
      <t>Q</t>
    </r>
    <r>
      <rPr>
        <b/>
        <sz val="10"/>
        <rFont val="Arial"/>
        <family val="2"/>
      </rPr>
      <t xml:space="preserve"> (W)</t>
    </r>
  </si>
  <si>
    <t>Core loss constant - consult transformer vendor</t>
  </si>
  <si>
    <t>Transformer primary winding DCR at 25°C</t>
  </si>
  <si>
    <t>Cout (µF) for 1% ripple</t>
  </si>
  <si>
    <t>P-Loss-Total (W)</t>
  </si>
  <si>
    <t>P-Diode-Snubber (W)</t>
  </si>
  <si>
    <t>P-LeakL-Clamp/Snub (W)</t>
  </si>
  <si>
    <t>Efficiency (%)</t>
  </si>
  <si>
    <t>P-Trans-Total (W)</t>
  </si>
  <si>
    <t>P-Diode-Total (W)</t>
  </si>
  <si>
    <t>I_LEAK</t>
  </si>
  <si>
    <t>Flyback Diode Loss</t>
  </si>
  <si>
    <t>Transformer Loss</t>
  </si>
  <si>
    <t>P-IC-Total (mW)</t>
  </si>
  <si>
    <t>Half-load efficiency</t>
  </si>
  <si>
    <t>IC Loss</t>
  </si>
  <si>
    <t>Nps1</t>
  </si>
  <si>
    <t>Nps2</t>
  </si>
  <si>
    <t xml:space="preserve">Resulting Input Voltage Ripple </t>
  </si>
  <si>
    <t>Check Iout-max</t>
  </si>
  <si>
    <t>Iout2</t>
  </si>
  <si>
    <t>Rout2</t>
  </si>
  <si>
    <t>Pout2</t>
  </si>
  <si>
    <t>Load resistance #2</t>
  </si>
  <si>
    <t>Output power #2</t>
  </si>
  <si>
    <t xml:space="preserve">Total Output Power </t>
  </si>
  <si>
    <t>Total power</t>
  </si>
  <si>
    <r>
      <t>Ambient Temperature, T</t>
    </r>
    <r>
      <rPr>
        <b/>
        <vertAlign val="subscript"/>
        <sz val="10"/>
        <rFont val="Arial"/>
        <family val="2"/>
      </rPr>
      <t>A</t>
    </r>
  </si>
  <si>
    <t>BIPOLAR</t>
  </si>
  <si>
    <t>Vinripple1 - Input ripple spec</t>
  </si>
  <si>
    <t>OUTPUT CURRENT #2 - BIPOLAR</t>
  </si>
  <si>
    <t>OUTPUT CURRENT #2 - DUAL</t>
  </si>
  <si>
    <t>Output Cap(s)</t>
  </si>
  <si>
    <t>Input Cap(s)</t>
  </si>
  <si>
    <t>Diode Ref Des</t>
  </si>
  <si>
    <r>
      <t>D</t>
    </r>
    <r>
      <rPr>
        <vertAlign val="subscript"/>
        <sz val="10"/>
        <rFont val="Arial"/>
        <family val="2"/>
      </rPr>
      <t>FLY1</t>
    </r>
  </si>
  <si>
    <t>Cin (µF) for 5% ripple</t>
  </si>
  <si>
    <t>Calculations are performed at Vin(nom), Vin(min) and Vin(max) below</t>
  </si>
  <si>
    <r>
      <t>R</t>
    </r>
    <r>
      <rPr>
        <vertAlign val="subscript"/>
        <sz val="10"/>
        <rFont val="Arial"/>
        <family val="2"/>
      </rPr>
      <t>TC</t>
    </r>
  </si>
  <si>
    <t>Feedback Resistance - chosen by user</t>
  </si>
  <si>
    <t>Step 8: FB and TC Resistors</t>
  </si>
  <si>
    <t>Selected Rfb</t>
  </si>
  <si>
    <t>Feedback Resistance - recommneded to user</t>
  </si>
  <si>
    <t>Diode TC</t>
  </si>
  <si>
    <t>Standard Value RTC</t>
  </si>
  <si>
    <r>
      <t>T</t>
    </r>
    <r>
      <rPr>
        <vertAlign val="subscript"/>
        <sz val="10"/>
        <rFont val="Arial"/>
        <family val="2"/>
      </rPr>
      <t>1</t>
    </r>
  </si>
  <si>
    <r>
      <t>R</t>
    </r>
    <r>
      <rPr>
        <vertAlign val="subscript"/>
        <sz val="10"/>
        <rFont val="Arial"/>
        <family val="2"/>
      </rPr>
      <t>FB</t>
    </r>
  </si>
  <si>
    <t>Primary Winding DCR</t>
  </si>
  <si>
    <t>FUNCTIONAL</t>
  </si>
  <si>
    <t>BASIC</t>
  </si>
  <si>
    <t>REINFORCED</t>
  </si>
  <si>
    <t>Isolation Grade</t>
  </si>
  <si>
    <t>Output #1</t>
  </si>
  <si>
    <t>Output #2</t>
  </si>
  <si>
    <r>
      <t>Output Capacitance, C</t>
    </r>
    <r>
      <rPr>
        <b/>
        <vertAlign val="subscript"/>
        <sz val="10"/>
        <rFont val="Arial"/>
        <family val="2"/>
      </rPr>
      <t>OUT2</t>
    </r>
    <r>
      <rPr>
        <b/>
        <sz val="10"/>
        <rFont val="Arial"/>
        <family val="2"/>
      </rPr>
      <t xml:space="preserve"> </t>
    </r>
  </si>
  <si>
    <t>Output Capacitor ESR</t>
  </si>
  <si>
    <t>Adjustable</t>
  </si>
  <si>
    <t>Internal</t>
  </si>
  <si>
    <t>Primary winding DCR at hot</t>
  </si>
  <si>
    <t>Secondary winding DCR at hot</t>
  </si>
  <si>
    <t>Secondary winding #2 DCR at hot</t>
  </si>
  <si>
    <t>Temp - Hot</t>
  </si>
  <si>
    <t>Secondary winding #2 DCR</t>
  </si>
  <si>
    <t>Output Ripple Spec (pk-pk) #2</t>
  </si>
  <si>
    <t>Cout2</t>
  </si>
  <si>
    <t>Coutmin2</t>
  </si>
  <si>
    <t>Reported Cout ESR max #2</t>
  </si>
  <si>
    <t>CoutEsr2</t>
  </si>
  <si>
    <t>1% Vout2 ripple spec</t>
  </si>
  <si>
    <t>Vout_ripple2</t>
  </si>
  <si>
    <t>Check min Ton and Toff times</t>
  </si>
  <si>
    <t>Transformer DCR Temp Co</t>
  </si>
  <si>
    <t>Transformer Core-to-Ambient Thermal Resistance</t>
  </si>
  <si>
    <r>
      <t>D</t>
    </r>
    <r>
      <rPr>
        <vertAlign val="subscript"/>
        <sz val="10"/>
        <rFont val="Arial"/>
        <family val="2"/>
      </rPr>
      <t>FLY2</t>
    </r>
    <r>
      <rPr>
        <sz val="11"/>
        <color theme="1"/>
        <rFont val="Arial"/>
        <family val="2"/>
      </rPr>
      <t/>
    </r>
  </si>
  <si>
    <t>EN/UVLO</t>
  </si>
  <si>
    <t>SS/BIAS</t>
  </si>
  <si>
    <t>TC</t>
  </si>
  <si>
    <t>RSET</t>
  </si>
  <si>
    <t>Step 7: UVLO Resistors</t>
  </si>
  <si>
    <t>Step 2: Circuit Configuration for Single/Dual Output, Int/Adj UVLO, Int/Adj SS, Yes/No TC</t>
  </si>
  <si>
    <t>Step 3: Flyback Transformer</t>
  </si>
  <si>
    <t>Step 3: Output Capacitor(s)</t>
  </si>
  <si>
    <t>DUAL OUTPUT</t>
  </si>
  <si>
    <t>check Ton for dual output…</t>
  </si>
  <si>
    <t>check Vripple variable name…</t>
  </si>
  <si>
    <t>Output voltage</t>
  </si>
  <si>
    <t>Maximum output current #2</t>
  </si>
  <si>
    <t>Output voltage #2</t>
  </si>
  <si>
    <t>DCM switching frequency</t>
  </si>
  <si>
    <t>Feedback resistor</t>
  </si>
  <si>
    <t>Power dissipation</t>
  </si>
  <si>
    <t>check…</t>
  </si>
  <si>
    <t>Turns_Ratio2</t>
  </si>
  <si>
    <t>Single Output or Dual 1st Output</t>
  </si>
  <si>
    <t>SEC1 to SEC2</t>
  </si>
  <si>
    <t>Nsec1sec2</t>
  </si>
  <si>
    <t>Scale</t>
  </si>
  <si>
    <t>PRI : SEC1 : SEC2</t>
  </si>
  <si>
    <t>Turns Ratio, PRI : SEC2</t>
  </si>
  <si>
    <t>TR primary-secondary2 (dual output) = Np/Nsec2</t>
  </si>
  <si>
    <t>TR sec1-sec2 (dual output) = Nsec1/Nsec2</t>
  </si>
  <si>
    <t>Iout2 (A)</t>
  </si>
  <si>
    <t>Iout1 (A)</t>
  </si>
  <si>
    <t>Pout1 (W)</t>
  </si>
  <si>
    <t>Pout2 (W)</t>
  </si>
  <si>
    <t>Iout1-max (A)</t>
  </si>
  <si>
    <t>Iout2-max (A)</t>
  </si>
  <si>
    <t>Vout1-actual (V)</t>
  </si>
  <si>
    <t>Vout1-Reflected (V)</t>
  </si>
  <si>
    <t>Iout1-min-BCM (A)</t>
  </si>
  <si>
    <t>Iout1-max-FFB (A)</t>
  </si>
  <si>
    <t>Turns Ratio, SEC1 : SEC2</t>
  </si>
  <si>
    <t>Pout1-max (W)</t>
  </si>
  <si>
    <t>Cout1 (µF) for 1% ripple</t>
  </si>
  <si>
    <t>Cout2 (µF) for 1% ripple</t>
  </si>
  <si>
    <t>Min 1uF</t>
  </si>
  <si>
    <t>Vripple1_spec</t>
  </si>
  <si>
    <t>Vripple2_actual</t>
  </si>
  <si>
    <t>Vripple1_actual</t>
  </si>
  <si>
    <t>Vripple2_spec</t>
  </si>
  <si>
    <t>Isec2-rms (A)</t>
  </si>
  <si>
    <t>Isec1-rms (A)</t>
  </si>
  <si>
    <t>P-Diode2-Cond (W)</t>
  </si>
  <si>
    <t>P-Diode1-Cond (W)</t>
  </si>
  <si>
    <t>PCu-sec2 (W)</t>
  </si>
  <si>
    <t>PCu-sec1 (W)</t>
  </si>
  <si>
    <t>Iout1 (%)</t>
  </si>
  <si>
    <r>
      <t>Max Output Power at V</t>
    </r>
    <r>
      <rPr>
        <vertAlign val="subscript"/>
        <sz val="10"/>
        <rFont val="Arial"/>
        <family val="2"/>
      </rPr>
      <t>IN(min)</t>
    </r>
  </si>
  <si>
    <t>Pout2-max (W)</t>
  </si>
  <si>
    <t>Max Pout at Vin-min</t>
  </si>
  <si>
    <t>Vout2 - absolute value</t>
  </si>
  <si>
    <t>Vout2 - with polarity</t>
  </si>
  <si>
    <t xml:space="preserve">Diode reverse voltage </t>
  </si>
  <si>
    <t>8mm x 8mm</t>
  </si>
  <si>
    <t>9mm x 9mm</t>
  </si>
  <si>
    <t>10mm x 10mm</t>
  </si>
  <si>
    <t>10mm x 12mm</t>
  </si>
  <si>
    <t>11mm x 13mm</t>
  </si>
  <si>
    <t>10 x 12</t>
  </si>
  <si>
    <t>10 x 10</t>
  </si>
  <si>
    <t>9 x 9</t>
  </si>
  <si>
    <t>8 x 8</t>
  </si>
  <si>
    <t>7 x 7</t>
  </si>
  <si>
    <t>6 x 6</t>
  </si>
  <si>
    <t>11 x 13</t>
  </si>
  <si>
    <r>
      <t>D</t>
    </r>
    <r>
      <rPr>
        <vertAlign val="subscript"/>
        <sz val="10"/>
        <rFont val="Arial"/>
        <family val="2"/>
      </rPr>
      <t>CLAMP</t>
    </r>
  </si>
  <si>
    <t>24V</t>
  </si>
  <si>
    <r>
      <t>C</t>
    </r>
    <r>
      <rPr>
        <vertAlign val="subscript"/>
        <sz val="10"/>
        <rFont val="Arial"/>
        <family val="2"/>
      </rPr>
      <t>OUT2</t>
    </r>
  </si>
  <si>
    <r>
      <t>D</t>
    </r>
    <r>
      <rPr>
        <vertAlign val="subscript"/>
        <sz val="10"/>
        <rFont val="Arial"/>
        <family val="2"/>
      </rPr>
      <t>FLY2</t>
    </r>
  </si>
  <si>
    <r>
      <t>D</t>
    </r>
    <r>
      <rPr>
        <vertAlign val="subscript"/>
        <sz val="10"/>
        <rFont val="Arial"/>
        <family val="2"/>
      </rPr>
      <t>FLY</t>
    </r>
  </si>
  <si>
    <r>
      <t>D</t>
    </r>
    <r>
      <rPr>
        <vertAlign val="subscript"/>
        <sz val="10"/>
        <rFont val="Arial"/>
        <family val="2"/>
      </rPr>
      <t>F</t>
    </r>
    <r>
      <rPr>
        <sz val="11"/>
        <color theme="1"/>
        <rFont val="Arial"/>
        <family val="2"/>
      </rPr>
      <t/>
    </r>
  </si>
  <si>
    <r>
      <t>R</t>
    </r>
    <r>
      <rPr>
        <vertAlign val="subscript"/>
        <sz val="10"/>
        <rFont val="Arial"/>
        <family val="2"/>
      </rPr>
      <t>SET</t>
    </r>
  </si>
  <si>
    <t>SOD323</t>
  </si>
  <si>
    <t>SOD123</t>
  </si>
  <si>
    <t>SMA</t>
  </si>
  <si>
    <t>Footprint</t>
  </si>
  <si>
    <t>Area</t>
  </si>
  <si>
    <t>Diode Size</t>
  </si>
  <si>
    <t>5.0 x 2.5</t>
  </si>
  <si>
    <t>3.6 x 1.8</t>
  </si>
  <si>
    <t>2.5 x 1.25</t>
  </si>
  <si>
    <t>SOD523</t>
  </si>
  <si>
    <t>Flyback Diode - forward current rating</t>
  </si>
  <si>
    <t>Flyback Diode - reverse voltage rating</t>
  </si>
  <si>
    <t>Flyback diode forward voltage at full load</t>
  </si>
  <si>
    <t>Flyback diode forward voltage at no load</t>
  </si>
  <si>
    <t>Vfwd1</t>
  </si>
  <si>
    <t>Vfwd2</t>
  </si>
  <si>
    <t>Transformer secondary winding DCR at 25°C</t>
  </si>
  <si>
    <t>Iout2_actual</t>
  </si>
  <si>
    <t>Maximum output current #1</t>
  </si>
  <si>
    <t>6ms Fixed</t>
  </si>
  <si>
    <t>Iout actual (A)</t>
  </si>
  <si>
    <t>Pout actual (W)</t>
  </si>
  <si>
    <t>Vout actual (V)</t>
  </si>
  <si>
    <t>Ton-diode (µs)</t>
  </si>
  <si>
    <t>Iout-actual</t>
  </si>
  <si>
    <t>Vout-actual -?</t>
  </si>
  <si>
    <t>Pout-actual (W)</t>
  </si>
  <si>
    <t>Vout-calc?</t>
  </si>
  <si>
    <r>
      <t>Duty Cycle at V</t>
    </r>
    <r>
      <rPr>
        <vertAlign val="subscript"/>
        <sz val="10"/>
        <rFont val="Arial"/>
        <family val="2"/>
      </rPr>
      <t>IN(min)</t>
    </r>
  </si>
  <si>
    <t>%</t>
  </si>
  <si>
    <t>Lmin</t>
  </si>
  <si>
    <t>Lleak</t>
  </si>
  <si>
    <t>nH</t>
  </si>
  <si>
    <t>Pri-Sec Leakage Inductance</t>
  </si>
  <si>
    <t>Check Fsw at  Iout-max</t>
  </si>
  <si>
    <t>Check Pout-max at  Iout-max</t>
  </si>
  <si>
    <t>P-Transforer (W)</t>
  </si>
  <si>
    <t>P-Trans-Total (mW)</t>
  </si>
  <si>
    <t>RdsonTC</t>
  </si>
  <si>
    <t>ppm/°C</t>
  </si>
  <si>
    <t>Drain to Source Resistance Temp Co</t>
  </si>
  <si>
    <t>IC thermal impedance</t>
  </si>
  <si>
    <t>ThetaJA</t>
  </si>
  <si>
    <t>P-trans (W)</t>
  </si>
  <si>
    <t>**** Use a flyback diode RC snubber to dampen ringing if needed ****</t>
  </si>
  <si>
    <t>***** Use an output zener to clamp the output at no load *****</t>
  </si>
  <si>
    <t>*** Use a primary-side RC snubber from SW to VIN to dampen leakage inductance spike ***</t>
  </si>
  <si>
    <t>** Appropriately derate the effective input and output capacitances for applied voltage and temperature, particularly with ceramics **</t>
  </si>
  <si>
    <t>ILIM_delay</t>
  </si>
  <si>
    <t>Current lmit comparator delay</t>
  </si>
  <si>
    <t>Lmag</t>
  </si>
  <si>
    <t>Fsw-FFM (kHz)</t>
  </si>
  <si>
    <t xml:space="preserve">  </t>
  </si>
  <si>
    <t>Modulator</t>
  </si>
  <si>
    <t>Power Stage Poles/Zeros</t>
  </si>
  <si>
    <t>Total System</t>
  </si>
  <si>
    <t>V/V</t>
  </si>
  <si>
    <t>Acs</t>
  </si>
  <si>
    <t>A/V</t>
  </si>
  <si>
    <t>gm</t>
  </si>
  <si>
    <t>z_ESR</t>
  </si>
  <si>
    <t>p3</t>
  </si>
  <si>
    <t>Adc</t>
  </si>
  <si>
    <t>EA zero, z1</t>
  </si>
  <si>
    <t>Am</t>
  </si>
  <si>
    <t>p_dom</t>
  </si>
  <si>
    <t>Crossover</t>
  </si>
  <si>
    <t>EA pole, p1</t>
  </si>
  <si>
    <t>Phase Margin</t>
  </si>
  <si>
    <t>°</t>
  </si>
  <si>
    <t>Aea</t>
  </si>
  <si>
    <t>radconv</t>
  </si>
  <si>
    <t>XOVER SEARCH</t>
  </si>
  <si>
    <t>EA pole, p2</t>
  </si>
  <si>
    <t>xover</t>
  </si>
  <si>
    <t>phase margin</t>
  </si>
  <si>
    <t>Freq (Hz)</t>
  </si>
  <si>
    <t>Power Stage</t>
  </si>
  <si>
    <t>Error Amplifier</t>
  </si>
  <si>
    <t>System Response</t>
  </si>
  <si>
    <t>ERROR AMP Response</t>
  </si>
  <si>
    <t>PLANT Response</t>
  </si>
  <si>
    <t>z_RHP</t>
  </si>
  <si>
    <t>p1</t>
  </si>
  <si>
    <t>z1</t>
  </si>
  <si>
    <t>p2</t>
  </si>
  <si>
    <t>Gain(V/V)</t>
  </si>
  <si>
    <t>Phase(rad)</t>
  </si>
  <si>
    <t>Gain (dB)</t>
  </si>
  <si>
    <t>Phase (°)</t>
  </si>
  <si>
    <t>Phase Margin (°)</t>
  </si>
  <si>
    <t>Fsquare</t>
  </si>
  <si>
    <t>Gain(dB)</t>
  </si>
  <si>
    <t>Phase(Deg)</t>
  </si>
  <si>
    <t>Pole/Zero Locations for Chart</t>
  </si>
  <si>
    <t>crossover</t>
  </si>
  <si>
    <t>z2</t>
  </si>
  <si>
    <t>p4</t>
  </si>
  <si>
    <t>System</t>
  </si>
  <si>
    <t>Plant</t>
  </si>
  <si>
    <t>p-dom</t>
  </si>
  <si>
    <t>ESR zero</t>
  </si>
  <si>
    <t>EA pole</t>
  </si>
  <si>
    <t>EA zero</t>
  </si>
  <si>
    <t>p_sampling</t>
  </si>
  <si>
    <t>Iout_eff</t>
  </si>
  <si>
    <t>Vout_eff</t>
  </si>
  <si>
    <t>Rload-pri</t>
  </si>
  <si>
    <t>Rload-sec</t>
  </si>
  <si>
    <t>Npri-sec</t>
  </si>
  <si>
    <t>Cout-pri</t>
  </si>
  <si>
    <t>REAout</t>
  </si>
  <si>
    <t>M</t>
  </si>
  <si>
    <t>Rcomp</t>
  </si>
  <si>
    <t>Ccomp</t>
  </si>
  <si>
    <t>gmEA</t>
  </si>
  <si>
    <t>ESR</t>
  </si>
  <si>
    <r>
      <rPr>
        <sz val="10"/>
        <rFont val="Arial"/>
        <family val="2"/>
      </rPr>
      <t>M</t>
    </r>
    <r>
      <rPr>
        <sz val="10"/>
        <rFont val="Symbol"/>
        <family val="1"/>
        <charset val="2"/>
      </rPr>
      <t>W</t>
    </r>
  </si>
  <si>
    <r>
      <t>m</t>
    </r>
    <r>
      <rPr>
        <sz val="10"/>
        <rFont val="Symbol"/>
        <family val="1"/>
        <charset val="2"/>
      </rPr>
      <t>W</t>
    </r>
  </si>
  <si>
    <r>
      <rPr>
        <sz val="10"/>
        <rFont val="Symbol"/>
        <family val="1"/>
        <charset val="2"/>
      </rPr>
      <t>m</t>
    </r>
    <r>
      <rPr>
        <sz val="10"/>
        <rFont val="Arial"/>
        <family val="2"/>
      </rPr>
      <t>F</t>
    </r>
  </si>
  <si>
    <t>Chf</t>
  </si>
  <si>
    <t>Cout-sec</t>
  </si>
  <si>
    <t>Rcs-gain</t>
  </si>
  <si>
    <r>
      <rPr>
        <sz val="10"/>
        <rFont val="Symbol"/>
        <family val="1"/>
        <charset val="2"/>
      </rPr>
      <t>m</t>
    </r>
    <r>
      <rPr>
        <sz val="10"/>
        <rFont val="Arial"/>
        <family val="2"/>
      </rPr>
      <t>S</t>
    </r>
  </si>
  <si>
    <t>S</t>
  </si>
  <si>
    <t>Ro</t>
  </si>
  <si>
    <t>Freq (kHz)</t>
  </si>
  <si>
    <t>Afb</t>
  </si>
  <si>
    <t>=&gt; Enter parameter</t>
  </si>
  <si>
    <t>Tsw</t>
  </si>
  <si>
    <t>Sampling Term</t>
  </si>
  <si>
    <t>Complex number calculations for sampling gain terms</t>
  </si>
  <si>
    <t>=&gt; constant or calculated value</t>
  </si>
  <si>
    <t>Vout1 + Vout2</t>
  </si>
  <si>
    <t>Feedback Gain &amp; EA Poles/Zeros</t>
  </si>
  <si>
    <t>S &amp; H Expression - see Mathcad file</t>
  </si>
  <si>
    <r>
      <t xml:space="preserve">Pri to </t>
    </r>
    <r>
      <rPr>
        <b/>
        <sz val="10"/>
        <rFont val="Arial"/>
        <family val="2"/>
      </rPr>
      <t>total</t>
    </r>
    <r>
      <rPr>
        <sz val="10"/>
        <rFont val="Arial"/>
        <family val="2"/>
      </rPr>
      <t xml:space="preserve"> sec turns ratio</t>
    </r>
  </si>
  <si>
    <t>BCM</t>
  </si>
  <si>
    <t>DCM</t>
  </si>
  <si>
    <t>Mode</t>
  </si>
  <si>
    <t>Choose Mode:</t>
  </si>
  <si>
    <t>Rcs</t>
  </si>
  <si>
    <r>
      <t>Sense Resistor, R</t>
    </r>
    <r>
      <rPr>
        <b/>
        <vertAlign val="subscript"/>
        <sz val="10"/>
        <color theme="1"/>
        <rFont val="Arial"/>
        <family val="2"/>
      </rPr>
      <t>CS</t>
    </r>
    <r>
      <rPr>
        <b/>
        <sz val="10"/>
        <color theme="1"/>
        <rFont val="Arial"/>
        <family val="2"/>
      </rPr>
      <t xml:space="preserve"> </t>
    </r>
  </si>
  <si>
    <t>IpkCAL</t>
  </si>
  <si>
    <t>RCSmin</t>
  </si>
  <si>
    <t>LM5185 quiescent current</t>
  </si>
  <si>
    <t>P-FET-Total (W)</t>
  </si>
  <si>
    <t>P-IC-Total</t>
  </si>
  <si>
    <t>P-Total (mW)</t>
  </si>
  <si>
    <r>
      <t>LM5185 IC Power Dissipation at Full Load, P</t>
    </r>
    <r>
      <rPr>
        <vertAlign val="subscript"/>
        <sz val="10"/>
        <rFont val="Arial"/>
        <family val="2"/>
      </rPr>
      <t>D</t>
    </r>
  </si>
  <si>
    <r>
      <t>LM5185 Junction Temperature at Full Load, T</t>
    </r>
    <r>
      <rPr>
        <vertAlign val="subscript"/>
        <sz val="10"/>
        <rFont val="Arial"/>
        <family val="2"/>
      </rPr>
      <t>J</t>
    </r>
  </si>
  <si>
    <t>dB</t>
  </si>
  <si>
    <t>Reference voltage, updated</t>
  </si>
  <si>
    <t>10 kΩ</t>
  </si>
  <si>
    <t>10kΩ</t>
  </si>
  <si>
    <t>1.2 : 1</t>
  </si>
  <si>
    <t>1 : 1.2</t>
  </si>
  <si>
    <t>Fsw=</t>
  </si>
  <si>
    <t>Checking ro operatingmode at Vnom</t>
  </si>
  <si>
    <t>Lm=</t>
  </si>
  <si>
    <t>Ipk=</t>
  </si>
  <si>
    <t>Duty=</t>
  </si>
  <si>
    <t>Po</t>
  </si>
  <si>
    <t>Po actual</t>
  </si>
  <si>
    <t>LM5185 Parameters</t>
  </si>
  <si>
    <t>Primary Peak Current, Ipk</t>
  </si>
  <si>
    <t>Allawable max Fco</t>
  </si>
  <si>
    <r>
      <t>C</t>
    </r>
    <r>
      <rPr>
        <vertAlign val="subscript"/>
        <sz val="10"/>
        <rFont val="Arial"/>
        <family val="2"/>
      </rPr>
      <t>OUT</t>
    </r>
    <r>
      <rPr>
        <sz val="10"/>
        <rFont val="Arial"/>
        <family val="2"/>
      </rPr>
      <t xml:space="preserve"> ESR Zero Frequency </t>
    </r>
  </si>
  <si>
    <t>Flyback RHP Zero Frequency</t>
  </si>
  <si>
    <t>Allowed Maximum Crossover Frequency</t>
  </si>
  <si>
    <t>Load Pole Frequency</t>
  </si>
  <si>
    <t>Excessive</t>
  </si>
  <si>
    <t>FcoRange</t>
  </si>
  <si>
    <t>Fco_select</t>
  </si>
  <si>
    <t>AN</t>
  </si>
  <si>
    <t>AO</t>
  </si>
  <si>
    <t>AP</t>
  </si>
  <si>
    <t>AQ</t>
  </si>
  <si>
    <t>AR</t>
  </si>
  <si>
    <t>Sampling</t>
  </si>
  <si>
    <t>Power ckt</t>
  </si>
  <si>
    <t>Gain_pwr</t>
  </si>
  <si>
    <t>CHF</t>
  </si>
  <si>
    <r>
      <t>k</t>
    </r>
    <r>
      <rPr>
        <sz val="10"/>
        <rFont val="Calibri"/>
        <family val="2"/>
      </rPr>
      <t>Ω</t>
    </r>
  </si>
  <si>
    <r>
      <t>k</t>
    </r>
    <r>
      <rPr>
        <b/>
        <sz val="10"/>
        <rFont val="Calibri"/>
        <family val="2"/>
      </rPr>
      <t>Ω</t>
    </r>
  </si>
  <si>
    <r>
      <t>Recommended R</t>
    </r>
    <r>
      <rPr>
        <vertAlign val="subscript"/>
        <sz val="10"/>
        <rFont val="Arial"/>
        <family val="2"/>
      </rPr>
      <t>COMP</t>
    </r>
  </si>
  <si>
    <r>
      <t>Selected R</t>
    </r>
    <r>
      <rPr>
        <b/>
        <vertAlign val="subscript"/>
        <sz val="10"/>
        <rFont val="Arial"/>
        <family val="2"/>
      </rPr>
      <t>COMP</t>
    </r>
  </si>
  <si>
    <r>
      <t>Recommended C</t>
    </r>
    <r>
      <rPr>
        <vertAlign val="subscript"/>
        <sz val="10"/>
        <rFont val="Arial"/>
        <family val="2"/>
      </rPr>
      <t>COMP</t>
    </r>
  </si>
  <si>
    <r>
      <t>Selected C</t>
    </r>
    <r>
      <rPr>
        <b/>
        <vertAlign val="subscript"/>
        <sz val="10"/>
        <rFont val="Arial"/>
        <family val="2"/>
      </rPr>
      <t>COMP</t>
    </r>
  </si>
  <si>
    <r>
      <t>Recommended C</t>
    </r>
    <r>
      <rPr>
        <vertAlign val="subscript"/>
        <sz val="10"/>
        <rFont val="Arial"/>
        <family val="2"/>
      </rPr>
      <t>HF</t>
    </r>
  </si>
  <si>
    <r>
      <t>Selected C</t>
    </r>
    <r>
      <rPr>
        <b/>
        <vertAlign val="subscript"/>
        <sz val="10"/>
        <color theme="1"/>
        <rFont val="Arial"/>
        <family val="2"/>
      </rPr>
      <t>HF</t>
    </r>
  </si>
  <si>
    <r>
      <t>Upper UVLO Resistor, R</t>
    </r>
    <r>
      <rPr>
        <vertAlign val="subscript"/>
        <sz val="10"/>
        <rFont val="Arial"/>
        <family val="2"/>
      </rPr>
      <t>UVH</t>
    </r>
  </si>
  <si>
    <r>
      <t>Lower UVLO Resistor, R</t>
    </r>
    <r>
      <rPr>
        <vertAlign val="subscript"/>
        <sz val="10"/>
        <rFont val="Arial"/>
        <family val="2"/>
      </rPr>
      <t>UVL</t>
    </r>
  </si>
  <si>
    <t>Raw Calculation</t>
  </si>
  <si>
    <t>Fine tuning:  Calculations are performed at Vin(nom), Vin(min) and Vin(max) below</t>
  </si>
  <si>
    <t>secondaryt conduction time</t>
  </si>
  <si>
    <t>Ls1</t>
  </si>
  <si>
    <t>Ls2</t>
  </si>
  <si>
    <t>calculated D' based on raw calculation</t>
  </si>
  <si>
    <t>D1' based on raw calculation</t>
  </si>
  <si>
    <t>D2' based on raw calculation</t>
  </si>
  <si>
    <t xml:space="preserve">                       LM5185-Q1 PSR Flyback Controller Design Tool</t>
  </si>
  <si>
    <t>Recommended xfmr turns ratio</t>
  </si>
  <si>
    <t>uH</t>
  </si>
  <si>
    <t>Final chosen turns ratio should be close to this value.</t>
  </si>
  <si>
    <t>Recommned Magnetizing Inductance</t>
  </si>
  <si>
    <r>
      <t>Chosen Magnetizing Inductance, L</t>
    </r>
    <r>
      <rPr>
        <b/>
        <vertAlign val="subscript"/>
        <sz val="10"/>
        <color theme="1"/>
        <rFont val="Arial"/>
        <family val="2"/>
      </rPr>
      <t>MAG</t>
    </r>
    <r>
      <rPr>
        <b/>
        <sz val="10"/>
        <color theme="1"/>
        <rFont val="Arial"/>
        <family val="2"/>
      </rPr>
      <t xml:space="preserve"> </t>
    </r>
  </si>
  <si>
    <t>Fsw at Vin_min</t>
  </si>
  <si>
    <t>Ipkmax  Allowed (20% margin)</t>
  </si>
  <si>
    <t>Max Rcs_rec1</t>
  </si>
  <si>
    <t>Max Rcs_rec2</t>
  </si>
  <si>
    <t>By 100mV VCS pk limit</t>
  </si>
  <si>
    <t>By 450ns min decay time</t>
  </si>
  <si>
    <t>Proposed Transformer Turns Ratio PRI : SEC1</t>
  </si>
  <si>
    <r>
      <t>Maximum Power Dissipation in R</t>
    </r>
    <r>
      <rPr>
        <vertAlign val="subscript"/>
        <sz val="10"/>
        <color theme="1"/>
        <rFont val="Arial"/>
        <family val="2"/>
      </rPr>
      <t>CS</t>
    </r>
    <r>
      <rPr>
        <sz val="10"/>
        <color theme="1"/>
        <rFont val="Arial"/>
        <family val="2"/>
      </rPr>
      <t xml:space="preserve"> </t>
    </r>
  </si>
  <si>
    <t>with selected Lmag</t>
  </si>
  <si>
    <t>Lmin_abs</t>
  </si>
  <si>
    <t>Maximum RCS for IPEAK (10% Power Margin)</t>
  </si>
  <si>
    <r>
      <t>Select MOSFET R</t>
    </r>
    <r>
      <rPr>
        <b/>
        <vertAlign val="subscript"/>
        <sz val="10"/>
        <rFont val="Arial"/>
        <family val="2"/>
      </rPr>
      <t>DSON</t>
    </r>
  </si>
  <si>
    <t xml:space="preserve">power </t>
  </si>
  <si>
    <t>MOSFET Min Voltage Rating</t>
  </si>
  <si>
    <t>Min Drain Voltage Rating</t>
  </si>
  <si>
    <t>Can logic level FET be used?</t>
  </si>
  <si>
    <t>Can regular FET be used?</t>
  </si>
  <si>
    <t>Yes</t>
  </si>
  <si>
    <r>
      <t>Recommended Minimum D</t>
    </r>
    <r>
      <rPr>
        <vertAlign val="subscript"/>
        <sz val="10"/>
        <rFont val="Arial"/>
        <family val="2"/>
      </rPr>
      <t>CLAMP</t>
    </r>
    <r>
      <rPr>
        <sz val="10"/>
        <rFont val="Arial"/>
        <family val="2"/>
      </rPr>
      <t xml:space="preserve"> Voltage</t>
    </r>
  </si>
  <si>
    <r>
      <t>D</t>
    </r>
    <r>
      <rPr>
        <b/>
        <vertAlign val="subscript"/>
        <sz val="10"/>
        <rFont val="Arial"/>
        <family val="2"/>
      </rPr>
      <t>CLAMP</t>
    </r>
    <r>
      <rPr>
        <b/>
        <sz val="10"/>
        <rFont val="Arial"/>
        <family val="2"/>
      </rPr>
      <t xml:space="preserve"> Voltage </t>
    </r>
  </si>
  <si>
    <t>Recommended Max MOSFET Qg</t>
  </si>
  <si>
    <t>Selected MOSFET Qg</t>
  </si>
  <si>
    <r>
      <t>Selected MOSFET C</t>
    </r>
    <r>
      <rPr>
        <b/>
        <vertAlign val="subscript"/>
        <sz val="10"/>
        <rFont val="Arial"/>
        <family val="2"/>
      </rPr>
      <t>OSS</t>
    </r>
  </si>
  <si>
    <t>Step 4: Power MOSFET Suggetions and  Zener Clamp</t>
  </si>
  <si>
    <t>Step 5: Input &amp; Output Capacitors</t>
  </si>
  <si>
    <t>`</t>
  </si>
  <si>
    <r>
      <t>V</t>
    </r>
    <r>
      <rPr>
        <b/>
        <vertAlign val="subscript"/>
        <sz val="16"/>
        <rFont val="Calibri"/>
        <family val="2"/>
      </rPr>
      <t xml:space="preserve">IN </t>
    </r>
    <r>
      <rPr>
        <b/>
        <sz val="16"/>
        <rFont val="Calibri"/>
        <family val="2"/>
      </rPr>
      <t>=</t>
    </r>
  </si>
  <si>
    <t>Selected Crossover Frquency (Fco)</t>
  </si>
  <si>
    <t>Ccopm</t>
  </si>
  <si>
    <t>k</t>
  </si>
  <si>
    <t>m</t>
  </si>
  <si>
    <t>Cflt</t>
  </si>
  <si>
    <t>100pF</t>
  </si>
  <si>
    <t>Rflt</t>
  </si>
  <si>
    <r>
      <t>Recommended CS Pin Filter Resistor R</t>
    </r>
    <r>
      <rPr>
        <vertAlign val="subscript"/>
        <sz val="10"/>
        <rFont val="Arial"/>
        <family val="2"/>
      </rPr>
      <t>FLT</t>
    </r>
  </si>
  <si>
    <r>
      <t>Recommended CS Pin Filter Resistor C</t>
    </r>
    <r>
      <rPr>
        <vertAlign val="subscript"/>
        <sz val="10"/>
        <rFont val="Arial"/>
        <family val="2"/>
      </rPr>
      <t>FLT</t>
    </r>
  </si>
  <si>
    <t>Step 3: Current Sense Resistor and Noise Filter</t>
  </si>
  <si>
    <t>Step 6: Rectifier Diode(s)</t>
  </si>
  <si>
    <t>Vou2 Diode cond duration</t>
  </si>
  <si>
    <t>Vout1 Diode cond duration</t>
  </si>
  <si>
    <t>Min Diode Voltage Rating, Output #2</t>
  </si>
  <si>
    <t>Min Diode DC Current Rating, Output #2</t>
  </si>
  <si>
    <t>Step 7: Feedback, Soft-start, TC, UVLO</t>
  </si>
  <si>
    <t>Diode VF</t>
  </si>
  <si>
    <t>Vfwd22</t>
  </si>
  <si>
    <r>
      <t>Input Voltage – Nom, V</t>
    </r>
    <r>
      <rPr>
        <b/>
        <vertAlign val="subscript"/>
        <sz val="10"/>
        <color rgb="FF0000FF"/>
        <rFont val="Arial"/>
        <family val="2"/>
      </rPr>
      <t>IN(nom)</t>
    </r>
  </si>
  <si>
    <t>MOSFET Power dissipation (WC)</t>
  </si>
  <si>
    <t>Single output</t>
  </si>
  <si>
    <t>Dual</t>
  </si>
  <si>
    <t>Final</t>
  </si>
  <si>
    <t>Estimated Max MOSFET Power Dissipation</t>
  </si>
  <si>
    <t>MOSFET Loss</t>
  </si>
  <si>
    <t>Step 8:  Compensation Design</t>
  </si>
  <si>
    <t>Snubber Capacitor Voltage Rating&gt;</t>
  </si>
  <si>
    <t>Snubber Resistor Power Rating&gt;</t>
  </si>
  <si>
    <t>Initial Csnb2</t>
  </si>
  <si>
    <t>Initial Rsnb2</t>
  </si>
  <si>
    <t>Step 9:  Optional RC Snubber acorss Rectifier Diode(s)</t>
  </si>
  <si>
    <t>Step 10:  Output Zener Clamp and/or Dummy Load</t>
  </si>
  <si>
    <t>Step 11: Power Losses &amp; Thermals</t>
  </si>
  <si>
    <t>Selected Device Min Power Rating&gt;</t>
  </si>
  <si>
    <t>Rdym</t>
  </si>
  <si>
    <t>Rdym1</t>
  </si>
  <si>
    <t>Rdym2</t>
  </si>
  <si>
    <t>min Load</t>
  </si>
  <si>
    <t>min Load1</t>
  </si>
  <si>
    <t>min Load 2</t>
  </si>
  <si>
    <t xml:space="preserve">Customer Min Load </t>
  </si>
  <si>
    <t>Iout_min</t>
  </si>
  <si>
    <t>Po-min</t>
  </si>
  <si>
    <t>Required min load</t>
  </si>
  <si>
    <t>Ton Min</t>
  </si>
  <si>
    <t>Vin_max</t>
  </si>
  <si>
    <t>Fsw_min</t>
  </si>
  <si>
    <t>Po_cal</t>
  </si>
  <si>
    <t>Do you need a  Dummy Load</t>
  </si>
  <si>
    <t>Customer Min Load 1</t>
  </si>
  <si>
    <t>Customer Min Load 2</t>
  </si>
  <si>
    <t>Iout_min1</t>
  </si>
  <si>
    <t>Po-min1</t>
  </si>
  <si>
    <t>Iout_min2</t>
  </si>
  <si>
    <t>Po-min2</t>
  </si>
  <si>
    <t>Do you need a  Dummy Load1</t>
  </si>
  <si>
    <t>Do you need a  Dummy Load2</t>
  </si>
  <si>
    <t>LM5185EVM-SIO PCB Design, 2.4" x 3.6" (60mm x 90mm)</t>
  </si>
  <si>
    <t xml:space="preserve">&lt;--Please input the effective capacitance under the actual dc voltage bias of the designated outpt rail. </t>
  </si>
  <si>
    <t>Slecct  Diode Forward Drop VF, Output #2</t>
  </si>
  <si>
    <r>
      <t>Flyback Diode Voltage Drop, VF</t>
    </r>
    <r>
      <rPr>
        <b/>
        <vertAlign val="subscript"/>
        <sz val="10"/>
        <rFont val="Arial"/>
        <family val="2"/>
      </rPr>
      <t>(no-load)</t>
    </r>
  </si>
  <si>
    <r>
      <t>Flyback Diode Voltage Drop, VF</t>
    </r>
    <r>
      <rPr>
        <vertAlign val="subscript"/>
        <sz val="10"/>
        <rFont val="Arial"/>
        <family val="2"/>
      </rPr>
      <t>(full-load)</t>
    </r>
  </si>
  <si>
    <t xml:space="preserve">Important: Remember to update Cell E80 below, which is VF at no load, in order to get a more accurate output voltage setting in Step 7. </t>
  </si>
  <si>
    <r>
      <t>C</t>
    </r>
    <r>
      <rPr>
        <vertAlign val="subscript"/>
        <sz val="10"/>
        <rFont val="Arial"/>
        <family val="2"/>
      </rPr>
      <t>VCC</t>
    </r>
  </si>
  <si>
    <t>Capacitor, Ceramic, 1µF, 25V, X7R, 10%</t>
  </si>
  <si>
    <r>
      <t>C</t>
    </r>
    <r>
      <rPr>
        <vertAlign val="subscript"/>
        <sz val="10"/>
        <rFont val="Arial"/>
        <family val="2"/>
      </rPr>
      <t>COMP</t>
    </r>
  </si>
  <si>
    <r>
      <t>C</t>
    </r>
    <r>
      <rPr>
        <vertAlign val="subscript"/>
        <sz val="10"/>
        <rFont val="Arial"/>
        <family val="2"/>
      </rPr>
      <t>HF</t>
    </r>
  </si>
  <si>
    <r>
      <t>R</t>
    </r>
    <r>
      <rPr>
        <vertAlign val="subscript"/>
        <sz val="10"/>
        <rFont val="Arial"/>
        <family val="2"/>
      </rPr>
      <t>COMP</t>
    </r>
  </si>
  <si>
    <r>
      <t>R</t>
    </r>
    <r>
      <rPr>
        <vertAlign val="subscript"/>
        <sz val="10"/>
        <rFont val="Arial"/>
        <family val="2"/>
      </rPr>
      <t>CS</t>
    </r>
  </si>
  <si>
    <t>Non-inductive Chip Power Resistor, 1%</t>
  </si>
  <si>
    <r>
      <t>C</t>
    </r>
    <r>
      <rPr>
        <vertAlign val="subscript"/>
        <sz val="10"/>
        <rFont val="Arial"/>
        <family val="2"/>
      </rPr>
      <t>FLT</t>
    </r>
  </si>
  <si>
    <t>Capacitor, Ceramic, 100pF, 50V, X7R, 10%</t>
  </si>
  <si>
    <r>
      <t>R</t>
    </r>
    <r>
      <rPr>
        <vertAlign val="subscript"/>
        <sz val="10"/>
        <rFont val="Arial"/>
        <family val="2"/>
      </rPr>
      <t>FLT</t>
    </r>
  </si>
  <si>
    <r>
      <t>LM5185-Q1 Low I</t>
    </r>
    <r>
      <rPr>
        <b/>
        <vertAlign val="subscript"/>
        <sz val="16"/>
        <rFont val="Arial"/>
        <family val="2"/>
      </rPr>
      <t>Q</t>
    </r>
    <r>
      <rPr>
        <b/>
        <sz val="16"/>
        <rFont val="Arial"/>
        <family val="2"/>
      </rPr>
      <t>, High Efficiency, PSR Flyback Converter BOM</t>
    </r>
  </si>
  <si>
    <t>LM5185-Q1</t>
  </si>
  <si>
    <t>IC, LM5185-Q1, PSR Flyback Controller, 4.5V–100V Input</t>
  </si>
  <si>
    <t>HTSSOP14</t>
  </si>
  <si>
    <r>
      <t>D</t>
    </r>
    <r>
      <rPr>
        <vertAlign val="subscript"/>
        <sz val="10"/>
        <rFont val="Arial"/>
        <family val="2"/>
      </rPr>
      <t>Z1</t>
    </r>
  </si>
  <si>
    <r>
      <t>D</t>
    </r>
    <r>
      <rPr>
        <vertAlign val="subscript"/>
        <sz val="10"/>
        <rFont val="Arial"/>
        <family val="2"/>
      </rPr>
      <t>Z2</t>
    </r>
  </si>
  <si>
    <t>2510</t>
  </si>
  <si>
    <t>9.3 x 2.7</t>
  </si>
  <si>
    <t>(Always reserve the snubber position on PCB and validatate experimentally.)</t>
  </si>
  <si>
    <t>LM5185EVM-MIO PCB Design, (Multiple Outputs, coming soon)</t>
  </si>
  <si>
    <t>* Choose a transformer with saturation current rating higher than the max peak current limit setting for all operating temperatures *</t>
  </si>
  <si>
    <t xml:space="preserve"> LM5185-Q1 PSR Flyback Controller Design Tool</t>
  </si>
  <si>
    <r>
      <t>Q</t>
    </r>
    <r>
      <rPr>
        <vertAlign val="subscript"/>
        <sz val="10"/>
        <rFont val="Arial"/>
        <family val="2"/>
      </rPr>
      <t>1</t>
    </r>
  </si>
  <si>
    <t>Power MOSFET</t>
  </si>
  <si>
    <t>SO-8</t>
  </si>
  <si>
    <t>5.0 x 6.0</t>
  </si>
  <si>
    <t>5.0 x 6.4</t>
  </si>
  <si>
    <t>22mm x 17mm</t>
  </si>
  <si>
    <t>11 x 14</t>
  </si>
  <si>
    <t>23 x 17</t>
  </si>
  <si>
    <t>Toff Max</t>
  </si>
  <si>
    <r>
      <t xml:space="preserve">Estimated Thermal Impedance, </t>
    </r>
    <r>
      <rPr>
        <sz val="11"/>
        <rFont val="Symbol"/>
        <family val="1"/>
        <charset val="2"/>
      </rPr>
      <t>J</t>
    </r>
    <r>
      <rPr>
        <vertAlign val="subscript"/>
        <sz val="10"/>
        <rFont val="Arial"/>
        <family val="2"/>
      </rPr>
      <t>JA</t>
    </r>
  </si>
  <si>
    <t>Recommended Zener VoltageSelection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</si>
</sst>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0.00_);_(* \(#,##0.00\);_(* &quot;-&quot;??_);_(@_)"/>
    <numFmt numFmtId="164" formatCode="0.00000"/>
    <numFmt numFmtId="165" formatCode="0.0000"/>
    <numFmt numFmtId="166" formatCode="0.000"/>
    <numFmt numFmtId="167" formatCode="0.0"/>
    <numFmt numFmtId="168" formatCode="0.000E+00"/>
    <numFmt numFmtId="169" formatCode="#0.0#"/>
    <numFmt numFmtId="170" formatCode="General&quot;k&quot;"/>
    <numFmt numFmtId="171" formatCode="General&quot;µF&quot;"/>
    <numFmt numFmtId="172" formatCode="General&quot;µH&quot;"/>
    <numFmt numFmtId="173" formatCode="&quot;Inductor, &quot;General&quot;-µH, 10%&quot;"/>
    <numFmt numFmtId="174" formatCode="&quot;Resistor, Chip, &quot;General&quot;-kΩ, 1/16W, 1%&quot;"/>
    <numFmt numFmtId="175" formatCode="0.E+00"/>
    <numFmt numFmtId="176" formatCode="0.0E+00"/>
    <numFmt numFmtId="177" formatCode="&quot;Capacitor, Ceramic, &quot;General&quot;-µF, 100V, X7R, 20%&quot;"/>
    <numFmt numFmtId="178" formatCode="0.000%"/>
    <numFmt numFmtId="179" formatCode="&quot;Capacitor, Ceramic, &quot;General&quot;-µF, 16V, X7R, 20%&quot;"/>
    <numFmt numFmtId="180" formatCode="&quot;Resistor, Chip, &quot;General&quot; kΩ, 1/16W, 1%&quot;"/>
    <numFmt numFmtId="181" formatCode="General&quot;M&quot;"/>
    <numFmt numFmtId="182" formatCode="&quot;Resistor, Chip, &quot;General&quot;kΩ, 1/16W, 1%&quot;"/>
    <numFmt numFmtId="183" formatCode="0E+00"/>
    <numFmt numFmtId="184" formatCode="0.000000"/>
  </numFmts>
  <fonts count="93">
    <font>
      <sz val="10"/>
      <name val="Arial"/>
    </font>
    <font>
      <sz val="11"/>
      <color theme="1"/>
      <name val="Arial"/>
      <family val="2"/>
    </font>
    <font>
      <sz val="11"/>
      <color theme="1"/>
      <name val="Calibri"/>
      <family val="2"/>
      <scheme val="minor"/>
    </font>
    <font>
      <sz val="10"/>
      <name val="Arial"/>
      <family val="2"/>
    </font>
    <font>
      <b/>
      <sz val="10"/>
      <name val="Arial"/>
      <family val="2"/>
    </font>
    <font>
      <b/>
      <sz val="22"/>
      <color indexed="44"/>
      <name val="Arial"/>
      <family val="2"/>
    </font>
    <font>
      <sz val="8"/>
      <name val="Arial"/>
      <family val="2"/>
    </font>
    <font>
      <b/>
      <i/>
      <sz val="10"/>
      <name val="Arial"/>
      <family val="2"/>
    </font>
    <font>
      <sz val="10"/>
      <name val="Arial"/>
      <family val="2"/>
    </font>
    <font>
      <vertAlign val="subscript"/>
      <sz val="10"/>
      <name val="Arial"/>
      <family val="2"/>
    </font>
    <font>
      <u/>
      <sz val="10"/>
      <color indexed="12"/>
      <name val="Arial"/>
      <family val="2"/>
    </font>
    <font>
      <b/>
      <sz val="16"/>
      <name val="Arial"/>
      <family val="2"/>
    </font>
    <font>
      <sz val="10"/>
      <color indexed="44"/>
      <name val="Arial"/>
      <family val="2"/>
    </font>
    <font>
      <b/>
      <sz val="28"/>
      <color indexed="44"/>
      <name val="Arial"/>
      <family val="2"/>
    </font>
    <font>
      <b/>
      <sz val="10"/>
      <color indexed="44"/>
      <name val="Arial"/>
      <family val="2"/>
    </font>
    <font>
      <sz val="10"/>
      <color indexed="8"/>
      <name val="Arial"/>
      <family val="2"/>
    </font>
    <font>
      <b/>
      <sz val="24"/>
      <color indexed="44"/>
      <name val="Arial"/>
      <family val="2"/>
    </font>
    <font>
      <sz val="10"/>
      <name val="Calibri"/>
      <family val="2"/>
    </font>
    <font>
      <b/>
      <sz val="10"/>
      <name val="Calibri"/>
      <family val="2"/>
    </font>
    <font>
      <sz val="10"/>
      <color indexed="55"/>
      <name val="Calibri"/>
      <family val="2"/>
    </font>
    <font>
      <b/>
      <sz val="10"/>
      <color indexed="9"/>
      <name val="Calibri"/>
      <family val="2"/>
    </font>
    <font>
      <b/>
      <sz val="12"/>
      <color indexed="48"/>
      <name val="Arial"/>
      <family val="2"/>
    </font>
    <font>
      <b/>
      <sz val="12"/>
      <color indexed="12"/>
      <name val="Arial"/>
      <family val="2"/>
    </font>
    <font>
      <b/>
      <sz val="12"/>
      <color indexed="9"/>
      <name val="Calibri"/>
      <family val="2"/>
    </font>
    <font>
      <b/>
      <sz val="22"/>
      <color indexed="9"/>
      <name val="Calibri"/>
      <family val="2"/>
    </font>
    <font>
      <b/>
      <sz val="10"/>
      <color indexed="13"/>
      <name val="Calibri"/>
      <family val="2"/>
    </font>
    <font>
      <sz val="10"/>
      <color indexed="56"/>
      <name val="Calibri"/>
      <family val="2"/>
    </font>
    <font>
      <sz val="10"/>
      <color indexed="8"/>
      <name val="Arial"/>
      <family val="2"/>
    </font>
    <font>
      <b/>
      <sz val="14"/>
      <color indexed="9"/>
      <name val="Calibri"/>
      <family val="2"/>
    </font>
    <font>
      <sz val="11"/>
      <color indexed="81"/>
      <name val="Tahoma"/>
      <family val="2"/>
    </font>
    <font>
      <b/>
      <i/>
      <sz val="14"/>
      <color indexed="12"/>
      <name val="Calibri"/>
      <family val="2"/>
    </font>
    <font>
      <b/>
      <sz val="9"/>
      <color indexed="81"/>
      <name val="Tahoma"/>
      <family val="2"/>
    </font>
    <font>
      <sz val="9"/>
      <color indexed="81"/>
      <name val="Tahoma"/>
      <family val="2"/>
    </font>
    <font>
      <b/>
      <u/>
      <sz val="9"/>
      <color indexed="81"/>
      <name val="Tahoma"/>
      <family val="2"/>
    </font>
    <font>
      <sz val="11"/>
      <color indexed="10"/>
      <name val="Tahoma"/>
      <family val="2"/>
    </font>
    <font>
      <b/>
      <sz val="11"/>
      <color indexed="10"/>
      <name val="Tahoma"/>
      <family val="2"/>
    </font>
    <font>
      <b/>
      <sz val="9"/>
      <color indexed="10"/>
      <name val="Tahoma"/>
      <family val="2"/>
    </font>
    <font>
      <sz val="9"/>
      <color indexed="39"/>
      <name val="Tahoma"/>
      <family val="2"/>
    </font>
    <font>
      <b/>
      <sz val="9"/>
      <color indexed="39"/>
      <name val="Tahoma"/>
      <family val="2"/>
    </font>
    <font>
      <b/>
      <vertAlign val="subscript"/>
      <sz val="9"/>
      <color indexed="81"/>
      <name val="Tahoma"/>
      <family val="2"/>
    </font>
    <font>
      <sz val="36"/>
      <color rgb="FFFF0000"/>
      <name val="Arial"/>
      <family val="2"/>
    </font>
    <font>
      <b/>
      <u/>
      <sz val="11"/>
      <color indexed="10"/>
      <name val="Tahoma"/>
      <family val="2"/>
    </font>
    <font>
      <sz val="16"/>
      <color theme="0"/>
      <name val="Arial"/>
      <family val="2"/>
    </font>
    <font>
      <b/>
      <vertAlign val="subscript"/>
      <sz val="10"/>
      <name val="Arial"/>
      <family val="2"/>
    </font>
    <font>
      <sz val="10"/>
      <color indexed="23"/>
      <name val="Arial"/>
      <family val="2"/>
    </font>
    <font>
      <sz val="10"/>
      <color indexed="55"/>
      <name val="Arial"/>
      <family val="2"/>
    </font>
    <font>
      <b/>
      <i/>
      <sz val="10"/>
      <color indexed="55"/>
      <name val="Arial"/>
      <family val="2"/>
    </font>
    <font>
      <b/>
      <i/>
      <sz val="14"/>
      <color indexed="12"/>
      <name val="Arial"/>
      <family val="2"/>
    </font>
    <font>
      <b/>
      <sz val="10"/>
      <color rgb="FFFF0000"/>
      <name val="Arial"/>
      <family val="2"/>
    </font>
    <font>
      <sz val="10"/>
      <color theme="1"/>
      <name val="Arial"/>
      <family val="2"/>
    </font>
    <font>
      <b/>
      <sz val="10"/>
      <color theme="1"/>
      <name val="Arial"/>
      <family val="2"/>
    </font>
    <font>
      <b/>
      <vertAlign val="subscript"/>
      <sz val="10"/>
      <color theme="1"/>
      <name val="Arial"/>
      <family val="2"/>
    </font>
    <font>
      <b/>
      <sz val="12"/>
      <color rgb="FF003366"/>
      <name val="Calibri"/>
      <family val="2"/>
    </font>
    <font>
      <sz val="10"/>
      <name val="Symbol"/>
      <family val="1"/>
      <charset val="2"/>
    </font>
    <font>
      <b/>
      <sz val="10"/>
      <color indexed="9"/>
      <name val="Arial"/>
      <family val="2"/>
    </font>
    <font>
      <b/>
      <sz val="12"/>
      <color rgb="FF0000FF"/>
      <name val="Arial"/>
      <family val="2"/>
    </font>
    <font>
      <b/>
      <u/>
      <sz val="10"/>
      <name val="Arial"/>
      <family val="2"/>
    </font>
    <font>
      <u/>
      <sz val="9"/>
      <color indexed="12"/>
      <name val="Tahoma"/>
      <family val="2"/>
    </font>
    <font>
      <sz val="10"/>
      <color rgb="FFFF0000"/>
      <name val="Arial"/>
      <family val="2"/>
    </font>
    <font>
      <sz val="10"/>
      <color theme="0"/>
      <name val="Arial"/>
      <family val="2"/>
    </font>
    <font>
      <sz val="30"/>
      <color theme="0"/>
      <name val="Arial"/>
      <family val="2"/>
    </font>
    <font>
      <sz val="10"/>
      <name val="Cambria"/>
      <family val="1"/>
      <scheme val="major"/>
    </font>
    <font>
      <b/>
      <sz val="10"/>
      <color indexed="8"/>
      <name val="Arial"/>
      <family val="2"/>
    </font>
    <font>
      <sz val="10"/>
      <name val="Times New Roman"/>
      <family val="1"/>
    </font>
    <font>
      <sz val="18"/>
      <name val="Arial"/>
      <family val="2"/>
    </font>
    <font>
      <b/>
      <sz val="10"/>
      <color rgb="FF0000FF"/>
      <name val="Arial"/>
      <family val="2"/>
    </font>
    <font>
      <u/>
      <sz val="10"/>
      <color theme="0" tint="-0.499984740745262"/>
      <name val="Arial"/>
      <family val="2"/>
    </font>
    <font>
      <vertAlign val="subscript"/>
      <sz val="9"/>
      <color indexed="81"/>
      <name val="Tahoma"/>
      <family val="2"/>
    </font>
    <font>
      <b/>
      <vertAlign val="subscript"/>
      <sz val="16"/>
      <name val="Arial"/>
      <family val="2"/>
    </font>
    <font>
      <b/>
      <sz val="10"/>
      <color rgb="FF33CC33"/>
      <name val="Arial"/>
      <family val="2"/>
    </font>
    <font>
      <sz val="10"/>
      <name val="Arial"/>
      <family val="2"/>
    </font>
    <font>
      <sz val="9"/>
      <color indexed="8"/>
      <name val="Tahoma"/>
      <family val="2"/>
    </font>
    <font>
      <b/>
      <sz val="10"/>
      <color theme="0"/>
      <name val="Arial"/>
      <family val="2"/>
    </font>
    <font>
      <b/>
      <vertAlign val="superscript"/>
      <sz val="10"/>
      <color theme="0"/>
      <name val="Arial"/>
      <family val="2"/>
    </font>
    <font>
      <b/>
      <sz val="11"/>
      <color rgb="FFFF0000"/>
      <name val="Arial"/>
      <family val="2"/>
    </font>
    <font>
      <b/>
      <sz val="12"/>
      <color rgb="FFFF0000"/>
      <name val="Arial"/>
      <family val="2"/>
    </font>
    <font>
      <b/>
      <vertAlign val="superscript"/>
      <sz val="12"/>
      <color rgb="FFFF0000"/>
      <name val="Arial"/>
      <family val="2"/>
    </font>
    <font>
      <sz val="34"/>
      <color theme="0"/>
      <name val="Arial"/>
      <family val="2"/>
    </font>
    <font>
      <b/>
      <sz val="10"/>
      <color theme="6" tint="-0.249977111117893"/>
      <name val="Arial"/>
      <family val="2"/>
    </font>
    <font>
      <sz val="10"/>
      <color rgb="FF0000FF"/>
      <name val="Arial"/>
      <family val="2"/>
    </font>
    <font>
      <b/>
      <sz val="12"/>
      <color theme="9" tint="-0.249977111117893"/>
      <name val="Arial"/>
      <family val="2"/>
    </font>
    <font>
      <b/>
      <sz val="11"/>
      <name val="Arial"/>
      <family val="2"/>
    </font>
    <font>
      <b/>
      <sz val="10"/>
      <name val="Symbol"/>
      <family val="1"/>
      <charset val="2"/>
    </font>
    <font>
      <sz val="6"/>
      <name val="ＭＳ Ｐゴシック"/>
      <family val="3"/>
      <charset val="128"/>
    </font>
    <font>
      <b/>
      <sz val="16"/>
      <name val="Calibri"/>
      <family val="2"/>
    </font>
    <font>
      <b/>
      <vertAlign val="subscript"/>
      <sz val="16"/>
      <name val="Calibri"/>
      <family val="2"/>
    </font>
    <font>
      <sz val="20"/>
      <color rgb="FFFF0000"/>
      <name val="Arial"/>
      <family val="2"/>
    </font>
    <font>
      <i/>
      <sz val="14"/>
      <color indexed="12"/>
      <name val="Arial"/>
      <family val="2"/>
    </font>
    <font>
      <vertAlign val="subscript"/>
      <sz val="10"/>
      <color theme="1"/>
      <name val="Arial"/>
      <family val="2"/>
    </font>
    <font>
      <b/>
      <i/>
      <sz val="9"/>
      <color indexed="81"/>
      <name val="Tahoma"/>
      <family val="2"/>
    </font>
    <font>
      <b/>
      <vertAlign val="subscript"/>
      <sz val="10"/>
      <color rgb="FF0000FF"/>
      <name val="Arial"/>
      <family val="2"/>
    </font>
    <font>
      <b/>
      <sz val="10"/>
      <color indexed="10"/>
      <name val="Arial"/>
      <family val="2"/>
    </font>
    <font>
      <sz val="11"/>
      <name val="Symbol"/>
      <family val="1"/>
      <charset val="2"/>
    </font>
  </fonts>
  <fills count="31">
    <fill>
      <patternFill patternType="none"/>
    </fill>
    <fill>
      <patternFill patternType="gray125"/>
    </fill>
    <fill>
      <patternFill patternType="solid">
        <fgColor indexed="44"/>
        <bgColor indexed="64"/>
      </patternFill>
    </fill>
    <fill>
      <patternFill patternType="solid">
        <fgColor indexed="8"/>
        <bgColor indexed="64"/>
      </patternFill>
    </fill>
    <fill>
      <patternFill patternType="solid">
        <fgColor indexed="22"/>
        <bgColor indexed="64"/>
      </patternFill>
    </fill>
    <fill>
      <patternFill patternType="solid">
        <fgColor indexed="55"/>
        <bgColor indexed="64"/>
      </patternFill>
    </fill>
    <fill>
      <patternFill patternType="solid">
        <fgColor indexed="45"/>
        <bgColor indexed="64"/>
      </patternFill>
    </fill>
    <fill>
      <patternFill patternType="solid">
        <fgColor indexed="46"/>
        <bgColor indexed="64"/>
      </patternFill>
    </fill>
    <fill>
      <patternFill patternType="solid">
        <fgColor indexed="9"/>
        <bgColor indexed="64"/>
      </patternFill>
    </fill>
    <fill>
      <patternFill patternType="solid">
        <fgColor indexed="13"/>
        <bgColor indexed="64"/>
      </patternFill>
    </fill>
    <fill>
      <patternFill patternType="solid">
        <fgColor indexed="52"/>
        <bgColor indexed="64"/>
      </patternFill>
    </fill>
    <fill>
      <patternFill patternType="solid">
        <fgColor indexed="50"/>
        <bgColor indexed="64"/>
      </patternFill>
    </fill>
    <fill>
      <patternFill patternType="solid">
        <fgColor theme="0"/>
        <bgColor indexed="64"/>
      </patternFill>
    </fill>
    <fill>
      <patternFill patternType="solid">
        <fgColor rgb="FFFF0000"/>
        <bgColor indexed="64"/>
      </patternFill>
    </fill>
    <fill>
      <patternFill patternType="solid">
        <fgColor theme="1"/>
        <bgColor indexed="64"/>
      </patternFill>
    </fill>
    <fill>
      <patternFill patternType="solid">
        <fgColor rgb="FFFFFF00"/>
        <bgColor indexed="64"/>
      </patternFill>
    </fill>
    <fill>
      <patternFill patternType="solid">
        <fgColor indexed="43"/>
        <bgColor indexed="64"/>
      </patternFill>
    </fill>
    <fill>
      <patternFill patternType="solid">
        <fgColor rgb="FFFFFF99"/>
        <bgColor indexed="64"/>
      </patternFill>
    </fill>
    <fill>
      <patternFill patternType="solid">
        <fgColor rgb="FFFF9900"/>
        <bgColor indexed="64"/>
      </patternFill>
    </fill>
    <fill>
      <patternFill patternType="solid">
        <fgColor rgb="FF99CC00"/>
        <bgColor indexed="64"/>
      </patternFill>
    </fill>
    <fill>
      <patternFill patternType="solid">
        <fgColor rgb="FFC0C0C0"/>
        <bgColor indexed="64"/>
      </patternFill>
    </fill>
    <fill>
      <patternFill patternType="solid">
        <fgColor rgb="FFFFC000"/>
        <bgColor indexed="64"/>
      </patternFill>
    </fill>
    <fill>
      <patternFill patternType="solid">
        <fgColor theme="7" tint="0.39997558519241921"/>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rgb="FF33CC33"/>
        <bgColor indexed="64"/>
      </patternFill>
    </fill>
    <fill>
      <patternFill patternType="solid">
        <fgColor rgb="FF00B0F0"/>
        <bgColor indexed="64"/>
      </patternFill>
    </fill>
    <fill>
      <patternFill patternType="solid">
        <fgColor theme="3" tint="0.79998168889431442"/>
        <bgColor indexed="64"/>
      </patternFill>
    </fill>
    <fill>
      <patternFill patternType="solid">
        <fgColor rgb="FFFF00FF"/>
        <bgColor indexed="64"/>
      </patternFill>
    </fill>
    <fill>
      <patternFill patternType="solid">
        <fgColor rgb="FF92D050"/>
        <bgColor indexed="64"/>
      </patternFill>
    </fill>
    <fill>
      <patternFill patternType="solid">
        <fgColor rgb="FF00FFFF"/>
        <bgColor indexed="64"/>
      </patternFill>
    </fill>
  </fills>
  <borders count="9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55"/>
      </top>
      <bottom/>
      <diagonal/>
    </border>
    <border>
      <left/>
      <right/>
      <top/>
      <bottom style="medium">
        <color indexed="55"/>
      </bottom>
      <diagonal/>
    </border>
    <border>
      <left/>
      <right style="medium">
        <color indexed="55"/>
      </right>
      <top style="medium">
        <color indexed="55"/>
      </top>
      <bottom/>
      <diagonal/>
    </border>
    <border>
      <left/>
      <right style="medium">
        <color indexed="55"/>
      </right>
      <top/>
      <bottom/>
      <diagonal/>
    </border>
    <border>
      <left/>
      <right style="medium">
        <color indexed="55"/>
      </right>
      <top/>
      <bottom style="medium">
        <color indexed="55"/>
      </bottom>
      <diagonal/>
    </border>
    <border>
      <left style="medium">
        <color indexed="55"/>
      </left>
      <right/>
      <top style="medium">
        <color indexed="55"/>
      </top>
      <bottom/>
      <diagonal/>
    </border>
    <border>
      <left style="medium">
        <color indexed="55"/>
      </left>
      <right/>
      <top/>
      <bottom/>
      <diagonal/>
    </border>
    <border>
      <left style="medium">
        <color indexed="55"/>
      </left>
      <right/>
      <top/>
      <bottom style="medium">
        <color indexed="55"/>
      </bottom>
      <diagonal/>
    </border>
    <border>
      <left/>
      <right/>
      <top style="medium">
        <color auto="1"/>
      </top>
      <bottom/>
      <diagonal/>
    </border>
    <border>
      <left/>
      <right style="medium">
        <color auto="1"/>
      </right>
      <top style="medium">
        <color auto="1"/>
      </top>
      <bottom/>
      <diagonal/>
    </border>
    <border>
      <left style="medium">
        <color auto="1"/>
      </left>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indexed="64"/>
      </top>
      <bottom style="medium">
        <color indexed="64"/>
      </bottom>
      <diagonal/>
    </border>
    <border>
      <left/>
      <right/>
      <top style="medium">
        <color auto="1"/>
      </top>
      <bottom style="medium">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55"/>
      </top>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double">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medium">
        <color auto="1"/>
      </right>
      <top/>
      <bottom/>
      <diagonal/>
    </border>
  </borders>
  <cellStyleXfs count="8">
    <xf numFmtId="0" fontId="0" fillId="0" borderId="0"/>
    <xf numFmtId="0" fontId="4" fillId="0" borderId="0" applyNumberFormat="0" applyFill="0" applyBorder="0" applyAlignment="0" applyProtection="0"/>
    <xf numFmtId="43" fontId="3" fillId="0" borderId="0" applyFont="0" applyFill="0" applyBorder="0" applyAlignment="0" applyProtection="0"/>
    <xf numFmtId="0" fontId="10" fillId="0" borderId="0" applyNumberFormat="0" applyFill="0" applyBorder="0" applyAlignment="0" applyProtection="0">
      <alignment vertical="top"/>
      <protection locked="0"/>
    </xf>
    <xf numFmtId="0" fontId="3" fillId="0" borderId="0"/>
    <xf numFmtId="0" fontId="2" fillId="0" borderId="0"/>
    <xf numFmtId="43" fontId="2" fillId="0" borderId="0" applyFont="0" applyFill="0" applyBorder="0" applyAlignment="0" applyProtection="0"/>
    <xf numFmtId="9" fontId="70" fillId="0" borderId="0" applyFont="0" applyFill="0" applyBorder="0" applyAlignment="0" applyProtection="0"/>
  </cellStyleXfs>
  <cellXfs count="973">
    <xf numFmtId="0" fontId="0" fillId="0" borderId="0" xfId="0"/>
    <xf numFmtId="0" fontId="23" fillId="24" borderId="0" xfId="0" applyFont="1" applyFill="1" applyBorder="1" applyAlignment="1" applyProtection="1">
      <alignment horizontal="center" vertical="center"/>
    </xf>
    <xf numFmtId="0" fontId="7" fillId="0" borderId="0" xfId="0" applyFont="1"/>
    <xf numFmtId="0" fontId="4" fillId="0" borderId="0" xfId="0" applyFont="1"/>
    <xf numFmtId="0" fontId="8" fillId="0" borderId="0" xfId="0" applyFont="1"/>
    <xf numFmtId="2" fontId="0" fillId="0" borderId="0" xfId="0" applyNumberFormat="1"/>
    <xf numFmtId="0" fontId="4" fillId="2" borderId="0" xfId="0" applyFont="1" applyFill="1"/>
    <xf numFmtId="0" fontId="0" fillId="0" borderId="0" xfId="0" applyBorder="1"/>
    <xf numFmtId="2" fontId="0" fillId="0" borderId="0" xfId="0" applyNumberFormat="1" applyBorder="1"/>
    <xf numFmtId="0" fontId="0" fillId="4" borderId="2" xfId="0" applyFill="1" applyBorder="1"/>
    <xf numFmtId="0" fontId="0" fillId="4" borderId="0" xfId="0" applyFill="1" applyBorder="1"/>
    <xf numFmtId="0" fontId="0" fillId="0" borderId="0" xfId="0" applyFill="1"/>
    <xf numFmtId="0" fontId="0" fillId="0" borderId="0" xfId="0" applyFill="1" applyBorder="1"/>
    <xf numFmtId="0" fontId="15" fillId="0" borderId="0" xfId="0" applyFont="1" applyFill="1" applyBorder="1"/>
    <xf numFmtId="0" fontId="4" fillId="0" borderId="0" xfId="0" applyFont="1" applyFill="1" applyBorder="1"/>
    <xf numFmtId="0" fontId="0" fillId="9" borderId="0" xfId="0" applyFill="1"/>
    <xf numFmtId="0" fontId="0" fillId="0" borderId="0" xfId="0" applyAlignment="1">
      <alignment horizontal="right"/>
    </xf>
    <xf numFmtId="0" fontId="17" fillId="0" borderId="0" xfId="0" applyFont="1"/>
    <xf numFmtId="11" fontId="7" fillId="0" borderId="0" xfId="0" applyNumberFormat="1" applyFont="1"/>
    <xf numFmtId="0" fontId="4" fillId="0" borderId="0" xfId="0" applyFont="1" applyFill="1" applyAlignment="1">
      <alignment horizontal="center"/>
    </xf>
    <xf numFmtId="0" fontId="4" fillId="4" borderId="0" xfId="0" applyFont="1" applyFill="1" applyAlignment="1">
      <alignment horizontal="center"/>
    </xf>
    <xf numFmtId="0" fontId="4" fillId="10" borderId="0" xfId="0" applyFont="1" applyFill="1" applyAlignment="1">
      <alignment horizontal="center"/>
    </xf>
    <xf numFmtId="0" fontId="4" fillId="11" borderId="0" xfId="0" applyFont="1" applyFill="1" applyAlignment="1">
      <alignment horizontal="center"/>
    </xf>
    <xf numFmtId="169" fontId="17" fillId="3" borderId="0" xfId="0" applyNumberFormat="1" applyFont="1" applyFill="1" applyBorder="1" applyAlignment="1" applyProtection="1">
      <alignment horizontal="center"/>
    </xf>
    <xf numFmtId="0" fontId="0" fillId="0" borderId="22" xfId="0" applyBorder="1"/>
    <xf numFmtId="0" fontId="0" fillId="0" borderId="23" xfId="0" applyBorder="1"/>
    <xf numFmtId="0" fontId="8" fillId="0" borderId="22" xfId="0" applyFont="1" applyBorder="1"/>
    <xf numFmtId="0" fontId="0" fillId="11" borderId="0" xfId="0" applyFill="1" applyBorder="1"/>
    <xf numFmtId="0" fontId="0" fillId="0" borderId="24" xfId="0" applyBorder="1"/>
    <xf numFmtId="0" fontId="0" fillId="0" borderId="25" xfId="0" applyBorder="1"/>
    <xf numFmtId="0" fontId="0" fillId="0" borderId="26" xfId="0" applyBorder="1"/>
    <xf numFmtId="0" fontId="0" fillId="0" borderId="2" xfId="0" applyBorder="1"/>
    <xf numFmtId="0" fontId="0" fillId="0" borderId="3" xfId="0" applyBorder="1"/>
    <xf numFmtId="0" fontId="7" fillId="0" borderId="22" xfId="0" applyFont="1" applyBorder="1"/>
    <xf numFmtId="0" fontId="4" fillId="0" borderId="22" xfId="0" applyFont="1" applyBorder="1"/>
    <xf numFmtId="11" fontId="0" fillId="11" borderId="0" xfId="0" applyNumberFormat="1" applyFill="1" applyBorder="1"/>
    <xf numFmtId="0" fontId="0" fillId="10" borderId="0" xfId="0" applyFill="1" applyBorder="1"/>
    <xf numFmtId="0" fontId="0" fillId="0" borderId="0" xfId="0" applyBorder="1" applyAlignment="1">
      <alignment horizontal="right"/>
    </xf>
    <xf numFmtId="0" fontId="0" fillId="0" borderId="25" xfId="0" applyBorder="1" applyAlignment="1">
      <alignment horizontal="right"/>
    </xf>
    <xf numFmtId="0" fontId="4" fillId="0" borderId="0" xfId="0" applyFont="1" applyBorder="1"/>
    <xf numFmtId="11" fontId="7" fillId="0" borderId="25" xfId="0" applyNumberFormat="1" applyFont="1" applyBorder="1"/>
    <xf numFmtId="11" fontId="0" fillId="4" borderId="0" xfId="0" applyNumberFormat="1" applyFill="1" applyBorder="1"/>
    <xf numFmtId="0" fontId="4" fillId="0" borderId="0" xfId="0" applyFont="1" applyFill="1" applyBorder="1" applyAlignment="1"/>
    <xf numFmtId="0" fontId="8" fillId="0" borderId="0" xfId="0" applyFont="1" applyFill="1" applyBorder="1" applyAlignment="1"/>
    <xf numFmtId="0" fontId="8" fillId="0" borderId="0" xfId="0" applyFont="1" applyFill="1" applyBorder="1"/>
    <xf numFmtId="0" fontId="17" fillId="3" borderId="0" xfId="0" applyFont="1" applyFill="1" applyBorder="1" applyProtection="1"/>
    <xf numFmtId="0" fontId="17" fillId="3" borderId="0" xfId="0" applyFont="1" applyFill="1" applyProtection="1"/>
    <xf numFmtId="0" fontId="18" fillId="8" borderId="0" xfId="0" applyFont="1" applyFill="1" applyBorder="1" applyAlignment="1" applyProtection="1"/>
    <xf numFmtId="0" fontId="18" fillId="8" borderId="0" xfId="0" applyFont="1" applyFill="1" applyBorder="1" applyAlignment="1" applyProtection="1">
      <alignment horizontal="right"/>
    </xf>
    <xf numFmtId="0" fontId="17" fillId="8" borderId="0" xfId="0" applyFont="1" applyFill="1" applyBorder="1" applyProtection="1"/>
    <xf numFmtId="0" fontId="21" fillId="0" borderId="0" xfId="0" applyFont="1" applyBorder="1"/>
    <xf numFmtId="0" fontId="4" fillId="0" borderId="0" xfId="0" applyFont="1" applyBorder="1" applyAlignment="1">
      <alignment horizontal="center"/>
    </xf>
    <xf numFmtId="0" fontId="0" fillId="0" borderId="1" xfId="0" applyBorder="1"/>
    <xf numFmtId="0" fontId="0" fillId="0" borderId="2" xfId="0" applyBorder="1" applyAlignment="1">
      <alignment horizontal="right"/>
    </xf>
    <xf numFmtId="0" fontId="22" fillId="0" borderId="0" xfId="0" applyFont="1" applyBorder="1"/>
    <xf numFmtId="0" fontId="4" fillId="0" borderId="22" xfId="0" applyFont="1" applyFill="1" applyBorder="1"/>
    <xf numFmtId="0" fontId="8" fillId="0" borderId="22" xfId="0" applyFont="1" applyFill="1" applyBorder="1"/>
    <xf numFmtId="0" fontId="0" fillId="0" borderId="2" xfId="0" applyBorder="1" applyAlignment="1"/>
    <xf numFmtId="0" fontId="27" fillId="0" borderId="0" xfId="0" applyFont="1" applyBorder="1"/>
    <xf numFmtId="0" fontId="27" fillId="4" borderId="0" xfId="0" applyFont="1" applyFill="1" applyBorder="1"/>
    <xf numFmtId="0" fontId="0" fillId="0" borderId="0" xfId="0" applyFont="1" applyFill="1" applyBorder="1"/>
    <xf numFmtId="0" fontId="21" fillId="0" borderId="32" xfId="0" applyFont="1" applyBorder="1"/>
    <xf numFmtId="0" fontId="0" fillId="0" borderId="27" xfId="0" applyBorder="1"/>
    <xf numFmtId="0" fontId="0" fillId="0" borderId="29" xfId="0" applyBorder="1"/>
    <xf numFmtId="0" fontId="8" fillId="0" borderId="33" xfId="0" applyFont="1" applyBorder="1"/>
    <xf numFmtId="0" fontId="0" fillId="0" borderId="30" xfId="0" applyBorder="1"/>
    <xf numFmtId="0" fontId="27" fillId="0" borderId="33" xfId="0" applyFont="1" applyBorder="1"/>
    <xf numFmtId="0" fontId="27" fillId="0" borderId="33" xfId="0" applyFont="1" applyFill="1" applyBorder="1"/>
    <xf numFmtId="0" fontId="27" fillId="0" borderId="34" xfId="0" applyFont="1" applyBorder="1"/>
    <xf numFmtId="0" fontId="27" fillId="0" borderId="28" xfId="0" applyFont="1" applyBorder="1"/>
    <xf numFmtId="0" fontId="0" fillId="0" borderId="28" xfId="0" applyBorder="1"/>
    <xf numFmtId="0" fontId="0" fillId="0" borderId="31" xfId="0" applyBorder="1"/>
    <xf numFmtId="0" fontId="19" fillId="8" borderId="0" xfId="0" applyFont="1" applyFill="1" applyBorder="1" applyProtection="1"/>
    <xf numFmtId="2" fontId="17" fillId="8" borderId="0" xfId="0" applyNumberFormat="1" applyFont="1" applyFill="1" applyBorder="1" applyProtection="1"/>
    <xf numFmtId="165" fontId="17" fillId="8" borderId="0" xfId="0" applyNumberFormat="1" applyFont="1" applyFill="1" applyBorder="1" applyProtection="1"/>
    <xf numFmtId="0" fontId="17" fillId="12" borderId="0" xfId="0" applyFont="1" applyFill="1" applyProtection="1"/>
    <xf numFmtId="0" fontId="3" fillId="0" borderId="0" xfId="0" applyFont="1"/>
    <xf numFmtId="0" fontId="3" fillId="0" borderId="0" xfId="0" applyFont="1" applyBorder="1"/>
    <xf numFmtId="0" fontId="0" fillId="0" borderId="0" xfId="0" applyBorder="1" applyAlignment="1">
      <alignment horizontal="left"/>
    </xf>
    <xf numFmtId="0" fontId="3" fillId="0" borderId="2" xfId="0" applyFont="1" applyBorder="1"/>
    <xf numFmtId="0" fontId="3" fillId="0" borderId="25" xfId="0" applyFont="1" applyBorder="1"/>
    <xf numFmtId="0" fontId="30" fillId="8" borderId="0" xfId="0" applyFont="1" applyFill="1" applyBorder="1" applyAlignment="1" applyProtection="1"/>
    <xf numFmtId="0" fontId="17" fillId="12" borderId="0" xfId="0" applyFont="1" applyFill="1" applyBorder="1" applyProtection="1"/>
    <xf numFmtId="0" fontId="20" fillId="15" borderId="0" xfId="0" applyFont="1" applyFill="1" applyBorder="1" applyAlignment="1" applyProtection="1">
      <alignment vertical="center"/>
    </xf>
    <xf numFmtId="0" fontId="0" fillId="14" borderId="0" xfId="0" applyFill="1"/>
    <xf numFmtId="0" fontId="42" fillId="14" borderId="0" xfId="0" applyFont="1" applyFill="1"/>
    <xf numFmtId="0" fontId="4" fillId="8" borderId="0" xfId="0" applyFont="1" applyFill="1" applyBorder="1" applyAlignment="1" applyProtection="1">
      <alignment horizontal="right"/>
    </xf>
    <xf numFmtId="0" fontId="3" fillId="8" borderId="0" xfId="0" applyFont="1" applyFill="1" applyBorder="1" applyAlignment="1" applyProtection="1">
      <alignment horizontal="right"/>
    </xf>
    <xf numFmtId="0" fontId="3" fillId="8" borderId="22" xfId="0" applyFont="1" applyFill="1" applyBorder="1" applyProtection="1"/>
    <xf numFmtId="0" fontId="3" fillId="8" borderId="0" xfId="0" applyFont="1" applyFill="1" applyBorder="1" applyProtection="1"/>
    <xf numFmtId="0" fontId="45" fillId="8" borderId="0" xfId="0" applyFont="1" applyFill="1" applyBorder="1" applyProtection="1"/>
    <xf numFmtId="0" fontId="46" fillId="8" borderId="0" xfId="0" applyFont="1" applyFill="1" applyBorder="1" applyProtection="1"/>
    <xf numFmtId="0" fontId="47" fillId="8" borderId="0" xfId="0" applyFont="1" applyFill="1" applyBorder="1" applyAlignment="1" applyProtection="1"/>
    <xf numFmtId="0" fontId="4" fillId="8" borderId="0" xfId="0" applyFont="1" applyFill="1" applyBorder="1" applyAlignment="1" applyProtection="1"/>
    <xf numFmtId="167" fontId="4" fillId="8" borderId="0" xfId="0" applyNumberFormat="1" applyFont="1" applyFill="1" applyBorder="1" applyAlignment="1" applyProtection="1"/>
    <xf numFmtId="0" fontId="47" fillId="8" borderId="0" xfId="0" applyFont="1" applyFill="1" applyBorder="1" applyProtection="1"/>
    <xf numFmtId="0" fontId="4" fillId="8" borderId="0" xfId="0" applyFont="1" applyFill="1" applyBorder="1" applyProtection="1"/>
    <xf numFmtId="0" fontId="4" fillId="8" borderId="22" xfId="0" applyFont="1" applyFill="1" applyBorder="1" applyProtection="1"/>
    <xf numFmtId="0" fontId="4" fillId="15" borderId="0" xfId="0" applyFont="1" applyFill="1" applyBorder="1" applyProtection="1">
      <protection locked="0"/>
    </xf>
    <xf numFmtId="1" fontId="44" fillId="8" borderId="0" xfId="0" applyNumberFormat="1" applyFont="1" applyFill="1" applyBorder="1" applyAlignment="1" applyProtection="1">
      <alignment horizontal="right"/>
    </xf>
    <xf numFmtId="0" fontId="50" fillId="8" borderId="0" xfId="0" applyFont="1" applyFill="1" applyBorder="1" applyAlignment="1" applyProtection="1">
      <alignment horizontal="right"/>
    </xf>
    <xf numFmtId="0" fontId="3" fillId="8" borderId="24" xfId="0" applyFont="1" applyFill="1" applyBorder="1" applyProtection="1"/>
    <xf numFmtId="0" fontId="3" fillId="8" borderId="25" xfId="0" applyFont="1" applyFill="1" applyBorder="1" applyProtection="1"/>
    <xf numFmtId="0" fontId="3" fillId="8" borderId="23" xfId="0" applyFont="1" applyFill="1" applyBorder="1" applyProtection="1"/>
    <xf numFmtId="0" fontId="3" fillId="8" borderId="39" xfId="0" applyFont="1" applyFill="1" applyBorder="1" applyProtection="1"/>
    <xf numFmtId="0" fontId="3" fillId="8" borderId="40" xfId="0" applyFont="1" applyFill="1" applyBorder="1" applyProtection="1"/>
    <xf numFmtId="0" fontId="22" fillId="8" borderId="22" xfId="0" applyFont="1" applyFill="1" applyBorder="1" applyAlignment="1" applyProtection="1">
      <alignment vertical="center"/>
    </xf>
    <xf numFmtId="0" fontId="17" fillId="3" borderId="22" xfId="0" applyFont="1" applyFill="1" applyBorder="1" applyProtection="1"/>
    <xf numFmtId="0" fontId="4" fillId="8" borderId="39" xfId="0" applyFont="1" applyFill="1" applyBorder="1" applyProtection="1"/>
    <xf numFmtId="0" fontId="3" fillId="0" borderId="1" xfId="0" applyFont="1" applyBorder="1"/>
    <xf numFmtId="0" fontId="3" fillId="0" borderId="22" xfId="0" applyFont="1" applyBorder="1"/>
    <xf numFmtId="0" fontId="3" fillId="0" borderId="0" xfId="0" applyFont="1" applyFill="1" applyBorder="1"/>
    <xf numFmtId="2" fontId="0" fillId="0" borderId="0" xfId="0" applyNumberFormat="1" applyBorder="1" applyAlignment="1">
      <alignment horizontal="right"/>
    </xf>
    <xf numFmtId="0" fontId="53" fillId="0" borderId="0" xfId="0" applyFont="1" applyBorder="1"/>
    <xf numFmtId="0" fontId="3" fillId="8" borderId="0" xfId="4" applyFill="1"/>
    <xf numFmtId="0" fontId="11" fillId="8" borderId="0" xfId="4" applyFont="1" applyFill="1" applyAlignment="1">
      <alignment vertical="center"/>
    </xf>
    <xf numFmtId="0" fontId="3" fillId="16" borderId="17" xfId="4" applyFill="1" applyBorder="1" applyAlignment="1">
      <alignment horizontal="center" vertical="center"/>
    </xf>
    <xf numFmtId="0" fontId="3" fillId="8" borderId="0" xfId="4" applyFill="1" applyAlignment="1">
      <alignment vertical="center"/>
    </xf>
    <xf numFmtId="0" fontId="3" fillId="17" borderId="17" xfId="4" applyFill="1" applyBorder="1" applyAlignment="1">
      <alignment horizontal="center" vertical="center"/>
    </xf>
    <xf numFmtId="0" fontId="3" fillId="17" borderId="11" xfId="4" applyFill="1" applyBorder="1" applyAlignment="1">
      <alignment vertical="center" wrapText="1"/>
    </xf>
    <xf numFmtId="0" fontId="3" fillId="17" borderId="11" xfId="4" quotePrefix="1" applyFill="1" applyBorder="1" applyAlignment="1">
      <alignment horizontal="left" vertical="center"/>
    </xf>
    <xf numFmtId="0" fontId="3" fillId="17" borderId="11" xfId="4" applyFill="1" applyBorder="1" applyAlignment="1">
      <alignment horizontal="left" vertical="center"/>
    </xf>
    <xf numFmtId="0" fontId="3" fillId="12" borderId="17" xfId="4" applyFill="1" applyBorder="1" applyAlignment="1">
      <alignment horizontal="center" vertical="center"/>
    </xf>
    <xf numFmtId="0" fontId="3" fillId="12" borderId="11" xfId="4" applyFill="1" applyBorder="1" applyAlignment="1">
      <alignment vertical="center" wrapText="1"/>
    </xf>
    <xf numFmtId="170" fontId="3" fillId="12" borderId="11" xfId="4" applyNumberFormat="1" applyFill="1" applyBorder="1" applyAlignment="1">
      <alignment horizontal="center" vertical="center"/>
    </xf>
    <xf numFmtId="0" fontId="3" fillId="12" borderId="11" xfId="4" quotePrefix="1" applyFill="1" applyBorder="1" applyAlignment="1">
      <alignment horizontal="left" vertical="center"/>
    </xf>
    <xf numFmtId="0" fontId="3" fillId="12" borderId="11" xfId="4" applyFill="1" applyBorder="1" applyAlignment="1">
      <alignment horizontal="left" vertical="center"/>
    </xf>
    <xf numFmtId="0" fontId="3" fillId="16" borderId="11" xfId="4" applyFill="1" applyBorder="1" applyAlignment="1">
      <alignment vertical="center" wrapText="1"/>
    </xf>
    <xf numFmtId="0" fontId="3" fillId="16" borderId="11" xfId="4" quotePrefix="1" applyFill="1" applyBorder="1" applyAlignment="1">
      <alignment horizontal="left" vertical="center"/>
    </xf>
    <xf numFmtId="0" fontId="3" fillId="16" borderId="11" xfId="4" applyFill="1" applyBorder="1" applyAlignment="1">
      <alignment horizontal="left" vertical="center"/>
    </xf>
    <xf numFmtId="171" fontId="3" fillId="16" borderId="11" xfId="4" applyNumberFormat="1" applyFill="1" applyBorder="1" applyAlignment="1">
      <alignment horizontal="center" vertical="center"/>
    </xf>
    <xf numFmtId="0" fontId="3" fillId="12" borderId="0" xfId="4" applyFill="1"/>
    <xf numFmtId="1" fontId="0" fillId="4" borderId="0" xfId="0" applyNumberFormat="1" applyFill="1" applyBorder="1"/>
    <xf numFmtId="0" fontId="3" fillId="8" borderId="0" xfId="0" applyFont="1" applyFill="1" applyBorder="1" applyAlignment="1" applyProtection="1">
      <alignment vertical="center"/>
    </xf>
    <xf numFmtId="0" fontId="3" fillId="8" borderId="22" xfId="0" applyFont="1" applyFill="1" applyBorder="1" applyAlignment="1" applyProtection="1">
      <alignment vertical="center"/>
    </xf>
    <xf numFmtId="0" fontId="3" fillId="8" borderId="0" xfId="0" applyFont="1" applyFill="1" applyBorder="1" applyAlignment="1" applyProtection="1">
      <alignment horizontal="right" vertical="center"/>
    </xf>
    <xf numFmtId="0" fontId="3" fillId="8" borderId="23" xfId="0" applyFont="1" applyFill="1" applyBorder="1" applyAlignment="1" applyProtection="1">
      <alignment vertical="center"/>
    </xf>
    <xf numFmtId="0" fontId="3" fillId="8" borderId="24" xfId="0" applyFont="1" applyFill="1" applyBorder="1" applyAlignment="1" applyProtection="1">
      <alignment vertical="center"/>
    </xf>
    <xf numFmtId="0" fontId="3" fillId="8" borderId="25" xfId="0" applyFont="1" applyFill="1" applyBorder="1" applyAlignment="1" applyProtection="1">
      <alignment vertical="center"/>
    </xf>
    <xf numFmtId="0" fontId="3" fillId="8" borderId="26" xfId="0" applyFont="1" applyFill="1" applyBorder="1" applyAlignment="1" applyProtection="1">
      <alignment vertical="center"/>
    </xf>
    <xf numFmtId="0" fontId="3" fillId="8" borderId="37" xfId="0" applyFont="1" applyFill="1" applyBorder="1" applyAlignment="1" applyProtection="1">
      <alignment vertical="center"/>
    </xf>
    <xf numFmtId="0" fontId="3" fillId="8" borderId="2" xfId="0" applyFont="1" applyFill="1" applyBorder="1" applyAlignment="1" applyProtection="1">
      <alignment vertical="center"/>
    </xf>
    <xf numFmtId="0" fontId="50" fillId="8" borderId="0" xfId="0" applyFont="1" applyFill="1" applyBorder="1" applyAlignment="1" applyProtection="1">
      <alignment horizontal="right" vertical="center"/>
    </xf>
    <xf numFmtId="0" fontId="4" fillId="15" borderId="0" xfId="0" applyNumberFormat="1" applyFont="1" applyFill="1" applyBorder="1" applyAlignment="1" applyProtection="1">
      <alignment vertical="center"/>
      <protection locked="0"/>
    </xf>
    <xf numFmtId="0" fontId="4" fillId="8" borderId="23" xfId="0" applyFont="1" applyFill="1" applyBorder="1" applyAlignment="1" applyProtection="1">
      <alignment vertical="center"/>
    </xf>
    <xf numFmtId="1" fontId="3" fillId="8" borderId="0" xfId="0" applyNumberFormat="1" applyFont="1" applyFill="1" applyBorder="1" applyAlignment="1" applyProtection="1">
      <alignment horizontal="right" vertical="center"/>
    </xf>
    <xf numFmtId="0" fontId="50" fillId="12" borderId="0" xfId="0" applyFont="1" applyFill="1" applyBorder="1" applyAlignment="1" applyProtection="1">
      <alignment horizontal="right" vertical="center"/>
    </xf>
    <xf numFmtId="0" fontId="4" fillId="15" borderId="0" xfId="0" applyFont="1" applyFill="1" applyBorder="1" applyAlignment="1" applyProtection="1">
      <alignment vertical="center"/>
      <protection locked="0"/>
    </xf>
    <xf numFmtId="0" fontId="4" fillId="8" borderId="0" xfId="0" applyFont="1" applyFill="1" applyBorder="1" applyAlignment="1" applyProtection="1">
      <alignment vertical="center"/>
    </xf>
    <xf numFmtId="0" fontId="4" fillId="8" borderId="0" xfId="0" applyFont="1" applyFill="1" applyBorder="1" applyAlignment="1" applyProtection="1">
      <alignment horizontal="right" vertical="center"/>
    </xf>
    <xf numFmtId="0" fontId="4" fillId="15" borderId="0" xfId="0" applyNumberFormat="1" applyFont="1" applyFill="1" applyBorder="1" applyAlignment="1" applyProtection="1">
      <alignment horizontal="right" vertical="center"/>
      <protection locked="0"/>
    </xf>
    <xf numFmtId="0" fontId="3" fillId="8" borderId="39" xfId="0" applyFont="1" applyFill="1" applyBorder="1" applyAlignment="1" applyProtection="1">
      <alignment vertical="center"/>
    </xf>
    <xf numFmtId="0" fontId="0" fillId="0" borderId="35" xfId="0" applyBorder="1"/>
    <xf numFmtId="0" fontId="0" fillId="18" borderId="0" xfId="0" applyFill="1" applyBorder="1"/>
    <xf numFmtId="0" fontId="3" fillId="0" borderId="0" xfId="0" applyFont="1" applyBorder="1" applyAlignment="1">
      <alignment horizontal="right"/>
    </xf>
    <xf numFmtId="0" fontId="4" fillId="0" borderId="35" xfId="0" applyFont="1" applyBorder="1" applyAlignment="1">
      <alignment horizontal="right"/>
    </xf>
    <xf numFmtId="0" fontId="4" fillId="0" borderId="25" xfId="0" applyFont="1" applyBorder="1" applyAlignment="1">
      <alignment horizontal="right"/>
    </xf>
    <xf numFmtId="0" fontId="4" fillId="0" borderId="0" xfId="0" applyFont="1" applyAlignment="1">
      <alignment horizontal="right"/>
    </xf>
    <xf numFmtId="0" fontId="4" fillId="0" borderId="35" xfId="0" applyFont="1" applyBorder="1"/>
    <xf numFmtId="0" fontId="4" fillId="0" borderId="25" xfId="0" applyFont="1" applyBorder="1"/>
    <xf numFmtId="0" fontId="4" fillId="0" borderId="0" xfId="0" applyFont="1" applyBorder="1" applyAlignment="1">
      <alignment horizontal="left"/>
    </xf>
    <xf numFmtId="166" fontId="7" fillId="10" borderId="0" xfId="0" applyNumberFormat="1" applyFont="1" applyFill="1" applyBorder="1"/>
    <xf numFmtId="2" fontId="0" fillId="18" borderId="0" xfId="0" applyNumberFormat="1" applyFill="1" applyBorder="1"/>
    <xf numFmtId="1" fontId="0" fillId="10" borderId="0" xfId="0" applyNumberFormat="1" applyFill="1" applyBorder="1"/>
    <xf numFmtId="0" fontId="3" fillId="0" borderId="35" xfId="0" applyFont="1" applyFill="1" applyBorder="1"/>
    <xf numFmtId="0" fontId="3" fillId="0" borderId="24" xfId="0" applyFont="1" applyBorder="1"/>
    <xf numFmtId="0" fontId="7" fillId="0" borderId="25" xfId="0" applyFont="1" applyFill="1" applyBorder="1"/>
    <xf numFmtId="167" fontId="0" fillId="0" borderId="0" xfId="0" applyNumberFormat="1" applyFill="1" applyBorder="1"/>
    <xf numFmtId="0" fontId="4" fillId="0" borderId="45" xfId="0" applyFont="1" applyFill="1" applyBorder="1"/>
    <xf numFmtId="0" fontId="0" fillId="20" borderId="0" xfId="0" applyFill="1" applyBorder="1"/>
    <xf numFmtId="0" fontId="3" fillId="0" borderId="0" xfId="4"/>
    <xf numFmtId="0" fontId="3" fillId="0" borderId="11" xfId="4" applyBorder="1"/>
    <xf numFmtId="2" fontId="3" fillId="0" borderId="0" xfId="4" applyNumberFormat="1"/>
    <xf numFmtId="166" fontId="0" fillId="0" borderId="0" xfId="0" applyNumberFormat="1"/>
    <xf numFmtId="1" fontId="7" fillId="10" borderId="0" xfId="0" applyNumberFormat="1" applyFont="1" applyFill="1" applyBorder="1"/>
    <xf numFmtId="0" fontId="3" fillId="0" borderId="49" xfId="0" applyFont="1" applyBorder="1"/>
    <xf numFmtId="166" fontId="3" fillId="0" borderId="50" xfId="0" applyNumberFormat="1" applyFont="1" applyFill="1" applyBorder="1"/>
    <xf numFmtId="11" fontId="7" fillId="0" borderId="50" xfId="0" applyNumberFormat="1" applyFont="1" applyBorder="1"/>
    <xf numFmtId="0" fontId="53" fillId="0" borderId="50" xfId="0" applyFont="1" applyBorder="1"/>
    <xf numFmtId="0" fontId="49" fillId="0" borderId="0" xfId="0" applyFont="1"/>
    <xf numFmtId="0" fontId="0" fillId="0" borderId="39" xfId="0" applyBorder="1"/>
    <xf numFmtId="0" fontId="50" fillId="0" borderId="0" xfId="0" applyFont="1"/>
    <xf numFmtId="0" fontId="48" fillId="0" borderId="0" xfId="0" applyFont="1" applyFill="1" applyBorder="1"/>
    <xf numFmtId="165" fontId="7" fillId="10" borderId="0" xfId="0" applyNumberFormat="1" applyFont="1" applyFill="1" applyBorder="1"/>
    <xf numFmtId="0" fontId="0" fillId="20" borderId="0" xfId="0" applyFill="1" applyBorder="1" applyAlignment="1">
      <alignment horizontal="right"/>
    </xf>
    <xf numFmtId="166" fontId="27" fillId="18" borderId="0" xfId="0" applyNumberFormat="1" applyFont="1" applyFill="1" applyBorder="1"/>
    <xf numFmtId="0" fontId="0" fillId="19" borderId="0" xfId="0" applyFill="1" applyBorder="1" applyAlignment="1">
      <alignment horizontal="right"/>
    </xf>
    <xf numFmtId="2" fontId="0" fillId="18" borderId="0" xfId="0" applyNumberFormat="1" applyFill="1" applyBorder="1" applyAlignment="1">
      <alignment horizontal="right"/>
    </xf>
    <xf numFmtId="0" fontId="3" fillId="0" borderId="11" xfId="4" applyFill="1" applyBorder="1"/>
    <xf numFmtId="0" fontId="3" fillId="0" borderId="0" xfId="4" applyFont="1"/>
    <xf numFmtId="166" fontId="3" fillId="0" borderId="11" xfId="4" applyNumberFormat="1" applyBorder="1"/>
    <xf numFmtId="0" fontId="0" fillId="19" borderId="0" xfId="0" applyFill="1" applyBorder="1"/>
    <xf numFmtId="2" fontId="3" fillId="0" borderId="0" xfId="0" applyNumberFormat="1" applyFont="1" applyFill="1" applyBorder="1"/>
    <xf numFmtId="0" fontId="3" fillId="20" borderId="0" xfId="0" applyFont="1" applyFill="1" applyBorder="1"/>
    <xf numFmtId="0" fontId="3" fillId="0" borderId="8" xfId="4" applyBorder="1"/>
    <xf numFmtId="176" fontId="0" fillId="10" borderId="0" xfId="0" applyNumberFormat="1" applyFill="1" applyBorder="1"/>
    <xf numFmtId="176" fontId="0" fillId="4" borderId="25" xfId="0" applyNumberFormat="1" applyFill="1" applyBorder="1"/>
    <xf numFmtId="1" fontId="3" fillId="0" borderId="0" xfId="4" applyNumberFormat="1"/>
    <xf numFmtId="0" fontId="0" fillId="0" borderId="0" xfId="0" applyNumberFormat="1" applyBorder="1"/>
    <xf numFmtId="0" fontId="0" fillId="0" borderId="0" xfId="0" applyBorder="1" applyAlignment="1"/>
    <xf numFmtId="0" fontId="15" fillId="0" borderId="33" xfId="0" applyFont="1" applyBorder="1"/>
    <xf numFmtId="0" fontId="15" fillId="0" borderId="0" xfId="0" applyFont="1" applyBorder="1"/>
    <xf numFmtId="0" fontId="54" fillId="3" borderId="43" xfId="4" applyFont="1" applyFill="1" applyBorder="1" applyAlignment="1">
      <alignment horizontal="center" vertical="center"/>
    </xf>
    <xf numFmtId="0" fontId="54" fillId="3" borderId="44" xfId="4" applyFont="1" applyFill="1" applyBorder="1" applyAlignment="1">
      <alignment horizontal="center" vertical="center"/>
    </xf>
    <xf numFmtId="11" fontId="49" fillId="0" borderId="0" xfId="0" applyNumberFormat="1" applyFont="1"/>
    <xf numFmtId="0" fontId="59" fillId="0" borderId="0" xfId="0" applyFont="1" applyFill="1" applyBorder="1"/>
    <xf numFmtId="0" fontId="3" fillId="8" borderId="35" xfId="0" applyFont="1" applyFill="1" applyBorder="1" applyAlignment="1" applyProtection="1">
      <alignment horizontal="right" vertical="center"/>
    </xf>
    <xf numFmtId="0" fontId="3" fillId="0" borderId="24" xfId="0" applyFont="1" applyFill="1" applyBorder="1"/>
    <xf numFmtId="0" fontId="3" fillId="8" borderId="39" xfId="0" applyFont="1" applyFill="1" applyBorder="1" applyAlignment="1" applyProtection="1">
      <alignment horizontal="right"/>
    </xf>
    <xf numFmtId="1" fontId="3" fillId="8" borderId="39" xfId="0" applyNumberFormat="1" applyFont="1" applyFill="1" applyBorder="1" applyProtection="1"/>
    <xf numFmtId="166" fontId="17" fillId="12" borderId="0" xfId="0" applyNumberFormat="1" applyFont="1" applyFill="1" applyBorder="1" applyProtection="1"/>
    <xf numFmtId="0" fontId="3" fillId="12" borderId="0" xfId="0" applyNumberFormat="1" applyFont="1" applyFill="1" applyBorder="1" applyAlignment="1" applyProtection="1">
      <alignment horizontal="right" vertical="center"/>
    </xf>
    <xf numFmtId="165" fontId="17" fillId="12" borderId="0" xfId="0" applyNumberFormat="1" applyFont="1" applyFill="1" applyBorder="1" applyProtection="1"/>
    <xf numFmtId="0" fontId="3" fillId="12" borderId="0" xfId="0" applyFont="1" applyFill="1" applyBorder="1" applyAlignment="1" applyProtection="1">
      <alignment vertical="center"/>
    </xf>
    <xf numFmtId="0" fontId="4" fillId="12" borderId="0" xfId="0" applyFont="1" applyFill="1" applyBorder="1" applyAlignment="1" applyProtection="1">
      <alignment vertical="center"/>
    </xf>
    <xf numFmtId="0" fontId="61" fillId="8" borderId="0" xfId="0" applyFont="1" applyFill="1" applyBorder="1" applyAlignment="1" applyProtection="1">
      <alignment horizontal="right" vertical="center"/>
    </xf>
    <xf numFmtId="165" fontId="3" fillId="0" borderId="0" xfId="4" applyNumberFormat="1"/>
    <xf numFmtId="166" fontId="3" fillId="0" borderId="0" xfId="4" applyNumberFormat="1"/>
    <xf numFmtId="164" fontId="3" fillId="0" borderId="0" xfId="4" applyNumberFormat="1"/>
    <xf numFmtId="10" fontId="3" fillId="0" borderId="0" xfId="4" applyNumberFormat="1"/>
    <xf numFmtId="0" fontId="4" fillId="4" borderId="49" xfId="4" applyFont="1" applyFill="1" applyBorder="1" applyAlignment="1"/>
    <xf numFmtId="0" fontId="7" fillId="4" borderId="35" xfId="4" applyFont="1" applyFill="1" applyBorder="1" applyAlignment="1"/>
    <xf numFmtId="165" fontId="3" fillId="4" borderId="52" xfId="4" applyNumberFormat="1" applyFill="1" applyBorder="1"/>
    <xf numFmtId="165" fontId="4" fillId="4" borderId="49" xfId="4" applyNumberFormat="1" applyFont="1" applyFill="1" applyBorder="1" applyAlignment="1"/>
    <xf numFmtId="165" fontId="7" fillId="4" borderId="50" xfId="4" applyNumberFormat="1" applyFont="1" applyFill="1" applyBorder="1" applyAlignment="1"/>
    <xf numFmtId="0" fontId="7" fillId="4" borderId="50" xfId="4" applyFont="1" applyFill="1" applyBorder="1" applyAlignment="1"/>
    <xf numFmtId="165" fontId="15" fillId="4" borderId="52" xfId="4" applyNumberFormat="1" applyFont="1" applyFill="1" applyBorder="1"/>
    <xf numFmtId="166" fontId="4" fillId="4" borderId="50" xfId="4" applyNumberFormat="1" applyFont="1" applyFill="1" applyBorder="1" applyAlignment="1">
      <alignment horizontal="left"/>
    </xf>
    <xf numFmtId="165" fontId="7" fillId="4" borderId="50" xfId="4" applyNumberFormat="1" applyFont="1" applyFill="1" applyBorder="1" applyAlignment="1">
      <alignment horizontal="center"/>
    </xf>
    <xf numFmtId="165" fontId="4" fillId="4" borderId="49" xfId="4" applyNumberFormat="1" applyFont="1" applyFill="1" applyBorder="1"/>
    <xf numFmtId="164" fontId="3" fillId="4" borderId="50" xfId="4" applyNumberFormat="1" applyFill="1" applyBorder="1"/>
    <xf numFmtId="164" fontId="3" fillId="4" borderId="52" xfId="4" applyNumberFormat="1" applyFill="1" applyBorder="1"/>
    <xf numFmtId="165" fontId="4" fillId="4" borderId="41" xfId="4" applyNumberFormat="1" applyFont="1" applyFill="1" applyBorder="1"/>
    <xf numFmtId="165" fontId="3" fillId="4" borderId="42" xfId="4" applyNumberFormat="1" applyFill="1" applyBorder="1"/>
    <xf numFmtId="165" fontId="4" fillId="4" borderId="41" xfId="4" applyNumberFormat="1" applyFont="1" applyFill="1" applyBorder="1" applyAlignment="1">
      <alignment horizontal="left"/>
    </xf>
    <xf numFmtId="165" fontId="4" fillId="4" borderId="42" xfId="4" applyNumberFormat="1" applyFont="1" applyFill="1" applyBorder="1" applyAlignment="1">
      <alignment horizontal="left"/>
    </xf>
    <xf numFmtId="165" fontId="3" fillId="4" borderId="54" xfId="4" applyNumberFormat="1" applyFill="1" applyBorder="1"/>
    <xf numFmtId="0" fontId="16" fillId="3" borderId="4" xfId="4" applyFont="1" applyFill="1" applyBorder="1" applyAlignment="1">
      <alignment vertical="center"/>
    </xf>
    <xf numFmtId="0" fontId="16" fillId="3" borderId="4" xfId="4" applyFont="1" applyFill="1" applyBorder="1" applyAlignment="1"/>
    <xf numFmtId="0" fontId="12" fillId="3" borderId="0" xfId="4" applyFont="1" applyFill="1"/>
    <xf numFmtId="0" fontId="3" fillId="3" borderId="0" xfId="4" applyFill="1"/>
    <xf numFmtId="0" fontId="4" fillId="2" borderId="5" xfId="4" applyFont="1" applyFill="1" applyBorder="1" applyAlignment="1">
      <alignment horizontal="center" vertical="center" wrapText="1"/>
    </xf>
    <xf numFmtId="0" fontId="4" fillId="2" borderId="6" xfId="4" applyFont="1" applyFill="1" applyBorder="1" applyAlignment="1">
      <alignment horizontal="center" vertical="center" wrapText="1"/>
    </xf>
    <xf numFmtId="165" fontId="4" fillId="2" borderId="7" xfId="4" applyNumberFormat="1" applyFont="1" applyFill="1" applyBorder="1" applyAlignment="1">
      <alignment horizontal="center" vertical="center" wrapText="1"/>
    </xf>
    <xf numFmtId="165" fontId="4" fillId="2" borderId="6" xfId="4" applyNumberFormat="1" applyFont="1" applyFill="1" applyBorder="1" applyAlignment="1">
      <alignment horizontal="center" vertical="center" wrapText="1"/>
    </xf>
    <xf numFmtId="1" fontId="4" fillId="2" borderId="55" xfId="4" applyNumberFormat="1" applyFont="1" applyFill="1" applyBorder="1" applyAlignment="1">
      <alignment horizontal="center" vertical="center" wrapText="1"/>
    </xf>
    <xf numFmtId="1" fontId="4" fillId="2" borderId="6" xfId="4" applyNumberFormat="1" applyFont="1" applyFill="1" applyBorder="1" applyAlignment="1">
      <alignment horizontal="center" vertical="center" wrapText="1"/>
    </xf>
    <xf numFmtId="165" fontId="4" fillId="2" borderId="5" xfId="4" applyNumberFormat="1" applyFont="1" applyFill="1" applyBorder="1" applyAlignment="1">
      <alignment horizontal="center" vertical="center" wrapText="1"/>
    </xf>
    <xf numFmtId="166" fontId="4" fillId="2" borderId="20" xfId="4" applyNumberFormat="1" applyFont="1" applyFill="1" applyBorder="1" applyAlignment="1">
      <alignment horizontal="center" vertical="center" wrapText="1"/>
    </xf>
    <xf numFmtId="164" fontId="4" fillId="2" borderId="6" xfId="4" applyNumberFormat="1" applyFont="1" applyFill="1" applyBorder="1" applyAlignment="1">
      <alignment horizontal="center" vertical="center" wrapText="1"/>
    </xf>
    <xf numFmtId="164" fontId="4" fillId="2" borderId="7" xfId="4" applyNumberFormat="1" applyFont="1" applyFill="1" applyBorder="1" applyAlignment="1">
      <alignment horizontal="center" vertical="center" wrapText="1"/>
    </xf>
    <xf numFmtId="165" fontId="4" fillId="2" borderId="19" xfId="4" applyNumberFormat="1" applyFont="1" applyFill="1" applyBorder="1" applyAlignment="1">
      <alignment horizontal="center" vertical="center" wrapText="1"/>
    </xf>
    <xf numFmtId="165" fontId="4" fillId="2" borderId="21" xfId="4" applyNumberFormat="1" applyFont="1" applyFill="1" applyBorder="1" applyAlignment="1">
      <alignment horizontal="center" vertical="center" wrapText="1"/>
    </xf>
    <xf numFmtId="165" fontId="4" fillId="2" borderId="56" xfId="4" applyNumberFormat="1" applyFont="1" applyFill="1" applyBorder="1" applyAlignment="1">
      <alignment horizontal="center" vertical="center" wrapText="1"/>
    </xf>
    <xf numFmtId="165" fontId="4" fillId="2" borderId="57" xfId="4" applyNumberFormat="1" applyFont="1" applyFill="1" applyBorder="1" applyAlignment="1">
      <alignment horizontal="center" vertical="center" wrapText="1"/>
    </xf>
    <xf numFmtId="165" fontId="4" fillId="2" borderId="58" xfId="4" applyNumberFormat="1" applyFont="1" applyFill="1" applyBorder="1" applyAlignment="1">
      <alignment horizontal="center" vertical="center" wrapText="1"/>
    </xf>
    <xf numFmtId="2" fontId="4" fillId="7" borderId="14" xfId="4" applyNumberFormat="1" applyFont="1" applyFill="1" applyBorder="1" applyAlignment="1">
      <alignment horizontal="center" vertical="center" wrapText="1"/>
    </xf>
    <xf numFmtId="0" fontId="4" fillId="2" borderId="53" xfId="4" applyFont="1" applyFill="1" applyBorder="1" applyAlignment="1">
      <alignment horizontal="center" vertical="center" wrapText="1"/>
    </xf>
    <xf numFmtId="1" fontId="4" fillId="2" borderId="0" xfId="4" quotePrefix="1" applyNumberFormat="1" applyFont="1" applyFill="1" applyBorder="1" applyAlignment="1">
      <alignment horizontal="center" vertical="center" wrapText="1"/>
    </xf>
    <xf numFmtId="0" fontId="3" fillId="0" borderId="0" xfId="4" quotePrefix="1"/>
    <xf numFmtId="0" fontId="4" fillId="2" borderId="0" xfId="4" applyFont="1" applyFill="1" applyBorder="1" applyAlignment="1">
      <alignment horizontal="center" vertical="center" wrapText="1"/>
    </xf>
    <xf numFmtId="0" fontId="4" fillId="5" borderId="8" xfId="4" applyFont="1" applyFill="1" applyBorder="1" applyAlignment="1"/>
    <xf numFmtId="0" fontId="4" fillId="5" borderId="9" xfId="4" applyFont="1" applyFill="1" applyBorder="1" applyAlignment="1"/>
    <xf numFmtId="0" fontId="4" fillId="5" borderId="10" xfId="4" applyFont="1" applyFill="1" applyBorder="1" applyAlignment="1"/>
    <xf numFmtId="0" fontId="4" fillId="5" borderId="10" xfId="4" applyFont="1" applyFill="1" applyBorder="1"/>
    <xf numFmtId="0" fontId="4" fillId="5" borderId="11" xfId="4" applyFont="1" applyFill="1" applyBorder="1"/>
    <xf numFmtId="0" fontId="4" fillId="0" borderId="0" xfId="4" applyFont="1" applyFill="1" applyBorder="1"/>
    <xf numFmtId="168" fontId="3" fillId="0" borderId="0" xfId="4" applyNumberFormat="1"/>
    <xf numFmtId="11" fontId="3" fillId="0" borderId="0" xfId="4" applyNumberFormat="1"/>
    <xf numFmtId="2" fontId="3" fillId="0" borderId="11" xfId="4" applyNumberFormat="1" applyBorder="1"/>
    <xf numFmtId="1" fontId="3" fillId="0" borderId="0" xfId="4" applyNumberFormat="1" applyFont="1" applyProtection="1">
      <protection locked="0"/>
    </xf>
    <xf numFmtId="10" fontId="3" fillId="0" borderId="0" xfId="4" applyNumberFormat="1" applyFont="1" applyProtection="1">
      <protection locked="0"/>
    </xf>
    <xf numFmtId="10" fontId="3" fillId="0" borderId="0" xfId="4" applyNumberFormat="1" applyProtection="1">
      <protection locked="0"/>
    </xf>
    <xf numFmtId="0" fontId="4" fillId="6" borderId="12" xfId="4" applyFont="1" applyFill="1" applyBorder="1"/>
    <xf numFmtId="0" fontId="3" fillId="2" borderId="11" xfId="4" applyFont="1" applyFill="1" applyBorder="1" applyProtection="1">
      <protection locked="0"/>
    </xf>
    <xf numFmtId="0" fontId="3" fillId="0" borderId="11" xfId="4" applyFont="1" applyBorder="1"/>
    <xf numFmtId="0" fontId="4" fillId="6" borderId="11" xfId="4" applyFont="1" applyFill="1" applyBorder="1"/>
    <xf numFmtId="0" fontId="3" fillId="0" borderId="11" xfId="4" applyFont="1" applyFill="1" applyBorder="1"/>
    <xf numFmtId="0" fontId="53" fillId="0" borderId="11" xfId="4" applyFont="1" applyBorder="1"/>
    <xf numFmtId="0" fontId="3" fillId="4" borderId="11" xfId="4" applyFont="1" applyFill="1" applyBorder="1"/>
    <xf numFmtId="0" fontId="3" fillId="4" borderId="11" xfId="4" applyFont="1" applyFill="1" applyBorder="1" applyProtection="1">
      <protection locked="0"/>
    </xf>
    <xf numFmtId="0" fontId="14" fillId="3" borderId="0" xfId="4" applyFont="1" applyFill="1"/>
    <xf numFmtId="0" fontId="4" fillId="5" borderId="8" xfId="4" applyFont="1" applyFill="1" applyBorder="1"/>
    <xf numFmtId="0" fontId="4" fillId="5" borderId="9" xfId="4" applyFont="1" applyFill="1" applyBorder="1"/>
    <xf numFmtId="0" fontId="4" fillId="5" borderId="15" xfId="4" applyFont="1" applyFill="1" applyBorder="1"/>
    <xf numFmtId="0" fontId="3" fillId="4" borderId="11" xfId="4" applyFill="1" applyBorder="1"/>
    <xf numFmtId="166" fontId="15" fillId="22" borderId="11" xfId="4" applyNumberFormat="1" applyFont="1" applyFill="1" applyBorder="1"/>
    <xf numFmtId="0" fontId="3" fillId="0" borderId="15" xfId="4" applyFont="1" applyBorder="1"/>
    <xf numFmtId="11" fontId="3" fillId="0" borderId="8" xfId="4" applyNumberFormat="1" applyBorder="1"/>
    <xf numFmtId="11" fontId="3" fillId="0" borderId="11" xfId="4" applyNumberFormat="1" applyBorder="1"/>
    <xf numFmtId="1" fontId="15" fillId="22" borderId="11" xfId="4" applyNumberFormat="1" applyFont="1" applyFill="1" applyBorder="1"/>
    <xf numFmtId="1" fontId="62" fillId="22" borderId="11" xfId="4" applyNumberFormat="1" applyFont="1" applyFill="1" applyBorder="1"/>
    <xf numFmtId="1" fontId="3" fillId="0" borderId="8" xfId="4" applyNumberFormat="1" applyBorder="1"/>
    <xf numFmtId="0" fontId="3" fillId="23" borderId="11" xfId="4" applyFill="1" applyBorder="1"/>
    <xf numFmtId="1" fontId="15" fillId="22" borderId="11" xfId="4" applyNumberFormat="1" applyFont="1" applyFill="1" applyBorder="1" applyProtection="1">
      <protection locked="0"/>
    </xf>
    <xf numFmtId="175" fontId="3" fillId="0" borderId="11" xfId="4" applyNumberFormat="1" applyBorder="1"/>
    <xf numFmtId="0" fontId="4" fillId="6" borderId="8" xfId="4" applyFont="1" applyFill="1" applyBorder="1"/>
    <xf numFmtId="0" fontId="4" fillId="0" borderId="0" xfId="4" applyFont="1" applyFill="1" applyBorder="1" applyAlignment="1">
      <alignment horizontal="right"/>
    </xf>
    <xf numFmtId="0" fontId="3" fillId="6" borderId="8" xfId="4" applyFill="1" applyBorder="1"/>
    <xf numFmtId="0" fontId="3" fillId="0" borderId="47" xfId="4" applyFont="1" applyFill="1" applyBorder="1"/>
    <xf numFmtId="0" fontId="53" fillId="0" borderId="15" xfId="4" applyFont="1" applyBorder="1"/>
    <xf numFmtId="0" fontId="3" fillId="6" borderId="8" xfId="4" applyFont="1" applyFill="1" applyBorder="1"/>
    <xf numFmtId="176" fontId="3" fillId="0" borderId="47" xfId="4" applyNumberFormat="1" applyFont="1" applyFill="1" applyBorder="1"/>
    <xf numFmtId="175" fontId="3" fillId="0" borderId="11" xfId="4" applyNumberFormat="1" applyFont="1" applyFill="1" applyBorder="1"/>
    <xf numFmtId="0" fontId="4" fillId="0" borderId="11" xfId="4" applyFont="1" applyFill="1" applyBorder="1"/>
    <xf numFmtId="0" fontId="4" fillId="6" borderId="48" xfId="4" applyFont="1" applyFill="1" applyBorder="1"/>
    <xf numFmtId="0" fontId="3" fillId="0" borderId="16" xfId="4" applyFont="1" applyBorder="1"/>
    <xf numFmtId="11" fontId="3" fillId="0" borderId="48" xfId="4" applyNumberFormat="1" applyBorder="1"/>
    <xf numFmtId="0" fontId="3" fillId="0" borderId="12" xfId="4" applyFont="1" applyFill="1" applyBorder="1"/>
    <xf numFmtId="0" fontId="4" fillId="5" borderId="0" xfId="4" applyFont="1" applyFill="1"/>
    <xf numFmtId="0" fontId="4" fillId="5" borderId="0" xfId="4" applyFont="1" applyFill="1" applyBorder="1"/>
    <xf numFmtId="0" fontId="4" fillId="5" borderId="14" xfId="4" applyFont="1" applyFill="1" applyBorder="1"/>
    <xf numFmtId="0" fontId="3" fillId="0" borderId="11" xfId="4" applyFont="1" applyFill="1" applyBorder="1" applyProtection="1">
      <protection locked="0"/>
    </xf>
    <xf numFmtId="0" fontId="3" fillId="6" borderId="9" xfId="4" applyFill="1" applyBorder="1"/>
    <xf numFmtId="0" fontId="3" fillId="0" borderId="47" xfId="4" applyFont="1" applyFill="1" applyBorder="1" applyProtection="1">
      <protection locked="0"/>
    </xf>
    <xf numFmtId="0" fontId="4" fillId="5" borderId="4" xfId="4" applyFont="1" applyFill="1" applyBorder="1" applyAlignment="1"/>
    <xf numFmtId="0" fontId="4" fillId="5" borderId="12" xfId="4" applyFont="1" applyFill="1" applyBorder="1"/>
    <xf numFmtId="0" fontId="3" fillId="6" borderId="11" xfId="4" applyFill="1" applyBorder="1"/>
    <xf numFmtId="0" fontId="3" fillId="0" borderId="51" xfId="4" applyFont="1" applyFill="1" applyBorder="1" applyProtection="1">
      <protection locked="0"/>
    </xf>
    <xf numFmtId="0" fontId="3" fillId="21" borderId="51" xfId="4" applyFont="1" applyFill="1" applyBorder="1" applyProtection="1">
      <protection locked="0"/>
    </xf>
    <xf numFmtId="0" fontId="3" fillId="0" borderId="0" xfId="4" applyFont="1" applyFill="1" applyBorder="1"/>
    <xf numFmtId="176" fontId="3" fillId="0" borderId="11" xfId="4" applyNumberFormat="1" applyBorder="1"/>
    <xf numFmtId="0" fontId="4" fillId="5" borderId="0" xfId="4" applyFont="1" applyFill="1" applyBorder="1" applyAlignment="1" applyProtection="1">
      <protection locked="0"/>
    </xf>
    <xf numFmtId="0" fontId="4" fillId="5" borderId="13" xfId="4" applyFont="1" applyFill="1" applyBorder="1"/>
    <xf numFmtId="0" fontId="3" fillId="6" borderId="11" xfId="4" applyFont="1" applyFill="1" applyBorder="1"/>
    <xf numFmtId="0" fontId="4" fillId="0" borderId="0" xfId="4" applyFont="1" applyAlignment="1">
      <alignment horizontal="right"/>
    </xf>
    <xf numFmtId="167" fontId="58" fillId="0" borderId="0" xfId="4" applyNumberFormat="1" applyFont="1"/>
    <xf numFmtId="0" fontId="58" fillId="0" borderId="0" xfId="4" applyFont="1"/>
    <xf numFmtId="0" fontId="48" fillId="0" borderId="0" xfId="4" applyNumberFormat="1" applyFont="1"/>
    <xf numFmtId="166" fontId="3" fillId="0" borderId="0" xfId="4" applyNumberFormat="1" applyFont="1"/>
    <xf numFmtId="165" fontId="3" fillId="0" borderId="0" xfId="4" applyNumberFormat="1" applyFont="1"/>
    <xf numFmtId="0" fontId="4" fillId="0" borderId="0" xfId="4" applyNumberFormat="1" applyFont="1"/>
    <xf numFmtId="2" fontId="4" fillId="0" borderId="0" xfId="4" applyNumberFormat="1" applyFont="1"/>
    <xf numFmtId="0" fontId="4" fillId="0" borderId="0" xfId="4" applyFont="1"/>
    <xf numFmtId="165" fontId="48" fillId="0" borderId="0" xfId="4" applyNumberFormat="1" applyFont="1"/>
    <xf numFmtId="1" fontId="4" fillId="0" borderId="0" xfId="4" applyNumberFormat="1" applyFont="1"/>
    <xf numFmtId="165" fontId="4" fillId="0" borderId="0" xfId="4" applyNumberFormat="1" applyFont="1"/>
    <xf numFmtId="1" fontId="4" fillId="0" borderId="0" xfId="4" applyNumberFormat="1" applyFont="1" applyBorder="1"/>
    <xf numFmtId="0" fontId="3" fillId="0" borderId="0" xfId="4" applyNumberFormat="1"/>
    <xf numFmtId="2" fontId="7" fillId="4" borderId="50" xfId="4" applyNumberFormat="1" applyFont="1" applyFill="1" applyBorder="1" applyAlignment="1"/>
    <xf numFmtId="2" fontId="4" fillId="2" borderId="53" xfId="4" applyNumberFormat="1" applyFont="1" applyFill="1" applyBorder="1" applyAlignment="1">
      <alignment horizontal="center" vertical="center" wrapText="1"/>
    </xf>
    <xf numFmtId="2" fontId="7" fillId="4" borderId="52" xfId="4" applyNumberFormat="1" applyFont="1" applyFill="1" applyBorder="1" applyAlignment="1"/>
    <xf numFmtId="2" fontId="4" fillId="2" borderId="18" xfId="4" applyNumberFormat="1" applyFont="1" applyFill="1" applyBorder="1" applyAlignment="1">
      <alignment horizontal="center" vertical="center" wrapText="1"/>
    </xf>
    <xf numFmtId="166" fontId="7" fillId="4" borderId="50" xfId="4" applyNumberFormat="1" applyFont="1" applyFill="1" applyBorder="1" applyAlignment="1"/>
    <xf numFmtId="166" fontId="4" fillId="2" borderId="42" xfId="4" applyNumberFormat="1" applyFont="1" applyFill="1" applyBorder="1" applyAlignment="1">
      <alignment horizontal="center" vertical="center" wrapText="1"/>
    </xf>
    <xf numFmtId="178" fontId="3" fillId="0" borderId="0" xfId="4" applyNumberFormat="1"/>
    <xf numFmtId="178" fontId="7" fillId="4" borderId="50" xfId="4" applyNumberFormat="1" applyFont="1" applyFill="1" applyBorder="1" applyAlignment="1"/>
    <xf numFmtId="178" fontId="4" fillId="2" borderId="6" xfId="4" applyNumberFormat="1" applyFont="1" applyFill="1" applyBorder="1" applyAlignment="1">
      <alignment horizontal="center" vertical="center" wrapText="1"/>
    </xf>
    <xf numFmtId="178" fontId="4" fillId="2" borderId="19" xfId="4" applyNumberFormat="1" applyFont="1" applyFill="1" applyBorder="1" applyAlignment="1">
      <alignment horizontal="center" vertical="center" wrapText="1"/>
    </xf>
    <xf numFmtId="178" fontId="4" fillId="2" borderId="41" xfId="4" applyNumberFormat="1" applyFont="1" applyFill="1" applyBorder="1" applyAlignment="1">
      <alignment horizontal="center" vertical="center" wrapText="1"/>
    </xf>
    <xf numFmtId="178" fontId="4" fillId="2" borderId="53" xfId="4" applyNumberFormat="1" applyFont="1" applyFill="1" applyBorder="1" applyAlignment="1">
      <alignment horizontal="center" vertical="center" wrapText="1"/>
    </xf>
    <xf numFmtId="178" fontId="4" fillId="2" borderId="42" xfId="4" applyNumberFormat="1" applyFont="1" applyFill="1" applyBorder="1" applyAlignment="1">
      <alignment horizontal="center" vertical="center" wrapText="1"/>
    </xf>
    <xf numFmtId="178" fontId="4" fillId="0" borderId="0" xfId="4" applyNumberFormat="1" applyFont="1"/>
    <xf numFmtId="0" fontId="0" fillId="0" borderId="0" xfId="0" applyNumberFormat="1" applyBorder="1" applyAlignment="1">
      <alignment horizontal="left"/>
    </xf>
    <xf numFmtId="2" fontId="4" fillId="2" borderId="58" xfId="4" applyNumberFormat="1" applyFont="1" applyFill="1" applyBorder="1" applyAlignment="1">
      <alignment horizontal="center" vertical="center" wrapText="1"/>
    </xf>
    <xf numFmtId="2" fontId="4" fillId="2" borderId="21" xfId="4" applyNumberFormat="1" applyFont="1" applyFill="1" applyBorder="1" applyAlignment="1">
      <alignment horizontal="center" vertical="center" wrapText="1"/>
    </xf>
    <xf numFmtId="0" fontId="4" fillId="8" borderId="0" xfId="0" applyFont="1" applyFill="1" applyBorder="1" applyAlignment="1" applyProtection="1">
      <alignment vertical="top"/>
    </xf>
    <xf numFmtId="167" fontId="3" fillId="2" borderId="11" xfId="4" applyNumberFormat="1" applyFont="1" applyFill="1" applyBorder="1" applyProtection="1">
      <protection locked="0"/>
    </xf>
    <xf numFmtId="1" fontId="3" fillId="0" borderId="47" xfId="4" applyNumberFormat="1" applyFont="1" applyFill="1" applyBorder="1"/>
    <xf numFmtId="165" fontId="4" fillId="0" borderId="0" xfId="4" applyNumberFormat="1" applyFont="1" applyFill="1" applyBorder="1"/>
    <xf numFmtId="0" fontId="0" fillId="12" borderId="0" xfId="0" applyFill="1"/>
    <xf numFmtId="0" fontId="0" fillId="12" borderId="0" xfId="0" applyFill="1" applyBorder="1"/>
    <xf numFmtId="0" fontId="0" fillId="12" borderId="0" xfId="0" applyFill="1" applyAlignment="1"/>
    <xf numFmtId="0" fontId="0" fillId="0" borderId="0" xfId="0" applyAlignment="1"/>
    <xf numFmtId="0" fontId="64" fillId="0" borderId="0" xfId="0" applyFont="1" applyFill="1"/>
    <xf numFmtId="0" fontId="0" fillId="0" borderId="0" xfId="0" applyFill="1" applyAlignment="1"/>
    <xf numFmtId="0" fontId="15" fillId="0" borderId="0" xfId="0" applyFont="1" applyFill="1"/>
    <xf numFmtId="0" fontId="62" fillId="0" borderId="0" xfId="1" applyFont="1" applyFill="1"/>
    <xf numFmtId="0" fontId="0" fillId="0" borderId="0" xfId="0" applyAlignment="1">
      <alignment horizontal="left"/>
    </xf>
    <xf numFmtId="1" fontId="15" fillId="4" borderId="0" xfId="0" applyNumberFormat="1" applyFont="1" applyFill="1" applyBorder="1" applyAlignment="1">
      <alignment horizontal="right"/>
    </xf>
    <xf numFmtId="1" fontId="49" fillId="8" borderId="0" xfId="0" applyNumberFormat="1" applyFont="1" applyFill="1" applyBorder="1" applyAlignment="1" applyProtection="1">
      <alignment horizontal="right"/>
    </xf>
    <xf numFmtId="1" fontId="0" fillId="0" borderId="0" xfId="0" applyNumberFormat="1" applyFill="1" applyBorder="1"/>
    <xf numFmtId="2" fontId="0" fillId="0" borderId="0" xfId="0" applyNumberFormat="1" applyFill="1" applyBorder="1"/>
    <xf numFmtId="0" fontId="3" fillId="8" borderId="25" xfId="0" applyFont="1" applyFill="1" applyBorder="1" applyAlignment="1" applyProtection="1">
      <alignment horizontal="right"/>
    </xf>
    <xf numFmtId="0" fontId="48" fillId="0" borderId="0" xfId="0" applyFont="1" applyBorder="1" applyAlignment="1">
      <alignment horizontal="left"/>
    </xf>
    <xf numFmtId="0" fontId="48" fillId="0" borderId="0" xfId="0" applyFont="1" applyBorder="1" applyAlignment="1">
      <alignment horizontal="right"/>
    </xf>
    <xf numFmtId="0" fontId="0" fillId="0" borderId="22" xfId="0" applyBorder="1" applyAlignment="1">
      <alignment horizontal="right"/>
    </xf>
    <xf numFmtId="0" fontId="4" fillId="0" borderId="0" xfId="0" applyFont="1" applyBorder="1" applyAlignment="1">
      <alignment horizontal="right"/>
    </xf>
    <xf numFmtId="0" fontId="48" fillId="0" borderId="0" xfId="4" applyFont="1" applyBorder="1" applyAlignment="1">
      <alignment horizontal="left"/>
    </xf>
    <xf numFmtId="0" fontId="48" fillId="0" borderId="0" xfId="0" applyFont="1" applyBorder="1" applyAlignment="1">
      <alignment horizontal="center"/>
    </xf>
    <xf numFmtId="0" fontId="21" fillId="0" borderId="49" xfId="0" applyFont="1" applyBorder="1"/>
    <xf numFmtId="0" fontId="0" fillId="0" borderId="50" xfId="0" applyBorder="1"/>
    <xf numFmtId="0" fontId="4" fillId="0" borderId="50" xfId="0" applyFont="1" applyBorder="1"/>
    <xf numFmtId="0" fontId="4" fillId="0" borderId="22" xfId="4" applyFont="1" applyBorder="1" applyAlignment="1">
      <alignment horizontal="right"/>
    </xf>
    <xf numFmtId="0" fontId="3" fillId="0" borderId="22" xfId="4" applyBorder="1" applyAlignment="1">
      <alignment horizontal="right"/>
    </xf>
    <xf numFmtId="0" fontId="3" fillId="12" borderId="49" xfId="0" applyFont="1" applyFill="1" applyBorder="1" applyProtection="1"/>
    <xf numFmtId="0" fontId="3" fillId="0" borderId="0" xfId="0" applyFont="1" applyBorder="1" applyAlignment="1">
      <alignment horizontal="left"/>
    </xf>
    <xf numFmtId="0" fontId="3" fillId="12" borderId="0" xfId="0" applyFont="1" applyFill="1" applyBorder="1"/>
    <xf numFmtId="1" fontId="3" fillId="8" borderId="25" xfId="0" applyNumberFormat="1" applyFont="1" applyFill="1" applyBorder="1" applyAlignment="1" applyProtection="1">
      <alignment horizontal="right" vertical="center"/>
    </xf>
    <xf numFmtId="0" fontId="3" fillId="8" borderId="59" xfId="0" applyFont="1" applyFill="1" applyBorder="1" applyAlignment="1" applyProtection="1">
      <alignment vertical="center"/>
    </xf>
    <xf numFmtId="0" fontId="3" fillId="8" borderId="60" xfId="0" applyFont="1" applyFill="1" applyBorder="1" applyAlignment="1" applyProtection="1">
      <alignment vertical="center"/>
    </xf>
    <xf numFmtId="0" fontId="3" fillId="8" borderId="60" xfId="0" applyFont="1" applyFill="1" applyBorder="1" applyAlignment="1" applyProtection="1">
      <alignment horizontal="right" vertical="center"/>
    </xf>
    <xf numFmtId="0" fontId="4" fillId="8" borderId="60" xfId="0" applyFont="1" applyFill="1" applyBorder="1" applyAlignment="1" applyProtection="1">
      <alignment horizontal="right" vertical="center"/>
    </xf>
    <xf numFmtId="0" fontId="3" fillId="8" borderId="60" xfId="0" applyNumberFormat="1" applyFont="1" applyFill="1" applyBorder="1" applyAlignment="1" applyProtection="1">
      <alignment horizontal="right" vertical="center"/>
    </xf>
    <xf numFmtId="0" fontId="3" fillId="8" borderId="61" xfId="0" applyFont="1" applyFill="1" applyBorder="1" applyAlignment="1" applyProtection="1">
      <alignment vertical="center"/>
    </xf>
    <xf numFmtId="0" fontId="3" fillId="0" borderId="0" xfId="0" applyFont="1" applyAlignment="1">
      <alignment horizontal="right"/>
    </xf>
    <xf numFmtId="0" fontId="65" fillId="0" borderId="22" xfId="0" applyFont="1" applyBorder="1"/>
    <xf numFmtId="0" fontId="3" fillId="15" borderId="0" xfId="0" applyFont="1" applyFill="1" applyBorder="1"/>
    <xf numFmtId="0" fontId="24" fillId="24" borderId="22" xfId="0" applyFont="1" applyFill="1" applyBorder="1" applyAlignment="1" applyProtection="1">
      <alignment horizontal="left"/>
    </xf>
    <xf numFmtId="0" fontId="24" fillId="24" borderId="0" xfId="0" applyFont="1" applyFill="1" applyBorder="1" applyAlignment="1" applyProtection="1">
      <alignment horizontal="left"/>
    </xf>
    <xf numFmtId="0" fontId="23" fillId="24" borderId="22" xfId="0" applyFont="1" applyFill="1" applyBorder="1" applyAlignment="1" applyProtection="1">
      <alignment horizontal="left" vertical="center"/>
    </xf>
    <xf numFmtId="0" fontId="23" fillId="24" borderId="0" xfId="0" applyFont="1" applyFill="1" applyBorder="1" applyAlignment="1" applyProtection="1">
      <alignment horizontal="left" vertical="center"/>
    </xf>
    <xf numFmtId="0" fontId="52" fillId="24" borderId="0" xfId="0" applyFont="1" applyFill="1" applyBorder="1" applyAlignment="1" applyProtection="1">
      <alignment horizontal="left" vertical="center"/>
    </xf>
    <xf numFmtId="0" fontId="20" fillId="24" borderId="0" xfId="0" applyFont="1" applyFill="1" applyBorder="1" applyAlignment="1" applyProtection="1">
      <alignment vertical="center"/>
    </xf>
    <xf numFmtId="0" fontId="23" fillId="24" borderId="0" xfId="0" quotePrefix="1" applyFont="1" applyFill="1" applyBorder="1" applyAlignment="1" applyProtection="1">
      <alignment vertical="center"/>
    </xf>
    <xf numFmtId="0" fontId="26" fillId="24" borderId="0" xfId="0" applyFont="1" applyFill="1" applyBorder="1" applyAlignment="1" applyProtection="1">
      <alignment vertical="center"/>
    </xf>
    <xf numFmtId="0" fontId="26" fillId="24" borderId="0" xfId="0" applyFont="1" applyFill="1" applyBorder="1" applyProtection="1"/>
    <xf numFmtId="0" fontId="17" fillId="24" borderId="0" xfId="0" applyFont="1" applyFill="1" applyBorder="1" applyProtection="1"/>
    <xf numFmtId="0" fontId="28" fillId="24" borderId="24" xfId="0" applyFont="1" applyFill="1" applyBorder="1" applyProtection="1"/>
    <xf numFmtId="0" fontId="28" fillId="24" borderId="25" xfId="0" applyFont="1" applyFill="1" applyBorder="1" applyProtection="1"/>
    <xf numFmtId="0" fontId="20" fillId="24" borderId="25" xfId="0" applyFont="1" applyFill="1" applyBorder="1" applyProtection="1"/>
    <xf numFmtId="0" fontId="25" fillId="24" borderId="25" xfId="0" applyFont="1" applyFill="1" applyBorder="1" applyProtection="1"/>
    <xf numFmtId="0" fontId="66" fillId="24" borderId="0" xfId="3" applyFont="1" applyFill="1" applyAlignment="1" applyProtection="1"/>
    <xf numFmtId="0" fontId="66" fillId="24" borderId="0" xfId="3" applyFont="1" applyFill="1" applyBorder="1" applyAlignment="1" applyProtection="1">
      <alignment horizontal="left" vertical="center"/>
    </xf>
    <xf numFmtId="169" fontId="17" fillId="24" borderId="0" xfId="0" applyNumberFormat="1" applyFont="1" applyFill="1" applyBorder="1" applyAlignment="1" applyProtection="1">
      <alignment horizontal="center"/>
    </xf>
    <xf numFmtId="0" fontId="20" fillId="24" borderId="37" xfId="0" applyFont="1" applyFill="1" applyBorder="1" applyProtection="1"/>
    <xf numFmtId="0" fontId="20" fillId="24" borderId="35" xfId="0" applyFont="1" applyFill="1" applyBorder="1" applyProtection="1"/>
    <xf numFmtId="0" fontId="17" fillId="24" borderId="35" xfId="0" applyFont="1" applyFill="1" applyBorder="1" applyProtection="1"/>
    <xf numFmtId="0" fontId="4" fillId="5" borderId="48" xfId="4" applyFont="1" applyFill="1" applyBorder="1" applyAlignment="1"/>
    <xf numFmtId="166" fontId="0" fillId="10" borderId="2" xfId="0" applyNumberFormat="1" applyFill="1" applyBorder="1"/>
    <xf numFmtId="166" fontId="0" fillId="18" borderId="0" xfId="0" applyNumberFormat="1" applyFill="1" applyBorder="1"/>
    <xf numFmtId="166" fontId="27" fillId="10" borderId="0" xfId="0" applyNumberFormat="1" applyFont="1" applyFill="1" applyBorder="1"/>
    <xf numFmtId="0" fontId="3" fillId="8" borderId="62" xfId="0" applyFont="1" applyFill="1" applyBorder="1" applyProtection="1"/>
    <xf numFmtId="0" fontId="3" fillId="8" borderId="63" xfId="0" applyFont="1" applyFill="1" applyBorder="1" applyProtection="1"/>
    <xf numFmtId="0" fontId="3" fillId="8" borderId="63" xfId="0" applyFont="1" applyFill="1" applyBorder="1" applyAlignment="1" applyProtection="1">
      <alignment horizontal="right"/>
    </xf>
    <xf numFmtId="0" fontId="17" fillId="12" borderId="22" xfId="0" applyFont="1" applyFill="1" applyBorder="1" applyProtection="1"/>
    <xf numFmtId="166" fontId="27" fillId="0" borderId="0" xfId="0" applyNumberFormat="1" applyFont="1" applyFill="1" applyBorder="1"/>
    <xf numFmtId="0" fontId="4" fillId="12" borderId="23" xfId="0" applyNumberFormat="1" applyFont="1" applyFill="1" applyBorder="1" applyAlignment="1" applyProtection="1">
      <alignment vertical="center"/>
    </xf>
    <xf numFmtId="1" fontId="3" fillId="0" borderId="64" xfId="0" applyNumberFormat="1" applyFont="1" applyFill="1" applyBorder="1" applyAlignment="1" applyProtection="1">
      <alignment vertical="center"/>
    </xf>
    <xf numFmtId="0" fontId="4" fillId="12" borderId="23" xfId="0" applyFont="1" applyFill="1" applyBorder="1" applyProtection="1"/>
    <xf numFmtId="0" fontId="4" fillId="12" borderId="23" xfId="0" applyFont="1" applyFill="1" applyBorder="1" applyAlignment="1" applyProtection="1">
      <alignment vertical="center"/>
    </xf>
    <xf numFmtId="0" fontId="3" fillId="12" borderId="26" xfId="0" applyFont="1" applyFill="1" applyBorder="1" applyProtection="1"/>
    <xf numFmtId="1" fontId="3" fillId="8" borderId="0" xfId="0" applyNumberFormat="1" applyFont="1" applyFill="1" applyBorder="1" applyAlignment="1" applyProtection="1"/>
    <xf numFmtId="0" fontId="0" fillId="0" borderId="63" xfId="0" applyBorder="1"/>
    <xf numFmtId="0" fontId="4" fillId="0" borderId="0" xfId="4" applyFont="1" applyBorder="1" applyAlignment="1">
      <alignment horizontal="left"/>
    </xf>
    <xf numFmtId="0" fontId="48" fillId="0" borderId="0" xfId="4" applyFont="1" applyBorder="1" applyAlignment="1">
      <alignment horizontal="center"/>
    </xf>
    <xf numFmtId="0" fontId="48" fillId="0" borderId="0" xfId="0" applyFont="1" applyAlignment="1">
      <alignment horizontal="center"/>
    </xf>
    <xf numFmtId="0" fontId="69" fillId="0" borderId="0" xfId="4" applyFont="1" applyBorder="1" applyAlignment="1">
      <alignment horizontal="right"/>
    </xf>
    <xf numFmtId="0" fontId="69" fillId="0" borderId="22" xfId="4" applyFont="1" applyBorder="1" applyAlignment="1">
      <alignment horizontal="right"/>
    </xf>
    <xf numFmtId="0" fontId="69" fillId="0" borderId="0" xfId="0" applyFont="1" applyAlignment="1">
      <alignment horizontal="right"/>
    </xf>
    <xf numFmtId="0" fontId="69" fillId="0" borderId="0" xfId="0" applyFont="1" applyBorder="1" applyAlignment="1">
      <alignment horizontal="right"/>
    </xf>
    <xf numFmtId="0" fontId="65" fillId="0" borderId="0" xfId="0" applyFont="1"/>
    <xf numFmtId="165" fontId="7" fillId="4" borderId="63" xfId="4" applyNumberFormat="1" applyFont="1" applyFill="1" applyBorder="1" applyAlignment="1"/>
    <xf numFmtId="167" fontId="3" fillId="0" borderId="0" xfId="4" applyNumberFormat="1"/>
    <xf numFmtId="0" fontId="4" fillId="2" borderId="20" xfId="4" applyFont="1" applyFill="1" applyBorder="1" applyAlignment="1">
      <alignment horizontal="center" vertical="center" wrapText="1"/>
    </xf>
    <xf numFmtId="0" fontId="48" fillId="0" borderId="0" xfId="0" applyFont="1"/>
    <xf numFmtId="2" fontId="4" fillId="2" borderId="56" xfId="4" applyNumberFormat="1" applyFont="1" applyFill="1" applyBorder="1" applyAlignment="1">
      <alignment horizontal="center" vertical="center" wrapText="1"/>
    </xf>
    <xf numFmtId="2" fontId="4" fillId="2" borderId="57" xfId="4" applyNumberFormat="1" applyFont="1" applyFill="1" applyBorder="1" applyAlignment="1">
      <alignment horizontal="center" vertical="center" wrapText="1"/>
    </xf>
    <xf numFmtId="2" fontId="7" fillId="4" borderId="41" xfId="4" applyNumberFormat="1" applyFont="1" applyFill="1" applyBorder="1" applyAlignment="1"/>
    <xf numFmtId="2" fontId="7" fillId="4" borderId="67" xfId="4" applyNumberFormat="1" applyFont="1" applyFill="1" applyBorder="1" applyAlignment="1"/>
    <xf numFmtId="2" fontId="7" fillId="4" borderId="18" xfId="4" applyNumberFormat="1" applyFont="1" applyFill="1" applyBorder="1" applyAlignment="1"/>
    <xf numFmtId="165" fontId="4" fillId="4" borderId="41" xfId="4" applyNumberFormat="1" applyFont="1" applyFill="1" applyBorder="1" applyAlignment="1"/>
    <xf numFmtId="165" fontId="3" fillId="4" borderId="67" xfId="4" applyNumberFormat="1" applyFill="1" applyBorder="1"/>
    <xf numFmtId="0" fontId="3" fillId="8" borderId="23" xfId="0" applyFont="1" applyFill="1" applyBorder="1" applyAlignment="1" applyProtection="1"/>
    <xf numFmtId="0" fontId="3" fillId="8" borderId="62" xfId="0" applyFont="1" applyFill="1" applyBorder="1" applyAlignment="1" applyProtection="1">
      <alignment vertical="center"/>
    </xf>
    <xf numFmtId="0" fontId="22" fillId="8" borderId="24" xfId="0" applyFont="1" applyFill="1" applyBorder="1" applyAlignment="1" applyProtection="1">
      <alignment vertical="center"/>
    </xf>
    <xf numFmtId="164" fontId="3" fillId="0" borderId="0" xfId="7" applyNumberFormat="1" applyFont="1"/>
    <xf numFmtId="0" fontId="3" fillId="0" borderId="0" xfId="0" quotePrefix="1" applyFont="1"/>
    <xf numFmtId="0" fontId="48" fillId="0" borderId="0" xfId="0" applyFont="1" applyAlignment="1">
      <alignment horizontal="left"/>
    </xf>
    <xf numFmtId="0" fontId="4" fillId="8" borderId="11" xfId="4" applyFont="1" applyFill="1" applyBorder="1" applyAlignment="1">
      <alignment horizontal="center" vertical="center"/>
    </xf>
    <xf numFmtId="167" fontId="0" fillId="0" borderId="0" xfId="0" applyNumberFormat="1"/>
    <xf numFmtId="0" fontId="3" fillId="8" borderId="0" xfId="4" applyFill="1" applyAlignment="1">
      <alignment horizontal="left"/>
    </xf>
    <xf numFmtId="49" fontId="3" fillId="8" borderId="0" xfId="4" applyNumberFormat="1" applyFill="1" applyAlignment="1">
      <alignment horizontal="left"/>
    </xf>
    <xf numFmtId="0" fontId="3" fillId="8" borderId="0" xfId="4" applyFill="1" applyAlignment="1">
      <alignment horizontal="left" vertical="center"/>
    </xf>
    <xf numFmtId="0" fontId="4" fillId="8" borderId="11" xfId="4" applyFont="1" applyFill="1" applyBorder="1" applyAlignment="1">
      <alignment vertical="center"/>
    </xf>
    <xf numFmtId="0" fontId="4" fillId="8" borderId="11" xfId="4" applyFont="1" applyFill="1" applyBorder="1" applyAlignment="1">
      <alignment vertical="center" wrapText="1"/>
    </xf>
    <xf numFmtId="0" fontId="4" fillId="8" borderId="8" xfId="4" applyFont="1" applyFill="1" applyBorder="1" applyAlignment="1">
      <alignment vertical="center"/>
    </xf>
    <xf numFmtId="0" fontId="4" fillId="8" borderId="9" xfId="4" applyFont="1" applyFill="1" applyBorder="1" applyAlignment="1">
      <alignment vertical="center"/>
    </xf>
    <xf numFmtId="0" fontId="4" fillId="8" borderId="15" xfId="4" applyFont="1" applyFill="1" applyBorder="1" applyAlignment="1">
      <alignment vertical="center"/>
    </xf>
    <xf numFmtId="0" fontId="3" fillId="12" borderId="0" xfId="4" applyFill="1" applyAlignment="1">
      <alignment horizontal="left"/>
    </xf>
    <xf numFmtId="49" fontId="3" fillId="12" borderId="0" xfId="4" applyNumberFormat="1" applyFill="1" applyAlignment="1">
      <alignment horizontal="left"/>
    </xf>
    <xf numFmtId="167" fontId="3" fillId="8" borderId="0" xfId="4" applyNumberFormat="1" applyFill="1" applyAlignment="1">
      <alignment horizontal="left"/>
    </xf>
    <xf numFmtId="0" fontId="4" fillId="8" borderId="0" xfId="4" applyFont="1" applyFill="1" applyAlignment="1">
      <alignment vertical="center"/>
    </xf>
    <xf numFmtId="167" fontId="3" fillId="8" borderId="0" xfId="4" applyNumberFormat="1" applyFill="1" applyAlignment="1">
      <alignment horizontal="right" vertical="center"/>
    </xf>
    <xf numFmtId="0" fontId="3" fillId="0" borderId="0" xfId="0" applyFont="1" applyAlignment="1">
      <alignment horizontal="left"/>
    </xf>
    <xf numFmtId="0" fontId="3" fillId="16" borderId="8" xfId="4" applyFill="1" applyBorder="1" applyAlignment="1">
      <alignment horizontal="left" vertical="center"/>
    </xf>
    <xf numFmtId="0" fontId="3" fillId="17" borderId="8" xfId="4" applyFill="1" applyBorder="1" applyAlignment="1">
      <alignment horizontal="left" vertical="center"/>
    </xf>
    <xf numFmtId="0" fontId="3" fillId="12" borderId="8" xfId="4" applyFill="1" applyBorder="1" applyAlignment="1">
      <alignment horizontal="left" vertical="center"/>
    </xf>
    <xf numFmtId="0" fontId="74" fillId="8" borderId="0" xfId="4" applyFont="1" applyFill="1"/>
    <xf numFmtId="167" fontId="74" fillId="8" borderId="0" xfId="4" applyNumberFormat="1" applyFont="1" applyFill="1" applyAlignment="1">
      <alignment horizontal="right"/>
    </xf>
    <xf numFmtId="0" fontId="74" fillId="8" borderId="0" xfId="4" applyFont="1" applyFill="1" applyAlignment="1">
      <alignment horizontal="left" vertical="center"/>
    </xf>
    <xf numFmtId="165" fontId="74" fillId="8" borderId="0" xfId="4" applyNumberFormat="1" applyFont="1" applyFill="1"/>
    <xf numFmtId="167" fontId="3" fillId="17" borderId="11" xfId="4" applyNumberFormat="1" applyFill="1" applyBorder="1" applyAlignment="1">
      <alignment horizontal="center" vertical="center"/>
    </xf>
    <xf numFmtId="167" fontId="3" fillId="8" borderId="11" xfId="4" applyNumberFormat="1" applyFill="1" applyBorder="1" applyAlignment="1">
      <alignment horizontal="center" vertical="center"/>
    </xf>
    <xf numFmtId="0" fontId="3" fillId="17" borderId="70" xfId="4" applyFill="1" applyBorder="1" applyAlignment="1">
      <alignment horizontal="center" vertical="center"/>
    </xf>
    <xf numFmtId="0" fontId="3" fillId="8" borderId="70" xfId="4" applyFill="1" applyBorder="1" applyAlignment="1">
      <alignment horizontal="center" vertical="center"/>
    </xf>
    <xf numFmtId="0" fontId="48" fillId="8" borderId="11" xfId="4" applyFont="1" applyFill="1" applyBorder="1" applyAlignment="1">
      <alignment horizontal="center" vertical="center"/>
    </xf>
    <xf numFmtId="0" fontId="59" fillId="8" borderId="0" xfId="4" applyFont="1" applyFill="1" applyAlignment="1">
      <alignment horizontal="left" vertical="center"/>
    </xf>
    <xf numFmtId="0" fontId="54" fillId="3" borderId="69" xfId="4" applyFont="1" applyFill="1" applyBorder="1" applyAlignment="1">
      <alignment horizontal="center" vertical="center"/>
    </xf>
    <xf numFmtId="49" fontId="72" fillId="14" borderId="68" xfId="4" applyNumberFormat="1" applyFont="1" applyFill="1" applyBorder="1" applyAlignment="1">
      <alignment horizontal="center" vertical="center"/>
    </xf>
    <xf numFmtId="0" fontId="72" fillId="14" borderId="47" xfId="4" applyFont="1" applyFill="1" applyBorder="1" applyAlignment="1">
      <alignment horizontal="center" vertical="center"/>
    </xf>
    <xf numFmtId="167" fontId="75" fillId="0" borderId="0" xfId="4" applyNumberFormat="1" applyFont="1" applyFill="1" applyAlignment="1">
      <alignment horizontal="right" vertical="center"/>
    </xf>
    <xf numFmtId="165" fontId="75" fillId="8" borderId="0" xfId="4" applyNumberFormat="1" applyFont="1" applyFill="1" applyAlignment="1">
      <alignment vertical="center"/>
    </xf>
    <xf numFmtId="49" fontId="59" fillId="8" borderId="0" xfId="4" applyNumberFormat="1" applyFont="1" applyFill="1" applyAlignment="1" applyProtection="1">
      <alignment horizontal="left" vertical="center"/>
      <protection locked="0" hidden="1"/>
    </xf>
    <xf numFmtId="0" fontId="59" fillId="8" borderId="0" xfId="4" applyFont="1" applyFill="1" applyAlignment="1" applyProtection="1">
      <alignment horizontal="left" vertical="center"/>
      <protection locked="0" hidden="1"/>
    </xf>
    <xf numFmtId="0" fontId="3" fillId="8" borderId="0" xfId="4" applyFont="1" applyFill="1" applyAlignment="1" applyProtection="1">
      <alignment vertical="center"/>
      <protection locked="0" hidden="1"/>
    </xf>
    <xf numFmtId="0" fontId="55" fillId="12" borderId="0" xfId="0" applyFont="1" applyFill="1" applyAlignment="1"/>
    <xf numFmtId="0" fontId="59" fillId="8" borderId="0" xfId="4" applyFont="1" applyFill="1"/>
    <xf numFmtId="0" fontId="75" fillId="8" borderId="0" xfId="4" applyFont="1" applyFill="1" applyAlignment="1">
      <alignment horizontal="left"/>
    </xf>
    <xf numFmtId="0" fontId="48" fillId="0" borderId="22" xfId="0" applyFont="1" applyBorder="1"/>
    <xf numFmtId="0" fontId="17" fillId="24" borderId="0" xfId="0" applyFont="1" applyFill="1" applyProtection="1"/>
    <xf numFmtId="0" fontId="17" fillId="12" borderId="35" xfId="0" applyFont="1" applyFill="1" applyBorder="1" applyProtection="1"/>
    <xf numFmtId="169" fontId="17" fillId="12" borderId="39" xfId="0" applyNumberFormat="1" applyFont="1" applyFill="1" applyBorder="1" applyAlignment="1" applyProtection="1">
      <alignment horizontal="center"/>
    </xf>
    <xf numFmtId="0" fontId="17" fillId="12" borderId="39" xfId="0" applyFont="1" applyFill="1" applyBorder="1" applyProtection="1"/>
    <xf numFmtId="0" fontId="17" fillId="8" borderId="39" xfId="0" applyFont="1" applyFill="1" applyBorder="1" applyProtection="1"/>
    <xf numFmtId="0" fontId="17" fillId="12" borderId="36" xfId="0" applyFont="1" applyFill="1" applyBorder="1" applyProtection="1"/>
    <xf numFmtId="0" fontId="17" fillId="12" borderId="23" xfId="0" applyFont="1" applyFill="1" applyBorder="1" applyProtection="1"/>
    <xf numFmtId="0" fontId="3" fillId="8" borderId="39" xfId="0" applyFont="1" applyFill="1" applyBorder="1" applyAlignment="1" applyProtection="1">
      <alignment horizontal="right" vertical="center"/>
    </xf>
    <xf numFmtId="0" fontId="3" fillId="8" borderId="35" xfId="0" applyFont="1" applyFill="1" applyBorder="1" applyAlignment="1" applyProtection="1">
      <alignment vertical="center"/>
    </xf>
    <xf numFmtId="0" fontId="3" fillId="8" borderId="35" xfId="0" applyFont="1" applyFill="1" applyBorder="1" applyAlignment="1" applyProtection="1">
      <alignment horizontal="right"/>
    </xf>
    <xf numFmtId="0" fontId="50" fillId="8" borderId="39" xfId="0" applyFont="1" applyFill="1" applyBorder="1" applyAlignment="1" applyProtection="1">
      <alignment horizontal="right" vertical="center"/>
    </xf>
    <xf numFmtId="0" fontId="4" fillId="15" borderId="39" xfId="0" applyNumberFormat="1" applyFont="1" applyFill="1" applyBorder="1" applyAlignment="1" applyProtection="1">
      <alignment vertical="center"/>
      <protection locked="0"/>
    </xf>
    <xf numFmtId="1" fontId="49" fillId="8" borderId="25" xfId="0" applyNumberFormat="1" applyFont="1" applyFill="1" applyBorder="1" applyAlignment="1" applyProtection="1">
      <alignment horizontal="right"/>
    </xf>
    <xf numFmtId="0" fontId="3" fillId="8" borderId="36" xfId="0" applyFont="1" applyFill="1" applyBorder="1" applyAlignment="1" applyProtection="1">
      <alignment vertical="center"/>
    </xf>
    <xf numFmtId="0" fontId="60" fillId="13" borderId="35" xfId="0" applyFont="1" applyFill="1" applyBorder="1" applyAlignment="1" applyProtection="1">
      <alignment vertical="center"/>
    </xf>
    <xf numFmtId="0" fontId="17" fillId="13" borderId="35" xfId="0" applyFont="1" applyFill="1" applyBorder="1" applyProtection="1"/>
    <xf numFmtId="0" fontId="77" fillId="13" borderId="62" xfId="0" applyFont="1" applyFill="1" applyBorder="1" applyAlignment="1" applyProtection="1">
      <alignment vertical="center"/>
    </xf>
    <xf numFmtId="0" fontId="23" fillId="24" borderId="0" xfId="0" applyFont="1" applyFill="1" applyBorder="1" applyAlignment="1" applyProtection="1">
      <alignment horizontal="right" vertical="center"/>
    </xf>
    <xf numFmtId="166" fontId="0" fillId="0" borderId="0" xfId="0" applyNumberFormat="1" applyFill="1" applyBorder="1"/>
    <xf numFmtId="183" fontId="0" fillId="0" borderId="0" xfId="0" applyNumberFormat="1" applyBorder="1" applyAlignment="1">
      <alignment horizontal="right"/>
    </xf>
    <xf numFmtId="183" fontId="0" fillId="19" borderId="0" xfId="0" applyNumberFormat="1" applyFill="1" applyBorder="1" applyAlignment="1">
      <alignment horizontal="right"/>
    </xf>
    <xf numFmtId="0" fontId="0" fillId="0" borderId="22" xfId="0" applyBorder="1" applyAlignment="1">
      <alignment horizontal="left"/>
    </xf>
    <xf numFmtId="1" fontId="3" fillId="8" borderId="39" xfId="0" applyNumberFormat="1" applyFont="1" applyFill="1" applyBorder="1" applyAlignment="1" applyProtection="1">
      <alignment horizontal="right" vertical="center"/>
    </xf>
    <xf numFmtId="0" fontId="3" fillId="8" borderId="40" xfId="0" applyFont="1" applyFill="1" applyBorder="1" applyAlignment="1" applyProtection="1">
      <alignment vertical="center"/>
    </xf>
    <xf numFmtId="165" fontId="3" fillId="4" borderId="35" xfId="4" applyNumberFormat="1" applyFill="1" applyBorder="1"/>
    <xf numFmtId="165" fontId="3" fillId="27" borderId="0" xfId="4" applyNumberFormat="1" applyFill="1" applyAlignment="1">
      <alignment horizontal="center" vertical="center" wrapText="1"/>
    </xf>
    <xf numFmtId="9" fontId="3" fillId="0" borderId="47" xfId="4" applyNumberFormat="1" applyFont="1" applyFill="1" applyBorder="1" applyProtection="1">
      <protection locked="0"/>
    </xf>
    <xf numFmtId="165" fontId="4" fillId="26" borderId="0" xfId="4" applyNumberFormat="1" applyFont="1" applyFill="1" applyAlignment="1">
      <alignment horizontal="center" vertical="center" wrapText="1"/>
    </xf>
    <xf numFmtId="165" fontId="0" fillId="0" borderId="0" xfId="0" applyNumberFormat="1"/>
    <xf numFmtId="2" fontId="3" fillId="0" borderId="0" xfId="7" applyNumberFormat="1" applyFont="1"/>
    <xf numFmtId="2" fontId="4" fillId="0" borderId="0" xfId="0" applyNumberFormat="1" applyFont="1"/>
    <xf numFmtId="167" fontId="4" fillId="0" borderId="0" xfId="4" applyNumberFormat="1" applyFont="1"/>
    <xf numFmtId="166" fontId="4" fillId="0" borderId="0" xfId="4" applyNumberFormat="1" applyFont="1"/>
    <xf numFmtId="0" fontId="4" fillId="4" borderId="0" xfId="4" applyFont="1" applyFill="1" applyBorder="1" applyAlignment="1">
      <alignment horizontal="left"/>
    </xf>
    <xf numFmtId="2" fontId="3" fillId="0" borderId="0" xfId="0" applyNumberFormat="1" applyFont="1"/>
    <xf numFmtId="167" fontId="3" fillId="0" borderId="0" xfId="4" applyNumberFormat="1" applyFont="1"/>
    <xf numFmtId="2" fontId="3" fillId="0" borderId="0" xfId="4" applyNumberFormat="1" applyFont="1"/>
    <xf numFmtId="1" fontId="3" fillId="0" borderId="0" xfId="4" applyNumberFormat="1" applyFont="1"/>
    <xf numFmtId="166" fontId="3" fillId="0" borderId="0" xfId="0" applyNumberFormat="1" applyFont="1"/>
    <xf numFmtId="166" fontId="4" fillId="0" borderId="0" xfId="0" applyNumberFormat="1" applyFont="1"/>
    <xf numFmtId="0" fontId="4" fillId="4" borderId="35" xfId="4" applyFont="1" applyFill="1" applyBorder="1" applyAlignment="1"/>
    <xf numFmtId="167" fontId="3" fillId="0" borderId="0" xfId="7" applyNumberFormat="1" applyFont="1"/>
    <xf numFmtId="1" fontId="4" fillId="17" borderId="6" xfId="4" applyNumberFormat="1" applyFont="1" applyFill="1" applyBorder="1" applyAlignment="1">
      <alignment horizontal="center" vertical="center" wrapText="1"/>
    </xf>
    <xf numFmtId="1" fontId="4" fillId="25" borderId="55" xfId="4" applyNumberFormat="1" applyFont="1" applyFill="1" applyBorder="1" applyAlignment="1">
      <alignment horizontal="center" vertical="center" wrapText="1"/>
    </xf>
    <xf numFmtId="1" fontId="4" fillId="0" borderId="55" xfId="4" applyNumberFormat="1" applyFont="1" applyFill="1" applyBorder="1" applyAlignment="1">
      <alignment horizontal="center" vertical="center" wrapText="1"/>
    </xf>
    <xf numFmtId="1" fontId="0" fillId="0" borderId="0" xfId="0" applyNumberFormat="1"/>
    <xf numFmtId="1" fontId="4" fillId="17" borderId="55" xfId="4" applyNumberFormat="1" applyFont="1" applyFill="1" applyBorder="1" applyAlignment="1">
      <alignment horizontal="center" vertical="center" wrapText="1"/>
    </xf>
    <xf numFmtId="1" fontId="4" fillId="28" borderId="55" xfId="4" applyNumberFormat="1" applyFont="1" applyFill="1" applyBorder="1" applyAlignment="1">
      <alignment horizontal="center" vertical="center" wrapText="1"/>
    </xf>
    <xf numFmtId="1" fontId="4" fillId="12" borderId="55" xfId="4" applyNumberFormat="1" applyFont="1" applyFill="1" applyBorder="1" applyAlignment="1">
      <alignment horizontal="center" vertical="center" wrapText="1"/>
    </xf>
    <xf numFmtId="1" fontId="3" fillId="20" borderId="0" xfId="0" applyNumberFormat="1" applyFont="1" applyFill="1" applyBorder="1"/>
    <xf numFmtId="167" fontId="15" fillId="18" borderId="0" xfId="0" applyNumberFormat="1" applyFont="1" applyFill="1" applyBorder="1" applyAlignment="1">
      <alignment horizontal="right"/>
    </xf>
    <xf numFmtId="176" fontId="27" fillId="0" borderId="0" xfId="0" applyNumberFormat="1" applyFont="1" applyFill="1" applyBorder="1"/>
    <xf numFmtId="0" fontId="3" fillId="0" borderId="33" xfId="0" applyFont="1" applyBorder="1"/>
    <xf numFmtId="167" fontId="27" fillId="4" borderId="0" xfId="0" applyNumberFormat="1" applyFont="1" applyFill="1" applyBorder="1"/>
    <xf numFmtId="165" fontId="27" fillId="0" borderId="0" xfId="0" applyNumberFormat="1" applyFont="1" applyFill="1" applyBorder="1"/>
    <xf numFmtId="166" fontId="3" fillId="5" borderId="0" xfId="0" applyNumberFormat="1" applyFont="1" applyFill="1" applyBorder="1"/>
    <xf numFmtId="2" fontId="0" fillId="0" borderId="0" xfId="0" applyNumberFormat="1" applyFill="1" applyBorder="1" applyAlignment="1">
      <alignment horizontal="right"/>
    </xf>
    <xf numFmtId="1" fontId="4" fillId="2" borderId="73" xfId="4" applyNumberFormat="1" applyFont="1" applyFill="1" applyBorder="1" applyAlignment="1">
      <alignment horizontal="center" vertical="center" wrapText="1"/>
    </xf>
    <xf numFmtId="0" fontId="4" fillId="4" borderId="22" xfId="4" applyFont="1" applyFill="1" applyBorder="1" applyAlignment="1">
      <alignment horizontal="left"/>
    </xf>
    <xf numFmtId="0" fontId="4" fillId="4" borderId="74" xfId="4" applyFont="1" applyFill="1" applyBorder="1" applyAlignment="1">
      <alignment horizontal="left"/>
    </xf>
    <xf numFmtId="0" fontId="3" fillId="12" borderId="39" xfId="0" applyFont="1" applyFill="1" applyBorder="1" applyProtection="1"/>
    <xf numFmtId="0" fontId="17" fillId="12" borderId="40" xfId="0" applyFont="1" applyFill="1" applyBorder="1" applyProtection="1"/>
    <xf numFmtId="0" fontId="3" fillId="0" borderId="0" xfId="0" applyNumberFormat="1" applyFont="1"/>
    <xf numFmtId="1" fontId="3" fillId="0" borderId="0" xfId="0" applyNumberFormat="1" applyFont="1"/>
    <xf numFmtId="167" fontId="3" fillId="0" borderId="0" xfId="0" applyNumberFormat="1" applyFont="1"/>
    <xf numFmtId="1" fontId="50" fillId="15" borderId="0" xfId="0" applyNumberFormat="1" applyFont="1" applyFill="1" applyBorder="1" applyAlignment="1" applyProtection="1">
      <alignment horizontal="right" vertical="center"/>
      <protection locked="0"/>
    </xf>
    <xf numFmtId="0" fontId="17" fillId="12" borderId="62" xfId="0" applyFont="1" applyFill="1" applyBorder="1" applyProtection="1"/>
    <xf numFmtId="0" fontId="4" fillId="12" borderId="35" xfId="0" applyFont="1" applyFill="1" applyBorder="1" applyAlignment="1" applyProtection="1">
      <alignment horizontal="right"/>
    </xf>
    <xf numFmtId="0" fontId="4" fillId="12" borderId="64" xfId="0" applyFont="1" applyFill="1" applyBorder="1" applyProtection="1"/>
    <xf numFmtId="0" fontId="79" fillId="0" borderId="0" xfId="0" applyFont="1" applyAlignment="1">
      <alignment vertical="center" wrapText="1"/>
    </xf>
    <xf numFmtId="0" fontId="4" fillId="15" borderId="35" xfId="0" applyFont="1" applyFill="1" applyBorder="1" applyProtection="1">
      <protection locked="0"/>
    </xf>
    <xf numFmtId="0" fontId="0" fillId="18" borderId="0" xfId="0" applyNumberFormat="1" applyFill="1" applyBorder="1"/>
    <xf numFmtId="0" fontId="0" fillId="4" borderId="0" xfId="0" applyNumberFormat="1" applyFill="1" applyBorder="1"/>
    <xf numFmtId="0" fontId="0" fillId="23" borderId="0" xfId="0" applyNumberFormat="1" applyFill="1" applyBorder="1"/>
    <xf numFmtId="0" fontId="4" fillId="8" borderId="35" xfId="0" applyFont="1" applyFill="1" applyBorder="1" applyProtection="1"/>
    <xf numFmtId="0" fontId="3" fillId="8" borderId="35" xfId="0" applyFont="1" applyFill="1" applyBorder="1" applyProtection="1"/>
    <xf numFmtId="0" fontId="4" fillId="0" borderId="0" xfId="0" applyFont="1" applyAlignment="1">
      <alignment horizontal="left"/>
    </xf>
    <xf numFmtId="49" fontId="3" fillId="0" borderId="0" xfId="0" applyNumberFormat="1" applyFont="1" applyBorder="1" applyAlignment="1">
      <alignment horizontal="left"/>
    </xf>
    <xf numFmtId="167" fontId="49" fillId="12" borderId="35" xfId="0" applyNumberFormat="1" applyFont="1" applyFill="1" applyBorder="1" applyAlignment="1" applyProtection="1">
      <alignment vertical="center"/>
    </xf>
    <xf numFmtId="165" fontId="3" fillId="0" borderId="0" xfId="0" applyNumberFormat="1" applyFont="1"/>
    <xf numFmtId="1" fontId="4" fillId="12" borderId="0" xfId="0" applyNumberFormat="1" applyFont="1" applyFill="1" applyBorder="1" applyAlignment="1" applyProtection="1">
      <alignment vertical="center"/>
    </xf>
    <xf numFmtId="1" fontId="65" fillId="0" borderId="0" xfId="0" applyNumberFormat="1" applyFont="1" applyFill="1" applyBorder="1" applyAlignment="1" applyProtection="1">
      <alignment horizontal="right" vertical="center"/>
    </xf>
    <xf numFmtId="167" fontId="4" fillId="15" borderId="0" xfId="0" applyNumberFormat="1" applyFont="1" applyFill="1" applyBorder="1" applyAlignment="1" applyProtection="1">
      <alignment horizontal="right" vertical="center"/>
      <protection locked="0"/>
    </xf>
    <xf numFmtId="0" fontId="22" fillId="8" borderId="67" xfId="0" applyFont="1" applyFill="1" applyBorder="1" applyAlignment="1" applyProtection="1">
      <alignment vertical="center"/>
    </xf>
    <xf numFmtId="0" fontId="17" fillId="8" borderId="35" xfId="0" applyFont="1" applyFill="1" applyBorder="1" applyProtection="1"/>
    <xf numFmtId="0" fontId="45" fillId="8" borderId="75" xfId="0" applyFont="1" applyFill="1" applyBorder="1" applyProtection="1"/>
    <xf numFmtId="0" fontId="45" fillId="8" borderId="76" xfId="0" applyFont="1" applyFill="1" applyBorder="1" applyProtection="1"/>
    <xf numFmtId="0" fontId="45" fillId="8" borderId="77" xfId="0" applyFont="1" applyFill="1" applyBorder="1" applyProtection="1"/>
    <xf numFmtId="2" fontId="3" fillId="18" borderId="0" xfId="0" applyNumberFormat="1" applyFont="1" applyFill="1" applyBorder="1"/>
    <xf numFmtId="0" fontId="0" fillId="18" borderId="0" xfId="0" applyNumberFormat="1" applyFill="1"/>
    <xf numFmtId="2" fontId="4" fillId="0" borderId="0" xfId="0" applyNumberFormat="1" applyFont="1" applyBorder="1" applyAlignment="1">
      <alignment horizontal="right"/>
    </xf>
    <xf numFmtId="1" fontId="3" fillId="4" borderId="0" xfId="0" applyNumberFormat="1" applyFont="1" applyFill="1" applyBorder="1"/>
    <xf numFmtId="2" fontId="4" fillId="0" borderId="0" xfId="0" applyNumberFormat="1" applyFont="1" applyFill="1" applyBorder="1"/>
    <xf numFmtId="0" fontId="3" fillId="0" borderId="22" xfId="0" applyFont="1" applyFill="1" applyBorder="1"/>
    <xf numFmtId="2" fontId="7" fillId="0" borderId="2" xfId="0" applyNumberFormat="1" applyFont="1" applyFill="1" applyBorder="1"/>
    <xf numFmtId="166" fontId="4" fillId="0" borderId="2" xfId="0" applyNumberFormat="1" applyFont="1" applyFill="1" applyBorder="1"/>
    <xf numFmtId="0" fontId="48" fillId="0" borderId="0" xfId="0" applyFont="1" applyBorder="1"/>
    <xf numFmtId="0" fontId="27" fillId="18" borderId="0" xfId="0" applyNumberFormat="1" applyFont="1" applyFill="1" applyBorder="1" applyAlignment="1">
      <alignment horizontal="right"/>
    </xf>
    <xf numFmtId="179" fontId="3" fillId="16" borderId="8" xfId="4" applyNumberFormat="1" applyFill="1" applyBorder="1" applyAlignment="1">
      <alignment horizontal="left" vertical="center"/>
    </xf>
    <xf numFmtId="179" fontId="3" fillId="16" borderId="9" xfId="4" applyNumberFormat="1" applyFill="1" applyBorder="1" applyAlignment="1">
      <alignment horizontal="left" vertical="center"/>
    </xf>
    <xf numFmtId="0" fontId="3" fillId="8" borderId="0" xfId="0" applyFont="1" applyFill="1" applyBorder="1" applyAlignment="1" applyProtection="1">
      <alignment horizontal="right" vertical="top"/>
    </xf>
    <xf numFmtId="0" fontId="3" fillId="8" borderId="38" xfId="0" applyFont="1" applyFill="1" applyBorder="1" applyAlignment="1" applyProtection="1">
      <alignment horizontal="right"/>
    </xf>
    <xf numFmtId="0" fontId="4" fillId="2" borderId="19" xfId="4" applyFont="1" applyFill="1" applyBorder="1" applyAlignment="1">
      <alignment horizontal="center" vertical="center" wrapText="1"/>
    </xf>
    <xf numFmtId="165" fontId="4" fillId="26" borderId="19" xfId="4" applyNumberFormat="1" applyFont="1" applyFill="1" applyBorder="1" applyAlignment="1">
      <alignment horizontal="center" vertical="center" wrapText="1"/>
    </xf>
    <xf numFmtId="165" fontId="4" fillId="26" borderId="20" xfId="4" applyNumberFormat="1" applyFont="1" applyFill="1" applyBorder="1" applyAlignment="1">
      <alignment horizontal="center" vertical="center" wrapText="1"/>
    </xf>
    <xf numFmtId="165" fontId="4" fillId="26" borderId="73" xfId="4" applyNumberFormat="1" applyFont="1" applyFill="1" applyBorder="1" applyAlignment="1">
      <alignment horizontal="center" vertical="center" wrapText="1"/>
    </xf>
    <xf numFmtId="165" fontId="4" fillId="26" borderId="39" xfId="4" applyNumberFormat="1" applyFont="1" applyFill="1" applyBorder="1" applyAlignment="1">
      <alignment horizontal="center" vertical="center" wrapText="1"/>
    </xf>
    <xf numFmtId="1" fontId="4" fillId="15" borderId="55" xfId="4" applyNumberFormat="1" applyFont="1" applyFill="1" applyBorder="1" applyAlignment="1">
      <alignment horizontal="center" vertical="center" wrapText="1"/>
    </xf>
    <xf numFmtId="1" fontId="4" fillId="15" borderId="6" xfId="4" applyNumberFormat="1" applyFont="1" applyFill="1" applyBorder="1" applyAlignment="1">
      <alignment horizontal="center" vertical="center" wrapText="1"/>
    </xf>
    <xf numFmtId="167" fontId="3" fillId="8" borderId="35" xfId="0" applyNumberFormat="1" applyFont="1" applyFill="1" applyBorder="1" applyAlignment="1" applyProtection="1">
      <alignment horizontal="right" vertical="center"/>
    </xf>
    <xf numFmtId="166" fontId="0" fillId="0" borderId="0" xfId="0" applyNumberFormat="1" applyAlignment="1">
      <alignment horizontal="right"/>
    </xf>
    <xf numFmtId="0" fontId="3" fillId="23" borderId="0" xfId="0" applyNumberFormat="1" applyFont="1" applyFill="1" applyBorder="1"/>
    <xf numFmtId="9" fontId="0" fillId="19" borderId="0" xfId="0" applyNumberFormat="1" applyFill="1" applyBorder="1"/>
    <xf numFmtId="0" fontId="3" fillId="12" borderId="70" xfId="4" applyFill="1" applyBorder="1" applyAlignment="1">
      <alignment horizontal="center" vertical="center"/>
    </xf>
    <xf numFmtId="167" fontId="3" fillId="12" borderId="11" xfId="4" applyNumberFormat="1" applyFill="1" applyBorder="1" applyAlignment="1">
      <alignment horizontal="center" vertical="center"/>
    </xf>
    <xf numFmtId="0" fontId="59" fillId="12" borderId="0" xfId="4" applyFont="1" applyFill="1" applyAlignment="1">
      <alignment horizontal="left" vertical="center"/>
    </xf>
    <xf numFmtId="0" fontId="3" fillId="12" borderId="0" xfId="4" applyFill="1" applyAlignment="1">
      <alignment vertical="center"/>
    </xf>
    <xf numFmtId="0" fontId="59" fillId="12" borderId="0" xfId="4" applyFont="1" applyFill="1" applyAlignment="1" applyProtection="1">
      <alignment horizontal="left" vertical="center"/>
      <protection locked="0" hidden="1"/>
    </xf>
    <xf numFmtId="180" fontId="3" fillId="12" borderId="8" xfId="4" applyNumberFormat="1" applyFill="1" applyBorder="1" applyAlignment="1">
      <alignment horizontal="left" vertical="center"/>
    </xf>
    <xf numFmtId="180" fontId="3" fillId="12" borderId="9" xfId="4" applyNumberFormat="1" applyFill="1" applyBorder="1" applyAlignment="1">
      <alignment horizontal="left" vertical="center"/>
    </xf>
    <xf numFmtId="0" fontId="3" fillId="17" borderId="11" xfId="4" applyNumberFormat="1" applyFill="1" applyBorder="1" applyAlignment="1">
      <alignment horizontal="center" vertical="center"/>
    </xf>
    <xf numFmtId="167" fontId="3" fillId="8" borderId="63" xfId="0" applyNumberFormat="1" applyFont="1" applyFill="1" applyBorder="1" applyAlignment="1" applyProtection="1">
      <alignment horizontal="right" vertical="center"/>
    </xf>
    <xf numFmtId="0" fontId="3" fillId="8" borderId="0" xfId="0" applyNumberFormat="1" applyFont="1" applyFill="1" applyBorder="1" applyAlignment="1" applyProtection="1"/>
    <xf numFmtId="2" fontId="7" fillId="10" borderId="0" xfId="0" applyNumberFormat="1" applyFont="1" applyFill="1" applyBorder="1"/>
    <xf numFmtId="0" fontId="3" fillId="12" borderId="64" xfId="0" applyNumberFormat="1" applyFont="1" applyFill="1" applyBorder="1" applyAlignment="1" applyProtection="1">
      <alignment vertical="center"/>
    </xf>
    <xf numFmtId="164" fontId="0" fillId="0" borderId="0" xfId="0" applyNumberFormat="1"/>
    <xf numFmtId="0" fontId="3" fillId="12" borderId="23" xfId="0" applyNumberFormat="1" applyFont="1" applyFill="1" applyBorder="1" applyAlignment="1" applyProtection="1"/>
    <xf numFmtId="0" fontId="3" fillId="12" borderId="40" xfId="0" applyNumberFormat="1" applyFont="1" applyFill="1" applyBorder="1" applyAlignment="1" applyProtection="1"/>
    <xf numFmtId="2" fontId="3" fillId="8" borderId="39" xfId="0" applyNumberFormat="1" applyFont="1" applyFill="1" applyBorder="1" applyAlignment="1" applyProtection="1">
      <alignment horizontal="right"/>
    </xf>
    <xf numFmtId="168" fontId="7" fillId="0" borderId="0" xfId="0" applyNumberFormat="1" applyFont="1" applyFill="1" applyBorder="1"/>
    <xf numFmtId="11" fontId="7" fillId="0" borderId="0" xfId="0" applyNumberFormat="1" applyFont="1" applyFill="1" applyBorder="1"/>
    <xf numFmtId="0" fontId="3" fillId="0" borderId="11" xfId="0" applyFont="1" applyBorder="1"/>
    <xf numFmtId="0" fontId="0" fillId="0" borderId="11" xfId="0" applyFill="1" applyBorder="1"/>
    <xf numFmtId="0" fontId="3" fillId="0" borderId="0" xfId="4" applyFill="1"/>
    <xf numFmtId="0" fontId="80" fillId="0" borderId="22" xfId="0" applyFont="1" applyBorder="1"/>
    <xf numFmtId="0" fontId="3" fillId="21" borderId="0" xfId="4" applyFill="1"/>
    <xf numFmtId="0" fontId="4" fillId="0" borderId="65" xfId="4" applyFont="1" applyBorder="1" applyAlignment="1">
      <alignment horizontal="center"/>
    </xf>
    <xf numFmtId="0" fontId="4" fillId="0" borderId="66" xfId="4" applyFont="1" applyBorder="1" applyAlignment="1">
      <alignment horizontal="center"/>
    </xf>
    <xf numFmtId="0" fontId="3" fillId="0" borderId="17" xfId="4" applyBorder="1" applyAlignment="1">
      <alignment horizontal="left"/>
    </xf>
    <xf numFmtId="0" fontId="3" fillId="0" borderId="79" xfId="4" applyBorder="1"/>
    <xf numFmtId="0" fontId="3" fillId="0" borderId="17" xfId="4" applyFont="1" applyBorder="1"/>
    <xf numFmtId="0" fontId="3" fillId="0" borderId="8" xfId="4" applyBorder="1" applyAlignment="1">
      <alignment horizontal="left"/>
    </xf>
    <xf numFmtId="0" fontId="3" fillId="0" borderId="17" xfId="4" applyBorder="1"/>
    <xf numFmtId="1" fontId="3" fillId="0" borderId="11" xfId="4" applyNumberFormat="1" applyBorder="1"/>
    <xf numFmtId="0" fontId="3" fillId="0" borderId="15" xfId="4" applyBorder="1"/>
    <xf numFmtId="0" fontId="3" fillId="0" borderId="79" xfId="4" applyFill="1" applyBorder="1"/>
    <xf numFmtId="0" fontId="3" fillId="0" borderId="17" xfId="4" applyFont="1" applyBorder="1" applyAlignment="1">
      <alignment horizontal="left"/>
    </xf>
    <xf numFmtId="167" fontId="3" fillId="0" borderId="8" xfId="4" applyNumberFormat="1" applyBorder="1"/>
    <xf numFmtId="0" fontId="3" fillId="0" borderId="17" xfId="4" applyFill="1" applyBorder="1"/>
    <xf numFmtId="11" fontId="3" fillId="0" borderId="11" xfId="4" applyNumberFormat="1" applyFill="1" applyBorder="1"/>
    <xf numFmtId="1" fontId="3" fillId="0" borderId="11" xfId="4" applyNumberFormat="1" applyFill="1" applyBorder="1"/>
    <xf numFmtId="166" fontId="3" fillId="0" borderId="11" xfId="4" applyNumberFormat="1" applyFill="1" applyBorder="1"/>
    <xf numFmtId="0" fontId="3" fillId="0" borderId="8" xfId="4" applyFill="1" applyBorder="1"/>
    <xf numFmtId="0" fontId="3" fillId="2" borderId="0" xfId="4" applyFill="1"/>
    <xf numFmtId="0" fontId="3" fillId="0" borderId="21" xfId="4" applyFill="1" applyBorder="1" applyAlignment="1">
      <alignment horizontal="left"/>
    </xf>
    <xf numFmtId="1" fontId="3" fillId="0" borderId="39" xfId="4" applyNumberFormat="1" applyBorder="1"/>
    <xf numFmtId="0" fontId="3" fillId="0" borderId="40" xfId="4" applyBorder="1"/>
    <xf numFmtId="0" fontId="3" fillId="0" borderId="39" xfId="4" applyBorder="1"/>
    <xf numFmtId="166" fontId="3" fillId="0" borderId="39" xfId="4" applyNumberFormat="1" applyBorder="1"/>
    <xf numFmtId="166" fontId="3" fillId="0" borderId="38" xfId="4" applyNumberFormat="1" applyBorder="1"/>
    <xf numFmtId="0" fontId="3" fillId="0" borderId="0" xfId="4" applyFill="1" applyBorder="1" applyAlignment="1">
      <alignment horizontal="left"/>
    </xf>
    <xf numFmtId="1" fontId="3" fillId="0" borderId="0" xfId="4" applyNumberFormat="1" applyBorder="1"/>
    <xf numFmtId="0" fontId="3" fillId="0" borderId="0" xfId="4" applyBorder="1"/>
    <xf numFmtId="166" fontId="3" fillId="0" borderId="0" xfId="4" applyNumberFormat="1" applyBorder="1"/>
    <xf numFmtId="2" fontId="3" fillId="0" borderId="79" xfId="4" applyNumberFormat="1" applyBorder="1"/>
    <xf numFmtId="0" fontId="3" fillId="4" borderId="73" xfId="4" applyFill="1" applyBorder="1" applyAlignment="1">
      <alignment vertical="center"/>
    </xf>
    <xf numFmtId="0" fontId="7" fillId="0" borderId="5" xfId="4" applyFont="1" applyBorder="1" applyAlignment="1">
      <alignment horizontal="center"/>
    </xf>
    <xf numFmtId="0" fontId="7" fillId="0" borderId="6" xfId="4" applyFont="1" applyBorder="1" applyAlignment="1">
      <alignment horizontal="center"/>
    </xf>
    <xf numFmtId="0" fontId="7" fillId="0" borderId="7" xfId="4" applyFont="1" applyBorder="1" applyAlignment="1">
      <alignment horizontal="center"/>
    </xf>
    <xf numFmtId="0" fontId="7" fillId="0" borderId="5" xfId="4" applyFont="1" applyFill="1" applyBorder="1" applyAlignment="1">
      <alignment horizontal="center"/>
    </xf>
    <xf numFmtId="0" fontId="7" fillId="0" borderId="6" xfId="4" applyFont="1" applyFill="1" applyBorder="1" applyAlignment="1">
      <alignment horizontal="center"/>
    </xf>
    <xf numFmtId="2" fontId="7" fillId="0" borderId="7" xfId="4" applyNumberFormat="1" applyFont="1" applyFill="1" applyBorder="1" applyAlignment="1">
      <alignment horizontal="center"/>
    </xf>
    <xf numFmtId="0" fontId="7" fillId="0" borderId="0" xfId="4" applyFont="1" applyFill="1" applyBorder="1" applyAlignment="1">
      <alignment horizontal="center"/>
    </xf>
    <xf numFmtId="0" fontId="7" fillId="0" borderId="17" xfId="4" applyFont="1" applyBorder="1"/>
    <xf numFmtId="0" fontId="7" fillId="0" borderId="79" xfId="4" applyFont="1" applyBorder="1"/>
    <xf numFmtId="0" fontId="3" fillId="0" borderId="82" xfId="4" applyBorder="1" applyAlignment="1">
      <alignment horizontal="center"/>
    </xf>
    <xf numFmtId="0" fontId="3" fillId="0" borderId="74" xfId="4" applyBorder="1" applyAlignment="1">
      <alignment horizontal="center"/>
    </xf>
    <xf numFmtId="165" fontId="3" fillId="0" borderId="84" xfId="4" applyNumberFormat="1" applyBorder="1" applyAlignment="1">
      <alignment horizontal="center"/>
    </xf>
    <xf numFmtId="165" fontId="3" fillId="0" borderId="12" xfId="4" applyNumberFormat="1" applyBorder="1" applyAlignment="1">
      <alignment horizontal="center"/>
    </xf>
    <xf numFmtId="165" fontId="3" fillId="0" borderId="85" xfId="4" applyNumberFormat="1" applyBorder="1" applyAlignment="1">
      <alignment horizontal="center"/>
    </xf>
    <xf numFmtId="165" fontId="3" fillId="0" borderId="48" xfId="4" applyNumberFormat="1" applyBorder="1" applyAlignment="1">
      <alignment horizontal="center"/>
    </xf>
    <xf numFmtId="184" fontId="3" fillId="0" borderId="84" xfId="4" applyNumberFormat="1" applyBorder="1" applyAlignment="1">
      <alignment horizontal="center"/>
    </xf>
    <xf numFmtId="184" fontId="3" fillId="0" borderId="85" xfId="4" applyNumberFormat="1" applyBorder="1" applyAlignment="1">
      <alignment horizontal="center"/>
    </xf>
    <xf numFmtId="2" fontId="3" fillId="0" borderId="84" xfId="4" applyNumberFormat="1" applyBorder="1" applyAlignment="1">
      <alignment horizontal="center"/>
    </xf>
    <xf numFmtId="2" fontId="3" fillId="0" borderId="12" xfId="4" applyNumberFormat="1" applyBorder="1" applyAlignment="1">
      <alignment horizontal="center"/>
    </xf>
    <xf numFmtId="2" fontId="3" fillId="0" borderId="85" xfId="4" applyNumberFormat="1" applyBorder="1" applyAlignment="1">
      <alignment horizontal="center"/>
    </xf>
    <xf numFmtId="2" fontId="3" fillId="0" borderId="17" xfId="4" applyNumberFormat="1" applyBorder="1" applyAlignment="1">
      <alignment horizontal="center"/>
    </xf>
    <xf numFmtId="2" fontId="3" fillId="0" borderId="79" xfId="4" applyNumberFormat="1" applyBorder="1" applyAlignment="1">
      <alignment horizontal="center"/>
    </xf>
    <xf numFmtId="0" fontId="3" fillId="0" borderId="86" xfId="4" applyBorder="1" applyAlignment="1">
      <alignment horizontal="center"/>
    </xf>
    <xf numFmtId="165" fontId="3" fillId="0" borderId="11" xfId="4" applyNumberFormat="1" applyBorder="1" applyAlignment="1">
      <alignment horizontal="center"/>
    </xf>
    <xf numFmtId="165" fontId="3" fillId="0" borderId="79" xfId="4" applyNumberFormat="1" applyBorder="1" applyAlignment="1">
      <alignment horizontal="center"/>
    </xf>
    <xf numFmtId="0" fontId="3" fillId="0" borderId="0" xfId="4" applyAlignment="1">
      <alignment horizontal="center"/>
    </xf>
    <xf numFmtId="0" fontId="3" fillId="0" borderId="0" xfId="4" applyBorder="1" applyAlignment="1">
      <alignment horizontal="center"/>
    </xf>
    <xf numFmtId="165" fontId="3" fillId="0" borderId="0" xfId="4" applyNumberFormat="1" applyBorder="1" applyAlignment="1">
      <alignment horizontal="center"/>
    </xf>
    <xf numFmtId="184" fontId="3" fillId="0" borderId="0" xfId="4" applyNumberFormat="1" applyBorder="1" applyAlignment="1">
      <alignment horizontal="center"/>
    </xf>
    <xf numFmtId="2" fontId="3" fillId="0" borderId="87" xfId="4" applyNumberFormat="1" applyBorder="1" applyAlignment="1">
      <alignment horizontal="center"/>
    </xf>
    <xf numFmtId="2" fontId="3" fillId="0" borderId="0" xfId="4" applyNumberFormat="1" applyBorder="1" applyAlignment="1">
      <alignment horizontal="center"/>
    </xf>
    <xf numFmtId="2" fontId="3" fillId="0" borderId="0" xfId="4" applyNumberFormat="1" applyAlignment="1">
      <alignment horizontal="center"/>
    </xf>
    <xf numFmtId="0" fontId="3" fillId="0" borderId="0" xfId="4" applyFill="1" applyBorder="1" applyAlignment="1">
      <alignment horizontal="right"/>
    </xf>
    <xf numFmtId="165" fontId="3" fillId="0" borderId="17" xfId="4" applyNumberFormat="1" applyBorder="1" applyAlignment="1">
      <alignment horizontal="center"/>
    </xf>
    <xf numFmtId="165" fontId="3" fillId="0" borderId="8" xfId="4" applyNumberFormat="1" applyBorder="1" applyAlignment="1">
      <alignment horizontal="center"/>
    </xf>
    <xf numFmtId="184" fontId="3" fillId="0" borderId="79" xfId="4" applyNumberFormat="1" applyBorder="1" applyAlignment="1">
      <alignment horizontal="center"/>
    </xf>
    <xf numFmtId="1" fontId="3" fillId="0" borderId="0" xfId="4" applyNumberFormat="1" applyAlignment="1">
      <alignment horizontal="right"/>
    </xf>
    <xf numFmtId="0" fontId="3" fillId="0" borderId="0" xfId="4" applyAlignment="1">
      <alignment horizontal="right"/>
    </xf>
    <xf numFmtId="2" fontId="3" fillId="0" borderId="5" xfId="4" applyNumberFormat="1" applyBorder="1" applyAlignment="1">
      <alignment horizontal="center"/>
    </xf>
    <xf numFmtId="2" fontId="3" fillId="0" borderId="7" xfId="4" applyNumberFormat="1" applyBorder="1" applyAlignment="1">
      <alignment horizontal="center"/>
    </xf>
    <xf numFmtId="0" fontId="53" fillId="0" borderId="0" xfId="4" applyFont="1"/>
    <xf numFmtId="0" fontId="3" fillId="0" borderId="23" xfId="4" applyBorder="1"/>
    <xf numFmtId="11" fontId="3" fillId="0" borderId="0" xfId="4" applyNumberFormat="1" applyFont="1"/>
    <xf numFmtId="168" fontId="3" fillId="0" borderId="0" xfId="4" applyNumberFormat="1" applyFont="1"/>
    <xf numFmtId="2" fontId="3" fillId="29" borderId="0" xfId="4" applyNumberFormat="1" applyFill="1"/>
    <xf numFmtId="0" fontId="3" fillId="29" borderId="0" xfId="4" applyFill="1"/>
    <xf numFmtId="176" fontId="3" fillId="0" borderId="0" xfId="4" applyNumberFormat="1"/>
    <xf numFmtId="1" fontId="3" fillId="0" borderId="8" xfId="4" applyNumberFormat="1" applyBorder="1" applyAlignment="1">
      <alignment horizontal="left"/>
    </xf>
    <xf numFmtId="0" fontId="3" fillId="18" borderId="0" xfId="4" applyFill="1"/>
    <xf numFmtId="166" fontId="3" fillId="18" borderId="0" xfId="4" applyNumberFormat="1" applyFill="1"/>
    <xf numFmtId="0" fontId="3" fillId="0" borderId="0" xfId="4" quotePrefix="1" applyFill="1"/>
    <xf numFmtId="2" fontId="3" fillId="18" borderId="0" xfId="4" applyNumberFormat="1" applyFill="1"/>
    <xf numFmtId="167" fontId="3" fillId="18" borderId="0" xfId="4" applyNumberFormat="1" applyFill="1"/>
    <xf numFmtId="0" fontId="48" fillId="0" borderId="15" xfId="4" applyFont="1" applyFill="1" applyBorder="1"/>
    <xf numFmtId="2" fontId="4" fillId="0" borderId="11" xfId="4" applyNumberFormat="1" applyFont="1" applyFill="1" applyBorder="1"/>
    <xf numFmtId="0" fontId="4" fillId="0" borderId="79" xfId="4" applyFont="1" applyBorder="1"/>
    <xf numFmtId="167" fontId="4" fillId="0" borderId="11" xfId="4" applyNumberFormat="1" applyFont="1" applyFill="1" applyBorder="1"/>
    <xf numFmtId="0" fontId="82" fillId="0" borderId="79" xfId="4" applyFont="1" applyBorder="1"/>
    <xf numFmtId="0" fontId="48" fillId="0" borderId="0" xfId="4" applyFont="1"/>
    <xf numFmtId="0" fontId="3" fillId="0" borderId="80" xfId="4" applyFill="1" applyBorder="1"/>
    <xf numFmtId="0" fontId="3" fillId="0" borderId="15" xfId="4" applyFill="1" applyBorder="1"/>
    <xf numFmtId="165" fontId="7" fillId="0" borderId="0" xfId="0" applyNumberFormat="1" applyFont="1" applyBorder="1"/>
    <xf numFmtId="0" fontId="4" fillId="15" borderId="35" xfId="0" applyNumberFormat="1" applyFont="1" applyFill="1" applyBorder="1" applyAlignment="1" applyProtection="1">
      <alignment vertical="center"/>
      <protection locked="0"/>
    </xf>
    <xf numFmtId="0" fontId="4" fillId="12" borderId="64" xfId="0" applyNumberFormat="1" applyFont="1" applyFill="1" applyBorder="1" applyAlignment="1" applyProtection="1">
      <alignment vertical="center"/>
    </xf>
    <xf numFmtId="0" fontId="4" fillId="12" borderId="40" xfId="0" applyNumberFormat="1" applyFont="1" applyFill="1" applyBorder="1" applyAlignment="1" applyProtection="1">
      <alignment vertical="center"/>
    </xf>
    <xf numFmtId="0" fontId="4" fillId="11" borderId="0" xfId="0" applyFont="1" applyFill="1" applyBorder="1"/>
    <xf numFmtId="0" fontId="58" fillId="0" borderId="0" xfId="0" applyFont="1" applyBorder="1"/>
    <xf numFmtId="0" fontId="84" fillId="8" borderId="0" xfId="0" applyFont="1" applyFill="1" applyBorder="1" applyProtection="1"/>
    <xf numFmtId="0" fontId="81" fillId="12" borderId="0" xfId="0" applyNumberFormat="1" applyFont="1" applyFill="1" applyBorder="1" applyAlignment="1" applyProtection="1">
      <alignment vertical="center"/>
    </xf>
    <xf numFmtId="165" fontId="3" fillId="0" borderId="11" xfId="4" applyNumberFormat="1" applyBorder="1"/>
    <xf numFmtId="184" fontId="3" fillId="0" borderId="0" xfId="4" applyNumberFormat="1"/>
    <xf numFmtId="0" fontId="0" fillId="0" borderId="62" xfId="0" applyBorder="1"/>
    <xf numFmtId="0" fontId="0" fillId="0" borderId="64" xfId="0" applyBorder="1"/>
    <xf numFmtId="20" fontId="0" fillId="0" borderId="0" xfId="0" applyNumberFormat="1" applyBorder="1"/>
    <xf numFmtId="0" fontId="0" fillId="0" borderId="0" xfId="0" quotePrefix="1" applyBorder="1"/>
    <xf numFmtId="0" fontId="78" fillId="0" borderId="0" xfId="0" applyFont="1" applyBorder="1" applyAlignment="1">
      <alignment horizontal="right"/>
    </xf>
    <xf numFmtId="0" fontId="4" fillId="0" borderId="23" xfId="0" applyFont="1" applyBorder="1" applyAlignment="1">
      <alignment horizontal="right"/>
    </xf>
    <xf numFmtId="166" fontId="4" fillId="0" borderId="23" xfId="0" applyNumberFormat="1" applyFont="1" applyBorder="1" applyAlignment="1">
      <alignment horizontal="right"/>
    </xf>
    <xf numFmtId="166" fontId="48" fillId="0" borderId="0" xfId="0" applyNumberFormat="1" applyFont="1" applyBorder="1" applyAlignment="1">
      <alignment horizontal="left"/>
    </xf>
    <xf numFmtId="2" fontId="48" fillId="0" borderId="23" xfId="0" applyNumberFormat="1" applyFont="1" applyBorder="1" applyAlignment="1">
      <alignment horizontal="right"/>
    </xf>
    <xf numFmtId="2" fontId="48" fillId="0" borderId="0" xfId="0" applyNumberFormat="1" applyFont="1" applyBorder="1" applyAlignment="1">
      <alignment horizontal="left"/>
    </xf>
    <xf numFmtId="0" fontId="48" fillId="0" borderId="23" xfId="0" applyFont="1" applyBorder="1" applyAlignment="1">
      <alignment horizontal="right"/>
    </xf>
    <xf numFmtId="0" fontId="0" fillId="0" borderId="38" xfId="0" applyBorder="1"/>
    <xf numFmtId="0" fontId="0" fillId="0" borderId="39" xfId="0" applyBorder="1" applyAlignment="1">
      <alignment horizontal="left"/>
    </xf>
    <xf numFmtId="0" fontId="0" fillId="0" borderId="40" xfId="0" applyBorder="1"/>
    <xf numFmtId="0" fontId="4" fillId="0" borderId="62" xfId="0" applyFont="1" applyBorder="1"/>
    <xf numFmtId="0" fontId="4" fillId="8" borderId="23" xfId="0" applyFont="1" applyFill="1" applyBorder="1" applyAlignment="1" applyProtection="1"/>
    <xf numFmtId="0" fontId="22" fillId="8" borderId="38" xfId="0" applyFont="1" applyFill="1" applyBorder="1" applyAlignment="1" applyProtection="1">
      <alignment vertical="center"/>
    </xf>
    <xf numFmtId="0" fontId="47" fillId="8" borderId="39" xfId="0" applyFont="1" applyFill="1" applyBorder="1" applyAlignment="1" applyProtection="1"/>
    <xf numFmtId="0" fontId="4" fillId="8" borderId="39" xfId="0" applyFont="1" applyFill="1" applyBorder="1" applyAlignment="1" applyProtection="1"/>
    <xf numFmtId="0" fontId="4" fillId="8" borderId="40" xfId="0" applyFont="1" applyFill="1" applyBorder="1" applyAlignment="1" applyProtection="1"/>
    <xf numFmtId="0" fontId="4" fillId="12" borderId="0" xfId="0" applyNumberFormat="1" applyFont="1" applyFill="1" applyBorder="1" applyAlignment="1" applyProtection="1">
      <alignment vertical="center"/>
    </xf>
    <xf numFmtId="0" fontId="22" fillId="12" borderId="0" xfId="0" applyFont="1" applyFill="1" applyBorder="1" applyAlignment="1" applyProtection="1">
      <alignment vertical="center"/>
    </xf>
    <xf numFmtId="167" fontId="49" fillId="12" borderId="0" xfId="0" applyNumberFormat="1" applyFont="1" applyFill="1" applyBorder="1" applyAlignment="1" applyProtection="1">
      <alignment vertical="center"/>
    </xf>
    <xf numFmtId="0" fontId="10" fillId="0" borderId="0" xfId="3" applyAlignment="1" applyProtection="1"/>
    <xf numFmtId="0" fontId="50" fillId="0" borderId="0" xfId="4" applyFont="1"/>
    <xf numFmtId="0" fontId="58" fillId="0" borderId="86" xfId="4" applyFont="1" applyBorder="1" applyAlignment="1">
      <alignment horizontal="center"/>
    </xf>
    <xf numFmtId="0" fontId="58" fillId="0" borderId="74" xfId="4" applyFont="1" applyBorder="1" applyAlignment="1">
      <alignment horizontal="center"/>
    </xf>
    <xf numFmtId="165" fontId="58" fillId="0" borderId="84" xfId="4" applyNumberFormat="1" applyFont="1" applyBorder="1" applyAlignment="1">
      <alignment horizontal="center"/>
    </xf>
    <xf numFmtId="165" fontId="58" fillId="0" borderId="12" xfId="4" applyNumberFormat="1" applyFont="1" applyBorder="1" applyAlignment="1">
      <alignment horizontal="center"/>
    </xf>
    <xf numFmtId="165" fontId="58" fillId="0" borderId="85" xfId="4" applyNumberFormat="1" applyFont="1" applyBorder="1" applyAlignment="1">
      <alignment horizontal="center"/>
    </xf>
    <xf numFmtId="165" fontId="58" fillId="0" borderId="48" xfId="4" applyNumberFormat="1" applyFont="1" applyBorder="1" applyAlignment="1">
      <alignment horizontal="center"/>
    </xf>
    <xf numFmtId="165" fontId="58" fillId="0" borderId="11" xfId="4" applyNumberFormat="1" applyFont="1" applyBorder="1" applyAlignment="1">
      <alignment horizontal="center"/>
    </xf>
    <xf numFmtId="165" fontId="58" fillId="0" borderId="79" xfId="4" applyNumberFormat="1" applyFont="1" applyBorder="1" applyAlignment="1">
      <alignment horizontal="center"/>
    </xf>
    <xf numFmtId="184" fontId="58" fillId="0" borderId="84" xfId="4" applyNumberFormat="1" applyFont="1" applyBorder="1" applyAlignment="1">
      <alignment horizontal="center"/>
    </xf>
    <xf numFmtId="184" fontId="58" fillId="0" borderId="85" xfId="4" applyNumberFormat="1" applyFont="1" applyBorder="1" applyAlignment="1">
      <alignment horizontal="center"/>
    </xf>
    <xf numFmtId="2" fontId="58" fillId="0" borderId="84" xfId="4" applyNumberFormat="1" applyFont="1" applyBorder="1" applyAlignment="1">
      <alignment horizontal="center"/>
    </xf>
    <xf numFmtId="2" fontId="58" fillId="0" borderId="12" xfId="4" applyNumberFormat="1" applyFont="1" applyBorder="1" applyAlignment="1">
      <alignment horizontal="center"/>
    </xf>
    <xf numFmtId="2" fontId="58" fillId="0" borderId="79" xfId="4" applyNumberFormat="1" applyFont="1" applyBorder="1" applyAlignment="1">
      <alignment horizontal="center"/>
    </xf>
    <xf numFmtId="2" fontId="58" fillId="0" borderId="17" xfId="4" applyNumberFormat="1" applyFont="1" applyBorder="1" applyAlignment="1">
      <alignment horizontal="center"/>
    </xf>
    <xf numFmtId="1" fontId="49" fillId="12" borderId="0" xfId="0" applyNumberFormat="1" applyFont="1" applyFill="1" applyBorder="1" applyAlignment="1" applyProtection="1">
      <alignment vertical="center"/>
    </xf>
    <xf numFmtId="0" fontId="3" fillId="8" borderId="0" xfId="0" applyNumberFormat="1" applyFont="1" applyFill="1" applyBorder="1" applyAlignment="1" applyProtection="1">
      <alignment horizontal="right" vertical="center"/>
    </xf>
    <xf numFmtId="167" fontId="50" fillId="15" borderId="0" xfId="0" applyNumberFormat="1" applyFont="1" applyFill="1" applyBorder="1" applyAlignment="1" applyProtection="1">
      <alignment vertical="center"/>
      <protection locked="0"/>
    </xf>
    <xf numFmtId="0" fontId="86" fillId="0" borderId="0" xfId="0" applyFont="1"/>
    <xf numFmtId="167" fontId="3" fillId="12" borderId="0" xfId="0" applyNumberFormat="1" applyFont="1" applyFill="1" applyAlignment="1" applyProtection="1">
      <alignment horizontal="right"/>
    </xf>
    <xf numFmtId="0" fontId="0" fillId="0" borderId="0" xfId="0" quotePrefix="1" applyAlignment="1">
      <alignment wrapText="1"/>
    </xf>
    <xf numFmtId="0" fontId="0" fillId="0" borderId="0" xfId="0" applyAlignment="1">
      <alignment wrapText="1"/>
    </xf>
    <xf numFmtId="0" fontId="3" fillId="0" borderId="0" xfId="0" applyFont="1" applyAlignment="1">
      <alignment wrapText="1"/>
    </xf>
    <xf numFmtId="2" fontId="7" fillId="0" borderId="0" xfId="0" applyNumberFormat="1" applyFont="1" applyFill="1" applyBorder="1"/>
    <xf numFmtId="167" fontId="49" fillId="8" borderId="35" xfId="2" applyNumberFormat="1" applyFont="1" applyFill="1" applyBorder="1" applyAlignment="1" applyProtection="1">
      <alignment horizontal="right" vertical="center"/>
    </xf>
    <xf numFmtId="167" fontId="17" fillId="8" borderId="35" xfId="0" applyNumberFormat="1" applyFont="1" applyFill="1" applyBorder="1" applyAlignment="1" applyProtection="1">
      <alignment horizontal="right"/>
    </xf>
    <xf numFmtId="0" fontId="3" fillId="8" borderId="38" xfId="0" applyFont="1" applyFill="1" applyBorder="1" applyAlignment="1" applyProtection="1">
      <alignment vertical="center"/>
    </xf>
    <xf numFmtId="0" fontId="50" fillId="8" borderId="35" xfId="0" applyFont="1" applyFill="1" applyBorder="1" applyAlignment="1" applyProtection="1">
      <alignment horizontal="right" vertical="center"/>
    </xf>
    <xf numFmtId="0" fontId="50" fillId="12" borderId="64" xfId="0" applyNumberFormat="1" applyFont="1" applyFill="1" applyBorder="1" applyAlignment="1" applyProtection="1">
      <alignment vertical="center"/>
    </xf>
    <xf numFmtId="0" fontId="3" fillId="8" borderId="0" xfId="0" applyFont="1" applyFill="1" applyBorder="1" applyAlignment="1" applyProtection="1"/>
    <xf numFmtId="167" fontId="3" fillId="8" borderId="0" xfId="0" applyNumberFormat="1" applyFont="1" applyFill="1" applyBorder="1" applyAlignment="1" applyProtection="1"/>
    <xf numFmtId="0" fontId="87" fillId="8" borderId="39" xfId="0" applyFont="1" applyFill="1" applyBorder="1" applyAlignment="1" applyProtection="1"/>
    <xf numFmtId="0" fontId="3" fillId="8" borderId="39" xfId="0" applyFont="1" applyFill="1" applyBorder="1" applyAlignment="1" applyProtection="1"/>
    <xf numFmtId="0" fontId="49" fillId="8" borderId="39" xfId="0" applyFont="1" applyFill="1" applyBorder="1" applyAlignment="1" applyProtection="1">
      <alignment horizontal="right"/>
    </xf>
    <xf numFmtId="1" fontId="3" fillId="8" borderId="39" xfId="0" applyNumberFormat="1" applyFont="1" applyFill="1" applyBorder="1" applyAlignment="1" applyProtection="1"/>
    <xf numFmtId="0" fontId="3" fillId="8" borderId="40" xfId="0" applyFont="1" applyFill="1" applyBorder="1" applyAlignment="1" applyProtection="1"/>
    <xf numFmtId="167" fontId="79" fillId="8" borderId="0" xfId="0" applyNumberFormat="1" applyFont="1" applyFill="1" applyBorder="1" applyAlignment="1" applyProtection="1"/>
    <xf numFmtId="0" fontId="3" fillId="8" borderId="22" xfId="0" applyFont="1" applyFill="1" applyBorder="1" applyAlignment="1" applyProtection="1">
      <alignment horizontal="right"/>
    </xf>
    <xf numFmtId="0" fontId="22" fillId="12" borderId="62" xfId="0" applyFont="1" applyFill="1" applyBorder="1" applyAlignment="1" applyProtection="1">
      <alignment vertical="center"/>
    </xf>
    <xf numFmtId="0" fontId="47" fillId="8" borderId="35" xfId="0" applyFont="1" applyFill="1" applyBorder="1" applyAlignment="1" applyProtection="1"/>
    <xf numFmtId="0" fontId="3" fillId="8" borderId="35" xfId="0" applyFont="1" applyFill="1" applyBorder="1" applyAlignment="1" applyProtection="1"/>
    <xf numFmtId="0" fontId="3" fillId="8" borderId="35" xfId="0" quotePrefix="1" applyFont="1" applyFill="1" applyBorder="1" applyAlignment="1" applyProtection="1">
      <alignment horizontal="right"/>
    </xf>
    <xf numFmtId="167" fontId="3" fillId="8" borderId="35" xfId="0" applyNumberFormat="1" applyFont="1" applyFill="1" applyBorder="1" applyAlignment="1" applyProtection="1"/>
    <xf numFmtId="0" fontId="3" fillId="8" borderId="64" xfId="0" applyFont="1" applyFill="1" applyBorder="1" applyAlignment="1" applyProtection="1"/>
    <xf numFmtId="0" fontId="22" fillId="12" borderId="22" xfId="0" applyFont="1" applyFill="1" applyBorder="1" applyAlignment="1" applyProtection="1">
      <alignment vertical="center"/>
    </xf>
    <xf numFmtId="0" fontId="17" fillId="12" borderId="38" xfId="0" applyFont="1" applyFill="1" applyBorder="1" applyProtection="1"/>
    <xf numFmtId="167" fontId="3" fillId="8" borderId="0" xfId="0" applyNumberFormat="1" applyFont="1" applyFill="1" applyBorder="1" applyAlignment="1" applyProtection="1">
      <alignment horizontal="right"/>
    </xf>
    <xf numFmtId="167" fontId="3" fillId="8" borderId="39" xfId="0" applyNumberFormat="1" applyFont="1" applyFill="1" applyBorder="1" applyAlignment="1" applyProtection="1">
      <alignment horizontal="right"/>
    </xf>
    <xf numFmtId="0" fontId="3" fillId="8" borderId="64" xfId="0" applyFont="1" applyFill="1" applyBorder="1" applyAlignment="1" applyProtection="1">
      <alignment vertical="center"/>
    </xf>
    <xf numFmtId="0" fontId="50" fillId="15" borderId="39" xfId="0" applyNumberFormat="1" applyFont="1" applyFill="1" applyBorder="1" applyAlignment="1" applyProtection="1">
      <alignment horizontal="right" vertical="center"/>
      <protection locked="0"/>
    </xf>
    <xf numFmtId="0" fontId="4" fillId="8" borderId="40" xfId="0" applyFont="1" applyFill="1" applyBorder="1" applyAlignment="1" applyProtection="1">
      <alignment vertical="center"/>
    </xf>
    <xf numFmtId="0" fontId="84" fillId="8" borderId="11" xfId="0" applyFont="1" applyFill="1" applyBorder="1" applyAlignment="1" applyProtection="1">
      <alignment horizontal="right"/>
    </xf>
    <xf numFmtId="0" fontId="81" fillId="15" borderId="15" xfId="0" applyNumberFormat="1" applyFont="1" applyFill="1" applyBorder="1" applyAlignment="1" applyProtection="1">
      <alignment vertical="center"/>
      <protection locked="0"/>
    </xf>
    <xf numFmtId="0" fontId="4" fillId="0" borderId="0" xfId="0" applyFont="1" applyFill="1" applyBorder="1" applyProtection="1"/>
    <xf numFmtId="0" fontId="3" fillId="8" borderId="64" xfId="0" applyFont="1" applyFill="1" applyBorder="1" applyProtection="1"/>
    <xf numFmtId="0" fontId="3" fillId="12" borderId="40" xfId="0" applyFont="1" applyFill="1" applyBorder="1" applyProtection="1"/>
    <xf numFmtId="0" fontId="4" fillId="15" borderId="0" xfId="0" applyNumberFormat="1" applyFont="1" applyFill="1" applyBorder="1" applyAlignment="1" applyProtection="1">
      <alignment horizontal="right"/>
      <protection locked="0"/>
    </xf>
    <xf numFmtId="0" fontId="4" fillId="8" borderId="35" xfId="0" applyFont="1" applyFill="1" applyBorder="1" applyAlignment="1" applyProtection="1">
      <alignment horizontal="right" vertical="center"/>
    </xf>
    <xf numFmtId="1" fontId="3" fillId="8" borderId="35" xfId="0" applyNumberFormat="1" applyFont="1" applyFill="1" applyBorder="1" applyAlignment="1" applyProtection="1">
      <alignment horizontal="right" vertical="center"/>
    </xf>
    <xf numFmtId="0" fontId="3" fillId="8" borderId="88" xfId="0" applyFont="1" applyFill="1" applyBorder="1" applyAlignment="1" applyProtection="1">
      <alignment vertical="center"/>
    </xf>
    <xf numFmtId="0" fontId="3" fillId="8" borderId="10" xfId="0" applyFont="1" applyFill="1" applyBorder="1" applyAlignment="1" applyProtection="1">
      <alignment vertical="center"/>
    </xf>
    <xf numFmtId="0" fontId="4" fillId="8" borderId="10" xfId="0" applyFont="1" applyFill="1" applyBorder="1" applyAlignment="1" applyProtection="1">
      <alignment vertical="center"/>
    </xf>
    <xf numFmtId="0" fontId="3" fillId="8" borderId="10" xfId="0" applyFont="1" applyFill="1" applyBorder="1" applyAlignment="1" applyProtection="1">
      <alignment horizontal="right" vertical="center"/>
    </xf>
    <xf numFmtId="0" fontId="3" fillId="0" borderId="10" xfId="0" applyNumberFormat="1" applyFont="1" applyFill="1" applyBorder="1" applyAlignment="1" applyProtection="1">
      <alignment horizontal="right" vertical="center"/>
    </xf>
    <xf numFmtId="0" fontId="3" fillId="8" borderId="89" xfId="0" applyFont="1" applyFill="1" applyBorder="1" applyAlignment="1" applyProtection="1">
      <alignment vertical="center"/>
    </xf>
    <xf numFmtId="0" fontId="3" fillId="8" borderId="48" xfId="0" applyFont="1" applyFill="1" applyBorder="1" applyAlignment="1" applyProtection="1">
      <alignment vertical="center"/>
    </xf>
    <xf numFmtId="0" fontId="3" fillId="8" borderId="4" xfId="0" applyFont="1" applyFill="1" applyBorder="1" applyAlignment="1" applyProtection="1">
      <alignment vertical="center"/>
    </xf>
    <xf numFmtId="0" fontId="3" fillId="8" borderId="4" xfId="0" applyFont="1" applyFill="1" applyBorder="1" applyAlignment="1" applyProtection="1">
      <alignment horizontal="right" vertical="center"/>
    </xf>
    <xf numFmtId="0" fontId="3" fillId="8" borderId="4" xfId="0" applyNumberFormat="1" applyFont="1" applyFill="1" applyBorder="1" applyAlignment="1" applyProtection="1">
      <alignment horizontal="right" vertical="center"/>
    </xf>
    <xf numFmtId="0" fontId="3" fillId="8" borderId="16" xfId="0" applyFont="1" applyFill="1" applyBorder="1" applyAlignment="1" applyProtection="1">
      <alignment vertical="center"/>
    </xf>
    <xf numFmtId="0" fontId="22" fillId="8" borderId="0" xfId="0" applyFont="1" applyFill="1" applyBorder="1" applyAlignment="1" applyProtection="1">
      <alignment vertical="center"/>
    </xf>
    <xf numFmtId="0" fontId="45" fillId="8" borderId="62" xfId="0" applyFont="1" applyFill="1" applyBorder="1" applyProtection="1"/>
    <xf numFmtId="0" fontId="45" fillId="8" borderId="38" xfId="0" applyFont="1" applyFill="1" applyBorder="1" applyProtection="1"/>
    <xf numFmtId="0" fontId="3" fillId="8" borderId="62" xfId="0" applyFont="1" applyFill="1" applyBorder="1" applyAlignment="1" applyProtection="1">
      <alignment horizontal="right"/>
    </xf>
    <xf numFmtId="0" fontId="3" fillId="0" borderId="0" xfId="0" applyFont="1" applyFill="1" applyBorder="1" applyAlignment="1" applyProtection="1">
      <alignment horizontal="right"/>
    </xf>
    <xf numFmtId="0" fontId="49" fillId="12" borderId="0" xfId="0" applyFont="1" applyFill="1" applyBorder="1" applyAlignment="1" applyProtection="1">
      <alignment horizontal="right"/>
    </xf>
    <xf numFmtId="0" fontId="49" fillId="12" borderId="35" xfId="0" applyFont="1" applyFill="1" applyBorder="1" applyAlignment="1" applyProtection="1">
      <alignment horizontal="right"/>
    </xf>
    <xf numFmtId="0" fontId="17" fillId="12" borderId="90" xfId="0" applyFont="1" applyFill="1" applyBorder="1" applyProtection="1"/>
    <xf numFmtId="0" fontId="50" fillId="12" borderId="39" xfId="0" applyFont="1" applyFill="1" applyBorder="1" applyAlignment="1" applyProtection="1">
      <alignment horizontal="right"/>
    </xf>
    <xf numFmtId="0" fontId="3" fillId="0" borderId="0" xfId="0" applyNumberFormat="1" applyFont="1" applyFill="1" applyBorder="1" applyAlignment="1" applyProtection="1">
      <alignment vertical="center"/>
    </xf>
    <xf numFmtId="0" fontId="17" fillId="8" borderId="67" xfId="0" applyFont="1" applyFill="1" applyBorder="1" applyProtection="1"/>
    <xf numFmtId="0" fontId="3" fillId="12" borderId="0" xfId="0" applyFont="1" applyFill="1" applyBorder="1" applyAlignment="1" applyProtection="1">
      <alignment horizontal="right"/>
    </xf>
    <xf numFmtId="0" fontId="3" fillId="12" borderId="23" xfId="0" applyFont="1" applyFill="1" applyBorder="1" applyProtection="1"/>
    <xf numFmtId="0" fontId="3" fillId="0" borderId="0" xfId="0" applyFont="1" applyFill="1" applyBorder="1" applyProtection="1"/>
    <xf numFmtId="0" fontId="79" fillId="8" borderId="0" xfId="0" applyFont="1" applyFill="1" applyBorder="1" applyAlignment="1" applyProtection="1">
      <alignment horizontal="right" vertical="center"/>
    </xf>
    <xf numFmtId="0" fontId="65" fillId="8" borderId="0" xfId="0" applyFont="1" applyFill="1" applyBorder="1" applyAlignment="1" applyProtection="1">
      <alignment horizontal="right" vertical="center"/>
    </xf>
    <xf numFmtId="0" fontId="3" fillId="0" borderId="62" xfId="0" applyFont="1" applyBorder="1"/>
    <xf numFmtId="0" fontId="0" fillId="0" borderId="90" xfId="0" applyBorder="1"/>
    <xf numFmtId="0" fontId="3" fillId="0" borderId="38" xfId="0" applyFont="1" applyBorder="1"/>
    <xf numFmtId="0" fontId="4" fillId="8" borderId="35" xfId="0" applyFont="1" applyFill="1" applyBorder="1" applyAlignment="1" applyProtection="1">
      <alignment horizontal="right"/>
    </xf>
    <xf numFmtId="0" fontId="3" fillId="0" borderId="90" xfId="0" applyNumberFormat="1" applyFont="1" applyFill="1" applyBorder="1" applyAlignment="1" applyProtection="1">
      <alignment vertical="center"/>
    </xf>
    <xf numFmtId="0" fontId="4" fillId="12" borderId="90" xfId="0" applyNumberFormat="1" applyFont="1" applyFill="1" applyBorder="1" applyAlignment="1" applyProtection="1">
      <alignment vertical="center"/>
    </xf>
    <xf numFmtId="0" fontId="3" fillId="8" borderId="38" xfId="0" applyFont="1" applyFill="1" applyBorder="1" applyProtection="1"/>
    <xf numFmtId="0" fontId="4" fillId="0" borderId="39" xfId="0" applyFont="1" applyFill="1" applyBorder="1" applyProtection="1"/>
    <xf numFmtId="0" fontId="3" fillId="0" borderId="39" xfId="0" applyFont="1" applyFill="1" applyBorder="1" applyAlignment="1" applyProtection="1">
      <alignment horizontal="right"/>
    </xf>
    <xf numFmtId="0" fontId="3" fillId="0" borderId="40" xfId="0" applyNumberFormat="1" applyFont="1" applyFill="1" applyBorder="1" applyAlignment="1" applyProtection="1">
      <alignment vertical="center"/>
    </xf>
    <xf numFmtId="167" fontId="3" fillId="0" borderId="39" xfId="0" applyNumberFormat="1" applyFont="1" applyFill="1" applyBorder="1" applyAlignment="1" applyProtection="1">
      <alignment horizontal="right" vertical="center"/>
    </xf>
    <xf numFmtId="0" fontId="3" fillId="12" borderId="0" xfId="0" applyFont="1" applyFill="1" applyBorder="1" applyProtection="1"/>
    <xf numFmtId="1" fontId="3" fillId="12" borderId="35" xfId="0" applyNumberFormat="1" applyFont="1" applyFill="1" applyBorder="1" applyProtection="1"/>
    <xf numFmtId="0" fontId="3" fillId="12" borderId="64" xfId="0" applyFont="1" applyFill="1" applyBorder="1" applyProtection="1"/>
    <xf numFmtId="0" fontId="3" fillId="12" borderId="0" xfId="0" applyFont="1" applyFill="1" applyBorder="1" applyAlignment="1" applyProtection="1"/>
    <xf numFmtId="0" fontId="3" fillId="12" borderId="90" xfId="0" applyFont="1" applyFill="1" applyBorder="1" applyProtection="1"/>
    <xf numFmtId="0" fontId="4" fillId="15" borderId="39" xfId="0" applyFont="1" applyFill="1" applyBorder="1" applyAlignment="1" applyProtection="1">
      <protection locked="0"/>
    </xf>
    <xf numFmtId="0" fontId="4" fillId="12" borderId="40" xfId="0" applyFont="1" applyFill="1" applyBorder="1" applyProtection="1"/>
    <xf numFmtId="167" fontId="3" fillId="12" borderId="0" xfId="0" applyNumberFormat="1" applyFont="1" applyFill="1" applyBorder="1" applyProtection="1"/>
    <xf numFmtId="0" fontId="4" fillId="8" borderId="90" xfId="0" applyFont="1" applyFill="1" applyBorder="1" applyAlignment="1" applyProtection="1">
      <alignment vertical="center"/>
    </xf>
    <xf numFmtId="0" fontId="3" fillId="8" borderId="90" xfId="0" applyNumberFormat="1" applyFont="1" applyFill="1" applyBorder="1" applyAlignment="1" applyProtection="1">
      <alignment horizontal="left" vertical="center"/>
    </xf>
    <xf numFmtId="0" fontId="3" fillId="8" borderId="90" xfId="0" applyFont="1" applyFill="1" applyBorder="1" applyAlignment="1" applyProtection="1">
      <alignment vertical="center"/>
    </xf>
    <xf numFmtId="0" fontId="3" fillId="8" borderId="35" xfId="0" applyNumberFormat="1" applyFont="1" applyFill="1" applyBorder="1" applyAlignment="1" applyProtection="1">
      <alignment horizontal="right" vertical="center"/>
    </xf>
    <xf numFmtId="0" fontId="3" fillId="8" borderId="39" xfId="0" applyNumberFormat="1" applyFont="1" applyFill="1" applyBorder="1" applyAlignment="1" applyProtection="1">
      <alignment horizontal="right" vertical="center"/>
    </xf>
    <xf numFmtId="0" fontId="3" fillId="8" borderId="40" xfId="0" applyNumberFormat="1" applyFont="1" applyFill="1" applyBorder="1" applyAlignment="1" applyProtection="1">
      <alignment horizontal="left" vertical="center"/>
    </xf>
    <xf numFmtId="0" fontId="3" fillId="8" borderId="62" xfId="0" applyFont="1" applyFill="1" applyBorder="1" applyAlignment="1" applyProtection="1">
      <alignment horizontal="right" vertical="center"/>
    </xf>
    <xf numFmtId="0" fontId="3" fillId="12" borderId="35" xfId="0" applyNumberFormat="1" applyFont="1" applyFill="1" applyBorder="1" applyAlignment="1" applyProtection="1">
      <alignment horizontal="right" vertical="center"/>
    </xf>
    <xf numFmtId="0" fontId="3" fillId="12" borderId="35" xfId="0" applyFont="1" applyFill="1" applyBorder="1" applyAlignment="1" applyProtection="1">
      <alignment vertical="center"/>
    </xf>
    <xf numFmtId="0" fontId="3" fillId="12" borderId="35" xfId="0" applyFont="1" applyFill="1" applyBorder="1" applyProtection="1"/>
    <xf numFmtId="0" fontId="3" fillId="8" borderId="22" xfId="0" applyFont="1" applyFill="1" applyBorder="1" applyAlignment="1" applyProtection="1">
      <alignment horizontal="right" vertical="center"/>
    </xf>
    <xf numFmtId="0" fontId="3" fillId="8" borderId="90" xfId="0" applyFont="1" applyFill="1" applyBorder="1" applyProtection="1"/>
    <xf numFmtId="165" fontId="17" fillId="8" borderId="39" xfId="0" applyNumberFormat="1" applyFont="1" applyFill="1" applyBorder="1" applyProtection="1"/>
    <xf numFmtId="2" fontId="3" fillId="8" borderId="39" xfId="0" applyNumberFormat="1" applyFont="1" applyFill="1" applyBorder="1" applyProtection="1"/>
    <xf numFmtId="166" fontId="3" fillId="8" borderId="39" xfId="0" applyNumberFormat="1" applyFont="1" applyFill="1" applyBorder="1" applyAlignment="1" applyProtection="1">
      <alignment horizontal="right" vertical="center"/>
    </xf>
    <xf numFmtId="0" fontId="3" fillId="8" borderId="76" xfId="0" applyFont="1" applyFill="1" applyBorder="1" applyProtection="1"/>
    <xf numFmtId="0" fontId="3" fillId="8" borderId="77" xfId="0" applyFont="1" applyFill="1" applyBorder="1" applyProtection="1"/>
    <xf numFmtId="0" fontId="3" fillId="15" borderId="0" xfId="0" applyNumberFormat="1" applyFont="1" applyFill="1" applyBorder="1" applyAlignment="1" applyProtection="1">
      <alignment horizontal="right" vertical="center"/>
      <protection locked="0"/>
    </xf>
    <xf numFmtId="166" fontId="0" fillId="30" borderId="0" xfId="0" applyNumberFormat="1" applyFill="1"/>
    <xf numFmtId="176" fontId="0" fillId="0" borderId="0" xfId="0" applyNumberFormat="1"/>
    <xf numFmtId="0" fontId="3" fillId="15" borderId="35" xfId="0" applyNumberFormat="1" applyFont="1" applyFill="1" applyBorder="1" applyAlignment="1" applyProtection="1">
      <alignment horizontal="right" vertical="center"/>
      <protection locked="0"/>
    </xf>
    <xf numFmtId="0" fontId="4" fillId="8" borderId="64" xfId="0" applyNumberFormat="1" applyFont="1" applyFill="1" applyBorder="1" applyAlignment="1" applyProtection="1">
      <alignment horizontal="left" vertical="center"/>
    </xf>
    <xf numFmtId="0" fontId="4" fillId="8" borderId="90" xfId="0" applyNumberFormat="1" applyFont="1" applyFill="1" applyBorder="1" applyAlignment="1" applyProtection="1">
      <alignment horizontal="left" vertical="center"/>
    </xf>
    <xf numFmtId="0" fontId="65" fillId="8" borderId="0" xfId="0" applyNumberFormat="1" applyFont="1" applyFill="1" applyBorder="1" applyAlignment="1" applyProtection="1">
      <alignment horizontal="right" vertical="center"/>
    </xf>
    <xf numFmtId="0" fontId="18" fillId="8" borderId="64" xfId="0" applyFont="1" applyFill="1" applyBorder="1" applyProtection="1"/>
    <xf numFmtId="0" fontId="18" fillId="8" borderId="90" xfId="0" applyFont="1" applyFill="1" applyBorder="1" applyProtection="1"/>
    <xf numFmtId="0" fontId="17" fillId="8" borderId="90" xfId="0" applyFont="1" applyFill="1" applyBorder="1" applyProtection="1"/>
    <xf numFmtId="0" fontId="3" fillId="8" borderId="38" xfId="0" applyFont="1" applyFill="1" applyBorder="1" applyAlignment="1" applyProtection="1">
      <alignment horizontal="right" vertical="center"/>
    </xf>
    <xf numFmtId="0" fontId="3" fillId="12" borderId="39" xfId="0" applyNumberFormat="1" applyFont="1" applyFill="1" applyBorder="1" applyAlignment="1" applyProtection="1">
      <alignment horizontal="right" vertical="center"/>
    </xf>
    <xf numFmtId="0" fontId="3" fillId="12" borderId="39" xfId="0" applyFont="1" applyFill="1" applyBorder="1" applyAlignment="1" applyProtection="1">
      <alignment vertical="center"/>
    </xf>
    <xf numFmtId="0" fontId="3" fillId="8" borderId="75" xfId="0" applyFont="1" applyFill="1" applyBorder="1" applyProtection="1"/>
    <xf numFmtId="0" fontId="3" fillId="15" borderId="35" xfId="0" applyFont="1" applyFill="1" applyBorder="1" applyProtection="1">
      <protection locked="0"/>
    </xf>
    <xf numFmtId="0" fontId="3" fillId="15" borderId="0" xfId="0" applyFont="1" applyFill="1" applyBorder="1" applyProtection="1">
      <protection locked="0"/>
    </xf>
    <xf numFmtId="0" fontId="65" fillId="8" borderId="0" xfId="0" applyFont="1" applyFill="1" applyBorder="1" applyAlignment="1" applyProtection="1">
      <alignment horizontal="right"/>
    </xf>
    <xf numFmtId="174" fontId="3" fillId="17" borderId="8" xfId="4" applyNumberFormat="1" applyFill="1" applyBorder="1" applyAlignment="1">
      <alignment horizontal="left" vertical="center"/>
    </xf>
    <xf numFmtId="174" fontId="3" fillId="17" borderId="9" xfId="4" applyNumberFormat="1" applyFill="1" applyBorder="1" applyAlignment="1">
      <alignment horizontal="left" vertical="center"/>
    </xf>
    <xf numFmtId="0" fontId="48" fillId="8" borderId="0" xfId="0" applyFont="1" applyFill="1" applyBorder="1" applyProtection="1"/>
    <xf numFmtId="0" fontId="58" fillId="8" borderId="0" xfId="0" applyFont="1" applyFill="1" applyBorder="1" applyProtection="1"/>
    <xf numFmtId="174" fontId="3" fillId="12" borderId="8" xfId="4" applyNumberFormat="1" applyFill="1" applyBorder="1" applyAlignment="1">
      <alignment horizontal="left" vertical="center"/>
    </xf>
    <xf numFmtId="180" fontId="3" fillId="17" borderId="8" xfId="4" applyNumberFormat="1" applyFill="1" applyBorder="1" applyAlignment="1">
      <alignment horizontal="left" vertical="center"/>
    </xf>
    <xf numFmtId="180" fontId="3" fillId="17" borderId="9" xfId="4" applyNumberFormat="1" applyFill="1" applyBorder="1" applyAlignment="1">
      <alignment horizontal="left" vertical="center"/>
    </xf>
    <xf numFmtId="1" fontId="3" fillId="17" borderId="11" xfId="4" applyNumberFormat="1" applyFill="1" applyBorder="1" applyAlignment="1">
      <alignment horizontal="center" vertical="center"/>
    </xf>
    <xf numFmtId="181" fontId="3" fillId="12" borderId="11" xfId="4" applyNumberFormat="1" applyFill="1" applyBorder="1" applyAlignment="1">
      <alignment horizontal="center" vertical="center"/>
    </xf>
    <xf numFmtId="182" fontId="3" fillId="12" borderId="9" xfId="4" applyNumberFormat="1" applyFill="1" applyBorder="1" applyAlignment="1">
      <alignment horizontal="left" vertical="center"/>
    </xf>
    <xf numFmtId="172" fontId="3" fillId="17" borderId="11" xfId="4" applyNumberFormat="1" applyFill="1" applyBorder="1" applyAlignment="1">
      <alignment horizontal="center" vertical="center"/>
    </xf>
    <xf numFmtId="11" fontId="0" fillId="0" borderId="0" xfId="0" applyNumberFormat="1"/>
    <xf numFmtId="0" fontId="58" fillId="0" borderId="0" xfId="0" applyFont="1" applyFill="1" applyBorder="1"/>
    <xf numFmtId="0" fontId="58" fillId="0" borderId="0" xfId="0" applyFont="1"/>
    <xf numFmtId="0" fontId="3" fillId="12" borderId="23" xfId="0" applyFont="1" applyFill="1" applyBorder="1" applyAlignment="1" applyProtection="1">
      <alignment vertical="center"/>
    </xf>
    <xf numFmtId="167" fontId="49" fillId="12" borderId="0" xfId="0" applyNumberFormat="1" applyFont="1" applyFill="1" applyBorder="1" applyAlignment="1" applyProtection="1">
      <alignment horizontal="right" vertical="center"/>
    </xf>
    <xf numFmtId="167" fontId="3" fillId="8" borderId="0" xfId="0" applyNumberFormat="1" applyFont="1" applyFill="1" applyBorder="1" applyAlignment="1" applyProtection="1">
      <alignment horizontal="right" vertical="center"/>
    </xf>
    <xf numFmtId="0" fontId="81" fillId="4" borderId="76" xfId="4" applyFont="1" applyFill="1" applyBorder="1" applyAlignment="1">
      <alignment horizontal="center" vertical="top" shrinkToFit="1"/>
    </xf>
    <xf numFmtId="0" fontId="3" fillId="4" borderId="75" xfId="4" applyFill="1" applyBorder="1" applyAlignment="1">
      <alignment horizontal="center" vertical="top" shrinkToFit="1"/>
    </xf>
    <xf numFmtId="0" fontId="3" fillId="4" borderId="77" xfId="4" applyFill="1" applyBorder="1" applyAlignment="1">
      <alignment horizontal="center" vertical="top" shrinkToFit="1"/>
    </xf>
    <xf numFmtId="0" fontId="81" fillId="4" borderId="76" xfId="4" applyFont="1" applyFill="1" applyBorder="1" applyAlignment="1">
      <alignment horizontal="center" vertical="top"/>
    </xf>
    <xf numFmtId="0" fontId="81" fillId="4" borderId="82" xfId="4" applyFont="1" applyFill="1" applyBorder="1" applyAlignment="1">
      <alignment horizontal="center" vertical="top"/>
    </xf>
    <xf numFmtId="0" fontId="81" fillId="4" borderId="65" xfId="4" applyFont="1" applyFill="1" applyBorder="1" applyAlignment="1">
      <alignment horizontal="center"/>
    </xf>
    <xf numFmtId="0" fontId="81" fillId="4" borderId="78" xfId="4" applyFont="1" applyFill="1" applyBorder="1" applyAlignment="1">
      <alignment horizontal="center"/>
    </xf>
    <xf numFmtId="0" fontId="81" fillId="4" borderId="66" xfId="4" applyFont="1" applyFill="1" applyBorder="1" applyAlignment="1">
      <alignment horizontal="center"/>
    </xf>
    <xf numFmtId="0" fontId="81" fillId="4" borderId="43" xfId="4" applyFont="1" applyFill="1" applyBorder="1" applyAlignment="1">
      <alignment horizontal="center"/>
    </xf>
    <xf numFmtId="0" fontId="81" fillId="4" borderId="81" xfId="4" applyFont="1" applyFill="1" applyBorder="1" applyAlignment="1">
      <alignment horizontal="center"/>
    </xf>
    <xf numFmtId="0" fontId="4" fillId="0" borderId="65" xfId="4" applyFont="1" applyBorder="1" applyAlignment="1">
      <alignment horizontal="center"/>
    </xf>
    <xf numFmtId="0" fontId="4" fillId="0" borderId="78" xfId="4" applyFont="1" applyBorder="1" applyAlignment="1">
      <alignment horizontal="center"/>
    </xf>
    <xf numFmtId="0" fontId="3" fillId="0" borderId="78" xfId="4" applyFont="1" applyBorder="1" applyAlignment="1">
      <alignment horizontal="center"/>
    </xf>
    <xf numFmtId="0" fontId="3" fillId="0" borderId="66" xfId="4" applyFont="1" applyBorder="1" applyAlignment="1">
      <alignment horizontal="center"/>
    </xf>
    <xf numFmtId="0" fontId="4" fillId="0" borderId="66" xfId="4" applyFont="1" applyBorder="1" applyAlignment="1">
      <alignment horizontal="center"/>
    </xf>
    <xf numFmtId="0" fontId="3" fillId="4" borderId="47" xfId="4" applyFill="1" applyBorder="1" applyAlignment="1">
      <alignment horizontal="center"/>
    </xf>
    <xf numFmtId="0" fontId="3" fillId="4" borderId="81" xfId="4" applyFill="1" applyBorder="1" applyAlignment="1">
      <alignment horizontal="center"/>
    </xf>
    <xf numFmtId="0" fontId="4" fillId="4" borderId="43" xfId="4" applyFont="1" applyFill="1" applyBorder="1" applyAlignment="1"/>
    <xf numFmtId="0" fontId="4" fillId="4" borderId="81" xfId="4" applyFont="1" applyFill="1" applyBorder="1" applyAlignment="1"/>
    <xf numFmtId="0" fontId="4" fillId="0" borderId="17" xfId="4" applyFont="1" applyBorder="1" applyAlignment="1">
      <alignment horizontal="center"/>
    </xf>
    <xf numFmtId="0" fontId="4" fillId="0" borderId="11" xfId="4" applyFont="1" applyBorder="1" applyAlignment="1">
      <alignment horizontal="center"/>
    </xf>
    <xf numFmtId="0" fontId="4" fillId="0" borderId="79" xfId="4" applyFont="1" applyBorder="1" applyAlignment="1">
      <alignment horizontal="center"/>
    </xf>
    <xf numFmtId="0" fontId="4" fillId="0" borderId="80" xfId="4" applyFont="1" applyBorder="1" applyAlignment="1">
      <alignment horizontal="center"/>
    </xf>
    <xf numFmtId="0" fontId="4" fillId="0" borderId="83" xfId="4" applyFont="1" applyBorder="1" applyAlignment="1">
      <alignment horizontal="center"/>
    </xf>
    <xf numFmtId="0" fontId="4" fillId="0" borderId="0" xfId="0" applyFont="1" applyAlignment="1">
      <alignment horizontal="center"/>
    </xf>
    <xf numFmtId="0" fontId="5" fillId="3" borderId="0" xfId="0" applyFont="1" applyFill="1" applyAlignment="1">
      <alignment horizontal="left"/>
    </xf>
    <xf numFmtId="0" fontId="13" fillId="3" borderId="0" xfId="4" applyFont="1" applyFill="1" applyAlignment="1">
      <alignment horizontal="left" vertical="center"/>
    </xf>
    <xf numFmtId="0" fontId="23" fillId="21" borderId="0" xfId="4" applyFont="1" applyFill="1" applyBorder="1" applyAlignment="1" applyProtection="1">
      <alignment horizontal="center" vertical="center"/>
    </xf>
    <xf numFmtId="0" fontId="4" fillId="0" borderId="0" xfId="4" applyFont="1" applyAlignment="1">
      <alignment horizontal="left" vertical="center" wrapText="1"/>
    </xf>
    <xf numFmtId="0" fontId="4" fillId="4" borderId="65" xfId="4" applyFont="1" applyFill="1" applyBorder="1" applyAlignment="1">
      <alignment horizontal="left"/>
    </xf>
    <xf numFmtId="0" fontId="4" fillId="4" borderId="71" xfId="4" applyFont="1" applyFill="1" applyBorder="1" applyAlignment="1">
      <alignment horizontal="left"/>
    </xf>
    <xf numFmtId="0" fontId="4" fillId="4" borderId="46" xfId="4" applyFont="1" applyFill="1" applyBorder="1" applyAlignment="1">
      <alignment horizontal="left"/>
    </xf>
    <xf numFmtId="0" fontId="4" fillId="4" borderId="66" xfId="4" applyFont="1" applyFill="1" applyBorder="1" applyAlignment="1">
      <alignment horizontal="left"/>
    </xf>
    <xf numFmtId="0" fontId="4" fillId="4" borderId="78" xfId="4" applyFont="1" applyFill="1" applyBorder="1" applyAlignment="1">
      <alignment horizontal="left"/>
    </xf>
    <xf numFmtId="182" fontId="3" fillId="12" borderId="8" xfId="4" applyNumberFormat="1" applyFill="1" applyBorder="1" applyAlignment="1">
      <alignment horizontal="left" vertical="center"/>
    </xf>
    <xf numFmtId="182" fontId="3" fillId="12" borderId="9" xfId="4" applyNumberFormat="1" applyFill="1" applyBorder="1" applyAlignment="1">
      <alignment horizontal="left" vertical="center"/>
    </xf>
    <xf numFmtId="0" fontId="75" fillId="8" borderId="0" xfId="4" applyFont="1" applyFill="1" applyAlignment="1">
      <alignment horizontal="right" wrapText="1"/>
    </xf>
    <xf numFmtId="177" fontId="3" fillId="16" borderId="8" xfId="4" applyNumberFormat="1" applyFill="1" applyBorder="1" applyAlignment="1">
      <alignment horizontal="left" vertical="center"/>
    </xf>
    <xf numFmtId="177" fontId="3" fillId="16" borderId="9" xfId="4" applyNumberFormat="1" applyFill="1" applyBorder="1" applyAlignment="1">
      <alignment horizontal="left" vertical="center"/>
    </xf>
    <xf numFmtId="173" fontId="3" fillId="17" borderId="8" xfId="4" applyNumberFormat="1" applyFill="1" applyBorder="1" applyAlignment="1">
      <alignment horizontal="left" vertical="center" wrapText="1"/>
    </xf>
    <xf numFmtId="173" fontId="3" fillId="17" borderId="9" xfId="4" applyNumberFormat="1" applyFill="1" applyBorder="1" applyAlignment="1">
      <alignment horizontal="left" vertical="center" wrapText="1"/>
    </xf>
    <xf numFmtId="173" fontId="3" fillId="17" borderId="15" xfId="4" applyNumberFormat="1" applyFill="1" applyBorder="1" applyAlignment="1">
      <alignment horizontal="left" vertical="center" wrapText="1"/>
    </xf>
    <xf numFmtId="180" fontId="3" fillId="12" borderId="8" xfId="4" applyNumberFormat="1" applyFill="1" applyBorder="1" applyAlignment="1">
      <alignment horizontal="left" vertical="center"/>
    </xf>
    <xf numFmtId="180" fontId="3" fillId="12" borderId="9" xfId="4" applyNumberFormat="1" applyFill="1" applyBorder="1" applyAlignment="1">
      <alignment horizontal="left" vertical="center"/>
    </xf>
    <xf numFmtId="182" fontId="3" fillId="12" borderId="8" xfId="4" quotePrefix="1" applyNumberFormat="1" applyFill="1" applyBorder="1" applyAlignment="1">
      <alignment horizontal="left" vertical="center"/>
    </xf>
    <xf numFmtId="0" fontId="54" fillId="3" borderId="69" xfId="4" applyFont="1" applyFill="1" applyBorder="1" applyAlignment="1">
      <alignment horizontal="center" vertical="center"/>
    </xf>
    <xf numFmtId="0" fontId="54" fillId="3" borderId="71" xfId="4" applyFont="1" applyFill="1" applyBorder="1" applyAlignment="1">
      <alignment horizontal="center" vertical="center"/>
    </xf>
    <xf numFmtId="0" fontId="54" fillId="3" borderId="72" xfId="4" applyFont="1" applyFill="1" applyBorder="1" applyAlignment="1">
      <alignment horizontal="center" vertical="center"/>
    </xf>
    <xf numFmtId="174" fontId="3" fillId="12" borderId="8" xfId="4" applyNumberFormat="1" applyFill="1" applyBorder="1" applyAlignment="1">
      <alignment horizontal="left" vertical="center"/>
    </xf>
    <xf numFmtId="174" fontId="3" fillId="12" borderId="9" xfId="4" applyNumberFormat="1" applyFill="1" applyBorder="1" applyAlignment="1">
      <alignment horizontal="left" vertical="center"/>
    </xf>
    <xf numFmtId="179" fontId="3" fillId="16" borderId="8" xfId="4" applyNumberFormat="1" applyFill="1" applyBorder="1" applyAlignment="1">
      <alignment horizontal="left" vertical="center"/>
    </xf>
    <xf numFmtId="179" fontId="3" fillId="16" borderId="9" xfId="4" applyNumberFormat="1" applyFill="1" applyBorder="1" applyAlignment="1">
      <alignment horizontal="left" vertical="center"/>
    </xf>
    <xf numFmtId="174" fontId="3" fillId="17" borderId="8" xfId="4" applyNumberFormat="1" applyFill="1" applyBorder="1" applyAlignment="1">
      <alignment horizontal="left" vertical="center"/>
    </xf>
    <xf numFmtId="174" fontId="3" fillId="17" borderId="9" xfId="4" applyNumberFormat="1" applyFill="1" applyBorder="1" applyAlignment="1">
      <alignment horizontal="left" vertical="center"/>
    </xf>
    <xf numFmtId="0" fontId="40" fillId="12" borderId="22" xfId="0" applyFont="1" applyFill="1" applyBorder="1" applyAlignment="1" applyProtection="1">
      <alignment horizontal="left" vertical="center"/>
    </xf>
    <xf numFmtId="0" fontId="40" fillId="12" borderId="0" xfId="0" applyFont="1" applyFill="1" applyBorder="1" applyAlignment="1" applyProtection="1">
      <alignment horizontal="left" vertical="center"/>
    </xf>
  </cellXfs>
  <cellStyles count="8">
    <cellStyle name="Comma" xfId="2" builtinId="3"/>
    <cellStyle name="Comma 2" xfId="6" xr:uid="{00000000-0005-0000-0000-000001000000}"/>
    <cellStyle name="Hyperlink" xfId="3" builtinId="8"/>
    <cellStyle name="Normal" xfId="0" builtinId="0"/>
    <cellStyle name="Normal 2" xfId="4" xr:uid="{00000000-0005-0000-0000-000004000000}"/>
    <cellStyle name="Normal 3" xfId="5" xr:uid="{00000000-0005-0000-0000-000005000000}"/>
    <cellStyle name="Percent" xfId="7" builtinId="5"/>
    <cellStyle name="RowLevel_1" xfId="1" builtinId="1" iLevel="0"/>
  </cellStyles>
  <dxfs count="76">
    <dxf>
      <border>
        <left style="thin">
          <color indexed="64"/>
        </left>
        <right style="thin">
          <color indexed="64"/>
        </right>
        <top style="thin">
          <color indexed="64"/>
        </top>
        <bottom style="thin">
          <color indexed="64"/>
        </bottom>
      </border>
    </dxf>
    <dxf>
      <font>
        <color rgb="FFFFFF99"/>
      </font>
    </dxf>
    <dxf>
      <font>
        <color theme="0"/>
      </font>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font>
      <fill>
        <patternFill>
          <bgColor theme="0"/>
        </patternFill>
      </fill>
      <border>
        <right/>
        <top/>
        <bottom/>
        <vertical/>
        <horizontal/>
      </border>
    </dxf>
    <dxf>
      <font>
        <color theme="0"/>
      </font>
      <fill>
        <patternFill>
          <bgColor theme="0"/>
        </patternFill>
      </fill>
      <border>
        <right/>
        <top/>
        <bottom/>
        <vertical/>
        <horizontal/>
      </border>
    </dxf>
    <dxf>
      <font>
        <color rgb="FFFF0000"/>
      </font>
    </dxf>
    <dxf>
      <font>
        <color theme="0"/>
      </font>
      <fill>
        <patternFill>
          <bgColor theme="0"/>
        </patternFill>
      </fill>
      <border>
        <right/>
        <top/>
        <bottom/>
        <vertical/>
        <horizontal/>
      </border>
    </dxf>
    <dxf>
      <font>
        <color rgb="FFFF0000"/>
      </font>
    </dxf>
    <dxf>
      <font>
        <strike val="0"/>
        <color theme="0"/>
      </font>
      <fill>
        <patternFill>
          <bgColor rgb="FFFF0000"/>
        </patternFill>
      </fill>
    </dxf>
    <dxf>
      <font>
        <color rgb="FFFF0000"/>
      </font>
    </dxf>
    <dxf>
      <font>
        <b/>
        <i val="0"/>
        <color theme="0"/>
      </font>
      <fill>
        <patternFill patternType="solid">
          <fgColor auto="1"/>
          <bgColor rgb="FFFF0000"/>
        </patternFill>
      </fill>
    </dxf>
    <dxf>
      <font>
        <color rgb="FFFF0000"/>
      </font>
    </dxf>
    <dxf>
      <font>
        <color rgb="FFFF0000"/>
      </font>
    </dxf>
    <dxf>
      <font>
        <color rgb="FFFF0000"/>
      </font>
    </dxf>
    <dxf>
      <font>
        <strike val="0"/>
        <color theme="0"/>
      </font>
      <fill>
        <patternFill>
          <bgColor rgb="FFFF0000"/>
        </patternFill>
      </fill>
    </dxf>
    <dxf>
      <font>
        <color theme="0"/>
      </font>
      <fill>
        <patternFill>
          <bgColor theme="0"/>
        </patternFill>
      </fill>
    </dxf>
    <dxf>
      <font>
        <b/>
        <i val="0"/>
        <color rgb="FFFF0000"/>
      </font>
    </dxf>
    <dxf>
      <font>
        <strike/>
        <color rgb="FFFF0000"/>
      </font>
    </dxf>
    <dxf>
      <border>
        <top/>
        <bottom/>
        <vertical/>
        <horizontal/>
      </border>
    </dxf>
    <dxf>
      <border>
        <left/>
        <right/>
        <top/>
        <bottom/>
        <vertical/>
        <horizontal/>
      </border>
    </dxf>
    <dxf>
      <font>
        <color theme="0"/>
      </font>
      <fill>
        <patternFill>
          <bgColor theme="0"/>
        </patternFill>
      </fill>
      <border>
        <right/>
        <top/>
        <bottom/>
      </border>
    </dxf>
    <dxf>
      <border>
        <bottom/>
        <vertical/>
        <horizontal/>
      </border>
    </dxf>
    <dxf>
      <border>
        <bottom/>
        <vertical/>
        <horizontal/>
      </border>
    </dxf>
    <dxf>
      <border>
        <right/>
        <vertical/>
        <horizontal/>
      </border>
    </dxf>
    <dxf>
      <border>
        <bottom/>
        <vertical/>
        <horizontal/>
      </border>
    </dxf>
    <dxf>
      <font>
        <strike val="0"/>
        <color theme="0"/>
      </font>
      <fill>
        <patternFill>
          <bgColor theme="0"/>
        </patternFill>
      </fill>
    </dxf>
    <dxf>
      <font>
        <strike/>
        <color rgb="FFFF0000"/>
      </font>
    </dxf>
    <dxf>
      <font>
        <strike/>
        <color rgb="FFFF0000"/>
      </font>
    </dxf>
    <dxf>
      <font>
        <strike/>
        <color rgb="FFFF5050"/>
      </font>
    </dxf>
    <dxf>
      <font>
        <strike/>
        <color rgb="FFFF0000"/>
      </font>
    </dxf>
    <dxf>
      <font>
        <strike/>
        <color rgb="FFFF0000"/>
      </font>
    </dxf>
    <dxf>
      <font>
        <strike/>
        <color rgb="FFFF0000"/>
      </font>
    </dxf>
    <dxf>
      <font>
        <color theme="0"/>
      </font>
      <border>
        <bottom style="thin">
          <color auto="1"/>
        </bottom>
        <vertical/>
        <horizontal/>
      </border>
    </dxf>
    <dxf>
      <font>
        <color theme="0"/>
      </font>
    </dxf>
    <dxf>
      <font>
        <color theme="0"/>
      </font>
      <fill>
        <patternFill>
          <bgColor theme="0"/>
        </patternFill>
      </fill>
    </dxf>
    <dxf>
      <font>
        <strike/>
        <color rgb="FFFF0000"/>
      </font>
    </dxf>
    <dxf>
      <font>
        <strike/>
        <color rgb="FFFF0000"/>
      </font>
    </dxf>
    <dxf>
      <font>
        <strike/>
        <color rgb="FFFF0000"/>
      </font>
    </dxf>
    <dxf>
      <font>
        <strike/>
        <color rgb="FFFF0000"/>
      </font>
    </dxf>
    <dxf>
      <font>
        <strike/>
        <color rgb="FFFF0000"/>
      </font>
    </dxf>
    <dxf>
      <font>
        <b/>
        <i val="0"/>
        <condense val="0"/>
        <extend val="0"/>
        <color indexed="10"/>
      </font>
    </dxf>
    <dxf>
      <font>
        <color rgb="FFFF0000"/>
      </font>
    </dxf>
    <dxf>
      <font>
        <color rgb="FFFF0000"/>
      </font>
    </dxf>
    <dxf>
      <font>
        <color rgb="FFFF0000"/>
      </font>
    </dxf>
    <dxf>
      <font>
        <color theme="0"/>
      </font>
      <fill>
        <patternFill>
          <bgColor theme="0"/>
        </patternFill>
      </fill>
    </dxf>
    <dxf>
      <font>
        <b/>
        <i val="0"/>
        <color rgb="FFC00000"/>
      </font>
    </dxf>
    <dxf>
      <font>
        <color rgb="FFFF0000"/>
      </font>
    </dxf>
    <dxf>
      <font>
        <strike/>
        <color rgb="FFFF0000"/>
      </font>
    </dxf>
    <dxf>
      <font>
        <b/>
        <i val="0"/>
        <color rgb="FFFF0000"/>
      </font>
    </dxf>
    <dxf>
      <font>
        <b/>
        <i val="0"/>
        <condense val="0"/>
        <extend val="0"/>
        <color indexed="12"/>
      </font>
    </dxf>
    <dxf>
      <font>
        <b/>
        <i val="0"/>
        <condense val="0"/>
        <extend val="0"/>
        <color indexed="10"/>
      </font>
    </dxf>
    <dxf>
      <font>
        <color rgb="FFFF0000"/>
      </font>
    </dxf>
    <dxf>
      <font>
        <color theme="0"/>
      </font>
      <fill>
        <patternFill>
          <bgColor theme="0"/>
        </patternFill>
      </fill>
      <border>
        <right style="thin">
          <color auto="1"/>
        </right>
        <vertical/>
        <horizontal/>
      </border>
    </dxf>
    <dxf>
      <font>
        <color rgb="FFFF0000"/>
      </font>
    </dxf>
    <dxf>
      <font>
        <color rgb="FFFF0000"/>
      </font>
    </dxf>
    <dxf>
      <font>
        <color rgb="FFFF0000"/>
      </font>
    </dxf>
    <dxf>
      <font>
        <b/>
        <i val="0"/>
        <color rgb="FFC00000"/>
      </font>
    </dxf>
    <dxf>
      <font>
        <color theme="0"/>
      </font>
    </dxf>
    <dxf>
      <font>
        <b/>
        <i val="0"/>
        <color rgb="FFC00000"/>
      </font>
    </dxf>
    <dxf>
      <font>
        <color theme="0"/>
      </font>
      <fill>
        <patternFill>
          <bgColor theme="0"/>
        </patternFill>
      </fill>
    </dxf>
    <dxf>
      <font>
        <color rgb="FFFF0000"/>
      </font>
    </dxf>
    <dxf>
      <font>
        <color rgb="FFFF0000"/>
      </font>
    </dxf>
    <dxf>
      <font>
        <color rgb="FFFF0000"/>
      </font>
    </dxf>
    <dxf>
      <font>
        <color rgb="FFFF0000"/>
      </font>
    </dxf>
    <dxf>
      <font>
        <color rgb="FFFF0000"/>
      </font>
    </dxf>
    <dxf>
      <font>
        <b/>
        <i val="0"/>
        <color rgb="FFFF0000"/>
      </font>
    </dxf>
  </dxfs>
  <tableStyles count="0" defaultTableStyle="TableStyleMedium9" defaultPivotStyle="PivotStyleLight16"/>
  <colors>
    <mruColors>
      <color rgb="FFFF5050"/>
      <color rgb="FF0000FF"/>
      <color rgb="FFFFFF99"/>
      <color rgb="FF33CC33"/>
      <color rgb="FFFF9900"/>
      <color rgb="FFCCFFFF"/>
      <color rgb="FF66FFFF"/>
      <color rgb="FF00FFFF"/>
      <color rgb="FFEE6112"/>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sz="1400" b="1" i="0" u="none" strike="noStrike" baseline="0">
                <a:solidFill>
                  <a:srgbClr val="000000"/>
                </a:solidFill>
                <a:latin typeface="Arial"/>
                <a:ea typeface="Arial"/>
                <a:cs typeface="Arial"/>
              </a:defRPr>
            </a:pPr>
            <a:r>
              <a:rPr lang="en-US" sz="1400"/>
              <a:t>Bode Plot, V</a:t>
            </a:r>
            <a:r>
              <a:rPr lang="en-US" sz="1400" baseline="-25000"/>
              <a:t>IN</a:t>
            </a:r>
            <a:r>
              <a:rPr lang="en-US" sz="1400"/>
              <a:t> = V</a:t>
            </a:r>
            <a:r>
              <a:rPr lang="en-US" sz="1400" baseline="-25000"/>
              <a:t>IN(nom)</a:t>
            </a:r>
          </a:p>
        </c:rich>
      </c:tx>
      <c:layout>
        <c:manualLayout>
          <c:xMode val="edge"/>
          <c:yMode val="edge"/>
          <c:x val="4.6802568469568491E-2"/>
          <c:y val="1.6752897184919666E-2"/>
        </c:manualLayout>
      </c:layout>
      <c:overlay val="0"/>
      <c:spPr>
        <a:noFill/>
        <a:ln w="25400">
          <a:noFill/>
        </a:ln>
      </c:spPr>
    </c:title>
    <c:autoTitleDeleted val="0"/>
    <c:plotArea>
      <c:layout/>
      <c:scatterChart>
        <c:scatterStyle val="smoothMarker"/>
        <c:varyColors val="0"/>
        <c:ser>
          <c:idx val="0"/>
          <c:order val="0"/>
          <c:tx>
            <c:strRef>
              <c:f>'Stability Calculations'!$W$12</c:f>
              <c:strCache>
                <c:ptCount val="1"/>
                <c:pt idx="0">
                  <c:v>Gain (dB)</c:v>
                </c:pt>
              </c:strCache>
            </c:strRef>
          </c:tx>
          <c:spPr>
            <a:ln w="25400">
              <a:solidFill>
                <a:srgbClr val="FF0000"/>
              </a:solidFill>
              <a:prstDash val="solid"/>
            </a:ln>
          </c:spPr>
          <c:marker>
            <c:symbol val="none"/>
          </c:marker>
          <c:dLbls>
            <c:delete val="1"/>
          </c:dLbls>
          <c:xVal>
            <c:numRef>
              <c:f>'Stability Calculations'!$G$13:$G$613</c:f>
              <c:numCache>
                <c:formatCode>General</c:formatCode>
                <c:ptCount val="601"/>
                <c:pt idx="0">
                  <c:v>1</c:v>
                </c:pt>
                <c:pt idx="1">
                  <c:v>1.0965</c:v>
                </c:pt>
                <c:pt idx="2">
                  <c:v>1.2022999999999999</c:v>
                </c:pt>
                <c:pt idx="3">
                  <c:v>1.3183</c:v>
                </c:pt>
                <c:pt idx="4">
                  <c:v>1.4454</c:v>
                </c:pt>
                <c:pt idx="5">
                  <c:v>1.5849</c:v>
                </c:pt>
                <c:pt idx="6">
                  <c:v>1.7378</c:v>
                </c:pt>
                <c:pt idx="7">
                  <c:v>1.9055</c:v>
                </c:pt>
                <c:pt idx="8">
                  <c:v>2.0893000000000002</c:v>
                </c:pt>
                <c:pt idx="9">
                  <c:v>2.2909000000000002</c:v>
                </c:pt>
                <c:pt idx="10">
                  <c:v>2.5118999999999998</c:v>
                </c:pt>
                <c:pt idx="11">
                  <c:v>2.7542</c:v>
                </c:pt>
                <c:pt idx="12">
                  <c:v>3.02</c:v>
                </c:pt>
                <c:pt idx="13">
                  <c:v>3.3113000000000001</c:v>
                </c:pt>
                <c:pt idx="14">
                  <c:v>3.6307999999999998</c:v>
                </c:pt>
                <c:pt idx="15">
                  <c:v>3.9811000000000001</c:v>
                </c:pt>
                <c:pt idx="16">
                  <c:v>4.3651999999999997</c:v>
                </c:pt>
                <c:pt idx="17">
                  <c:v>4.7862999999999998</c:v>
                </c:pt>
                <c:pt idx="18">
                  <c:v>5.2481</c:v>
                </c:pt>
                <c:pt idx="19">
                  <c:v>5.7544000000000004</c:v>
                </c:pt>
                <c:pt idx="20">
                  <c:v>6.3095999999999997</c:v>
                </c:pt>
                <c:pt idx="21">
                  <c:v>6.9183000000000003</c:v>
                </c:pt>
                <c:pt idx="22">
                  <c:v>7.5857999999999999</c:v>
                </c:pt>
                <c:pt idx="23">
                  <c:v>8.3176000000000005</c:v>
                </c:pt>
                <c:pt idx="24">
                  <c:v>9.1201000000000008</c:v>
                </c:pt>
                <c:pt idx="25">
                  <c:v>10</c:v>
                </c:pt>
                <c:pt idx="26">
                  <c:v>10.965</c:v>
                </c:pt>
                <c:pt idx="27">
                  <c:v>12.023</c:v>
                </c:pt>
                <c:pt idx="28">
                  <c:v>13.183</c:v>
                </c:pt>
                <c:pt idx="29">
                  <c:v>14.454000000000001</c:v>
                </c:pt>
                <c:pt idx="30">
                  <c:v>15.849</c:v>
                </c:pt>
                <c:pt idx="31">
                  <c:v>17.378</c:v>
                </c:pt>
                <c:pt idx="32">
                  <c:v>19.055</c:v>
                </c:pt>
                <c:pt idx="33">
                  <c:v>20.893000000000001</c:v>
                </c:pt>
                <c:pt idx="34">
                  <c:v>22.909000000000002</c:v>
                </c:pt>
                <c:pt idx="35">
                  <c:v>25.119</c:v>
                </c:pt>
                <c:pt idx="36">
                  <c:v>27.542000000000002</c:v>
                </c:pt>
                <c:pt idx="37">
                  <c:v>30.2</c:v>
                </c:pt>
                <c:pt idx="38">
                  <c:v>33.113</c:v>
                </c:pt>
                <c:pt idx="39">
                  <c:v>36.308</c:v>
                </c:pt>
                <c:pt idx="40">
                  <c:v>39.811</c:v>
                </c:pt>
                <c:pt idx="41">
                  <c:v>43.652000000000001</c:v>
                </c:pt>
                <c:pt idx="42">
                  <c:v>47.863</c:v>
                </c:pt>
                <c:pt idx="43">
                  <c:v>52.481000000000002</c:v>
                </c:pt>
                <c:pt idx="44">
                  <c:v>57.544000000000004</c:v>
                </c:pt>
                <c:pt idx="45">
                  <c:v>63.095999999999997</c:v>
                </c:pt>
                <c:pt idx="46">
                  <c:v>69.183000000000007</c:v>
                </c:pt>
                <c:pt idx="47">
                  <c:v>75.858000000000004</c:v>
                </c:pt>
                <c:pt idx="48">
                  <c:v>83.176000000000002</c:v>
                </c:pt>
                <c:pt idx="49">
                  <c:v>91.201000000000008</c:v>
                </c:pt>
                <c:pt idx="50">
                  <c:v>100</c:v>
                </c:pt>
                <c:pt idx="51">
                  <c:v>109.65</c:v>
                </c:pt>
                <c:pt idx="52">
                  <c:v>120.23</c:v>
                </c:pt>
                <c:pt idx="53">
                  <c:v>131.83000000000001</c:v>
                </c:pt>
                <c:pt idx="54">
                  <c:v>144.54</c:v>
                </c:pt>
                <c:pt idx="55">
                  <c:v>158.49</c:v>
                </c:pt>
                <c:pt idx="56">
                  <c:v>173.78</c:v>
                </c:pt>
                <c:pt idx="57">
                  <c:v>190.55</c:v>
                </c:pt>
                <c:pt idx="58">
                  <c:v>208.93</c:v>
                </c:pt>
                <c:pt idx="59">
                  <c:v>229.09</c:v>
                </c:pt>
                <c:pt idx="60">
                  <c:v>251.19</c:v>
                </c:pt>
                <c:pt idx="61">
                  <c:v>275.42</c:v>
                </c:pt>
                <c:pt idx="62">
                  <c:v>302</c:v>
                </c:pt>
                <c:pt idx="63">
                  <c:v>331.13</c:v>
                </c:pt>
                <c:pt idx="64">
                  <c:v>363.08</c:v>
                </c:pt>
                <c:pt idx="65">
                  <c:v>398.11</c:v>
                </c:pt>
                <c:pt idx="66">
                  <c:v>436.52</c:v>
                </c:pt>
                <c:pt idx="67">
                  <c:v>478.63</c:v>
                </c:pt>
                <c:pt idx="68">
                  <c:v>524.80999999999995</c:v>
                </c:pt>
                <c:pt idx="69">
                  <c:v>575.44000000000005</c:v>
                </c:pt>
                <c:pt idx="70">
                  <c:v>630.96</c:v>
                </c:pt>
                <c:pt idx="71">
                  <c:v>691.83</c:v>
                </c:pt>
                <c:pt idx="72">
                  <c:v>758.58</c:v>
                </c:pt>
                <c:pt idx="73">
                  <c:v>831.76</c:v>
                </c:pt>
                <c:pt idx="74">
                  <c:v>912.01</c:v>
                </c:pt>
                <c:pt idx="75">
                  <c:v>1000</c:v>
                </c:pt>
                <c:pt idx="76">
                  <c:v>1096.5</c:v>
                </c:pt>
                <c:pt idx="77">
                  <c:v>1202.3</c:v>
                </c:pt>
                <c:pt idx="78">
                  <c:v>1318.3</c:v>
                </c:pt>
                <c:pt idx="79">
                  <c:v>1445.4</c:v>
                </c:pt>
                <c:pt idx="80">
                  <c:v>1584.9</c:v>
                </c:pt>
                <c:pt idx="81">
                  <c:v>1737.8</c:v>
                </c:pt>
                <c:pt idx="82">
                  <c:v>1905.5</c:v>
                </c:pt>
                <c:pt idx="83">
                  <c:v>2089.3000000000002</c:v>
                </c:pt>
                <c:pt idx="84">
                  <c:v>2290.9</c:v>
                </c:pt>
                <c:pt idx="85">
                  <c:v>2511.9</c:v>
                </c:pt>
                <c:pt idx="86">
                  <c:v>2754.2</c:v>
                </c:pt>
                <c:pt idx="87">
                  <c:v>3020</c:v>
                </c:pt>
                <c:pt idx="88">
                  <c:v>3311.3</c:v>
                </c:pt>
                <c:pt idx="89">
                  <c:v>3630.8</c:v>
                </c:pt>
                <c:pt idx="90">
                  <c:v>3981.1</c:v>
                </c:pt>
                <c:pt idx="91">
                  <c:v>4365.2</c:v>
                </c:pt>
                <c:pt idx="92">
                  <c:v>4786.3</c:v>
                </c:pt>
                <c:pt idx="93">
                  <c:v>5248.1</c:v>
                </c:pt>
                <c:pt idx="94">
                  <c:v>5370.3</c:v>
                </c:pt>
                <c:pt idx="95">
                  <c:v>5432.85</c:v>
                </c:pt>
                <c:pt idx="96">
                  <c:v>5495.4</c:v>
                </c:pt>
                <c:pt idx="97">
                  <c:v>5559.4</c:v>
                </c:pt>
                <c:pt idx="98">
                  <c:v>5623.4</c:v>
                </c:pt>
                <c:pt idx="99">
                  <c:v>5688.9</c:v>
                </c:pt>
                <c:pt idx="100">
                  <c:v>5754.4</c:v>
                </c:pt>
                <c:pt idx="101">
                  <c:v>5821.4</c:v>
                </c:pt>
                <c:pt idx="102">
                  <c:v>5888.4</c:v>
                </c:pt>
                <c:pt idx="103">
                  <c:v>5957</c:v>
                </c:pt>
                <c:pt idx="104">
                  <c:v>6025.6</c:v>
                </c:pt>
                <c:pt idx="105">
                  <c:v>6095.8</c:v>
                </c:pt>
                <c:pt idx="106">
                  <c:v>6166</c:v>
                </c:pt>
                <c:pt idx="107">
                  <c:v>6237.8</c:v>
                </c:pt>
                <c:pt idx="108">
                  <c:v>6309.6</c:v>
                </c:pt>
                <c:pt idx="109">
                  <c:v>6383.05</c:v>
                </c:pt>
                <c:pt idx="110">
                  <c:v>6456.5</c:v>
                </c:pt>
                <c:pt idx="111">
                  <c:v>6531.7</c:v>
                </c:pt>
                <c:pt idx="112">
                  <c:v>6606.9</c:v>
                </c:pt>
                <c:pt idx="113">
                  <c:v>6683.85</c:v>
                </c:pt>
                <c:pt idx="114">
                  <c:v>6760.8</c:v>
                </c:pt>
                <c:pt idx="115">
                  <c:v>6839.55</c:v>
                </c:pt>
                <c:pt idx="116">
                  <c:v>6918.3</c:v>
                </c:pt>
                <c:pt idx="117">
                  <c:v>6998.9</c:v>
                </c:pt>
                <c:pt idx="118">
                  <c:v>7079.5</c:v>
                </c:pt>
                <c:pt idx="119">
                  <c:v>7161.95</c:v>
                </c:pt>
                <c:pt idx="120">
                  <c:v>7244.4</c:v>
                </c:pt>
                <c:pt idx="121">
                  <c:v>7328.75</c:v>
                </c:pt>
                <c:pt idx="122">
                  <c:v>7413.1</c:v>
                </c:pt>
                <c:pt idx="123">
                  <c:v>7499.45</c:v>
                </c:pt>
                <c:pt idx="124">
                  <c:v>7585.8</c:v>
                </c:pt>
                <c:pt idx="125">
                  <c:v>7674.15</c:v>
                </c:pt>
                <c:pt idx="126">
                  <c:v>7762.5</c:v>
                </c:pt>
                <c:pt idx="127">
                  <c:v>7852.9</c:v>
                </c:pt>
                <c:pt idx="128">
                  <c:v>7943.3</c:v>
                </c:pt>
                <c:pt idx="129">
                  <c:v>8035.8</c:v>
                </c:pt>
                <c:pt idx="130">
                  <c:v>8128.3</c:v>
                </c:pt>
                <c:pt idx="131">
                  <c:v>8222.9500000000007</c:v>
                </c:pt>
                <c:pt idx="132">
                  <c:v>8270.2750000000015</c:v>
                </c:pt>
                <c:pt idx="133">
                  <c:v>8317.6</c:v>
                </c:pt>
                <c:pt idx="134">
                  <c:v>8366.0499999999993</c:v>
                </c:pt>
                <c:pt idx="135">
                  <c:v>8414.5</c:v>
                </c:pt>
                <c:pt idx="136">
                  <c:v>8462.9500000000007</c:v>
                </c:pt>
                <c:pt idx="137">
                  <c:v>8511.4</c:v>
                </c:pt>
                <c:pt idx="138">
                  <c:v>8560.9500000000007</c:v>
                </c:pt>
                <c:pt idx="139">
                  <c:v>8610.5</c:v>
                </c:pt>
                <c:pt idx="140">
                  <c:v>8660.0499999999993</c:v>
                </c:pt>
                <c:pt idx="141">
                  <c:v>8709.6</c:v>
                </c:pt>
                <c:pt idx="142">
                  <c:v>8760.3250000000007</c:v>
                </c:pt>
                <c:pt idx="143">
                  <c:v>8811.0499999999993</c:v>
                </c:pt>
                <c:pt idx="144">
                  <c:v>8861.7749999999996</c:v>
                </c:pt>
                <c:pt idx="145">
                  <c:v>8912.5</c:v>
                </c:pt>
                <c:pt idx="146">
                  <c:v>8964.4</c:v>
                </c:pt>
                <c:pt idx="147">
                  <c:v>9016.2999999999993</c:v>
                </c:pt>
                <c:pt idx="148">
                  <c:v>9068.2000000000007</c:v>
                </c:pt>
                <c:pt idx="149">
                  <c:v>9120.1</c:v>
                </c:pt>
                <c:pt idx="150">
                  <c:v>9173.2000000000007</c:v>
                </c:pt>
                <c:pt idx="151">
                  <c:v>9226.2999999999993</c:v>
                </c:pt>
                <c:pt idx="152">
                  <c:v>9279.4</c:v>
                </c:pt>
                <c:pt idx="153">
                  <c:v>9332.5</c:v>
                </c:pt>
                <c:pt idx="154">
                  <c:v>9386.85</c:v>
                </c:pt>
                <c:pt idx="155">
                  <c:v>9441.2000000000007</c:v>
                </c:pt>
                <c:pt idx="156">
                  <c:v>9495.5499999999993</c:v>
                </c:pt>
                <c:pt idx="157">
                  <c:v>9549.9</c:v>
                </c:pt>
                <c:pt idx="158">
                  <c:v>9605.5249999999996</c:v>
                </c:pt>
                <c:pt idx="159">
                  <c:v>9661.15</c:v>
                </c:pt>
                <c:pt idx="160">
                  <c:v>9716.7749999999996</c:v>
                </c:pt>
                <c:pt idx="161">
                  <c:v>9772.4</c:v>
                </c:pt>
                <c:pt idx="162">
                  <c:v>9829.2999999999993</c:v>
                </c:pt>
                <c:pt idx="163">
                  <c:v>9886.2000000000007</c:v>
                </c:pt>
                <c:pt idx="164">
                  <c:v>9943.1</c:v>
                </c:pt>
                <c:pt idx="165">
                  <c:v>10000</c:v>
                </c:pt>
                <c:pt idx="166">
                  <c:v>10058.25</c:v>
                </c:pt>
                <c:pt idx="167">
                  <c:v>10116.5</c:v>
                </c:pt>
                <c:pt idx="168">
                  <c:v>10174.75</c:v>
                </c:pt>
                <c:pt idx="169">
                  <c:v>10233</c:v>
                </c:pt>
                <c:pt idx="170">
                  <c:v>10292.5</c:v>
                </c:pt>
                <c:pt idx="171">
                  <c:v>10352</c:v>
                </c:pt>
                <c:pt idx="172">
                  <c:v>10411.5</c:v>
                </c:pt>
                <c:pt idx="173">
                  <c:v>10471</c:v>
                </c:pt>
                <c:pt idx="174">
                  <c:v>10532</c:v>
                </c:pt>
                <c:pt idx="175">
                  <c:v>10593</c:v>
                </c:pt>
                <c:pt idx="176">
                  <c:v>10654</c:v>
                </c:pt>
                <c:pt idx="177">
                  <c:v>10715</c:v>
                </c:pt>
                <c:pt idx="178">
                  <c:v>10777.5</c:v>
                </c:pt>
                <c:pt idx="179">
                  <c:v>10840</c:v>
                </c:pt>
                <c:pt idx="180">
                  <c:v>10902.5</c:v>
                </c:pt>
                <c:pt idx="181">
                  <c:v>10965</c:v>
                </c:pt>
                <c:pt idx="182">
                  <c:v>11028.75</c:v>
                </c:pt>
                <c:pt idx="183">
                  <c:v>11092.5</c:v>
                </c:pt>
                <c:pt idx="184">
                  <c:v>11156.25</c:v>
                </c:pt>
                <c:pt idx="185">
                  <c:v>11220</c:v>
                </c:pt>
                <c:pt idx="186">
                  <c:v>11285.5</c:v>
                </c:pt>
                <c:pt idx="187">
                  <c:v>11351</c:v>
                </c:pt>
                <c:pt idx="188">
                  <c:v>11416.5</c:v>
                </c:pt>
                <c:pt idx="189">
                  <c:v>11482</c:v>
                </c:pt>
                <c:pt idx="190">
                  <c:v>11548.75</c:v>
                </c:pt>
                <c:pt idx="191">
                  <c:v>11615.5</c:v>
                </c:pt>
                <c:pt idx="192">
                  <c:v>11682.25</c:v>
                </c:pt>
                <c:pt idx="193">
                  <c:v>11749</c:v>
                </c:pt>
                <c:pt idx="194">
                  <c:v>11817.5</c:v>
                </c:pt>
                <c:pt idx="195">
                  <c:v>11886</c:v>
                </c:pt>
                <c:pt idx="196">
                  <c:v>11954.5</c:v>
                </c:pt>
                <c:pt idx="197">
                  <c:v>12023</c:v>
                </c:pt>
                <c:pt idx="198">
                  <c:v>12093</c:v>
                </c:pt>
                <c:pt idx="199">
                  <c:v>12163</c:v>
                </c:pt>
                <c:pt idx="200">
                  <c:v>12233</c:v>
                </c:pt>
                <c:pt idx="201">
                  <c:v>12303</c:v>
                </c:pt>
                <c:pt idx="202">
                  <c:v>12374.5</c:v>
                </c:pt>
                <c:pt idx="203">
                  <c:v>12446</c:v>
                </c:pt>
                <c:pt idx="204">
                  <c:v>12517.5</c:v>
                </c:pt>
                <c:pt idx="205">
                  <c:v>12589</c:v>
                </c:pt>
                <c:pt idx="206">
                  <c:v>12662.25</c:v>
                </c:pt>
                <c:pt idx="207">
                  <c:v>12735.5</c:v>
                </c:pt>
                <c:pt idx="208">
                  <c:v>12808.75</c:v>
                </c:pt>
                <c:pt idx="209">
                  <c:v>12882</c:v>
                </c:pt>
                <c:pt idx="210">
                  <c:v>12957.25</c:v>
                </c:pt>
                <c:pt idx="211">
                  <c:v>13032.5</c:v>
                </c:pt>
                <c:pt idx="212">
                  <c:v>13107.75</c:v>
                </c:pt>
                <c:pt idx="213">
                  <c:v>13183</c:v>
                </c:pt>
                <c:pt idx="214">
                  <c:v>13259.75</c:v>
                </c:pt>
                <c:pt idx="215">
                  <c:v>13336.5</c:v>
                </c:pt>
                <c:pt idx="216">
                  <c:v>13413.25</c:v>
                </c:pt>
                <c:pt idx="217">
                  <c:v>13490</c:v>
                </c:pt>
                <c:pt idx="218">
                  <c:v>13568.5</c:v>
                </c:pt>
                <c:pt idx="219">
                  <c:v>13647</c:v>
                </c:pt>
                <c:pt idx="220">
                  <c:v>13725.5</c:v>
                </c:pt>
                <c:pt idx="221">
                  <c:v>13804</c:v>
                </c:pt>
                <c:pt idx="222">
                  <c:v>13884.25</c:v>
                </c:pt>
                <c:pt idx="223">
                  <c:v>13964.5</c:v>
                </c:pt>
                <c:pt idx="224">
                  <c:v>14044.75</c:v>
                </c:pt>
                <c:pt idx="225">
                  <c:v>14125</c:v>
                </c:pt>
                <c:pt idx="226">
                  <c:v>14207.25</c:v>
                </c:pt>
                <c:pt idx="227">
                  <c:v>14289.5</c:v>
                </c:pt>
                <c:pt idx="228">
                  <c:v>14371.75</c:v>
                </c:pt>
                <c:pt idx="229">
                  <c:v>14454</c:v>
                </c:pt>
                <c:pt idx="230">
                  <c:v>14622.5</c:v>
                </c:pt>
                <c:pt idx="231">
                  <c:v>14706.75</c:v>
                </c:pt>
                <c:pt idx="232">
                  <c:v>14791</c:v>
                </c:pt>
                <c:pt idx="233">
                  <c:v>14877.25</c:v>
                </c:pt>
                <c:pt idx="234">
                  <c:v>14963.5</c:v>
                </c:pt>
                <c:pt idx="235">
                  <c:v>15049.75</c:v>
                </c:pt>
                <c:pt idx="236">
                  <c:v>15136</c:v>
                </c:pt>
                <c:pt idx="237">
                  <c:v>15224</c:v>
                </c:pt>
                <c:pt idx="238">
                  <c:v>15312</c:v>
                </c:pt>
                <c:pt idx="239">
                  <c:v>15400</c:v>
                </c:pt>
                <c:pt idx="240">
                  <c:v>15488</c:v>
                </c:pt>
                <c:pt idx="241">
                  <c:v>15578.25</c:v>
                </c:pt>
                <c:pt idx="242">
                  <c:v>15668.5</c:v>
                </c:pt>
                <c:pt idx="243">
                  <c:v>15758.75</c:v>
                </c:pt>
                <c:pt idx="244">
                  <c:v>15849</c:v>
                </c:pt>
                <c:pt idx="245">
                  <c:v>15941.25</c:v>
                </c:pt>
                <c:pt idx="246">
                  <c:v>16033.5</c:v>
                </c:pt>
                <c:pt idx="247">
                  <c:v>16125.75</c:v>
                </c:pt>
                <c:pt idx="248">
                  <c:v>16218</c:v>
                </c:pt>
                <c:pt idx="249">
                  <c:v>16312.5</c:v>
                </c:pt>
                <c:pt idx="250">
                  <c:v>16407</c:v>
                </c:pt>
                <c:pt idx="251">
                  <c:v>16501.5</c:v>
                </c:pt>
                <c:pt idx="252">
                  <c:v>16596</c:v>
                </c:pt>
                <c:pt idx="253">
                  <c:v>16692.5</c:v>
                </c:pt>
                <c:pt idx="254">
                  <c:v>16789</c:v>
                </c:pt>
                <c:pt idx="255">
                  <c:v>16885.5</c:v>
                </c:pt>
                <c:pt idx="256">
                  <c:v>16982</c:v>
                </c:pt>
                <c:pt idx="257">
                  <c:v>17081</c:v>
                </c:pt>
                <c:pt idx="258">
                  <c:v>17180</c:v>
                </c:pt>
                <c:pt idx="259">
                  <c:v>17279</c:v>
                </c:pt>
                <c:pt idx="260">
                  <c:v>17378</c:v>
                </c:pt>
                <c:pt idx="261">
                  <c:v>17479.25</c:v>
                </c:pt>
                <c:pt idx="262">
                  <c:v>17580.5</c:v>
                </c:pt>
                <c:pt idx="263">
                  <c:v>17681.75</c:v>
                </c:pt>
                <c:pt idx="264">
                  <c:v>17783</c:v>
                </c:pt>
                <c:pt idx="265">
                  <c:v>17886.5</c:v>
                </c:pt>
                <c:pt idx="266">
                  <c:v>17990</c:v>
                </c:pt>
                <c:pt idx="267">
                  <c:v>18093.5</c:v>
                </c:pt>
                <c:pt idx="268">
                  <c:v>18197</c:v>
                </c:pt>
                <c:pt idx="269">
                  <c:v>18303</c:v>
                </c:pt>
                <c:pt idx="270">
                  <c:v>18409</c:v>
                </c:pt>
                <c:pt idx="271">
                  <c:v>18515</c:v>
                </c:pt>
                <c:pt idx="272">
                  <c:v>18621</c:v>
                </c:pt>
                <c:pt idx="273">
                  <c:v>18729.5</c:v>
                </c:pt>
                <c:pt idx="274">
                  <c:v>18838</c:v>
                </c:pt>
                <c:pt idx="275">
                  <c:v>18946.5</c:v>
                </c:pt>
                <c:pt idx="276">
                  <c:v>19055</c:v>
                </c:pt>
                <c:pt idx="277">
                  <c:v>19165.75</c:v>
                </c:pt>
                <c:pt idx="278">
                  <c:v>19276.5</c:v>
                </c:pt>
                <c:pt idx="279">
                  <c:v>19387.25</c:v>
                </c:pt>
                <c:pt idx="280">
                  <c:v>19498</c:v>
                </c:pt>
                <c:pt idx="281">
                  <c:v>19611.75</c:v>
                </c:pt>
                <c:pt idx="282">
                  <c:v>19725.5</c:v>
                </c:pt>
                <c:pt idx="283">
                  <c:v>19839.25</c:v>
                </c:pt>
                <c:pt idx="284">
                  <c:v>19953</c:v>
                </c:pt>
                <c:pt idx="285">
                  <c:v>20069</c:v>
                </c:pt>
                <c:pt idx="286">
                  <c:v>20185</c:v>
                </c:pt>
                <c:pt idx="287">
                  <c:v>20301</c:v>
                </c:pt>
                <c:pt idx="288">
                  <c:v>20417</c:v>
                </c:pt>
                <c:pt idx="289">
                  <c:v>20536</c:v>
                </c:pt>
                <c:pt idx="290">
                  <c:v>20655</c:v>
                </c:pt>
                <c:pt idx="291">
                  <c:v>20774</c:v>
                </c:pt>
                <c:pt idx="292">
                  <c:v>20893</c:v>
                </c:pt>
                <c:pt idx="293">
                  <c:v>21014.75</c:v>
                </c:pt>
                <c:pt idx="294">
                  <c:v>21136.5</c:v>
                </c:pt>
                <c:pt idx="295">
                  <c:v>21258.25</c:v>
                </c:pt>
                <c:pt idx="296">
                  <c:v>21380</c:v>
                </c:pt>
                <c:pt idx="297">
                  <c:v>21504.5</c:v>
                </c:pt>
                <c:pt idx="298">
                  <c:v>21629</c:v>
                </c:pt>
                <c:pt idx="299">
                  <c:v>21753.5</c:v>
                </c:pt>
                <c:pt idx="300">
                  <c:v>21878</c:v>
                </c:pt>
                <c:pt idx="301">
                  <c:v>22005.25</c:v>
                </c:pt>
                <c:pt idx="302">
                  <c:v>22132.5</c:v>
                </c:pt>
                <c:pt idx="303">
                  <c:v>22259.75</c:v>
                </c:pt>
                <c:pt idx="304">
                  <c:v>22387</c:v>
                </c:pt>
                <c:pt idx="305">
                  <c:v>22517.5</c:v>
                </c:pt>
                <c:pt idx="306">
                  <c:v>22648</c:v>
                </c:pt>
                <c:pt idx="307">
                  <c:v>22778.5</c:v>
                </c:pt>
                <c:pt idx="308">
                  <c:v>22909</c:v>
                </c:pt>
                <c:pt idx="309">
                  <c:v>23042.25</c:v>
                </c:pt>
                <c:pt idx="310">
                  <c:v>23175.5</c:v>
                </c:pt>
                <c:pt idx="311">
                  <c:v>23308.75</c:v>
                </c:pt>
                <c:pt idx="312">
                  <c:v>23442</c:v>
                </c:pt>
                <c:pt idx="313">
                  <c:v>23578.5</c:v>
                </c:pt>
                <c:pt idx="314">
                  <c:v>23715</c:v>
                </c:pt>
                <c:pt idx="315">
                  <c:v>23851.5</c:v>
                </c:pt>
                <c:pt idx="316">
                  <c:v>23988</c:v>
                </c:pt>
                <c:pt idx="317">
                  <c:v>24127.75</c:v>
                </c:pt>
                <c:pt idx="318">
                  <c:v>24267.5</c:v>
                </c:pt>
                <c:pt idx="319">
                  <c:v>24407.25</c:v>
                </c:pt>
                <c:pt idx="320">
                  <c:v>24547</c:v>
                </c:pt>
                <c:pt idx="321">
                  <c:v>24690</c:v>
                </c:pt>
                <c:pt idx="322">
                  <c:v>24833</c:v>
                </c:pt>
                <c:pt idx="323">
                  <c:v>24976</c:v>
                </c:pt>
                <c:pt idx="324">
                  <c:v>25119</c:v>
                </c:pt>
                <c:pt idx="325">
                  <c:v>25265.25</c:v>
                </c:pt>
                <c:pt idx="326">
                  <c:v>25411.5</c:v>
                </c:pt>
                <c:pt idx="327">
                  <c:v>25557.75</c:v>
                </c:pt>
                <c:pt idx="328">
                  <c:v>25704</c:v>
                </c:pt>
                <c:pt idx="329">
                  <c:v>25853.75</c:v>
                </c:pt>
                <c:pt idx="330">
                  <c:v>26003.5</c:v>
                </c:pt>
                <c:pt idx="331">
                  <c:v>26153.25</c:v>
                </c:pt>
                <c:pt idx="332">
                  <c:v>26303</c:v>
                </c:pt>
                <c:pt idx="333">
                  <c:v>26456</c:v>
                </c:pt>
                <c:pt idx="334">
                  <c:v>26609</c:v>
                </c:pt>
                <c:pt idx="335">
                  <c:v>26762</c:v>
                </c:pt>
                <c:pt idx="336">
                  <c:v>26915</c:v>
                </c:pt>
                <c:pt idx="337">
                  <c:v>27071.75</c:v>
                </c:pt>
                <c:pt idx="338">
                  <c:v>27228.5</c:v>
                </c:pt>
                <c:pt idx="339">
                  <c:v>27385.25</c:v>
                </c:pt>
                <c:pt idx="340">
                  <c:v>27542</c:v>
                </c:pt>
                <c:pt idx="341">
                  <c:v>27702.5</c:v>
                </c:pt>
                <c:pt idx="342">
                  <c:v>27863</c:v>
                </c:pt>
                <c:pt idx="343">
                  <c:v>28023.5</c:v>
                </c:pt>
                <c:pt idx="344">
                  <c:v>28184</c:v>
                </c:pt>
                <c:pt idx="345">
                  <c:v>28348</c:v>
                </c:pt>
                <c:pt idx="346">
                  <c:v>28512</c:v>
                </c:pt>
                <c:pt idx="347">
                  <c:v>28676</c:v>
                </c:pt>
                <c:pt idx="348">
                  <c:v>28840</c:v>
                </c:pt>
                <c:pt idx="349">
                  <c:v>29008</c:v>
                </c:pt>
                <c:pt idx="350">
                  <c:v>29176</c:v>
                </c:pt>
                <c:pt idx="351">
                  <c:v>29344</c:v>
                </c:pt>
                <c:pt idx="352">
                  <c:v>29512</c:v>
                </c:pt>
                <c:pt idx="353">
                  <c:v>29684</c:v>
                </c:pt>
                <c:pt idx="354">
                  <c:v>29856</c:v>
                </c:pt>
                <c:pt idx="355">
                  <c:v>30028</c:v>
                </c:pt>
                <c:pt idx="356">
                  <c:v>30200</c:v>
                </c:pt>
                <c:pt idx="357">
                  <c:v>30375.75</c:v>
                </c:pt>
                <c:pt idx="358">
                  <c:v>30551.5</c:v>
                </c:pt>
                <c:pt idx="359">
                  <c:v>30727.25</c:v>
                </c:pt>
                <c:pt idx="360">
                  <c:v>30903</c:v>
                </c:pt>
                <c:pt idx="361">
                  <c:v>31083</c:v>
                </c:pt>
                <c:pt idx="362">
                  <c:v>31263</c:v>
                </c:pt>
                <c:pt idx="363">
                  <c:v>31443</c:v>
                </c:pt>
                <c:pt idx="364">
                  <c:v>31623</c:v>
                </c:pt>
                <c:pt idx="365">
                  <c:v>31807</c:v>
                </c:pt>
                <c:pt idx="366">
                  <c:v>31991</c:v>
                </c:pt>
                <c:pt idx="367">
                  <c:v>32175</c:v>
                </c:pt>
                <c:pt idx="368">
                  <c:v>32359</c:v>
                </c:pt>
                <c:pt idx="369">
                  <c:v>32547.5</c:v>
                </c:pt>
                <c:pt idx="370">
                  <c:v>32736</c:v>
                </c:pt>
                <c:pt idx="371">
                  <c:v>32924.5</c:v>
                </c:pt>
                <c:pt idx="372">
                  <c:v>33113</c:v>
                </c:pt>
                <c:pt idx="373">
                  <c:v>33305.75</c:v>
                </c:pt>
                <c:pt idx="374">
                  <c:v>33498.5</c:v>
                </c:pt>
                <c:pt idx="375">
                  <c:v>33691.25</c:v>
                </c:pt>
                <c:pt idx="376">
                  <c:v>33884</c:v>
                </c:pt>
                <c:pt idx="377">
                  <c:v>34081.5</c:v>
                </c:pt>
                <c:pt idx="378">
                  <c:v>34279</c:v>
                </c:pt>
                <c:pt idx="379">
                  <c:v>34476.5</c:v>
                </c:pt>
                <c:pt idx="380">
                  <c:v>34674</c:v>
                </c:pt>
                <c:pt idx="381">
                  <c:v>34875.75</c:v>
                </c:pt>
                <c:pt idx="382">
                  <c:v>35077.5</c:v>
                </c:pt>
                <c:pt idx="383">
                  <c:v>35279.25</c:v>
                </c:pt>
                <c:pt idx="384">
                  <c:v>35481</c:v>
                </c:pt>
                <c:pt idx="385">
                  <c:v>35687.75</c:v>
                </c:pt>
                <c:pt idx="386">
                  <c:v>35894.5</c:v>
                </c:pt>
                <c:pt idx="387">
                  <c:v>36101.25</c:v>
                </c:pt>
                <c:pt idx="388">
                  <c:v>36308</c:v>
                </c:pt>
                <c:pt idx="389">
                  <c:v>36519.5</c:v>
                </c:pt>
                <c:pt idx="390">
                  <c:v>36731</c:v>
                </c:pt>
                <c:pt idx="391">
                  <c:v>36942.5</c:v>
                </c:pt>
                <c:pt idx="392">
                  <c:v>37154</c:v>
                </c:pt>
                <c:pt idx="393">
                  <c:v>37370.25</c:v>
                </c:pt>
                <c:pt idx="394">
                  <c:v>37586.5</c:v>
                </c:pt>
                <c:pt idx="395">
                  <c:v>37802.75</c:v>
                </c:pt>
                <c:pt idx="396">
                  <c:v>38019</c:v>
                </c:pt>
                <c:pt idx="397">
                  <c:v>38240.5</c:v>
                </c:pt>
                <c:pt idx="398">
                  <c:v>38462</c:v>
                </c:pt>
                <c:pt idx="399">
                  <c:v>38683.5</c:v>
                </c:pt>
                <c:pt idx="400">
                  <c:v>38905</c:v>
                </c:pt>
                <c:pt idx="401">
                  <c:v>39131.5</c:v>
                </c:pt>
                <c:pt idx="402">
                  <c:v>39358</c:v>
                </c:pt>
                <c:pt idx="403">
                  <c:v>39584.5</c:v>
                </c:pt>
                <c:pt idx="404">
                  <c:v>39811</c:v>
                </c:pt>
                <c:pt idx="405">
                  <c:v>40042.75</c:v>
                </c:pt>
                <c:pt idx="406">
                  <c:v>40274.5</c:v>
                </c:pt>
                <c:pt idx="407">
                  <c:v>40506.25</c:v>
                </c:pt>
                <c:pt idx="408">
                  <c:v>40738</c:v>
                </c:pt>
                <c:pt idx="409">
                  <c:v>40975.25</c:v>
                </c:pt>
                <c:pt idx="410">
                  <c:v>41212.5</c:v>
                </c:pt>
                <c:pt idx="411">
                  <c:v>41449.75</c:v>
                </c:pt>
                <c:pt idx="412">
                  <c:v>41687</c:v>
                </c:pt>
                <c:pt idx="413">
                  <c:v>41929.75</c:v>
                </c:pt>
                <c:pt idx="414">
                  <c:v>42172.5</c:v>
                </c:pt>
                <c:pt idx="415">
                  <c:v>42415.25</c:v>
                </c:pt>
                <c:pt idx="416">
                  <c:v>42658</c:v>
                </c:pt>
                <c:pt idx="417">
                  <c:v>42906.5</c:v>
                </c:pt>
                <c:pt idx="418">
                  <c:v>43155</c:v>
                </c:pt>
                <c:pt idx="419">
                  <c:v>43403.5</c:v>
                </c:pt>
                <c:pt idx="420">
                  <c:v>43652</c:v>
                </c:pt>
                <c:pt idx="421">
                  <c:v>43906</c:v>
                </c:pt>
                <c:pt idx="422">
                  <c:v>44160</c:v>
                </c:pt>
                <c:pt idx="423">
                  <c:v>44414</c:v>
                </c:pt>
                <c:pt idx="424">
                  <c:v>44668</c:v>
                </c:pt>
                <c:pt idx="425">
                  <c:v>44928.25</c:v>
                </c:pt>
                <c:pt idx="426">
                  <c:v>45188.5</c:v>
                </c:pt>
                <c:pt idx="427">
                  <c:v>45448.75</c:v>
                </c:pt>
                <c:pt idx="428">
                  <c:v>45709</c:v>
                </c:pt>
                <c:pt idx="429">
                  <c:v>45975.25</c:v>
                </c:pt>
                <c:pt idx="430">
                  <c:v>46241.5</c:v>
                </c:pt>
                <c:pt idx="431">
                  <c:v>46507.75</c:v>
                </c:pt>
                <c:pt idx="432">
                  <c:v>46774</c:v>
                </c:pt>
                <c:pt idx="433">
                  <c:v>47046.25</c:v>
                </c:pt>
                <c:pt idx="434">
                  <c:v>47318.5</c:v>
                </c:pt>
                <c:pt idx="435">
                  <c:v>47590.75</c:v>
                </c:pt>
                <c:pt idx="436">
                  <c:v>47863</c:v>
                </c:pt>
                <c:pt idx="437">
                  <c:v>48141.75</c:v>
                </c:pt>
                <c:pt idx="438">
                  <c:v>48420.5</c:v>
                </c:pt>
                <c:pt idx="439">
                  <c:v>48699.25</c:v>
                </c:pt>
                <c:pt idx="440">
                  <c:v>48978</c:v>
                </c:pt>
                <c:pt idx="441">
                  <c:v>49263.25</c:v>
                </c:pt>
                <c:pt idx="442">
                  <c:v>49548.5</c:v>
                </c:pt>
                <c:pt idx="443">
                  <c:v>49833.75</c:v>
                </c:pt>
                <c:pt idx="444">
                  <c:v>50119</c:v>
                </c:pt>
                <c:pt idx="445">
                  <c:v>50410.75</c:v>
                </c:pt>
                <c:pt idx="446">
                  <c:v>50702.5</c:v>
                </c:pt>
                <c:pt idx="447">
                  <c:v>50994.25</c:v>
                </c:pt>
                <c:pt idx="448">
                  <c:v>51286</c:v>
                </c:pt>
                <c:pt idx="449">
                  <c:v>51584.75</c:v>
                </c:pt>
                <c:pt idx="450">
                  <c:v>51883.5</c:v>
                </c:pt>
                <c:pt idx="451">
                  <c:v>52182.25</c:v>
                </c:pt>
                <c:pt idx="452">
                  <c:v>52481</c:v>
                </c:pt>
                <c:pt idx="453">
                  <c:v>52786.5</c:v>
                </c:pt>
                <c:pt idx="454">
                  <c:v>53092</c:v>
                </c:pt>
                <c:pt idx="455">
                  <c:v>53397.5</c:v>
                </c:pt>
                <c:pt idx="456">
                  <c:v>53703</c:v>
                </c:pt>
                <c:pt idx="457">
                  <c:v>54015.75</c:v>
                </c:pt>
                <c:pt idx="458">
                  <c:v>54328.5</c:v>
                </c:pt>
                <c:pt idx="459">
                  <c:v>54641.25</c:v>
                </c:pt>
                <c:pt idx="460">
                  <c:v>54954</c:v>
                </c:pt>
                <c:pt idx="461">
                  <c:v>55274</c:v>
                </c:pt>
                <c:pt idx="462">
                  <c:v>55594</c:v>
                </c:pt>
                <c:pt idx="463">
                  <c:v>55914</c:v>
                </c:pt>
                <c:pt idx="464">
                  <c:v>56234</c:v>
                </c:pt>
                <c:pt idx="465">
                  <c:v>56561.5</c:v>
                </c:pt>
                <c:pt idx="466">
                  <c:v>56889</c:v>
                </c:pt>
                <c:pt idx="467">
                  <c:v>57216.5</c:v>
                </c:pt>
                <c:pt idx="468">
                  <c:v>57544</c:v>
                </c:pt>
                <c:pt idx="469">
                  <c:v>57879</c:v>
                </c:pt>
                <c:pt idx="470">
                  <c:v>58214</c:v>
                </c:pt>
                <c:pt idx="471">
                  <c:v>58549</c:v>
                </c:pt>
                <c:pt idx="472">
                  <c:v>58884</c:v>
                </c:pt>
                <c:pt idx="473">
                  <c:v>59227</c:v>
                </c:pt>
                <c:pt idx="474">
                  <c:v>59570</c:v>
                </c:pt>
                <c:pt idx="475">
                  <c:v>59913</c:v>
                </c:pt>
                <c:pt idx="476">
                  <c:v>60256</c:v>
                </c:pt>
                <c:pt idx="477">
                  <c:v>60607</c:v>
                </c:pt>
                <c:pt idx="478">
                  <c:v>60958</c:v>
                </c:pt>
                <c:pt idx="479">
                  <c:v>61309</c:v>
                </c:pt>
                <c:pt idx="480">
                  <c:v>61660</c:v>
                </c:pt>
                <c:pt idx="481">
                  <c:v>62019</c:v>
                </c:pt>
                <c:pt idx="482">
                  <c:v>62378</c:v>
                </c:pt>
                <c:pt idx="483">
                  <c:v>62737</c:v>
                </c:pt>
                <c:pt idx="484">
                  <c:v>63096</c:v>
                </c:pt>
                <c:pt idx="485">
                  <c:v>63463.25</c:v>
                </c:pt>
                <c:pt idx="486">
                  <c:v>63830.5</c:v>
                </c:pt>
                <c:pt idx="487">
                  <c:v>64197.75</c:v>
                </c:pt>
                <c:pt idx="488">
                  <c:v>64565</c:v>
                </c:pt>
                <c:pt idx="489">
                  <c:v>64941</c:v>
                </c:pt>
                <c:pt idx="490">
                  <c:v>65317</c:v>
                </c:pt>
                <c:pt idx="491">
                  <c:v>65693</c:v>
                </c:pt>
                <c:pt idx="492">
                  <c:v>66069</c:v>
                </c:pt>
                <c:pt idx="493">
                  <c:v>66453.75</c:v>
                </c:pt>
                <c:pt idx="494">
                  <c:v>66838.5</c:v>
                </c:pt>
                <c:pt idx="495">
                  <c:v>67223.25</c:v>
                </c:pt>
                <c:pt idx="496">
                  <c:v>67608</c:v>
                </c:pt>
                <c:pt idx="497">
                  <c:v>68001.75</c:v>
                </c:pt>
                <c:pt idx="498">
                  <c:v>68395.5</c:v>
                </c:pt>
                <c:pt idx="499">
                  <c:v>68789.25</c:v>
                </c:pt>
                <c:pt idx="500">
                  <c:v>69183</c:v>
                </c:pt>
                <c:pt idx="501">
                  <c:v>69586</c:v>
                </c:pt>
                <c:pt idx="502">
                  <c:v>69989</c:v>
                </c:pt>
                <c:pt idx="503">
                  <c:v>70392</c:v>
                </c:pt>
                <c:pt idx="504">
                  <c:v>70795</c:v>
                </c:pt>
                <c:pt idx="505">
                  <c:v>71207.25</c:v>
                </c:pt>
                <c:pt idx="506">
                  <c:v>71619.5</c:v>
                </c:pt>
                <c:pt idx="507">
                  <c:v>72031.75</c:v>
                </c:pt>
                <c:pt idx="508">
                  <c:v>72444</c:v>
                </c:pt>
                <c:pt idx="509">
                  <c:v>72865.75</c:v>
                </c:pt>
                <c:pt idx="510">
                  <c:v>73287.5</c:v>
                </c:pt>
                <c:pt idx="511">
                  <c:v>73709.25</c:v>
                </c:pt>
                <c:pt idx="512">
                  <c:v>74131</c:v>
                </c:pt>
                <c:pt idx="513">
                  <c:v>74562.75</c:v>
                </c:pt>
                <c:pt idx="514">
                  <c:v>74994.5</c:v>
                </c:pt>
                <c:pt idx="515">
                  <c:v>75426.25</c:v>
                </c:pt>
                <c:pt idx="516">
                  <c:v>75858</c:v>
                </c:pt>
                <c:pt idx="517">
                  <c:v>76299.75</c:v>
                </c:pt>
                <c:pt idx="518">
                  <c:v>76741.5</c:v>
                </c:pt>
                <c:pt idx="519">
                  <c:v>77183.25</c:v>
                </c:pt>
                <c:pt idx="520">
                  <c:v>77625</c:v>
                </c:pt>
                <c:pt idx="521">
                  <c:v>78077</c:v>
                </c:pt>
                <c:pt idx="522">
                  <c:v>78529</c:v>
                </c:pt>
                <c:pt idx="523">
                  <c:v>78981</c:v>
                </c:pt>
                <c:pt idx="524">
                  <c:v>79433</c:v>
                </c:pt>
                <c:pt idx="525">
                  <c:v>79895.5</c:v>
                </c:pt>
                <c:pt idx="526">
                  <c:v>80358</c:v>
                </c:pt>
                <c:pt idx="527">
                  <c:v>80820.5</c:v>
                </c:pt>
                <c:pt idx="528">
                  <c:v>81283</c:v>
                </c:pt>
                <c:pt idx="529">
                  <c:v>81756.25</c:v>
                </c:pt>
                <c:pt idx="530">
                  <c:v>82229.5</c:v>
                </c:pt>
                <c:pt idx="531">
                  <c:v>82702.75</c:v>
                </c:pt>
                <c:pt idx="532">
                  <c:v>83176</c:v>
                </c:pt>
                <c:pt idx="533">
                  <c:v>83660.5</c:v>
                </c:pt>
                <c:pt idx="534">
                  <c:v>84145</c:v>
                </c:pt>
                <c:pt idx="535">
                  <c:v>84629.5</c:v>
                </c:pt>
                <c:pt idx="536">
                  <c:v>85114</c:v>
                </c:pt>
                <c:pt idx="537">
                  <c:v>85609.5</c:v>
                </c:pt>
                <c:pt idx="538">
                  <c:v>86105</c:v>
                </c:pt>
                <c:pt idx="539">
                  <c:v>86600.5</c:v>
                </c:pt>
                <c:pt idx="540">
                  <c:v>87096</c:v>
                </c:pt>
                <c:pt idx="541">
                  <c:v>87603.25</c:v>
                </c:pt>
                <c:pt idx="542">
                  <c:v>88110.5</c:v>
                </c:pt>
                <c:pt idx="543">
                  <c:v>88617.75</c:v>
                </c:pt>
                <c:pt idx="544">
                  <c:v>89125</c:v>
                </c:pt>
                <c:pt idx="545">
                  <c:v>89644</c:v>
                </c:pt>
                <c:pt idx="546">
                  <c:v>90163</c:v>
                </c:pt>
                <c:pt idx="547">
                  <c:v>90682</c:v>
                </c:pt>
                <c:pt idx="548">
                  <c:v>91201</c:v>
                </c:pt>
                <c:pt idx="549">
                  <c:v>91732</c:v>
                </c:pt>
                <c:pt idx="550">
                  <c:v>92263</c:v>
                </c:pt>
                <c:pt idx="551">
                  <c:v>92794</c:v>
                </c:pt>
                <c:pt idx="552">
                  <c:v>93325</c:v>
                </c:pt>
                <c:pt idx="553">
                  <c:v>93868.5</c:v>
                </c:pt>
                <c:pt idx="554">
                  <c:v>94412</c:v>
                </c:pt>
                <c:pt idx="555">
                  <c:v>94955.5</c:v>
                </c:pt>
                <c:pt idx="556">
                  <c:v>95499</c:v>
                </c:pt>
                <c:pt idx="557">
                  <c:v>96611.5</c:v>
                </c:pt>
                <c:pt idx="558">
                  <c:v>97724</c:v>
                </c:pt>
                <c:pt idx="559">
                  <c:v>98862</c:v>
                </c:pt>
                <c:pt idx="560">
                  <c:v>100000</c:v>
                </c:pt>
                <c:pt idx="561">
                  <c:v>101165</c:v>
                </c:pt>
                <c:pt idx="562">
                  <c:v>102330</c:v>
                </c:pt>
                <c:pt idx="563">
                  <c:v>103520</c:v>
                </c:pt>
                <c:pt idx="564">
                  <c:v>104710</c:v>
                </c:pt>
                <c:pt idx="565">
                  <c:v>105930</c:v>
                </c:pt>
                <c:pt idx="566">
                  <c:v>107150</c:v>
                </c:pt>
                <c:pt idx="567">
                  <c:v>108400</c:v>
                </c:pt>
                <c:pt idx="568">
                  <c:v>109650</c:v>
                </c:pt>
                <c:pt idx="569">
                  <c:v>110925</c:v>
                </c:pt>
                <c:pt idx="570">
                  <c:v>112200</c:v>
                </c:pt>
                <c:pt idx="571">
                  <c:v>113510</c:v>
                </c:pt>
                <c:pt idx="572">
                  <c:v>114820</c:v>
                </c:pt>
                <c:pt idx="573">
                  <c:v>116155</c:v>
                </c:pt>
                <c:pt idx="574">
                  <c:v>117490</c:v>
                </c:pt>
                <c:pt idx="575">
                  <c:v>118860</c:v>
                </c:pt>
                <c:pt idx="576">
                  <c:v>120230</c:v>
                </c:pt>
                <c:pt idx="577">
                  <c:v>126030</c:v>
                </c:pt>
                <c:pt idx="578">
                  <c:v>131830</c:v>
                </c:pt>
                <c:pt idx="579">
                  <c:v>144540</c:v>
                </c:pt>
                <c:pt idx="580">
                  <c:v>158490</c:v>
                </c:pt>
                <c:pt idx="581">
                  <c:v>173780</c:v>
                </c:pt>
                <c:pt idx="582">
                  <c:v>190550</c:v>
                </c:pt>
                <c:pt idx="583">
                  <c:v>208930</c:v>
                </c:pt>
                <c:pt idx="584">
                  <c:v>229090</c:v>
                </c:pt>
                <c:pt idx="585">
                  <c:v>251190</c:v>
                </c:pt>
                <c:pt idx="586">
                  <c:v>275420</c:v>
                </c:pt>
                <c:pt idx="587">
                  <c:v>302000</c:v>
                </c:pt>
                <c:pt idx="588">
                  <c:v>331130</c:v>
                </c:pt>
                <c:pt idx="589">
                  <c:v>363080</c:v>
                </c:pt>
                <c:pt idx="590">
                  <c:v>398110</c:v>
                </c:pt>
                <c:pt idx="591">
                  <c:v>436520</c:v>
                </c:pt>
                <c:pt idx="592">
                  <c:v>478630</c:v>
                </c:pt>
                <c:pt idx="593">
                  <c:v>524810</c:v>
                </c:pt>
                <c:pt idx="594">
                  <c:v>575440</c:v>
                </c:pt>
                <c:pt idx="595">
                  <c:v>630960</c:v>
                </c:pt>
                <c:pt idx="596">
                  <c:v>691830</c:v>
                </c:pt>
                <c:pt idx="597">
                  <c:v>758580</c:v>
                </c:pt>
                <c:pt idx="598">
                  <c:v>831760</c:v>
                </c:pt>
                <c:pt idx="599">
                  <c:v>912010</c:v>
                </c:pt>
                <c:pt idx="600">
                  <c:v>1000000</c:v>
                </c:pt>
              </c:numCache>
            </c:numRef>
          </c:xVal>
          <c:yVal>
            <c:numRef>
              <c:f>'Stability Calculations'!$W$13:$W$613</c:f>
              <c:numCache>
                <c:formatCode>0.00</c:formatCode>
                <c:ptCount val="601"/>
                <c:pt idx="0">
                  <c:v>80.416474410376367</c:v>
                </c:pt>
                <c:pt idx="1">
                  <c:v>79.618334823474839</c:v>
                </c:pt>
                <c:pt idx="2">
                  <c:v>78.819935388544295</c:v>
                </c:pt>
                <c:pt idx="3">
                  <c:v>78.02130085348908</c:v>
                </c:pt>
                <c:pt idx="4">
                  <c:v>77.222973803448284</c:v>
                </c:pt>
                <c:pt idx="5">
                  <c:v>76.42364254498608</c:v>
                </c:pt>
                <c:pt idx="6">
                  <c:v>75.624455678107381</c:v>
                </c:pt>
                <c:pt idx="7">
                  <c:v>74.82489753789153</c:v>
                </c:pt>
                <c:pt idx="8">
                  <c:v>74.025559749634965</c:v>
                </c:pt>
                <c:pt idx="9">
                  <c:v>73.22584395193185</c:v>
                </c:pt>
                <c:pt idx="10">
                  <c:v>72.426214993788861</c:v>
                </c:pt>
                <c:pt idx="11">
                  <c:v>71.626562420330174</c:v>
                </c:pt>
                <c:pt idx="12">
                  <c:v>70.826464900247188</c:v>
                </c:pt>
                <c:pt idx="13">
                  <c:v>70.02669126779</c:v>
                </c:pt>
                <c:pt idx="14">
                  <c:v>69.226601680802716</c:v>
                </c:pt>
                <c:pt idx="15">
                  <c:v>68.426500645492908</c:v>
                </c:pt>
                <c:pt idx="16">
                  <c:v>67.626318493062826</c:v>
                </c:pt>
                <c:pt idx="17">
                  <c:v>66.826161604718308</c:v>
                </c:pt>
                <c:pt idx="18">
                  <c:v>66.025787591734996</c:v>
                </c:pt>
                <c:pt idx="19">
                  <c:v>65.225398446510354</c:v>
                </c:pt>
                <c:pt idx="20">
                  <c:v>64.424817997207967</c:v>
                </c:pt>
                <c:pt idx="21">
                  <c:v>63.624188949736855</c:v>
                </c:pt>
                <c:pt idx="22">
                  <c:v>62.823315140969356</c:v>
                </c:pt>
                <c:pt idx="23">
                  <c:v>62.022364376843264</c:v>
                </c:pt>
                <c:pt idx="24">
                  <c:v>61.221096351186674</c:v>
                </c:pt>
                <c:pt idx="25">
                  <c:v>60.419591402237494</c:v>
                </c:pt>
                <c:pt idx="26">
                  <c:v>59.617610512237249</c:v>
                </c:pt>
                <c:pt idx="27">
                  <c:v>58.815346590989137</c:v>
                </c:pt>
                <c:pt idx="28">
                  <c:v>58.012694100242172</c:v>
                </c:pt>
                <c:pt idx="29">
                  <c:v>57.210063436718279</c:v>
                </c:pt>
                <c:pt idx="30">
                  <c:v>56.405991205785625</c:v>
                </c:pt>
                <c:pt idx="31">
                  <c:v>55.601474104924087</c:v>
                </c:pt>
                <c:pt idx="32">
                  <c:v>54.79581590561839</c:v>
                </c:pt>
                <c:pt idx="33">
                  <c:v>53.989411574217954</c:v>
                </c:pt>
                <c:pt idx="34">
                  <c:v>53.181425918009467</c:v>
                </c:pt>
                <c:pt idx="35">
                  <c:v>52.372059841164727</c:v>
                </c:pt>
                <c:pt idx="36">
                  <c:v>51.560889352373451</c:v>
                </c:pt>
                <c:pt idx="37">
                  <c:v>50.747120303621116</c:v>
                </c:pt>
                <c:pt idx="38">
                  <c:v>49.931107620600869</c:v>
                </c:pt>
                <c:pt idx="39">
                  <c:v>49.111700511431778</c:v>
                </c:pt>
                <c:pt idx="40">
                  <c:v>48.288629474327756</c:v>
                </c:pt>
                <c:pt idx="41">
                  <c:v>47.461150907580326</c:v>
                </c:pt>
                <c:pt idx="42">
                  <c:v>46.628601699210051</c:v>
                </c:pt>
                <c:pt idx="43">
                  <c:v>45.789845098414439</c:v>
                </c:pt>
                <c:pt idx="44">
                  <c:v>44.944092066855205</c:v>
                </c:pt>
                <c:pt idx="45">
                  <c:v>44.090038872211423</c:v>
                </c:pt>
                <c:pt idx="46">
                  <c:v>43.226608407687323</c:v>
                </c:pt>
                <c:pt idx="47">
                  <c:v>42.352262129580254</c:v>
                </c:pt>
                <c:pt idx="48">
                  <c:v>41.465786698673654</c:v>
                </c:pt>
                <c:pt idx="49">
                  <c:v>40.565491367526846</c:v>
                </c:pt>
                <c:pt idx="50">
                  <c:v>39.650072007855833</c:v>
                </c:pt>
                <c:pt idx="51">
                  <c:v>38.717970881129908</c:v>
                </c:pt>
                <c:pt idx="52">
                  <c:v>37.768339839187661</c:v>
                </c:pt>
                <c:pt idx="53">
                  <c:v>36.800313040697716</c:v>
                </c:pt>
                <c:pt idx="54">
                  <c:v>35.814106559014306</c:v>
                </c:pt>
                <c:pt idx="55">
                  <c:v>34.808178622341075</c:v>
                </c:pt>
                <c:pt idx="56">
                  <c:v>33.784690879206607</c:v>
                </c:pt>
                <c:pt idx="57">
                  <c:v>32.744428272303075</c:v>
                </c:pt>
                <c:pt idx="58">
                  <c:v>31.690330023461968</c:v>
                </c:pt>
                <c:pt idx="59">
                  <c:v>30.624459324091184</c:v>
                </c:pt>
                <c:pt idx="60">
                  <c:v>29.550865327349772</c:v>
                </c:pt>
                <c:pt idx="61">
                  <c:v>28.473258773247178</c:v>
                </c:pt>
                <c:pt idx="62">
                  <c:v>27.395153001932847</c:v>
                </c:pt>
                <c:pt idx="63">
                  <c:v>26.321667413409763</c:v>
                </c:pt>
                <c:pt idx="64">
                  <c:v>25.255806163516095</c:v>
                </c:pt>
                <c:pt idx="65">
                  <c:v>24.20142177628356</c:v>
                </c:pt>
                <c:pt idx="66">
                  <c:v>23.161289125666059</c:v>
                </c:pt>
                <c:pt idx="67">
                  <c:v>22.137733987063125</c:v>
                </c:pt>
                <c:pt idx="68">
                  <c:v>21.131920458779277</c:v>
                </c:pt>
                <c:pt idx="69">
                  <c:v>20.144877221330493</c:v>
                </c:pt>
                <c:pt idx="70">
                  <c:v>19.176524368440187</c:v>
                </c:pt>
                <c:pt idx="71">
                  <c:v>18.226633192168102</c:v>
                </c:pt>
                <c:pt idx="72">
                  <c:v>17.294145936129787</c:v>
                </c:pt>
                <c:pt idx="73">
                  <c:v>16.378126579047528</c:v>
                </c:pt>
                <c:pt idx="74">
                  <c:v>15.476974056973908</c:v>
                </c:pt>
                <c:pt idx="75">
                  <c:v>14.589356072117114</c:v>
                </c:pt>
                <c:pt idx="76">
                  <c:v>13.713565335282096</c:v>
                </c:pt>
                <c:pt idx="77">
                  <c:v>12.8484062339876</c:v>
                </c:pt>
                <c:pt idx="78">
                  <c:v>11.992433763199809</c:v>
                </c:pt>
                <c:pt idx="79">
                  <c:v>11.14485406882933</c:v>
                </c:pt>
                <c:pt idx="80">
                  <c:v>10.30302398624718</c:v>
                </c:pt>
                <c:pt idx="81">
                  <c:v>9.4670176611643555</c:v>
                </c:pt>
                <c:pt idx="82">
                  <c:v>8.6352586800611668</c:v>
                </c:pt>
                <c:pt idx="83">
                  <c:v>7.8074214774372672</c:v>
                </c:pt>
                <c:pt idx="84">
                  <c:v>6.9820269103779893</c:v>
                </c:pt>
                <c:pt idx="85">
                  <c:v>6.1587619647280007</c:v>
                </c:pt>
                <c:pt idx="86">
                  <c:v>5.3367671754962984</c:v>
                </c:pt>
                <c:pt idx="87">
                  <c:v>4.5148952308340338</c:v>
                </c:pt>
                <c:pt idx="88">
                  <c:v>3.693233191436442</c:v>
                </c:pt>
                <c:pt idx="89">
                  <c:v>2.8704137547506168</c:v>
                </c:pt>
                <c:pt idx="90">
                  <c:v>2.0460131434950801</c:v>
                </c:pt>
                <c:pt idx="91">
                  <c:v>1.2191760630853183</c:v>
                </c:pt>
                <c:pt idx="92">
                  <c:v>0.38916134883737413</c:v>
                </c:pt>
                <c:pt idx="93">
                  <c:v>-0.44522429918429979</c:v>
                </c:pt>
                <c:pt idx="94">
                  <c:v>-0.65451906220279632</c:v>
                </c:pt>
                <c:pt idx="95">
                  <c:v>-0.75994494402611734</c:v>
                </c:pt>
                <c:pt idx="96">
                  <c:v>-0.86425292192832737</c:v>
                </c:pt>
                <c:pt idx="97">
                  <c:v>-0.96984952881059294</c:v>
                </c:pt>
                <c:pt idx="98">
                  <c:v>-1.0743310620801385</c:v>
                </c:pt>
                <c:pt idx="99">
                  <c:v>-1.1801344574208041</c:v>
                </c:pt>
                <c:pt idx="100">
                  <c:v>-1.2848250937618098</c:v>
                </c:pt>
                <c:pt idx="101">
                  <c:v>-1.3907895528798808</c:v>
                </c:pt>
                <c:pt idx="102">
                  <c:v>-1.4956447705493161</c:v>
                </c:pt>
                <c:pt idx="103">
                  <c:v>-1.6018822813288121</c:v>
                </c:pt>
                <c:pt idx="104">
                  <c:v>-1.7070119953726031</c:v>
                </c:pt>
                <c:pt idx="105">
                  <c:v>-1.8134744188220662</c:v>
                </c:pt>
                <c:pt idx="106">
                  <c:v>-1.9188317622887339</c:v>
                </c:pt>
                <c:pt idx="107">
                  <c:v>-2.0254747597324698</c:v>
                </c:pt>
                <c:pt idx="108">
                  <c:v>-2.1310165763772853</c:v>
                </c:pt>
                <c:pt idx="109">
                  <c:v>-2.2378717898035316</c:v>
                </c:pt>
                <c:pt idx="110">
                  <c:v>-2.3436293408984445</c:v>
                </c:pt>
                <c:pt idx="111">
                  <c:v>-2.4507968394500406</c:v>
                </c:pt>
                <c:pt idx="112">
                  <c:v>-2.5568684405432212</c:v>
                </c:pt>
                <c:pt idx="113">
                  <c:v>-2.6643013878354656</c:v>
                </c:pt>
                <c:pt idx="114">
                  <c:v>-2.7706414595448408</c:v>
                </c:pt>
                <c:pt idx="115">
                  <c:v>-2.878364832107656</c:v>
                </c:pt>
                <c:pt idx="116">
                  <c:v>-2.9849981508485839</c:v>
                </c:pt>
                <c:pt idx="117">
                  <c:v>-3.0930350443761156</c:v>
                </c:pt>
                <c:pt idx="118">
                  <c:v>-3.1999845571450418</c:v>
                </c:pt>
                <c:pt idx="119">
                  <c:v>-3.3082910101325931</c:v>
                </c:pt>
                <c:pt idx="120">
                  <c:v>-3.4155139522077018</c:v>
                </c:pt>
                <c:pt idx="121">
                  <c:v>-3.5241136970342355</c:v>
                </c:pt>
                <c:pt idx="122">
                  <c:v>-3.6316336437941543</c:v>
                </c:pt>
                <c:pt idx="123">
                  <c:v>-3.7406116070145607</c:v>
                </c:pt>
                <c:pt idx="124">
                  <c:v>-3.8485121393496136</c:v>
                </c:pt>
                <c:pt idx="125">
                  <c:v>-3.9578237665852187</c:v>
                </c:pt>
                <c:pt idx="126">
                  <c:v>-4.0660615499341972</c:v>
                </c:pt>
                <c:pt idx="127">
                  <c:v>-4.1757263293177784</c:v>
                </c:pt>
                <c:pt idx="128">
                  <c:v>-4.284320810848059</c:v>
                </c:pt>
                <c:pt idx="129">
                  <c:v>-4.3943570563148544</c:v>
                </c:pt>
                <c:pt idx="130">
                  <c:v>-4.5033265407659657</c:v>
                </c:pt>
                <c:pt idx="131">
                  <c:v>-4.6137515145767169</c:v>
                </c:pt>
                <c:pt idx="132">
                  <c:v>-4.6685636681702229</c:v>
                </c:pt>
                <c:pt idx="133">
                  <c:v>-4.723113283180405</c:v>
                </c:pt>
                <c:pt idx="134">
                  <c:v>-4.7786909975949019</c:v>
                </c:pt>
                <c:pt idx="135">
                  <c:v>-4.8340002510962963</c:v>
                </c:pt>
                <c:pt idx="136">
                  <c:v>-4.8890443475458483</c:v>
                </c:pt>
                <c:pt idx="137">
                  <c:v>-4.9438265323860069</c:v>
                </c:pt>
                <c:pt idx="138">
                  <c:v>-4.9995849056875494</c:v>
                </c:pt>
                <c:pt idx="139">
                  <c:v>-5.0550760243028439</c:v>
                </c:pt>
                <c:pt idx="140">
                  <c:v>-5.1103031787783015</c:v>
                </c:pt>
                <c:pt idx="141">
                  <c:v>-5.1652696014177319</c:v>
                </c:pt>
                <c:pt idx="142">
                  <c:v>-5.22127270144526</c:v>
                </c:pt>
                <c:pt idx="143">
                  <c:v>-5.2770092312081704</c:v>
                </c:pt>
                <c:pt idx="144">
                  <c:v>-5.3324824773675275</c:v>
                </c:pt>
                <c:pt idx="145">
                  <c:v>-5.387695668287062</c:v>
                </c:pt>
                <c:pt idx="146">
                  <c:v>-5.4439219707170148</c:v>
                </c:pt>
                <c:pt idx="147">
                  <c:v>-5.4998826868964077</c:v>
                </c:pt>
                <c:pt idx="148">
                  <c:v>-5.555581093859332</c:v>
                </c:pt>
                <c:pt idx="149">
                  <c:v>-5.6110204104136985</c:v>
                </c:pt>
                <c:pt idx="150">
                  <c:v>-5.667476712724314</c:v>
                </c:pt>
                <c:pt idx="151">
                  <c:v>-5.7236684407789795</c:v>
                </c:pt>
                <c:pt idx="152">
                  <c:v>-5.779598861191694</c:v>
                </c:pt>
                <c:pt idx="153">
                  <c:v>-5.8352711824308976</c:v>
                </c:pt>
                <c:pt idx="154">
                  <c:v>-5.8919900620947772</c:v>
                </c:pt>
                <c:pt idx="155">
                  <c:v>-5.9484451688339686</c:v>
                </c:pt>
                <c:pt idx="156">
                  <c:v>-6.0046397624056391</c:v>
                </c:pt>
                <c:pt idx="157">
                  <c:v>-6.0605770444078644</c:v>
                </c:pt>
                <c:pt idx="158">
                  <c:v>-6.1175634071693841</c:v>
                </c:pt>
                <c:pt idx="159">
                  <c:v>-6.1742868491019234</c:v>
                </c:pt>
                <c:pt idx="160">
                  <c:v>-6.2307506217881468</c:v>
                </c:pt>
                <c:pt idx="161">
                  <c:v>-6.2869579186594384</c:v>
                </c:pt>
                <c:pt idx="162">
                  <c:v>-6.3441914709535485</c:v>
                </c:pt>
                <c:pt idx="163">
                  <c:v>-6.4011632341459013</c:v>
                </c:pt>
                <c:pt idx="164">
                  <c:v>-6.4578764460289975</c:v>
                </c:pt>
                <c:pt idx="165">
                  <c:v>-6.5143342863747256</c:v>
                </c:pt>
                <c:pt idx="166">
                  <c:v>-6.5718703646913461</c:v>
                </c:pt>
                <c:pt idx="167">
                  <c:v>-6.6291453732738868</c:v>
                </c:pt>
                <c:pt idx="168">
                  <c:v>-6.6861625432438121</c:v>
                </c:pt>
                <c:pt idx="169">
                  <c:v>-6.7429250476531202</c:v>
                </c:pt>
                <c:pt idx="170">
                  <c:v>-6.8006459500142675</c:v>
                </c:pt>
                <c:pt idx="171">
                  <c:v>-6.8581076525346782</c:v>
                </c:pt>
                <c:pt idx="172">
                  <c:v>-6.915313357809838</c:v>
                </c:pt>
                <c:pt idx="173">
                  <c:v>-6.97226621082919</c:v>
                </c:pt>
                <c:pt idx="174">
                  <c:v>-7.0303955888775533</c:v>
                </c:pt>
                <c:pt idx="175">
                  <c:v>-7.088265719507854</c:v>
                </c:pt>
                <c:pt idx="176">
                  <c:v>-7.1458798116028523</c:v>
                </c:pt>
                <c:pt idx="177">
                  <c:v>-7.2032410160592573</c:v>
                </c:pt>
                <c:pt idx="178">
                  <c:v>-7.2617536852752931</c:v>
                </c:pt>
                <c:pt idx="179">
                  <c:v>-7.3200073927904983</c:v>
                </c:pt>
                <c:pt idx="180">
                  <c:v>-7.3780053469144926</c:v>
                </c:pt>
                <c:pt idx="181">
                  <c:v>-7.4357506977427326</c:v>
                </c:pt>
                <c:pt idx="182">
                  <c:v>-7.49439393126229</c:v>
                </c:pt>
                <c:pt idx="183">
                  <c:v>-7.5527807973028436</c:v>
                </c:pt>
                <c:pt idx="184">
                  <c:v>-7.6109144601031522</c:v>
                </c:pt>
                <c:pt idx="185">
                  <c:v>-7.6687980264988864</c:v>
                </c:pt>
                <c:pt idx="186">
                  <c:v>-7.7280132710148708</c:v>
                </c:pt>
                <c:pt idx="187">
                  <c:v>-7.7869709688620201</c:v>
                </c:pt>
                <c:pt idx="188">
                  <c:v>-7.8456743090970535</c:v>
                </c:pt>
                <c:pt idx="189">
                  <c:v>-7.9041264225098073</c:v>
                </c:pt>
                <c:pt idx="190">
                  <c:v>-7.9634387523529782</c:v>
                </c:pt>
                <c:pt idx="191">
                  <c:v>-8.0224965610144192</c:v>
                </c:pt>
                <c:pt idx="192">
                  <c:v>-8.0813029837269532</c:v>
                </c:pt>
                <c:pt idx="193">
                  <c:v>-8.1398610984896234</c:v>
                </c:pt>
                <c:pt idx="194">
                  <c:v>-8.1996994555675542</c:v>
                </c:pt>
                <c:pt idx="195">
                  <c:v>-8.2592827027536568</c:v>
                </c:pt>
                <c:pt idx="196">
                  <c:v>-8.3186139871249924</c:v>
                </c:pt>
                <c:pt idx="197">
                  <c:v>-8.3776963979538994</c:v>
                </c:pt>
                <c:pt idx="198">
                  <c:v>-8.4378186320150093</c:v>
                </c:pt>
                <c:pt idx="199">
                  <c:v>-8.4976873174233631</c:v>
                </c:pt>
                <c:pt idx="200">
                  <c:v>-8.5573055723515274</c:v>
                </c:pt>
                <c:pt idx="201">
                  <c:v>-8.6166764575805352</c:v>
                </c:pt>
                <c:pt idx="202">
                  <c:v>-8.6770673222399051</c:v>
                </c:pt>
                <c:pt idx="203">
                  <c:v>-8.7372063797810533</c:v>
                </c:pt>
                <c:pt idx="204">
                  <c:v>-8.7970967150386965</c:v>
                </c:pt>
                <c:pt idx="205">
                  <c:v>-8.8567413559726003</c:v>
                </c:pt>
                <c:pt idx="206">
                  <c:v>-8.9175941498303697</c:v>
                </c:pt>
                <c:pt idx="207">
                  <c:v>-8.9781953316109195</c:v>
                </c:pt>
                <c:pt idx="208">
                  <c:v>-9.038547979900093</c:v>
                </c:pt>
                <c:pt idx="209">
                  <c:v>-9.0986551162547364</c:v>
                </c:pt>
                <c:pt idx="210">
                  <c:v>-9.1601508606874535</c:v>
                </c:pt>
                <c:pt idx="211">
                  <c:v>-9.2213937888147903</c:v>
                </c:pt>
                <c:pt idx="212">
                  <c:v>-9.282386997153246</c:v>
                </c:pt>
                <c:pt idx="213">
                  <c:v>-9.3431335244287439</c:v>
                </c:pt>
                <c:pt idx="214">
                  <c:v>-9.4048399321930525</c:v>
                </c:pt>
                <c:pt idx="215">
                  <c:v>-9.4662959337336812</c:v>
                </c:pt>
                <c:pt idx="216">
                  <c:v>-9.5275045759446737</c:v>
                </c:pt>
                <c:pt idx="217">
                  <c:v>-9.5884688488354701</c:v>
                </c:pt>
                <c:pt idx="218">
                  <c:v>-9.6505734541555555</c:v>
                </c:pt>
                <c:pt idx="219">
                  <c:v>-9.7124285698916513</c:v>
                </c:pt>
                <c:pt idx="220">
                  <c:v>-9.7740372191425298</c:v>
                </c:pt>
                <c:pt idx="221">
                  <c:v>-9.8354023683865535</c:v>
                </c:pt>
                <c:pt idx="222">
                  <c:v>-9.8978868587837869</c:v>
                </c:pt>
                <c:pt idx="223">
                  <c:v>-9.9601229656121859</c:v>
                </c:pt>
                <c:pt idx="224">
                  <c:v>-10.022113683206015</c:v>
                </c:pt>
                <c:pt idx="225">
                  <c:v>-10.083861949666899</c:v>
                </c:pt>
                <c:pt idx="226">
                  <c:v>-10.146900540082278</c:v>
                </c:pt>
                <c:pt idx="227">
                  <c:v>-10.209690518161166</c:v>
                </c:pt>
                <c:pt idx="228">
                  <c:v>-10.272234871855694</c:v>
                </c:pt>
                <c:pt idx="229">
                  <c:v>-10.334536532713138</c:v>
                </c:pt>
                <c:pt idx="230">
                  <c:v>-10.461423913127101</c:v>
                </c:pt>
                <c:pt idx="231">
                  <c:v>-10.524497696151133</c:v>
                </c:pt>
                <c:pt idx="232">
                  <c:v>-10.587328784860164</c:v>
                </c:pt>
                <c:pt idx="233">
                  <c:v>-10.651402997720181</c:v>
                </c:pt>
                <c:pt idx="234">
                  <c:v>-10.715228872054819</c:v>
                </c:pt>
                <c:pt idx="235">
                  <c:v>-10.778809364324292</c:v>
                </c:pt>
                <c:pt idx="236">
                  <c:v>-10.842147374710125</c:v>
                </c:pt>
                <c:pt idx="237">
                  <c:v>-10.906523544438809</c:v>
                </c:pt>
                <c:pt idx="238">
                  <c:v>-10.970653218729252</c:v>
                </c:pt>
                <c:pt idx="239">
                  <c:v>-11.034539305284863</c:v>
                </c:pt>
                <c:pt idx="240">
                  <c:v>-11.098184656436725</c:v>
                </c:pt>
                <c:pt idx="241">
                  <c:v>-11.163210187586056</c:v>
                </c:pt>
                <c:pt idx="242">
                  <c:v>-11.227988419402051</c:v>
                </c:pt>
                <c:pt idx="243">
                  <c:v>-11.292522255736069</c:v>
                </c:pt>
                <c:pt idx="244">
                  <c:v>-11.356814544844351</c:v>
                </c:pt>
                <c:pt idx="245">
                  <c:v>-11.422284866592641</c:v>
                </c:pt>
                <c:pt idx="246">
                  <c:v>-11.487508662503567</c:v>
                </c:pt>
                <c:pt idx="247">
                  <c:v>-11.552488802872457</c:v>
                </c:pt>
                <c:pt idx="248">
                  <c:v>-11.617228102941139</c:v>
                </c:pt>
                <c:pt idx="249">
                  <c:v>-11.683299573471045</c:v>
                </c:pt>
                <c:pt idx="250">
                  <c:v>-11.749124121258603</c:v>
                </c:pt>
                <c:pt idx="251">
                  <c:v>-11.814704601465365</c:v>
                </c:pt>
                <c:pt idx="252">
                  <c:v>-11.880043814284736</c:v>
                </c:pt>
                <c:pt idx="253">
                  <c:v>-11.946519740953024</c:v>
                </c:pt>
                <c:pt idx="254">
                  <c:v>-12.012749811979837</c:v>
                </c:pt>
                <c:pt idx="255">
                  <c:v>-12.078736840182135</c:v>
                </c:pt>
                <c:pt idx="256">
                  <c:v>-12.144483584205741</c:v>
                </c:pt>
                <c:pt idx="257">
                  <c:v>-12.211686745247594</c:v>
                </c:pt>
                <c:pt idx="258">
                  <c:v>-12.278642723634368</c:v>
                </c:pt>
                <c:pt idx="259">
                  <c:v>-12.345354328826595</c:v>
                </c:pt>
                <c:pt idx="260">
                  <c:v>-12.411824315930428</c:v>
                </c:pt>
                <c:pt idx="261">
                  <c:v>-12.479557882850793</c:v>
                </c:pt>
                <c:pt idx="262">
                  <c:v>-12.547044384911016</c:v>
                </c:pt>
                <c:pt idx="263">
                  <c:v>-12.614286601495884</c:v>
                </c:pt>
                <c:pt idx="264">
                  <c:v>-12.681287258158786</c:v>
                </c:pt>
                <c:pt idx="265">
                  <c:v>-12.749529929713956</c:v>
                </c:pt>
                <c:pt idx="266">
                  <c:v>-12.817525778961084</c:v>
                </c:pt>
                <c:pt idx="267">
                  <c:v>-12.885277551296326</c:v>
                </c:pt>
                <c:pt idx="268">
                  <c:v>-12.95278793893309</c:v>
                </c:pt>
                <c:pt idx="269">
                  <c:v>-13.02168156981722</c:v>
                </c:pt>
                <c:pt idx="270">
                  <c:v>-13.09032756463732</c:v>
                </c:pt>
                <c:pt idx="271">
                  <c:v>-13.158728650471602</c:v>
                </c:pt>
                <c:pt idx="272">
                  <c:v>-13.226887501487838</c:v>
                </c:pt>
                <c:pt idx="273">
                  <c:v>-13.296405737881571</c:v>
                </c:pt>
                <c:pt idx="274">
                  <c:v>-13.365675684032913</c:v>
                </c:pt>
                <c:pt idx="275">
                  <c:v>-13.434700044061023</c:v>
                </c:pt>
                <c:pt idx="276">
                  <c:v>-13.503481469596192</c:v>
                </c:pt>
                <c:pt idx="277">
                  <c:v>-13.573441394782744</c:v>
                </c:pt>
                <c:pt idx="278">
                  <c:v>-13.643153626631348</c:v>
                </c:pt>
                <c:pt idx="279">
                  <c:v>-13.712620824348004</c:v>
                </c:pt>
                <c:pt idx="280">
                  <c:v>-13.781845595670175</c:v>
                </c:pt>
                <c:pt idx="281">
                  <c:v>-13.852695850587843</c:v>
                </c:pt>
                <c:pt idx="282">
                  <c:v>-13.923295782650616</c:v>
                </c:pt>
                <c:pt idx="283">
                  <c:v>-13.993648056179744</c:v>
                </c:pt>
                <c:pt idx="284">
                  <c:v>-14.063755283794819</c:v>
                </c:pt>
                <c:pt idx="285">
                  <c:v>-14.134999539232002</c:v>
                </c:pt>
                <c:pt idx="286">
                  <c:v>-14.205994287883152</c:v>
                </c:pt>
                <c:pt idx="287">
                  <c:v>-14.276742142690292</c:v>
                </c:pt>
                <c:pt idx="288">
                  <c:v>-14.347245666152928</c:v>
                </c:pt>
                <c:pt idx="289">
                  <c:v>-14.419321299043165</c:v>
                </c:pt>
                <c:pt idx="290">
                  <c:v>-14.491145105180825</c:v>
                </c:pt>
                <c:pt idx="291">
                  <c:v>-14.562719693906519</c:v>
                </c:pt>
                <c:pt idx="292">
                  <c:v>-14.634047624189995</c:v>
                </c:pt>
                <c:pt idx="293">
                  <c:v>-14.706771231838117</c:v>
                </c:pt>
                <c:pt idx="294">
                  <c:v>-14.779241912322693</c:v>
                </c:pt>
                <c:pt idx="295">
                  <c:v>-14.851462250743834</c:v>
                </c:pt>
                <c:pt idx="296">
                  <c:v>-14.923434782475038</c:v>
                </c:pt>
                <c:pt idx="297">
                  <c:v>-14.996779302227377</c:v>
                </c:pt>
                <c:pt idx="298">
                  <c:v>-15.069869902911975</c:v>
                </c:pt>
                <c:pt idx="299">
                  <c:v>-15.142709142506829</c:v>
                </c:pt>
                <c:pt idx="300">
                  <c:v>-15.215299530024865</c:v>
                </c:pt>
                <c:pt idx="301">
                  <c:v>-15.289238723716336</c:v>
                </c:pt>
                <c:pt idx="302">
                  <c:v>-15.362923099407549</c:v>
                </c:pt>
                <c:pt idx="303">
                  <c:v>-15.436355185599822</c:v>
                </c:pt>
                <c:pt idx="304">
                  <c:v>-15.509537462694365</c:v>
                </c:pt>
                <c:pt idx="305">
                  <c:v>-15.584331923196036</c:v>
                </c:pt>
                <c:pt idx="306">
                  <c:v>-15.6588687854704</c:v>
                </c:pt>
                <c:pt idx="307">
                  <c:v>-15.733150575333797</c:v>
                </c:pt>
                <c:pt idx="308">
                  <c:v>-15.807179770737278</c:v>
                </c:pt>
                <c:pt idx="309">
                  <c:v>-15.882510859592054</c:v>
                </c:pt>
                <c:pt idx="310">
                  <c:v>-15.95758367026674</c:v>
                </c:pt>
                <c:pt idx="311">
                  <c:v>-16.032400694185604</c:v>
                </c:pt>
                <c:pt idx="312">
                  <c:v>-16.106964375987445</c:v>
                </c:pt>
                <c:pt idx="313">
                  <c:v>-16.183086505591323</c:v>
                </c:pt>
                <c:pt idx="314">
                  <c:v>-16.258947832227481</c:v>
                </c:pt>
                <c:pt idx="315">
                  <c:v>-16.33455083899733</c:v>
                </c:pt>
                <c:pt idx="316">
                  <c:v>-16.409897962691282</c:v>
                </c:pt>
                <c:pt idx="317">
                  <c:v>-16.486776468417801</c:v>
                </c:pt>
                <c:pt idx="318">
                  <c:v>-16.563391786820326</c:v>
                </c:pt>
                <c:pt idx="319">
                  <c:v>-16.639746389896619</c:v>
                </c:pt>
                <c:pt idx="320">
                  <c:v>-16.715842703926622</c:v>
                </c:pt>
                <c:pt idx="321">
                  <c:v>-16.793443815048711</c:v>
                </c:pt>
                <c:pt idx="322">
                  <c:v>-16.870779482515687</c:v>
                </c:pt>
                <c:pt idx="323">
                  <c:v>-16.947852164945875</c:v>
                </c:pt>
                <c:pt idx="324">
                  <c:v>-17.024664275936495</c:v>
                </c:pt>
                <c:pt idx="325">
                  <c:v>-17.102955064350105</c:v>
                </c:pt>
                <c:pt idx="326">
                  <c:v>-17.180978269991364</c:v>
                </c:pt>
                <c:pt idx="327">
                  <c:v>-17.258736336295893</c:v>
                </c:pt>
                <c:pt idx="328">
                  <c:v>-17.336231662462843</c:v>
                </c:pt>
                <c:pt idx="329">
                  <c:v>-17.415311791157229</c:v>
                </c:pt>
                <c:pt idx="330">
                  <c:v>-17.494121407547464</c:v>
                </c:pt>
                <c:pt idx="331">
                  <c:v>-17.572662950603316</c:v>
                </c:pt>
                <c:pt idx="332">
                  <c:v>-17.650938815628489</c:v>
                </c:pt>
                <c:pt idx="333">
                  <c:v>-17.730641546811256</c:v>
                </c:pt>
                <c:pt idx="334">
                  <c:v>-17.810071863477269</c:v>
                </c:pt>
                <c:pt idx="335">
                  <c:v>-17.889232186446815</c:v>
                </c:pt>
                <c:pt idx="336">
                  <c:v>-17.968124893808842</c:v>
                </c:pt>
                <c:pt idx="337">
                  <c:v>-18.048676153784427</c:v>
                </c:pt>
                <c:pt idx="338">
                  <c:v>-18.128951439673944</c:v>
                </c:pt>
                <c:pt idx="339">
                  <c:v>-18.208953176490454</c:v>
                </c:pt>
                <c:pt idx="340">
                  <c:v>-18.288683746963702</c:v>
                </c:pt>
                <c:pt idx="341">
                  <c:v>-18.370043217917885</c:v>
                </c:pt>
                <c:pt idx="342">
                  <c:v>-18.451123317771149</c:v>
                </c:pt>
                <c:pt idx="343">
                  <c:v>-18.531926473771893</c:v>
                </c:pt>
                <c:pt idx="344">
                  <c:v>-18.612455071418431</c:v>
                </c:pt>
                <c:pt idx="345">
                  <c:v>-18.694458579373141</c:v>
                </c:pt>
                <c:pt idx="346">
                  <c:v>-18.776180330918699</c:v>
                </c:pt>
                <c:pt idx="347">
                  <c:v>-18.857622742983921</c:v>
                </c:pt>
                <c:pt idx="348">
                  <c:v>-18.938788191597109</c:v>
                </c:pt>
                <c:pt idx="349">
                  <c:v>-19.021648548467066</c:v>
                </c:pt>
                <c:pt idx="350">
                  <c:v>-19.104223187241917</c:v>
                </c:pt>
                <c:pt idx="351">
                  <c:v>-19.186514535481304</c:v>
                </c:pt>
                <c:pt idx="352">
                  <c:v>-19.268524980249321</c:v>
                </c:pt>
                <c:pt idx="353">
                  <c:v>-19.352199490491905</c:v>
                </c:pt>
                <c:pt idx="354">
                  <c:v>-19.435584499881276</c:v>
                </c:pt>
                <c:pt idx="355">
                  <c:v>-19.518682444948947</c:v>
                </c:pt>
                <c:pt idx="356">
                  <c:v>-19.6014957222006</c:v>
                </c:pt>
                <c:pt idx="357">
                  <c:v>-19.685822929039357</c:v>
                </c:pt>
                <c:pt idx="358">
                  <c:v>-19.769857855345396</c:v>
                </c:pt>
                <c:pt idx="359">
                  <c:v>-19.853602934938021</c:v>
                </c:pt>
                <c:pt idx="360">
                  <c:v>-19.937060562352087</c:v>
                </c:pt>
                <c:pt idx="361">
                  <c:v>-20.022240867379054</c:v>
                </c:pt>
                <c:pt idx="362">
                  <c:v>-20.107124612006984</c:v>
                </c:pt>
                <c:pt idx="363">
                  <c:v>-20.19171424707509</c:v>
                </c:pt>
                <c:pt idx="364">
                  <c:v>-20.27601218446874</c:v>
                </c:pt>
                <c:pt idx="365">
                  <c:v>-20.361884388005794</c:v>
                </c:pt>
                <c:pt idx="366">
                  <c:v>-20.44745676171145</c:v>
                </c:pt>
                <c:pt idx="367">
                  <c:v>-20.532731761989048</c:v>
                </c:pt>
                <c:pt idx="368">
                  <c:v>-20.617711806870439</c:v>
                </c:pt>
                <c:pt idx="369">
                  <c:v>-20.704466792647345</c:v>
                </c:pt>
                <c:pt idx="370">
                  <c:v>-20.790917237692614</c:v>
                </c:pt>
                <c:pt idx="371">
                  <c:v>-20.877065622763759</c:v>
                </c:pt>
                <c:pt idx="372">
                  <c:v>-20.962914390444098</c:v>
                </c:pt>
                <c:pt idx="373">
                  <c:v>-21.050391419723688</c:v>
                </c:pt>
                <c:pt idx="374">
                  <c:v>-21.137560216114565</c:v>
                </c:pt>
                <c:pt idx="375">
                  <c:v>-21.224423273421653</c:v>
                </c:pt>
                <c:pt idx="376">
                  <c:v>-21.310983047706266</c:v>
                </c:pt>
                <c:pt idx="377">
                  <c:v>-21.399363886061167</c:v>
                </c:pt>
                <c:pt idx="378">
                  <c:v>-21.487431412635992</c:v>
                </c:pt>
                <c:pt idx="379">
                  <c:v>-21.57518815224347</c:v>
                </c:pt>
                <c:pt idx="380">
                  <c:v>-21.662636592019737</c:v>
                </c:pt>
                <c:pt idx="381">
                  <c:v>-21.751651058980816</c:v>
                </c:pt>
                <c:pt idx="382">
                  <c:v>-21.840348944913703</c:v>
                </c:pt>
                <c:pt idx="383">
                  <c:v>-21.928732785030256</c:v>
                </c:pt>
                <c:pt idx="384">
                  <c:v>-22.016805077332613</c:v>
                </c:pt>
                <c:pt idx="385">
                  <c:v>-22.106739427861175</c:v>
                </c:pt>
                <c:pt idx="386">
                  <c:v>-22.196351792642986</c:v>
                </c:pt>
                <c:pt idx="387">
                  <c:v>-22.285644744137091</c:v>
                </c:pt>
                <c:pt idx="388">
                  <c:v>-22.374620817522999</c:v>
                </c:pt>
                <c:pt idx="389">
                  <c:v>-22.465315804398237</c:v>
                </c:pt>
                <c:pt idx="390">
                  <c:v>-22.555684436860904</c:v>
                </c:pt>
                <c:pt idx="391">
                  <c:v>-22.645729313370907</c:v>
                </c:pt>
                <c:pt idx="392">
                  <c:v>-22.735452995243058</c:v>
                </c:pt>
                <c:pt idx="393">
                  <c:v>-22.826862282016954</c:v>
                </c:pt>
                <c:pt idx="394">
                  <c:v>-22.917941085216089</c:v>
                </c:pt>
                <c:pt idx="395">
                  <c:v>-23.008692027653737</c:v>
                </c:pt>
                <c:pt idx="396">
                  <c:v>-23.099117695143025</c:v>
                </c:pt>
                <c:pt idx="397">
                  <c:v>-23.191404116189961</c:v>
                </c:pt>
                <c:pt idx="398">
                  <c:v>-23.283354653120579</c:v>
                </c:pt>
                <c:pt idx="399">
                  <c:v>-23.374971969347449</c:v>
                </c:pt>
                <c:pt idx="400">
                  <c:v>-23.466258691102581</c:v>
                </c:pt>
                <c:pt idx="401">
                  <c:v>-23.559266886732928</c:v>
                </c:pt>
                <c:pt idx="402">
                  <c:v>-23.651934832970692</c:v>
                </c:pt>
                <c:pt idx="403">
                  <c:v>-23.744265222618051</c:v>
                </c:pt>
                <c:pt idx="404">
                  <c:v>-23.836260711301748</c:v>
                </c:pt>
                <c:pt idx="405">
                  <c:v>-23.930044642676368</c:v>
                </c:pt>
                <c:pt idx="406">
                  <c:v>-24.023483476999065</c:v>
                </c:pt>
                <c:pt idx="407">
                  <c:v>-24.116579943228999</c:v>
                </c:pt>
                <c:pt idx="408">
                  <c:v>-24.209336733004708</c:v>
                </c:pt>
                <c:pt idx="409">
                  <c:v>-24.303945778306037</c:v>
                </c:pt>
                <c:pt idx="410">
                  <c:v>-24.398204425476759</c:v>
                </c:pt>
                <c:pt idx="411">
                  <c:v>-24.492115445969958</c:v>
                </c:pt>
                <c:pt idx="412">
                  <c:v>-24.585681573632488</c:v>
                </c:pt>
                <c:pt idx="413">
                  <c:v>-24.681062613345212</c:v>
                </c:pt>
                <c:pt idx="414">
                  <c:v>-24.776088257370212</c:v>
                </c:pt>
                <c:pt idx="415">
                  <c:v>-24.870761316961776</c:v>
                </c:pt>
                <c:pt idx="416">
                  <c:v>-24.965084565505204</c:v>
                </c:pt>
                <c:pt idx="417">
                  <c:v>-25.061282559696529</c:v>
                </c:pt>
                <c:pt idx="418">
                  <c:v>-25.157119737952574</c:v>
                </c:pt>
                <c:pt idx="419">
                  <c:v>-25.252598957171209</c:v>
                </c:pt>
                <c:pt idx="420">
                  <c:v>-25.347723035987929</c:v>
                </c:pt>
                <c:pt idx="421">
                  <c:v>-25.444588354105075</c:v>
                </c:pt>
                <c:pt idx="422">
                  <c:v>-25.541088473117846</c:v>
                </c:pt>
                <c:pt idx="423">
                  <c:v>-25.63722628404237</c:v>
                </c:pt>
                <c:pt idx="424">
                  <c:v>-25.733004639417807</c:v>
                </c:pt>
                <c:pt idx="425">
                  <c:v>-25.830769857275754</c:v>
                </c:pt>
                <c:pt idx="426">
                  <c:v>-25.928163654647626</c:v>
                </c:pt>
                <c:pt idx="427">
                  <c:v>-26.025188979164732</c:v>
                </c:pt>
                <c:pt idx="428">
                  <c:v>-26.121848739343694</c:v>
                </c:pt>
                <c:pt idx="429">
                  <c:v>-26.220361655925473</c:v>
                </c:pt>
                <c:pt idx="430">
                  <c:v>-26.318497994360108</c:v>
                </c:pt>
                <c:pt idx="431">
                  <c:v>-26.416260746887165</c:v>
                </c:pt>
                <c:pt idx="432">
                  <c:v>-26.51365286618368</c:v>
                </c:pt>
                <c:pt idx="433">
                  <c:v>-26.612859517210907</c:v>
                </c:pt>
                <c:pt idx="434">
                  <c:v>-26.711684762975398</c:v>
                </c:pt>
                <c:pt idx="435">
                  <c:v>-26.810131636948412</c:v>
                </c:pt>
                <c:pt idx="436">
                  <c:v>-26.908203132628294</c:v>
                </c:pt>
                <c:pt idx="437">
                  <c:v>-27.008230253005586</c:v>
                </c:pt>
                <c:pt idx="438">
                  <c:v>-27.10787008284488</c:v>
                </c:pt>
                <c:pt idx="439">
                  <c:v>-27.207125709954646</c:v>
                </c:pt>
                <c:pt idx="440">
                  <c:v>-27.306000181511632</c:v>
                </c:pt>
                <c:pt idx="441">
                  <c:v>-27.406788792341082</c:v>
                </c:pt>
                <c:pt idx="442">
                  <c:v>-27.507184593823226</c:v>
                </c:pt>
                <c:pt idx="443">
                  <c:v>-27.607190724187078</c:v>
                </c:pt>
                <c:pt idx="444">
                  <c:v>-27.706810280424353</c:v>
                </c:pt>
                <c:pt idx="445">
                  <c:v>-27.808303168152829</c:v>
                </c:pt>
                <c:pt idx="446">
                  <c:v>-27.909398087887336</c:v>
                </c:pt>
                <c:pt idx="447">
                  <c:v>-28.010098224376023</c:v>
                </c:pt>
                <c:pt idx="448">
                  <c:v>-28.11040672058002</c:v>
                </c:pt>
                <c:pt idx="449">
                  <c:v>-28.212719324975705</c:v>
                </c:pt>
                <c:pt idx="450">
                  <c:v>-28.314627809639589</c:v>
                </c:pt>
                <c:pt idx="451">
                  <c:v>-28.416135418129961</c:v>
                </c:pt>
                <c:pt idx="452">
                  <c:v>-28.51724535144491</c:v>
                </c:pt>
                <c:pt idx="453">
                  <c:v>-28.620231814082842</c:v>
                </c:pt>
                <c:pt idx="454">
                  <c:v>-28.722809065680181</c:v>
                </c:pt>
                <c:pt idx="455">
                  <c:v>-28.824980396237976</c:v>
                </c:pt>
                <c:pt idx="456">
                  <c:v>-28.926749052635014</c:v>
                </c:pt>
                <c:pt idx="457">
                  <c:v>-29.030519064660378</c:v>
                </c:pt>
                <c:pt idx="458">
                  <c:v>-29.1338738149527</c:v>
                </c:pt>
                <c:pt idx="459">
                  <c:v>-29.236816651880293</c:v>
                </c:pt>
                <c:pt idx="460">
                  <c:v>-29.339350879918634</c:v>
                </c:pt>
                <c:pt idx="461">
                  <c:v>-29.443842475150316</c:v>
                </c:pt>
                <c:pt idx="462">
                  <c:v>-29.547913159545232</c:v>
                </c:pt>
                <c:pt idx="463">
                  <c:v>-29.651566335394847</c:v>
                </c:pt>
                <c:pt idx="464">
                  <c:v>-29.754805360408771</c:v>
                </c:pt>
                <c:pt idx="465">
                  <c:v>-29.860038683421944</c:v>
                </c:pt>
                <c:pt idx="466">
                  <c:v>-29.964845191666928</c:v>
                </c:pt>
                <c:pt idx="467">
                  <c:v>-30.069228344882575</c:v>
                </c:pt>
                <c:pt idx="468">
                  <c:v>-30.173191557483577</c:v>
                </c:pt>
                <c:pt idx="469">
                  <c:v>-30.27910464378332</c:v>
                </c:pt>
                <c:pt idx="470">
                  <c:v>-30.384585420773796</c:v>
                </c:pt>
                <c:pt idx="471">
                  <c:v>-30.489637401169652</c:v>
                </c:pt>
                <c:pt idx="472">
                  <c:v>-30.594264051710027</c:v>
                </c:pt>
                <c:pt idx="473">
                  <c:v>-30.700952135413644</c:v>
                </c:pt>
                <c:pt idx="474">
                  <c:v>-30.807201543856436</c:v>
                </c:pt>
                <c:pt idx="475">
                  <c:v>-30.913015853924154</c:v>
                </c:pt>
                <c:pt idx="476">
                  <c:v>-31.018398595698272</c:v>
                </c:pt>
                <c:pt idx="477">
                  <c:v>-31.125796094483249</c:v>
                </c:pt>
                <c:pt idx="478">
                  <c:v>-31.232748991994626</c:v>
                </c:pt>
                <c:pt idx="479">
                  <c:v>-31.339260924631485</c:v>
                </c:pt>
                <c:pt idx="480">
                  <c:v>-31.445335481264006</c:v>
                </c:pt>
                <c:pt idx="481">
                  <c:v>-31.553378940809921</c:v>
                </c:pt>
                <c:pt idx="482">
                  <c:v>-31.660972305674534</c:v>
                </c:pt>
                <c:pt idx="483">
                  <c:v>-31.768119267292086</c:v>
                </c:pt>
                <c:pt idx="484">
                  <c:v>-31.874823468948513</c:v>
                </c:pt>
                <c:pt idx="485">
                  <c:v>-31.983525396708838</c:v>
                </c:pt>
                <c:pt idx="486">
                  <c:v>-32.091771543600387</c:v>
                </c:pt>
                <c:pt idx="487">
                  <c:v>-32.199565659428792</c:v>
                </c:pt>
                <c:pt idx="488">
                  <c:v>-32.306911445205571</c:v>
                </c:pt>
                <c:pt idx="489">
                  <c:v>-32.416354157408563</c:v>
                </c:pt>
                <c:pt idx="490">
                  <c:v>-32.525334620160884</c:v>
                </c:pt>
                <c:pt idx="491">
                  <c:v>-32.633856652467117</c:v>
                </c:pt>
                <c:pt idx="492">
                  <c:v>-32.74192402374139</c:v>
                </c:pt>
                <c:pt idx="493">
                  <c:v>-32.852039487004269</c:v>
                </c:pt>
                <c:pt idx="494">
                  <c:v>-32.961686712652693</c:v>
                </c:pt>
                <c:pt idx="495">
                  <c:v>-33.070869584368367</c:v>
                </c:pt>
                <c:pt idx="496">
                  <c:v>-33.179591935566478</c:v>
                </c:pt>
                <c:pt idx="497">
                  <c:v>-33.290384642723481</c:v>
                </c:pt>
                <c:pt idx="498">
                  <c:v>-33.400702999127091</c:v>
                </c:pt>
                <c:pt idx="499">
                  <c:v>-33.510550956342449</c:v>
                </c:pt>
                <c:pt idx="500">
                  <c:v>-33.619932414983104</c:v>
                </c:pt>
                <c:pt idx="501">
                  <c:v>-33.731404422307797</c:v>
                </c:pt>
                <c:pt idx="502">
                  <c:v>-33.842395864423096</c:v>
                </c:pt>
                <c:pt idx="503">
                  <c:v>-33.952910763989969</c:v>
                </c:pt>
                <c:pt idx="504">
                  <c:v>-34.062953092028415</c:v>
                </c:pt>
                <c:pt idx="505">
                  <c:v>-34.175036326345115</c:v>
                </c:pt>
                <c:pt idx="506">
                  <c:v>-34.28663329153197</c:v>
                </c:pt>
                <c:pt idx="507">
                  <c:v>-34.39774807719256</c:v>
                </c:pt>
                <c:pt idx="508">
                  <c:v>-34.508384720726468</c:v>
                </c:pt>
                <c:pt idx="509">
                  <c:v>-34.62108026458823</c:v>
                </c:pt>
                <c:pt idx="510">
                  <c:v>-34.733283761293087</c:v>
                </c:pt>
                <c:pt idx="511">
                  <c:v>-34.844999370888331</c:v>
                </c:pt>
                <c:pt idx="512">
                  <c:v>-34.956231200654308</c:v>
                </c:pt>
                <c:pt idx="513">
                  <c:v>-35.06960353005681</c:v>
                </c:pt>
                <c:pt idx="514">
                  <c:v>-35.182477411979832</c:v>
                </c:pt>
                <c:pt idx="515">
                  <c:v>-35.294857087799471</c:v>
                </c:pt>
                <c:pt idx="516">
                  <c:v>-35.406746745441502</c:v>
                </c:pt>
                <c:pt idx="517">
                  <c:v>-35.520725080270864</c:v>
                </c:pt>
                <c:pt idx="518">
                  <c:v>-35.634199138015767</c:v>
                </c:pt>
                <c:pt idx="519">
                  <c:v>-35.747173237564965</c:v>
                </c:pt>
                <c:pt idx="520">
                  <c:v>-35.859651643808</c:v>
                </c:pt>
                <c:pt idx="521">
                  <c:v>-35.974231219431026</c:v>
                </c:pt>
                <c:pt idx="522">
                  <c:v>-36.088300696912249</c:v>
                </c:pt>
                <c:pt idx="523">
                  <c:v>-36.201864476435397</c:v>
                </c:pt>
                <c:pt idx="524">
                  <c:v>-36.314926903647056</c:v>
                </c:pt>
                <c:pt idx="525">
                  <c:v>-36.430101300795101</c:v>
                </c:pt>
                <c:pt idx="526">
                  <c:v>-36.544759817515747</c:v>
                </c:pt>
                <c:pt idx="527">
                  <c:v>-36.658906939213935</c:v>
                </c:pt>
                <c:pt idx="528">
                  <c:v>-36.772547096233581</c:v>
                </c:pt>
                <c:pt idx="529">
                  <c:v>-36.888308407134978</c:v>
                </c:pt>
                <c:pt idx="530">
                  <c:v>-37.00354812591862</c:v>
                </c:pt>
                <c:pt idx="531">
                  <c:v>-37.118270827308486</c:v>
                </c:pt>
                <c:pt idx="532">
                  <c:v>-37.232481030461784</c:v>
                </c:pt>
                <c:pt idx="533">
                  <c:v>-37.348879958639259</c:v>
                </c:pt>
                <c:pt idx="534">
                  <c:v>-37.464751145149926</c:v>
                </c:pt>
                <c:pt idx="535">
                  <c:v>-37.580099265527195</c:v>
                </c:pt>
                <c:pt idx="536">
                  <c:v>-37.694928939139842</c:v>
                </c:pt>
                <c:pt idx="537">
                  <c:v>-37.811834204728981</c:v>
                </c:pt>
                <c:pt idx="538">
                  <c:v>-37.928206812717058</c:v>
                </c:pt>
                <c:pt idx="539">
                  <c:v>-38.044051529488094</c:v>
                </c:pt>
                <c:pt idx="540">
                  <c:v>-38.159373064922335</c:v>
                </c:pt>
                <c:pt idx="541">
                  <c:v>-38.276892189581737</c:v>
                </c:pt>
                <c:pt idx="542">
                  <c:v>-38.393872838336009</c:v>
                </c:pt>
                <c:pt idx="543">
                  <c:v>-38.510319887703211</c:v>
                </c:pt>
                <c:pt idx="544">
                  <c:v>-38.626238157163527</c:v>
                </c:pt>
                <c:pt idx="545">
                  <c:v>-38.744299244671176</c:v>
                </c:pt>
                <c:pt idx="546">
                  <c:v>-38.861816800916273</c:v>
                </c:pt>
                <c:pt idx="547">
                  <c:v>-38.978795810401628</c:v>
                </c:pt>
                <c:pt idx="548">
                  <c:v>-39.095241200211966</c:v>
                </c:pt>
                <c:pt idx="549">
                  <c:v>-39.213831779254491</c:v>
                </c:pt>
                <c:pt idx="550">
                  <c:v>-39.331874032802794</c:v>
                </c:pt>
                <c:pt idx="551">
                  <c:v>-39.449373058857738</c:v>
                </c:pt>
                <c:pt idx="552">
                  <c:v>-39.566333897669878</c:v>
                </c:pt>
                <c:pt idx="553">
                  <c:v>-39.685495912991108</c:v>
                </c:pt>
                <c:pt idx="554">
                  <c:v>-39.804104609370775</c:v>
                </c:pt>
                <c:pt idx="555">
                  <c:v>-39.922165211423511</c:v>
                </c:pt>
                <c:pt idx="556">
                  <c:v>-40.039682885632608</c:v>
                </c:pt>
                <c:pt idx="557">
                  <c:v>-40.278560311712717</c:v>
                </c:pt>
                <c:pt idx="558">
                  <c:v>-40.515227387663309</c:v>
                </c:pt>
                <c:pt idx="559">
                  <c:v>-40.755076221047531</c:v>
                </c:pt>
                <c:pt idx="560">
                  <c:v>-40.992700498742423</c:v>
                </c:pt>
                <c:pt idx="561">
                  <c:v>-41.233703387330898</c:v>
                </c:pt>
                <c:pt idx="562">
                  <c:v>-41.472465615886222</c:v>
                </c:pt>
                <c:pt idx="563">
                  <c:v>-41.714084428451926</c:v>
                </c:pt>
                <c:pt idx="564">
                  <c:v>-41.953458199004181</c:v>
                </c:pt>
                <c:pt idx="565">
                  <c:v>-42.196583566252613</c:v>
                </c:pt>
                <c:pt idx="566">
                  <c:v>-42.437445124636113</c:v>
                </c:pt>
                <c:pt idx="567">
                  <c:v>-42.681930768880633</c:v>
                </c:pt>
                <c:pt idx="568">
                  <c:v>-42.924139047688058</c:v>
                </c:pt>
                <c:pt idx="569">
                  <c:v>-43.168895912806306</c:v>
                </c:pt>
                <c:pt idx="570">
                  <c:v>-43.411384922823444</c:v>
                </c:pt>
                <c:pt idx="571">
                  <c:v>-43.658220816303285</c:v>
                </c:pt>
                <c:pt idx="572">
                  <c:v>-43.902768418739832</c:v>
                </c:pt>
                <c:pt idx="573">
                  <c:v>-44.149682810531736</c:v>
                </c:pt>
                <c:pt idx="574">
                  <c:v>-44.394329309914099</c:v>
                </c:pt>
                <c:pt idx="575">
                  <c:v>-44.643087962556784</c:v>
                </c:pt>
                <c:pt idx="576">
                  <c:v>-44.889571405897797</c:v>
                </c:pt>
                <c:pt idx="577">
                  <c:v>-45.909146691348397</c:v>
                </c:pt>
                <c:pt idx="578">
                  <c:v>-46.893030798268455</c:v>
                </c:pt>
                <c:pt idx="579">
                  <c:v>-48.943229528052889</c:v>
                </c:pt>
                <c:pt idx="580">
                  <c:v>-51.06477430605257</c:v>
                </c:pt>
                <c:pt idx="581">
                  <c:v>-53.297197199594073</c:v>
                </c:pt>
                <c:pt idx="582">
                  <c:v>-55.728372123693582</c:v>
                </c:pt>
                <c:pt idx="583">
                  <c:v>-58.542286861442605</c:v>
                </c:pt>
                <c:pt idx="584">
                  <c:v>-62.185367906043687</c:v>
                </c:pt>
                <c:pt idx="585">
                  <c:v>-67.972999637933981</c:v>
                </c:pt>
                <c:pt idx="586">
                  <c:v>-85.468788724805052</c:v>
                </c:pt>
                <c:pt idx="587">
                  <c:v>-73.474023071894294</c:v>
                </c:pt>
                <c:pt idx="588">
                  <c:v>-69.10161370305849</c:v>
                </c:pt>
                <c:pt idx="589">
                  <c:v>-68.353033604300023</c:v>
                </c:pt>
                <c:pt idx="590">
                  <c:v>-69.001397214147872</c:v>
                </c:pt>
                <c:pt idx="591">
                  <c:v>-70.480348108245906</c:v>
                </c:pt>
                <c:pt idx="592">
                  <c:v>-73.054369254229485</c:v>
                </c:pt>
                <c:pt idx="593">
                  <c:v>-79.343690315584766</c:v>
                </c:pt>
                <c:pt idx="594">
                  <c:v>-86.989261583181147</c:v>
                </c:pt>
                <c:pt idx="595">
                  <c:v>-77.757142466011416</c:v>
                </c:pt>
                <c:pt idx="596">
                  <c:v>-77.366033200800558</c:v>
                </c:pt>
                <c:pt idx="597">
                  <c:v>-79.773274217826241</c:v>
                </c:pt>
                <c:pt idx="598">
                  <c:v>-98.172791767422254</c:v>
                </c:pt>
                <c:pt idx="599">
                  <c:v>-82.591138283232766</c:v>
                </c:pt>
                <c:pt idx="600">
                  <c:v>-82.206996834341169</c:v>
                </c:pt>
              </c:numCache>
            </c:numRef>
          </c:yVal>
          <c:smooth val="1"/>
          <c:extLst>
            <c:ext xmlns:c16="http://schemas.microsoft.com/office/drawing/2014/chart" uri="{C3380CC4-5D6E-409C-BE32-E72D297353CC}">
              <c16:uniqueId val="{00000000-09BC-4E96-93F9-6DC345568360}"/>
            </c:ext>
          </c:extLst>
        </c:ser>
        <c:dLbls>
          <c:dLblPos val="r"/>
          <c:showLegendKey val="0"/>
          <c:showVal val="1"/>
          <c:showCatName val="1"/>
          <c:showSerName val="0"/>
          <c:showPercent val="0"/>
          <c:showBubbleSize val="0"/>
        </c:dLbls>
        <c:axId val="446572416"/>
        <c:axId val="446582784"/>
      </c:scatterChart>
      <c:scatterChart>
        <c:scatterStyle val="lineMarker"/>
        <c:varyColors val="0"/>
        <c:ser>
          <c:idx val="1"/>
          <c:order val="1"/>
          <c:tx>
            <c:strRef>
              <c:f>'Stability Calculations'!$Y$12</c:f>
              <c:strCache>
                <c:ptCount val="1"/>
                <c:pt idx="0">
                  <c:v>Phase Margin (°)</c:v>
                </c:pt>
              </c:strCache>
            </c:strRef>
          </c:tx>
          <c:spPr>
            <a:ln w="25400">
              <a:solidFill>
                <a:srgbClr val="0000FF"/>
              </a:solidFill>
              <a:prstDash val="solid"/>
            </a:ln>
          </c:spPr>
          <c:marker>
            <c:symbol val="none"/>
          </c:marker>
          <c:dLbls>
            <c:delete val="1"/>
          </c:dLbls>
          <c:xVal>
            <c:numRef>
              <c:f>'Stability Calculations'!$G$13:$G$613</c:f>
              <c:numCache>
                <c:formatCode>General</c:formatCode>
                <c:ptCount val="601"/>
                <c:pt idx="0">
                  <c:v>1</c:v>
                </c:pt>
                <c:pt idx="1">
                  <c:v>1.0965</c:v>
                </c:pt>
                <c:pt idx="2">
                  <c:v>1.2022999999999999</c:v>
                </c:pt>
                <c:pt idx="3">
                  <c:v>1.3183</c:v>
                </c:pt>
                <c:pt idx="4">
                  <c:v>1.4454</c:v>
                </c:pt>
                <c:pt idx="5">
                  <c:v>1.5849</c:v>
                </c:pt>
                <c:pt idx="6">
                  <c:v>1.7378</c:v>
                </c:pt>
                <c:pt idx="7">
                  <c:v>1.9055</c:v>
                </c:pt>
                <c:pt idx="8">
                  <c:v>2.0893000000000002</c:v>
                </c:pt>
                <c:pt idx="9">
                  <c:v>2.2909000000000002</c:v>
                </c:pt>
                <c:pt idx="10">
                  <c:v>2.5118999999999998</c:v>
                </c:pt>
                <c:pt idx="11">
                  <c:v>2.7542</c:v>
                </c:pt>
                <c:pt idx="12">
                  <c:v>3.02</c:v>
                </c:pt>
                <c:pt idx="13">
                  <c:v>3.3113000000000001</c:v>
                </c:pt>
                <c:pt idx="14">
                  <c:v>3.6307999999999998</c:v>
                </c:pt>
                <c:pt idx="15">
                  <c:v>3.9811000000000001</c:v>
                </c:pt>
                <c:pt idx="16">
                  <c:v>4.3651999999999997</c:v>
                </c:pt>
                <c:pt idx="17">
                  <c:v>4.7862999999999998</c:v>
                </c:pt>
                <c:pt idx="18">
                  <c:v>5.2481</c:v>
                </c:pt>
                <c:pt idx="19">
                  <c:v>5.7544000000000004</c:v>
                </c:pt>
                <c:pt idx="20">
                  <c:v>6.3095999999999997</c:v>
                </c:pt>
                <c:pt idx="21">
                  <c:v>6.9183000000000003</c:v>
                </c:pt>
                <c:pt idx="22">
                  <c:v>7.5857999999999999</c:v>
                </c:pt>
                <c:pt idx="23">
                  <c:v>8.3176000000000005</c:v>
                </c:pt>
                <c:pt idx="24">
                  <c:v>9.1201000000000008</c:v>
                </c:pt>
                <c:pt idx="25">
                  <c:v>10</c:v>
                </c:pt>
                <c:pt idx="26">
                  <c:v>10.965</c:v>
                </c:pt>
                <c:pt idx="27">
                  <c:v>12.023</c:v>
                </c:pt>
                <c:pt idx="28">
                  <c:v>13.183</c:v>
                </c:pt>
                <c:pt idx="29">
                  <c:v>14.454000000000001</c:v>
                </c:pt>
                <c:pt idx="30">
                  <c:v>15.849</c:v>
                </c:pt>
                <c:pt idx="31">
                  <c:v>17.378</c:v>
                </c:pt>
                <c:pt idx="32">
                  <c:v>19.055</c:v>
                </c:pt>
                <c:pt idx="33">
                  <c:v>20.893000000000001</c:v>
                </c:pt>
                <c:pt idx="34">
                  <c:v>22.909000000000002</c:v>
                </c:pt>
                <c:pt idx="35">
                  <c:v>25.119</c:v>
                </c:pt>
                <c:pt idx="36">
                  <c:v>27.542000000000002</c:v>
                </c:pt>
                <c:pt idx="37">
                  <c:v>30.2</c:v>
                </c:pt>
                <c:pt idx="38">
                  <c:v>33.113</c:v>
                </c:pt>
                <c:pt idx="39">
                  <c:v>36.308</c:v>
                </c:pt>
                <c:pt idx="40">
                  <c:v>39.811</c:v>
                </c:pt>
                <c:pt idx="41">
                  <c:v>43.652000000000001</c:v>
                </c:pt>
                <c:pt idx="42">
                  <c:v>47.863</c:v>
                </c:pt>
                <c:pt idx="43">
                  <c:v>52.481000000000002</c:v>
                </c:pt>
                <c:pt idx="44">
                  <c:v>57.544000000000004</c:v>
                </c:pt>
                <c:pt idx="45">
                  <c:v>63.095999999999997</c:v>
                </c:pt>
                <c:pt idx="46">
                  <c:v>69.183000000000007</c:v>
                </c:pt>
                <c:pt idx="47">
                  <c:v>75.858000000000004</c:v>
                </c:pt>
                <c:pt idx="48">
                  <c:v>83.176000000000002</c:v>
                </c:pt>
                <c:pt idx="49">
                  <c:v>91.201000000000008</c:v>
                </c:pt>
                <c:pt idx="50">
                  <c:v>100</c:v>
                </c:pt>
                <c:pt idx="51">
                  <c:v>109.65</c:v>
                </c:pt>
                <c:pt idx="52">
                  <c:v>120.23</c:v>
                </c:pt>
                <c:pt idx="53">
                  <c:v>131.83000000000001</c:v>
                </c:pt>
                <c:pt idx="54">
                  <c:v>144.54</c:v>
                </c:pt>
                <c:pt idx="55">
                  <c:v>158.49</c:v>
                </c:pt>
                <c:pt idx="56">
                  <c:v>173.78</c:v>
                </c:pt>
                <c:pt idx="57">
                  <c:v>190.55</c:v>
                </c:pt>
                <c:pt idx="58">
                  <c:v>208.93</c:v>
                </c:pt>
                <c:pt idx="59">
                  <c:v>229.09</c:v>
                </c:pt>
                <c:pt idx="60">
                  <c:v>251.19</c:v>
                </c:pt>
                <c:pt idx="61">
                  <c:v>275.42</c:v>
                </c:pt>
                <c:pt idx="62">
                  <c:v>302</c:v>
                </c:pt>
                <c:pt idx="63">
                  <c:v>331.13</c:v>
                </c:pt>
                <c:pt idx="64">
                  <c:v>363.08</c:v>
                </c:pt>
                <c:pt idx="65">
                  <c:v>398.11</c:v>
                </c:pt>
                <c:pt idx="66">
                  <c:v>436.52</c:v>
                </c:pt>
                <c:pt idx="67">
                  <c:v>478.63</c:v>
                </c:pt>
                <c:pt idx="68">
                  <c:v>524.80999999999995</c:v>
                </c:pt>
                <c:pt idx="69">
                  <c:v>575.44000000000005</c:v>
                </c:pt>
                <c:pt idx="70">
                  <c:v>630.96</c:v>
                </c:pt>
                <c:pt idx="71">
                  <c:v>691.83</c:v>
                </c:pt>
                <c:pt idx="72">
                  <c:v>758.58</c:v>
                </c:pt>
                <c:pt idx="73">
                  <c:v>831.76</c:v>
                </c:pt>
                <c:pt idx="74">
                  <c:v>912.01</c:v>
                </c:pt>
                <c:pt idx="75">
                  <c:v>1000</c:v>
                </c:pt>
                <c:pt idx="76">
                  <c:v>1096.5</c:v>
                </c:pt>
                <c:pt idx="77">
                  <c:v>1202.3</c:v>
                </c:pt>
                <c:pt idx="78">
                  <c:v>1318.3</c:v>
                </c:pt>
                <c:pt idx="79">
                  <c:v>1445.4</c:v>
                </c:pt>
                <c:pt idx="80">
                  <c:v>1584.9</c:v>
                </c:pt>
                <c:pt idx="81">
                  <c:v>1737.8</c:v>
                </c:pt>
                <c:pt idx="82">
                  <c:v>1905.5</c:v>
                </c:pt>
                <c:pt idx="83">
                  <c:v>2089.3000000000002</c:v>
                </c:pt>
                <c:pt idx="84">
                  <c:v>2290.9</c:v>
                </c:pt>
                <c:pt idx="85">
                  <c:v>2511.9</c:v>
                </c:pt>
                <c:pt idx="86">
                  <c:v>2754.2</c:v>
                </c:pt>
                <c:pt idx="87">
                  <c:v>3020</c:v>
                </c:pt>
                <c:pt idx="88">
                  <c:v>3311.3</c:v>
                </c:pt>
                <c:pt idx="89">
                  <c:v>3630.8</c:v>
                </c:pt>
                <c:pt idx="90">
                  <c:v>3981.1</c:v>
                </c:pt>
                <c:pt idx="91">
                  <c:v>4365.2</c:v>
                </c:pt>
                <c:pt idx="92">
                  <c:v>4786.3</c:v>
                </c:pt>
                <c:pt idx="93">
                  <c:v>5248.1</c:v>
                </c:pt>
                <c:pt idx="94">
                  <c:v>5370.3</c:v>
                </c:pt>
                <c:pt idx="95">
                  <c:v>5432.85</c:v>
                </c:pt>
                <c:pt idx="96">
                  <c:v>5495.4</c:v>
                </c:pt>
                <c:pt idx="97">
                  <c:v>5559.4</c:v>
                </c:pt>
                <c:pt idx="98">
                  <c:v>5623.4</c:v>
                </c:pt>
                <c:pt idx="99">
                  <c:v>5688.9</c:v>
                </c:pt>
                <c:pt idx="100">
                  <c:v>5754.4</c:v>
                </c:pt>
                <c:pt idx="101">
                  <c:v>5821.4</c:v>
                </c:pt>
                <c:pt idx="102">
                  <c:v>5888.4</c:v>
                </c:pt>
                <c:pt idx="103">
                  <c:v>5957</c:v>
                </c:pt>
                <c:pt idx="104">
                  <c:v>6025.6</c:v>
                </c:pt>
                <c:pt idx="105">
                  <c:v>6095.8</c:v>
                </c:pt>
                <c:pt idx="106">
                  <c:v>6166</c:v>
                </c:pt>
                <c:pt idx="107">
                  <c:v>6237.8</c:v>
                </c:pt>
                <c:pt idx="108">
                  <c:v>6309.6</c:v>
                </c:pt>
                <c:pt idx="109">
                  <c:v>6383.05</c:v>
                </c:pt>
                <c:pt idx="110">
                  <c:v>6456.5</c:v>
                </c:pt>
                <c:pt idx="111">
                  <c:v>6531.7</c:v>
                </c:pt>
                <c:pt idx="112">
                  <c:v>6606.9</c:v>
                </c:pt>
                <c:pt idx="113">
                  <c:v>6683.85</c:v>
                </c:pt>
                <c:pt idx="114">
                  <c:v>6760.8</c:v>
                </c:pt>
                <c:pt idx="115">
                  <c:v>6839.55</c:v>
                </c:pt>
                <c:pt idx="116">
                  <c:v>6918.3</c:v>
                </c:pt>
                <c:pt idx="117">
                  <c:v>6998.9</c:v>
                </c:pt>
                <c:pt idx="118">
                  <c:v>7079.5</c:v>
                </c:pt>
                <c:pt idx="119">
                  <c:v>7161.95</c:v>
                </c:pt>
                <c:pt idx="120">
                  <c:v>7244.4</c:v>
                </c:pt>
                <c:pt idx="121">
                  <c:v>7328.75</c:v>
                </c:pt>
                <c:pt idx="122">
                  <c:v>7413.1</c:v>
                </c:pt>
                <c:pt idx="123">
                  <c:v>7499.45</c:v>
                </c:pt>
                <c:pt idx="124">
                  <c:v>7585.8</c:v>
                </c:pt>
                <c:pt idx="125">
                  <c:v>7674.15</c:v>
                </c:pt>
                <c:pt idx="126">
                  <c:v>7762.5</c:v>
                </c:pt>
                <c:pt idx="127">
                  <c:v>7852.9</c:v>
                </c:pt>
                <c:pt idx="128">
                  <c:v>7943.3</c:v>
                </c:pt>
                <c:pt idx="129">
                  <c:v>8035.8</c:v>
                </c:pt>
                <c:pt idx="130">
                  <c:v>8128.3</c:v>
                </c:pt>
                <c:pt idx="131">
                  <c:v>8222.9500000000007</c:v>
                </c:pt>
                <c:pt idx="132">
                  <c:v>8270.2750000000015</c:v>
                </c:pt>
                <c:pt idx="133">
                  <c:v>8317.6</c:v>
                </c:pt>
                <c:pt idx="134">
                  <c:v>8366.0499999999993</c:v>
                </c:pt>
                <c:pt idx="135">
                  <c:v>8414.5</c:v>
                </c:pt>
                <c:pt idx="136">
                  <c:v>8462.9500000000007</c:v>
                </c:pt>
                <c:pt idx="137">
                  <c:v>8511.4</c:v>
                </c:pt>
                <c:pt idx="138">
                  <c:v>8560.9500000000007</c:v>
                </c:pt>
                <c:pt idx="139">
                  <c:v>8610.5</c:v>
                </c:pt>
                <c:pt idx="140">
                  <c:v>8660.0499999999993</c:v>
                </c:pt>
                <c:pt idx="141">
                  <c:v>8709.6</c:v>
                </c:pt>
                <c:pt idx="142">
                  <c:v>8760.3250000000007</c:v>
                </c:pt>
                <c:pt idx="143">
                  <c:v>8811.0499999999993</c:v>
                </c:pt>
                <c:pt idx="144">
                  <c:v>8861.7749999999996</c:v>
                </c:pt>
                <c:pt idx="145">
                  <c:v>8912.5</c:v>
                </c:pt>
                <c:pt idx="146">
                  <c:v>8964.4</c:v>
                </c:pt>
                <c:pt idx="147">
                  <c:v>9016.2999999999993</c:v>
                </c:pt>
                <c:pt idx="148">
                  <c:v>9068.2000000000007</c:v>
                </c:pt>
                <c:pt idx="149">
                  <c:v>9120.1</c:v>
                </c:pt>
                <c:pt idx="150">
                  <c:v>9173.2000000000007</c:v>
                </c:pt>
                <c:pt idx="151">
                  <c:v>9226.2999999999993</c:v>
                </c:pt>
                <c:pt idx="152">
                  <c:v>9279.4</c:v>
                </c:pt>
                <c:pt idx="153">
                  <c:v>9332.5</c:v>
                </c:pt>
                <c:pt idx="154">
                  <c:v>9386.85</c:v>
                </c:pt>
                <c:pt idx="155">
                  <c:v>9441.2000000000007</c:v>
                </c:pt>
                <c:pt idx="156">
                  <c:v>9495.5499999999993</c:v>
                </c:pt>
                <c:pt idx="157">
                  <c:v>9549.9</c:v>
                </c:pt>
                <c:pt idx="158">
                  <c:v>9605.5249999999996</c:v>
                </c:pt>
                <c:pt idx="159">
                  <c:v>9661.15</c:v>
                </c:pt>
                <c:pt idx="160">
                  <c:v>9716.7749999999996</c:v>
                </c:pt>
                <c:pt idx="161">
                  <c:v>9772.4</c:v>
                </c:pt>
                <c:pt idx="162">
                  <c:v>9829.2999999999993</c:v>
                </c:pt>
                <c:pt idx="163">
                  <c:v>9886.2000000000007</c:v>
                </c:pt>
                <c:pt idx="164">
                  <c:v>9943.1</c:v>
                </c:pt>
                <c:pt idx="165">
                  <c:v>10000</c:v>
                </c:pt>
                <c:pt idx="166">
                  <c:v>10058.25</c:v>
                </c:pt>
                <c:pt idx="167">
                  <c:v>10116.5</c:v>
                </c:pt>
                <c:pt idx="168">
                  <c:v>10174.75</c:v>
                </c:pt>
                <c:pt idx="169">
                  <c:v>10233</c:v>
                </c:pt>
                <c:pt idx="170">
                  <c:v>10292.5</c:v>
                </c:pt>
                <c:pt idx="171">
                  <c:v>10352</c:v>
                </c:pt>
                <c:pt idx="172">
                  <c:v>10411.5</c:v>
                </c:pt>
                <c:pt idx="173">
                  <c:v>10471</c:v>
                </c:pt>
                <c:pt idx="174">
                  <c:v>10532</c:v>
                </c:pt>
                <c:pt idx="175">
                  <c:v>10593</c:v>
                </c:pt>
                <c:pt idx="176">
                  <c:v>10654</c:v>
                </c:pt>
                <c:pt idx="177">
                  <c:v>10715</c:v>
                </c:pt>
                <c:pt idx="178">
                  <c:v>10777.5</c:v>
                </c:pt>
                <c:pt idx="179">
                  <c:v>10840</c:v>
                </c:pt>
                <c:pt idx="180">
                  <c:v>10902.5</c:v>
                </c:pt>
                <c:pt idx="181">
                  <c:v>10965</c:v>
                </c:pt>
                <c:pt idx="182">
                  <c:v>11028.75</c:v>
                </c:pt>
                <c:pt idx="183">
                  <c:v>11092.5</c:v>
                </c:pt>
                <c:pt idx="184">
                  <c:v>11156.25</c:v>
                </c:pt>
                <c:pt idx="185">
                  <c:v>11220</c:v>
                </c:pt>
                <c:pt idx="186">
                  <c:v>11285.5</c:v>
                </c:pt>
                <c:pt idx="187">
                  <c:v>11351</c:v>
                </c:pt>
                <c:pt idx="188">
                  <c:v>11416.5</c:v>
                </c:pt>
                <c:pt idx="189">
                  <c:v>11482</c:v>
                </c:pt>
                <c:pt idx="190">
                  <c:v>11548.75</c:v>
                </c:pt>
                <c:pt idx="191">
                  <c:v>11615.5</c:v>
                </c:pt>
                <c:pt idx="192">
                  <c:v>11682.25</c:v>
                </c:pt>
                <c:pt idx="193">
                  <c:v>11749</c:v>
                </c:pt>
                <c:pt idx="194">
                  <c:v>11817.5</c:v>
                </c:pt>
                <c:pt idx="195">
                  <c:v>11886</c:v>
                </c:pt>
                <c:pt idx="196">
                  <c:v>11954.5</c:v>
                </c:pt>
                <c:pt idx="197">
                  <c:v>12023</c:v>
                </c:pt>
                <c:pt idx="198">
                  <c:v>12093</c:v>
                </c:pt>
                <c:pt idx="199">
                  <c:v>12163</c:v>
                </c:pt>
                <c:pt idx="200">
                  <c:v>12233</c:v>
                </c:pt>
                <c:pt idx="201">
                  <c:v>12303</c:v>
                </c:pt>
                <c:pt idx="202">
                  <c:v>12374.5</c:v>
                </c:pt>
                <c:pt idx="203">
                  <c:v>12446</c:v>
                </c:pt>
                <c:pt idx="204">
                  <c:v>12517.5</c:v>
                </c:pt>
                <c:pt idx="205">
                  <c:v>12589</c:v>
                </c:pt>
                <c:pt idx="206">
                  <c:v>12662.25</c:v>
                </c:pt>
                <c:pt idx="207">
                  <c:v>12735.5</c:v>
                </c:pt>
                <c:pt idx="208">
                  <c:v>12808.75</c:v>
                </c:pt>
                <c:pt idx="209">
                  <c:v>12882</c:v>
                </c:pt>
                <c:pt idx="210">
                  <c:v>12957.25</c:v>
                </c:pt>
                <c:pt idx="211">
                  <c:v>13032.5</c:v>
                </c:pt>
                <c:pt idx="212">
                  <c:v>13107.75</c:v>
                </c:pt>
                <c:pt idx="213">
                  <c:v>13183</c:v>
                </c:pt>
                <c:pt idx="214">
                  <c:v>13259.75</c:v>
                </c:pt>
                <c:pt idx="215">
                  <c:v>13336.5</c:v>
                </c:pt>
                <c:pt idx="216">
                  <c:v>13413.25</c:v>
                </c:pt>
                <c:pt idx="217">
                  <c:v>13490</c:v>
                </c:pt>
                <c:pt idx="218">
                  <c:v>13568.5</c:v>
                </c:pt>
                <c:pt idx="219">
                  <c:v>13647</c:v>
                </c:pt>
                <c:pt idx="220">
                  <c:v>13725.5</c:v>
                </c:pt>
                <c:pt idx="221">
                  <c:v>13804</c:v>
                </c:pt>
                <c:pt idx="222">
                  <c:v>13884.25</c:v>
                </c:pt>
                <c:pt idx="223">
                  <c:v>13964.5</c:v>
                </c:pt>
                <c:pt idx="224">
                  <c:v>14044.75</c:v>
                </c:pt>
                <c:pt idx="225">
                  <c:v>14125</c:v>
                </c:pt>
                <c:pt idx="226">
                  <c:v>14207.25</c:v>
                </c:pt>
                <c:pt idx="227">
                  <c:v>14289.5</c:v>
                </c:pt>
                <c:pt idx="228">
                  <c:v>14371.75</c:v>
                </c:pt>
                <c:pt idx="229">
                  <c:v>14454</c:v>
                </c:pt>
                <c:pt idx="230">
                  <c:v>14622.5</c:v>
                </c:pt>
                <c:pt idx="231">
                  <c:v>14706.75</c:v>
                </c:pt>
                <c:pt idx="232">
                  <c:v>14791</c:v>
                </c:pt>
                <c:pt idx="233">
                  <c:v>14877.25</c:v>
                </c:pt>
                <c:pt idx="234">
                  <c:v>14963.5</c:v>
                </c:pt>
                <c:pt idx="235">
                  <c:v>15049.75</c:v>
                </c:pt>
                <c:pt idx="236">
                  <c:v>15136</c:v>
                </c:pt>
                <c:pt idx="237">
                  <c:v>15224</c:v>
                </c:pt>
                <c:pt idx="238">
                  <c:v>15312</c:v>
                </c:pt>
                <c:pt idx="239">
                  <c:v>15400</c:v>
                </c:pt>
                <c:pt idx="240">
                  <c:v>15488</c:v>
                </c:pt>
                <c:pt idx="241">
                  <c:v>15578.25</c:v>
                </c:pt>
                <c:pt idx="242">
                  <c:v>15668.5</c:v>
                </c:pt>
                <c:pt idx="243">
                  <c:v>15758.75</c:v>
                </c:pt>
                <c:pt idx="244">
                  <c:v>15849</c:v>
                </c:pt>
                <c:pt idx="245">
                  <c:v>15941.25</c:v>
                </c:pt>
                <c:pt idx="246">
                  <c:v>16033.5</c:v>
                </c:pt>
                <c:pt idx="247">
                  <c:v>16125.75</c:v>
                </c:pt>
                <c:pt idx="248">
                  <c:v>16218</c:v>
                </c:pt>
                <c:pt idx="249">
                  <c:v>16312.5</c:v>
                </c:pt>
                <c:pt idx="250">
                  <c:v>16407</c:v>
                </c:pt>
                <c:pt idx="251">
                  <c:v>16501.5</c:v>
                </c:pt>
                <c:pt idx="252">
                  <c:v>16596</c:v>
                </c:pt>
                <c:pt idx="253">
                  <c:v>16692.5</c:v>
                </c:pt>
                <c:pt idx="254">
                  <c:v>16789</c:v>
                </c:pt>
                <c:pt idx="255">
                  <c:v>16885.5</c:v>
                </c:pt>
                <c:pt idx="256">
                  <c:v>16982</c:v>
                </c:pt>
                <c:pt idx="257">
                  <c:v>17081</c:v>
                </c:pt>
                <c:pt idx="258">
                  <c:v>17180</c:v>
                </c:pt>
                <c:pt idx="259">
                  <c:v>17279</c:v>
                </c:pt>
                <c:pt idx="260">
                  <c:v>17378</c:v>
                </c:pt>
                <c:pt idx="261">
                  <c:v>17479.25</c:v>
                </c:pt>
                <c:pt idx="262">
                  <c:v>17580.5</c:v>
                </c:pt>
                <c:pt idx="263">
                  <c:v>17681.75</c:v>
                </c:pt>
                <c:pt idx="264">
                  <c:v>17783</c:v>
                </c:pt>
                <c:pt idx="265">
                  <c:v>17886.5</c:v>
                </c:pt>
                <c:pt idx="266">
                  <c:v>17990</c:v>
                </c:pt>
                <c:pt idx="267">
                  <c:v>18093.5</c:v>
                </c:pt>
                <c:pt idx="268">
                  <c:v>18197</c:v>
                </c:pt>
                <c:pt idx="269">
                  <c:v>18303</c:v>
                </c:pt>
                <c:pt idx="270">
                  <c:v>18409</c:v>
                </c:pt>
                <c:pt idx="271">
                  <c:v>18515</c:v>
                </c:pt>
                <c:pt idx="272">
                  <c:v>18621</c:v>
                </c:pt>
                <c:pt idx="273">
                  <c:v>18729.5</c:v>
                </c:pt>
                <c:pt idx="274">
                  <c:v>18838</c:v>
                </c:pt>
                <c:pt idx="275">
                  <c:v>18946.5</c:v>
                </c:pt>
                <c:pt idx="276">
                  <c:v>19055</c:v>
                </c:pt>
                <c:pt idx="277">
                  <c:v>19165.75</c:v>
                </c:pt>
                <c:pt idx="278">
                  <c:v>19276.5</c:v>
                </c:pt>
                <c:pt idx="279">
                  <c:v>19387.25</c:v>
                </c:pt>
                <c:pt idx="280">
                  <c:v>19498</c:v>
                </c:pt>
                <c:pt idx="281">
                  <c:v>19611.75</c:v>
                </c:pt>
                <c:pt idx="282">
                  <c:v>19725.5</c:v>
                </c:pt>
                <c:pt idx="283">
                  <c:v>19839.25</c:v>
                </c:pt>
                <c:pt idx="284">
                  <c:v>19953</c:v>
                </c:pt>
                <c:pt idx="285">
                  <c:v>20069</c:v>
                </c:pt>
                <c:pt idx="286">
                  <c:v>20185</c:v>
                </c:pt>
                <c:pt idx="287">
                  <c:v>20301</c:v>
                </c:pt>
                <c:pt idx="288">
                  <c:v>20417</c:v>
                </c:pt>
                <c:pt idx="289">
                  <c:v>20536</c:v>
                </c:pt>
                <c:pt idx="290">
                  <c:v>20655</c:v>
                </c:pt>
                <c:pt idx="291">
                  <c:v>20774</c:v>
                </c:pt>
                <c:pt idx="292">
                  <c:v>20893</c:v>
                </c:pt>
                <c:pt idx="293">
                  <c:v>21014.75</c:v>
                </c:pt>
                <c:pt idx="294">
                  <c:v>21136.5</c:v>
                </c:pt>
                <c:pt idx="295">
                  <c:v>21258.25</c:v>
                </c:pt>
                <c:pt idx="296">
                  <c:v>21380</c:v>
                </c:pt>
                <c:pt idx="297">
                  <c:v>21504.5</c:v>
                </c:pt>
                <c:pt idx="298">
                  <c:v>21629</c:v>
                </c:pt>
                <c:pt idx="299">
                  <c:v>21753.5</c:v>
                </c:pt>
                <c:pt idx="300">
                  <c:v>21878</c:v>
                </c:pt>
                <c:pt idx="301">
                  <c:v>22005.25</c:v>
                </c:pt>
                <c:pt idx="302">
                  <c:v>22132.5</c:v>
                </c:pt>
                <c:pt idx="303">
                  <c:v>22259.75</c:v>
                </c:pt>
                <c:pt idx="304">
                  <c:v>22387</c:v>
                </c:pt>
                <c:pt idx="305">
                  <c:v>22517.5</c:v>
                </c:pt>
                <c:pt idx="306">
                  <c:v>22648</c:v>
                </c:pt>
                <c:pt idx="307">
                  <c:v>22778.5</c:v>
                </c:pt>
                <c:pt idx="308">
                  <c:v>22909</c:v>
                </c:pt>
                <c:pt idx="309">
                  <c:v>23042.25</c:v>
                </c:pt>
                <c:pt idx="310">
                  <c:v>23175.5</c:v>
                </c:pt>
                <c:pt idx="311">
                  <c:v>23308.75</c:v>
                </c:pt>
                <c:pt idx="312">
                  <c:v>23442</c:v>
                </c:pt>
                <c:pt idx="313">
                  <c:v>23578.5</c:v>
                </c:pt>
                <c:pt idx="314">
                  <c:v>23715</c:v>
                </c:pt>
                <c:pt idx="315">
                  <c:v>23851.5</c:v>
                </c:pt>
                <c:pt idx="316">
                  <c:v>23988</c:v>
                </c:pt>
                <c:pt idx="317">
                  <c:v>24127.75</c:v>
                </c:pt>
                <c:pt idx="318">
                  <c:v>24267.5</c:v>
                </c:pt>
                <c:pt idx="319">
                  <c:v>24407.25</c:v>
                </c:pt>
                <c:pt idx="320">
                  <c:v>24547</c:v>
                </c:pt>
                <c:pt idx="321">
                  <c:v>24690</c:v>
                </c:pt>
                <c:pt idx="322">
                  <c:v>24833</c:v>
                </c:pt>
                <c:pt idx="323">
                  <c:v>24976</c:v>
                </c:pt>
                <c:pt idx="324">
                  <c:v>25119</c:v>
                </c:pt>
                <c:pt idx="325">
                  <c:v>25265.25</c:v>
                </c:pt>
                <c:pt idx="326">
                  <c:v>25411.5</c:v>
                </c:pt>
                <c:pt idx="327">
                  <c:v>25557.75</c:v>
                </c:pt>
                <c:pt idx="328">
                  <c:v>25704</c:v>
                </c:pt>
                <c:pt idx="329">
                  <c:v>25853.75</c:v>
                </c:pt>
                <c:pt idx="330">
                  <c:v>26003.5</c:v>
                </c:pt>
                <c:pt idx="331">
                  <c:v>26153.25</c:v>
                </c:pt>
                <c:pt idx="332">
                  <c:v>26303</c:v>
                </c:pt>
                <c:pt idx="333">
                  <c:v>26456</c:v>
                </c:pt>
                <c:pt idx="334">
                  <c:v>26609</c:v>
                </c:pt>
                <c:pt idx="335">
                  <c:v>26762</c:v>
                </c:pt>
                <c:pt idx="336">
                  <c:v>26915</c:v>
                </c:pt>
                <c:pt idx="337">
                  <c:v>27071.75</c:v>
                </c:pt>
                <c:pt idx="338">
                  <c:v>27228.5</c:v>
                </c:pt>
                <c:pt idx="339">
                  <c:v>27385.25</c:v>
                </c:pt>
                <c:pt idx="340">
                  <c:v>27542</c:v>
                </c:pt>
                <c:pt idx="341">
                  <c:v>27702.5</c:v>
                </c:pt>
                <c:pt idx="342">
                  <c:v>27863</c:v>
                </c:pt>
                <c:pt idx="343">
                  <c:v>28023.5</c:v>
                </c:pt>
                <c:pt idx="344">
                  <c:v>28184</c:v>
                </c:pt>
                <c:pt idx="345">
                  <c:v>28348</c:v>
                </c:pt>
                <c:pt idx="346">
                  <c:v>28512</c:v>
                </c:pt>
                <c:pt idx="347">
                  <c:v>28676</c:v>
                </c:pt>
                <c:pt idx="348">
                  <c:v>28840</c:v>
                </c:pt>
                <c:pt idx="349">
                  <c:v>29008</c:v>
                </c:pt>
                <c:pt idx="350">
                  <c:v>29176</c:v>
                </c:pt>
                <c:pt idx="351">
                  <c:v>29344</c:v>
                </c:pt>
                <c:pt idx="352">
                  <c:v>29512</c:v>
                </c:pt>
                <c:pt idx="353">
                  <c:v>29684</c:v>
                </c:pt>
                <c:pt idx="354">
                  <c:v>29856</c:v>
                </c:pt>
                <c:pt idx="355">
                  <c:v>30028</c:v>
                </c:pt>
                <c:pt idx="356">
                  <c:v>30200</c:v>
                </c:pt>
                <c:pt idx="357">
                  <c:v>30375.75</c:v>
                </c:pt>
                <c:pt idx="358">
                  <c:v>30551.5</c:v>
                </c:pt>
                <c:pt idx="359">
                  <c:v>30727.25</c:v>
                </c:pt>
                <c:pt idx="360">
                  <c:v>30903</c:v>
                </c:pt>
                <c:pt idx="361">
                  <c:v>31083</c:v>
                </c:pt>
                <c:pt idx="362">
                  <c:v>31263</c:v>
                </c:pt>
                <c:pt idx="363">
                  <c:v>31443</c:v>
                </c:pt>
                <c:pt idx="364">
                  <c:v>31623</c:v>
                </c:pt>
                <c:pt idx="365">
                  <c:v>31807</c:v>
                </c:pt>
                <c:pt idx="366">
                  <c:v>31991</c:v>
                </c:pt>
                <c:pt idx="367">
                  <c:v>32175</c:v>
                </c:pt>
                <c:pt idx="368">
                  <c:v>32359</c:v>
                </c:pt>
                <c:pt idx="369">
                  <c:v>32547.5</c:v>
                </c:pt>
                <c:pt idx="370">
                  <c:v>32736</c:v>
                </c:pt>
                <c:pt idx="371">
                  <c:v>32924.5</c:v>
                </c:pt>
                <c:pt idx="372">
                  <c:v>33113</c:v>
                </c:pt>
                <c:pt idx="373">
                  <c:v>33305.75</c:v>
                </c:pt>
                <c:pt idx="374">
                  <c:v>33498.5</c:v>
                </c:pt>
                <c:pt idx="375">
                  <c:v>33691.25</c:v>
                </c:pt>
                <c:pt idx="376">
                  <c:v>33884</c:v>
                </c:pt>
                <c:pt idx="377">
                  <c:v>34081.5</c:v>
                </c:pt>
                <c:pt idx="378">
                  <c:v>34279</c:v>
                </c:pt>
                <c:pt idx="379">
                  <c:v>34476.5</c:v>
                </c:pt>
                <c:pt idx="380">
                  <c:v>34674</c:v>
                </c:pt>
                <c:pt idx="381">
                  <c:v>34875.75</c:v>
                </c:pt>
                <c:pt idx="382">
                  <c:v>35077.5</c:v>
                </c:pt>
                <c:pt idx="383">
                  <c:v>35279.25</c:v>
                </c:pt>
                <c:pt idx="384">
                  <c:v>35481</c:v>
                </c:pt>
                <c:pt idx="385">
                  <c:v>35687.75</c:v>
                </c:pt>
                <c:pt idx="386">
                  <c:v>35894.5</c:v>
                </c:pt>
                <c:pt idx="387">
                  <c:v>36101.25</c:v>
                </c:pt>
                <c:pt idx="388">
                  <c:v>36308</c:v>
                </c:pt>
                <c:pt idx="389">
                  <c:v>36519.5</c:v>
                </c:pt>
                <c:pt idx="390">
                  <c:v>36731</c:v>
                </c:pt>
                <c:pt idx="391">
                  <c:v>36942.5</c:v>
                </c:pt>
                <c:pt idx="392">
                  <c:v>37154</c:v>
                </c:pt>
                <c:pt idx="393">
                  <c:v>37370.25</c:v>
                </c:pt>
                <c:pt idx="394">
                  <c:v>37586.5</c:v>
                </c:pt>
                <c:pt idx="395">
                  <c:v>37802.75</c:v>
                </c:pt>
                <c:pt idx="396">
                  <c:v>38019</c:v>
                </c:pt>
                <c:pt idx="397">
                  <c:v>38240.5</c:v>
                </c:pt>
                <c:pt idx="398">
                  <c:v>38462</c:v>
                </c:pt>
                <c:pt idx="399">
                  <c:v>38683.5</c:v>
                </c:pt>
                <c:pt idx="400">
                  <c:v>38905</c:v>
                </c:pt>
                <c:pt idx="401">
                  <c:v>39131.5</c:v>
                </c:pt>
                <c:pt idx="402">
                  <c:v>39358</c:v>
                </c:pt>
                <c:pt idx="403">
                  <c:v>39584.5</c:v>
                </c:pt>
                <c:pt idx="404">
                  <c:v>39811</c:v>
                </c:pt>
                <c:pt idx="405">
                  <c:v>40042.75</c:v>
                </c:pt>
                <c:pt idx="406">
                  <c:v>40274.5</c:v>
                </c:pt>
                <c:pt idx="407">
                  <c:v>40506.25</c:v>
                </c:pt>
                <c:pt idx="408">
                  <c:v>40738</c:v>
                </c:pt>
                <c:pt idx="409">
                  <c:v>40975.25</c:v>
                </c:pt>
                <c:pt idx="410">
                  <c:v>41212.5</c:v>
                </c:pt>
                <c:pt idx="411">
                  <c:v>41449.75</c:v>
                </c:pt>
                <c:pt idx="412">
                  <c:v>41687</c:v>
                </c:pt>
                <c:pt idx="413">
                  <c:v>41929.75</c:v>
                </c:pt>
                <c:pt idx="414">
                  <c:v>42172.5</c:v>
                </c:pt>
                <c:pt idx="415">
                  <c:v>42415.25</c:v>
                </c:pt>
                <c:pt idx="416">
                  <c:v>42658</c:v>
                </c:pt>
                <c:pt idx="417">
                  <c:v>42906.5</c:v>
                </c:pt>
                <c:pt idx="418">
                  <c:v>43155</c:v>
                </c:pt>
                <c:pt idx="419">
                  <c:v>43403.5</c:v>
                </c:pt>
                <c:pt idx="420">
                  <c:v>43652</c:v>
                </c:pt>
                <c:pt idx="421">
                  <c:v>43906</c:v>
                </c:pt>
                <c:pt idx="422">
                  <c:v>44160</c:v>
                </c:pt>
                <c:pt idx="423">
                  <c:v>44414</c:v>
                </c:pt>
                <c:pt idx="424">
                  <c:v>44668</c:v>
                </c:pt>
                <c:pt idx="425">
                  <c:v>44928.25</c:v>
                </c:pt>
                <c:pt idx="426">
                  <c:v>45188.5</c:v>
                </c:pt>
                <c:pt idx="427">
                  <c:v>45448.75</c:v>
                </c:pt>
                <c:pt idx="428">
                  <c:v>45709</c:v>
                </c:pt>
                <c:pt idx="429">
                  <c:v>45975.25</c:v>
                </c:pt>
                <c:pt idx="430">
                  <c:v>46241.5</c:v>
                </c:pt>
                <c:pt idx="431">
                  <c:v>46507.75</c:v>
                </c:pt>
                <c:pt idx="432">
                  <c:v>46774</c:v>
                </c:pt>
                <c:pt idx="433">
                  <c:v>47046.25</c:v>
                </c:pt>
                <c:pt idx="434">
                  <c:v>47318.5</c:v>
                </c:pt>
                <c:pt idx="435">
                  <c:v>47590.75</c:v>
                </c:pt>
                <c:pt idx="436">
                  <c:v>47863</c:v>
                </c:pt>
                <c:pt idx="437">
                  <c:v>48141.75</c:v>
                </c:pt>
                <c:pt idx="438">
                  <c:v>48420.5</c:v>
                </c:pt>
                <c:pt idx="439">
                  <c:v>48699.25</c:v>
                </c:pt>
                <c:pt idx="440">
                  <c:v>48978</c:v>
                </c:pt>
                <c:pt idx="441">
                  <c:v>49263.25</c:v>
                </c:pt>
                <c:pt idx="442">
                  <c:v>49548.5</c:v>
                </c:pt>
                <c:pt idx="443">
                  <c:v>49833.75</c:v>
                </c:pt>
                <c:pt idx="444">
                  <c:v>50119</c:v>
                </c:pt>
                <c:pt idx="445">
                  <c:v>50410.75</c:v>
                </c:pt>
                <c:pt idx="446">
                  <c:v>50702.5</c:v>
                </c:pt>
                <c:pt idx="447">
                  <c:v>50994.25</c:v>
                </c:pt>
                <c:pt idx="448">
                  <c:v>51286</c:v>
                </c:pt>
                <c:pt idx="449">
                  <c:v>51584.75</c:v>
                </c:pt>
                <c:pt idx="450">
                  <c:v>51883.5</c:v>
                </c:pt>
                <c:pt idx="451">
                  <c:v>52182.25</c:v>
                </c:pt>
                <c:pt idx="452">
                  <c:v>52481</c:v>
                </c:pt>
                <c:pt idx="453">
                  <c:v>52786.5</c:v>
                </c:pt>
                <c:pt idx="454">
                  <c:v>53092</c:v>
                </c:pt>
                <c:pt idx="455">
                  <c:v>53397.5</c:v>
                </c:pt>
                <c:pt idx="456">
                  <c:v>53703</c:v>
                </c:pt>
                <c:pt idx="457">
                  <c:v>54015.75</c:v>
                </c:pt>
                <c:pt idx="458">
                  <c:v>54328.5</c:v>
                </c:pt>
                <c:pt idx="459">
                  <c:v>54641.25</c:v>
                </c:pt>
                <c:pt idx="460">
                  <c:v>54954</c:v>
                </c:pt>
                <c:pt idx="461">
                  <c:v>55274</c:v>
                </c:pt>
                <c:pt idx="462">
                  <c:v>55594</c:v>
                </c:pt>
                <c:pt idx="463">
                  <c:v>55914</c:v>
                </c:pt>
                <c:pt idx="464">
                  <c:v>56234</c:v>
                </c:pt>
                <c:pt idx="465">
                  <c:v>56561.5</c:v>
                </c:pt>
                <c:pt idx="466">
                  <c:v>56889</c:v>
                </c:pt>
                <c:pt idx="467">
                  <c:v>57216.5</c:v>
                </c:pt>
                <c:pt idx="468">
                  <c:v>57544</c:v>
                </c:pt>
                <c:pt idx="469">
                  <c:v>57879</c:v>
                </c:pt>
                <c:pt idx="470">
                  <c:v>58214</c:v>
                </c:pt>
                <c:pt idx="471">
                  <c:v>58549</c:v>
                </c:pt>
                <c:pt idx="472">
                  <c:v>58884</c:v>
                </c:pt>
                <c:pt idx="473">
                  <c:v>59227</c:v>
                </c:pt>
                <c:pt idx="474">
                  <c:v>59570</c:v>
                </c:pt>
                <c:pt idx="475">
                  <c:v>59913</c:v>
                </c:pt>
                <c:pt idx="476">
                  <c:v>60256</c:v>
                </c:pt>
                <c:pt idx="477">
                  <c:v>60607</c:v>
                </c:pt>
                <c:pt idx="478">
                  <c:v>60958</c:v>
                </c:pt>
                <c:pt idx="479">
                  <c:v>61309</c:v>
                </c:pt>
                <c:pt idx="480">
                  <c:v>61660</c:v>
                </c:pt>
                <c:pt idx="481">
                  <c:v>62019</c:v>
                </c:pt>
                <c:pt idx="482">
                  <c:v>62378</c:v>
                </c:pt>
                <c:pt idx="483">
                  <c:v>62737</c:v>
                </c:pt>
                <c:pt idx="484">
                  <c:v>63096</c:v>
                </c:pt>
                <c:pt idx="485">
                  <c:v>63463.25</c:v>
                </c:pt>
                <c:pt idx="486">
                  <c:v>63830.5</c:v>
                </c:pt>
                <c:pt idx="487">
                  <c:v>64197.75</c:v>
                </c:pt>
                <c:pt idx="488">
                  <c:v>64565</c:v>
                </c:pt>
                <c:pt idx="489">
                  <c:v>64941</c:v>
                </c:pt>
                <c:pt idx="490">
                  <c:v>65317</c:v>
                </c:pt>
                <c:pt idx="491">
                  <c:v>65693</c:v>
                </c:pt>
                <c:pt idx="492">
                  <c:v>66069</c:v>
                </c:pt>
                <c:pt idx="493">
                  <c:v>66453.75</c:v>
                </c:pt>
                <c:pt idx="494">
                  <c:v>66838.5</c:v>
                </c:pt>
                <c:pt idx="495">
                  <c:v>67223.25</c:v>
                </c:pt>
                <c:pt idx="496">
                  <c:v>67608</c:v>
                </c:pt>
                <c:pt idx="497">
                  <c:v>68001.75</c:v>
                </c:pt>
                <c:pt idx="498">
                  <c:v>68395.5</c:v>
                </c:pt>
                <c:pt idx="499">
                  <c:v>68789.25</c:v>
                </c:pt>
                <c:pt idx="500">
                  <c:v>69183</c:v>
                </c:pt>
                <c:pt idx="501">
                  <c:v>69586</c:v>
                </c:pt>
                <c:pt idx="502">
                  <c:v>69989</c:v>
                </c:pt>
                <c:pt idx="503">
                  <c:v>70392</c:v>
                </c:pt>
                <c:pt idx="504">
                  <c:v>70795</c:v>
                </c:pt>
                <c:pt idx="505">
                  <c:v>71207.25</c:v>
                </c:pt>
                <c:pt idx="506">
                  <c:v>71619.5</c:v>
                </c:pt>
                <c:pt idx="507">
                  <c:v>72031.75</c:v>
                </c:pt>
                <c:pt idx="508">
                  <c:v>72444</c:v>
                </c:pt>
                <c:pt idx="509">
                  <c:v>72865.75</c:v>
                </c:pt>
                <c:pt idx="510">
                  <c:v>73287.5</c:v>
                </c:pt>
                <c:pt idx="511">
                  <c:v>73709.25</c:v>
                </c:pt>
                <c:pt idx="512">
                  <c:v>74131</c:v>
                </c:pt>
                <c:pt idx="513">
                  <c:v>74562.75</c:v>
                </c:pt>
                <c:pt idx="514">
                  <c:v>74994.5</c:v>
                </c:pt>
                <c:pt idx="515">
                  <c:v>75426.25</c:v>
                </c:pt>
                <c:pt idx="516">
                  <c:v>75858</c:v>
                </c:pt>
                <c:pt idx="517">
                  <c:v>76299.75</c:v>
                </c:pt>
                <c:pt idx="518">
                  <c:v>76741.5</c:v>
                </c:pt>
                <c:pt idx="519">
                  <c:v>77183.25</c:v>
                </c:pt>
                <c:pt idx="520">
                  <c:v>77625</c:v>
                </c:pt>
                <c:pt idx="521">
                  <c:v>78077</c:v>
                </c:pt>
                <c:pt idx="522">
                  <c:v>78529</c:v>
                </c:pt>
                <c:pt idx="523">
                  <c:v>78981</c:v>
                </c:pt>
                <c:pt idx="524">
                  <c:v>79433</c:v>
                </c:pt>
                <c:pt idx="525">
                  <c:v>79895.5</c:v>
                </c:pt>
                <c:pt idx="526">
                  <c:v>80358</c:v>
                </c:pt>
                <c:pt idx="527">
                  <c:v>80820.5</c:v>
                </c:pt>
                <c:pt idx="528">
                  <c:v>81283</c:v>
                </c:pt>
                <c:pt idx="529">
                  <c:v>81756.25</c:v>
                </c:pt>
                <c:pt idx="530">
                  <c:v>82229.5</c:v>
                </c:pt>
                <c:pt idx="531">
                  <c:v>82702.75</c:v>
                </c:pt>
                <c:pt idx="532">
                  <c:v>83176</c:v>
                </c:pt>
                <c:pt idx="533">
                  <c:v>83660.5</c:v>
                </c:pt>
                <c:pt idx="534">
                  <c:v>84145</c:v>
                </c:pt>
                <c:pt idx="535">
                  <c:v>84629.5</c:v>
                </c:pt>
                <c:pt idx="536">
                  <c:v>85114</c:v>
                </c:pt>
                <c:pt idx="537">
                  <c:v>85609.5</c:v>
                </c:pt>
                <c:pt idx="538">
                  <c:v>86105</c:v>
                </c:pt>
                <c:pt idx="539">
                  <c:v>86600.5</c:v>
                </c:pt>
                <c:pt idx="540">
                  <c:v>87096</c:v>
                </c:pt>
                <c:pt idx="541">
                  <c:v>87603.25</c:v>
                </c:pt>
                <c:pt idx="542">
                  <c:v>88110.5</c:v>
                </c:pt>
                <c:pt idx="543">
                  <c:v>88617.75</c:v>
                </c:pt>
                <c:pt idx="544">
                  <c:v>89125</c:v>
                </c:pt>
                <c:pt idx="545">
                  <c:v>89644</c:v>
                </c:pt>
                <c:pt idx="546">
                  <c:v>90163</c:v>
                </c:pt>
                <c:pt idx="547">
                  <c:v>90682</c:v>
                </c:pt>
                <c:pt idx="548">
                  <c:v>91201</c:v>
                </c:pt>
                <c:pt idx="549">
                  <c:v>91732</c:v>
                </c:pt>
                <c:pt idx="550">
                  <c:v>92263</c:v>
                </c:pt>
                <c:pt idx="551">
                  <c:v>92794</c:v>
                </c:pt>
                <c:pt idx="552">
                  <c:v>93325</c:v>
                </c:pt>
                <c:pt idx="553">
                  <c:v>93868.5</c:v>
                </c:pt>
                <c:pt idx="554">
                  <c:v>94412</c:v>
                </c:pt>
                <c:pt idx="555">
                  <c:v>94955.5</c:v>
                </c:pt>
                <c:pt idx="556">
                  <c:v>95499</c:v>
                </c:pt>
                <c:pt idx="557">
                  <c:v>96611.5</c:v>
                </c:pt>
                <c:pt idx="558">
                  <c:v>97724</c:v>
                </c:pt>
                <c:pt idx="559">
                  <c:v>98862</c:v>
                </c:pt>
                <c:pt idx="560">
                  <c:v>100000</c:v>
                </c:pt>
                <c:pt idx="561">
                  <c:v>101165</c:v>
                </c:pt>
                <c:pt idx="562">
                  <c:v>102330</c:v>
                </c:pt>
                <c:pt idx="563">
                  <c:v>103520</c:v>
                </c:pt>
                <c:pt idx="564">
                  <c:v>104710</c:v>
                </c:pt>
                <c:pt idx="565">
                  <c:v>105930</c:v>
                </c:pt>
                <c:pt idx="566">
                  <c:v>107150</c:v>
                </c:pt>
                <c:pt idx="567">
                  <c:v>108400</c:v>
                </c:pt>
                <c:pt idx="568">
                  <c:v>109650</c:v>
                </c:pt>
                <c:pt idx="569">
                  <c:v>110925</c:v>
                </c:pt>
                <c:pt idx="570">
                  <c:v>112200</c:v>
                </c:pt>
                <c:pt idx="571">
                  <c:v>113510</c:v>
                </c:pt>
                <c:pt idx="572">
                  <c:v>114820</c:v>
                </c:pt>
                <c:pt idx="573">
                  <c:v>116155</c:v>
                </c:pt>
                <c:pt idx="574">
                  <c:v>117490</c:v>
                </c:pt>
                <c:pt idx="575">
                  <c:v>118860</c:v>
                </c:pt>
                <c:pt idx="576">
                  <c:v>120230</c:v>
                </c:pt>
                <c:pt idx="577">
                  <c:v>126030</c:v>
                </c:pt>
                <c:pt idx="578">
                  <c:v>131830</c:v>
                </c:pt>
                <c:pt idx="579">
                  <c:v>144540</c:v>
                </c:pt>
                <c:pt idx="580">
                  <c:v>158490</c:v>
                </c:pt>
                <c:pt idx="581">
                  <c:v>173780</c:v>
                </c:pt>
                <c:pt idx="582">
                  <c:v>190550</c:v>
                </c:pt>
                <c:pt idx="583">
                  <c:v>208930</c:v>
                </c:pt>
                <c:pt idx="584">
                  <c:v>229090</c:v>
                </c:pt>
                <c:pt idx="585">
                  <c:v>251190</c:v>
                </c:pt>
                <c:pt idx="586">
                  <c:v>275420</c:v>
                </c:pt>
                <c:pt idx="587">
                  <c:v>302000</c:v>
                </c:pt>
                <c:pt idx="588">
                  <c:v>331130</c:v>
                </c:pt>
                <c:pt idx="589">
                  <c:v>363080</c:v>
                </c:pt>
                <c:pt idx="590">
                  <c:v>398110</c:v>
                </c:pt>
                <c:pt idx="591">
                  <c:v>436520</c:v>
                </c:pt>
                <c:pt idx="592">
                  <c:v>478630</c:v>
                </c:pt>
                <c:pt idx="593">
                  <c:v>524810</c:v>
                </c:pt>
                <c:pt idx="594">
                  <c:v>575440</c:v>
                </c:pt>
                <c:pt idx="595">
                  <c:v>630960</c:v>
                </c:pt>
                <c:pt idx="596">
                  <c:v>691830</c:v>
                </c:pt>
                <c:pt idx="597">
                  <c:v>758580</c:v>
                </c:pt>
                <c:pt idx="598">
                  <c:v>831760</c:v>
                </c:pt>
                <c:pt idx="599">
                  <c:v>912010</c:v>
                </c:pt>
                <c:pt idx="600">
                  <c:v>1000000</c:v>
                </c:pt>
              </c:numCache>
            </c:numRef>
          </c:xVal>
          <c:yVal>
            <c:numRef>
              <c:f>'Stability Calculations'!$Y$13:$Y$613</c:f>
              <c:numCache>
                <c:formatCode>0.00</c:formatCode>
                <c:ptCount val="601"/>
                <c:pt idx="0">
                  <c:v>92.879017823766574</c:v>
                </c:pt>
                <c:pt idx="1">
                  <c:v>92.596970192560931</c:v>
                </c:pt>
                <c:pt idx="2">
                  <c:v>92.33685844746681</c:v>
                </c:pt>
                <c:pt idx="3">
                  <c:v>92.096493290541474</c:v>
                </c:pt>
                <c:pt idx="4">
                  <c:v>91.873990138646391</c:v>
                </c:pt>
                <c:pt idx="5">
                  <c:v>91.667111141088753</c:v>
                </c:pt>
                <c:pt idx="6">
                  <c:v>91.474419816577324</c:v>
                </c:pt>
                <c:pt idx="7">
                  <c:v>91.294158389585405</c:v>
                </c:pt>
                <c:pt idx="8">
                  <c:v>91.124932235946417</c:v>
                </c:pt>
                <c:pt idx="9">
                  <c:v>90.965179580683113</c:v>
                </c:pt>
                <c:pt idx="10">
                  <c:v>90.813642034978884</c:v>
                </c:pt>
                <c:pt idx="11">
                  <c:v>90.669011470179996</c:v>
                </c:pt>
                <c:pt idx="12">
                  <c:v>90.529989730332488</c:v>
                </c:pt>
                <c:pt idx="13">
                  <c:v>90.395533059384036</c:v>
                </c:pt>
                <c:pt idx="14">
                  <c:v>90.264393654181731</c:v>
                </c:pt>
                <c:pt idx="15">
                  <c:v>90.13551266726563</c:v>
                </c:pt>
                <c:pt idx="16">
                  <c:v>90.007788445018406</c:v>
                </c:pt>
                <c:pt idx="17">
                  <c:v>89.880158622269988</c:v>
                </c:pt>
                <c:pt idx="18">
                  <c:v>89.751507176610616</c:v>
                </c:pt>
                <c:pt idx="19">
                  <c:v>89.620782488815649</c:v>
                </c:pt>
                <c:pt idx="20">
                  <c:v>89.486856240156783</c:v>
                </c:pt>
                <c:pt idx="21">
                  <c:v>89.348628897303072</c:v>
                </c:pt>
                <c:pt idx="22">
                  <c:v>89.204910280197396</c:v>
                </c:pt>
                <c:pt idx="23">
                  <c:v>89.054533371047043</c:v>
                </c:pt>
                <c:pt idx="24">
                  <c:v>88.896205811090795</c:v>
                </c:pt>
                <c:pt idx="25">
                  <c:v>88.728636645880187</c:v>
                </c:pt>
                <c:pt idx="26">
                  <c:v>88.550400482367905</c:v>
                </c:pt>
                <c:pt idx="27">
                  <c:v>88.360090915061193</c:v>
                </c:pt>
                <c:pt idx="28">
                  <c:v>88.156156175368238</c:v>
                </c:pt>
                <c:pt idx="29">
                  <c:v>87.937098879804267</c:v>
                </c:pt>
                <c:pt idx="30">
                  <c:v>87.700798488507587</c:v>
                </c:pt>
                <c:pt idx="31">
                  <c:v>87.445719671390776</c:v>
                </c:pt>
                <c:pt idx="32">
                  <c:v>87.169730011168696</c:v>
                </c:pt>
                <c:pt idx="33">
                  <c:v>86.870956372701301</c:v>
                </c:pt>
                <c:pt idx="34">
                  <c:v>86.546984960823295</c:v>
                </c:pt>
                <c:pt idx="35">
                  <c:v>86.195703179709639</c:v>
                </c:pt>
                <c:pt idx="36">
                  <c:v>85.81468776875073</c:v>
                </c:pt>
                <c:pt idx="37">
                  <c:v>85.401262600658256</c:v>
                </c:pt>
                <c:pt idx="38">
                  <c:v>84.953333029760685</c:v>
                </c:pt>
                <c:pt idx="39">
                  <c:v>84.468066174208744</c:v>
                </c:pt>
                <c:pt idx="40">
                  <c:v>83.943224220696251</c:v>
                </c:pt>
                <c:pt idx="41">
                  <c:v>83.376516969928844</c:v>
                </c:pt>
                <c:pt idx="42">
                  <c:v>82.766053968884492</c:v>
                </c:pt>
                <c:pt idx="43">
                  <c:v>82.11009306741586</c:v>
                </c:pt>
                <c:pt idx="44">
                  <c:v>81.407838742596056</c:v>
                </c:pt>
                <c:pt idx="45">
                  <c:v>80.658994604751896</c:v>
                </c:pt>
                <c:pt idx="46">
                  <c:v>79.864621902582655</c:v>
                </c:pt>
                <c:pt idx="47">
                  <c:v>79.026810726645024</c:v>
                </c:pt>
                <c:pt idx="48">
                  <c:v>78.149690986769102</c:v>
                </c:pt>
                <c:pt idx="49">
                  <c:v>77.238936150019285</c:v>
                </c:pt>
                <c:pt idx="50">
                  <c:v>76.302839488230958</c:v>
                </c:pt>
                <c:pt idx="51">
                  <c:v>75.351818682115095</c:v>
                </c:pt>
                <c:pt idx="52">
                  <c:v>74.399403396754394</c:v>
                </c:pt>
                <c:pt idx="53">
                  <c:v>73.461305462179311</c:v>
                </c:pt>
                <c:pt idx="54">
                  <c:v>72.556050966112494</c:v>
                </c:pt>
                <c:pt idx="55">
                  <c:v>71.701799129898376</c:v>
                </c:pt>
                <c:pt idx="56">
                  <c:v>70.92034739082834</c:v>
                </c:pt>
                <c:pt idx="57">
                  <c:v>70.23155690872369</c:v>
                </c:pt>
                <c:pt idx="58">
                  <c:v>69.65490663702208</c:v>
                </c:pt>
                <c:pt idx="59">
                  <c:v>69.206292347416948</c:v>
                </c:pt>
                <c:pt idx="60">
                  <c:v>68.898476483553864</c:v>
                </c:pt>
                <c:pt idx="61">
                  <c:v>68.738982568100937</c:v>
                </c:pt>
                <c:pt idx="62">
                  <c:v>68.729942250583505</c:v>
                </c:pt>
                <c:pt idx="63">
                  <c:v>68.867752330838286</c:v>
                </c:pt>
                <c:pt idx="64">
                  <c:v>69.14336174015456</c:v>
                </c:pt>
                <c:pt idx="65">
                  <c:v>69.542720915152927</c:v>
                </c:pt>
                <c:pt idx="66">
                  <c:v>70.047964146396609</c:v>
                </c:pt>
                <c:pt idx="67">
                  <c:v>70.638418784985078</c:v>
                </c:pt>
                <c:pt idx="68">
                  <c:v>71.292239151681656</c:v>
                </c:pt>
                <c:pt idx="69">
                  <c:v>71.987003286268163</c:v>
                </c:pt>
                <c:pt idx="70">
                  <c:v>72.701393829083315</c:v>
                </c:pt>
                <c:pt idx="71">
                  <c:v>73.415403996334547</c:v>
                </c:pt>
                <c:pt idx="72">
                  <c:v>74.111438902252019</c:v>
                </c:pt>
                <c:pt idx="73">
                  <c:v>74.773965970687925</c:v>
                </c:pt>
                <c:pt idx="74">
                  <c:v>75.39022062496548</c:v>
                </c:pt>
                <c:pt idx="75">
                  <c:v>75.949472488607469</c:v>
                </c:pt>
                <c:pt idx="76">
                  <c:v>76.443269518176095</c:v>
                </c:pt>
                <c:pt idx="77">
                  <c:v>76.864635386894236</c:v>
                </c:pt>
                <c:pt idx="78">
                  <c:v>77.208218632883515</c:v>
                </c:pt>
                <c:pt idx="79">
                  <c:v>77.469600230329903</c:v>
                </c:pt>
                <c:pt idx="80">
                  <c:v>77.645659081271475</c:v>
                </c:pt>
                <c:pt idx="81">
                  <c:v>77.733040985948861</c:v>
                </c:pt>
                <c:pt idx="82">
                  <c:v>77.729037506920179</c:v>
                </c:pt>
                <c:pt idx="83">
                  <c:v>77.63093171545934</c:v>
                </c:pt>
                <c:pt idx="84">
                  <c:v>77.435786075222822</c:v>
                </c:pt>
                <c:pt idx="85">
                  <c:v>77.140542005756402</c:v>
                </c:pt>
                <c:pt idx="86">
                  <c:v>76.741652622997279</c:v>
                </c:pt>
                <c:pt idx="87">
                  <c:v>76.234802549309876</c:v>
                </c:pt>
                <c:pt idx="88">
                  <c:v>75.615875038759526</c:v>
                </c:pt>
                <c:pt idx="89">
                  <c:v>74.879171529416865</c:v>
                </c:pt>
                <c:pt idx="90">
                  <c:v>74.019030781655317</c:v>
                </c:pt>
                <c:pt idx="91">
                  <c:v>73.028798209274029</c:v>
                </c:pt>
                <c:pt idx="92">
                  <c:v>71.901340834673789</c:v>
                </c:pt>
                <c:pt idx="93">
                  <c:v>70.628334777402898</c:v>
                </c:pt>
                <c:pt idx="94">
                  <c:v>70.286510451441202</c:v>
                </c:pt>
                <c:pt idx="95">
                  <c:v>70.11086003314395</c:v>
                </c:pt>
                <c:pt idx="96">
                  <c:v>69.934775383759487</c:v>
                </c:pt>
                <c:pt idx="97">
                  <c:v>69.754180190169464</c:v>
                </c:pt>
                <c:pt idx="98">
                  <c:v>69.573171749802242</c:v>
                </c:pt>
                <c:pt idx="99">
                  <c:v>69.387513495913282</c:v>
                </c:pt>
                <c:pt idx="100">
                  <c:v>69.201463079189807</c:v>
                </c:pt>
                <c:pt idx="101">
                  <c:v>69.010766346107687</c:v>
                </c:pt>
                <c:pt idx="102">
                  <c:v>68.81969927160884</c:v>
                </c:pt>
                <c:pt idx="103">
                  <c:v>68.623705497000628</c:v>
                </c:pt>
                <c:pt idx="104">
                  <c:v>68.427362885201433</c:v>
                </c:pt>
                <c:pt idx="105">
                  <c:v>68.226099230483328</c:v>
                </c:pt>
                <c:pt idx="106">
                  <c:v>68.024509080508992</c:v>
                </c:pt>
                <c:pt idx="107">
                  <c:v>67.818005738100013</c:v>
                </c:pt>
                <c:pt idx="108">
                  <c:v>67.611199014309022</c:v>
                </c:pt>
                <c:pt idx="109">
                  <c:v>67.399344737631623</c:v>
                </c:pt>
                <c:pt idx="110">
                  <c:v>67.187210536809985</c:v>
                </c:pt>
                <c:pt idx="111">
                  <c:v>66.969750700151607</c:v>
                </c:pt>
                <c:pt idx="112">
                  <c:v>66.752034500925802</c:v>
                </c:pt>
                <c:pt idx="113">
                  <c:v>66.529004756756578</c:v>
                </c:pt>
                <c:pt idx="114">
                  <c:v>66.305743122148556</c:v>
                </c:pt>
                <c:pt idx="115">
                  <c:v>66.077037020578629</c:v>
                </c:pt>
                <c:pt idx="116">
                  <c:v>65.848124100733074</c:v>
                </c:pt>
                <c:pt idx="117">
                  <c:v>65.613637262653057</c:v>
                </c:pt>
                <c:pt idx="118">
                  <c:v>65.378969358860431</c:v>
                </c:pt>
                <c:pt idx="119">
                  <c:v>65.138745450281704</c:v>
                </c:pt>
                <c:pt idx="120">
                  <c:v>64.898367163810462</c:v>
                </c:pt>
                <c:pt idx="121">
                  <c:v>64.652307182194747</c:v>
                </c:pt>
                <c:pt idx="122">
                  <c:v>64.406120251630114</c:v>
                </c:pt>
                <c:pt idx="123">
                  <c:v>64.153981745708293</c:v>
                </c:pt>
                <c:pt idx="124">
                  <c:v>63.901744433288215</c:v>
                </c:pt>
                <c:pt idx="125">
                  <c:v>63.643579642273608</c:v>
                </c:pt>
                <c:pt idx="126">
                  <c:v>63.385345239147242</c:v>
                </c:pt>
                <c:pt idx="127">
                  <c:v>63.12106371864634</c:v>
                </c:pt>
                <c:pt idx="128">
                  <c:v>62.856742744601448</c:v>
                </c:pt>
                <c:pt idx="129">
                  <c:v>62.58625733291106</c:v>
                </c:pt>
                <c:pt idx="130">
                  <c:v>62.315763661142967</c:v>
                </c:pt>
                <c:pt idx="131">
                  <c:v>62.038990706404718</c:v>
                </c:pt>
                <c:pt idx="132">
                  <c:v>61.900612255136181</c:v>
                </c:pt>
                <c:pt idx="133">
                  <c:v>61.762241788594167</c:v>
                </c:pt>
                <c:pt idx="134">
                  <c:v>61.62059229192009</c:v>
                </c:pt>
                <c:pt idx="135">
                  <c:v>61.478955210887094</c:v>
                </c:pt>
                <c:pt idx="136">
                  <c:v>61.337332532493534</c:v>
                </c:pt>
                <c:pt idx="137">
                  <c:v>61.19572620466289</c:v>
                </c:pt>
                <c:pt idx="138">
                  <c:v>61.050923774214482</c:v>
                </c:pt>
                <c:pt idx="139">
                  <c:v>60.906142445424379</c:v>
                </c:pt>
                <c:pt idx="140">
                  <c:v>60.761384181587147</c:v>
                </c:pt>
                <c:pt idx="141">
                  <c:v>60.616650907504777</c:v>
                </c:pt>
                <c:pt idx="142">
                  <c:v>60.468513368246391</c:v>
                </c:pt>
                <c:pt idx="143">
                  <c:v>60.32040598079449</c:v>
                </c:pt>
                <c:pt idx="144">
                  <c:v>60.172330691143657</c:v>
                </c:pt>
                <c:pt idx="145">
                  <c:v>60.024289407184312</c:v>
                </c:pt>
                <c:pt idx="146">
                  <c:v>59.872856024491114</c:v>
                </c:pt>
                <c:pt idx="147">
                  <c:v>59.721462164020039</c:v>
                </c:pt>
                <c:pt idx="148">
                  <c:v>59.570109751695256</c:v>
                </c:pt>
                <c:pt idx="149">
                  <c:v>59.418800675766406</c:v>
                </c:pt>
                <c:pt idx="150">
                  <c:v>59.264039905852826</c:v>
                </c:pt>
                <c:pt idx="151">
                  <c:v>59.109328381643365</c:v>
                </c:pt>
                <c:pt idx="152">
                  <c:v>58.954668009052341</c:v>
                </c:pt>
                <c:pt idx="153">
                  <c:v>58.800060656710599</c:v>
                </c:pt>
                <c:pt idx="154">
                  <c:v>58.641870590866802</c:v>
                </c:pt>
                <c:pt idx="155">
                  <c:v>58.483739916589855</c:v>
                </c:pt>
                <c:pt idx="156">
                  <c:v>58.325670522221301</c:v>
                </c:pt>
                <c:pt idx="157">
                  <c:v>58.167664259103418</c:v>
                </c:pt>
                <c:pt idx="158">
                  <c:v>58.006018581553192</c:v>
                </c:pt>
                <c:pt idx="159">
                  <c:v>57.844442841123254</c:v>
                </c:pt>
                <c:pt idx="160">
                  <c:v>57.682938907992735</c:v>
                </c:pt>
                <c:pt idx="161">
                  <c:v>57.521508615593262</c:v>
                </c:pt>
                <c:pt idx="162">
                  <c:v>57.356456189081058</c:v>
                </c:pt>
                <c:pt idx="163">
                  <c:v>57.19148458484014</c:v>
                </c:pt>
                <c:pt idx="164">
                  <c:v>57.026595651670959</c:v>
                </c:pt>
                <c:pt idx="165">
                  <c:v>56.861791201909043</c:v>
                </c:pt>
                <c:pt idx="166">
                  <c:v>56.693165997658923</c:v>
                </c:pt>
                <c:pt idx="167">
                  <c:v>56.524633063685613</c:v>
                </c:pt>
                <c:pt idx="168">
                  <c:v>56.35619423127666</c:v>
                </c:pt>
                <c:pt idx="169">
                  <c:v>56.187851295370336</c:v>
                </c:pt>
                <c:pt idx="170">
                  <c:v>56.015996684781712</c:v>
                </c:pt>
                <c:pt idx="171">
                  <c:v>55.84424580408124</c:v>
                </c:pt>
                <c:pt idx="172">
                  <c:v>55.67260045429164</c:v>
                </c:pt>
                <c:pt idx="173">
                  <c:v>55.501062400474211</c:v>
                </c:pt>
                <c:pt idx="174">
                  <c:v>55.325313056154869</c:v>
                </c:pt>
                <c:pt idx="175">
                  <c:v>55.149680130664578</c:v>
                </c:pt>
                <c:pt idx="176">
                  <c:v>54.974165413663883</c:v>
                </c:pt>
                <c:pt idx="177">
                  <c:v>54.798770658660814</c:v>
                </c:pt>
                <c:pt idx="178">
                  <c:v>54.619189137440117</c:v>
                </c:pt>
                <c:pt idx="179">
                  <c:v>54.439737164613291</c:v>
                </c:pt>
                <c:pt idx="180">
                  <c:v>54.260416513535475</c:v>
                </c:pt>
                <c:pt idx="181">
                  <c:v>54.081228921256752</c:v>
                </c:pt>
                <c:pt idx="182">
                  <c:v>53.898596418771021</c:v>
                </c:pt>
                <c:pt idx="183">
                  <c:v>53.716105889409064</c:v>
                </c:pt>
                <c:pt idx="184">
                  <c:v>53.533759065039547</c:v>
                </c:pt>
                <c:pt idx="185">
                  <c:v>53.351557641669984</c:v>
                </c:pt>
                <c:pt idx="186">
                  <c:v>53.164507799028328</c:v>
                </c:pt>
                <c:pt idx="187">
                  <c:v>52.977614966802165</c:v>
                </c:pt>
                <c:pt idx="188">
                  <c:v>52.79088087146873</c:v>
                </c:pt>
                <c:pt idx="189">
                  <c:v>52.604307202984742</c:v>
                </c:pt>
                <c:pt idx="190">
                  <c:v>52.414339729290234</c:v>
                </c:pt>
                <c:pt idx="191">
                  <c:v>52.224542295345344</c:v>
                </c:pt>
                <c:pt idx="192">
                  <c:v>52.034916577745562</c:v>
                </c:pt>
                <c:pt idx="193">
                  <c:v>51.845464217039165</c:v>
                </c:pt>
                <c:pt idx="194">
                  <c:v>51.651226857693388</c:v>
                </c:pt>
                <c:pt idx="195">
                  <c:v>51.457175451765067</c:v>
                </c:pt>
                <c:pt idx="196">
                  <c:v>51.263311658907782</c:v>
                </c:pt>
                <c:pt idx="197">
                  <c:v>51.069637102136966</c:v>
                </c:pt>
                <c:pt idx="198">
                  <c:v>50.871918645358676</c:v>
                </c:pt>
                <c:pt idx="199">
                  <c:v>50.674401116283832</c:v>
                </c:pt>
                <c:pt idx="200">
                  <c:v>50.477086133323354</c:v>
                </c:pt>
                <c:pt idx="201">
                  <c:v>50.279975278225947</c:v>
                </c:pt>
                <c:pt idx="202">
                  <c:v>50.078852962173642</c:v>
                </c:pt>
                <c:pt idx="203">
                  <c:v>49.87794683826607</c:v>
                </c:pt>
                <c:pt idx="204">
                  <c:v>49.677258478580484</c:v>
                </c:pt>
                <c:pt idx="205">
                  <c:v>49.476789418522088</c:v>
                </c:pt>
                <c:pt idx="206">
                  <c:v>49.271642757053627</c:v>
                </c:pt>
                <c:pt idx="207">
                  <c:v>49.06672940920356</c:v>
                </c:pt>
                <c:pt idx="208">
                  <c:v>48.862050911059612</c:v>
                </c:pt>
                <c:pt idx="209">
                  <c:v>48.657608761546186</c:v>
                </c:pt>
                <c:pt idx="210">
                  <c:v>48.447832226923083</c:v>
                </c:pt>
                <c:pt idx="211">
                  <c:v>48.23830821326564</c:v>
                </c:pt>
                <c:pt idx="212">
                  <c:v>48.029038228094379</c:v>
                </c:pt>
                <c:pt idx="213">
                  <c:v>47.820023740815884</c:v>
                </c:pt>
                <c:pt idx="214">
                  <c:v>47.607107524704304</c:v>
                </c:pt>
                <c:pt idx="215">
                  <c:v>47.394460063786852</c:v>
                </c:pt>
                <c:pt idx="216">
                  <c:v>47.182082799488114</c:v>
                </c:pt>
                <c:pt idx="217">
                  <c:v>46.96997713521921</c:v>
                </c:pt>
                <c:pt idx="218">
                  <c:v>46.75331756909037</c:v>
                </c:pt>
                <c:pt idx="219">
                  <c:v>46.536944981132706</c:v>
                </c:pt>
                <c:pt idx="220">
                  <c:v>46.320860754433198</c:v>
                </c:pt>
                <c:pt idx="221">
                  <c:v>46.10506623370128</c:v>
                </c:pt>
                <c:pt idx="222">
                  <c:v>45.884761833617574</c:v>
                </c:pt>
                <c:pt idx="223">
                  <c:v>45.66476292281564</c:v>
                </c:pt>
                <c:pt idx="224">
                  <c:v>45.445070818454866</c:v>
                </c:pt>
                <c:pt idx="225">
                  <c:v>45.225686798997117</c:v>
                </c:pt>
                <c:pt idx="226">
                  <c:v>45.001156260544633</c:v>
                </c:pt>
                <c:pt idx="227">
                  <c:v>44.776951952638655</c:v>
                </c:pt>
                <c:pt idx="228">
                  <c:v>44.553075130113797</c:v>
                </c:pt>
                <c:pt idx="229">
                  <c:v>44.329527008365318</c:v>
                </c:pt>
                <c:pt idx="230">
                  <c:v>43.87259049555729</c:v>
                </c:pt>
                <c:pt idx="231">
                  <c:v>43.644644429435232</c:v>
                </c:pt>
                <c:pt idx="232">
                  <c:v>43.417048026762501</c:v>
                </c:pt>
                <c:pt idx="233">
                  <c:v>43.184412106512667</c:v>
                </c:pt>
                <c:pt idx="234">
                  <c:v>42.952144945603578</c:v>
                </c:pt>
                <c:pt idx="235">
                  <c:v>42.720247644205813</c:v>
                </c:pt>
                <c:pt idx="236">
                  <c:v>42.488721261795007</c:v>
                </c:pt>
                <c:pt idx="237">
                  <c:v>42.252880584532221</c:v>
                </c:pt>
                <c:pt idx="238">
                  <c:v>42.017428132914688</c:v>
                </c:pt>
                <c:pt idx="239">
                  <c:v>41.78236490632986</c:v>
                </c:pt>
                <c:pt idx="240">
                  <c:v>41.547691863429861</c:v>
                </c:pt>
                <c:pt idx="241">
                  <c:v>41.307424895274295</c:v>
                </c:pt>
                <c:pt idx="242">
                  <c:v>41.067570232804968</c:v>
                </c:pt>
                <c:pt idx="243">
                  <c:v>40.828128781801183</c:v>
                </c:pt>
                <c:pt idx="244">
                  <c:v>40.589101406431922</c:v>
                </c:pt>
                <c:pt idx="245">
                  <c:v>40.345205824118096</c:v>
                </c:pt>
                <c:pt idx="246">
                  <c:v>40.101744569472913</c:v>
                </c:pt>
                <c:pt idx="247">
                  <c:v>39.85871843590499</c:v>
                </c:pt>
                <c:pt idx="248">
                  <c:v>39.61612817490996</c:v>
                </c:pt>
                <c:pt idx="249">
                  <c:v>39.368073769410643</c:v>
                </c:pt>
                <c:pt idx="250">
                  <c:v>39.120478223063401</c:v>
                </c:pt>
                <c:pt idx="251">
                  <c:v>38.873342212325383</c:v>
                </c:pt>
                <c:pt idx="252">
                  <c:v>38.626666371106296</c:v>
                </c:pt>
                <c:pt idx="253">
                  <c:v>38.375245373540736</c:v>
                </c:pt>
                <c:pt idx="254">
                  <c:v>38.124305433779227</c:v>
                </c:pt>
                <c:pt idx="255">
                  <c:v>37.873847095014156</c:v>
                </c:pt>
                <c:pt idx="256">
                  <c:v>37.623870857838767</c:v>
                </c:pt>
                <c:pt idx="257">
                  <c:v>37.367920030930122</c:v>
                </c:pt>
                <c:pt idx="258">
                  <c:v>37.112477542084719</c:v>
                </c:pt>
                <c:pt idx="259">
                  <c:v>36.857543797771967</c:v>
                </c:pt>
                <c:pt idx="260">
                  <c:v>36.603119161080315</c:v>
                </c:pt>
                <c:pt idx="261">
                  <c:v>36.343439075228702</c:v>
                </c:pt>
                <c:pt idx="262">
                  <c:v>36.084292134430939</c:v>
                </c:pt>
                <c:pt idx="263">
                  <c:v>35.825678592196454</c:v>
                </c:pt>
                <c:pt idx="264">
                  <c:v>35.567598658488293</c:v>
                </c:pt>
                <c:pt idx="265">
                  <c:v>35.304335316388062</c:v>
                </c:pt>
                <c:pt idx="266">
                  <c:v>35.041629870717259</c:v>
                </c:pt>
                <c:pt idx="267">
                  <c:v>34.779482410705327</c:v>
                </c:pt>
                <c:pt idx="268">
                  <c:v>34.51789298204875</c:v>
                </c:pt>
                <c:pt idx="269">
                  <c:v>34.250563383834503</c:v>
                </c:pt>
                <c:pt idx="270">
                  <c:v>33.983819061807083</c:v>
                </c:pt>
                <c:pt idx="271">
                  <c:v>33.717659929324128</c:v>
                </c:pt>
                <c:pt idx="272">
                  <c:v>33.452085856007301</c:v>
                </c:pt>
                <c:pt idx="273">
                  <c:v>33.180853982001935</c:v>
                </c:pt>
                <c:pt idx="274">
                  <c:v>32.910234677223286</c:v>
                </c:pt>
                <c:pt idx="275">
                  <c:v>32.640227665952608</c:v>
                </c:pt>
                <c:pt idx="276">
                  <c:v>32.370832628763225</c:v>
                </c:pt>
                <c:pt idx="277">
                  <c:v>32.096481824022248</c:v>
                </c:pt>
                <c:pt idx="278">
                  <c:v>31.822767830665867</c:v>
                </c:pt>
                <c:pt idx="279">
                  <c:v>31.549690174711827</c:v>
                </c:pt>
                <c:pt idx="280">
                  <c:v>31.27724833912751</c:v>
                </c:pt>
                <c:pt idx="281">
                  <c:v>30.998087890093359</c:v>
                </c:pt>
                <c:pt idx="282">
                  <c:v>30.71959693363155</c:v>
                </c:pt>
                <c:pt idx="283">
                  <c:v>30.441774774650241</c:v>
                </c:pt>
                <c:pt idx="284">
                  <c:v>30.16462067476516</c:v>
                </c:pt>
                <c:pt idx="285">
                  <c:v>29.882671607802934</c:v>
                </c:pt>
                <c:pt idx="286">
                  <c:v>29.601415606331557</c:v>
                </c:pt>
                <c:pt idx="287">
                  <c:v>29.320851755277431</c:v>
                </c:pt>
                <c:pt idx="288">
                  <c:v>29.040979097451356</c:v>
                </c:pt>
                <c:pt idx="289">
                  <c:v>28.754585545109563</c:v>
                </c:pt>
                <c:pt idx="290">
                  <c:v>28.468917227772579</c:v>
                </c:pt>
                <c:pt idx="291">
                  <c:v>28.183972981256119</c:v>
                </c:pt>
                <c:pt idx="292">
                  <c:v>27.899751599636687</c:v>
                </c:pt>
                <c:pt idx="293">
                  <c:v>27.60970889185171</c:v>
                </c:pt>
                <c:pt idx="294">
                  <c:v>27.320420162213736</c:v>
                </c:pt>
                <c:pt idx="295">
                  <c:v>27.031883991223197</c:v>
                </c:pt>
                <c:pt idx="296">
                  <c:v>26.74409891870954</c:v>
                </c:pt>
                <c:pt idx="297">
                  <c:v>26.450588742598399</c:v>
                </c:pt>
                <c:pt idx="298">
                  <c:v>26.157860765468001</c:v>
                </c:pt>
                <c:pt idx="299">
                  <c:v>25.865913301841061</c:v>
                </c:pt>
                <c:pt idx="300">
                  <c:v>25.574744626963621</c:v>
                </c:pt>
                <c:pt idx="301">
                  <c:v>25.277947462221391</c:v>
                </c:pt>
                <c:pt idx="302">
                  <c:v>24.981960106931552</c:v>
                </c:pt>
                <c:pt idx="303">
                  <c:v>24.686780600321612</c:v>
                </c:pt>
                <c:pt idx="304">
                  <c:v>24.392406944068426</c:v>
                </c:pt>
                <c:pt idx="305">
                  <c:v>24.091349757874156</c:v>
                </c:pt>
                <c:pt idx="306">
                  <c:v>23.791135738190349</c:v>
                </c:pt>
                <c:pt idx="307">
                  <c:v>23.491762614867696</c:v>
                </c:pt>
                <c:pt idx="308">
                  <c:v>23.193228081722765</c:v>
                </c:pt>
                <c:pt idx="309">
                  <c:v>22.889265441947401</c:v>
                </c:pt>
                <c:pt idx="310">
                  <c:v>22.586172138908609</c:v>
                </c:pt>
                <c:pt idx="311">
                  <c:v>22.283945609672685</c:v>
                </c:pt>
                <c:pt idx="312">
                  <c:v>21.982583257717835</c:v>
                </c:pt>
                <c:pt idx="313">
                  <c:v>21.674763906963534</c:v>
                </c:pt>
                <c:pt idx="314">
                  <c:v>21.36784578431903</c:v>
                </c:pt>
                <c:pt idx="315">
                  <c:v>21.061825997585174</c:v>
                </c:pt>
                <c:pt idx="316">
                  <c:v>20.756701623289615</c:v>
                </c:pt>
                <c:pt idx="317">
                  <c:v>20.445236944034406</c:v>
                </c:pt>
                <c:pt idx="318">
                  <c:v>20.134704527267388</c:v>
                </c:pt>
                <c:pt idx="319">
                  <c:v>19.825101142612368</c:v>
                </c:pt>
                <c:pt idx="320">
                  <c:v>19.51642353116236</c:v>
                </c:pt>
                <c:pt idx="321">
                  <c:v>19.201522260472757</c:v>
                </c:pt>
                <c:pt idx="322">
                  <c:v>18.887583333485651</c:v>
                </c:pt>
                <c:pt idx="323">
                  <c:v>18.574603174757641</c:v>
                </c:pt>
                <c:pt idx="324">
                  <c:v>18.262578183470112</c:v>
                </c:pt>
                <c:pt idx="325">
                  <c:v>17.944445913916553</c:v>
                </c:pt>
                <c:pt idx="326">
                  <c:v>17.627305028300839</c:v>
                </c:pt>
                <c:pt idx="327">
                  <c:v>17.311151601306278</c:v>
                </c:pt>
                <c:pt idx="328">
                  <c:v>16.995981685795044</c:v>
                </c:pt>
                <c:pt idx="329">
                  <c:v>16.674284197019404</c:v>
                </c:pt>
                <c:pt idx="330">
                  <c:v>16.353609417285071</c:v>
                </c:pt>
                <c:pt idx="331">
                  <c:v>16.033953047171991</c:v>
                </c:pt>
                <c:pt idx="332">
                  <c:v>15.715310769252937</c:v>
                </c:pt>
                <c:pt idx="333">
                  <c:v>15.390795885006469</c:v>
                </c:pt>
                <c:pt idx="334">
                  <c:v>15.067330424931299</c:v>
                </c:pt>
                <c:pt idx="335">
                  <c:v>14.744909735122178</c:v>
                </c:pt>
                <c:pt idx="336">
                  <c:v>14.423529147985562</c:v>
                </c:pt>
                <c:pt idx="337">
                  <c:v>14.095345346750236</c:v>
                </c:pt>
                <c:pt idx="338">
                  <c:v>13.768243301870257</c:v>
                </c:pt>
                <c:pt idx="339">
                  <c:v>13.442217958350227</c:v>
                </c:pt>
                <c:pt idx="340">
                  <c:v>13.117264252034204</c:v>
                </c:pt>
                <c:pt idx="341">
                  <c:v>12.785641636013708</c:v>
                </c:pt>
                <c:pt idx="342">
                  <c:v>12.455131775796161</c:v>
                </c:pt>
                <c:pt idx="343">
                  <c:v>12.125729214063369</c:v>
                </c:pt>
                <c:pt idx="344">
                  <c:v>11.797428489290013</c:v>
                </c:pt>
                <c:pt idx="345">
                  <c:v>11.463101013571162</c:v>
                </c:pt>
                <c:pt idx="346">
                  <c:v>11.129912417345253</c:v>
                </c:pt>
                <c:pt idx="347">
                  <c:v>10.797856869032756</c:v>
                </c:pt>
                <c:pt idx="348">
                  <c:v>10.466928538176518</c:v>
                </c:pt>
                <c:pt idx="349">
                  <c:v>10.129091484939806</c:v>
                </c:pt>
                <c:pt idx="350">
                  <c:v>9.7924249292963452</c:v>
                </c:pt>
                <c:pt idx="351">
                  <c:v>9.4569226158351967</c:v>
                </c:pt>
                <c:pt idx="352">
                  <c:v>9.1225782959518256</c:v>
                </c:pt>
                <c:pt idx="353">
                  <c:v>8.7814665593285497</c:v>
                </c:pt>
                <c:pt idx="354">
                  <c:v>8.4415553872827331</c:v>
                </c:pt>
                <c:pt idx="355">
                  <c:v>8.1028381045616982</c:v>
                </c:pt>
                <c:pt idx="356">
                  <c:v>7.7653080487687873</c:v>
                </c:pt>
                <c:pt idx="357">
                  <c:v>7.4216384712286469</c:v>
                </c:pt>
                <c:pt idx="358">
                  <c:v>7.0791944360311447</c:v>
                </c:pt>
                <c:pt idx="359">
                  <c:v>6.7379688848464809</c:v>
                </c:pt>
                <c:pt idx="360">
                  <c:v>6.3979547784511794</c:v>
                </c:pt>
                <c:pt idx="361">
                  <c:v>6.0509668325647112</c:v>
                </c:pt>
                <c:pt idx="362">
                  <c:v>5.705234750613954</c:v>
                </c:pt>
                <c:pt idx="363">
                  <c:v>5.3607510399603768</c:v>
                </c:pt>
                <c:pt idx="364">
                  <c:v>5.0175082337928814</c:v>
                </c:pt>
                <c:pt idx="365">
                  <c:v>4.6679126375379383</c:v>
                </c:pt>
                <c:pt idx="366">
                  <c:v>4.3195980189257739</c:v>
                </c:pt>
                <c:pt idx="367">
                  <c:v>3.9725564927366861</c:v>
                </c:pt>
                <c:pt idx="368">
                  <c:v>3.6267802063857459</c:v>
                </c:pt>
                <c:pt idx="369">
                  <c:v>3.2738512940199769</c:v>
                </c:pt>
                <c:pt idx="370">
                  <c:v>2.9222336898793912</c:v>
                </c:pt>
                <c:pt idx="371">
                  <c:v>2.5719190638496343</c:v>
                </c:pt>
                <c:pt idx="372">
                  <c:v>2.2228991258125461</c:v>
                </c:pt>
                <c:pt idx="373">
                  <c:v>1.8673402467268545</c:v>
                </c:pt>
                <c:pt idx="374">
                  <c:v>1.5131176949242899</c:v>
                </c:pt>
                <c:pt idx="375">
                  <c:v>1.160222742128866</c:v>
                </c:pt>
                <c:pt idx="376">
                  <c:v>0.80864670737594224</c:v>
                </c:pt>
                <c:pt idx="377">
                  <c:v>0.44976571621140238</c:v>
                </c:pt>
                <c:pt idx="378">
                  <c:v>9.2251151884994442E-2</c:v>
                </c:pt>
                <c:pt idx="379">
                  <c:v>-0.26390616487233842</c:v>
                </c:pt>
                <c:pt idx="380">
                  <c:v>-0.61871535808182898</c:v>
                </c:pt>
                <c:pt idx="381">
                  <c:v>-0.97977716454124675</c:v>
                </c:pt>
                <c:pt idx="382">
                  <c:v>-1.3394512704126669</c:v>
                </c:pt>
                <c:pt idx="383">
                  <c:v>-1.6977472189250022</c:v>
                </c:pt>
                <c:pt idx="384">
                  <c:v>-2.0546744906286563</c:v>
                </c:pt>
                <c:pt idx="385">
                  <c:v>-2.4190374168756819</c:v>
                </c:pt>
                <c:pt idx="386">
                  <c:v>-2.7819829407779366</c:v>
                </c:pt>
                <c:pt idx="387">
                  <c:v>-3.1435210573830261</c:v>
                </c:pt>
                <c:pt idx="388">
                  <c:v>-3.5036616906822644</c:v>
                </c:pt>
                <c:pt idx="389">
                  <c:v>-3.8706406737920247</c:v>
                </c:pt>
                <c:pt idx="390">
                  <c:v>-4.2361780026110125</c:v>
                </c:pt>
                <c:pt idx="391">
                  <c:v>-4.6002840680032762</c:v>
                </c:pt>
                <c:pt idx="392">
                  <c:v>-4.9629691817442279</c:v>
                </c:pt>
                <c:pt idx="393">
                  <c:v>-5.3323411854143217</c:v>
                </c:pt>
                <c:pt idx="394">
                  <c:v>-5.7002492440657022</c:v>
                </c:pt>
                <c:pt idx="395">
                  <c:v>-6.0667041224072591</c:v>
                </c:pt>
                <c:pt idx="396">
                  <c:v>-6.4317164981372343</c:v>
                </c:pt>
                <c:pt idx="397">
                  <c:v>-6.8041060555921717</c:v>
                </c:pt>
                <c:pt idx="398">
                  <c:v>-7.1750046166345101</c:v>
                </c:pt>
                <c:pt idx="399">
                  <c:v>-7.5444233717789189</c:v>
                </c:pt>
                <c:pt idx="400">
                  <c:v>-7.9123734159318246</c:v>
                </c:pt>
                <c:pt idx="401">
                  <c:v>-8.2871219740709421</c:v>
                </c:pt>
                <c:pt idx="402">
                  <c:v>-8.6603579248670712</c:v>
                </c:pt>
                <c:pt idx="403">
                  <c:v>-9.0320928226890942</c:v>
                </c:pt>
                <c:pt idx="404">
                  <c:v>-9.4023381183074832</c:v>
                </c:pt>
                <c:pt idx="405">
                  <c:v>-9.7796353005848005</c:v>
                </c:pt>
                <c:pt idx="406">
                  <c:v>-10.155396948719186</c:v>
                </c:pt>
                <c:pt idx="407">
                  <c:v>-10.529634993952413</c:v>
                </c:pt>
                <c:pt idx="408">
                  <c:v>-10.902361255733496</c:v>
                </c:pt>
                <c:pt idx="409">
                  <c:v>-11.282379429281463</c:v>
                </c:pt>
                <c:pt idx="410">
                  <c:v>-11.660837922798379</c:v>
                </c:pt>
                <c:pt idx="411">
                  <c:v>-12.037749056947888</c:v>
                </c:pt>
                <c:pt idx="412">
                  <c:v>-12.413125032200128</c:v>
                </c:pt>
                <c:pt idx="413">
                  <c:v>-12.795626730951653</c:v>
                </c:pt>
                <c:pt idx="414">
                  <c:v>-13.176546728164027</c:v>
                </c:pt>
                <c:pt idx="415">
                  <c:v>-13.555897706895109</c:v>
                </c:pt>
                <c:pt idx="416">
                  <c:v>-13.933692221935985</c:v>
                </c:pt>
                <c:pt idx="417">
                  <c:v>-14.318836296979129</c:v>
                </c:pt>
                <c:pt idx="418">
                  <c:v>-14.702375516559812</c:v>
                </c:pt>
                <c:pt idx="419">
                  <c:v>-15.084322937568629</c:v>
                </c:pt>
                <c:pt idx="420">
                  <c:v>-15.464691480401484</c:v>
                </c:pt>
                <c:pt idx="421">
                  <c:v>-15.851860269870258</c:v>
                </c:pt>
                <c:pt idx="422">
                  <c:v>-16.237406382563648</c:v>
                </c:pt>
                <c:pt idx="423">
                  <c:v>-16.621343181458997</c:v>
                </c:pt>
                <c:pt idx="424">
                  <c:v>-17.00368388579659</c:v>
                </c:pt>
                <c:pt idx="425">
                  <c:v>-17.393790765017854</c:v>
                </c:pt>
                <c:pt idx="426">
                  <c:v>-17.782249675704094</c:v>
                </c:pt>
                <c:pt idx="427">
                  <c:v>-18.169074376697978</c:v>
                </c:pt>
                <c:pt idx="428">
                  <c:v>-18.554278474626784</c:v>
                </c:pt>
                <c:pt idx="429">
                  <c:v>-18.946700312044186</c:v>
                </c:pt>
                <c:pt idx="430">
                  <c:v>-19.337454289730886</c:v>
                </c:pt>
                <c:pt idx="431">
                  <c:v>-19.726554493184125</c:v>
                </c:pt>
                <c:pt idx="432">
                  <c:v>-20.114014848282778</c:v>
                </c:pt>
                <c:pt idx="433">
                  <c:v>-20.508525351104481</c:v>
                </c:pt>
                <c:pt idx="434">
                  <c:v>-20.901350210499999</c:v>
                </c:pt>
                <c:pt idx="435">
                  <c:v>-21.292503809349682</c:v>
                </c:pt>
                <c:pt idx="436">
                  <c:v>-21.682000364066454</c:v>
                </c:pt>
                <c:pt idx="437">
                  <c:v>-22.079094008214753</c:v>
                </c:pt>
                <c:pt idx="438">
                  <c:v>-22.474480176001634</c:v>
                </c:pt>
                <c:pt idx="439">
                  <c:v>-22.868173597481018</c:v>
                </c:pt>
                <c:pt idx="440">
                  <c:v>-23.260188828741036</c:v>
                </c:pt>
                <c:pt idx="441">
                  <c:v>-23.659622882966232</c:v>
                </c:pt>
                <c:pt idx="442">
                  <c:v>-24.057329862001524</c:v>
                </c:pt>
                <c:pt idx="443">
                  <c:v>-24.453324813079007</c:v>
                </c:pt>
                <c:pt idx="444">
                  <c:v>-24.8476226025644</c:v>
                </c:pt>
                <c:pt idx="445">
                  <c:v>-25.249164963243771</c:v>
                </c:pt>
                <c:pt idx="446">
                  <c:v>-25.648962823555877</c:v>
                </c:pt>
                <c:pt idx="447">
                  <c:v>-26.047031518409824</c:v>
                </c:pt>
                <c:pt idx="448">
                  <c:v>-26.443386195584026</c:v>
                </c:pt>
                <c:pt idx="449">
                  <c:v>-26.847490098901488</c:v>
                </c:pt>
                <c:pt idx="450">
                  <c:v>-27.249828306567593</c:v>
                </c:pt>
                <c:pt idx="451">
                  <c:v>-27.650416490523355</c:v>
                </c:pt>
                <c:pt idx="452">
                  <c:v>-28.049270128679325</c:v>
                </c:pt>
                <c:pt idx="453">
                  <c:v>-28.455357674982992</c:v>
                </c:pt>
                <c:pt idx="454">
                  <c:v>-28.859663536413251</c:v>
                </c:pt>
                <c:pt idx="455">
                  <c:v>-29.262203653187328</c:v>
                </c:pt>
                <c:pt idx="456">
                  <c:v>-29.662993765907572</c:v>
                </c:pt>
                <c:pt idx="457">
                  <c:v>-30.07149869982112</c:v>
                </c:pt>
                <c:pt idx="458">
                  <c:v>-30.478202340306694</c:v>
                </c:pt>
                <c:pt idx="459">
                  <c:v>-30.88312094538901</c:v>
                </c:pt>
                <c:pt idx="460">
                  <c:v>-31.286270567271572</c:v>
                </c:pt>
                <c:pt idx="461">
                  <c:v>-31.696951344599313</c:v>
                </c:pt>
                <c:pt idx="462">
                  <c:v>-32.105813526858526</c:v>
                </c:pt>
                <c:pt idx="463">
                  <c:v>-32.512873660942375</c:v>
                </c:pt>
                <c:pt idx="464">
                  <c:v>-32.918148082412387</c:v>
                </c:pt>
                <c:pt idx="465">
                  <c:v>-33.33108896942565</c:v>
                </c:pt>
                <c:pt idx="466">
                  <c:v>-33.742193416098104</c:v>
                </c:pt>
                <c:pt idx="467">
                  <c:v>-34.15147826868494</c:v>
                </c:pt>
                <c:pt idx="468">
                  <c:v>-34.558960156637681</c:v>
                </c:pt>
                <c:pt idx="469">
                  <c:v>-34.973925432489978</c:v>
                </c:pt>
                <c:pt idx="470">
                  <c:v>-35.387038738931352</c:v>
                </c:pt>
                <c:pt idx="471">
                  <c:v>-35.798317193853734</c:v>
                </c:pt>
                <c:pt idx="472">
                  <c:v>-36.207777693576844</c:v>
                </c:pt>
                <c:pt idx="473">
                  <c:v>-36.625150177113852</c:v>
                </c:pt>
                <c:pt idx="474">
                  <c:v>-37.040651994576052</c:v>
                </c:pt>
                <c:pt idx="475">
                  <c:v>-37.454300584751024</c:v>
                </c:pt>
                <c:pt idx="476">
                  <c:v>-37.866113159467687</c:v>
                </c:pt>
                <c:pt idx="477">
                  <c:v>-38.285647666827231</c:v>
                </c:pt>
                <c:pt idx="478">
                  <c:v>-38.703295272739098</c:v>
                </c:pt>
                <c:pt idx="479">
                  <c:v>-39.119073709459144</c:v>
                </c:pt>
                <c:pt idx="480">
                  <c:v>-39.533000477609221</c:v>
                </c:pt>
                <c:pt idx="481">
                  <c:v>-39.954464022253461</c:v>
                </c:pt>
                <c:pt idx="482">
                  <c:v>-40.374026838128572</c:v>
                </c:pt>
                <c:pt idx="483">
                  <c:v>-40.791706924877559</c:v>
                </c:pt>
                <c:pt idx="484">
                  <c:v>-41.207522046529562</c:v>
                </c:pt>
                <c:pt idx="485">
                  <c:v>-41.630981343181304</c:v>
                </c:pt>
                <c:pt idx="486">
                  <c:v>-42.052525844613712</c:v>
                </c:pt>
                <c:pt idx="487">
                  <c:v>-42.472173830299255</c:v>
                </c:pt>
                <c:pt idx="488">
                  <c:v>-42.889943340143503</c:v>
                </c:pt>
                <c:pt idx="489">
                  <c:v>-43.315738962368727</c:v>
                </c:pt>
                <c:pt idx="490">
                  <c:v>-43.739603049988688</c:v>
                </c:pt>
                <c:pt idx="491">
                  <c:v>-44.161554211567818</c:v>
                </c:pt>
                <c:pt idx="492">
                  <c:v>-44.581610811530709</c:v>
                </c:pt>
                <c:pt idx="493">
                  <c:v>-45.00950036345958</c:v>
                </c:pt>
                <c:pt idx="494">
                  <c:v>-45.435444292465434</c:v>
                </c:pt>
                <c:pt idx="495">
                  <c:v>-45.859461510860001</c:v>
                </c:pt>
                <c:pt idx="496">
                  <c:v>-46.281570682930038</c:v>
                </c:pt>
                <c:pt idx="497">
                  <c:v>-46.711597456024776</c:v>
                </c:pt>
                <c:pt idx="498">
                  <c:v>-47.139664650607017</c:v>
                </c:pt>
                <c:pt idx="499">
                  <c:v>-47.565791495180946</c:v>
                </c:pt>
                <c:pt idx="500">
                  <c:v>-47.989996966364714</c:v>
                </c:pt>
                <c:pt idx="501">
                  <c:v>-48.422197835397128</c:v>
                </c:pt>
                <c:pt idx="502">
                  <c:v>-48.852425433457483</c:v>
                </c:pt>
                <c:pt idx="503">
                  <c:v>-49.280699317728306</c:v>
                </c:pt>
                <c:pt idx="504">
                  <c:v>-49.707038789672879</c:v>
                </c:pt>
                <c:pt idx="505">
                  <c:v>-50.141182307721181</c:v>
                </c:pt>
                <c:pt idx="506">
                  <c:v>-50.573341654575614</c:v>
                </c:pt>
                <c:pt idx="507">
                  <c:v>-51.003536692736617</c:v>
                </c:pt>
                <c:pt idx="508">
                  <c:v>-51.431787025796694</c:v>
                </c:pt>
                <c:pt idx="509">
                  <c:v>-51.867913807933206</c:v>
                </c:pt>
                <c:pt idx="510">
                  <c:v>-52.30204592331404</c:v>
                </c:pt>
                <c:pt idx="511">
                  <c:v>-52.734203553494552</c:v>
                </c:pt>
                <c:pt idx="512">
                  <c:v>-53.164406617938795</c:v>
                </c:pt>
                <c:pt idx="513">
                  <c:v>-53.602806006027294</c:v>
                </c:pt>
                <c:pt idx="514">
                  <c:v>-54.039198467197735</c:v>
                </c:pt>
                <c:pt idx="515">
                  <c:v>-54.473604551324598</c:v>
                </c:pt>
                <c:pt idx="516">
                  <c:v>-54.906044542409688</c:v>
                </c:pt>
                <c:pt idx="517">
                  <c:v>-55.346486470546068</c:v>
                </c:pt>
                <c:pt idx="518">
                  <c:v>-55.784912306315533</c:v>
                </c:pt>
                <c:pt idx="519">
                  <c:v>-56.221342945586372</c:v>
                </c:pt>
                <c:pt idx="520">
                  <c:v>-56.655799015211386</c:v>
                </c:pt>
                <c:pt idx="521">
                  <c:v>-57.098313255762662</c:v>
                </c:pt>
                <c:pt idx="522">
                  <c:v>-57.538803082777548</c:v>
                </c:pt>
                <c:pt idx="523">
                  <c:v>-57.977289752281195</c:v>
                </c:pt>
                <c:pt idx="524">
                  <c:v>-58.413794248166369</c:v>
                </c:pt>
                <c:pt idx="525">
                  <c:v>-58.858408613677</c:v>
                </c:pt>
                <c:pt idx="526">
                  <c:v>-59.300991245018821</c:v>
                </c:pt>
                <c:pt idx="527">
                  <c:v>-59.741563772794763</c:v>
                </c:pt>
                <c:pt idx="528">
                  <c:v>-60.180147552388092</c:v>
                </c:pt>
                <c:pt idx="529">
                  <c:v>-60.626888812617807</c:v>
                </c:pt>
                <c:pt idx="530">
                  <c:v>-61.071592180404224</c:v>
                </c:pt>
                <c:pt idx="531">
                  <c:v>-61.514279675692364</c:v>
                </c:pt>
                <c:pt idx="532">
                  <c:v>-61.95497304016979</c:v>
                </c:pt>
                <c:pt idx="533">
                  <c:v>-62.404099089946897</c:v>
                </c:pt>
                <c:pt idx="534">
                  <c:v>-62.85118032128716</c:v>
                </c:pt>
                <c:pt idx="535">
                  <c:v>-63.296239193221481</c:v>
                </c:pt>
                <c:pt idx="536">
                  <c:v>-63.739297882975478</c:v>
                </c:pt>
                <c:pt idx="537">
                  <c:v>-64.190369703820238</c:v>
                </c:pt>
                <c:pt idx="538">
                  <c:v>-64.639395527955458</c:v>
                </c:pt>
                <c:pt idx="539">
                  <c:v>-65.086398199654809</c:v>
                </c:pt>
                <c:pt idx="540">
                  <c:v>-65.531400279093049</c:v>
                </c:pt>
                <c:pt idx="541">
                  <c:v>-65.984905825407083</c:v>
                </c:pt>
                <c:pt idx="542">
                  <c:v>-66.436361731487722</c:v>
                </c:pt>
                <c:pt idx="543">
                  <c:v>-66.885791312744374</c:v>
                </c:pt>
                <c:pt idx="544">
                  <c:v>-67.333217597164236</c:v>
                </c:pt>
                <c:pt idx="545">
                  <c:v>-67.788958399608248</c:v>
                </c:pt>
                <c:pt idx="546">
                  <c:v>-68.242649897538939</c:v>
                </c:pt>
                <c:pt idx="547">
                  <c:v>-68.69431586003256</c:v>
                </c:pt>
                <c:pt idx="548">
                  <c:v>-69.143979766154303</c:v>
                </c:pt>
                <c:pt idx="549">
                  <c:v>-69.601992687569094</c:v>
                </c:pt>
                <c:pt idx="550">
                  <c:v>-70.057958720506065</c:v>
                </c:pt>
                <c:pt idx="551">
                  <c:v>-70.511902106351528</c:v>
                </c:pt>
                <c:pt idx="552">
                  <c:v>-70.96384679408601</c:v>
                </c:pt>
                <c:pt idx="553">
                  <c:v>-71.42438534891923</c:v>
                </c:pt>
                <c:pt idx="554">
                  <c:v>-71.882879855110929</c:v>
                </c:pt>
                <c:pt idx="555">
                  <c:v>-72.339355080376492</c:v>
                </c:pt>
                <c:pt idx="556">
                  <c:v>-72.793835497334527</c:v>
                </c:pt>
                <c:pt idx="557">
                  <c:v>-73.718000517595982</c:v>
                </c:pt>
                <c:pt idx="558">
                  <c:v>-74.634112304115547</c:v>
                </c:pt>
                <c:pt idx="559">
                  <c:v>-75.563097801033564</c:v>
                </c:pt>
                <c:pt idx="560">
                  <c:v>-76.484072900311673</c:v>
                </c:pt>
                <c:pt idx="561">
                  <c:v>-77.418813365710719</c:v>
                </c:pt>
                <c:pt idx="562">
                  <c:v>-78.345584934989006</c:v>
                </c:pt>
                <c:pt idx="563">
                  <c:v>-79.284233623140835</c:v>
                </c:pt>
                <c:pt idx="564">
                  <c:v>-80.215002070828575</c:v>
                </c:pt>
                <c:pt idx="565">
                  <c:v>-81.161276673013958</c:v>
                </c:pt>
                <c:pt idx="566">
                  <c:v>-82.09971542362797</c:v>
                </c:pt>
                <c:pt idx="567">
                  <c:v>-83.053332089101161</c:v>
                </c:pt>
                <c:pt idx="568">
                  <c:v>-83.999182837549256</c:v>
                </c:pt>
                <c:pt idx="569">
                  <c:v>-84.956183952112553</c:v>
                </c:pt>
                <c:pt idx="570">
                  <c:v>-85.905574251162534</c:v>
                </c:pt>
                <c:pt idx="571">
                  <c:v>-86.873340355152095</c:v>
                </c:pt>
                <c:pt idx="572">
                  <c:v>-87.833558189578866</c:v>
                </c:pt>
                <c:pt idx="573">
                  <c:v>-88.804582540403544</c:v>
                </c:pt>
                <c:pt idx="574">
                  <c:v>-89.768264071210695</c:v>
                </c:pt>
                <c:pt idx="575">
                  <c:v>-90.74983172452454</c:v>
                </c:pt>
                <c:pt idx="576">
                  <c:v>-91.724180806855088</c:v>
                </c:pt>
                <c:pt idx="577">
                  <c:v>-95.774943037796106</c:v>
                </c:pt>
                <c:pt idx="578">
                  <c:v>-99.719163739283829</c:v>
                </c:pt>
                <c:pt idx="579">
                  <c:v>-108.07301598109819</c:v>
                </c:pt>
                <c:pt idx="580">
                  <c:v>-116.947677776994</c:v>
                </c:pt>
                <c:pt idx="581">
                  <c:v>-126.56293193418315</c:v>
                </c:pt>
                <c:pt idx="582">
                  <c:v>-137.29027139630921</c:v>
                </c:pt>
                <c:pt idx="583">
                  <c:v>-149.69090870589599</c:v>
                </c:pt>
                <c:pt idx="584">
                  <c:v>-164.61307863526935</c:v>
                </c:pt>
                <c:pt idx="585">
                  <c:v>-183.04893400736114</c:v>
                </c:pt>
                <c:pt idx="586">
                  <c:v>-205.40497610379958</c:v>
                </c:pt>
                <c:pt idx="587">
                  <c:v>-50.03623673692104</c:v>
                </c:pt>
                <c:pt idx="588">
                  <c:v>-73.539587289078014</c:v>
                </c:pt>
                <c:pt idx="589">
                  <c:v>-94.001922974559136</c:v>
                </c:pt>
                <c:pt idx="590">
                  <c:v>-112.06733504819522</c:v>
                </c:pt>
                <c:pt idx="591">
                  <c:v>-129.88406610535884</c:v>
                </c:pt>
                <c:pt idx="592">
                  <c:v>-150.96757181387136</c:v>
                </c:pt>
                <c:pt idx="593">
                  <c:v>-181.44873985679487</c:v>
                </c:pt>
                <c:pt idx="594">
                  <c:v>-44.857722757812667</c:v>
                </c:pt>
                <c:pt idx="595">
                  <c:v>-85.196349498474888</c:v>
                </c:pt>
                <c:pt idx="596">
                  <c:v>-115.33020794736126</c:v>
                </c:pt>
                <c:pt idx="597">
                  <c:v>-146.85788320188448</c:v>
                </c:pt>
                <c:pt idx="598">
                  <c:v>-199.52767702290538</c:v>
                </c:pt>
                <c:pt idx="599">
                  <c:v>-81.131055708346366</c:v>
                </c:pt>
                <c:pt idx="600">
                  <c:v>-123.27517195885957</c:v>
                </c:pt>
              </c:numCache>
            </c:numRef>
          </c:yVal>
          <c:smooth val="0"/>
          <c:extLst>
            <c:ext xmlns:c16="http://schemas.microsoft.com/office/drawing/2014/chart" uri="{C3380CC4-5D6E-409C-BE32-E72D297353CC}">
              <c16:uniqueId val="{00000001-09BC-4E96-93F9-6DC345568360}"/>
            </c:ext>
          </c:extLst>
        </c:ser>
        <c:ser>
          <c:idx val="2"/>
          <c:order val="2"/>
          <c:tx>
            <c:v>PM (Deg) =</c:v>
          </c:tx>
          <c:marker>
            <c:symbol val="circle"/>
            <c:size val="5"/>
            <c:spPr>
              <a:solidFill>
                <a:schemeClr val="bg1"/>
              </a:solidFill>
              <a:ln>
                <a:solidFill>
                  <a:srgbClr val="FF0000"/>
                </a:solidFill>
              </a:ln>
            </c:spPr>
          </c:marker>
          <c:dLbls>
            <c:dLbl>
              <c:idx val="0"/>
              <c:layout>
                <c:manualLayout>
                  <c:x val="3.2895277882859918E-2"/>
                  <c:y val="-5.3973971795837287E-2"/>
                </c:manualLayout>
              </c:layout>
              <c:spPr>
                <a:noFill/>
                <a:ln>
                  <a:noFill/>
                </a:ln>
                <a:effectLst/>
              </c:spPr>
              <c:txPr>
                <a:bodyPr wrap="square" lIns="38100" tIns="19050" rIns="38100" bIns="19050" anchor="ctr" anchorCtr="0">
                  <a:noAutofit/>
                </a:bodyPr>
                <a:lstStyle/>
                <a:p>
                  <a:pPr algn="l">
                    <a:defRPr sz="1000" b="1">
                      <a:solidFill>
                        <a:srgbClr val="33CC33"/>
                      </a:solidFill>
                    </a:defRPr>
                  </a:pPr>
                  <a:endParaRPr lang="en-US"/>
                </a:p>
              </c:txPr>
              <c:dLblPos val="r"/>
              <c:showLegendKey val="0"/>
              <c:showVal val="1"/>
              <c:showCatName val="0"/>
              <c:showSerName val="1"/>
              <c:showPercent val="0"/>
              <c:showBubbleSize val="0"/>
              <c:separator> </c:separator>
              <c:extLst>
                <c:ext xmlns:c15="http://schemas.microsoft.com/office/drawing/2012/chart" uri="{CE6537A1-D6FC-4f65-9D91-7224C49458BB}">
                  <c15:layout>
                    <c:manualLayout>
                      <c:w val="0.23551374200233557"/>
                      <c:h val="7.5563560514172207E-2"/>
                    </c:manualLayout>
                  </c15:layout>
                </c:ext>
                <c:ext xmlns:c16="http://schemas.microsoft.com/office/drawing/2014/chart" uri="{C3380CC4-5D6E-409C-BE32-E72D297353CC}">
                  <c16:uniqueId val="{00000006-09BC-4E96-93F9-6DC345568360}"/>
                </c:ext>
              </c:extLst>
            </c:dLbl>
            <c:spPr>
              <a:noFill/>
              <a:ln>
                <a:noFill/>
              </a:ln>
              <a:effectLst/>
            </c:spPr>
            <c:txPr>
              <a:bodyPr wrap="square" lIns="38100" tIns="19050" rIns="38100" bIns="19050" anchor="ctr" anchorCtr="0">
                <a:spAutoFit/>
              </a:bodyPr>
              <a:lstStyle/>
              <a:p>
                <a:pPr algn="l">
                  <a:defRPr sz="1000" b="0">
                    <a:solidFill>
                      <a:srgbClr val="33CC33"/>
                    </a:solidFill>
                  </a:defRPr>
                </a:pPr>
                <a:endParaRPr lang="en-US"/>
              </a:p>
            </c:txPr>
            <c:dLblPos val="r"/>
            <c:showLegendKey val="0"/>
            <c:showVal val="1"/>
            <c:showCatName val="1"/>
            <c:showSerName val="0"/>
            <c:showPercent val="0"/>
            <c:showBubbleSize val="0"/>
            <c:separator>  (space) "deg"</c:separator>
            <c:showLeaderLines val="0"/>
            <c:extLst>
              <c:ext xmlns:c15="http://schemas.microsoft.com/office/drawing/2012/chart" uri="{CE6537A1-D6FC-4f65-9D91-7224C49458BB}">
                <c15:showLeaderLines val="1"/>
              </c:ext>
            </c:extLst>
          </c:dLbls>
          <c:xVal>
            <c:numRef>
              <c:f>'Stability Calculations'!$AL$7</c:f>
              <c:numCache>
                <c:formatCode>0</c:formatCode>
                <c:ptCount val="1"/>
                <c:pt idx="0">
                  <c:v>4786.3</c:v>
                </c:pt>
              </c:numCache>
            </c:numRef>
          </c:xVal>
          <c:yVal>
            <c:numRef>
              <c:f>'Stability Calculations'!$AL$9</c:f>
              <c:numCache>
                <c:formatCode>0.0</c:formatCode>
                <c:ptCount val="1"/>
                <c:pt idx="0">
                  <c:v>71.901340834673789</c:v>
                </c:pt>
              </c:numCache>
            </c:numRef>
          </c:yVal>
          <c:smooth val="0"/>
          <c:extLst>
            <c:ext xmlns:c16="http://schemas.microsoft.com/office/drawing/2014/chart" uri="{C3380CC4-5D6E-409C-BE32-E72D297353CC}">
              <c16:uniqueId val="{00000004-09BC-4E96-93F9-6DC345568360}"/>
            </c:ext>
          </c:extLst>
        </c:ser>
        <c:ser>
          <c:idx val="3"/>
          <c:order val="3"/>
          <c:tx>
            <c:v>Fco (Hz)=</c:v>
          </c:tx>
          <c:marker>
            <c:symbol val="none"/>
          </c:marker>
          <c:dPt>
            <c:idx val="0"/>
            <c:marker>
              <c:symbol val="circle"/>
              <c:size val="5"/>
              <c:spPr>
                <a:solidFill>
                  <a:schemeClr val="bg1"/>
                </a:solidFill>
                <a:ln>
                  <a:solidFill>
                    <a:schemeClr val="tx1"/>
                  </a:solidFill>
                </a:ln>
              </c:spPr>
            </c:marker>
            <c:bubble3D val="0"/>
            <c:extLst>
              <c:ext xmlns:c16="http://schemas.microsoft.com/office/drawing/2014/chart" uri="{C3380CC4-5D6E-409C-BE32-E72D297353CC}">
                <c16:uniqueId val="{00000008-09BC-4E96-93F9-6DC345568360}"/>
              </c:ext>
            </c:extLst>
          </c:dPt>
          <c:dLbls>
            <c:dLbl>
              <c:idx val="0"/>
              <c:layout>
                <c:manualLayout>
                  <c:x val="3.6176644338231929E-2"/>
                  <c:y val="-5.1275211005060661E-2"/>
                </c:manualLayout>
              </c:layout>
              <c:dLblPos val="r"/>
              <c:showLegendKey val="0"/>
              <c:showVal val="0"/>
              <c:showCatName val="1"/>
              <c:showSerName val="1"/>
              <c:showPercent val="0"/>
              <c:showBubbleSize val="0"/>
              <c:separator> </c:separator>
              <c:extLst>
                <c:ext xmlns:c15="http://schemas.microsoft.com/office/drawing/2012/chart" uri="{CE6537A1-D6FC-4f65-9D91-7224C49458BB}">
                  <c15:layout>
                    <c:manualLayout>
                      <c:w val="0.24163848119031853"/>
                      <c:h val="7.3223374089614143E-2"/>
                    </c:manualLayout>
                  </c15:layout>
                </c:ext>
                <c:ext xmlns:c16="http://schemas.microsoft.com/office/drawing/2014/chart" uri="{C3380CC4-5D6E-409C-BE32-E72D297353CC}">
                  <c16:uniqueId val="{00000008-09BC-4E96-93F9-6DC345568360}"/>
                </c:ext>
              </c:extLst>
            </c:dLbl>
            <c:spPr>
              <a:noFill/>
              <a:ln>
                <a:noFill/>
              </a:ln>
              <a:effectLst/>
            </c:spPr>
            <c:txPr>
              <a:bodyPr wrap="square" lIns="38100" tIns="19050" rIns="38100" bIns="19050" anchor="ctr" anchorCtr="0">
                <a:spAutoFit/>
              </a:bodyPr>
              <a:lstStyle/>
              <a:p>
                <a:pPr algn="l">
                  <a:defRPr sz="1000" b="1">
                    <a:solidFill>
                      <a:srgbClr val="33CC33"/>
                    </a:solidFill>
                  </a:defRPr>
                </a:pPr>
                <a:endParaRPr lang="en-US"/>
              </a:p>
            </c:txPr>
            <c:dLblPos val="r"/>
            <c:showLegendKey val="0"/>
            <c:showVal val="1"/>
            <c:showCatName val="1"/>
            <c:showSerName val="0"/>
            <c:showPercent val="0"/>
            <c:showBubbleSize val="0"/>
            <c:showLeaderLines val="0"/>
            <c:extLst>
              <c:ext xmlns:c15="http://schemas.microsoft.com/office/drawing/2012/chart" uri="{CE6537A1-D6FC-4f65-9D91-7224C49458BB}">
                <c15:showLeaderLines val="1"/>
              </c:ext>
            </c:extLst>
          </c:dLbls>
          <c:xVal>
            <c:numRef>
              <c:f>'Stability Calculations'!$AL$7</c:f>
              <c:numCache>
                <c:formatCode>0</c:formatCode>
                <c:ptCount val="1"/>
                <c:pt idx="0">
                  <c:v>4786.3</c:v>
                </c:pt>
              </c:numCache>
            </c:numRef>
          </c:xVal>
          <c:yVal>
            <c:numRef>
              <c:f>'Stability Calculations'!$AL$8</c:f>
              <c:numCache>
                <c:formatCode>General</c:formatCode>
                <c:ptCount val="1"/>
                <c:pt idx="0">
                  <c:v>0</c:v>
                </c:pt>
              </c:numCache>
            </c:numRef>
          </c:yVal>
          <c:smooth val="0"/>
          <c:extLst>
            <c:ext xmlns:c16="http://schemas.microsoft.com/office/drawing/2014/chart" uri="{C3380CC4-5D6E-409C-BE32-E72D297353CC}">
              <c16:uniqueId val="{00000007-09BC-4E96-93F9-6DC345568360}"/>
            </c:ext>
          </c:extLst>
        </c:ser>
        <c:dLbls>
          <c:dLblPos val="r"/>
          <c:showLegendKey val="0"/>
          <c:showVal val="1"/>
          <c:showCatName val="1"/>
          <c:showSerName val="0"/>
          <c:showPercent val="0"/>
          <c:showBubbleSize val="0"/>
        </c:dLbls>
        <c:axId val="446584704"/>
        <c:axId val="446586240"/>
      </c:scatterChart>
      <c:valAx>
        <c:axId val="446572416"/>
        <c:scaling>
          <c:logBase val="10"/>
          <c:orientation val="minMax"/>
          <c:max val="1000000"/>
          <c:min val="100"/>
        </c:scaling>
        <c:delete val="0"/>
        <c:axPos val="b"/>
        <c:majorGridlines>
          <c:spPr>
            <a:ln w="3175">
              <a:solidFill>
                <a:srgbClr val="000000"/>
              </a:solidFill>
              <a:prstDash val="solid"/>
            </a:ln>
          </c:spPr>
        </c:majorGridlines>
        <c:title>
          <c:tx>
            <c:rich>
              <a:bodyPr/>
              <a:lstStyle/>
              <a:p>
                <a:pPr>
                  <a:defRPr sz="1000" b="1"/>
                </a:pPr>
                <a:r>
                  <a:rPr lang="en-US" sz="1000" b="1"/>
                  <a:t>Frequency (Hz)</a:t>
                </a:r>
              </a:p>
            </c:rich>
          </c:tx>
          <c:overlay val="0"/>
        </c:title>
        <c:numFmt formatCode="General" sourceLinked="1"/>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000000"/>
                </a:solidFill>
                <a:latin typeface="Arial"/>
                <a:ea typeface="Arial"/>
                <a:cs typeface="Arial"/>
              </a:defRPr>
            </a:pPr>
            <a:endParaRPr lang="en-US"/>
          </a:p>
        </c:txPr>
        <c:crossAx val="446582784"/>
        <c:crossesAt val="-80"/>
        <c:crossBetween val="midCat"/>
        <c:majorUnit val="10"/>
        <c:minorUnit val="10"/>
      </c:valAx>
      <c:valAx>
        <c:axId val="446582784"/>
        <c:scaling>
          <c:orientation val="minMax"/>
          <c:max val="80"/>
          <c:min val="-40"/>
        </c:scaling>
        <c:delete val="0"/>
        <c:axPos val="l"/>
        <c:majorGridlines>
          <c:spPr>
            <a:ln w="3175">
              <a:solidFill>
                <a:srgbClr val="000000"/>
              </a:solidFill>
              <a:prstDash val="solid"/>
            </a:ln>
          </c:spPr>
        </c:majorGridlines>
        <c:title>
          <c:tx>
            <c:rich>
              <a:bodyPr/>
              <a:lstStyle/>
              <a:p>
                <a:pPr>
                  <a:defRPr sz="1000" b="1">
                    <a:solidFill>
                      <a:srgbClr val="FF0000"/>
                    </a:solidFill>
                  </a:defRPr>
                </a:pPr>
                <a:r>
                  <a:rPr lang="en-US" sz="1000" b="1">
                    <a:solidFill>
                      <a:srgbClr val="FF0000"/>
                    </a:solidFill>
                  </a:rPr>
                  <a:t>Gain (dB)</a:t>
                </a:r>
              </a:p>
            </c:rich>
          </c:tx>
          <c:overlay val="0"/>
        </c:title>
        <c:numFmt formatCode="0" sourceLinked="0"/>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FF0000"/>
                </a:solidFill>
                <a:latin typeface="Arial"/>
                <a:ea typeface="Arial"/>
                <a:cs typeface="Arial"/>
              </a:defRPr>
            </a:pPr>
            <a:endParaRPr lang="en-US"/>
          </a:p>
        </c:txPr>
        <c:crossAx val="446572416"/>
        <c:crossesAt val="0.1"/>
        <c:crossBetween val="midCat"/>
        <c:majorUnit val="20"/>
        <c:minorUnit val="4"/>
      </c:valAx>
      <c:valAx>
        <c:axId val="446584704"/>
        <c:scaling>
          <c:logBase val="10"/>
          <c:orientation val="minMax"/>
        </c:scaling>
        <c:delete val="1"/>
        <c:axPos val="t"/>
        <c:numFmt formatCode="General" sourceLinked="1"/>
        <c:majorTickMark val="out"/>
        <c:minorTickMark val="none"/>
        <c:tickLblPos val="none"/>
        <c:crossAx val="446586240"/>
        <c:crossesAt val="0"/>
        <c:crossBetween val="midCat"/>
      </c:valAx>
      <c:valAx>
        <c:axId val="446586240"/>
        <c:scaling>
          <c:orientation val="minMax"/>
          <c:max val="120"/>
          <c:min val="-60"/>
        </c:scaling>
        <c:delete val="0"/>
        <c:axPos val="r"/>
        <c:title>
          <c:tx>
            <c:rich>
              <a:bodyPr/>
              <a:lstStyle/>
              <a:p>
                <a:pPr>
                  <a:defRPr lang="ja-JP" sz="1000" b="1" i="0" u="none" strike="noStrike" baseline="0">
                    <a:solidFill>
                      <a:srgbClr val="0000FF"/>
                    </a:solidFill>
                    <a:latin typeface="Arial"/>
                    <a:ea typeface="Arial"/>
                    <a:cs typeface="Arial"/>
                  </a:defRPr>
                </a:pPr>
                <a:r>
                  <a:rPr lang="en-US" sz="1000"/>
                  <a:t>Phase (°)</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0000FF"/>
                </a:solidFill>
                <a:latin typeface="Arial"/>
                <a:ea typeface="Arial"/>
                <a:cs typeface="Arial"/>
              </a:defRPr>
            </a:pPr>
            <a:endParaRPr lang="en-US"/>
          </a:p>
        </c:txPr>
        <c:crossAx val="446584704"/>
        <c:crosses val="max"/>
        <c:crossBetween val="midCat"/>
        <c:majorUnit val="30"/>
      </c:valAx>
      <c:spPr>
        <a:noFill/>
        <a:ln w="25400">
          <a:noFill/>
        </a:ln>
      </c:spPr>
    </c:plotArea>
    <c:plotVisOnly val="1"/>
    <c:dispBlanksAs val="gap"/>
    <c:showDLblsOverMax val="0"/>
  </c:chart>
  <c:spPr>
    <a:no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67" r="0.75000000000000167"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3132914835E-2"/>
          <c:y val="0.12133523343001466"/>
          <c:w val="0.80670936294253548"/>
          <c:h val="0.7558980268938309"/>
        </c:manualLayout>
      </c:layout>
      <c:lineChart>
        <c:grouping val="standard"/>
        <c:varyColors val="0"/>
        <c:ser>
          <c:idx val="1"/>
          <c:order val="0"/>
          <c:tx>
            <c:v>VIN-min</c:v>
          </c:tx>
          <c:spPr>
            <a:ln w="19050">
              <a:solidFill>
                <a:srgbClr val="00B050"/>
              </a:solidFill>
              <a:prstDash val="lgDash"/>
            </a:ln>
          </c:spPr>
          <c:marker>
            <c:symbol val="none"/>
          </c:marker>
          <c:cat>
            <c:numRef>
              <c:f>'Calculations - Single'!$AM$5:$AM$105</c:f>
              <c:numCache>
                <c:formatCode>0</c:formatCode>
                <c:ptCount val="101"/>
                <c:pt idx="0">
                  <c:v>1.0000000000000002E-6</c:v>
                </c:pt>
                <c:pt idx="1">
                  <c:v>25</c:v>
                </c:pt>
                <c:pt idx="2">
                  <c:v>50</c:v>
                </c:pt>
                <c:pt idx="3">
                  <c:v>75</c:v>
                </c:pt>
                <c:pt idx="4">
                  <c:v>100</c:v>
                </c:pt>
                <c:pt idx="5">
                  <c:v>125</c:v>
                </c:pt>
                <c:pt idx="6">
                  <c:v>150</c:v>
                </c:pt>
                <c:pt idx="7">
                  <c:v>175.00000000000003</c:v>
                </c:pt>
                <c:pt idx="8">
                  <c:v>200</c:v>
                </c:pt>
                <c:pt idx="9">
                  <c:v>224.99999999999997</c:v>
                </c:pt>
                <c:pt idx="10">
                  <c:v>250</c:v>
                </c:pt>
                <c:pt idx="11">
                  <c:v>275</c:v>
                </c:pt>
                <c:pt idx="12">
                  <c:v>300</c:v>
                </c:pt>
                <c:pt idx="13">
                  <c:v>325</c:v>
                </c:pt>
                <c:pt idx="14">
                  <c:v>350.00000000000006</c:v>
                </c:pt>
                <c:pt idx="15">
                  <c:v>375</c:v>
                </c:pt>
                <c:pt idx="16">
                  <c:v>400</c:v>
                </c:pt>
                <c:pt idx="17">
                  <c:v>425.00000000000006</c:v>
                </c:pt>
                <c:pt idx="18">
                  <c:v>449.99999999999994</c:v>
                </c:pt>
                <c:pt idx="19">
                  <c:v>475</c:v>
                </c:pt>
                <c:pt idx="20">
                  <c:v>500</c:v>
                </c:pt>
                <c:pt idx="21">
                  <c:v>525</c:v>
                </c:pt>
                <c:pt idx="22">
                  <c:v>550</c:v>
                </c:pt>
                <c:pt idx="23">
                  <c:v>575.00000000000011</c:v>
                </c:pt>
                <c:pt idx="24">
                  <c:v>600</c:v>
                </c:pt>
                <c:pt idx="25">
                  <c:v>625</c:v>
                </c:pt>
                <c:pt idx="26">
                  <c:v>650</c:v>
                </c:pt>
                <c:pt idx="27">
                  <c:v>675</c:v>
                </c:pt>
                <c:pt idx="28">
                  <c:v>700.00000000000011</c:v>
                </c:pt>
                <c:pt idx="29">
                  <c:v>725</c:v>
                </c:pt>
                <c:pt idx="30">
                  <c:v>750</c:v>
                </c:pt>
                <c:pt idx="31">
                  <c:v>775</c:v>
                </c:pt>
                <c:pt idx="32">
                  <c:v>800</c:v>
                </c:pt>
                <c:pt idx="33">
                  <c:v>825.00000000000011</c:v>
                </c:pt>
                <c:pt idx="34">
                  <c:v>850.00000000000011</c:v>
                </c:pt>
                <c:pt idx="35">
                  <c:v>875</c:v>
                </c:pt>
                <c:pt idx="36">
                  <c:v>899.99999999999989</c:v>
                </c:pt>
                <c:pt idx="37">
                  <c:v>925</c:v>
                </c:pt>
                <c:pt idx="38">
                  <c:v>950</c:v>
                </c:pt>
                <c:pt idx="39">
                  <c:v>975.00000000000011</c:v>
                </c:pt>
                <c:pt idx="40">
                  <c:v>1000</c:v>
                </c:pt>
                <c:pt idx="41">
                  <c:v>1025</c:v>
                </c:pt>
                <c:pt idx="42">
                  <c:v>1050</c:v>
                </c:pt>
                <c:pt idx="43">
                  <c:v>1075</c:v>
                </c:pt>
                <c:pt idx="44">
                  <c:v>1100</c:v>
                </c:pt>
                <c:pt idx="45">
                  <c:v>1125</c:v>
                </c:pt>
                <c:pt idx="46">
                  <c:v>1150.0000000000002</c:v>
                </c:pt>
                <c:pt idx="47">
                  <c:v>1174.9999999999998</c:v>
                </c:pt>
                <c:pt idx="48">
                  <c:v>1200</c:v>
                </c:pt>
                <c:pt idx="49">
                  <c:v>1225</c:v>
                </c:pt>
                <c:pt idx="50">
                  <c:v>1250</c:v>
                </c:pt>
                <c:pt idx="51">
                  <c:v>1275</c:v>
                </c:pt>
                <c:pt idx="52">
                  <c:v>1300</c:v>
                </c:pt>
                <c:pt idx="53">
                  <c:v>1325.0000000000002</c:v>
                </c:pt>
                <c:pt idx="54">
                  <c:v>1350</c:v>
                </c:pt>
                <c:pt idx="55">
                  <c:v>1375</c:v>
                </c:pt>
                <c:pt idx="56">
                  <c:v>1400.0000000000002</c:v>
                </c:pt>
                <c:pt idx="57">
                  <c:v>1424.9999999999998</c:v>
                </c:pt>
                <c:pt idx="58">
                  <c:v>1450</c:v>
                </c:pt>
                <c:pt idx="59">
                  <c:v>1474.9999999999998</c:v>
                </c:pt>
                <c:pt idx="60">
                  <c:v>1500</c:v>
                </c:pt>
                <c:pt idx="61">
                  <c:v>1525</c:v>
                </c:pt>
                <c:pt idx="62">
                  <c:v>1550</c:v>
                </c:pt>
                <c:pt idx="63">
                  <c:v>1575</c:v>
                </c:pt>
                <c:pt idx="64">
                  <c:v>1600</c:v>
                </c:pt>
                <c:pt idx="65">
                  <c:v>1625</c:v>
                </c:pt>
                <c:pt idx="66">
                  <c:v>1650.0000000000002</c:v>
                </c:pt>
                <c:pt idx="67">
                  <c:v>1675</c:v>
                </c:pt>
                <c:pt idx="68">
                  <c:v>1700.0000000000002</c:v>
                </c:pt>
                <c:pt idx="69">
                  <c:v>1724.9999999999998</c:v>
                </c:pt>
                <c:pt idx="70">
                  <c:v>1750</c:v>
                </c:pt>
                <c:pt idx="71">
                  <c:v>1775</c:v>
                </c:pt>
                <c:pt idx="72">
                  <c:v>1799.9999999999998</c:v>
                </c:pt>
                <c:pt idx="73">
                  <c:v>1825</c:v>
                </c:pt>
                <c:pt idx="74">
                  <c:v>1850</c:v>
                </c:pt>
                <c:pt idx="75">
                  <c:v>1875</c:v>
                </c:pt>
                <c:pt idx="76">
                  <c:v>1900</c:v>
                </c:pt>
                <c:pt idx="77">
                  <c:v>1925</c:v>
                </c:pt>
                <c:pt idx="78">
                  <c:v>1950.0000000000002</c:v>
                </c:pt>
                <c:pt idx="79">
                  <c:v>1975</c:v>
                </c:pt>
                <c:pt idx="80">
                  <c:v>2000</c:v>
                </c:pt>
                <c:pt idx="81">
                  <c:v>2025.0000000000005</c:v>
                </c:pt>
                <c:pt idx="82">
                  <c:v>2050</c:v>
                </c:pt>
                <c:pt idx="83">
                  <c:v>2074.9999999999995</c:v>
                </c:pt>
                <c:pt idx="84">
                  <c:v>2100</c:v>
                </c:pt>
                <c:pt idx="85">
                  <c:v>2125</c:v>
                </c:pt>
                <c:pt idx="86">
                  <c:v>2150</c:v>
                </c:pt>
                <c:pt idx="87">
                  <c:v>2175</c:v>
                </c:pt>
                <c:pt idx="88">
                  <c:v>2200</c:v>
                </c:pt>
                <c:pt idx="89">
                  <c:v>2225</c:v>
                </c:pt>
                <c:pt idx="90">
                  <c:v>2250</c:v>
                </c:pt>
                <c:pt idx="91">
                  <c:v>2275</c:v>
                </c:pt>
                <c:pt idx="92">
                  <c:v>2300.0000000000005</c:v>
                </c:pt>
                <c:pt idx="93">
                  <c:v>2325</c:v>
                </c:pt>
                <c:pt idx="94">
                  <c:v>2349.9999999999995</c:v>
                </c:pt>
                <c:pt idx="95">
                  <c:v>2375</c:v>
                </c:pt>
                <c:pt idx="96">
                  <c:v>2400</c:v>
                </c:pt>
                <c:pt idx="97">
                  <c:v>2425</c:v>
                </c:pt>
                <c:pt idx="98">
                  <c:v>2450</c:v>
                </c:pt>
                <c:pt idx="99">
                  <c:v>2475</c:v>
                </c:pt>
                <c:pt idx="100">
                  <c:v>2500</c:v>
                </c:pt>
              </c:numCache>
            </c:numRef>
          </c:cat>
          <c:val>
            <c:numRef>
              <c:f>'Calculations - Single'!$AN$110:$AN$210</c:f>
              <c:numCache>
                <c:formatCode>0.0</c:formatCode>
                <c:ptCount val="101"/>
                <c:pt idx="0">
                  <c:v>12</c:v>
                </c:pt>
                <c:pt idx="1">
                  <c:v>27.213671902389706</c:v>
                </c:pt>
                <c:pt idx="2">
                  <c:v>54.427343804779412</c:v>
                </c:pt>
                <c:pt idx="3">
                  <c:v>81.641015707169103</c:v>
                </c:pt>
                <c:pt idx="4">
                  <c:v>108.85468760955882</c:v>
                </c:pt>
                <c:pt idx="5">
                  <c:v>136.0683595119485</c:v>
                </c:pt>
                <c:pt idx="6">
                  <c:v>163.28203141433821</c:v>
                </c:pt>
                <c:pt idx="7">
                  <c:v>190.49570331672794</c:v>
                </c:pt>
                <c:pt idx="8">
                  <c:v>217.70937521911765</c:v>
                </c:pt>
                <c:pt idx="9">
                  <c:v>244.92304712150732</c:v>
                </c:pt>
                <c:pt idx="10">
                  <c:v>272.136719023897</c:v>
                </c:pt>
                <c:pt idx="11">
                  <c:v>299.35039092628676</c:v>
                </c:pt>
                <c:pt idx="12">
                  <c:v>326.56406282867641</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345.59649448492945</c:v>
                </c:pt>
                <c:pt idx="53">
                  <c:v>339.50093072999994</c:v>
                </c:pt>
                <c:pt idx="54">
                  <c:v>333.58914616118938</c:v>
                </c:pt>
                <c:pt idx="55">
                  <c:v>327.86822238219804</c:v>
                </c:pt>
                <c:pt idx="56">
                  <c:v>322.36096381979138</c:v>
                </c:pt>
                <c:pt idx="57">
                  <c:v>317.01812642490563</c:v>
                </c:pt>
                <c:pt idx="58">
                  <c:v>311.86134631443571</c:v>
                </c:pt>
                <c:pt idx="59">
                  <c:v>306.86857197822269</c:v>
                </c:pt>
                <c:pt idx="60">
                  <c:v>302.03210180726637</c:v>
                </c:pt>
                <c:pt idx="61">
                  <c:v>297.34470897747599</c:v>
                </c:pt>
                <c:pt idx="62">
                  <c:v>292.79960541837517</c:v>
                </c:pt>
                <c:pt idx="63">
                  <c:v>288.39040901403342</c:v>
                </c:pt>
                <c:pt idx="64">
                  <c:v>284.11111370292826</c:v>
                </c:pt>
                <c:pt idx="65">
                  <c:v>279.95606218215863</c:v>
                </c:pt>
                <c:pt idx="66">
                  <c:v>275.91992095514269</c:v>
                </c:pt>
                <c:pt idx="67">
                  <c:v>271.99765749137805</c:v>
                </c:pt>
                <c:pt idx="68">
                  <c:v>268.18451929260038</c:v>
                </c:pt>
                <c:pt idx="69">
                  <c:v>264.47601468224087</c:v>
                </c:pt>
                <c:pt idx="70">
                  <c:v>260.86789515492131</c:v>
                </c:pt>
                <c:pt idx="71">
                  <c:v>257.35613914015426</c:v>
                </c:pt>
                <c:pt idx="72">
                  <c:v>253.93693704979864</c:v>
                </c:pt>
                <c:pt idx="73">
                  <c:v>250.60667749238957</c:v>
                </c:pt>
                <c:pt idx="74">
                  <c:v>247.36193454947011</c:v>
                </c:pt>
                <c:pt idx="75">
                  <c:v>244.19945601968502</c:v>
                </c:pt>
                <c:pt idx="76">
                  <c:v>241.11615254583538</c:v>
                </c:pt>
                <c:pt idx="77">
                  <c:v>238.10908754848248</c:v>
                </c:pt>
                <c:pt idx="78">
                  <c:v>235.17546789715021</c:v>
                </c:pt>
                <c:pt idx="79">
                  <c:v>232.31263525683394</c:v>
                </c:pt>
                <c:pt idx="80">
                  <c:v>229.51805805346277</c:v>
                </c:pt>
                <c:pt idx="81">
                  <c:v>226.78932400727345</c:v>
                </c:pt>
                <c:pt idx="82">
                  <c:v>224.12413318781006</c:v>
                </c:pt>
                <c:pt idx="83">
                  <c:v>221.52029154852085</c:v>
                </c:pt>
                <c:pt idx="84">
                  <c:v>218.97570490275706</c:v>
                </c:pt>
                <c:pt idx="85">
                  <c:v>216.48837330640777</c:v>
                </c:pt>
                <c:pt idx="86">
                  <c:v>214.05638581550497</c:v>
                </c:pt>
                <c:pt idx="87">
                  <c:v>211.67791558991911</c:v>
                </c:pt>
                <c:pt idx="88">
                  <c:v>209.3512153167776</c:v>
                </c:pt>
                <c:pt idx="89">
                  <c:v>207.0746129295122</c:v>
                </c:pt>
                <c:pt idx="90">
                  <c:v>204.84650760049382</c:v>
                </c:pt>
                <c:pt idx="91">
                  <c:v>202.66536598707</c:v>
                </c:pt>
                <c:pt idx="92">
                  <c:v>200.5297187125071</c:v>
                </c:pt>
                <c:pt idx="93">
                  <c:v>198.43815706486419</c:v>
                </c:pt>
                <c:pt idx="94">
                  <c:v>196.38932989821393</c:v>
                </c:pt>
                <c:pt idx="95">
                  <c:v>194.38194072188682</c:v>
                </c:pt>
                <c:pt idx="96">
                  <c:v>192.41474496456223</c:v>
                </c:pt>
                <c:pt idx="97">
                  <c:v>190.48654740107293</c:v>
                </c:pt>
                <c:pt idx="98">
                  <c:v>188.59619973074584</c:v>
                </c:pt>
                <c:pt idx="99">
                  <c:v>186.74259829696749</c:v>
                </c:pt>
                <c:pt idx="100">
                  <c:v>184.92468193845872</c:v>
                </c:pt>
              </c:numCache>
            </c:numRef>
          </c:val>
          <c:smooth val="0"/>
          <c:extLst>
            <c:ext xmlns:c16="http://schemas.microsoft.com/office/drawing/2014/chart" uri="{C3380CC4-5D6E-409C-BE32-E72D297353CC}">
              <c16:uniqueId val="{00000000-3709-4335-91FB-31DC56900586}"/>
            </c:ext>
          </c:extLst>
        </c:ser>
        <c:ser>
          <c:idx val="0"/>
          <c:order val="1"/>
          <c:tx>
            <c:v>VIN-nom</c:v>
          </c:tx>
          <c:spPr>
            <a:ln w="19050">
              <a:solidFill>
                <a:srgbClr val="FF0000"/>
              </a:solidFill>
              <a:prstDash val="lgDash"/>
            </a:ln>
          </c:spPr>
          <c:marker>
            <c:symbol val="none"/>
          </c:marker>
          <c:cat>
            <c:numRef>
              <c:f>'Calculations - Single'!$AM$5:$AM$105</c:f>
              <c:numCache>
                <c:formatCode>0</c:formatCode>
                <c:ptCount val="101"/>
                <c:pt idx="0">
                  <c:v>1.0000000000000002E-6</c:v>
                </c:pt>
                <c:pt idx="1">
                  <c:v>25</c:v>
                </c:pt>
                <c:pt idx="2">
                  <c:v>50</c:v>
                </c:pt>
                <c:pt idx="3">
                  <c:v>75</c:v>
                </c:pt>
                <c:pt idx="4">
                  <c:v>100</c:v>
                </c:pt>
                <c:pt idx="5">
                  <c:v>125</c:v>
                </c:pt>
                <c:pt idx="6">
                  <c:v>150</c:v>
                </c:pt>
                <c:pt idx="7">
                  <c:v>175.00000000000003</c:v>
                </c:pt>
                <c:pt idx="8">
                  <c:v>200</c:v>
                </c:pt>
                <c:pt idx="9">
                  <c:v>224.99999999999997</c:v>
                </c:pt>
                <c:pt idx="10">
                  <c:v>250</c:v>
                </c:pt>
                <c:pt idx="11">
                  <c:v>275</c:v>
                </c:pt>
                <c:pt idx="12">
                  <c:v>300</c:v>
                </c:pt>
                <c:pt idx="13">
                  <c:v>325</c:v>
                </c:pt>
                <c:pt idx="14">
                  <c:v>350.00000000000006</c:v>
                </c:pt>
                <c:pt idx="15">
                  <c:v>375</c:v>
                </c:pt>
                <c:pt idx="16">
                  <c:v>400</c:v>
                </c:pt>
                <c:pt idx="17">
                  <c:v>425.00000000000006</c:v>
                </c:pt>
                <c:pt idx="18">
                  <c:v>449.99999999999994</c:v>
                </c:pt>
                <c:pt idx="19">
                  <c:v>475</c:v>
                </c:pt>
                <c:pt idx="20">
                  <c:v>500</c:v>
                </c:pt>
                <c:pt idx="21">
                  <c:v>525</c:v>
                </c:pt>
                <c:pt idx="22">
                  <c:v>550</c:v>
                </c:pt>
                <c:pt idx="23">
                  <c:v>575.00000000000011</c:v>
                </c:pt>
                <c:pt idx="24">
                  <c:v>600</c:v>
                </c:pt>
                <c:pt idx="25">
                  <c:v>625</c:v>
                </c:pt>
                <c:pt idx="26">
                  <c:v>650</c:v>
                </c:pt>
                <c:pt idx="27">
                  <c:v>675</c:v>
                </c:pt>
                <c:pt idx="28">
                  <c:v>700.00000000000011</c:v>
                </c:pt>
                <c:pt idx="29">
                  <c:v>725</c:v>
                </c:pt>
                <c:pt idx="30">
                  <c:v>750</c:v>
                </c:pt>
                <c:pt idx="31">
                  <c:v>775</c:v>
                </c:pt>
                <c:pt idx="32">
                  <c:v>800</c:v>
                </c:pt>
                <c:pt idx="33">
                  <c:v>825.00000000000011</c:v>
                </c:pt>
                <c:pt idx="34">
                  <c:v>850.00000000000011</c:v>
                </c:pt>
                <c:pt idx="35">
                  <c:v>875</c:v>
                </c:pt>
                <c:pt idx="36">
                  <c:v>899.99999999999989</c:v>
                </c:pt>
                <c:pt idx="37">
                  <c:v>925</c:v>
                </c:pt>
                <c:pt idx="38">
                  <c:v>950</c:v>
                </c:pt>
                <c:pt idx="39">
                  <c:v>975.00000000000011</c:v>
                </c:pt>
                <c:pt idx="40">
                  <c:v>1000</c:v>
                </c:pt>
                <c:pt idx="41">
                  <c:v>1025</c:v>
                </c:pt>
                <c:pt idx="42">
                  <c:v>1050</c:v>
                </c:pt>
                <c:pt idx="43">
                  <c:v>1075</c:v>
                </c:pt>
                <c:pt idx="44">
                  <c:v>1100</c:v>
                </c:pt>
                <c:pt idx="45">
                  <c:v>1125</c:v>
                </c:pt>
                <c:pt idx="46">
                  <c:v>1150.0000000000002</c:v>
                </c:pt>
                <c:pt idx="47">
                  <c:v>1174.9999999999998</c:v>
                </c:pt>
                <c:pt idx="48">
                  <c:v>1200</c:v>
                </c:pt>
                <c:pt idx="49">
                  <c:v>1225</c:v>
                </c:pt>
                <c:pt idx="50">
                  <c:v>1250</c:v>
                </c:pt>
                <c:pt idx="51">
                  <c:v>1275</c:v>
                </c:pt>
                <c:pt idx="52">
                  <c:v>1300</c:v>
                </c:pt>
                <c:pt idx="53">
                  <c:v>1325.0000000000002</c:v>
                </c:pt>
                <c:pt idx="54">
                  <c:v>1350</c:v>
                </c:pt>
                <c:pt idx="55">
                  <c:v>1375</c:v>
                </c:pt>
                <c:pt idx="56">
                  <c:v>1400.0000000000002</c:v>
                </c:pt>
                <c:pt idx="57">
                  <c:v>1424.9999999999998</c:v>
                </c:pt>
                <c:pt idx="58">
                  <c:v>1450</c:v>
                </c:pt>
                <c:pt idx="59">
                  <c:v>1474.9999999999998</c:v>
                </c:pt>
                <c:pt idx="60">
                  <c:v>1500</c:v>
                </c:pt>
                <c:pt idx="61">
                  <c:v>1525</c:v>
                </c:pt>
                <c:pt idx="62">
                  <c:v>1550</c:v>
                </c:pt>
                <c:pt idx="63">
                  <c:v>1575</c:v>
                </c:pt>
                <c:pt idx="64">
                  <c:v>1600</c:v>
                </c:pt>
                <c:pt idx="65">
                  <c:v>1625</c:v>
                </c:pt>
                <c:pt idx="66">
                  <c:v>1650.0000000000002</c:v>
                </c:pt>
                <c:pt idx="67">
                  <c:v>1675</c:v>
                </c:pt>
                <c:pt idx="68">
                  <c:v>1700.0000000000002</c:v>
                </c:pt>
                <c:pt idx="69">
                  <c:v>1724.9999999999998</c:v>
                </c:pt>
                <c:pt idx="70">
                  <c:v>1750</c:v>
                </c:pt>
                <c:pt idx="71">
                  <c:v>1775</c:v>
                </c:pt>
                <c:pt idx="72">
                  <c:v>1799.9999999999998</c:v>
                </c:pt>
                <c:pt idx="73">
                  <c:v>1825</c:v>
                </c:pt>
                <c:pt idx="74">
                  <c:v>1850</c:v>
                </c:pt>
                <c:pt idx="75">
                  <c:v>1875</c:v>
                </c:pt>
                <c:pt idx="76">
                  <c:v>1900</c:v>
                </c:pt>
                <c:pt idx="77">
                  <c:v>1925</c:v>
                </c:pt>
                <c:pt idx="78">
                  <c:v>1950.0000000000002</c:v>
                </c:pt>
                <c:pt idx="79">
                  <c:v>1975</c:v>
                </c:pt>
                <c:pt idx="80">
                  <c:v>2000</c:v>
                </c:pt>
                <c:pt idx="81">
                  <c:v>2025.0000000000005</c:v>
                </c:pt>
                <c:pt idx="82">
                  <c:v>2050</c:v>
                </c:pt>
                <c:pt idx="83">
                  <c:v>2074.9999999999995</c:v>
                </c:pt>
                <c:pt idx="84">
                  <c:v>2100</c:v>
                </c:pt>
                <c:pt idx="85">
                  <c:v>2125</c:v>
                </c:pt>
                <c:pt idx="86">
                  <c:v>2150</c:v>
                </c:pt>
                <c:pt idx="87">
                  <c:v>2175</c:v>
                </c:pt>
                <c:pt idx="88">
                  <c:v>2200</c:v>
                </c:pt>
                <c:pt idx="89">
                  <c:v>2225</c:v>
                </c:pt>
                <c:pt idx="90">
                  <c:v>2250</c:v>
                </c:pt>
                <c:pt idx="91">
                  <c:v>2275</c:v>
                </c:pt>
                <c:pt idx="92">
                  <c:v>2300.0000000000005</c:v>
                </c:pt>
                <c:pt idx="93">
                  <c:v>2325</c:v>
                </c:pt>
                <c:pt idx="94">
                  <c:v>2349.9999999999995</c:v>
                </c:pt>
                <c:pt idx="95">
                  <c:v>2375</c:v>
                </c:pt>
                <c:pt idx="96">
                  <c:v>2400</c:v>
                </c:pt>
                <c:pt idx="97">
                  <c:v>2425</c:v>
                </c:pt>
                <c:pt idx="98">
                  <c:v>2450</c:v>
                </c:pt>
                <c:pt idx="99">
                  <c:v>2475</c:v>
                </c:pt>
                <c:pt idx="100">
                  <c:v>2500</c:v>
                </c:pt>
              </c:numCache>
            </c:numRef>
          </c:cat>
          <c:val>
            <c:numRef>
              <c:f>'Calculations - Single'!$AN$5:$AN$105</c:f>
              <c:numCache>
                <c:formatCode>0.0</c:formatCode>
                <c:ptCount val="101"/>
                <c:pt idx="0">
                  <c:v>12</c:v>
                </c:pt>
                <c:pt idx="1">
                  <c:v>27.213671902389706</c:v>
                </c:pt>
                <c:pt idx="2">
                  <c:v>54.427343804779412</c:v>
                </c:pt>
                <c:pt idx="3">
                  <c:v>81.641015707169103</c:v>
                </c:pt>
                <c:pt idx="4">
                  <c:v>108.85468760955882</c:v>
                </c:pt>
                <c:pt idx="5">
                  <c:v>136.0683595119485</c:v>
                </c:pt>
                <c:pt idx="6">
                  <c:v>163.28203141433821</c:v>
                </c:pt>
                <c:pt idx="7">
                  <c:v>190.49570331672794</c:v>
                </c:pt>
                <c:pt idx="8">
                  <c:v>217.70937521911765</c:v>
                </c:pt>
                <c:pt idx="9">
                  <c:v>244.92304712150732</c:v>
                </c:pt>
                <c:pt idx="10">
                  <c:v>272.136719023897</c:v>
                </c:pt>
                <c:pt idx="11">
                  <c:v>299.35039092628676</c:v>
                </c:pt>
                <c:pt idx="12">
                  <c:v>326.56406282867641</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349.3371558749638</c:v>
                </c:pt>
                <c:pt idx="80">
                  <c:v>345.26409899985299</c:v>
                </c:pt>
                <c:pt idx="81">
                  <c:v>341.28478162510442</c:v>
                </c:pt>
                <c:pt idx="82">
                  <c:v>337.39116932849856</c:v>
                </c:pt>
                <c:pt idx="83">
                  <c:v>333.57859733315439</c:v>
                </c:pt>
                <c:pt idx="84">
                  <c:v>329.85061870471486</c:v>
                </c:pt>
                <c:pt idx="85">
                  <c:v>326.20444097987803</c:v>
                </c:pt>
                <c:pt idx="86">
                  <c:v>322.64581719068138</c:v>
                </c:pt>
                <c:pt idx="87">
                  <c:v>319.15480701741797</c:v>
                </c:pt>
                <c:pt idx="88">
                  <c:v>315.74298603527006</c:v>
                </c:pt>
                <c:pt idx="89">
                  <c:v>312.40302342565195</c:v>
                </c:pt>
                <c:pt idx="90">
                  <c:v>309.13267264496466</c:v>
                </c:pt>
                <c:pt idx="91">
                  <c:v>305.9297798301518</c:v>
                </c:pt>
                <c:pt idx="92">
                  <c:v>302.79227906810155</c:v>
                </c:pt>
                <c:pt idx="93">
                  <c:v>299.71818795187278</c:v>
                </c:pt>
                <c:pt idx="94">
                  <c:v>296.70560340365626</c:v>
                </c:pt>
                <c:pt idx="95">
                  <c:v>293.75269774598098</c:v>
                </c:pt>
                <c:pt idx="96">
                  <c:v>290.85771500411721</c:v>
                </c:pt>
                <c:pt idx="97">
                  <c:v>288.01896742396167</c:v>
                </c:pt>
                <c:pt idx="98">
                  <c:v>285.2348321908936</c:v>
                </c:pt>
                <c:pt idx="99">
                  <c:v>282.50374833619844</c:v>
                </c:pt>
                <c:pt idx="100">
                  <c:v>279.824213818668</c:v>
                </c:pt>
              </c:numCache>
            </c:numRef>
          </c:val>
          <c:smooth val="0"/>
          <c:extLst>
            <c:ext xmlns:c16="http://schemas.microsoft.com/office/drawing/2014/chart" uri="{C3380CC4-5D6E-409C-BE32-E72D297353CC}">
              <c16:uniqueId val="{00000001-3709-4335-91FB-31DC56900586}"/>
            </c:ext>
          </c:extLst>
        </c:ser>
        <c:ser>
          <c:idx val="2"/>
          <c:order val="2"/>
          <c:tx>
            <c:v>VIN-max</c:v>
          </c:tx>
          <c:spPr>
            <a:ln w="19050">
              <a:solidFill>
                <a:srgbClr val="0000FF"/>
              </a:solidFill>
              <a:prstDash val="lgDash"/>
            </a:ln>
          </c:spPr>
          <c:marker>
            <c:symbol val="none"/>
          </c:marker>
          <c:cat>
            <c:numRef>
              <c:f>'Calculations - Single'!$AM$5:$AM$105</c:f>
              <c:numCache>
                <c:formatCode>0</c:formatCode>
                <c:ptCount val="101"/>
                <c:pt idx="0">
                  <c:v>1.0000000000000002E-6</c:v>
                </c:pt>
                <c:pt idx="1">
                  <c:v>25</c:v>
                </c:pt>
                <c:pt idx="2">
                  <c:v>50</c:v>
                </c:pt>
                <c:pt idx="3">
                  <c:v>75</c:v>
                </c:pt>
                <c:pt idx="4">
                  <c:v>100</c:v>
                </c:pt>
                <c:pt idx="5">
                  <c:v>125</c:v>
                </c:pt>
                <c:pt idx="6">
                  <c:v>150</c:v>
                </c:pt>
                <c:pt idx="7">
                  <c:v>175.00000000000003</c:v>
                </c:pt>
                <c:pt idx="8">
                  <c:v>200</c:v>
                </c:pt>
                <c:pt idx="9">
                  <c:v>224.99999999999997</c:v>
                </c:pt>
                <c:pt idx="10">
                  <c:v>250</c:v>
                </c:pt>
                <c:pt idx="11">
                  <c:v>275</c:v>
                </c:pt>
                <c:pt idx="12">
                  <c:v>300</c:v>
                </c:pt>
                <c:pt idx="13">
                  <c:v>325</c:v>
                </c:pt>
                <c:pt idx="14">
                  <c:v>350.00000000000006</c:v>
                </c:pt>
                <c:pt idx="15">
                  <c:v>375</c:v>
                </c:pt>
                <c:pt idx="16">
                  <c:v>400</c:v>
                </c:pt>
                <c:pt idx="17">
                  <c:v>425.00000000000006</c:v>
                </c:pt>
                <c:pt idx="18">
                  <c:v>449.99999999999994</c:v>
                </c:pt>
                <c:pt idx="19">
                  <c:v>475</c:v>
                </c:pt>
                <c:pt idx="20">
                  <c:v>500</c:v>
                </c:pt>
                <c:pt idx="21">
                  <c:v>525</c:v>
                </c:pt>
                <c:pt idx="22">
                  <c:v>550</c:v>
                </c:pt>
                <c:pt idx="23">
                  <c:v>575.00000000000011</c:v>
                </c:pt>
                <c:pt idx="24">
                  <c:v>600</c:v>
                </c:pt>
                <c:pt idx="25">
                  <c:v>625</c:v>
                </c:pt>
                <c:pt idx="26">
                  <c:v>650</c:v>
                </c:pt>
                <c:pt idx="27">
                  <c:v>675</c:v>
                </c:pt>
                <c:pt idx="28">
                  <c:v>700.00000000000011</c:v>
                </c:pt>
                <c:pt idx="29">
                  <c:v>725</c:v>
                </c:pt>
                <c:pt idx="30">
                  <c:v>750</c:v>
                </c:pt>
                <c:pt idx="31">
                  <c:v>775</c:v>
                </c:pt>
                <c:pt idx="32">
                  <c:v>800</c:v>
                </c:pt>
                <c:pt idx="33">
                  <c:v>825.00000000000011</c:v>
                </c:pt>
                <c:pt idx="34">
                  <c:v>850.00000000000011</c:v>
                </c:pt>
                <c:pt idx="35">
                  <c:v>875</c:v>
                </c:pt>
                <c:pt idx="36">
                  <c:v>899.99999999999989</c:v>
                </c:pt>
                <c:pt idx="37">
                  <c:v>925</c:v>
                </c:pt>
                <c:pt idx="38">
                  <c:v>950</c:v>
                </c:pt>
                <c:pt idx="39">
                  <c:v>975.00000000000011</c:v>
                </c:pt>
                <c:pt idx="40">
                  <c:v>1000</c:v>
                </c:pt>
                <c:pt idx="41">
                  <c:v>1025</c:v>
                </c:pt>
                <c:pt idx="42">
                  <c:v>1050</c:v>
                </c:pt>
                <c:pt idx="43">
                  <c:v>1075</c:v>
                </c:pt>
                <c:pt idx="44">
                  <c:v>1100</c:v>
                </c:pt>
                <c:pt idx="45">
                  <c:v>1125</c:v>
                </c:pt>
                <c:pt idx="46">
                  <c:v>1150.0000000000002</c:v>
                </c:pt>
                <c:pt idx="47">
                  <c:v>1174.9999999999998</c:v>
                </c:pt>
                <c:pt idx="48">
                  <c:v>1200</c:v>
                </c:pt>
                <c:pt idx="49">
                  <c:v>1225</c:v>
                </c:pt>
                <c:pt idx="50">
                  <c:v>1250</c:v>
                </c:pt>
                <c:pt idx="51">
                  <c:v>1275</c:v>
                </c:pt>
                <c:pt idx="52">
                  <c:v>1300</c:v>
                </c:pt>
                <c:pt idx="53">
                  <c:v>1325.0000000000002</c:v>
                </c:pt>
                <c:pt idx="54">
                  <c:v>1350</c:v>
                </c:pt>
                <c:pt idx="55">
                  <c:v>1375</c:v>
                </c:pt>
                <c:pt idx="56">
                  <c:v>1400.0000000000002</c:v>
                </c:pt>
                <c:pt idx="57">
                  <c:v>1424.9999999999998</c:v>
                </c:pt>
                <c:pt idx="58">
                  <c:v>1450</c:v>
                </c:pt>
                <c:pt idx="59">
                  <c:v>1474.9999999999998</c:v>
                </c:pt>
                <c:pt idx="60">
                  <c:v>1500</c:v>
                </c:pt>
                <c:pt idx="61">
                  <c:v>1525</c:v>
                </c:pt>
                <c:pt idx="62">
                  <c:v>1550</c:v>
                </c:pt>
                <c:pt idx="63">
                  <c:v>1575</c:v>
                </c:pt>
                <c:pt idx="64">
                  <c:v>1600</c:v>
                </c:pt>
                <c:pt idx="65">
                  <c:v>1625</c:v>
                </c:pt>
                <c:pt idx="66">
                  <c:v>1650.0000000000002</c:v>
                </c:pt>
                <c:pt idx="67">
                  <c:v>1675</c:v>
                </c:pt>
                <c:pt idx="68">
                  <c:v>1700.0000000000002</c:v>
                </c:pt>
                <c:pt idx="69">
                  <c:v>1724.9999999999998</c:v>
                </c:pt>
                <c:pt idx="70">
                  <c:v>1750</c:v>
                </c:pt>
                <c:pt idx="71">
                  <c:v>1775</c:v>
                </c:pt>
                <c:pt idx="72">
                  <c:v>1799.9999999999998</c:v>
                </c:pt>
                <c:pt idx="73">
                  <c:v>1825</c:v>
                </c:pt>
                <c:pt idx="74">
                  <c:v>1850</c:v>
                </c:pt>
                <c:pt idx="75">
                  <c:v>1875</c:v>
                </c:pt>
                <c:pt idx="76">
                  <c:v>1900</c:v>
                </c:pt>
                <c:pt idx="77">
                  <c:v>1925</c:v>
                </c:pt>
                <c:pt idx="78">
                  <c:v>1950.0000000000002</c:v>
                </c:pt>
                <c:pt idx="79">
                  <c:v>1975</c:v>
                </c:pt>
                <c:pt idx="80">
                  <c:v>2000</c:v>
                </c:pt>
                <c:pt idx="81">
                  <c:v>2025.0000000000005</c:v>
                </c:pt>
                <c:pt idx="82">
                  <c:v>2050</c:v>
                </c:pt>
                <c:pt idx="83">
                  <c:v>2074.9999999999995</c:v>
                </c:pt>
                <c:pt idx="84">
                  <c:v>2100</c:v>
                </c:pt>
                <c:pt idx="85">
                  <c:v>2125</c:v>
                </c:pt>
                <c:pt idx="86">
                  <c:v>2150</c:v>
                </c:pt>
                <c:pt idx="87">
                  <c:v>2175</c:v>
                </c:pt>
                <c:pt idx="88">
                  <c:v>2200</c:v>
                </c:pt>
                <c:pt idx="89">
                  <c:v>2225</c:v>
                </c:pt>
                <c:pt idx="90">
                  <c:v>2250</c:v>
                </c:pt>
                <c:pt idx="91">
                  <c:v>2275</c:v>
                </c:pt>
                <c:pt idx="92">
                  <c:v>2300.0000000000005</c:v>
                </c:pt>
                <c:pt idx="93">
                  <c:v>2325</c:v>
                </c:pt>
                <c:pt idx="94">
                  <c:v>2349.9999999999995</c:v>
                </c:pt>
                <c:pt idx="95">
                  <c:v>2375</c:v>
                </c:pt>
                <c:pt idx="96">
                  <c:v>2400</c:v>
                </c:pt>
                <c:pt idx="97">
                  <c:v>2425</c:v>
                </c:pt>
                <c:pt idx="98">
                  <c:v>2450</c:v>
                </c:pt>
                <c:pt idx="99">
                  <c:v>2475</c:v>
                </c:pt>
                <c:pt idx="100">
                  <c:v>2500</c:v>
                </c:pt>
              </c:numCache>
            </c:numRef>
          </c:cat>
          <c:val>
            <c:numRef>
              <c:f>'Calculations - Single'!$AN$216:$AN$316</c:f>
              <c:numCache>
                <c:formatCode>0.0</c:formatCode>
                <c:ptCount val="101"/>
                <c:pt idx="0">
                  <c:v>12</c:v>
                </c:pt>
                <c:pt idx="1">
                  <c:v>27.213671902389706</c:v>
                </c:pt>
                <c:pt idx="2">
                  <c:v>54.427343804779412</c:v>
                </c:pt>
                <c:pt idx="3">
                  <c:v>81.641015707169103</c:v>
                </c:pt>
                <c:pt idx="4">
                  <c:v>108.85468760955882</c:v>
                </c:pt>
                <c:pt idx="5">
                  <c:v>136.0683595119485</c:v>
                </c:pt>
                <c:pt idx="6">
                  <c:v>163.28203141433821</c:v>
                </c:pt>
                <c:pt idx="7">
                  <c:v>190.49570331672794</c:v>
                </c:pt>
                <c:pt idx="8">
                  <c:v>217.70937521911765</c:v>
                </c:pt>
                <c:pt idx="9">
                  <c:v>244.92304712150732</c:v>
                </c:pt>
                <c:pt idx="10">
                  <c:v>272.136719023897</c:v>
                </c:pt>
                <c:pt idx="11">
                  <c:v>299.35039092628676</c:v>
                </c:pt>
                <c:pt idx="12">
                  <c:v>326.56406282867641</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2-3709-4335-91FB-31DC56900586}"/>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Single'!$AM$5:$AM$105</c:f>
              <c:numCache>
                <c:formatCode>0</c:formatCode>
                <c:ptCount val="101"/>
                <c:pt idx="0">
                  <c:v>1.0000000000000002E-6</c:v>
                </c:pt>
                <c:pt idx="1">
                  <c:v>25</c:v>
                </c:pt>
                <c:pt idx="2">
                  <c:v>50</c:v>
                </c:pt>
                <c:pt idx="3">
                  <c:v>75</c:v>
                </c:pt>
                <c:pt idx="4">
                  <c:v>100</c:v>
                </c:pt>
                <c:pt idx="5">
                  <c:v>125</c:v>
                </c:pt>
                <c:pt idx="6">
                  <c:v>150</c:v>
                </c:pt>
                <c:pt idx="7">
                  <c:v>175.00000000000003</c:v>
                </c:pt>
                <c:pt idx="8">
                  <c:v>200</c:v>
                </c:pt>
                <c:pt idx="9">
                  <c:v>224.99999999999997</c:v>
                </c:pt>
                <c:pt idx="10">
                  <c:v>250</c:v>
                </c:pt>
                <c:pt idx="11">
                  <c:v>275</c:v>
                </c:pt>
                <c:pt idx="12">
                  <c:v>300</c:v>
                </c:pt>
                <c:pt idx="13">
                  <c:v>325</c:v>
                </c:pt>
                <c:pt idx="14">
                  <c:v>350.00000000000006</c:v>
                </c:pt>
                <c:pt idx="15">
                  <c:v>375</c:v>
                </c:pt>
                <c:pt idx="16">
                  <c:v>400</c:v>
                </c:pt>
                <c:pt idx="17">
                  <c:v>425.00000000000006</c:v>
                </c:pt>
                <c:pt idx="18">
                  <c:v>449.99999999999994</c:v>
                </c:pt>
                <c:pt idx="19">
                  <c:v>475</c:v>
                </c:pt>
                <c:pt idx="20">
                  <c:v>500</c:v>
                </c:pt>
                <c:pt idx="21">
                  <c:v>525</c:v>
                </c:pt>
                <c:pt idx="22">
                  <c:v>550</c:v>
                </c:pt>
                <c:pt idx="23">
                  <c:v>575.00000000000011</c:v>
                </c:pt>
                <c:pt idx="24">
                  <c:v>600</c:v>
                </c:pt>
                <c:pt idx="25">
                  <c:v>625</c:v>
                </c:pt>
                <c:pt idx="26">
                  <c:v>650</c:v>
                </c:pt>
                <c:pt idx="27">
                  <c:v>675</c:v>
                </c:pt>
                <c:pt idx="28">
                  <c:v>700.00000000000011</c:v>
                </c:pt>
                <c:pt idx="29">
                  <c:v>725</c:v>
                </c:pt>
                <c:pt idx="30">
                  <c:v>750</c:v>
                </c:pt>
                <c:pt idx="31">
                  <c:v>775</c:v>
                </c:pt>
                <c:pt idx="32">
                  <c:v>800</c:v>
                </c:pt>
                <c:pt idx="33">
                  <c:v>825.00000000000011</c:v>
                </c:pt>
                <c:pt idx="34">
                  <c:v>850.00000000000011</c:v>
                </c:pt>
                <c:pt idx="35">
                  <c:v>875</c:v>
                </c:pt>
                <c:pt idx="36">
                  <c:v>899.99999999999989</c:v>
                </c:pt>
                <c:pt idx="37">
                  <c:v>925</c:v>
                </c:pt>
                <c:pt idx="38">
                  <c:v>950</c:v>
                </c:pt>
                <c:pt idx="39">
                  <c:v>975.00000000000011</c:v>
                </c:pt>
                <c:pt idx="40">
                  <c:v>1000</c:v>
                </c:pt>
                <c:pt idx="41">
                  <c:v>1025</c:v>
                </c:pt>
                <c:pt idx="42">
                  <c:v>1050</c:v>
                </c:pt>
                <c:pt idx="43">
                  <c:v>1075</c:v>
                </c:pt>
                <c:pt idx="44">
                  <c:v>1100</c:v>
                </c:pt>
                <c:pt idx="45">
                  <c:v>1125</c:v>
                </c:pt>
                <c:pt idx="46">
                  <c:v>1150.0000000000002</c:v>
                </c:pt>
                <c:pt idx="47">
                  <c:v>1174.9999999999998</c:v>
                </c:pt>
                <c:pt idx="48">
                  <c:v>1200</c:v>
                </c:pt>
                <c:pt idx="49">
                  <c:v>1225</c:v>
                </c:pt>
                <c:pt idx="50">
                  <c:v>1250</c:v>
                </c:pt>
                <c:pt idx="51">
                  <c:v>1275</c:v>
                </c:pt>
                <c:pt idx="52">
                  <c:v>1300</c:v>
                </c:pt>
                <c:pt idx="53">
                  <c:v>1325.0000000000002</c:v>
                </c:pt>
                <c:pt idx="54">
                  <c:v>1350</c:v>
                </c:pt>
                <c:pt idx="55">
                  <c:v>1375</c:v>
                </c:pt>
                <c:pt idx="56">
                  <c:v>1400.0000000000002</c:v>
                </c:pt>
                <c:pt idx="57">
                  <c:v>1424.9999999999998</c:v>
                </c:pt>
                <c:pt idx="58">
                  <c:v>1450</c:v>
                </c:pt>
                <c:pt idx="59">
                  <c:v>1474.9999999999998</c:v>
                </c:pt>
                <c:pt idx="60">
                  <c:v>1500</c:v>
                </c:pt>
                <c:pt idx="61">
                  <c:v>1525</c:v>
                </c:pt>
                <c:pt idx="62">
                  <c:v>1550</c:v>
                </c:pt>
                <c:pt idx="63">
                  <c:v>1575</c:v>
                </c:pt>
                <c:pt idx="64">
                  <c:v>1600</c:v>
                </c:pt>
                <c:pt idx="65">
                  <c:v>1625</c:v>
                </c:pt>
                <c:pt idx="66">
                  <c:v>1650.0000000000002</c:v>
                </c:pt>
                <c:pt idx="67">
                  <c:v>1675</c:v>
                </c:pt>
                <c:pt idx="68">
                  <c:v>1700.0000000000002</c:v>
                </c:pt>
                <c:pt idx="69">
                  <c:v>1724.9999999999998</c:v>
                </c:pt>
                <c:pt idx="70">
                  <c:v>1750</c:v>
                </c:pt>
                <c:pt idx="71">
                  <c:v>1775</c:v>
                </c:pt>
                <c:pt idx="72">
                  <c:v>1799.9999999999998</c:v>
                </c:pt>
                <c:pt idx="73">
                  <c:v>1825</c:v>
                </c:pt>
                <c:pt idx="74">
                  <c:v>1850</c:v>
                </c:pt>
                <c:pt idx="75">
                  <c:v>1875</c:v>
                </c:pt>
                <c:pt idx="76">
                  <c:v>1900</c:v>
                </c:pt>
                <c:pt idx="77">
                  <c:v>1925</c:v>
                </c:pt>
                <c:pt idx="78">
                  <c:v>1950.0000000000002</c:v>
                </c:pt>
                <c:pt idx="79">
                  <c:v>1975</c:v>
                </c:pt>
                <c:pt idx="80">
                  <c:v>2000</c:v>
                </c:pt>
                <c:pt idx="81">
                  <c:v>2025.0000000000005</c:v>
                </c:pt>
                <c:pt idx="82">
                  <c:v>2050</c:v>
                </c:pt>
                <c:pt idx="83">
                  <c:v>2074.9999999999995</c:v>
                </c:pt>
                <c:pt idx="84">
                  <c:v>2100</c:v>
                </c:pt>
                <c:pt idx="85">
                  <c:v>2125</c:v>
                </c:pt>
                <c:pt idx="86">
                  <c:v>2150</c:v>
                </c:pt>
                <c:pt idx="87">
                  <c:v>2175</c:v>
                </c:pt>
                <c:pt idx="88">
                  <c:v>2200</c:v>
                </c:pt>
                <c:pt idx="89">
                  <c:v>2225</c:v>
                </c:pt>
                <c:pt idx="90">
                  <c:v>2250</c:v>
                </c:pt>
                <c:pt idx="91">
                  <c:v>2275</c:v>
                </c:pt>
                <c:pt idx="92">
                  <c:v>2300.0000000000005</c:v>
                </c:pt>
                <c:pt idx="93">
                  <c:v>2325</c:v>
                </c:pt>
                <c:pt idx="94">
                  <c:v>2349.9999999999995</c:v>
                </c:pt>
                <c:pt idx="95">
                  <c:v>2375</c:v>
                </c:pt>
                <c:pt idx="96">
                  <c:v>2400</c:v>
                </c:pt>
                <c:pt idx="97">
                  <c:v>2425</c:v>
                </c:pt>
                <c:pt idx="98">
                  <c:v>2450</c:v>
                </c:pt>
                <c:pt idx="99">
                  <c:v>2475</c:v>
                </c:pt>
                <c:pt idx="100">
                  <c:v>2500</c:v>
                </c:pt>
              </c:numCache>
            </c:numRef>
          </c:cat>
          <c:val>
            <c:numRef>
              <c:f>'Calculations - Single'!$CE$110:$CE$210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3709-4335-91FB-31DC56900586}"/>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Single'!$AM$5:$AM$105</c:f>
              <c:numCache>
                <c:formatCode>0</c:formatCode>
                <c:ptCount val="101"/>
                <c:pt idx="0">
                  <c:v>1.0000000000000002E-6</c:v>
                </c:pt>
                <c:pt idx="1">
                  <c:v>25</c:v>
                </c:pt>
                <c:pt idx="2">
                  <c:v>50</c:v>
                </c:pt>
                <c:pt idx="3">
                  <c:v>75</c:v>
                </c:pt>
                <c:pt idx="4">
                  <c:v>100</c:v>
                </c:pt>
                <c:pt idx="5">
                  <c:v>125</c:v>
                </c:pt>
                <c:pt idx="6">
                  <c:v>150</c:v>
                </c:pt>
                <c:pt idx="7">
                  <c:v>175.00000000000003</c:v>
                </c:pt>
                <c:pt idx="8">
                  <c:v>200</c:v>
                </c:pt>
                <c:pt idx="9">
                  <c:v>224.99999999999997</c:v>
                </c:pt>
                <c:pt idx="10">
                  <c:v>250</c:v>
                </c:pt>
                <c:pt idx="11">
                  <c:v>275</c:v>
                </c:pt>
                <c:pt idx="12">
                  <c:v>300</c:v>
                </c:pt>
                <c:pt idx="13">
                  <c:v>325</c:v>
                </c:pt>
                <c:pt idx="14">
                  <c:v>350.00000000000006</c:v>
                </c:pt>
                <c:pt idx="15">
                  <c:v>375</c:v>
                </c:pt>
                <c:pt idx="16">
                  <c:v>400</c:v>
                </c:pt>
                <c:pt idx="17">
                  <c:v>425.00000000000006</c:v>
                </c:pt>
                <c:pt idx="18">
                  <c:v>449.99999999999994</c:v>
                </c:pt>
                <c:pt idx="19">
                  <c:v>475</c:v>
                </c:pt>
                <c:pt idx="20">
                  <c:v>500</c:v>
                </c:pt>
                <c:pt idx="21">
                  <c:v>525</c:v>
                </c:pt>
                <c:pt idx="22">
                  <c:v>550</c:v>
                </c:pt>
                <c:pt idx="23">
                  <c:v>575.00000000000011</c:v>
                </c:pt>
                <c:pt idx="24">
                  <c:v>600</c:v>
                </c:pt>
                <c:pt idx="25">
                  <c:v>625</c:v>
                </c:pt>
                <c:pt idx="26">
                  <c:v>650</c:v>
                </c:pt>
                <c:pt idx="27">
                  <c:v>675</c:v>
                </c:pt>
                <c:pt idx="28">
                  <c:v>700.00000000000011</c:v>
                </c:pt>
                <c:pt idx="29">
                  <c:v>725</c:v>
                </c:pt>
                <c:pt idx="30">
                  <c:v>750</c:v>
                </c:pt>
                <c:pt idx="31">
                  <c:v>775</c:v>
                </c:pt>
                <c:pt idx="32">
                  <c:v>800</c:v>
                </c:pt>
                <c:pt idx="33">
                  <c:v>825.00000000000011</c:v>
                </c:pt>
                <c:pt idx="34">
                  <c:v>850.00000000000011</c:v>
                </c:pt>
                <c:pt idx="35">
                  <c:v>875</c:v>
                </c:pt>
                <c:pt idx="36">
                  <c:v>899.99999999999989</c:v>
                </c:pt>
                <c:pt idx="37">
                  <c:v>925</c:v>
                </c:pt>
                <c:pt idx="38">
                  <c:v>950</c:v>
                </c:pt>
                <c:pt idx="39">
                  <c:v>975.00000000000011</c:v>
                </c:pt>
                <c:pt idx="40">
                  <c:v>1000</c:v>
                </c:pt>
                <c:pt idx="41">
                  <c:v>1025</c:v>
                </c:pt>
                <c:pt idx="42">
                  <c:v>1050</c:v>
                </c:pt>
                <c:pt idx="43">
                  <c:v>1075</c:v>
                </c:pt>
                <c:pt idx="44">
                  <c:v>1100</c:v>
                </c:pt>
                <c:pt idx="45">
                  <c:v>1125</c:v>
                </c:pt>
                <c:pt idx="46">
                  <c:v>1150.0000000000002</c:v>
                </c:pt>
                <c:pt idx="47">
                  <c:v>1174.9999999999998</c:v>
                </c:pt>
                <c:pt idx="48">
                  <c:v>1200</c:v>
                </c:pt>
                <c:pt idx="49">
                  <c:v>1225</c:v>
                </c:pt>
                <c:pt idx="50">
                  <c:v>1250</c:v>
                </c:pt>
                <c:pt idx="51">
                  <c:v>1275</c:v>
                </c:pt>
                <c:pt idx="52">
                  <c:v>1300</c:v>
                </c:pt>
                <c:pt idx="53">
                  <c:v>1325.0000000000002</c:v>
                </c:pt>
                <c:pt idx="54">
                  <c:v>1350</c:v>
                </c:pt>
                <c:pt idx="55">
                  <c:v>1375</c:v>
                </c:pt>
                <c:pt idx="56">
                  <c:v>1400.0000000000002</c:v>
                </c:pt>
                <c:pt idx="57">
                  <c:v>1424.9999999999998</c:v>
                </c:pt>
                <c:pt idx="58">
                  <c:v>1450</c:v>
                </c:pt>
                <c:pt idx="59">
                  <c:v>1474.9999999999998</c:v>
                </c:pt>
                <c:pt idx="60">
                  <c:v>1500</c:v>
                </c:pt>
                <c:pt idx="61">
                  <c:v>1525</c:v>
                </c:pt>
                <c:pt idx="62">
                  <c:v>1550</c:v>
                </c:pt>
                <c:pt idx="63">
                  <c:v>1575</c:v>
                </c:pt>
                <c:pt idx="64">
                  <c:v>1600</c:v>
                </c:pt>
                <c:pt idx="65">
                  <c:v>1625</c:v>
                </c:pt>
                <c:pt idx="66">
                  <c:v>1650.0000000000002</c:v>
                </c:pt>
                <c:pt idx="67">
                  <c:v>1675</c:v>
                </c:pt>
                <c:pt idx="68">
                  <c:v>1700.0000000000002</c:v>
                </c:pt>
                <c:pt idx="69">
                  <c:v>1724.9999999999998</c:v>
                </c:pt>
                <c:pt idx="70">
                  <c:v>1750</c:v>
                </c:pt>
                <c:pt idx="71">
                  <c:v>1775</c:v>
                </c:pt>
                <c:pt idx="72">
                  <c:v>1799.9999999999998</c:v>
                </c:pt>
                <c:pt idx="73">
                  <c:v>1825</c:v>
                </c:pt>
                <c:pt idx="74">
                  <c:v>1850</c:v>
                </c:pt>
                <c:pt idx="75">
                  <c:v>1875</c:v>
                </c:pt>
                <c:pt idx="76">
                  <c:v>1900</c:v>
                </c:pt>
                <c:pt idx="77">
                  <c:v>1925</c:v>
                </c:pt>
                <c:pt idx="78">
                  <c:v>1950.0000000000002</c:v>
                </c:pt>
                <c:pt idx="79">
                  <c:v>1975</c:v>
                </c:pt>
                <c:pt idx="80">
                  <c:v>2000</c:v>
                </c:pt>
                <c:pt idx="81">
                  <c:v>2025.0000000000005</c:v>
                </c:pt>
                <c:pt idx="82">
                  <c:v>2050</c:v>
                </c:pt>
                <c:pt idx="83">
                  <c:v>2074.9999999999995</c:v>
                </c:pt>
                <c:pt idx="84">
                  <c:v>2100</c:v>
                </c:pt>
                <c:pt idx="85">
                  <c:v>2125</c:v>
                </c:pt>
                <c:pt idx="86">
                  <c:v>2150</c:v>
                </c:pt>
                <c:pt idx="87">
                  <c:v>2175</c:v>
                </c:pt>
                <c:pt idx="88">
                  <c:v>2200</c:v>
                </c:pt>
                <c:pt idx="89">
                  <c:v>2225</c:v>
                </c:pt>
                <c:pt idx="90">
                  <c:v>2250</c:v>
                </c:pt>
                <c:pt idx="91">
                  <c:v>2275</c:v>
                </c:pt>
                <c:pt idx="92">
                  <c:v>2300.0000000000005</c:v>
                </c:pt>
                <c:pt idx="93">
                  <c:v>2325</c:v>
                </c:pt>
                <c:pt idx="94">
                  <c:v>2349.9999999999995</c:v>
                </c:pt>
                <c:pt idx="95">
                  <c:v>2375</c:v>
                </c:pt>
                <c:pt idx="96">
                  <c:v>2400</c:v>
                </c:pt>
                <c:pt idx="97">
                  <c:v>2425</c:v>
                </c:pt>
                <c:pt idx="98">
                  <c:v>2450</c:v>
                </c:pt>
                <c:pt idx="99">
                  <c:v>2475</c:v>
                </c:pt>
                <c:pt idx="100">
                  <c:v>2500</c:v>
                </c:pt>
              </c:numCache>
            </c:numRef>
          </c:cat>
          <c:val>
            <c:numRef>
              <c:f>'Calculations - Single'!$CE$5:$CE$105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3709-4335-91FB-31DC56900586}"/>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Single'!$AM$5:$AM$105</c:f>
              <c:numCache>
                <c:formatCode>0</c:formatCode>
                <c:ptCount val="101"/>
                <c:pt idx="0">
                  <c:v>1.0000000000000002E-6</c:v>
                </c:pt>
                <c:pt idx="1">
                  <c:v>25</c:v>
                </c:pt>
                <c:pt idx="2">
                  <c:v>50</c:v>
                </c:pt>
                <c:pt idx="3">
                  <c:v>75</c:v>
                </c:pt>
                <c:pt idx="4">
                  <c:v>100</c:v>
                </c:pt>
                <c:pt idx="5">
                  <c:v>125</c:v>
                </c:pt>
                <c:pt idx="6">
                  <c:v>150</c:v>
                </c:pt>
                <c:pt idx="7">
                  <c:v>175.00000000000003</c:v>
                </c:pt>
                <c:pt idx="8">
                  <c:v>200</c:v>
                </c:pt>
                <c:pt idx="9">
                  <c:v>224.99999999999997</c:v>
                </c:pt>
                <c:pt idx="10">
                  <c:v>250</c:v>
                </c:pt>
                <c:pt idx="11">
                  <c:v>275</c:v>
                </c:pt>
                <c:pt idx="12">
                  <c:v>300</c:v>
                </c:pt>
                <c:pt idx="13">
                  <c:v>325</c:v>
                </c:pt>
                <c:pt idx="14">
                  <c:v>350.00000000000006</c:v>
                </c:pt>
                <c:pt idx="15">
                  <c:v>375</c:v>
                </c:pt>
                <c:pt idx="16">
                  <c:v>400</c:v>
                </c:pt>
                <c:pt idx="17">
                  <c:v>425.00000000000006</c:v>
                </c:pt>
                <c:pt idx="18">
                  <c:v>449.99999999999994</c:v>
                </c:pt>
                <c:pt idx="19">
                  <c:v>475</c:v>
                </c:pt>
                <c:pt idx="20">
                  <c:v>500</c:v>
                </c:pt>
                <c:pt idx="21">
                  <c:v>525</c:v>
                </c:pt>
                <c:pt idx="22">
                  <c:v>550</c:v>
                </c:pt>
                <c:pt idx="23">
                  <c:v>575.00000000000011</c:v>
                </c:pt>
                <c:pt idx="24">
                  <c:v>600</c:v>
                </c:pt>
                <c:pt idx="25">
                  <c:v>625</c:v>
                </c:pt>
                <c:pt idx="26">
                  <c:v>650</c:v>
                </c:pt>
                <c:pt idx="27">
                  <c:v>675</c:v>
                </c:pt>
                <c:pt idx="28">
                  <c:v>700.00000000000011</c:v>
                </c:pt>
                <c:pt idx="29">
                  <c:v>725</c:v>
                </c:pt>
                <c:pt idx="30">
                  <c:v>750</c:v>
                </c:pt>
                <c:pt idx="31">
                  <c:v>775</c:v>
                </c:pt>
                <c:pt idx="32">
                  <c:v>800</c:v>
                </c:pt>
                <c:pt idx="33">
                  <c:v>825.00000000000011</c:v>
                </c:pt>
                <c:pt idx="34">
                  <c:v>850.00000000000011</c:v>
                </c:pt>
                <c:pt idx="35">
                  <c:v>875</c:v>
                </c:pt>
                <c:pt idx="36">
                  <c:v>899.99999999999989</c:v>
                </c:pt>
                <c:pt idx="37">
                  <c:v>925</c:v>
                </c:pt>
                <c:pt idx="38">
                  <c:v>950</c:v>
                </c:pt>
                <c:pt idx="39">
                  <c:v>975.00000000000011</c:v>
                </c:pt>
                <c:pt idx="40">
                  <c:v>1000</c:v>
                </c:pt>
                <c:pt idx="41">
                  <c:v>1025</c:v>
                </c:pt>
                <c:pt idx="42">
                  <c:v>1050</c:v>
                </c:pt>
                <c:pt idx="43">
                  <c:v>1075</c:v>
                </c:pt>
                <c:pt idx="44">
                  <c:v>1100</c:v>
                </c:pt>
                <c:pt idx="45">
                  <c:v>1125</c:v>
                </c:pt>
                <c:pt idx="46">
                  <c:v>1150.0000000000002</c:v>
                </c:pt>
                <c:pt idx="47">
                  <c:v>1174.9999999999998</c:v>
                </c:pt>
                <c:pt idx="48">
                  <c:v>1200</c:v>
                </c:pt>
                <c:pt idx="49">
                  <c:v>1225</c:v>
                </c:pt>
                <c:pt idx="50">
                  <c:v>1250</c:v>
                </c:pt>
                <c:pt idx="51">
                  <c:v>1275</c:v>
                </c:pt>
                <c:pt idx="52">
                  <c:v>1300</c:v>
                </c:pt>
                <c:pt idx="53">
                  <c:v>1325.0000000000002</c:v>
                </c:pt>
                <c:pt idx="54">
                  <c:v>1350</c:v>
                </c:pt>
                <c:pt idx="55">
                  <c:v>1375</c:v>
                </c:pt>
                <c:pt idx="56">
                  <c:v>1400.0000000000002</c:v>
                </c:pt>
                <c:pt idx="57">
                  <c:v>1424.9999999999998</c:v>
                </c:pt>
                <c:pt idx="58">
                  <c:v>1450</c:v>
                </c:pt>
                <c:pt idx="59">
                  <c:v>1474.9999999999998</c:v>
                </c:pt>
                <c:pt idx="60">
                  <c:v>1500</c:v>
                </c:pt>
                <c:pt idx="61">
                  <c:v>1525</c:v>
                </c:pt>
                <c:pt idx="62">
                  <c:v>1550</c:v>
                </c:pt>
                <c:pt idx="63">
                  <c:v>1575</c:v>
                </c:pt>
                <c:pt idx="64">
                  <c:v>1600</c:v>
                </c:pt>
                <c:pt idx="65">
                  <c:v>1625</c:v>
                </c:pt>
                <c:pt idx="66">
                  <c:v>1650.0000000000002</c:v>
                </c:pt>
                <c:pt idx="67">
                  <c:v>1675</c:v>
                </c:pt>
                <c:pt idx="68">
                  <c:v>1700.0000000000002</c:v>
                </c:pt>
                <c:pt idx="69">
                  <c:v>1724.9999999999998</c:v>
                </c:pt>
                <c:pt idx="70">
                  <c:v>1750</c:v>
                </c:pt>
                <c:pt idx="71">
                  <c:v>1775</c:v>
                </c:pt>
                <c:pt idx="72">
                  <c:v>1799.9999999999998</c:v>
                </c:pt>
                <c:pt idx="73">
                  <c:v>1825</c:v>
                </c:pt>
                <c:pt idx="74">
                  <c:v>1850</c:v>
                </c:pt>
                <c:pt idx="75">
                  <c:v>1875</c:v>
                </c:pt>
                <c:pt idx="76">
                  <c:v>1900</c:v>
                </c:pt>
                <c:pt idx="77">
                  <c:v>1925</c:v>
                </c:pt>
                <c:pt idx="78">
                  <c:v>1950.0000000000002</c:v>
                </c:pt>
                <c:pt idx="79">
                  <c:v>1975</c:v>
                </c:pt>
                <c:pt idx="80">
                  <c:v>2000</c:v>
                </c:pt>
                <c:pt idx="81">
                  <c:v>2025.0000000000005</c:v>
                </c:pt>
                <c:pt idx="82">
                  <c:v>2050</c:v>
                </c:pt>
                <c:pt idx="83">
                  <c:v>2074.9999999999995</c:v>
                </c:pt>
                <c:pt idx="84">
                  <c:v>2100</c:v>
                </c:pt>
                <c:pt idx="85">
                  <c:v>2125</c:v>
                </c:pt>
                <c:pt idx="86">
                  <c:v>2150</c:v>
                </c:pt>
                <c:pt idx="87">
                  <c:v>2175</c:v>
                </c:pt>
                <c:pt idx="88">
                  <c:v>2200</c:v>
                </c:pt>
                <c:pt idx="89">
                  <c:v>2225</c:v>
                </c:pt>
                <c:pt idx="90">
                  <c:v>2250</c:v>
                </c:pt>
                <c:pt idx="91">
                  <c:v>2275</c:v>
                </c:pt>
                <c:pt idx="92">
                  <c:v>2300.0000000000005</c:v>
                </c:pt>
                <c:pt idx="93">
                  <c:v>2325</c:v>
                </c:pt>
                <c:pt idx="94">
                  <c:v>2349.9999999999995</c:v>
                </c:pt>
                <c:pt idx="95">
                  <c:v>2375</c:v>
                </c:pt>
                <c:pt idx="96">
                  <c:v>2400</c:v>
                </c:pt>
                <c:pt idx="97">
                  <c:v>2425</c:v>
                </c:pt>
                <c:pt idx="98">
                  <c:v>2450</c:v>
                </c:pt>
                <c:pt idx="99">
                  <c:v>2475</c:v>
                </c:pt>
                <c:pt idx="100">
                  <c:v>2500</c:v>
                </c:pt>
              </c:numCache>
            </c:numRef>
          </c:cat>
          <c:val>
            <c:numRef>
              <c:f>'Calculations - Single'!$CE$216:$CE$316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3709-4335-91FB-31DC56900586}"/>
            </c:ext>
          </c:extLst>
        </c:ser>
        <c:dLbls>
          <c:showLegendKey val="0"/>
          <c:showVal val="0"/>
          <c:showCatName val="0"/>
          <c:showSerName val="0"/>
          <c:showPercent val="0"/>
          <c:showBubbleSize val="0"/>
        </c:dLbls>
        <c:marker val="1"/>
        <c:smooth val="0"/>
        <c:axId val="449006208"/>
        <c:axId val="449020672"/>
      </c:lineChart>
      <c:lineChart>
        <c:grouping val="standard"/>
        <c:varyColors val="0"/>
        <c:ser>
          <c:idx val="6"/>
          <c:order val="6"/>
          <c:spPr>
            <a:ln w="31750">
              <a:solidFill>
                <a:srgbClr val="FF0000"/>
              </a:solidFill>
            </a:ln>
          </c:spPr>
          <c:marker>
            <c:symbol val="none"/>
          </c:marker>
          <c:val>
            <c:numRef>
              <c:f>'Calculations - Single'!$AW$5:$AW$105</c:f>
              <c:numCache>
                <c:formatCode>0.000</c:formatCode>
                <c:ptCount val="101"/>
                <c:pt idx="0">
                  <c:v>6.714288820559999E-3</c:v>
                </c:pt>
                <c:pt idx="1">
                  <c:v>1.5250131972276126E-2</c:v>
                </c:pt>
                <c:pt idx="2">
                  <c:v>3.0500263944552252E-2</c:v>
                </c:pt>
                <c:pt idx="3">
                  <c:v>4.5750395916828369E-2</c:v>
                </c:pt>
                <c:pt idx="4">
                  <c:v>6.1000527889104504E-2</c:v>
                </c:pt>
                <c:pt idx="5">
                  <c:v>7.6250659861380604E-2</c:v>
                </c:pt>
                <c:pt idx="6">
                  <c:v>9.1500791833656739E-2</c:v>
                </c:pt>
                <c:pt idx="7">
                  <c:v>0.10675092380593286</c:v>
                </c:pt>
                <c:pt idx="8">
                  <c:v>0.12200105577820901</c:v>
                </c:pt>
                <c:pt idx="9">
                  <c:v>0.13725118775048509</c:v>
                </c:pt>
                <c:pt idx="10">
                  <c:v>0.15250131972276121</c:v>
                </c:pt>
                <c:pt idx="11">
                  <c:v>0.16775145169503736</c:v>
                </c:pt>
                <c:pt idx="12">
                  <c:v>0.18300158366731348</c:v>
                </c:pt>
                <c:pt idx="13">
                  <c:v>0.19719229060034524</c:v>
                </c:pt>
                <c:pt idx="14">
                  <c:v>0.20465122382992734</c:v>
                </c:pt>
                <c:pt idx="15">
                  <c:v>0.2118492374870713</c:v>
                </c:pt>
                <c:pt idx="16">
                  <c:v>0.21881203237980076</c:v>
                </c:pt>
                <c:pt idx="17">
                  <c:v>0.22556134819636856</c:v>
                </c:pt>
                <c:pt idx="18">
                  <c:v>0.2321157689176904</c:v>
                </c:pt>
                <c:pt idx="19">
                  <c:v>0.23849132916162982</c:v>
                </c:pt>
                <c:pt idx="20">
                  <c:v>0.24470197848344588</c:v>
                </c:pt>
                <c:pt idx="21">
                  <c:v>0.25075994230186055</c:v>
                </c:pt>
                <c:pt idx="22">
                  <c:v>0.25667600626243431</c:v>
                </c:pt>
                <c:pt idx="23">
                  <c:v>0.26245974299968622</c:v>
                </c:pt>
                <c:pt idx="24">
                  <c:v>0.26811969494751919</c:v>
                </c:pt>
                <c:pt idx="25">
                  <c:v>0.27366352318205223</c:v>
                </c:pt>
                <c:pt idx="26">
                  <c:v>0.27909812970640868</c:v>
                </c:pt>
                <c:pt idx="27">
                  <c:v>0.28442975874939008</c:v>
                </c:pt>
                <c:pt idx="28">
                  <c:v>0.28966408131895349</c:v>
                </c:pt>
                <c:pt idx="29">
                  <c:v>0.29480626627432355</c:v>
                </c:pt>
                <c:pt idx="30">
                  <c:v>0.29986104045436751</c:v>
                </c:pt>
                <c:pt idx="31">
                  <c:v>0.30483273985396037</c:v>
                </c:pt>
                <c:pt idx="32">
                  <c:v>0.30972535342533714</c:v>
                </c:pt>
                <c:pt idx="33">
                  <c:v>0.31454256076326748</c:v>
                </c:pt>
                <c:pt idx="34">
                  <c:v>0.31928776468656528</c:v>
                </c:pt>
                <c:pt idx="35">
                  <c:v>0.32396411953611909</c:v>
                </c:pt>
                <c:pt idx="36">
                  <c:v>0.3285745558582655</c:v>
                </c:pt>
                <c:pt idx="37">
                  <c:v>0.33312180202230324</c:v>
                </c:pt>
                <c:pt idx="38">
                  <c:v>0.33760840322511293</c:v>
                </c:pt>
                <c:pt idx="39">
                  <c:v>0.34203673825881892</c:v>
                </c:pt>
                <c:pt idx="40">
                  <c:v>0.34640903435513026</c:v>
                </c:pt>
                <c:pt idx="41">
                  <c:v>0.35072738036931744</c:v>
                </c:pt>
                <c:pt idx="42">
                  <c:v>0.35499373852531951</c:v>
                </c:pt>
                <c:pt idx="43">
                  <c:v>0.35920995490938235</c:v>
                </c:pt>
                <c:pt idx="44">
                  <c:v>0.36337776887144901</c:v>
                </c:pt>
                <c:pt idx="45">
                  <c:v>0.36749882147011975</c:v>
                </c:pt>
                <c:pt idx="46">
                  <c:v>0.37157466307748593</c:v>
                </c:pt>
                <c:pt idx="47">
                  <c:v>0.37560676024378092</c:v>
                </c:pt>
                <c:pt idx="48">
                  <c:v>0.37959650190804417</c:v>
                </c:pt>
                <c:pt idx="49">
                  <c:v>0.38354520502937123</c:v>
                </c:pt>
                <c:pt idx="50">
                  <c:v>0.38745411970347965</c:v>
                </c:pt>
                <c:pt idx="51">
                  <c:v>0.39132443382094456</c:v>
                </c:pt>
                <c:pt idx="52">
                  <c:v>0.3951572773163049</c:v>
                </c:pt>
                <c:pt idx="53">
                  <c:v>0.398953726051122</c:v>
                </c:pt>
                <c:pt idx="54">
                  <c:v>0.40271480536880816</c:v>
                </c:pt>
                <c:pt idx="55">
                  <c:v>0.40644149335451274</c:v>
                </c:pt>
                <c:pt idx="56">
                  <c:v>0.41013472382943472</c:v>
                </c:pt>
                <c:pt idx="57">
                  <c:v>0.41379538910553498</c:v>
                </c:pt>
                <c:pt idx="58">
                  <c:v>0.41742434252367439</c:v>
                </c:pt>
                <c:pt idx="59">
                  <c:v>0.42102240079562953</c:v>
                </c:pt>
                <c:pt idx="60">
                  <c:v>0.4245903461681993</c:v>
                </c:pt>
                <c:pt idx="61">
                  <c:v>0.4281289284256431</c:v>
                </c:pt>
                <c:pt idx="62">
                  <c:v>0.43163886674497409</c:v>
                </c:pt>
                <c:pt idx="63">
                  <c:v>0.43512085141710993</c:v>
                </c:pt>
                <c:pt idx="64">
                  <c:v>0.43857554544554711</c:v>
                </c:pt>
                <c:pt idx="65">
                  <c:v>0.4420035860330474</c:v>
                </c:pt>
                <c:pt idx="66">
                  <c:v>0.44540558596577712</c:v>
                </c:pt>
                <c:pt idx="67">
                  <c:v>0.44878213490341257</c:v>
                </c:pt>
                <c:pt idx="68">
                  <c:v>0.45213380058290681</c:v>
                </c:pt>
                <c:pt idx="69">
                  <c:v>0.45546112994287352</c:v>
                </c:pt>
                <c:pt idx="70">
                  <c:v>0.45876465017489593</c:v>
                </c:pt>
                <c:pt idx="71">
                  <c:v>0.4620448697074826</c:v>
                </c:pt>
                <c:pt idx="72">
                  <c:v>0.46530227912786903</c:v>
                </c:pt>
                <c:pt idx="73">
                  <c:v>0.46853735204639863</c:v>
                </c:pt>
                <c:pt idx="74">
                  <c:v>0.47175054590779519</c:v>
                </c:pt>
                <c:pt idx="75">
                  <c:v>0.47494230275325933</c:v>
                </c:pt>
                <c:pt idx="76">
                  <c:v>0.47811304993698756</c:v>
                </c:pt>
                <c:pt idx="77">
                  <c:v>0.48126320080039725</c:v>
                </c:pt>
                <c:pt idx="78">
                  <c:v>0.484393155307074</c:v>
                </c:pt>
                <c:pt idx="79">
                  <c:v>0.48658004721615344</c:v>
                </c:pt>
                <c:pt idx="80">
                  <c:v>0.48395571271194116</c:v>
                </c:pt>
                <c:pt idx="81">
                  <c:v>0.48137306924007395</c:v>
                </c:pt>
                <c:pt idx="82">
                  <c:v>0.47883659369329462</c:v>
                </c:pt>
                <c:pt idx="83">
                  <c:v>0.4763471695831421</c:v>
                </c:pt>
                <c:pt idx="84">
                  <c:v>0.47389638223285929</c:v>
                </c:pt>
                <c:pt idx="85">
                  <c:v>0.47216856721628098</c:v>
                </c:pt>
                <c:pt idx="86">
                  <c:v>0.47254062681213055</c:v>
                </c:pt>
                <c:pt idx="87">
                  <c:v>0.4729160492695863</c:v>
                </c:pt>
                <c:pt idx="88">
                  <c:v>0.47327752891722619</c:v>
                </c:pt>
                <c:pt idx="89">
                  <c:v>0.47363177334634132</c:v>
                </c:pt>
                <c:pt idx="90">
                  <c:v>0.47397900876657811</c:v>
                </c:pt>
                <c:pt idx="91">
                  <c:v>0.47431945205539261</c:v>
                </c:pt>
                <c:pt idx="92">
                  <c:v>0.47465331123438309</c:v>
                </c:pt>
                <c:pt idx="93">
                  <c:v>0.47498078591674053</c:v>
                </c:pt>
                <c:pt idx="94">
                  <c:v>0.47530206772784267</c:v>
                </c:pt>
                <c:pt idx="95">
                  <c:v>0.47561734070085088</c:v>
                </c:pt>
                <c:pt idx="96">
                  <c:v>0.47592678164902774</c:v>
                </c:pt>
                <c:pt idx="97">
                  <c:v>0.47623056051635704</c:v>
                </c:pt>
                <c:pt idx="98">
                  <c:v>0.47652884070792906</c:v>
                </c:pt>
                <c:pt idx="99">
                  <c:v>0.47682177940143744</c:v>
                </c:pt>
                <c:pt idx="100">
                  <c:v>0.47710952784103916</c:v>
                </c:pt>
              </c:numCache>
            </c:numRef>
          </c:val>
          <c:smooth val="0"/>
          <c:extLst>
            <c:ext xmlns:c16="http://schemas.microsoft.com/office/drawing/2014/chart" uri="{C3380CC4-5D6E-409C-BE32-E72D297353CC}">
              <c16:uniqueId val="{00000006-3709-4335-91FB-31DC56900586}"/>
            </c:ext>
          </c:extLst>
        </c:ser>
        <c:ser>
          <c:idx val="7"/>
          <c:order val="7"/>
          <c:spPr>
            <a:ln w="31750">
              <a:solidFill>
                <a:srgbClr val="00B050"/>
              </a:solidFill>
            </a:ln>
          </c:spPr>
          <c:marker>
            <c:symbol val="none"/>
          </c:marker>
          <c:val>
            <c:numRef>
              <c:f>'Calculations - Single'!$AW$110:$AW$210</c:f>
              <c:numCache>
                <c:formatCode>0.000</c:formatCode>
                <c:ptCount val="101"/>
                <c:pt idx="0">
                  <c:v>9.8947435881428618E-3</c:v>
                </c:pt>
                <c:pt idx="1">
                  <c:v>2.2490274603662784E-2</c:v>
                </c:pt>
                <c:pt idx="2">
                  <c:v>4.4980549207325568E-2</c:v>
                </c:pt>
                <c:pt idx="3">
                  <c:v>6.7470823810988345E-2</c:v>
                </c:pt>
                <c:pt idx="4">
                  <c:v>8.9961098414651136E-2</c:v>
                </c:pt>
                <c:pt idx="5">
                  <c:v>0.11245137301831389</c:v>
                </c:pt>
                <c:pt idx="6">
                  <c:v>0.13494164762197669</c:v>
                </c:pt>
                <c:pt idx="7">
                  <c:v>0.15743192222563945</c:v>
                </c:pt>
                <c:pt idx="8">
                  <c:v>0.17992219682930227</c:v>
                </c:pt>
                <c:pt idx="9">
                  <c:v>0.20241247143296501</c:v>
                </c:pt>
                <c:pt idx="10">
                  <c:v>0.22490274603662777</c:v>
                </c:pt>
                <c:pt idx="11">
                  <c:v>0.24739302064029056</c:v>
                </c:pt>
                <c:pt idx="12">
                  <c:v>0.26988329524395338</c:v>
                </c:pt>
                <c:pt idx="13">
                  <c:v>0.29081222947367219</c:v>
                </c:pt>
                <c:pt idx="14">
                  <c:v>0.30182076787554724</c:v>
                </c:pt>
                <c:pt idx="15">
                  <c:v>0.31244479709422091</c:v>
                </c:pt>
                <c:pt idx="16">
                  <c:v>0.32272219187434742</c:v>
                </c:pt>
                <c:pt idx="17">
                  <c:v>0.33268498953335851</c:v>
                </c:pt>
                <c:pt idx="18">
                  <c:v>0.34236057688318872</c:v>
                </c:pt>
                <c:pt idx="19">
                  <c:v>0.35177258378877979</c:v>
                </c:pt>
                <c:pt idx="20">
                  <c:v>0.36094156739910593</c:v>
                </c:pt>
                <c:pt idx="21">
                  <c:v>0.36988554403722207</c:v>
                </c:pt>
                <c:pt idx="22">
                  <c:v>0.37862040826125115</c:v>
                </c:pt>
                <c:pt idx="23">
                  <c:v>0.38716026703944406</c:v>
                </c:pt>
                <c:pt idx="24">
                  <c:v>0.39551770915442847</c:v>
                </c:pt>
                <c:pt idx="25">
                  <c:v>0.40370402455003906</c:v>
                </c:pt>
                <c:pt idx="26">
                  <c:v>0.41172938454004898</c:v>
                </c:pt>
                <c:pt idx="27">
                  <c:v>0.41960299109005306</c:v>
                </c:pt>
                <c:pt idx="28">
                  <c:v>0.42733320142227033</c:v>
                </c:pt>
                <c:pt idx="29">
                  <c:v>0.43492763275311008</c:v>
                </c:pt>
                <c:pt idx="30">
                  <c:v>0.44239325090316139</c:v>
                </c:pt>
                <c:pt idx="31">
                  <c:v>0.44973644571477539</c:v>
                </c:pt>
                <c:pt idx="32">
                  <c:v>0.45696309560123222</c:v>
                </c:pt>
                <c:pt idx="33">
                  <c:v>0.46407862308261616</c:v>
                </c:pt>
                <c:pt idx="34">
                  <c:v>0.47108804280051736</c:v>
                </c:pt>
                <c:pt idx="35">
                  <c:v>0.47799600322025509</c:v>
                </c:pt>
                <c:pt idx="36">
                  <c:v>0.48480682300625016</c:v>
                </c:pt>
                <c:pt idx="37">
                  <c:v>0.49152452287930321</c:v>
                </c:pt>
                <c:pt idx="38">
                  <c:v>0.49815285362330086</c:v>
                </c:pt>
                <c:pt idx="39">
                  <c:v>0.50469532079536306</c:v>
                </c:pt>
                <c:pt idx="40">
                  <c:v>0.51115520660162905</c:v>
                </c:pt>
                <c:pt idx="41">
                  <c:v>0.51753558932620114</c:v>
                </c:pt>
                <c:pt idx="42">
                  <c:v>0.52383936063965308</c:v>
                </c:pt>
                <c:pt idx="43">
                  <c:v>0.53006924106327502</c:v>
                </c:pt>
                <c:pt idx="44">
                  <c:v>0.53622779382369623</c:v>
                </c:pt>
                <c:pt idx="45">
                  <c:v>0.54231743729803461</c:v>
                </c:pt>
                <c:pt idx="46">
                  <c:v>0.54834045622097161</c:v>
                </c:pt>
                <c:pt idx="47">
                  <c:v>0.55429901180103291</c:v>
                </c:pt>
                <c:pt idx="48">
                  <c:v>0.56019515087310467</c:v>
                </c:pt>
                <c:pt idx="49">
                  <c:v>0.56603081419707735</c:v>
                </c:pt>
                <c:pt idx="50">
                  <c:v>0.57180784399801243</c:v>
                </c:pt>
                <c:pt idx="51">
                  <c:v>0.57752799083087614</c:v>
                </c:pt>
                <c:pt idx="52">
                  <c:v>0.57585551058841788</c:v>
                </c:pt>
                <c:pt idx="53">
                  <c:v>0.57114165576339782</c:v>
                </c:pt>
                <c:pt idx="54">
                  <c:v>0.56654958750458062</c:v>
                </c:pt>
                <c:pt idx="55">
                  <c:v>0.56206907572192899</c:v>
                </c:pt>
                <c:pt idx="56">
                  <c:v>0.56204452111467329</c:v>
                </c:pt>
                <c:pt idx="57">
                  <c:v>0.56272443297741637</c:v>
                </c:pt>
                <c:pt idx="58">
                  <c:v>0.56337023062324509</c:v>
                </c:pt>
                <c:pt idx="59">
                  <c:v>0.56399637907838851</c:v>
                </c:pt>
                <c:pt idx="60">
                  <c:v>0.56460380109419561</c:v>
                </c:pt>
                <c:pt idx="61">
                  <c:v>0.56519336253697328</c:v>
                </c:pt>
                <c:pt idx="62">
                  <c:v>0.56576587670495437</c:v>
                </c:pt>
                <c:pt idx="63">
                  <c:v>0.5663221082580101</c:v>
                </c:pt>
                <c:pt idx="64">
                  <c:v>0.56686277680003672</c:v>
                </c:pt>
                <c:pt idx="65">
                  <c:v>0.56738856014931471</c:v>
                </c:pt>
                <c:pt idx="66">
                  <c:v>0.56790009732809088</c:v>
                </c:pt>
                <c:pt idx="67">
                  <c:v>0.56839799129910984</c:v>
                </c:pt>
                <c:pt idx="68">
                  <c:v>0.56888281147374131</c:v>
                </c:pt>
                <c:pt idx="69">
                  <c:v>0.56935509601363254</c:v>
                </c:pt>
                <c:pt idx="70">
                  <c:v>0.56981535394545269</c:v>
                </c:pt>
                <c:pt idx="71">
                  <c:v>0.57026406710619859</c:v>
                </c:pt>
                <c:pt idx="72">
                  <c:v>0.57070169193469189</c:v>
                </c:pt>
                <c:pt idx="73">
                  <c:v>0.57112866112326943</c:v>
                </c:pt>
                <c:pt idx="74">
                  <c:v>0.57154538514223641</c:v>
                </c:pt>
                <c:pt idx="75">
                  <c:v>0.57195225364836788</c:v>
                </c:pt>
                <c:pt idx="76">
                  <c:v>0.5723496367876213</c:v>
                </c:pt>
                <c:pt idx="77">
                  <c:v>0.57273788640121592</c:v>
                </c:pt>
                <c:pt idx="78">
                  <c:v>0.57311733714333901</c:v>
                </c:pt>
                <c:pt idx="79">
                  <c:v>0.573488307517941</c:v>
                </c:pt>
                <c:pt idx="80">
                  <c:v>0.57385110084137358</c:v>
                </c:pt>
                <c:pt idx="81">
                  <c:v>0.5742060061369858</c:v>
                </c:pt>
                <c:pt idx="82">
                  <c:v>0.57455329896722118</c:v>
                </c:pt>
                <c:pt idx="83">
                  <c:v>0.57489324220825511</c:v>
                </c:pt>
                <c:pt idx="84">
                  <c:v>0.57522608677174625</c:v>
                </c:pt>
                <c:pt idx="85">
                  <c:v>0.57555207227786709</c:v>
                </c:pt>
                <c:pt idx="86">
                  <c:v>0.57587142768341026</c:v>
                </c:pt>
                <c:pt idx="87">
                  <c:v>0.57618437186842753</c:v>
                </c:pt>
                <c:pt idx="88">
                  <c:v>0.57649111418456289</c:v>
                </c:pt>
                <c:pt idx="89">
                  <c:v>0.57679185496796415</c:v>
                </c:pt>
                <c:pt idx="90">
                  <c:v>0.57708678601941832</c:v>
                </c:pt>
                <c:pt idx="91">
                  <c:v>0.57737609105412302</c:v>
                </c:pt>
                <c:pt idx="92">
                  <c:v>0.57765994612331495</c:v>
                </c:pt>
                <c:pt idx="93">
                  <c:v>0.57793852000978796</c:v>
                </c:pt>
                <c:pt idx="94">
                  <c:v>0.57821197459916551</c:v>
                </c:pt>
                <c:pt idx="95">
                  <c:v>0.57848046522864816</c:v>
                </c:pt>
                <c:pt idx="96">
                  <c:v>0.57874414101480987</c:v>
                </c:pt>
                <c:pt idx="97">
                  <c:v>0.57900314516190032</c:v>
                </c:pt>
                <c:pt idx="98">
                  <c:v>0.57925761525199082</c:v>
                </c:pt>
                <c:pt idx="99">
                  <c:v>0.57950768351820048</c:v>
                </c:pt>
                <c:pt idx="100">
                  <c:v>0.57975347710214153</c:v>
                </c:pt>
              </c:numCache>
            </c:numRef>
          </c:val>
          <c:smooth val="0"/>
          <c:extLst>
            <c:ext xmlns:c16="http://schemas.microsoft.com/office/drawing/2014/chart" uri="{C3380CC4-5D6E-409C-BE32-E72D297353CC}">
              <c16:uniqueId val="{00000007-3709-4335-91FB-31DC56900586}"/>
            </c:ext>
          </c:extLst>
        </c:ser>
        <c:ser>
          <c:idx val="8"/>
          <c:order val="8"/>
          <c:spPr>
            <a:ln w="31750">
              <a:solidFill>
                <a:srgbClr val="0000FF"/>
              </a:solidFill>
            </a:ln>
          </c:spPr>
          <c:marker>
            <c:symbol val="none"/>
          </c:marker>
          <c:val>
            <c:numRef>
              <c:f>'Calculations - Single'!$AW$216:$AW$316</c:f>
              <c:numCache>
                <c:formatCode>0.000</c:formatCode>
                <c:ptCount val="101"/>
                <c:pt idx="0">
                  <c:v>4.7000015220741891E-3</c:v>
                </c:pt>
                <c:pt idx="1">
                  <c:v>1.0670165815552546E-2</c:v>
                </c:pt>
                <c:pt idx="2">
                  <c:v>2.1340331631105092E-2</c:v>
                </c:pt>
                <c:pt idx="3">
                  <c:v>3.2010497446657633E-2</c:v>
                </c:pt>
                <c:pt idx="4">
                  <c:v>4.2680663262210185E-2</c:v>
                </c:pt>
                <c:pt idx="5">
                  <c:v>5.3350829077762715E-2</c:v>
                </c:pt>
                <c:pt idx="6">
                  <c:v>6.4020994893315267E-2</c:v>
                </c:pt>
                <c:pt idx="7">
                  <c:v>7.4691160708867818E-2</c:v>
                </c:pt>
                <c:pt idx="8">
                  <c:v>8.5361326524420369E-2</c:v>
                </c:pt>
                <c:pt idx="9">
                  <c:v>9.6031492339972893E-2</c:v>
                </c:pt>
                <c:pt idx="10">
                  <c:v>0.10670165815552543</c:v>
                </c:pt>
                <c:pt idx="11">
                  <c:v>0.11737182397107798</c:v>
                </c:pt>
                <c:pt idx="12">
                  <c:v>0.12804198978663053</c:v>
                </c:pt>
                <c:pt idx="13">
                  <c:v>0.13797058322004191</c:v>
                </c:pt>
                <c:pt idx="14">
                  <c:v>0.14318690394136252</c:v>
                </c:pt>
                <c:pt idx="15">
                  <c:v>0.14822058012852854</c:v>
                </c:pt>
                <c:pt idx="16">
                  <c:v>0.1530896023752899</c:v>
                </c:pt>
                <c:pt idx="17">
                  <c:v>0.15780918848887152</c:v>
                </c:pt>
                <c:pt idx="18">
                  <c:v>0.16239234727907909</c:v>
                </c:pt>
                <c:pt idx="19">
                  <c:v>0.16685030299962067</c:v>
                </c:pt>
                <c:pt idx="20">
                  <c:v>0.17119282035868233</c:v>
                </c:pt>
                <c:pt idx="21">
                  <c:v>0.17542845716739053</c:v>
                </c:pt>
                <c:pt idx="22">
                  <c:v>0.17956476339435462</c:v>
                </c:pt>
                <c:pt idx="23">
                  <c:v>0.18360843989930045</c:v>
                </c:pt>
                <c:pt idx="24">
                  <c:v>0.18756546640049532</c:v>
                </c:pt>
                <c:pt idx="25">
                  <c:v>0.19144120566483913</c:v>
                </c:pt>
                <c:pt idx="26">
                  <c:v>0.19524048910730879</c:v>
                </c:pt>
                <c:pt idx="27">
                  <c:v>0.19896768770010997</c:v>
                </c:pt>
                <c:pt idx="28">
                  <c:v>0.2026267711601816</c:v>
                </c:pt>
                <c:pt idx="29">
                  <c:v>0.20622135769973465</c:v>
                </c:pt>
                <c:pt idx="30">
                  <c:v>0.20975475611616881</c:v>
                </c:pt>
                <c:pt idx="31">
                  <c:v>0.21323000161557479</c:v>
                </c:pt>
                <c:pt idx="32">
                  <c:v>0.21664988647372274</c:v>
                </c:pt>
                <c:pt idx="33">
                  <c:v>0.22001698641572218</c:v>
                </c:pt>
                <c:pt idx="34">
                  <c:v>0.22333368342311152</c:v>
                </c:pt>
                <c:pt idx="35">
                  <c:v>0.22660218554250935</c:v>
                </c:pt>
                <c:pt idx="36">
                  <c:v>0.22982454416400258</c:v>
                </c:pt>
                <c:pt idx="37">
                  <c:v>0.23300266915343038</c:v>
                </c:pt>
                <c:pt idx="38">
                  <c:v>0.23613834215563989</c:v>
                </c:pt>
                <c:pt idx="39">
                  <c:v>0.2392332283318695</c:v>
                </c:pt>
                <c:pt idx="40">
                  <c:v>0.24228888675080537</c:v>
                </c:pt>
                <c:pt idx="41">
                  <c:v>0.24530677961738168</c:v>
                </c:pt>
                <c:pt idx="42">
                  <c:v>0.24828828049437074</c:v>
                </c:pt>
                <c:pt idx="43">
                  <c:v>0.25123468164794333</c:v>
                </c:pt>
                <c:pt idx="44">
                  <c:v>0.2541472006286547</c:v>
                </c:pt>
                <c:pt idx="45">
                  <c:v>0.25702698618292841</c:v>
                </c:pt>
                <c:pt idx="46">
                  <c:v>0.25987512357645054</c:v>
                </c:pt>
                <c:pt idx="47">
                  <c:v>0.26269263939943527</c:v>
                </c:pt>
                <c:pt idx="48">
                  <c:v>0.265480505914099</c:v>
                </c:pt>
                <c:pt idx="49">
                  <c:v>0.26823964499654362</c:v>
                </c:pt>
                <c:pt idx="50">
                  <c:v>0.27097093171836106</c:v>
                </c:pt>
                <c:pt idx="51">
                  <c:v>0.27367519760740461</c:v>
                </c:pt>
                <c:pt idx="52">
                  <c:v>0.27635323362217107</c:v>
                </c:pt>
                <c:pt idx="53">
                  <c:v>0.27900579286994759</c:v>
                </c:pt>
                <c:pt idx="54">
                  <c:v>0.28163359309519753</c:v>
                </c:pt>
                <c:pt idx="55">
                  <c:v>0.28423731896148663</c:v>
                </c:pt>
                <c:pt idx="56">
                  <c:v>0.28681762414750678</c:v>
                </c:pt>
                <c:pt idx="57">
                  <c:v>0.28937513327537945</c:v>
                </c:pt>
                <c:pt idx="58">
                  <c:v>0.29191044368735702</c:v>
                </c:pt>
                <c:pt idx="59">
                  <c:v>0.29442412708523813</c:v>
                </c:pt>
                <c:pt idx="60">
                  <c:v>0.29691673104524607</c:v>
                </c:pt>
                <c:pt idx="61">
                  <c:v>0.29938878041973982</c:v>
                </c:pt>
                <c:pt idx="62">
                  <c:v>0.30184077863592218</c:v>
                </c:pt>
                <c:pt idx="63">
                  <c:v>0.30427320890064946</c:v>
                </c:pt>
                <c:pt idx="64">
                  <c:v>0.30668653531950596</c:v>
                </c:pt>
                <c:pt idx="65">
                  <c:v>0.30908120393748811</c:v>
                </c:pt>
                <c:pt idx="66">
                  <c:v>0.31145764370790452</c:v>
                </c:pt>
                <c:pt idx="67">
                  <c:v>0.31381626739545243</c:v>
                </c:pt>
                <c:pt idx="68">
                  <c:v>0.316157472418857</c:v>
                </c:pt>
                <c:pt idx="69">
                  <c:v>0.31848164163794285</c:v>
                </c:pt>
                <c:pt idx="70">
                  <c:v>0.32078914408955195</c:v>
                </c:pt>
                <c:pt idx="71">
                  <c:v>0.32308033567631533</c:v>
                </c:pt>
                <c:pt idx="72">
                  <c:v>0.32535555981191638</c:v>
                </c:pt>
                <c:pt idx="73">
                  <c:v>0.32761514802615893</c:v>
                </c:pt>
                <c:pt idx="74">
                  <c:v>0.32985942053286021</c:v>
                </c:pt>
                <c:pt idx="75">
                  <c:v>0.3320886867633206</c:v>
                </c:pt>
                <c:pt idx="76">
                  <c:v>0.33430324586788768</c:v>
                </c:pt>
                <c:pt idx="77">
                  <c:v>0.33650338718791645</c:v>
                </c:pt>
                <c:pt idx="78">
                  <c:v>0.3386893907002328</c:v>
                </c:pt>
                <c:pt idx="79">
                  <c:v>0.34086152743603521</c:v>
                </c:pt>
                <c:pt idx="80">
                  <c:v>0.34302005987600531</c:v>
                </c:pt>
                <c:pt idx="81">
                  <c:v>0.34516524232326251</c:v>
                </c:pt>
                <c:pt idx="82">
                  <c:v>0.3472973212556591</c:v>
                </c:pt>
                <c:pt idx="83">
                  <c:v>0.34941653565879904</c:v>
                </c:pt>
                <c:pt idx="84">
                  <c:v>0.35152311734105429</c:v>
                </c:pt>
                <c:pt idx="85">
                  <c:v>0.35361729123175306</c:v>
                </c:pt>
                <c:pt idx="86">
                  <c:v>0.35569927566362675</c:v>
                </c:pt>
                <c:pt idx="87">
                  <c:v>0.35776928264051944</c:v>
                </c:pt>
                <c:pt idx="88">
                  <c:v>0.35982751809128799</c:v>
                </c:pt>
                <c:pt idx="89">
                  <c:v>0.36187418211075423</c:v>
                </c:pt>
                <c:pt idx="90">
                  <c:v>0.36390946918850819</c:v>
                </c:pt>
                <c:pt idx="91">
                  <c:v>0.36593356842630098</c:v>
                </c:pt>
                <c:pt idx="92">
                  <c:v>0.36794666374471602</c:v>
                </c:pt>
                <c:pt idx="93">
                  <c:v>0.36994893407975821</c:v>
                </c:pt>
                <c:pt idx="94">
                  <c:v>0.37194055356995537</c:v>
                </c:pt>
                <c:pt idx="95">
                  <c:v>0.37392169173452577</c:v>
                </c:pt>
                <c:pt idx="96">
                  <c:v>0.37589251364312759</c:v>
                </c:pt>
                <c:pt idx="97">
                  <c:v>0.3778531800776711</c:v>
                </c:pt>
                <c:pt idx="98">
                  <c:v>0.37980384768664366</c:v>
                </c:pt>
                <c:pt idx="99">
                  <c:v>0.38174466913236499</c:v>
                </c:pt>
                <c:pt idx="100">
                  <c:v>0.38367579323156575</c:v>
                </c:pt>
              </c:numCache>
            </c:numRef>
          </c:val>
          <c:smooth val="0"/>
          <c:extLst>
            <c:ext xmlns:c16="http://schemas.microsoft.com/office/drawing/2014/chart" uri="{C3380CC4-5D6E-409C-BE32-E72D297353CC}">
              <c16:uniqueId val="{00000008-3709-4335-91FB-31DC56900586}"/>
            </c:ext>
          </c:extLst>
        </c:ser>
        <c:dLbls>
          <c:showLegendKey val="0"/>
          <c:showVal val="0"/>
          <c:showCatName val="0"/>
          <c:showSerName val="0"/>
          <c:showPercent val="0"/>
          <c:showBubbleSize val="0"/>
        </c:dLbls>
        <c:marker val="1"/>
        <c:smooth val="0"/>
        <c:axId val="449032960"/>
        <c:axId val="449022592"/>
      </c:lineChart>
      <c:catAx>
        <c:axId val="449006208"/>
        <c:scaling>
          <c:orientation val="minMax"/>
        </c:scaling>
        <c:delete val="0"/>
        <c:axPos val="b"/>
        <c:majorGridlines>
          <c:spPr>
            <a:ln w="15875">
              <a:solidFill>
                <a:srgbClr val="969696"/>
              </a:solidFill>
              <a:prstDash val="sysDash"/>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400">
                    <a:solidFill>
                      <a:schemeClr val="tx1"/>
                    </a:solidFill>
                    <a:latin typeface="Arial" pitchFamily="34" charset="0"/>
                    <a:cs typeface="Arial" pitchFamily="34" charset="0"/>
                  </a:rPr>
                  <a:t>Load Current (mA)</a:t>
                </a:r>
              </a:p>
            </c:rich>
          </c:tx>
          <c:layout>
            <c:manualLayout>
              <c:xMode val="edge"/>
              <c:yMode val="edge"/>
              <c:x val="0.4112305719849535"/>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020672"/>
        <c:crosses val="autoZero"/>
        <c:auto val="1"/>
        <c:lblAlgn val="ctr"/>
        <c:lblOffset val="100"/>
        <c:tickLblSkip val="20"/>
        <c:tickMarkSkip val="10"/>
        <c:noMultiLvlLbl val="0"/>
      </c:catAx>
      <c:valAx>
        <c:axId val="449020672"/>
        <c:scaling>
          <c:orientation val="minMax"/>
          <c:max val="400"/>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400" b="1">
                    <a:solidFill>
                      <a:schemeClr val="tx1"/>
                    </a:solidFill>
                    <a:latin typeface="Arial" pitchFamily="34" charset="0"/>
                    <a:cs typeface="Arial" pitchFamily="34" charset="0"/>
                  </a:rPr>
                  <a:t>Switching</a:t>
                </a:r>
                <a:r>
                  <a:rPr lang="en-US" sz="1400" b="1" baseline="0">
                    <a:solidFill>
                      <a:schemeClr val="tx1"/>
                    </a:solidFill>
                    <a:latin typeface="Arial" pitchFamily="34" charset="0"/>
                    <a:cs typeface="Arial" pitchFamily="34" charset="0"/>
                  </a:rPr>
                  <a:t> Frquency (kHz)</a:t>
                </a:r>
                <a:endParaRPr lang="en-US" sz="1400" b="1">
                  <a:solidFill>
                    <a:schemeClr val="tx1"/>
                  </a:solidFill>
                  <a:latin typeface="Arial" pitchFamily="34" charset="0"/>
                  <a:cs typeface="Arial" pitchFamily="34" charset="0"/>
                </a:endParaRPr>
              </a:p>
            </c:rich>
          </c:tx>
          <c:layout>
            <c:manualLayout>
              <c:xMode val="edge"/>
              <c:yMode val="edge"/>
              <c:x val="8.5568268367748525E-3"/>
              <c:y val="0.30050661099568304"/>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006208"/>
        <c:crossesAt val="0"/>
        <c:crossBetween val="between"/>
        <c:majorUnit val="50"/>
        <c:minorUnit val="25"/>
      </c:valAx>
      <c:valAx>
        <c:axId val="449022592"/>
        <c:scaling>
          <c:orientation val="minMax"/>
          <c:min val="0"/>
        </c:scaling>
        <c:delete val="0"/>
        <c:axPos val="r"/>
        <c:title>
          <c:tx>
            <c:rich>
              <a:bodyPr rot="-5400000" vert="horz"/>
              <a:lstStyle/>
              <a:p>
                <a:pPr>
                  <a:defRPr lang="ja-JP" sz="1400" b="1"/>
                </a:pPr>
                <a:r>
                  <a:rPr lang="en-US" sz="1400" b="1"/>
                  <a:t>Duty Cycle</a:t>
                </a:r>
              </a:p>
            </c:rich>
          </c:tx>
          <c:layout>
            <c:manualLayout>
              <c:xMode val="edge"/>
              <c:yMode val="edge"/>
              <c:x val="0.96323100741439582"/>
              <c:y val="0.41073169332818471"/>
            </c:manualLayout>
          </c:layout>
          <c:overlay val="0"/>
        </c:title>
        <c:numFmt formatCode="General" sourceLinked="0"/>
        <c:majorTickMark val="in"/>
        <c:minorTickMark val="in"/>
        <c:tickLblPos val="nextTo"/>
        <c:txPr>
          <a:bodyPr/>
          <a:lstStyle/>
          <a:p>
            <a:pPr>
              <a:defRPr lang="ja-JP" sz="1200" b="1"/>
            </a:pPr>
            <a:endParaRPr lang="en-US"/>
          </a:p>
        </c:txPr>
        <c:crossAx val="449032960"/>
        <c:crosses val="max"/>
        <c:crossBetween val="between"/>
        <c:majorUnit val="0.1"/>
        <c:minorUnit val="2.0000000000000004E-2"/>
      </c:valAx>
      <c:catAx>
        <c:axId val="449032960"/>
        <c:scaling>
          <c:orientation val="minMax"/>
        </c:scaling>
        <c:delete val="1"/>
        <c:axPos val="b"/>
        <c:majorTickMark val="out"/>
        <c:minorTickMark val="none"/>
        <c:tickLblPos val="nextTo"/>
        <c:crossAx val="449022592"/>
        <c:crosses val="autoZero"/>
        <c:auto val="1"/>
        <c:lblAlgn val="ctr"/>
        <c:lblOffset val="100"/>
        <c:noMultiLvlLbl val="0"/>
      </c:catAx>
      <c:spPr>
        <a:solidFill>
          <a:srgbClr val="FFFFFF"/>
        </a:solidFill>
        <a:ln w="25400">
          <a:noFill/>
        </a:ln>
      </c:spPr>
    </c:plotArea>
    <c:legend>
      <c:legendPos val="t"/>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ayout>
        <c:manualLayout>
          <c:xMode val="edge"/>
          <c:yMode val="edge"/>
          <c:x val="0.21364188347424315"/>
          <c:y val="3.4655227110648466E-2"/>
          <c:w val="0.56362386153343735"/>
          <c:h val="5.4335766847817754E-2"/>
        </c:manualLayout>
      </c:layout>
      <c:overlay val="0"/>
      <c:spPr>
        <a:solidFill>
          <a:srgbClr val="FFFFFF"/>
        </a:solidFill>
        <a:ln w="25400">
          <a:noFill/>
        </a:ln>
      </c:spPr>
      <c:txPr>
        <a:bodyPr/>
        <a:lstStyle/>
        <a:p>
          <a:pPr>
            <a:defRPr lang="ja-JP" sz="1400" b="1"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Single'!$AJ$110:$AJ$210</c:f>
              <c:numCache>
                <c:formatCode>0.000</c:formatCode>
                <c:ptCount val="101"/>
                <c:pt idx="0">
                  <c:v>3.3333333333333335</c:v>
                </c:pt>
                <c:pt idx="1">
                  <c:v>3.3333333333333335</c:v>
                </c:pt>
                <c:pt idx="2">
                  <c:v>3.3333333333333335</c:v>
                </c:pt>
                <c:pt idx="3">
                  <c:v>3.3333333333333335</c:v>
                </c:pt>
                <c:pt idx="4">
                  <c:v>3.3333333333333335</c:v>
                </c:pt>
                <c:pt idx="5">
                  <c:v>3.3333333333333335</c:v>
                </c:pt>
                <c:pt idx="6">
                  <c:v>3.3333333333333335</c:v>
                </c:pt>
                <c:pt idx="7">
                  <c:v>3.3333333333333335</c:v>
                </c:pt>
                <c:pt idx="8">
                  <c:v>3.3333333333333335</c:v>
                </c:pt>
                <c:pt idx="9">
                  <c:v>3.3333333333333335</c:v>
                </c:pt>
                <c:pt idx="10">
                  <c:v>3.3333333333333335</c:v>
                </c:pt>
                <c:pt idx="11">
                  <c:v>3.3333333333333335</c:v>
                </c:pt>
                <c:pt idx="12">
                  <c:v>3.3333333333333335</c:v>
                </c:pt>
                <c:pt idx="13">
                  <c:v>3.3512810564026738</c:v>
                </c:pt>
                <c:pt idx="14">
                  <c:v>3.4778424817182247</c:v>
                </c:pt>
                <c:pt idx="15">
                  <c:v>3.599962679393391</c:v>
                </c:pt>
                <c:pt idx="16">
                  <c:v>3.7180791114584606</c:v>
                </c:pt>
                <c:pt idx="17">
                  <c:v>3.8325618164883295</c:v>
                </c:pt>
                <c:pt idx="18">
                  <c:v>3.9437271187712986</c:v>
                </c:pt>
                <c:pt idx="19">
                  <c:v>4.0518479490796731</c:v>
                </c:pt>
                <c:pt idx="20">
                  <c:v>4.1571617476697851</c:v>
                </c:pt>
                <c:pt idx="21">
                  <c:v>4.2598766077156682</c:v>
                </c:pt>
                <c:pt idx="22">
                  <c:v>4.3601761155460643</c:v>
                </c:pt>
                <c:pt idx="23">
                  <c:v>4.4582232104330322</c:v>
                </c:pt>
                <c:pt idx="24">
                  <c:v>4.5541632962653873</c:v>
                </c:pt>
                <c:pt idx="25">
                  <c:v>4.64812677504937</c:v>
                </c:pt>
                <c:pt idx="26">
                  <c:v>4.7402311283567053</c:v>
                </c:pt>
                <c:pt idx="27">
                  <c:v>4.8305826415615245</c:v>
                </c:pt>
                <c:pt idx="28">
                  <c:v>4.9192778430521491</c:v>
                </c:pt>
                <c:pt idx="29">
                  <c:v>5.0064047139723336</c:v>
                </c:pt>
                <c:pt idx="30">
                  <c:v>5.0920437116857755</c:v>
                </c:pt>
                <c:pt idx="31">
                  <c:v>5.1762686408656338</c:v>
                </c:pt>
                <c:pt idx="32">
                  <c:v>5.2591473990516491</c:v>
                </c:pt>
                <c:pt idx="33">
                  <c:v>5.3407426181018707</c:v>
                </c:pt>
                <c:pt idx="34">
                  <c:v>5.4211122187732723</c:v>
                </c:pt>
                <c:pt idx="35">
                  <c:v>5.5003098923919147</c:v>
                </c:pt>
                <c:pt idx="36">
                  <c:v>5.5783855209968651</c:v>
                </c:pt>
                <c:pt idx="37">
                  <c:v>5.6553855452991488</c:v>
                </c:pt>
                <c:pt idx="38">
                  <c:v>5.7313532881657752</c:v>
                </c:pt>
                <c:pt idx="39">
                  <c:v>5.8063292400277886</c:v>
                </c:pt>
                <c:pt idx="40">
                  <c:v>5.8803513115508368</c:v>
                </c:pt>
                <c:pt idx="41">
                  <c:v>5.9534550580441472</c:v>
                </c:pt>
                <c:pt idx="42">
                  <c:v>6.0256738793780311</c:v>
                </c:pt>
                <c:pt idx="43">
                  <c:v>6.0970391985997177</c:v>
                </c:pt>
                <c:pt idx="44">
                  <c:v>6.1675806219576819</c:v>
                </c:pt>
                <c:pt idx="45">
                  <c:v>6.237326082646252</c:v>
                </c:pt>
                <c:pt idx="46">
                  <c:v>6.306301970250149</c:v>
                </c:pt>
                <c:pt idx="47">
                  <c:v>6.3745332475901266</c:v>
                </c:pt>
                <c:pt idx="48">
                  <c:v>6.442043556436885</c:v>
                </c:pt>
                <c:pt idx="49">
                  <c:v>6.5088553133625631</c:v>
                </c:pt>
                <c:pt idx="50">
                  <c:v>6.5749897968316526</c:v>
                </c:pt>
                <c:pt idx="51">
                  <c:v>6.6404672264904816</c:v>
                </c:pt>
                <c:pt idx="52">
                  <c:v>6.7053068354927934</c:v>
                </c:pt>
                <c:pt idx="53">
                  <c:v>6.7695269365946835</c:v>
                </c:pt>
                <c:pt idx="54">
                  <c:v>6.8332453188332787</c:v>
                </c:pt>
                <c:pt idx="55">
                  <c:v>6.8964184115905462</c:v>
                </c:pt>
                <c:pt idx="56">
                  <c:v>7.0133339405486215</c:v>
                </c:pt>
                <c:pt idx="57">
                  <c:v>7.139271525402652</c:v>
                </c:pt>
                <c:pt idx="58">
                  <c:v>7.2650295520881869</c:v>
                </c:pt>
                <c:pt idx="59">
                  <c:v>7.3908051991968664</c:v>
                </c:pt>
                <c:pt idx="60">
                  <c:v>7.5165984712064544</c:v>
                </c:pt>
                <c:pt idx="61">
                  <c:v>7.6424093726002127</c:v>
                </c:pt>
                <c:pt idx="62">
                  <c:v>7.7682379078665793</c:v>
                </c:pt>
                <c:pt idx="63">
                  <c:v>7.8940840814988391</c:v>
                </c:pt>
                <c:pt idx="64">
                  <c:v>8.0199478979948911</c:v>
                </c:pt>
                <c:pt idx="65">
                  <c:v>8.1458293618569879</c:v>
                </c:pt>
                <c:pt idx="66">
                  <c:v>8.2717284775915179</c:v>
                </c:pt>
                <c:pt idx="67">
                  <c:v>8.3976452497088108</c:v>
                </c:pt>
                <c:pt idx="68">
                  <c:v>8.5235796827229464</c:v>
                </c:pt>
                <c:pt idx="69">
                  <c:v>8.6495317811516106</c:v>
                </c:pt>
                <c:pt idx="70">
                  <c:v>8.775501549515921</c:v>
                </c:pt>
                <c:pt idx="71">
                  <c:v>8.90148899234031</c:v>
                </c:pt>
                <c:pt idx="72">
                  <c:v>9.0274941141523861</c:v>
                </c:pt>
                <c:pt idx="73">
                  <c:v>9.1535169194828345</c:v>
                </c:pt>
                <c:pt idx="74">
                  <c:v>9.2795574128652998</c:v>
                </c:pt>
                <c:pt idx="75">
                  <c:v>9.4056155988362882</c:v>
                </c:pt>
                <c:pt idx="76">
                  <c:v>9.5316914819350984</c:v>
                </c:pt>
                <c:pt idx="77">
                  <c:v>9.6577850667037257</c:v>
                </c:pt>
                <c:pt idx="78">
                  <c:v>9.7838963576867837</c:v>
                </c:pt>
                <c:pt idx="79">
                  <c:v>9.9100253594314491</c:v>
                </c:pt>
                <c:pt idx="80">
                  <c:v>10.036172076487389</c:v>
                </c:pt>
                <c:pt idx="81">
                  <c:v>10.16233651340672</c:v>
                </c:pt>
                <c:pt idx="82">
                  <c:v>10.288518674743909</c:v>
                </c:pt>
                <c:pt idx="83">
                  <c:v>10.414718565055795</c:v>
                </c:pt>
                <c:pt idx="84">
                  <c:v>10.540936188901476</c:v>
                </c:pt>
                <c:pt idx="85">
                  <c:v>10.667171550842298</c:v>
                </c:pt>
                <c:pt idx="86">
                  <c:v>10.793424655441823</c:v>
                </c:pt>
                <c:pt idx="87">
                  <c:v>10.919695507265772</c:v>
                </c:pt>
                <c:pt idx="88">
                  <c:v>11.045984110881999</c:v>
                </c:pt>
                <c:pt idx="89">
                  <c:v>11.17229047086046</c:v>
                </c:pt>
                <c:pt idx="90">
                  <c:v>11.298614591773186</c:v>
                </c:pt>
                <c:pt idx="91">
                  <c:v>11.424956478194254</c:v>
                </c:pt>
                <c:pt idx="92">
                  <c:v>11.551316134699762</c:v>
                </c:pt>
                <c:pt idx="93">
                  <c:v>11.677693565867797</c:v>
                </c:pt>
                <c:pt idx="94">
                  <c:v>11.804088776278423</c:v>
                </c:pt>
                <c:pt idx="95">
                  <c:v>11.930501770513674</c:v>
                </c:pt>
                <c:pt idx="96">
                  <c:v>12.056932553157486</c:v>
                </c:pt>
                <c:pt idx="97">
                  <c:v>12.183381128795736</c:v>
                </c:pt>
                <c:pt idx="98">
                  <c:v>12.309847502016192</c:v>
                </c:pt>
                <c:pt idx="99">
                  <c:v>12.4363316774085</c:v>
                </c:pt>
                <c:pt idx="100">
                  <c:v>12.562833659564191</c:v>
                </c:pt>
              </c:numCache>
            </c:numRef>
          </c:val>
          <c:smooth val="0"/>
          <c:extLst>
            <c:ext xmlns:c16="http://schemas.microsoft.com/office/drawing/2014/chart" uri="{C3380CC4-5D6E-409C-BE32-E72D297353CC}">
              <c16:uniqueId val="{00000000-447A-452D-BA63-8F5F5DADC23C}"/>
            </c:ext>
          </c:extLst>
        </c:ser>
        <c:ser>
          <c:idx val="0"/>
          <c:order val="1"/>
          <c:tx>
            <c:v>VIN-nom</c:v>
          </c:tx>
          <c:spPr>
            <a:ln w="28575">
              <a:solidFill>
                <a:srgbClr val="0000FF"/>
              </a:solidFill>
              <a:prstDash val="lgDash"/>
            </a:ln>
          </c:spPr>
          <c:marker>
            <c:symbol val="none"/>
          </c:marker>
          <c:cat>
            <c:numRef>
              <c:f>'Calculations - Single'!$AM$5:$AM$105</c:f>
              <c:numCache>
                <c:formatCode>0</c:formatCode>
                <c:ptCount val="101"/>
                <c:pt idx="0">
                  <c:v>1.0000000000000002E-6</c:v>
                </c:pt>
                <c:pt idx="1">
                  <c:v>25</c:v>
                </c:pt>
                <c:pt idx="2">
                  <c:v>50</c:v>
                </c:pt>
                <c:pt idx="3">
                  <c:v>75</c:v>
                </c:pt>
                <c:pt idx="4">
                  <c:v>100</c:v>
                </c:pt>
                <c:pt idx="5">
                  <c:v>125</c:v>
                </c:pt>
                <c:pt idx="6">
                  <c:v>150</c:v>
                </c:pt>
                <c:pt idx="7">
                  <c:v>175.00000000000003</c:v>
                </c:pt>
                <c:pt idx="8">
                  <c:v>200</c:v>
                </c:pt>
                <c:pt idx="9">
                  <c:v>224.99999999999997</c:v>
                </c:pt>
                <c:pt idx="10">
                  <c:v>250</c:v>
                </c:pt>
                <c:pt idx="11">
                  <c:v>275</c:v>
                </c:pt>
                <c:pt idx="12">
                  <c:v>300</c:v>
                </c:pt>
                <c:pt idx="13">
                  <c:v>325</c:v>
                </c:pt>
                <c:pt idx="14">
                  <c:v>350.00000000000006</c:v>
                </c:pt>
                <c:pt idx="15">
                  <c:v>375</c:v>
                </c:pt>
                <c:pt idx="16">
                  <c:v>400</c:v>
                </c:pt>
                <c:pt idx="17">
                  <c:v>425.00000000000006</c:v>
                </c:pt>
                <c:pt idx="18">
                  <c:v>449.99999999999994</c:v>
                </c:pt>
                <c:pt idx="19">
                  <c:v>475</c:v>
                </c:pt>
                <c:pt idx="20">
                  <c:v>500</c:v>
                </c:pt>
                <c:pt idx="21">
                  <c:v>525</c:v>
                </c:pt>
                <c:pt idx="22">
                  <c:v>550</c:v>
                </c:pt>
                <c:pt idx="23">
                  <c:v>575.00000000000011</c:v>
                </c:pt>
                <c:pt idx="24">
                  <c:v>600</c:v>
                </c:pt>
                <c:pt idx="25">
                  <c:v>625</c:v>
                </c:pt>
                <c:pt idx="26">
                  <c:v>650</c:v>
                </c:pt>
                <c:pt idx="27">
                  <c:v>675</c:v>
                </c:pt>
                <c:pt idx="28">
                  <c:v>700.00000000000011</c:v>
                </c:pt>
                <c:pt idx="29">
                  <c:v>725</c:v>
                </c:pt>
                <c:pt idx="30">
                  <c:v>750</c:v>
                </c:pt>
                <c:pt idx="31">
                  <c:v>775</c:v>
                </c:pt>
                <c:pt idx="32">
                  <c:v>800</c:v>
                </c:pt>
                <c:pt idx="33">
                  <c:v>825.00000000000011</c:v>
                </c:pt>
                <c:pt idx="34">
                  <c:v>850.00000000000011</c:v>
                </c:pt>
                <c:pt idx="35">
                  <c:v>875</c:v>
                </c:pt>
                <c:pt idx="36">
                  <c:v>899.99999999999989</c:v>
                </c:pt>
                <c:pt idx="37">
                  <c:v>925</c:v>
                </c:pt>
                <c:pt idx="38">
                  <c:v>950</c:v>
                </c:pt>
                <c:pt idx="39">
                  <c:v>975.00000000000011</c:v>
                </c:pt>
                <c:pt idx="40">
                  <c:v>1000</c:v>
                </c:pt>
                <c:pt idx="41">
                  <c:v>1025</c:v>
                </c:pt>
                <c:pt idx="42">
                  <c:v>1050</c:v>
                </c:pt>
                <c:pt idx="43">
                  <c:v>1075</c:v>
                </c:pt>
                <c:pt idx="44">
                  <c:v>1100</c:v>
                </c:pt>
                <c:pt idx="45">
                  <c:v>1125</c:v>
                </c:pt>
                <c:pt idx="46">
                  <c:v>1150.0000000000002</c:v>
                </c:pt>
                <c:pt idx="47">
                  <c:v>1174.9999999999998</c:v>
                </c:pt>
                <c:pt idx="48">
                  <c:v>1200</c:v>
                </c:pt>
                <c:pt idx="49">
                  <c:v>1225</c:v>
                </c:pt>
                <c:pt idx="50">
                  <c:v>1250</c:v>
                </c:pt>
                <c:pt idx="51">
                  <c:v>1275</c:v>
                </c:pt>
                <c:pt idx="52">
                  <c:v>1300</c:v>
                </c:pt>
                <c:pt idx="53">
                  <c:v>1325.0000000000002</c:v>
                </c:pt>
                <c:pt idx="54">
                  <c:v>1350</c:v>
                </c:pt>
                <c:pt idx="55">
                  <c:v>1375</c:v>
                </c:pt>
                <c:pt idx="56">
                  <c:v>1400.0000000000002</c:v>
                </c:pt>
                <c:pt idx="57">
                  <c:v>1424.9999999999998</c:v>
                </c:pt>
                <c:pt idx="58">
                  <c:v>1450</c:v>
                </c:pt>
                <c:pt idx="59">
                  <c:v>1474.9999999999998</c:v>
                </c:pt>
                <c:pt idx="60">
                  <c:v>1500</c:v>
                </c:pt>
                <c:pt idx="61">
                  <c:v>1525</c:v>
                </c:pt>
                <c:pt idx="62">
                  <c:v>1550</c:v>
                </c:pt>
                <c:pt idx="63">
                  <c:v>1575</c:v>
                </c:pt>
                <c:pt idx="64">
                  <c:v>1600</c:v>
                </c:pt>
                <c:pt idx="65">
                  <c:v>1625</c:v>
                </c:pt>
                <c:pt idx="66">
                  <c:v>1650.0000000000002</c:v>
                </c:pt>
                <c:pt idx="67">
                  <c:v>1675</c:v>
                </c:pt>
                <c:pt idx="68">
                  <c:v>1700.0000000000002</c:v>
                </c:pt>
                <c:pt idx="69">
                  <c:v>1724.9999999999998</c:v>
                </c:pt>
                <c:pt idx="70">
                  <c:v>1750</c:v>
                </c:pt>
                <c:pt idx="71">
                  <c:v>1775</c:v>
                </c:pt>
                <c:pt idx="72">
                  <c:v>1799.9999999999998</c:v>
                </c:pt>
                <c:pt idx="73">
                  <c:v>1825</c:v>
                </c:pt>
                <c:pt idx="74">
                  <c:v>1850</c:v>
                </c:pt>
                <c:pt idx="75">
                  <c:v>1875</c:v>
                </c:pt>
                <c:pt idx="76">
                  <c:v>1900</c:v>
                </c:pt>
                <c:pt idx="77">
                  <c:v>1925</c:v>
                </c:pt>
                <c:pt idx="78">
                  <c:v>1950.0000000000002</c:v>
                </c:pt>
                <c:pt idx="79">
                  <c:v>1975</c:v>
                </c:pt>
                <c:pt idx="80">
                  <c:v>2000</c:v>
                </c:pt>
                <c:pt idx="81">
                  <c:v>2025.0000000000005</c:v>
                </c:pt>
                <c:pt idx="82">
                  <c:v>2050</c:v>
                </c:pt>
                <c:pt idx="83">
                  <c:v>2074.9999999999995</c:v>
                </c:pt>
                <c:pt idx="84">
                  <c:v>2100</c:v>
                </c:pt>
                <c:pt idx="85">
                  <c:v>2125</c:v>
                </c:pt>
                <c:pt idx="86">
                  <c:v>2150</c:v>
                </c:pt>
                <c:pt idx="87">
                  <c:v>2175</c:v>
                </c:pt>
                <c:pt idx="88">
                  <c:v>2200</c:v>
                </c:pt>
                <c:pt idx="89">
                  <c:v>2225</c:v>
                </c:pt>
                <c:pt idx="90">
                  <c:v>2250</c:v>
                </c:pt>
                <c:pt idx="91">
                  <c:v>2275</c:v>
                </c:pt>
                <c:pt idx="92">
                  <c:v>2300.0000000000005</c:v>
                </c:pt>
                <c:pt idx="93">
                  <c:v>2325</c:v>
                </c:pt>
                <c:pt idx="94">
                  <c:v>2349.9999999999995</c:v>
                </c:pt>
                <c:pt idx="95">
                  <c:v>2375</c:v>
                </c:pt>
                <c:pt idx="96">
                  <c:v>2400</c:v>
                </c:pt>
                <c:pt idx="97">
                  <c:v>2425</c:v>
                </c:pt>
                <c:pt idx="98">
                  <c:v>2450</c:v>
                </c:pt>
                <c:pt idx="99">
                  <c:v>2475</c:v>
                </c:pt>
                <c:pt idx="100">
                  <c:v>2500</c:v>
                </c:pt>
              </c:numCache>
            </c:numRef>
          </c:cat>
          <c:val>
            <c:numRef>
              <c:f>'Calculations - Single'!$AJ$5:$AJ$105</c:f>
              <c:numCache>
                <c:formatCode>0.000</c:formatCode>
                <c:ptCount val="101"/>
                <c:pt idx="0">
                  <c:v>3.3333333333333335</c:v>
                </c:pt>
                <c:pt idx="1">
                  <c:v>3.3333333333333335</c:v>
                </c:pt>
                <c:pt idx="2">
                  <c:v>3.3333333333333335</c:v>
                </c:pt>
                <c:pt idx="3">
                  <c:v>3.3333333333333335</c:v>
                </c:pt>
                <c:pt idx="4">
                  <c:v>3.3333333333333335</c:v>
                </c:pt>
                <c:pt idx="5">
                  <c:v>3.3333333333333335</c:v>
                </c:pt>
                <c:pt idx="6">
                  <c:v>3.3333333333333335</c:v>
                </c:pt>
                <c:pt idx="7">
                  <c:v>3.3333333333333335</c:v>
                </c:pt>
                <c:pt idx="8">
                  <c:v>3.3333333333333335</c:v>
                </c:pt>
                <c:pt idx="9">
                  <c:v>3.3333333333333335</c:v>
                </c:pt>
                <c:pt idx="10">
                  <c:v>3.3333333333333335</c:v>
                </c:pt>
                <c:pt idx="11">
                  <c:v>3.3333333333333335</c:v>
                </c:pt>
                <c:pt idx="12">
                  <c:v>3.3333333333333335</c:v>
                </c:pt>
                <c:pt idx="13">
                  <c:v>3.3512810564026738</c:v>
                </c:pt>
                <c:pt idx="14">
                  <c:v>3.4778424817182247</c:v>
                </c:pt>
                <c:pt idx="15">
                  <c:v>3.599962679393391</c:v>
                </c:pt>
                <c:pt idx="16">
                  <c:v>3.7180791114584606</c:v>
                </c:pt>
                <c:pt idx="17">
                  <c:v>3.8325618164883295</c:v>
                </c:pt>
                <c:pt idx="18">
                  <c:v>3.9437271187712986</c:v>
                </c:pt>
                <c:pt idx="19">
                  <c:v>4.0518479490796731</c:v>
                </c:pt>
                <c:pt idx="20">
                  <c:v>4.1571617476697851</c:v>
                </c:pt>
                <c:pt idx="21">
                  <c:v>4.2598766077156682</c:v>
                </c:pt>
                <c:pt idx="22">
                  <c:v>4.3601761155460643</c:v>
                </c:pt>
                <c:pt idx="23">
                  <c:v>4.4582232104330322</c:v>
                </c:pt>
                <c:pt idx="24">
                  <c:v>4.5541632962653873</c:v>
                </c:pt>
                <c:pt idx="25">
                  <c:v>4.64812677504937</c:v>
                </c:pt>
                <c:pt idx="26">
                  <c:v>4.7402311283567053</c:v>
                </c:pt>
                <c:pt idx="27">
                  <c:v>4.8305826415615245</c:v>
                </c:pt>
                <c:pt idx="28">
                  <c:v>4.9192778430521491</c:v>
                </c:pt>
                <c:pt idx="29">
                  <c:v>5.0064047139723336</c:v>
                </c:pt>
                <c:pt idx="30">
                  <c:v>5.0920437116857755</c:v>
                </c:pt>
                <c:pt idx="31">
                  <c:v>5.1762686408656338</c:v>
                </c:pt>
                <c:pt idx="32">
                  <c:v>5.2591473990516491</c:v>
                </c:pt>
                <c:pt idx="33">
                  <c:v>5.3407426181018707</c:v>
                </c:pt>
                <c:pt idx="34">
                  <c:v>5.4211122187732723</c:v>
                </c:pt>
                <c:pt idx="35">
                  <c:v>5.5003098923919147</c:v>
                </c:pt>
                <c:pt idx="36">
                  <c:v>5.5783855209968651</c:v>
                </c:pt>
                <c:pt idx="37">
                  <c:v>5.6553855452991488</c:v>
                </c:pt>
                <c:pt idx="38">
                  <c:v>5.7313532881657752</c:v>
                </c:pt>
                <c:pt idx="39">
                  <c:v>5.8063292400277886</c:v>
                </c:pt>
                <c:pt idx="40">
                  <c:v>5.8803513115508368</c:v>
                </c:pt>
                <c:pt idx="41">
                  <c:v>5.9534550580441472</c:v>
                </c:pt>
                <c:pt idx="42">
                  <c:v>6.0256738793780311</c:v>
                </c:pt>
                <c:pt idx="43">
                  <c:v>6.0970391985997177</c:v>
                </c:pt>
                <c:pt idx="44">
                  <c:v>6.1675806219576819</c:v>
                </c:pt>
                <c:pt idx="45">
                  <c:v>6.237326082646252</c:v>
                </c:pt>
                <c:pt idx="46">
                  <c:v>6.306301970250149</c:v>
                </c:pt>
                <c:pt idx="47">
                  <c:v>6.3745332475901266</c:v>
                </c:pt>
                <c:pt idx="48">
                  <c:v>6.442043556436885</c:v>
                </c:pt>
                <c:pt idx="49">
                  <c:v>6.5088553133625631</c:v>
                </c:pt>
                <c:pt idx="50">
                  <c:v>6.5749897968316526</c:v>
                </c:pt>
                <c:pt idx="51">
                  <c:v>6.6404672264904816</c:v>
                </c:pt>
                <c:pt idx="52">
                  <c:v>6.7053068354927934</c:v>
                </c:pt>
                <c:pt idx="53">
                  <c:v>6.7695269365946835</c:v>
                </c:pt>
                <c:pt idx="54">
                  <c:v>6.8331449826626356</c:v>
                </c:pt>
                <c:pt idx="55">
                  <c:v>6.8961776221612343</c:v>
                </c:pt>
                <c:pt idx="56">
                  <c:v>6.9586407501204537</c:v>
                </c:pt>
                <c:pt idx="57">
                  <c:v>7.0205495550246368</c:v>
                </c:pt>
                <c:pt idx="58">
                  <c:v>7.081918562015078</c:v>
                </c:pt>
                <c:pt idx="59">
                  <c:v>7.1427616727543546</c:v>
                </c:pt>
                <c:pt idx="60">
                  <c:v>7.2030922022623818</c:v>
                </c:pt>
                <c:pt idx="61">
                  <c:v>7.2629229130006765</c:v>
                </c:pt>
                <c:pt idx="62">
                  <c:v>7.3222660464519969</c:v>
                </c:pt>
                <c:pt idx="63">
                  <c:v>7.3811333524167004</c:v>
                </c:pt>
                <c:pt idx="64">
                  <c:v>7.4395361162243949</c:v>
                </c:pt>
                <c:pt idx="65">
                  <c:v>7.4974851840393972</c:v>
                </c:pt>
                <c:pt idx="66">
                  <c:v>7.5549909864206866</c:v>
                </c:pt>
                <c:pt idx="67">
                  <c:v>7.6120635602813023</c:v>
                </c:pt>
                <c:pt idx="68">
                  <c:v>7.6687125693781164</c:v>
                </c:pt>
                <c:pt idx="69">
                  <c:v>7.7249473234504098</c:v>
                </c:pt>
                <c:pt idx="70">
                  <c:v>7.7807767961146173</c:v>
                </c:pt>
                <c:pt idx="71">
                  <c:v>7.8362096416126148</c:v>
                </c:pt>
                <c:pt idx="72">
                  <c:v>7.8912542105020789</c:v>
                </c:pt>
                <c:pt idx="73">
                  <c:v>7.9459185643694532</c:v>
                </c:pt>
                <c:pt idx="74">
                  <c:v>8.0002104896389348</c:v>
                </c:pt>
                <c:pt idx="75">
                  <c:v>8.0541375105444359</c:v>
                </c:pt>
                <c:pt idx="76">
                  <c:v>8.1077069013257219</c:v>
                </c:pt>
                <c:pt idx="77">
                  <c:v>8.1609256977046893</c:v>
                </c:pt>
                <c:pt idx="78">
                  <c:v>8.2138007076930375</c:v>
                </c:pt>
                <c:pt idx="79">
                  <c:v>8.2663385217783567</c:v>
                </c:pt>
                <c:pt idx="80">
                  <c:v>8.3185455225317373</c:v>
                </c:pt>
                <c:pt idx="81">
                  <c:v>8.3704278936765988</c:v>
                </c:pt>
                <c:pt idx="82">
                  <c:v>8.4220372409180477</c:v>
                </c:pt>
                <c:pt idx="83">
                  <c:v>8.4733970842082211</c:v>
                </c:pt>
                <c:pt idx="84">
                  <c:v>8.5244530438405395</c:v>
                </c:pt>
                <c:pt idx="85">
                  <c:v>8.5876747727419112</c:v>
                </c:pt>
                <c:pt idx="86">
                  <c:v>8.6889288280449506</c:v>
                </c:pt>
                <c:pt idx="87">
                  <c:v>8.7903904710628868</c:v>
                </c:pt>
                <c:pt idx="88">
                  <c:v>8.8917513473168466</c:v>
                </c:pt>
                <c:pt idx="89">
                  <c:v>8.9931195765831173</c:v>
                </c:pt>
                <c:pt idx="90">
                  <c:v>9.094495159890144</c:v>
                </c:pt>
                <c:pt idx="91">
                  <c:v>9.1958780982668973</c:v>
                </c:pt>
                <c:pt idx="92">
                  <c:v>9.2972683927428736</c:v>
                </c:pt>
                <c:pt idx="93">
                  <c:v>9.3986660443480563</c:v>
                </c:pt>
                <c:pt idx="94">
                  <c:v>9.5000710541129312</c:v>
                </c:pt>
                <c:pt idx="95">
                  <c:v>9.6014834230684336</c:v>
                </c:pt>
                <c:pt idx="96">
                  <c:v>9.702903152245959</c:v>
                </c:pt>
                <c:pt idx="97">
                  <c:v>9.8043302426773433</c:v>
                </c:pt>
                <c:pt idx="98">
                  <c:v>9.9057646953948453</c:v>
                </c:pt>
                <c:pt idx="99">
                  <c:v>10.007206511431139</c:v>
                </c:pt>
                <c:pt idx="100">
                  <c:v>10.108655691819306</c:v>
                </c:pt>
              </c:numCache>
            </c:numRef>
          </c:val>
          <c:smooth val="0"/>
          <c:extLst>
            <c:ext xmlns:c16="http://schemas.microsoft.com/office/drawing/2014/chart" uri="{C3380CC4-5D6E-409C-BE32-E72D297353CC}">
              <c16:uniqueId val="{00000001-447A-452D-BA63-8F5F5DADC23C}"/>
            </c:ext>
          </c:extLst>
        </c:ser>
        <c:ser>
          <c:idx val="2"/>
          <c:order val="2"/>
          <c:tx>
            <c:v>VIN-max</c:v>
          </c:tx>
          <c:spPr>
            <a:ln>
              <a:solidFill>
                <a:srgbClr val="FF0000"/>
              </a:solidFill>
              <a:prstDash val="solid"/>
            </a:ln>
          </c:spPr>
          <c:marker>
            <c:symbol val="none"/>
          </c:marker>
          <c:val>
            <c:numRef>
              <c:f>'Calculations - Single'!$AJ$216:$AJ$316</c:f>
              <c:numCache>
                <c:formatCode>0.000</c:formatCode>
                <c:ptCount val="101"/>
                <c:pt idx="0">
                  <c:v>3.3333333333333335</c:v>
                </c:pt>
                <c:pt idx="1">
                  <c:v>3.3333333333333335</c:v>
                </c:pt>
                <c:pt idx="2">
                  <c:v>3.3333333333333335</c:v>
                </c:pt>
                <c:pt idx="3">
                  <c:v>3.3333333333333335</c:v>
                </c:pt>
                <c:pt idx="4">
                  <c:v>3.3333333333333335</c:v>
                </c:pt>
                <c:pt idx="5">
                  <c:v>3.3333333333333335</c:v>
                </c:pt>
                <c:pt idx="6">
                  <c:v>3.3333333333333335</c:v>
                </c:pt>
                <c:pt idx="7">
                  <c:v>3.3333333333333335</c:v>
                </c:pt>
                <c:pt idx="8">
                  <c:v>3.3333333333333335</c:v>
                </c:pt>
                <c:pt idx="9">
                  <c:v>3.3333333333333335</c:v>
                </c:pt>
                <c:pt idx="10">
                  <c:v>3.3333333333333335</c:v>
                </c:pt>
                <c:pt idx="11">
                  <c:v>3.3333333333333335</c:v>
                </c:pt>
                <c:pt idx="12">
                  <c:v>3.3333333333333335</c:v>
                </c:pt>
                <c:pt idx="13">
                  <c:v>3.3512810564026738</c:v>
                </c:pt>
                <c:pt idx="14">
                  <c:v>3.4778424817182247</c:v>
                </c:pt>
                <c:pt idx="15">
                  <c:v>3.599962679393391</c:v>
                </c:pt>
                <c:pt idx="16">
                  <c:v>3.7180791114584606</c:v>
                </c:pt>
                <c:pt idx="17">
                  <c:v>3.8325618164883295</c:v>
                </c:pt>
                <c:pt idx="18">
                  <c:v>3.9437271187712986</c:v>
                </c:pt>
                <c:pt idx="19">
                  <c:v>4.0518479490796731</c:v>
                </c:pt>
                <c:pt idx="20">
                  <c:v>4.1571617476697851</c:v>
                </c:pt>
                <c:pt idx="21">
                  <c:v>4.2598766077156682</c:v>
                </c:pt>
                <c:pt idx="22">
                  <c:v>4.3601761155460643</c:v>
                </c:pt>
                <c:pt idx="23">
                  <c:v>4.4582232104330322</c:v>
                </c:pt>
                <c:pt idx="24">
                  <c:v>4.5541632962653873</c:v>
                </c:pt>
                <c:pt idx="25">
                  <c:v>4.64812677504937</c:v>
                </c:pt>
                <c:pt idx="26">
                  <c:v>4.7402311283567053</c:v>
                </c:pt>
                <c:pt idx="27">
                  <c:v>4.8305826415615245</c:v>
                </c:pt>
                <c:pt idx="28">
                  <c:v>4.9192778430521491</c:v>
                </c:pt>
                <c:pt idx="29">
                  <c:v>5.0064047139723336</c:v>
                </c:pt>
                <c:pt idx="30">
                  <c:v>5.0920437116857755</c:v>
                </c:pt>
                <c:pt idx="31">
                  <c:v>5.1762686408656338</c:v>
                </c:pt>
                <c:pt idx="32">
                  <c:v>5.2591473990516491</c:v>
                </c:pt>
                <c:pt idx="33">
                  <c:v>5.3407426181018707</c:v>
                </c:pt>
                <c:pt idx="34">
                  <c:v>5.4211122187732723</c:v>
                </c:pt>
                <c:pt idx="35">
                  <c:v>5.5003098923919147</c:v>
                </c:pt>
                <c:pt idx="36">
                  <c:v>5.5783855209968651</c:v>
                </c:pt>
                <c:pt idx="37">
                  <c:v>5.6553855452991488</c:v>
                </c:pt>
                <c:pt idx="38">
                  <c:v>5.7313532881657752</c:v>
                </c:pt>
                <c:pt idx="39">
                  <c:v>5.8063292400277886</c:v>
                </c:pt>
                <c:pt idx="40">
                  <c:v>5.8803513115508368</c:v>
                </c:pt>
                <c:pt idx="41">
                  <c:v>5.9534550580441472</c:v>
                </c:pt>
                <c:pt idx="42">
                  <c:v>6.0256738793780311</c:v>
                </c:pt>
                <c:pt idx="43">
                  <c:v>6.0970391985997177</c:v>
                </c:pt>
                <c:pt idx="44">
                  <c:v>6.1675806219576819</c:v>
                </c:pt>
                <c:pt idx="45">
                  <c:v>6.237326082646252</c:v>
                </c:pt>
                <c:pt idx="46">
                  <c:v>6.306301970250149</c:v>
                </c:pt>
                <c:pt idx="47">
                  <c:v>6.3745332475901266</c:v>
                </c:pt>
                <c:pt idx="48">
                  <c:v>6.442043556436885</c:v>
                </c:pt>
                <c:pt idx="49">
                  <c:v>6.5088553133625631</c:v>
                </c:pt>
                <c:pt idx="50">
                  <c:v>6.5749897968316526</c:v>
                </c:pt>
                <c:pt idx="51">
                  <c:v>6.6404672264904816</c:v>
                </c:pt>
                <c:pt idx="52">
                  <c:v>6.7053068354927934</c:v>
                </c:pt>
                <c:pt idx="53">
                  <c:v>6.7695269365946835</c:v>
                </c:pt>
                <c:pt idx="54">
                  <c:v>6.8331449826626356</c:v>
                </c:pt>
                <c:pt idx="55">
                  <c:v>6.8961776221612343</c:v>
                </c:pt>
                <c:pt idx="56">
                  <c:v>6.9586407501204537</c:v>
                </c:pt>
                <c:pt idx="57">
                  <c:v>7.0205495550246368</c:v>
                </c:pt>
                <c:pt idx="58">
                  <c:v>7.081918562015078</c:v>
                </c:pt>
                <c:pt idx="59">
                  <c:v>7.1427616727543546</c:v>
                </c:pt>
                <c:pt idx="60">
                  <c:v>7.2030922022623818</c:v>
                </c:pt>
                <c:pt idx="61">
                  <c:v>7.2629229130006765</c:v>
                </c:pt>
                <c:pt idx="62">
                  <c:v>7.3222660464519969</c:v>
                </c:pt>
                <c:pt idx="63">
                  <c:v>7.3811333524167004</c:v>
                </c:pt>
                <c:pt idx="64">
                  <c:v>7.4395361162243949</c:v>
                </c:pt>
                <c:pt idx="65">
                  <c:v>7.4974851840393972</c:v>
                </c:pt>
                <c:pt idx="66">
                  <c:v>7.5549909864206866</c:v>
                </c:pt>
                <c:pt idx="67">
                  <c:v>7.6120635602813023</c:v>
                </c:pt>
                <c:pt idx="68">
                  <c:v>7.6687125693781164</c:v>
                </c:pt>
                <c:pt idx="69">
                  <c:v>7.7249473234504098</c:v>
                </c:pt>
                <c:pt idx="70">
                  <c:v>7.7807767961146173</c:v>
                </c:pt>
                <c:pt idx="71">
                  <c:v>7.8362096416126148</c:v>
                </c:pt>
                <c:pt idx="72">
                  <c:v>7.8912542105020789</c:v>
                </c:pt>
                <c:pt idx="73">
                  <c:v>7.9459185643694532</c:v>
                </c:pt>
                <c:pt idx="74">
                  <c:v>8.0002104896389348</c:v>
                </c:pt>
                <c:pt idx="75">
                  <c:v>8.0541375105444359</c:v>
                </c:pt>
                <c:pt idx="76">
                  <c:v>8.1077069013257219</c:v>
                </c:pt>
                <c:pt idx="77">
                  <c:v>8.1609256977046893</c:v>
                </c:pt>
                <c:pt idx="78">
                  <c:v>8.2138007076930375</c:v>
                </c:pt>
                <c:pt idx="79">
                  <c:v>8.2663385217783567</c:v>
                </c:pt>
                <c:pt idx="80">
                  <c:v>8.3185455225317373</c:v>
                </c:pt>
                <c:pt idx="81">
                  <c:v>8.3704278936765988</c:v>
                </c:pt>
                <c:pt idx="82">
                  <c:v>8.4219916286551744</c:v>
                </c:pt>
                <c:pt idx="83">
                  <c:v>8.4732425387262733</c:v>
                </c:pt>
                <c:pt idx="84">
                  <c:v>8.5241862606252816</c:v>
                </c:pt>
                <c:pt idx="85">
                  <c:v>8.57482826381497</c:v>
                </c:pt>
                <c:pt idx="86">
                  <c:v>8.6251738573535395</c:v>
                </c:pt>
                <c:pt idx="87">
                  <c:v>8.6752281964043032</c:v>
                </c:pt>
                <c:pt idx="88">
                  <c:v>8.7249962884095673</c:v>
                </c:pt>
                <c:pt idx="89">
                  <c:v>8.7744829989496953</c:v>
                </c:pt>
                <c:pt idx="90">
                  <c:v>8.8236930573067269</c:v>
                </c:pt>
                <c:pt idx="91">
                  <c:v>8.8726310617505479</c:v>
                </c:pt>
                <c:pt idx="92">
                  <c:v>8.9213014845643634</c:v>
                </c:pt>
                <c:pt idx="93">
                  <c:v>8.9697086768250056</c:v>
                </c:pt>
                <c:pt idx="94">
                  <c:v>9.0178568729525264</c:v>
                </c:pt>
                <c:pt idx="95">
                  <c:v>9.0657501950425665</c:v>
                </c:pt>
                <c:pt idx="96">
                  <c:v>9.1133926569940158</c:v>
                </c:pt>
                <c:pt idx="97">
                  <c:v>9.1607881684436876</c:v>
                </c:pt>
                <c:pt idx="98">
                  <c:v>9.2079405385189066</c:v>
                </c:pt>
                <c:pt idx="99">
                  <c:v>9.2548534794182107</c:v>
                </c:pt>
                <c:pt idx="100">
                  <c:v>9.3015306098296993</c:v>
                </c:pt>
              </c:numCache>
            </c:numRef>
          </c:val>
          <c:smooth val="0"/>
          <c:extLst>
            <c:ext xmlns:c16="http://schemas.microsoft.com/office/drawing/2014/chart" uri="{C3380CC4-5D6E-409C-BE32-E72D297353CC}">
              <c16:uniqueId val="{00000002-447A-452D-BA63-8F5F5DADC23C}"/>
            </c:ext>
          </c:extLst>
        </c:ser>
        <c:dLbls>
          <c:showLegendKey val="0"/>
          <c:showVal val="0"/>
          <c:showCatName val="0"/>
          <c:showSerName val="0"/>
          <c:showPercent val="0"/>
          <c:showBubbleSize val="0"/>
        </c:dLbls>
        <c:smooth val="0"/>
        <c:axId val="448889216"/>
        <c:axId val="448891136"/>
      </c:lineChart>
      <c:catAx>
        <c:axId val="44888921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48891136"/>
        <c:crosses val="autoZero"/>
        <c:auto val="1"/>
        <c:lblAlgn val="ctr"/>
        <c:lblOffset val="100"/>
        <c:tickLblSkip val="20"/>
        <c:tickMarkSkip val="10"/>
        <c:noMultiLvlLbl val="0"/>
      </c:catAx>
      <c:valAx>
        <c:axId val="448891136"/>
        <c:scaling>
          <c:orientation val="minMax"/>
          <c:max val="1.4"/>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Peak</a:t>
                </a:r>
                <a:r>
                  <a:rPr lang="en-US" sz="1200" b="1" baseline="0">
                    <a:solidFill>
                      <a:schemeClr val="tx1"/>
                    </a:solidFill>
                    <a:latin typeface="Arial" pitchFamily="34" charset="0"/>
                    <a:cs typeface="Arial" pitchFamily="34" charset="0"/>
                  </a:rPr>
                  <a:t> Primary Current (A)</a:t>
                </a:r>
                <a:endParaRPr lang="en-US" sz="1200" b="1">
                  <a:solidFill>
                    <a:schemeClr val="tx1"/>
                  </a:solidFill>
                  <a:latin typeface="Arial" pitchFamily="34" charset="0"/>
                  <a:cs typeface="Arial" pitchFamily="34" charset="0"/>
                </a:endParaRPr>
              </a:p>
            </c:rich>
          </c:tx>
          <c:layout>
            <c:manualLayout>
              <c:xMode val="edge"/>
              <c:yMode val="edge"/>
              <c:x val="1.8892754684734177E-2"/>
              <c:y val="0.30303578260037478"/>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48889216"/>
        <c:crossesAt val="0"/>
        <c:crossBetween val="between"/>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Single'!$AK$110:$AK$210</c:f>
              <c:numCache>
                <c:formatCode>0.000</c:formatCode>
                <c:ptCount val="101"/>
                <c:pt idx="0">
                  <c:v>1.0068571428571429</c:v>
                </c:pt>
                <c:pt idx="1">
                  <c:v>1.0155506696585084</c:v>
                </c:pt>
                <c:pt idx="2">
                  <c:v>1.0311013393170168</c:v>
                </c:pt>
                <c:pt idx="3">
                  <c:v>1.0466520089755251</c:v>
                </c:pt>
                <c:pt idx="4">
                  <c:v>1.0622026786340335</c:v>
                </c:pt>
                <c:pt idx="5">
                  <c:v>1.0777533482925421</c:v>
                </c:pt>
                <c:pt idx="6">
                  <c:v>1.0933040179510505</c:v>
                </c:pt>
                <c:pt idx="7">
                  <c:v>1.1088546876095589</c:v>
                </c:pt>
                <c:pt idx="8">
                  <c:v>1.1244053572680672</c:v>
                </c:pt>
                <c:pt idx="9">
                  <c:v>1.1399560269265756</c:v>
                </c:pt>
                <c:pt idx="10">
                  <c:v>1.155506696585084</c:v>
                </c:pt>
                <c:pt idx="11">
                  <c:v>1.1710573662435924</c:v>
                </c:pt>
                <c:pt idx="12">
                  <c:v>1.1866080359021007</c:v>
                </c:pt>
                <c:pt idx="13">
                  <c:v>1.2132946096809929</c:v>
                </c:pt>
                <c:pt idx="14">
                  <c:v>1.3070438136184379</c:v>
                </c:pt>
                <c:pt idx="15">
                  <c:v>1.3975032193037462</c:v>
                </c:pt>
                <c:pt idx="16">
                  <c:v>1.4849968726852794</c:v>
                </c:pt>
                <c:pt idx="17">
                  <c:v>1.5697988764111082</c:v>
                </c:pt>
                <c:pt idx="18">
                  <c:v>1.652143544768863</c:v>
                </c:pt>
                <c:pt idx="19">
                  <c:v>1.732233048700992</c:v>
                </c:pt>
                <c:pt idx="20">
                  <c:v>1.8102432698788529</c:v>
                </c:pt>
                <c:pt idx="21">
                  <c:v>1.8863283513943219</c:v>
                </c:pt>
                <c:pt idx="22">
                  <c:v>1.9606242831205414</c:v>
                </c:pt>
                <c:pt idx="23">
                  <c:v>2.0332517608145917</c:v>
                </c:pt>
                <c:pt idx="24">
                  <c:v>2.1043184910607806</c:v>
                </c:pt>
                <c:pt idx="25">
                  <c:v>2.1739210679378047</c:v>
                </c:pt>
                <c:pt idx="26">
                  <c:v>2.2421465148321271</c:v>
                </c:pt>
                <c:pt idx="27">
                  <c:v>2.3090735616505116</c:v>
                </c:pt>
                <c:pt idx="28">
                  <c:v>2.3747737109028262</c:v>
                </c:pt>
                <c:pt idx="29">
                  <c:v>2.4393121338066668</c:v>
                </c:pt>
                <c:pt idx="30">
                  <c:v>2.5027484284092161</c:v>
                </c:pt>
                <c:pt idx="31">
                  <c:v>2.5651372648387412</c:v>
                </c:pt>
                <c:pt idx="32">
                  <c:v>2.6265289375691223</c:v>
                </c:pt>
                <c:pt idx="33">
                  <c:v>2.6869698405692866</c:v>
                </c:pt>
                <c:pt idx="34">
                  <c:v>2.7465028781036587</c:v>
                </c:pt>
                <c:pt idx="35">
                  <c:v>2.8051678215248748</c:v>
                </c:pt>
                <c:pt idx="36">
                  <c:v>2.863001620491505</c:v>
                </c:pt>
                <c:pt idx="37">
                  <c:v>2.9200386755302334</c:v>
                </c:pt>
                <c:pt idx="38">
                  <c:v>2.9763110776536603</c:v>
                </c:pt>
                <c:pt idx="39">
                  <c:v>3.0318488197736704</c:v>
                </c:pt>
                <c:pt idx="40">
                  <c:v>3.0866799838648173</c:v>
                </c:pt>
                <c:pt idx="41">
                  <c:v>3.1408309071931955</c:v>
                </c:pt>
                <c:pt idx="42">
                  <c:v>3.1943263304034799</c:v>
                </c:pt>
                <c:pt idx="43">
                  <c:v>3.2471895298269509</c:v>
                </c:pt>
                <c:pt idx="44">
                  <c:v>3.2994424360180359</c:v>
                </c:pt>
                <c:pt idx="45">
                  <c:v>3.351105740231791</c:v>
                </c:pt>
                <c:pt idx="46">
                  <c:v>3.4021989903087526</c:v>
                </c:pt>
                <c:pt idx="47">
                  <c:v>3.4527406772272542</c:v>
                </c:pt>
                <c:pt idx="48">
                  <c:v>3.5027483134100379</c:v>
                </c:pt>
                <c:pt idx="49">
                  <c:v>3.5522385037253548</c:v>
                </c:pt>
                <c:pt idx="50">
                  <c:v>3.6012270099987544</c:v>
                </c:pt>
                <c:pt idx="51">
                  <c:v>3.6497288097460361</c:v>
                </c:pt>
                <c:pt idx="52">
                  <c:v>3.6977581497477479</c:v>
                </c:pt>
                <c:pt idx="53">
                  <c:v>3.7453285950084076</c:v>
                </c:pt>
                <c:pt idx="54">
                  <c:v>3.7925273966666264</c:v>
                </c:pt>
                <c:pt idx="55">
                  <c:v>3.8393222801905278</c:v>
                </c:pt>
                <c:pt idx="56">
                  <c:v>3.9259263757150284</c:v>
                </c:pt>
                <c:pt idx="57">
                  <c:v>4.0192134756069029</c:v>
                </c:pt>
                <c:pt idx="58">
                  <c:v>4.1123675694480397</c:v>
                </c:pt>
                <c:pt idx="59">
                  <c:v>4.2055347154544691</c:v>
                </c:pt>
                <c:pt idx="60">
                  <c:v>4.2987149169430525</c:v>
                </c:pt>
                <c:pt idx="61">
                  <c:v>4.3919081772347246</c:v>
                </c:pt>
                <c:pt idx="62">
                  <c:v>4.485114499654256</c:v>
                </c:pt>
                <c:pt idx="63">
                  <c:v>4.5783338875300039</c:v>
                </c:pt>
                <c:pt idx="64">
                  <c:v>4.6715663441937458</c:v>
                </c:pt>
                <c:pt idx="65">
                  <c:v>4.7648118729804843</c:v>
                </c:pt>
                <c:pt idx="66">
                  <c:v>4.8580704772282841</c:v>
                </c:pt>
                <c:pt idx="67">
                  <c:v>4.9513421602781307</c:v>
                </c:pt>
                <c:pt idx="68">
                  <c:v>5.0446269254737874</c:v>
                </c:pt>
                <c:pt idx="69">
                  <c:v>5.137924776161686</c:v>
                </c:pt>
                <c:pt idx="70">
                  <c:v>5.2312357156908051</c:v>
                </c:pt>
                <c:pt idx="71">
                  <c:v>5.3245597474125752</c:v>
                </c:pt>
                <c:pt idx="72">
                  <c:v>5.4178968746807792</c:v>
                </c:pt>
                <c:pt idx="73">
                  <c:v>5.5112471008514818</c:v>
                </c:pt>
                <c:pt idx="74">
                  <c:v>5.6046104292829382</c:v>
                </c:pt>
                <c:pt idx="75">
                  <c:v>5.6979868633355224</c:v>
                </c:pt>
                <c:pt idx="76">
                  <c:v>5.7913764063716773</c:v>
                </c:pt>
                <c:pt idx="77">
                  <c:v>5.8847790617558458</c:v>
                </c:pt>
                <c:pt idx="78">
                  <c:v>5.978194832854407</c:v>
                </c:pt>
                <c:pt idx="79">
                  <c:v>6.0716237230356409</c:v>
                </c:pt>
                <c:pt idx="80">
                  <c:v>6.1650657356696712</c:v>
                </c:pt>
                <c:pt idx="81">
                  <c:v>6.2585208741284335</c:v>
                </c:pt>
                <c:pt idx="82">
                  <c:v>6.3519891417856114</c:v>
                </c:pt>
                <c:pt idx="83">
                  <c:v>6.4454705420166372</c:v>
                </c:pt>
                <c:pt idx="84">
                  <c:v>6.5389650781986237</c:v>
                </c:pt>
                <c:pt idx="85">
                  <c:v>6.6324727537103438</c:v>
                </c:pt>
                <c:pt idx="86">
                  <c:v>6.7259935719322153</c:v>
                </c:pt>
                <c:pt idx="87">
                  <c:v>6.81952753624625</c:v>
                </c:pt>
                <c:pt idx="88">
                  <c:v>6.9130746500360489</c:v>
                </c:pt>
                <c:pt idx="89">
                  <c:v>7.0066349166867603</c:v>
                </c:pt>
                <c:pt idx="90">
                  <c:v>7.100208339585075</c:v>
                </c:pt>
                <c:pt idx="91">
                  <c:v>7.1937949221192001</c:v>
                </c:pt>
                <c:pt idx="92">
                  <c:v>7.2873946676788366</c:v>
                </c:pt>
                <c:pt idx="93">
                  <c:v>7.381007579655158</c:v>
                </c:pt>
                <c:pt idx="94">
                  <c:v>7.4746336614408069</c:v>
                </c:pt>
                <c:pt idx="95">
                  <c:v>7.5682729164298816</c:v>
                </c:pt>
                <c:pt idx="96">
                  <c:v>7.6619253480178902</c:v>
                </c:pt>
                <c:pt idx="97">
                  <c:v>7.7555909596017791</c:v>
                </c:pt>
                <c:pt idx="98">
                  <c:v>7.8492697545798951</c:v>
                </c:pt>
                <c:pt idx="99">
                  <c:v>7.9429617363519744</c:v>
                </c:pt>
                <c:pt idx="100">
                  <c:v>8.0366669083191518</c:v>
                </c:pt>
              </c:numCache>
            </c:numRef>
          </c:val>
          <c:smooth val="0"/>
          <c:extLst>
            <c:ext xmlns:c16="http://schemas.microsoft.com/office/drawing/2014/chart" uri="{C3380CC4-5D6E-409C-BE32-E72D297353CC}">
              <c16:uniqueId val="{00000000-745B-46F7-8EAC-D410ADA60268}"/>
            </c:ext>
          </c:extLst>
        </c:ser>
        <c:ser>
          <c:idx val="0"/>
          <c:order val="1"/>
          <c:tx>
            <c:v>VIN-nom</c:v>
          </c:tx>
          <c:spPr>
            <a:ln w="28575">
              <a:solidFill>
                <a:srgbClr val="0000FF"/>
              </a:solidFill>
              <a:prstDash val="lgDash"/>
            </a:ln>
          </c:spPr>
          <c:marker>
            <c:symbol val="none"/>
          </c:marker>
          <c:cat>
            <c:numRef>
              <c:f>'Calculations - Single'!$AM$5:$AM$105</c:f>
              <c:numCache>
                <c:formatCode>0</c:formatCode>
                <c:ptCount val="101"/>
                <c:pt idx="0">
                  <c:v>1.0000000000000002E-6</c:v>
                </c:pt>
                <c:pt idx="1">
                  <c:v>25</c:v>
                </c:pt>
                <c:pt idx="2">
                  <c:v>50</c:v>
                </c:pt>
                <c:pt idx="3">
                  <c:v>75</c:v>
                </c:pt>
                <c:pt idx="4">
                  <c:v>100</c:v>
                </c:pt>
                <c:pt idx="5">
                  <c:v>125</c:v>
                </c:pt>
                <c:pt idx="6">
                  <c:v>150</c:v>
                </c:pt>
                <c:pt idx="7">
                  <c:v>175.00000000000003</c:v>
                </c:pt>
                <c:pt idx="8">
                  <c:v>200</c:v>
                </c:pt>
                <c:pt idx="9">
                  <c:v>224.99999999999997</c:v>
                </c:pt>
                <c:pt idx="10">
                  <c:v>250</c:v>
                </c:pt>
                <c:pt idx="11">
                  <c:v>275</c:v>
                </c:pt>
                <c:pt idx="12">
                  <c:v>300</c:v>
                </c:pt>
                <c:pt idx="13">
                  <c:v>325</c:v>
                </c:pt>
                <c:pt idx="14">
                  <c:v>350.00000000000006</c:v>
                </c:pt>
                <c:pt idx="15">
                  <c:v>375</c:v>
                </c:pt>
                <c:pt idx="16">
                  <c:v>400</c:v>
                </c:pt>
                <c:pt idx="17">
                  <c:v>425.00000000000006</c:v>
                </c:pt>
                <c:pt idx="18">
                  <c:v>449.99999999999994</c:v>
                </c:pt>
                <c:pt idx="19">
                  <c:v>475</c:v>
                </c:pt>
                <c:pt idx="20">
                  <c:v>500</c:v>
                </c:pt>
                <c:pt idx="21">
                  <c:v>525</c:v>
                </c:pt>
                <c:pt idx="22">
                  <c:v>550</c:v>
                </c:pt>
                <c:pt idx="23">
                  <c:v>575.00000000000011</c:v>
                </c:pt>
                <c:pt idx="24">
                  <c:v>600</c:v>
                </c:pt>
                <c:pt idx="25">
                  <c:v>625</c:v>
                </c:pt>
                <c:pt idx="26">
                  <c:v>650</c:v>
                </c:pt>
                <c:pt idx="27">
                  <c:v>675</c:v>
                </c:pt>
                <c:pt idx="28">
                  <c:v>700.00000000000011</c:v>
                </c:pt>
                <c:pt idx="29">
                  <c:v>725</c:v>
                </c:pt>
                <c:pt idx="30">
                  <c:v>750</c:v>
                </c:pt>
                <c:pt idx="31">
                  <c:v>775</c:v>
                </c:pt>
                <c:pt idx="32">
                  <c:v>800</c:v>
                </c:pt>
                <c:pt idx="33">
                  <c:v>825.00000000000011</c:v>
                </c:pt>
                <c:pt idx="34">
                  <c:v>850.00000000000011</c:v>
                </c:pt>
                <c:pt idx="35">
                  <c:v>875</c:v>
                </c:pt>
                <c:pt idx="36">
                  <c:v>899.99999999999989</c:v>
                </c:pt>
                <c:pt idx="37">
                  <c:v>925</c:v>
                </c:pt>
                <c:pt idx="38">
                  <c:v>950</c:v>
                </c:pt>
                <c:pt idx="39">
                  <c:v>975.00000000000011</c:v>
                </c:pt>
                <c:pt idx="40">
                  <c:v>1000</c:v>
                </c:pt>
                <c:pt idx="41">
                  <c:v>1025</c:v>
                </c:pt>
                <c:pt idx="42">
                  <c:v>1050</c:v>
                </c:pt>
                <c:pt idx="43">
                  <c:v>1075</c:v>
                </c:pt>
                <c:pt idx="44">
                  <c:v>1100</c:v>
                </c:pt>
                <c:pt idx="45">
                  <c:v>1125</c:v>
                </c:pt>
                <c:pt idx="46">
                  <c:v>1150.0000000000002</c:v>
                </c:pt>
                <c:pt idx="47">
                  <c:v>1174.9999999999998</c:v>
                </c:pt>
                <c:pt idx="48">
                  <c:v>1200</c:v>
                </c:pt>
                <c:pt idx="49">
                  <c:v>1225</c:v>
                </c:pt>
                <c:pt idx="50">
                  <c:v>1250</c:v>
                </c:pt>
                <c:pt idx="51">
                  <c:v>1275</c:v>
                </c:pt>
                <c:pt idx="52">
                  <c:v>1300</c:v>
                </c:pt>
                <c:pt idx="53">
                  <c:v>1325.0000000000002</c:v>
                </c:pt>
                <c:pt idx="54">
                  <c:v>1350</c:v>
                </c:pt>
                <c:pt idx="55">
                  <c:v>1375</c:v>
                </c:pt>
                <c:pt idx="56">
                  <c:v>1400.0000000000002</c:v>
                </c:pt>
                <c:pt idx="57">
                  <c:v>1424.9999999999998</c:v>
                </c:pt>
                <c:pt idx="58">
                  <c:v>1450</c:v>
                </c:pt>
                <c:pt idx="59">
                  <c:v>1474.9999999999998</c:v>
                </c:pt>
                <c:pt idx="60">
                  <c:v>1500</c:v>
                </c:pt>
                <c:pt idx="61">
                  <c:v>1525</c:v>
                </c:pt>
                <c:pt idx="62">
                  <c:v>1550</c:v>
                </c:pt>
                <c:pt idx="63">
                  <c:v>1575</c:v>
                </c:pt>
                <c:pt idx="64">
                  <c:v>1600</c:v>
                </c:pt>
                <c:pt idx="65">
                  <c:v>1625</c:v>
                </c:pt>
                <c:pt idx="66">
                  <c:v>1650.0000000000002</c:v>
                </c:pt>
                <c:pt idx="67">
                  <c:v>1675</c:v>
                </c:pt>
                <c:pt idx="68">
                  <c:v>1700.0000000000002</c:v>
                </c:pt>
                <c:pt idx="69">
                  <c:v>1724.9999999999998</c:v>
                </c:pt>
                <c:pt idx="70">
                  <c:v>1750</c:v>
                </c:pt>
                <c:pt idx="71">
                  <c:v>1775</c:v>
                </c:pt>
                <c:pt idx="72">
                  <c:v>1799.9999999999998</c:v>
                </c:pt>
                <c:pt idx="73">
                  <c:v>1825</c:v>
                </c:pt>
                <c:pt idx="74">
                  <c:v>1850</c:v>
                </c:pt>
                <c:pt idx="75">
                  <c:v>1875</c:v>
                </c:pt>
                <c:pt idx="76">
                  <c:v>1900</c:v>
                </c:pt>
                <c:pt idx="77">
                  <c:v>1925</c:v>
                </c:pt>
                <c:pt idx="78">
                  <c:v>1950.0000000000002</c:v>
                </c:pt>
                <c:pt idx="79">
                  <c:v>1975</c:v>
                </c:pt>
                <c:pt idx="80">
                  <c:v>2000</c:v>
                </c:pt>
                <c:pt idx="81">
                  <c:v>2025.0000000000005</c:v>
                </c:pt>
                <c:pt idx="82">
                  <c:v>2050</c:v>
                </c:pt>
                <c:pt idx="83">
                  <c:v>2074.9999999999995</c:v>
                </c:pt>
                <c:pt idx="84">
                  <c:v>2100</c:v>
                </c:pt>
                <c:pt idx="85">
                  <c:v>2125</c:v>
                </c:pt>
                <c:pt idx="86">
                  <c:v>2150</c:v>
                </c:pt>
                <c:pt idx="87">
                  <c:v>2175</c:v>
                </c:pt>
                <c:pt idx="88">
                  <c:v>2200</c:v>
                </c:pt>
                <c:pt idx="89">
                  <c:v>2225</c:v>
                </c:pt>
                <c:pt idx="90">
                  <c:v>2250</c:v>
                </c:pt>
                <c:pt idx="91">
                  <c:v>2275</c:v>
                </c:pt>
                <c:pt idx="92">
                  <c:v>2300.0000000000005</c:v>
                </c:pt>
                <c:pt idx="93">
                  <c:v>2325</c:v>
                </c:pt>
                <c:pt idx="94">
                  <c:v>2349.9999999999995</c:v>
                </c:pt>
                <c:pt idx="95">
                  <c:v>2375</c:v>
                </c:pt>
                <c:pt idx="96">
                  <c:v>2400</c:v>
                </c:pt>
                <c:pt idx="97">
                  <c:v>2425</c:v>
                </c:pt>
                <c:pt idx="98">
                  <c:v>2450</c:v>
                </c:pt>
                <c:pt idx="99">
                  <c:v>2475</c:v>
                </c:pt>
                <c:pt idx="100">
                  <c:v>2500</c:v>
                </c:pt>
              </c:numCache>
            </c:numRef>
          </c:cat>
          <c:val>
            <c:numRef>
              <c:f>'Calculations - Single'!$AK$5:$AK$105</c:f>
              <c:numCache>
                <c:formatCode>0.000</c:formatCode>
                <c:ptCount val="101"/>
                <c:pt idx="0">
                  <c:v>1.0068571428571429</c:v>
                </c:pt>
                <c:pt idx="1">
                  <c:v>1.0155506696585084</c:v>
                </c:pt>
                <c:pt idx="2">
                  <c:v>1.0311013393170168</c:v>
                </c:pt>
                <c:pt idx="3">
                  <c:v>1.0466520089755251</c:v>
                </c:pt>
                <c:pt idx="4">
                  <c:v>1.0622026786340335</c:v>
                </c:pt>
                <c:pt idx="5">
                  <c:v>1.0777533482925421</c:v>
                </c:pt>
                <c:pt idx="6">
                  <c:v>1.0933040179510505</c:v>
                </c:pt>
                <c:pt idx="7">
                  <c:v>1.1088546876095589</c:v>
                </c:pt>
                <c:pt idx="8">
                  <c:v>1.1244053572680672</c:v>
                </c:pt>
                <c:pt idx="9">
                  <c:v>1.1399560269265756</c:v>
                </c:pt>
                <c:pt idx="10">
                  <c:v>1.155506696585084</c:v>
                </c:pt>
                <c:pt idx="11">
                  <c:v>1.1710573662435924</c:v>
                </c:pt>
                <c:pt idx="12">
                  <c:v>1.1866080359021007</c:v>
                </c:pt>
                <c:pt idx="13">
                  <c:v>1.2132946096809929</c:v>
                </c:pt>
                <c:pt idx="14">
                  <c:v>1.3070438136184379</c:v>
                </c:pt>
                <c:pt idx="15">
                  <c:v>1.3975032193037462</c:v>
                </c:pt>
                <c:pt idx="16">
                  <c:v>1.4849968726852794</c:v>
                </c:pt>
                <c:pt idx="17">
                  <c:v>1.5697988764111082</c:v>
                </c:pt>
                <c:pt idx="18">
                  <c:v>1.652143544768863</c:v>
                </c:pt>
                <c:pt idx="19">
                  <c:v>1.732233048700992</c:v>
                </c:pt>
                <c:pt idx="20">
                  <c:v>1.8102432698788529</c:v>
                </c:pt>
                <c:pt idx="21">
                  <c:v>1.8863283513943219</c:v>
                </c:pt>
                <c:pt idx="22">
                  <c:v>1.9606242831205414</c:v>
                </c:pt>
                <c:pt idx="23">
                  <c:v>2.0332517608145917</c:v>
                </c:pt>
                <c:pt idx="24">
                  <c:v>2.1043184910607806</c:v>
                </c:pt>
                <c:pt idx="25">
                  <c:v>2.1739210679378047</c:v>
                </c:pt>
                <c:pt idx="26">
                  <c:v>2.2421465148321271</c:v>
                </c:pt>
                <c:pt idx="27">
                  <c:v>2.3090735616505116</c:v>
                </c:pt>
                <c:pt idx="28">
                  <c:v>2.3747737109028262</c:v>
                </c:pt>
                <c:pt idx="29">
                  <c:v>2.4393121338066668</c:v>
                </c:pt>
                <c:pt idx="30">
                  <c:v>2.5027484284092161</c:v>
                </c:pt>
                <c:pt idx="31">
                  <c:v>2.5651372648387412</c:v>
                </c:pt>
                <c:pt idx="32">
                  <c:v>2.6265289375691223</c:v>
                </c:pt>
                <c:pt idx="33">
                  <c:v>2.6869698405692866</c:v>
                </c:pt>
                <c:pt idx="34">
                  <c:v>2.7465028781036587</c:v>
                </c:pt>
                <c:pt idx="35">
                  <c:v>2.8051678215248748</c:v>
                </c:pt>
                <c:pt idx="36">
                  <c:v>2.863001620491505</c:v>
                </c:pt>
                <c:pt idx="37">
                  <c:v>2.9200386755302334</c:v>
                </c:pt>
                <c:pt idx="38">
                  <c:v>2.9763110776536603</c:v>
                </c:pt>
                <c:pt idx="39">
                  <c:v>3.0318488197736704</c:v>
                </c:pt>
                <c:pt idx="40">
                  <c:v>3.0866799838648173</c:v>
                </c:pt>
                <c:pt idx="41">
                  <c:v>3.1408309071931955</c:v>
                </c:pt>
                <c:pt idx="42">
                  <c:v>3.1943263304034799</c:v>
                </c:pt>
                <c:pt idx="43">
                  <c:v>3.2471895298269509</c:v>
                </c:pt>
                <c:pt idx="44">
                  <c:v>3.2994424360180359</c:v>
                </c:pt>
                <c:pt idx="45">
                  <c:v>3.351105740231791</c:v>
                </c:pt>
                <c:pt idx="46">
                  <c:v>3.4021989903087526</c:v>
                </c:pt>
                <c:pt idx="47">
                  <c:v>3.4527406772272542</c:v>
                </c:pt>
                <c:pt idx="48">
                  <c:v>3.5027483134100379</c:v>
                </c:pt>
                <c:pt idx="49">
                  <c:v>3.5522385037253548</c:v>
                </c:pt>
                <c:pt idx="50">
                  <c:v>3.6012270099987544</c:v>
                </c:pt>
                <c:pt idx="51">
                  <c:v>3.6497288097460361</c:v>
                </c:pt>
                <c:pt idx="52">
                  <c:v>3.6977581497477479</c:v>
                </c:pt>
                <c:pt idx="53">
                  <c:v>3.7453285950084076</c:v>
                </c:pt>
                <c:pt idx="54">
                  <c:v>3.7924530735772608</c:v>
                </c:pt>
                <c:pt idx="55">
                  <c:v>3.8391439176502971</c:v>
                </c:pt>
                <c:pt idx="56">
                  <c:v>3.885412901323793</c:v>
                </c:pt>
                <c:pt idx="57">
                  <c:v>3.9312712753268917</c:v>
                </c:pt>
                <c:pt idx="58">
                  <c:v>3.9767297990235146</c:v>
                </c:pt>
                <c:pt idx="59">
                  <c:v>4.0217987699414968</c:v>
                </c:pt>
                <c:pt idx="60">
                  <c:v>4.0664880510585544</c:v>
                </c:pt>
                <c:pt idx="61">
                  <c:v>4.1108070960498839</c:v>
                </c:pt>
                <c:pt idx="62">
                  <c:v>4.1547649726804918</c:v>
                </c:pt>
                <c:pt idx="63">
                  <c:v>4.1983703845061973</c:v>
                </c:pt>
                <c:pt idx="64">
                  <c:v>4.2416316910304159</c:v>
                </c:pt>
                <c:pt idx="65">
                  <c:v>4.2845569264489365</c:v>
                </c:pt>
                <c:pt idx="66">
                  <c:v>4.3271538171017436</c:v>
                </c:pt>
                <c:pt idx="67">
                  <c:v>4.3694297977392367</c:v>
                </c:pt>
                <c:pt idx="68">
                  <c:v>4.411392026699839</c:v>
                </c:pt>
                <c:pt idx="69">
                  <c:v>4.4530474000867235</c:v>
                </c:pt>
                <c:pt idx="70">
                  <c:v>4.4944025650231731</c:v>
                </c:pt>
                <c:pt idx="71">
                  <c:v>4.5354639320587271</c:v>
                </c:pt>
                <c:pt idx="72">
                  <c:v>4.5762376867916634</c:v>
                </c:pt>
                <c:pt idx="73">
                  <c:v>4.6167298007674962</c:v>
                </c:pt>
                <c:pt idx="74">
                  <c:v>4.6569460417078528</c:v>
                </c:pt>
                <c:pt idx="75">
                  <c:v>4.6968919831193352</c:v>
                </c:pt>
                <c:pt idx="76">
                  <c:v>4.7365730133276953</c:v>
                </c:pt>
                <c:pt idx="77">
                  <c:v>4.7759943439787822</c:v>
                </c:pt>
                <c:pt idx="78">
                  <c:v>4.8151610180442246</c:v>
                </c:pt>
                <c:pt idx="79">
                  <c:v>4.8540779173666833</c:v>
                </c:pt>
                <c:pt idx="80">
                  <c:v>4.8927497697765956</c:v>
                </c:pt>
                <c:pt idx="81">
                  <c:v>4.931181155809826</c:v>
                </c:pt>
                <c:pt idx="82">
                  <c:v>4.9694103019146025</c:v>
                </c:pt>
                <c:pt idx="83">
                  <c:v>5.0074546302776941</c:v>
                </c:pt>
                <c:pt idx="84">
                  <c:v>5.0452738596349667</c:v>
                </c:pt>
                <c:pt idx="85">
                  <c:v>5.0921047699322797</c:v>
                </c:pt>
                <c:pt idx="86">
                  <c:v>5.1671077738604572</c:v>
                </c:pt>
                <c:pt idx="87">
                  <c:v>5.2422645464663358</c:v>
                </c:pt>
                <c:pt idx="88">
                  <c:v>5.3173466770248243</c:v>
                </c:pt>
                <c:pt idx="89">
                  <c:v>5.3924342542590988</c:v>
                </c:pt>
                <c:pt idx="90">
                  <c:v>5.4675272789309703</c:v>
                </c:pt>
                <c:pt idx="91">
                  <c:v>5.5426257518026389</c:v>
                </c:pt>
                <c:pt idx="92">
                  <c:v>5.6177296736366955</c:v>
                </c:pt>
                <c:pt idx="93">
                  <c:v>5.6928390451960906</c:v>
                </c:pt>
                <c:pt idx="94">
                  <c:v>5.7679538672441462</c:v>
                </c:pt>
                <c:pt idx="95">
                  <c:v>5.8430741405445188</c:v>
                </c:pt>
                <c:pt idx="96">
                  <c:v>5.9181998658612045</c:v>
                </c:pt>
                <c:pt idx="97">
                  <c:v>5.9933310439585252</c:v>
                </c:pt>
                <c:pt idx="98">
                  <c:v>6.06846767560112</c:v>
                </c:pt>
                <c:pt idx="99">
                  <c:v>6.1436097615539298</c:v>
                </c:pt>
                <c:pt idx="100">
                  <c:v>6.2187573025822021</c:v>
                </c:pt>
              </c:numCache>
            </c:numRef>
          </c:val>
          <c:smooth val="0"/>
          <c:extLst>
            <c:ext xmlns:c16="http://schemas.microsoft.com/office/drawing/2014/chart" uri="{C3380CC4-5D6E-409C-BE32-E72D297353CC}">
              <c16:uniqueId val="{00000001-745B-46F7-8EAC-D410ADA60268}"/>
            </c:ext>
          </c:extLst>
        </c:ser>
        <c:ser>
          <c:idx val="2"/>
          <c:order val="2"/>
          <c:tx>
            <c:v>VIN-max</c:v>
          </c:tx>
          <c:spPr>
            <a:ln>
              <a:solidFill>
                <a:srgbClr val="FF0000"/>
              </a:solidFill>
              <a:prstDash val="solid"/>
            </a:ln>
          </c:spPr>
          <c:marker>
            <c:symbol val="none"/>
          </c:marker>
          <c:val>
            <c:numRef>
              <c:f>'Calculations - Single'!$AK$216:$AK$316</c:f>
              <c:numCache>
                <c:formatCode>0.000</c:formatCode>
                <c:ptCount val="101"/>
                <c:pt idx="0">
                  <c:v>1.0068571428571429</c:v>
                </c:pt>
                <c:pt idx="1">
                  <c:v>1.0155506696585084</c:v>
                </c:pt>
                <c:pt idx="2">
                  <c:v>1.0311013393170168</c:v>
                </c:pt>
                <c:pt idx="3">
                  <c:v>1.0466520089755251</c:v>
                </c:pt>
                <c:pt idx="4">
                  <c:v>1.0622026786340335</c:v>
                </c:pt>
                <c:pt idx="5">
                  <c:v>1.0777533482925421</c:v>
                </c:pt>
                <c:pt idx="6">
                  <c:v>1.0933040179510505</c:v>
                </c:pt>
                <c:pt idx="7">
                  <c:v>1.1088546876095589</c:v>
                </c:pt>
                <c:pt idx="8">
                  <c:v>1.1244053572680672</c:v>
                </c:pt>
                <c:pt idx="9">
                  <c:v>1.1399560269265756</c:v>
                </c:pt>
                <c:pt idx="10">
                  <c:v>1.155506696585084</c:v>
                </c:pt>
                <c:pt idx="11">
                  <c:v>1.1710573662435924</c:v>
                </c:pt>
                <c:pt idx="12">
                  <c:v>1.1866080359021007</c:v>
                </c:pt>
                <c:pt idx="13">
                  <c:v>1.2132946096809929</c:v>
                </c:pt>
                <c:pt idx="14">
                  <c:v>1.3070438136184379</c:v>
                </c:pt>
                <c:pt idx="15">
                  <c:v>1.3975032193037462</c:v>
                </c:pt>
                <c:pt idx="16">
                  <c:v>1.4849968726852794</c:v>
                </c:pt>
                <c:pt idx="17">
                  <c:v>1.5697988764111082</c:v>
                </c:pt>
                <c:pt idx="18">
                  <c:v>1.652143544768863</c:v>
                </c:pt>
                <c:pt idx="19">
                  <c:v>1.732233048700992</c:v>
                </c:pt>
                <c:pt idx="20">
                  <c:v>1.8102432698788529</c:v>
                </c:pt>
                <c:pt idx="21">
                  <c:v>1.8863283513943219</c:v>
                </c:pt>
                <c:pt idx="22">
                  <c:v>1.9606242831205414</c:v>
                </c:pt>
                <c:pt idx="23">
                  <c:v>2.0332517608145917</c:v>
                </c:pt>
                <c:pt idx="24">
                  <c:v>2.1043184910607806</c:v>
                </c:pt>
                <c:pt idx="25">
                  <c:v>2.1739210679378047</c:v>
                </c:pt>
                <c:pt idx="26">
                  <c:v>2.2421465148321271</c:v>
                </c:pt>
                <c:pt idx="27">
                  <c:v>2.3090735616505116</c:v>
                </c:pt>
                <c:pt idx="28">
                  <c:v>2.3747737109028262</c:v>
                </c:pt>
                <c:pt idx="29">
                  <c:v>2.4393121338066668</c:v>
                </c:pt>
                <c:pt idx="30">
                  <c:v>2.5027484284092161</c:v>
                </c:pt>
                <c:pt idx="31">
                  <c:v>2.5651372648387412</c:v>
                </c:pt>
                <c:pt idx="32">
                  <c:v>2.6265289375691223</c:v>
                </c:pt>
                <c:pt idx="33">
                  <c:v>2.6869698405692866</c:v>
                </c:pt>
                <c:pt idx="34">
                  <c:v>2.7465028781036587</c:v>
                </c:pt>
                <c:pt idx="35">
                  <c:v>2.8051678215248748</c:v>
                </c:pt>
                <c:pt idx="36">
                  <c:v>2.863001620491505</c:v>
                </c:pt>
                <c:pt idx="37">
                  <c:v>2.9200386755302334</c:v>
                </c:pt>
                <c:pt idx="38">
                  <c:v>2.9763110776536603</c:v>
                </c:pt>
                <c:pt idx="39">
                  <c:v>3.0318488197736704</c:v>
                </c:pt>
                <c:pt idx="40">
                  <c:v>3.0866799838648173</c:v>
                </c:pt>
                <c:pt idx="41">
                  <c:v>3.1408309071931955</c:v>
                </c:pt>
                <c:pt idx="42">
                  <c:v>3.1943263304034799</c:v>
                </c:pt>
                <c:pt idx="43">
                  <c:v>3.2471895298269509</c:v>
                </c:pt>
                <c:pt idx="44">
                  <c:v>3.2994424360180359</c:v>
                </c:pt>
                <c:pt idx="45">
                  <c:v>3.351105740231791</c:v>
                </c:pt>
                <c:pt idx="46">
                  <c:v>3.4021989903087526</c:v>
                </c:pt>
                <c:pt idx="47">
                  <c:v>3.4527406772272542</c:v>
                </c:pt>
                <c:pt idx="48">
                  <c:v>3.5027483134100379</c:v>
                </c:pt>
                <c:pt idx="49">
                  <c:v>3.5522385037253548</c:v>
                </c:pt>
                <c:pt idx="50">
                  <c:v>3.6012270099987544</c:v>
                </c:pt>
                <c:pt idx="51">
                  <c:v>3.6497288097460361</c:v>
                </c:pt>
                <c:pt idx="52">
                  <c:v>3.6977581497477479</c:v>
                </c:pt>
                <c:pt idx="53">
                  <c:v>3.7453285950084076</c:v>
                </c:pt>
                <c:pt idx="54">
                  <c:v>3.7924530735772608</c:v>
                </c:pt>
                <c:pt idx="55">
                  <c:v>3.8391439176502971</c:v>
                </c:pt>
                <c:pt idx="56">
                  <c:v>3.885412901323793</c:v>
                </c:pt>
                <c:pt idx="57">
                  <c:v>3.9312712753268917</c:v>
                </c:pt>
                <c:pt idx="58">
                  <c:v>3.9767297990235146</c:v>
                </c:pt>
                <c:pt idx="59">
                  <c:v>4.0217987699414968</c:v>
                </c:pt>
                <c:pt idx="60">
                  <c:v>4.0664880510585544</c:v>
                </c:pt>
                <c:pt idx="61">
                  <c:v>4.1108070960498839</c:v>
                </c:pt>
                <c:pt idx="62">
                  <c:v>4.1547649726804918</c:v>
                </c:pt>
                <c:pt idx="63">
                  <c:v>4.1983703845061973</c:v>
                </c:pt>
                <c:pt idx="64">
                  <c:v>4.2416316910304159</c:v>
                </c:pt>
                <c:pt idx="65">
                  <c:v>4.2845569264489365</c:v>
                </c:pt>
                <c:pt idx="66">
                  <c:v>4.3271538171017436</c:v>
                </c:pt>
                <c:pt idx="67">
                  <c:v>4.3694297977392367</c:v>
                </c:pt>
                <c:pt idx="68">
                  <c:v>4.411392026699839</c:v>
                </c:pt>
                <c:pt idx="69">
                  <c:v>4.4530474000867235</c:v>
                </c:pt>
                <c:pt idx="70">
                  <c:v>4.4944025650231731</c:v>
                </c:pt>
                <c:pt idx="71">
                  <c:v>4.5354639320587271</c:v>
                </c:pt>
                <c:pt idx="72">
                  <c:v>4.5762376867916634</c:v>
                </c:pt>
                <c:pt idx="73">
                  <c:v>4.6167298007674962</c:v>
                </c:pt>
                <c:pt idx="74">
                  <c:v>4.6569460417078528</c:v>
                </c:pt>
                <c:pt idx="75">
                  <c:v>4.6968919831193352</c:v>
                </c:pt>
                <c:pt idx="76">
                  <c:v>4.7365730133276953</c:v>
                </c:pt>
                <c:pt idx="77">
                  <c:v>4.7759943439787822</c:v>
                </c:pt>
                <c:pt idx="78">
                  <c:v>4.8151610180442246</c:v>
                </c:pt>
                <c:pt idx="79">
                  <c:v>4.8540779173666833</c:v>
                </c:pt>
                <c:pt idx="80">
                  <c:v>4.8927497697765956</c:v>
                </c:pt>
                <c:pt idx="81">
                  <c:v>4.931181155809826</c:v>
                </c:pt>
                <c:pt idx="82">
                  <c:v>4.9693765150532156</c:v>
                </c:pt>
                <c:pt idx="83">
                  <c:v>5.0073401521429179</c:v>
                </c:pt>
                <c:pt idx="84">
                  <c:v>5.0450762424384799</c:v>
                </c:pt>
                <c:pt idx="85">
                  <c:v>5.0825888373938044</c:v>
                </c:pt>
                <c:pt idx="86">
                  <c:v>5.1198818696445967</c:v>
                </c:pt>
                <c:pt idx="87">
                  <c:v>5.1569591578303475</c:v>
                </c:pt>
                <c:pt idx="88">
                  <c:v>5.1938244111675802</c:v>
                </c:pt>
                <c:pt idx="89">
                  <c:v>5.2304812337898978</c:v>
                </c:pt>
                <c:pt idx="90">
                  <c:v>5.2669331288691801</c:v>
                </c:pt>
                <c:pt idx="91">
                  <c:v>5.3031835025312697</c:v>
                </c:pt>
                <c:pt idx="92">
                  <c:v>5.3392356675785404</c:v>
                </c:pt>
                <c:pt idx="93">
                  <c:v>5.3750928470308681</c:v>
                </c:pt>
                <c:pt idx="94">
                  <c:v>5.4107581774956977</c:v>
                </c:pt>
                <c:pt idx="95">
                  <c:v>5.4462347123772092</c:v>
                </c:pt>
                <c:pt idx="96">
                  <c:v>5.4815254249338388</c:v>
                </c:pt>
                <c:pt idx="97">
                  <c:v>5.516633211192854</c:v>
                </c:pt>
                <c:pt idx="98">
                  <c:v>5.5515608927300537</c:v>
                </c:pt>
                <c:pt idx="99">
                  <c:v>5.5863112193221305</c:v>
                </c:pt>
                <c:pt idx="100">
                  <c:v>5.6208868714787892</c:v>
                </c:pt>
              </c:numCache>
            </c:numRef>
          </c:val>
          <c:smooth val="0"/>
          <c:extLst>
            <c:ext xmlns:c16="http://schemas.microsoft.com/office/drawing/2014/chart" uri="{C3380CC4-5D6E-409C-BE32-E72D297353CC}">
              <c16:uniqueId val="{00000002-745B-46F7-8EAC-D410ADA60268}"/>
            </c:ext>
          </c:extLst>
        </c:ser>
        <c:dLbls>
          <c:showLegendKey val="0"/>
          <c:showVal val="0"/>
          <c:showCatName val="0"/>
          <c:showSerName val="0"/>
          <c:showPercent val="0"/>
          <c:showBubbleSize val="0"/>
        </c:dLbls>
        <c:smooth val="0"/>
        <c:axId val="448925696"/>
        <c:axId val="448927616"/>
      </c:lineChart>
      <c:catAx>
        <c:axId val="44892569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48927616"/>
        <c:crosses val="autoZero"/>
        <c:auto val="1"/>
        <c:lblAlgn val="ctr"/>
        <c:lblOffset val="100"/>
        <c:tickLblSkip val="20"/>
        <c:tickMarkSkip val="10"/>
        <c:noMultiLvlLbl val="0"/>
      </c:catAx>
      <c:valAx>
        <c:axId val="448927616"/>
        <c:scaling>
          <c:orientation val="minMax"/>
          <c:max val="2.2000000000000002"/>
          <c:min val="1"/>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COMP</a:t>
                </a:r>
                <a:r>
                  <a:rPr lang="en-US" sz="1200" b="1" baseline="0">
                    <a:solidFill>
                      <a:schemeClr val="tx1"/>
                    </a:solidFill>
                    <a:latin typeface="Arial" pitchFamily="34" charset="0"/>
                    <a:cs typeface="Arial" pitchFamily="34" charset="0"/>
                  </a:rPr>
                  <a:t> Voltage (V)</a:t>
                </a:r>
                <a:endParaRPr lang="en-US" sz="1200" b="1">
                  <a:solidFill>
                    <a:schemeClr val="tx1"/>
                  </a:solidFill>
                  <a:latin typeface="Arial" pitchFamily="34" charset="0"/>
                  <a:cs typeface="Arial" pitchFamily="34" charset="0"/>
                </a:endParaRPr>
              </a:p>
            </c:rich>
          </c:tx>
          <c:layout>
            <c:manualLayout>
              <c:xMode val="edge"/>
              <c:yMode val="edge"/>
              <c:x val="1.5939635452545176E-2"/>
              <c:y val="0.34603169988013316"/>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48925696"/>
        <c:crossesAt val="0"/>
        <c:crossBetween val="between"/>
        <c:majorUnit val="0.2"/>
        <c:minorUnit val="0.1"/>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lang="ja-JP"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Single'!$AM$5:$AM$105</c:f>
              <c:numCache>
                <c:formatCode>0</c:formatCode>
                <c:ptCount val="101"/>
                <c:pt idx="0">
                  <c:v>1.0000000000000002E-6</c:v>
                </c:pt>
                <c:pt idx="1">
                  <c:v>25</c:v>
                </c:pt>
                <c:pt idx="2">
                  <c:v>50</c:v>
                </c:pt>
                <c:pt idx="3">
                  <c:v>75</c:v>
                </c:pt>
                <c:pt idx="4">
                  <c:v>100</c:v>
                </c:pt>
                <c:pt idx="5">
                  <c:v>125</c:v>
                </c:pt>
                <c:pt idx="6">
                  <c:v>150</c:v>
                </c:pt>
                <c:pt idx="7">
                  <c:v>175.00000000000003</c:v>
                </c:pt>
                <c:pt idx="8">
                  <c:v>200</c:v>
                </c:pt>
                <c:pt idx="9">
                  <c:v>224.99999999999997</c:v>
                </c:pt>
                <c:pt idx="10">
                  <c:v>250</c:v>
                </c:pt>
                <c:pt idx="11">
                  <c:v>275</c:v>
                </c:pt>
                <c:pt idx="12">
                  <c:v>300</c:v>
                </c:pt>
                <c:pt idx="13">
                  <c:v>325</c:v>
                </c:pt>
                <c:pt idx="14">
                  <c:v>350.00000000000006</c:v>
                </c:pt>
                <c:pt idx="15">
                  <c:v>375</c:v>
                </c:pt>
                <c:pt idx="16">
                  <c:v>400</c:v>
                </c:pt>
                <c:pt idx="17">
                  <c:v>425.00000000000006</c:v>
                </c:pt>
                <c:pt idx="18">
                  <c:v>449.99999999999994</c:v>
                </c:pt>
                <c:pt idx="19">
                  <c:v>475</c:v>
                </c:pt>
                <c:pt idx="20">
                  <c:v>500</c:v>
                </c:pt>
                <c:pt idx="21">
                  <c:v>525</c:v>
                </c:pt>
                <c:pt idx="22">
                  <c:v>550</c:v>
                </c:pt>
                <c:pt idx="23">
                  <c:v>575.00000000000011</c:v>
                </c:pt>
                <c:pt idx="24">
                  <c:v>600</c:v>
                </c:pt>
                <c:pt idx="25">
                  <c:v>625</c:v>
                </c:pt>
                <c:pt idx="26">
                  <c:v>650</c:v>
                </c:pt>
                <c:pt idx="27">
                  <c:v>675</c:v>
                </c:pt>
                <c:pt idx="28">
                  <c:v>700.00000000000011</c:v>
                </c:pt>
                <c:pt idx="29">
                  <c:v>725</c:v>
                </c:pt>
                <c:pt idx="30">
                  <c:v>750</c:v>
                </c:pt>
                <c:pt idx="31">
                  <c:v>775</c:v>
                </c:pt>
                <c:pt idx="32">
                  <c:v>800</c:v>
                </c:pt>
                <c:pt idx="33">
                  <c:v>825.00000000000011</c:v>
                </c:pt>
                <c:pt idx="34">
                  <c:v>850.00000000000011</c:v>
                </c:pt>
                <c:pt idx="35">
                  <c:v>875</c:v>
                </c:pt>
                <c:pt idx="36">
                  <c:v>899.99999999999989</c:v>
                </c:pt>
                <c:pt idx="37">
                  <c:v>925</c:v>
                </c:pt>
                <c:pt idx="38">
                  <c:v>950</c:v>
                </c:pt>
                <c:pt idx="39">
                  <c:v>975.00000000000011</c:v>
                </c:pt>
                <c:pt idx="40">
                  <c:v>1000</c:v>
                </c:pt>
                <c:pt idx="41">
                  <c:v>1025</c:v>
                </c:pt>
                <c:pt idx="42">
                  <c:v>1050</c:v>
                </c:pt>
                <c:pt idx="43">
                  <c:v>1075</c:v>
                </c:pt>
                <c:pt idx="44">
                  <c:v>1100</c:v>
                </c:pt>
                <c:pt idx="45">
                  <c:v>1125</c:v>
                </c:pt>
                <c:pt idx="46">
                  <c:v>1150.0000000000002</c:v>
                </c:pt>
                <c:pt idx="47">
                  <c:v>1174.9999999999998</c:v>
                </c:pt>
                <c:pt idx="48">
                  <c:v>1200</c:v>
                </c:pt>
                <c:pt idx="49">
                  <c:v>1225</c:v>
                </c:pt>
                <c:pt idx="50">
                  <c:v>1250</c:v>
                </c:pt>
                <c:pt idx="51">
                  <c:v>1275</c:v>
                </c:pt>
                <c:pt idx="52">
                  <c:v>1300</c:v>
                </c:pt>
                <c:pt idx="53">
                  <c:v>1325.0000000000002</c:v>
                </c:pt>
                <c:pt idx="54">
                  <c:v>1350</c:v>
                </c:pt>
                <c:pt idx="55">
                  <c:v>1375</c:v>
                </c:pt>
                <c:pt idx="56">
                  <c:v>1400.0000000000002</c:v>
                </c:pt>
                <c:pt idx="57">
                  <c:v>1424.9999999999998</c:v>
                </c:pt>
                <c:pt idx="58">
                  <c:v>1450</c:v>
                </c:pt>
                <c:pt idx="59">
                  <c:v>1474.9999999999998</c:v>
                </c:pt>
                <c:pt idx="60">
                  <c:v>1500</c:v>
                </c:pt>
                <c:pt idx="61">
                  <c:v>1525</c:v>
                </c:pt>
                <c:pt idx="62">
                  <c:v>1550</c:v>
                </c:pt>
                <c:pt idx="63">
                  <c:v>1575</c:v>
                </c:pt>
                <c:pt idx="64">
                  <c:v>1600</c:v>
                </c:pt>
                <c:pt idx="65">
                  <c:v>1625</c:v>
                </c:pt>
                <c:pt idx="66">
                  <c:v>1650.0000000000002</c:v>
                </c:pt>
                <c:pt idx="67">
                  <c:v>1675</c:v>
                </c:pt>
                <c:pt idx="68">
                  <c:v>1700.0000000000002</c:v>
                </c:pt>
                <c:pt idx="69">
                  <c:v>1724.9999999999998</c:v>
                </c:pt>
                <c:pt idx="70">
                  <c:v>1750</c:v>
                </c:pt>
                <c:pt idx="71">
                  <c:v>1775</c:v>
                </c:pt>
                <c:pt idx="72">
                  <c:v>1799.9999999999998</c:v>
                </c:pt>
                <c:pt idx="73">
                  <c:v>1825</c:v>
                </c:pt>
                <c:pt idx="74">
                  <c:v>1850</c:v>
                </c:pt>
                <c:pt idx="75">
                  <c:v>1875</c:v>
                </c:pt>
                <c:pt idx="76">
                  <c:v>1900</c:v>
                </c:pt>
                <c:pt idx="77">
                  <c:v>1925</c:v>
                </c:pt>
                <c:pt idx="78">
                  <c:v>1950.0000000000002</c:v>
                </c:pt>
                <c:pt idx="79">
                  <c:v>1975</c:v>
                </c:pt>
                <c:pt idx="80">
                  <c:v>2000</c:v>
                </c:pt>
                <c:pt idx="81">
                  <c:v>2025.0000000000005</c:v>
                </c:pt>
                <c:pt idx="82">
                  <c:v>2050</c:v>
                </c:pt>
                <c:pt idx="83">
                  <c:v>2074.9999999999995</c:v>
                </c:pt>
                <c:pt idx="84">
                  <c:v>2100</c:v>
                </c:pt>
                <c:pt idx="85">
                  <c:v>2125</c:v>
                </c:pt>
                <c:pt idx="86">
                  <c:v>2150</c:v>
                </c:pt>
                <c:pt idx="87">
                  <c:v>2175</c:v>
                </c:pt>
                <c:pt idx="88">
                  <c:v>2200</c:v>
                </c:pt>
                <c:pt idx="89">
                  <c:v>2225</c:v>
                </c:pt>
                <c:pt idx="90">
                  <c:v>2250</c:v>
                </c:pt>
                <c:pt idx="91">
                  <c:v>2275</c:v>
                </c:pt>
                <c:pt idx="92">
                  <c:v>2300.0000000000005</c:v>
                </c:pt>
                <c:pt idx="93">
                  <c:v>2325</c:v>
                </c:pt>
                <c:pt idx="94">
                  <c:v>2349.9999999999995</c:v>
                </c:pt>
                <c:pt idx="95">
                  <c:v>2375</c:v>
                </c:pt>
                <c:pt idx="96">
                  <c:v>2400</c:v>
                </c:pt>
                <c:pt idx="97">
                  <c:v>2425</c:v>
                </c:pt>
                <c:pt idx="98">
                  <c:v>2450</c:v>
                </c:pt>
                <c:pt idx="99">
                  <c:v>2475</c:v>
                </c:pt>
                <c:pt idx="100">
                  <c:v>2500</c:v>
                </c:pt>
              </c:numCache>
            </c:numRef>
          </c:cat>
          <c:val>
            <c:numRef>
              <c:f>'Calculations - Single'!$CB$5:$CB$105</c:f>
              <c:numCache>
                <c:formatCode>0.00</c:formatCode>
                <c:ptCount val="101"/>
                <c:pt idx="0">
                  <c:v>1.8331770523116768E-5</c:v>
                </c:pt>
                <c:pt idx="1">
                  <c:v>72.301232852834971</c:v>
                </c:pt>
                <c:pt idx="2">
                  <c:v>74.72117816883835</c:v>
                </c:pt>
                <c:pt idx="3">
                  <c:v>75.002873784625706</c:v>
                </c:pt>
                <c:pt idx="4">
                  <c:v>74.632917488478682</c:v>
                </c:pt>
                <c:pt idx="5">
                  <c:v>73.948612832159469</c:v>
                </c:pt>
                <c:pt idx="6">
                  <c:v>73.077166085730212</c:v>
                </c:pt>
                <c:pt idx="7">
                  <c:v>72.081610726269375</c:v>
                </c:pt>
                <c:pt idx="8">
                  <c:v>70.999136496465695</c:v>
                </c:pt>
                <c:pt idx="9">
                  <c:v>69.854418624642676</c:v>
                </c:pt>
                <c:pt idx="10">
                  <c:v>68.66518641580393</c:v>
                </c:pt>
                <c:pt idx="11">
                  <c:v>67.444882165793246</c:v>
                </c:pt>
                <c:pt idx="12">
                  <c:v>66.204070905257424</c:v>
                </c:pt>
                <c:pt idx="13">
                  <c:v>65.155589403272216</c:v>
                </c:pt>
                <c:pt idx="14">
                  <c:v>65.347580446898874</c:v>
                </c:pt>
                <c:pt idx="15">
                  <c:v>65.503461774613896</c:v>
                </c:pt>
                <c:pt idx="16">
                  <c:v>65.629903321191122</c:v>
                </c:pt>
                <c:pt idx="17">
                  <c:v>65.732083653148493</c:v>
                </c:pt>
                <c:pt idx="18">
                  <c:v>65.814081298974216</c:v>
                </c:pt>
                <c:pt idx="19">
                  <c:v>65.879149261899585</c:v>
                </c:pt>
                <c:pt idx="20">
                  <c:v>65.929911460672514</c:v>
                </c:pt>
                <c:pt idx="21">
                  <c:v>65.968505815939722</c:v>
                </c:pt>
                <c:pt idx="22">
                  <c:v>65.996690141524411</c:v>
                </c:pt>
                <c:pt idx="23">
                  <c:v>66.015921638495072</c:v>
                </c:pt>
                <c:pt idx="24">
                  <c:v>66.027417350727774</c:v>
                </c:pt>
                <c:pt idx="25">
                  <c:v>66.032200686910144</c:v>
                </c:pt>
                <c:pt idx="26">
                  <c:v>66.031137608183982</c:v>
                </c:pt>
                <c:pt idx="27">
                  <c:v>66.024965056753047</c:v>
                </c:pt>
                <c:pt idx="28">
                  <c:v>66.014313493288185</c:v>
                </c:pt>
                <c:pt idx="29">
                  <c:v>65.999724914807487</c:v>
                </c:pt>
                <c:pt idx="30">
                  <c:v>65.981667371997887</c:v>
                </c:pt>
                <c:pt idx="31">
                  <c:v>65.960546751033377</c:v>
                </c:pt>
                <c:pt idx="32">
                  <c:v>65.936716400014078</c:v>
                </c:pt>
                <c:pt idx="33">
                  <c:v>65.91048504399096</c:v>
                </c:pt>
                <c:pt idx="34">
                  <c:v>65.882123331275835</c:v>
                </c:pt>
                <c:pt idx="35">
                  <c:v>65.851869277702619</c:v>
                </c:pt>
                <c:pt idx="36">
                  <c:v>65.81993281791668</c:v>
                </c:pt>
                <c:pt idx="37">
                  <c:v>65.786499628780831</c:v>
                </c:pt>
                <c:pt idx="38">
                  <c:v>65.751734356127002</c:v>
                </c:pt>
                <c:pt idx="39">
                  <c:v>65.715783349826154</c:v>
                </c:pt>
                <c:pt idx="40">
                  <c:v>65.678776991647112</c:v>
                </c:pt>
                <c:pt idx="41">
                  <c:v>65.640831684259837</c:v>
                </c:pt>
                <c:pt idx="42">
                  <c:v>65.602051556994596</c:v>
                </c:pt>
                <c:pt idx="43">
                  <c:v>65.56252993382931</c:v>
                </c:pt>
                <c:pt idx="44">
                  <c:v>65.522350600965538</c:v>
                </c:pt>
                <c:pt idx="45">
                  <c:v>65.481588904830446</c:v>
                </c:pt>
                <c:pt idx="46">
                  <c:v>65.440312706068084</c:v>
                </c:pt>
                <c:pt idx="47">
                  <c:v>65.398583210799615</c:v>
                </c:pt>
                <c:pt idx="48">
                  <c:v>65.356455696937161</c:v>
                </c:pt>
                <c:pt idx="49">
                  <c:v>65.313980150470769</c:v>
                </c:pt>
                <c:pt idx="50">
                  <c:v>65.271201824290074</c:v>
                </c:pt>
                <c:pt idx="51">
                  <c:v>65.228161730153715</c:v>
                </c:pt>
                <c:pt idx="52">
                  <c:v>65.184897072803139</c:v>
                </c:pt>
                <c:pt idx="53">
                  <c:v>65.141441633871509</c:v>
                </c:pt>
                <c:pt idx="54">
                  <c:v>65.097826112113864</c:v>
                </c:pt>
                <c:pt idx="55">
                  <c:v>65.054078425541633</c:v>
                </c:pt>
                <c:pt idx="56">
                  <c:v>65.010223980251595</c:v>
                </c:pt>
                <c:pt idx="57">
                  <c:v>64.966285910069942</c:v>
                </c:pt>
                <c:pt idx="58">
                  <c:v>64.922285290565711</c:v>
                </c:pt>
                <c:pt idx="59">
                  <c:v>64.878241330506981</c:v>
                </c:pt>
                <c:pt idx="60">
                  <c:v>64.834171543423707</c:v>
                </c:pt>
                <c:pt idx="61">
                  <c:v>64.790091901591836</c:v>
                </c:pt>
                <c:pt idx="62">
                  <c:v>64.746016974454463</c:v>
                </c:pt>
                <c:pt idx="63">
                  <c:v>64.701960053238622</c:v>
                </c:pt>
                <c:pt idx="64">
                  <c:v>64.65793326330656</c:v>
                </c:pt>
                <c:pt idx="65">
                  <c:v>64.613947665589208</c:v>
                </c:pt>
                <c:pt idx="66">
                  <c:v>64.570013348286011</c:v>
                </c:pt>
                <c:pt idx="67">
                  <c:v>64.52613950987211</c:v>
                </c:pt>
                <c:pt idx="68">
                  <c:v>64.482334534331102</c:v>
                </c:pt>
                <c:pt idx="69">
                  <c:v>64.438606059423819</c:v>
                </c:pt>
                <c:pt idx="70">
                  <c:v>64.394961038709823</c:v>
                </c:pt>
                <c:pt idx="71">
                  <c:v>64.351405797956744</c:v>
                </c:pt>
                <c:pt idx="72">
                  <c:v>64.307946086501445</c:v>
                </c:pt>
                <c:pt idx="73">
                  <c:v>64.264587124063539</c:v>
                </c:pt>
                <c:pt idx="74">
                  <c:v>64.221333643457427</c:v>
                </c:pt>
                <c:pt idx="75">
                  <c:v>64.178189929600777</c:v>
                </c:pt>
                <c:pt idx="76">
                  <c:v>64.135159855173868</c:v>
                </c:pt>
                <c:pt idx="77">
                  <c:v>64.092246913247493</c:v>
                </c:pt>
                <c:pt idx="78">
                  <c:v>64.049454247164064</c:v>
                </c:pt>
                <c:pt idx="79">
                  <c:v>64.096775380629367</c:v>
                </c:pt>
                <c:pt idx="80">
                  <c:v>64.608615677580929</c:v>
                </c:pt>
                <c:pt idx="81">
                  <c:v>65.110105293935689</c:v>
                </c:pt>
                <c:pt idx="82">
                  <c:v>65.601820997225317</c:v>
                </c:pt>
                <c:pt idx="83">
                  <c:v>66.084091933567038</c:v>
                </c:pt>
                <c:pt idx="84">
                  <c:v>66.556622081816869</c:v>
                </c:pt>
                <c:pt idx="85">
                  <c:v>66.94939160766161</c:v>
                </c:pt>
                <c:pt idx="86">
                  <c:v>67.120784769508418</c:v>
                </c:pt>
                <c:pt idx="87">
                  <c:v>67.289394998800773</c:v>
                </c:pt>
                <c:pt idx="88">
                  <c:v>67.455095362243966</c:v>
                </c:pt>
                <c:pt idx="89">
                  <c:v>67.618019668273831</c:v>
                </c:pt>
                <c:pt idx="90">
                  <c:v>67.778225928469681</c:v>
                </c:pt>
                <c:pt idx="91">
                  <c:v>67.93577049493841</c:v>
                </c:pt>
                <c:pt idx="92">
                  <c:v>68.090708118219752</c:v>
                </c:pt>
                <c:pt idx="93">
                  <c:v>68.24309200277186</c:v>
                </c:pt>
                <c:pt idx="94">
                  <c:v>68.392973860154029</c:v>
                </c:pt>
                <c:pt idx="95">
                  <c:v>68.540403960018153</c:v>
                </c:pt>
                <c:pt idx="96">
                  <c:v>68.685431179013293</c:v>
                </c:pt>
                <c:pt idx="97">
                  <c:v>68.828103047702555</c:v>
                </c:pt>
                <c:pt idx="98">
                  <c:v>68.968465795585857</c:v>
                </c:pt>
                <c:pt idx="99">
                  <c:v>69.106564394317672</c:v>
                </c:pt>
                <c:pt idx="100">
                  <c:v>69.242442599202732</c:v>
                </c:pt>
              </c:numCache>
            </c:numRef>
          </c:val>
          <c:smooth val="0"/>
          <c:extLst>
            <c:ext xmlns:c16="http://schemas.microsoft.com/office/drawing/2014/chart" uri="{C3380CC4-5D6E-409C-BE32-E72D297353CC}">
              <c16:uniqueId val="{00000000-8093-4275-A0A4-629DC5917466}"/>
            </c:ext>
          </c:extLst>
        </c:ser>
        <c:dLbls>
          <c:showLegendKey val="0"/>
          <c:showVal val="0"/>
          <c:showCatName val="0"/>
          <c:showSerName val="0"/>
          <c:showPercent val="0"/>
          <c:showBubbleSize val="0"/>
        </c:dLbls>
        <c:marker val="1"/>
        <c:smooth val="0"/>
        <c:axId val="448972288"/>
        <c:axId val="448974208"/>
      </c:lineChart>
      <c:lineChart>
        <c:grouping val="standard"/>
        <c:varyColors val="0"/>
        <c:ser>
          <c:idx val="2"/>
          <c:order val="1"/>
          <c:tx>
            <c:strRef>
              <c:f>'Calculations - Single'!$BO$3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Single'!$BR$5:$BR$105</c:f>
              <c:numCache>
                <c:formatCode>0.0</c:formatCode>
                <c:ptCount val="101"/>
                <c:pt idx="0">
                  <c:v>6.7059999999999998E-7</c:v>
                </c:pt>
                <c:pt idx="1">
                  <c:v>16.764999999999997</c:v>
                </c:pt>
                <c:pt idx="2">
                  <c:v>33.529999999999994</c:v>
                </c:pt>
                <c:pt idx="3">
                  <c:v>50.295000000000002</c:v>
                </c:pt>
                <c:pt idx="4">
                  <c:v>67.059999999999988</c:v>
                </c:pt>
                <c:pt idx="5">
                  <c:v>83.825000000000003</c:v>
                </c:pt>
                <c:pt idx="6">
                  <c:v>100.59</c:v>
                </c:pt>
                <c:pt idx="7">
                  <c:v>117.35499999999999</c:v>
                </c:pt>
                <c:pt idx="8">
                  <c:v>134.11999999999998</c:v>
                </c:pt>
                <c:pt idx="9">
                  <c:v>150.88499999999996</c:v>
                </c:pt>
                <c:pt idx="10">
                  <c:v>167.65</c:v>
                </c:pt>
                <c:pt idx="11">
                  <c:v>184.41499999999999</c:v>
                </c:pt>
                <c:pt idx="12">
                  <c:v>201.18</c:v>
                </c:pt>
                <c:pt idx="13">
                  <c:v>217.94499999999996</c:v>
                </c:pt>
                <c:pt idx="14">
                  <c:v>234.70999999999998</c:v>
                </c:pt>
                <c:pt idx="15">
                  <c:v>251.47499999999994</c:v>
                </c:pt>
                <c:pt idx="16">
                  <c:v>268.23999999999995</c:v>
                </c:pt>
                <c:pt idx="17">
                  <c:v>285.00499999999994</c:v>
                </c:pt>
                <c:pt idx="18">
                  <c:v>301.76999999999992</c:v>
                </c:pt>
                <c:pt idx="19">
                  <c:v>318.53499999999997</c:v>
                </c:pt>
                <c:pt idx="20">
                  <c:v>335.3</c:v>
                </c:pt>
                <c:pt idx="21">
                  <c:v>352.06499999999994</c:v>
                </c:pt>
                <c:pt idx="22">
                  <c:v>368.83</c:v>
                </c:pt>
                <c:pt idx="23">
                  <c:v>385.59500000000003</c:v>
                </c:pt>
                <c:pt idx="24">
                  <c:v>402.36</c:v>
                </c:pt>
                <c:pt idx="25">
                  <c:v>419.12499999999994</c:v>
                </c:pt>
                <c:pt idx="26">
                  <c:v>435.88999999999993</c:v>
                </c:pt>
                <c:pt idx="27">
                  <c:v>452.65499999999997</c:v>
                </c:pt>
                <c:pt idx="28">
                  <c:v>469.41999999999996</c:v>
                </c:pt>
                <c:pt idx="29">
                  <c:v>486.18499999999995</c:v>
                </c:pt>
                <c:pt idx="30">
                  <c:v>502.94999999999987</c:v>
                </c:pt>
                <c:pt idx="31">
                  <c:v>519.71499999999992</c:v>
                </c:pt>
                <c:pt idx="32">
                  <c:v>536.4799999999999</c:v>
                </c:pt>
                <c:pt idx="33">
                  <c:v>553.245</c:v>
                </c:pt>
                <c:pt idx="34">
                  <c:v>570.00999999999988</c:v>
                </c:pt>
                <c:pt idx="35">
                  <c:v>586.77499999999998</c:v>
                </c:pt>
                <c:pt idx="36">
                  <c:v>603.53999999999985</c:v>
                </c:pt>
                <c:pt idx="37">
                  <c:v>620.30499999999995</c:v>
                </c:pt>
                <c:pt idx="38">
                  <c:v>637.06999999999994</c:v>
                </c:pt>
                <c:pt idx="39">
                  <c:v>653.83499999999992</c:v>
                </c:pt>
                <c:pt idx="40">
                  <c:v>670.6</c:v>
                </c:pt>
                <c:pt idx="41">
                  <c:v>687.3649999999999</c:v>
                </c:pt>
                <c:pt idx="42">
                  <c:v>704.12999999999988</c:v>
                </c:pt>
                <c:pt idx="43">
                  <c:v>720.89499999999998</c:v>
                </c:pt>
                <c:pt idx="44">
                  <c:v>737.66</c:v>
                </c:pt>
                <c:pt idx="45">
                  <c:v>754.42499999999995</c:v>
                </c:pt>
                <c:pt idx="46">
                  <c:v>771.19</c:v>
                </c:pt>
                <c:pt idx="47">
                  <c:v>787.9549999999997</c:v>
                </c:pt>
                <c:pt idx="48">
                  <c:v>804.72</c:v>
                </c:pt>
                <c:pt idx="49">
                  <c:v>821.48500000000001</c:v>
                </c:pt>
                <c:pt idx="50">
                  <c:v>838.24999999999989</c:v>
                </c:pt>
                <c:pt idx="51">
                  <c:v>855.01499999999987</c:v>
                </c:pt>
                <c:pt idx="52">
                  <c:v>871.77999999999986</c:v>
                </c:pt>
                <c:pt idx="53">
                  <c:v>888.54500000000007</c:v>
                </c:pt>
                <c:pt idx="54">
                  <c:v>905.31</c:v>
                </c:pt>
                <c:pt idx="55">
                  <c:v>922.07499999999982</c:v>
                </c:pt>
                <c:pt idx="56">
                  <c:v>938.83999999999992</c:v>
                </c:pt>
                <c:pt idx="57">
                  <c:v>955.60499999999979</c:v>
                </c:pt>
                <c:pt idx="58">
                  <c:v>972.36999999999989</c:v>
                </c:pt>
                <c:pt idx="59">
                  <c:v>989.13499999999976</c:v>
                </c:pt>
                <c:pt idx="60">
                  <c:v>1005.8999999999997</c:v>
                </c:pt>
                <c:pt idx="61">
                  <c:v>1022.665</c:v>
                </c:pt>
                <c:pt idx="62">
                  <c:v>1039.4299999999998</c:v>
                </c:pt>
                <c:pt idx="63">
                  <c:v>1056.1949999999997</c:v>
                </c:pt>
                <c:pt idx="64">
                  <c:v>1072.9599999999998</c:v>
                </c:pt>
                <c:pt idx="65">
                  <c:v>1089.7249999999999</c:v>
                </c:pt>
                <c:pt idx="66">
                  <c:v>1106.49</c:v>
                </c:pt>
                <c:pt idx="67">
                  <c:v>1123.2549999999999</c:v>
                </c:pt>
                <c:pt idx="68">
                  <c:v>1140.0199999999998</c:v>
                </c:pt>
                <c:pt idx="69">
                  <c:v>1156.7849999999996</c:v>
                </c:pt>
                <c:pt idx="70">
                  <c:v>1173.55</c:v>
                </c:pt>
                <c:pt idx="71">
                  <c:v>1190.3149999999998</c:v>
                </c:pt>
                <c:pt idx="72">
                  <c:v>1207.0799999999997</c:v>
                </c:pt>
                <c:pt idx="73">
                  <c:v>1223.8449999999998</c:v>
                </c:pt>
                <c:pt idx="74">
                  <c:v>1240.6099999999999</c:v>
                </c:pt>
                <c:pt idx="75">
                  <c:v>1257.375</c:v>
                </c:pt>
                <c:pt idx="76">
                  <c:v>1274.1399999999999</c:v>
                </c:pt>
                <c:pt idx="77">
                  <c:v>1290.905</c:v>
                </c:pt>
                <c:pt idx="78">
                  <c:v>1307.6699999999998</c:v>
                </c:pt>
                <c:pt idx="79">
                  <c:v>1324.4349999999999</c:v>
                </c:pt>
                <c:pt idx="80">
                  <c:v>1341.2</c:v>
                </c:pt>
                <c:pt idx="81">
                  <c:v>1357.9650000000001</c:v>
                </c:pt>
                <c:pt idx="82">
                  <c:v>1374.7299999999998</c:v>
                </c:pt>
                <c:pt idx="83">
                  <c:v>1391.4949999999997</c:v>
                </c:pt>
                <c:pt idx="84">
                  <c:v>1408.2599999999998</c:v>
                </c:pt>
                <c:pt idx="85">
                  <c:v>1425.0249999999999</c:v>
                </c:pt>
                <c:pt idx="86">
                  <c:v>1441.79</c:v>
                </c:pt>
                <c:pt idx="87">
                  <c:v>1458.5549999999996</c:v>
                </c:pt>
                <c:pt idx="88">
                  <c:v>1475.32</c:v>
                </c:pt>
                <c:pt idx="89">
                  <c:v>1492.0849999999998</c:v>
                </c:pt>
                <c:pt idx="90">
                  <c:v>1508.85</c:v>
                </c:pt>
                <c:pt idx="91">
                  <c:v>1525.6149999999998</c:v>
                </c:pt>
                <c:pt idx="92">
                  <c:v>1542.38</c:v>
                </c:pt>
                <c:pt idx="93">
                  <c:v>1559.1449999999998</c:v>
                </c:pt>
                <c:pt idx="94">
                  <c:v>1575.9099999999994</c:v>
                </c:pt>
                <c:pt idx="95">
                  <c:v>1592.6749999999997</c:v>
                </c:pt>
                <c:pt idx="96">
                  <c:v>1609.44</c:v>
                </c:pt>
                <c:pt idx="97">
                  <c:v>1626.2049999999997</c:v>
                </c:pt>
                <c:pt idx="98">
                  <c:v>1642.97</c:v>
                </c:pt>
                <c:pt idx="99">
                  <c:v>1659.7349999999999</c:v>
                </c:pt>
                <c:pt idx="100">
                  <c:v>1676.4999999999998</c:v>
                </c:pt>
              </c:numCache>
            </c:numRef>
          </c:val>
          <c:smooth val="0"/>
          <c:extLst>
            <c:ext xmlns:c16="http://schemas.microsoft.com/office/drawing/2014/chart" uri="{C3380CC4-5D6E-409C-BE32-E72D297353CC}">
              <c16:uniqueId val="{00000001-8093-4275-A0A4-629DC5917466}"/>
            </c:ext>
          </c:extLst>
        </c:ser>
        <c:ser>
          <c:idx val="3"/>
          <c:order val="2"/>
          <c:tx>
            <c:strRef>
              <c:f>'Calculations - Single'!$BG$3</c:f>
              <c:strCache>
                <c:ptCount val="1"/>
                <c:pt idx="0">
                  <c:v>MOSFET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Single'!$BN$5:$BN$105</c:f>
              <c:numCache>
                <c:formatCode>0.0</c:formatCode>
                <c:ptCount val="101"/>
                <c:pt idx="0">
                  <c:v>60.354746970104195</c:v>
                </c:pt>
                <c:pt idx="1">
                  <c:v>136.95989779645245</c:v>
                </c:pt>
                <c:pt idx="2">
                  <c:v>273.96392223095989</c:v>
                </c:pt>
                <c:pt idx="3">
                  <c:v>411.0120946324725</c:v>
                </c:pt>
                <c:pt idx="4">
                  <c:v>548.10443634368937</c:v>
                </c:pt>
                <c:pt idx="5">
                  <c:v>685.24096872106793</c:v>
                </c:pt>
                <c:pt idx="6">
                  <c:v>822.42171313483675</c:v>
                </c:pt>
                <c:pt idx="7">
                  <c:v>959.64669096900604</c:v>
                </c:pt>
                <c:pt idx="8">
                  <c:v>1096.9159236213775</c:v>
                </c:pt>
                <c:pt idx="9">
                  <c:v>1234.2294325035577</c:v>
                </c:pt>
                <c:pt idx="10">
                  <c:v>1371.5872390409677</c:v>
                </c:pt>
                <c:pt idx="11">
                  <c:v>1508.9893646728549</c:v>
                </c:pt>
                <c:pt idx="12">
                  <c:v>1646.4358308523022</c:v>
                </c:pt>
                <c:pt idx="13">
                  <c:v>1771.5644138594751</c:v>
                </c:pt>
                <c:pt idx="14">
                  <c:v>1819.0890250908044</c:v>
                </c:pt>
                <c:pt idx="15">
                  <c:v>1865.0979070416997</c:v>
                </c:pt>
                <c:pt idx="16">
                  <c:v>1909.747035050071</c:v>
                </c:pt>
                <c:pt idx="17">
                  <c:v>1953.1682583143033</c:v>
                </c:pt>
                <c:pt idx="18">
                  <c:v>1995.4742148705743</c:v>
                </c:pt>
                <c:pt idx="19">
                  <c:v>2036.7620305025484</c:v>
                </c:pt>
                <c:pt idx="20">
                  <c:v>2077.116150165019</c:v>
                </c:pt>
                <c:pt idx="21">
                  <c:v>2116.6105382507367</c:v>
                </c:pt>
                <c:pt idx="22">
                  <c:v>2155.3104115248557</c:v>
                </c:pt>
                <c:pt idx="23">
                  <c:v>2193.2736205596939</c:v>
                </c:pt>
                <c:pt idx="24">
                  <c:v>2230.5517630347676</c:v>
                </c:pt>
                <c:pt idx="25">
                  <c:v>2267.1910898669908</c:v>
                </c:pt>
                <c:pt idx="26">
                  <c:v>2303.2332494053021</c:v>
                </c:pt>
                <c:pt idx="27">
                  <c:v>2338.7159036981766</c:v>
                </c:pt>
                <c:pt idx="28">
                  <c:v>2373.6732427129882</c:v>
                </c:pt>
                <c:pt idx="29">
                  <c:v>2408.1364164194574</c:v>
                </c:pt>
                <c:pt idx="30">
                  <c:v>2442.1339002155696</c:v>
                </c:pt>
                <c:pt idx="31">
                  <c:v>2475.6918058419728</c:v>
                </c:pt>
                <c:pt idx="32">
                  <c:v>2508.8341473996288</c:v>
                </c:pt>
                <c:pt idx="33">
                  <c:v>2541.5830701440627</c:v>
                </c:pt>
                <c:pt idx="34">
                  <c:v>2573.9590482266808</c:v>
                </c:pt>
                <c:pt idx="35">
                  <c:v>2605.9810563805027</c:v>
                </c:pt>
                <c:pt idx="36">
                  <c:v>2637.6667196244985</c:v>
                </c:pt>
                <c:pt idx="37">
                  <c:v>2669.0324443288414</c:v>
                </c:pt>
                <c:pt idx="38">
                  <c:v>2700.0935333991752</c:v>
                </c:pt>
                <c:pt idx="39">
                  <c:v>2730.8642878684336</c:v>
                </c:pt>
                <c:pt idx="40">
                  <c:v>2761.3580968050992</c:v>
                </c:pt>
                <c:pt idx="41">
                  <c:v>2791.5875171380062</c:v>
                </c:pt>
                <c:pt idx="42">
                  <c:v>2821.5643447451471</c:v>
                </c:pt>
                <c:pt idx="43">
                  <c:v>2851.2996779463342</c:v>
                </c:pt>
                <c:pt idx="44">
                  <c:v>2880.8039743679346</c:v>
                </c:pt>
                <c:pt idx="45">
                  <c:v>2910.0871020053924</c:v>
                </c:pt>
                <c:pt idx="46">
                  <c:v>2939.1583851904884</c:v>
                </c:pt>
                <c:pt idx="47">
                  <c:v>2968.026646070678</c:v>
                </c:pt>
                <c:pt idx="48">
                  <c:v>2996.700242124226</c:v>
                </c:pt>
                <c:pt idx="49">
                  <c:v>3025.187100164092</c:v>
                </c:pt>
                <c:pt idx="50">
                  <c:v>3053.494747223705</c:v>
                </c:pt>
                <c:pt idx="51">
                  <c:v>3081.6303386667664</c:v>
                </c:pt>
                <c:pt idx="52">
                  <c:v>3109.6006838197609</c:v>
                </c:pt>
                <c:pt idx="53">
                  <c:v>3137.4122693886388</c:v>
                </c:pt>
                <c:pt idx="54">
                  <c:v>3165.0712808891258</c:v>
                </c:pt>
                <c:pt idx="55">
                  <c:v>3192.5836222926246</c:v>
                </c:pt>
                <c:pt idx="56">
                  <c:v>3219.9549340657891</c:v>
                </c:pt>
                <c:pt idx="57">
                  <c:v>3247.1906097613132</c:v>
                </c:pt>
                <c:pt idx="58">
                  <c:v>3274.2958112994793</c:v>
                </c:pt>
                <c:pt idx="59">
                  <c:v>3301.2754830644758</c:v>
                </c:pt>
                <c:pt idx="60">
                  <c:v>3328.134364925816</c:v>
                </c:pt>
                <c:pt idx="61">
                  <c:v>3354.8770042832625</c:v>
                </c:pt>
                <c:pt idx="62">
                  <c:v>3381.5077672232269</c:v>
                </c:pt>
                <c:pt idx="63">
                  <c:v>3408.0308488653927</c:v>
                </c:pt>
                <c:pt idx="64">
                  <c:v>3434.4502829701778</c:v>
                </c:pt>
                <c:pt idx="65">
                  <c:v>3460.7699508705396</c:v>
                </c:pt>
                <c:pt idx="66">
                  <c:v>3486.9935897852347</c:v>
                </c:pt>
                <c:pt idx="67">
                  <c:v>3513.1248005650832</c:v>
                </c:pt>
                <c:pt idx="68">
                  <c:v>3539.1670549187306</c:v>
                </c:pt>
                <c:pt idx="69">
                  <c:v>3565.123702160025</c:v>
                </c:pt>
                <c:pt idx="70">
                  <c:v>3590.9979755151267</c:v>
                </c:pt>
                <c:pt idx="71">
                  <c:v>3616.7929980239292</c:v>
                </c:pt>
                <c:pt idx="72">
                  <c:v>3642.5117880672515</c:v>
                </c:pt>
                <c:pt idx="73">
                  <c:v>3668.1572645483498</c:v>
                </c:pt>
                <c:pt idx="74">
                  <c:v>3693.7322517548569</c:v>
                </c:pt>
                <c:pt idx="75">
                  <c:v>3719.2394839248504</c:v>
                </c:pt>
                <c:pt idx="76">
                  <c:v>3744.6816095388126</c:v>
                </c:pt>
                <c:pt idx="77">
                  <c:v>3770.0611953573002</c:v>
                </c:pt>
                <c:pt idx="78">
                  <c:v>3795.3807302225027</c:v>
                </c:pt>
                <c:pt idx="79">
                  <c:v>3813.1708326795829</c:v>
                </c:pt>
                <c:pt idx="80">
                  <c:v>3792.099759361357</c:v>
                </c:pt>
                <c:pt idx="81">
                  <c:v>3771.4204129025479</c:v>
                </c:pt>
                <c:pt idx="82">
                  <c:v>3751.1158879813825</c:v>
                </c:pt>
                <c:pt idx="83">
                  <c:v>3731.173403173771</c:v>
                </c:pt>
                <c:pt idx="84">
                  <c:v>3711.5898465307741</c:v>
                </c:pt>
                <c:pt idx="85">
                  <c:v>3698.0330367533943</c:v>
                </c:pt>
                <c:pt idx="86">
                  <c:v>3702.1347083244727</c:v>
                </c:pt>
                <c:pt idx="87">
                  <c:v>3706.4352106642418</c:v>
                </c:pt>
                <c:pt idx="88">
                  <c:v>3710.8966699736288</c:v>
                </c:pt>
                <c:pt idx="89">
                  <c:v>3715.530481710191</c:v>
                </c:pt>
                <c:pt idx="90">
                  <c:v>3720.3350591989461</c:v>
                </c:pt>
                <c:pt idx="91">
                  <c:v>3725.3089122923216</c:v>
                </c:pt>
                <c:pt idx="92">
                  <c:v>3730.4506429793178</c:v>
                </c:pt>
                <c:pt idx="93">
                  <c:v>3735.758941268839</c:v>
                </c:pt>
                <c:pt idx="94">
                  <c:v>3741.232581328155</c:v>
                </c:pt>
                <c:pt idx="95">
                  <c:v>3746.8704178589483</c:v>
                </c:pt>
                <c:pt idx="96">
                  <c:v>3752.6713826948608</c:v>
                </c:pt>
                <c:pt idx="97">
                  <c:v>3758.6344816056039</c:v>
                </c:pt>
                <c:pt idx="98">
                  <c:v>3764.7587912939375</c:v>
                </c:pt>
                <c:pt idx="99">
                  <c:v>3771.0434565728256</c:v>
                </c:pt>
                <c:pt idx="100">
                  <c:v>3777.487687711026</c:v>
                </c:pt>
              </c:numCache>
            </c:numRef>
          </c:val>
          <c:smooth val="0"/>
          <c:extLst>
            <c:ext xmlns:c16="http://schemas.microsoft.com/office/drawing/2014/chart" uri="{C3380CC4-5D6E-409C-BE32-E72D297353CC}">
              <c16:uniqueId val="{00000002-8093-4275-A0A4-629DC5917466}"/>
            </c:ext>
          </c:extLst>
        </c:ser>
        <c:ser>
          <c:idx val="1"/>
          <c:order val="3"/>
          <c:tx>
            <c:strRef>
              <c:f>'Calculations - Single'!$BS$3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Single'!$BX$5:$BX$105</c:f>
              <c:numCache>
                <c:formatCode>0.0</c:formatCode>
                <c:ptCount val="101"/>
                <c:pt idx="0">
                  <c:v>78.405523138894438</c:v>
                </c:pt>
                <c:pt idx="1">
                  <c:v>98.736488069960956</c:v>
                </c:pt>
                <c:pt idx="2">
                  <c:v>147.29842262899723</c:v>
                </c:pt>
                <c:pt idx="3">
                  <c:v>216.6162669017379</c:v>
                </c:pt>
                <c:pt idx="4">
                  <c:v>311.43239545780222</c:v>
                </c:pt>
                <c:pt idx="5">
                  <c:v>435.72196874604572</c:v>
                </c:pt>
                <c:pt idx="6">
                  <c:v>592.97952435265586</c:v>
                </c:pt>
                <c:pt idx="7">
                  <c:v>786.36097782376135</c:v>
                </c:pt>
                <c:pt idx="8">
                  <c:v>1018.7667310503952</c:v>
                </c:pt>
                <c:pt idx="9">
                  <c:v>1292.8953934366098</c:v>
                </c:pt>
                <c:pt idx="10">
                  <c:v>1611.2809188285382</c:v>
                </c:pt>
                <c:pt idx="11">
                  <c:v>1976.3195606856857</c:v>
                </c:pt>
                <c:pt idx="12">
                  <c:v>2390.2901774815273</c:v>
                </c:pt>
                <c:pt idx="13">
                  <c:v>2824.2285053366909</c:v>
                </c:pt>
                <c:pt idx="14">
                  <c:v>3090.1008600921118</c:v>
                </c:pt>
                <c:pt idx="15">
                  <c:v>3360.2851525045621</c:v>
                </c:pt>
                <c:pt idx="16">
                  <c:v>3634.5761392856643</c:v>
                </c:pt>
                <c:pt idx="17">
                  <c:v>3912.7914469043881</c:v>
                </c:pt>
                <c:pt idx="18">
                  <c:v>4194.7678276833003</c:v>
                </c:pt>
                <c:pt idx="19">
                  <c:v>4480.3582044829609</c:v>
                </c:pt>
                <c:pt idx="20">
                  <c:v>4769.4293047268802</c:v>
                </c:pt>
                <c:pt idx="21">
                  <c:v>5061.8597424015343</c:v>
                </c:pt>
                <c:pt idx="22">
                  <c:v>5357.538445751391</c:v>
                </c:pt>
                <c:pt idx="23">
                  <c:v>5656.3633553667942</c:v>
                </c:pt>
                <c:pt idx="24">
                  <c:v>5958.2403363512531</c:v>
                </c:pt>
                <c:pt idx="25">
                  <c:v>6263.0822618574448</c:v>
                </c:pt>
                <c:pt idx="26">
                  <c:v>6570.8082351813373</c:v>
                </c:pt>
                <c:pt idx="27">
                  <c:v>6881.3429249140636</c:v>
                </c:pt>
                <c:pt idx="28">
                  <c:v>7194.615993120663</c:v>
                </c:pt>
                <c:pt idx="29">
                  <c:v>7510.5616006561995</c:v>
                </c:pt>
                <c:pt idx="30">
                  <c:v>7829.1179769011505</c:v>
                </c:pt>
                <c:pt idx="31">
                  <c:v>8150.2270436508898</c:v>
                </c:pt>
                <c:pt idx="32">
                  <c:v>8473.8340848097632</c:v>
                </c:pt>
                <c:pt idx="33">
                  <c:v>8799.887455049673</c:v>
                </c:pt>
                <c:pt idx="34">
                  <c:v>9128.3383217911887</c:v>
                </c:pt>
                <c:pt idx="35">
                  <c:v>9459.1404358253385</c:v>
                </c:pt>
                <c:pt idx="36">
                  <c:v>9792.2499266670802</c:v>
                </c:pt>
                <c:pt idx="37">
                  <c:v>10127.6251193593</c:v>
                </c:pt>
                <c:pt idx="38">
                  <c:v>10465.226369958527</c:v>
                </c:pt>
                <c:pt idx="39">
                  <c:v>10805.015917355064</c:v>
                </c:pt>
                <c:pt idx="40">
                  <c:v>11146.957749427271</c:v>
                </c:pt>
                <c:pt idx="41">
                  <c:v>11491.017481819537</c:v>
                </c:pt>
                <c:pt idx="42">
                  <c:v>11837.162247873617</c:v>
                </c:pt>
                <c:pt idx="43">
                  <c:v>12185.360598445939</c:v>
                </c:pt>
                <c:pt idx="44">
                  <c:v>12535.582410513345</c:v>
                </c:pt>
                <c:pt idx="45">
                  <c:v>12887.798803613867</c:v>
                </c:pt>
                <c:pt idx="46">
                  <c:v>13241.982063291525</c:v>
                </c:pt>
                <c:pt idx="47">
                  <c:v>13598.105570818516</c:v>
                </c:pt>
                <c:pt idx="48">
                  <c:v>13956.143738557397</c:v>
                </c:pt>
                <c:pt idx="49">
                  <c:v>14316.071950402336</c:v>
                </c:pt>
                <c:pt idx="50">
                  <c:v>14677.866506805003</c:v>
                </c:pt>
                <c:pt idx="51">
                  <c:v>15041.504573947546</c:v>
                </c:pt>
                <c:pt idx="52">
                  <c:v>15406.964136674405</c:v>
                </c:pt>
                <c:pt idx="53">
                  <c:v>15774.223954838275</c:v>
                </c:pt>
                <c:pt idx="54">
                  <c:v>16143.263522752819</c:v>
                </c:pt>
                <c:pt idx="55">
                  <c:v>16514.063031477461</c:v>
                </c:pt>
                <c:pt idx="56">
                  <c:v>16886.603333688781</c:v>
                </c:pt>
                <c:pt idx="57">
                  <c:v>17260.865910917953</c:v>
                </c:pt>
                <c:pt idx="58">
                  <c:v>17636.832842956373</c:v>
                </c:pt>
                <c:pt idx="59">
                  <c:v>18014.486779250852</c:v>
                </c:pt>
                <c:pt idx="60">
                  <c:v>18393.810912127756</c:v>
                </c:pt>
                <c:pt idx="61">
                  <c:v>18774.788951700557</c:v>
                </c:pt>
                <c:pt idx="62">
                  <c:v>19157.405102329005</c:v>
                </c:pt>
                <c:pt idx="63">
                  <c:v>19541.644040510757</c:v>
                </c:pt>
                <c:pt idx="64">
                  <c:v>19927.490894096813</c:v>
                </c:pt>
                <c:pt idx="65">
                  <c:v>20314.931222732168</c:v>
                </c:pt>
                <c:pt idx="66">
                  <c:v>20703.950999431629</c:v>
                </c:pt>
                <c:pt idx="67">
                  <c:v>21094.536593208923</c:v>
                </c:pt>
                <c:pt idx="68">
                  <c:v>21486.674752683983</c:v>
                </c:pt>
                <c:pt idx="69">
                  <c:v>21880.352590599701</c:v>
                </c:pt>
                <c:pt idx="70">
                  <c:v>22275.557569185443</c:v>
                </c:pt>
                <c:pt idx="71">
                  <c:v>22672.277486309624</c:v>
                </c:pt>
                <c:pt idx="72">
                  <c:v>23070.500462367887</c:v>
                </c:pt>
                <c:pt idx="73">
                  <c:v>23470.214927858935</c:v>
                </c:pt>
                <c:pt idx="74">
                  <c:v>23871.409611602303</c:v>
                </c:pt>
                <c:pt idx="75">
                  <c:v>24274.073529557078</c:v>
                </c:pt>
                <c:pt idx="76">
                  <c:v>24678.1959742033</c:v>
                </c:pt>
                <c:pt idx="77">
                  <c:v>25083.766504450723</c:v>
                </c:pt>
                <c:pt idx="78">
                  <c:v>25490.774936041991</c:v>
                </c:pt>
                <c:pt idx="79">
                  <c:v>25785.459416669848</c:v>
                </c:pt>
                <c:pt idx="80">
                  <c:v>25490.18972975705</c:v>
                </c:pt>
                <c:pt idx="81">
                  <c:v>25202.071907652229</c:v>
                </c:pt>
                <c:pt idx="82">
                  <c:v>24920.37440114862</c:v>
                </c:pt>
                <c:pt idx="83">
                  <c:v>24644.704660479103</c:v>
                </c:pt>
                <c:pt idx="84">
                  <c:v>24375.497985921615</c:v>
                </c:pt>
                <c:pt idx="85">
                  <c:v>24199.980698943844</c:v>
                </c:pt>
                <c:pt idx="86">
                  <c:v>24295.481963657279</c:v>
                </c:pt>
                <c:pt idx="87">
                  <c:v>24390.363392869851</c:v>
                </c:pt>
                <c:pt idx="88">
                  <c:v>24484.936842806059</c:v>
                </c:pt>
                <c:pt idx="89">
                  <c:v>24579.115928098417</c:v>
                </c:pt>
                <c:pt idx="90">
                  <c:v>24672.924644797175</c:v>
                </c:pt>
                <c:pt idx="91">
                  <c:v>24766.386131316907</c:v>
                </c:pt>
                <c:pt idx="92">
                  <c:v>24859.52271103895</c:v>
                </c:pt>
                <c:pt idx="93">
                  <c:v>24952.355932493829</c:v>
                </c:pt>
                <c:pt idx="94">
                  <c:v>25044.906607284443</c:v>
                </c:pt>
                <c:pt idx="95">
                  <c:v>25137.194845896778</c:v>
                </c:pt>
                <c:pt idx="96">
                  <c:v>25229.240091535412</c:v>
                </c:pt>
                <c:pt idx="97">
                  <c:v>25321.061152110971</c:v>
                </c:pt>
                <c:pt idx="98">
                  <c:v>25412.676230497065</c:v>
                </c:pt>
                <c:pt idx="99">
                  <c:v>25504.102953165286</c:v>
                </c:pt>
                <c:pt idx="100">
                  <c:v>25595.358397301206</c:v>
                </c:pt>
              </c:numCache>
            </c:numRef>
          </c:val>
          <c:smooth val="0"/>
          <c:extLst>
            <c:ext xmlns:c16="http://schemas.microsoft.com/office/drawing/2014/chart" uri="{C3380CC4-5D6E-409C-BE32-E72D297353CC}">
              <c16:uniqueId val="{00000003-8093-4275-A0A4-629DC5917466}"/>
            </c:ext>
          </c:extLst>
        </c:ser>
        <c:dLbls>
          <c:showLegendKey val="0"/>
          <c:showVal val="0"/>
          <c:showCatName val="0"/>
          <c:showSerName val="0"/>
          <c:showPercent val="0"/>
          <c:showBubbleSize val="0"/>
        </c:dLbls>
        <c:marker val="1"/>
        <c:smooth val="0"/>
        <c:axId val="448986496"/>
        <c:axId val="448984576"/>
      </c:lineChart>
      <c:catAx>
        <c:axId val="448972288"/>
        <c:scaling>
          <c:orientation val="minMax"/>
        </c:scaling>
        <c:delete val="0"/>
        <c:axPos val="b"/>
        <c:majorGridlines>
          <c:spPr>
            <a:ln w="15875">
              <a:solidFill>
                <a:srgbClr val="969696"/>
              </a:solidFill>
              <a:prstDash val="sysDash"/>
            </a:ln>
          </c:spPr>
        </c:majorGridlines>
        <c:minorGridlines/>
        <c:title>
          <c:tx>
            <c:rich>
              <a:bodyPr/>
              <a:lstStyle/>
              <a:p>
                <a:pPr>
                  <a:defRPr lang="ja-JP"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Load Current (mA)</a:t>
                </a:r>
              </a:p>
            </c:rich>
          </c:tx>
          <c:layout>
            <c:manualLayout>
              <c:xMode val="edge"/>
              <c:yMode val="edge"/>
              <c:x val="0.42471011396394504"/>
              <c:y val="0.93853771636955563"/>
            </c:manualLayout>
          </c:layout>
          <c:overlay val="0"/>
          <c:spPr>
            <a:noFill/>
            <a:ln w="25400">
              <a:noFill/>
            </a:ln>
          </c:spPr>
        </c:title>
        <c:numFmt formatCode="0" sourceLinked="1"/>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0000FF"/>
                </a:solidFill>
                <a:latin typeface="Arial" pitchFamily="34" charset="0"/>
                <a:ea typeface="Calibri"/>
                <a:cs typeface="Arial" pitchFamily="34" charset="0"/>
              </a:defRPr>
            </a:pPr>
            <a:endParaRPr lang="en-US"/>
          </a:p>
        </c:txPr>
        <c:crossAx val="448974208"/>
        <c:crosses val="autoZero"/>
        <c:auto val="1"/>
        <c:lblAlgn val="ctr"/>
        <c:lblOffset val="100"/>
        <c:tickLblSkip val="20"/>
        <c:tickMarkSkip val="20"/>
        <c:noMultiLvlLbl val="0"/>
      </c:catAx>
      <c:valAx>
        <c:axId val="448974208"/>
        <c:scaling>
          <c:orientation val="minMax"/>
          <c:max val="100"/>
          <c:min val="55"/>
        </c:scaling>
        <c:delete val="0"/>
        <c:axPos val="l"/>
        <c:majorGridlines>
          <c:spPr>
            <a:ln w="15875">
              <a:solidFill>
                <a:srgbClr val="808080"/>
              </a:solidFill>
              <a:prstDash val="solid"/>
            </a:ln>
          </c:spPr>
        </c:majorGridlines>
        <c:title>
          <c:tx>
            <c:rich>
              <a:bodyPr/>
              <a:lstStyle/>
              <a:p>
                <a:pPr>
                  <a:defRPr lang="ja-JP"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FF0000"/>
                </a:solidFill>
                <a:latin typeface="Arial" pitchFamily="34" charset="0"/>
                <a:ea typeface="Calibri"/>
                <a:cs typeface="Arial" pitchFamily="34" charset="0"/>
              </a:defRPr>
            </a:pPr>
            <a:endParaRPr lang="en-US"/>
          </a:p>
        </c:txPr>
        <c:crossAx val="448972288"/>
        <c:crossesAt val="0"/>
        <c:crossBetween val="between"/>
        <c:majorUnit val="5"/>
        <c:minorUnit val="2.5"/>
      </c:valAx>
      <c:valAx>
        <c:axId val="448984576"/>
        <c:scaling>
          <c:orientation val="minMax"/>
        </c:scaling>
        <c:delete val="0"/>
        <c:axPos val="r"/>
        <c:title>
          <c:tx>
            <c:rich>
              <a:bodyPr rot="-5400000" vert="horz"/>
              <a:lstStyle/>
              <a:p>
                <a:pPr>
                  <a:defRPr lang="ja-JP"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lang="ja-JP" sz="1100" b="1">
                <a:solidFill>
                  <a:sysClr val="windowText" lastClr="000000"/>
                </a:solidFill>
              </a:defRPr>
            </a:pPr>
            <a:endParaRPr lang="en-US"/>
          </a:p>
        </c:txPr>
        <c:crossAx val="448986496"/>
        <c:crosses val="max"/>
        <c:crossBetween val="between"/>
      </c:valAx>
      <c:catAx>
        <c:axId val="448986496"/>
        <c:scaling>
          <c:orientation val="minMax"/>
        </c:scaling>
        <c:delete val="1"/>
        <c:axPos val="b"/>
        <c:numFmt formatCode="General" sourceLinked="1"/>
        <c:majorTickMark val="out"/>
        <c:minorTickMark val="none"/>
        <c:tickLblPos val="nextTo"/>
        <c:crossAx val="448984576"/>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0550962619267337"/>
          <c:h val="8.9795049320617604E-2"/>
        </c:manualLayout>
      </c:layout>
      <c:overlay val="0"/>
      <c:spPr>
        <a:solidFill>
          <a:srgbClr val="FFFFFF"/>
        </a:solidFill>
        <a:ln w="25400">
          <a:noFill/>
        </a:ln>
      </c:spPr>
      <c:txPr>
        <a:bodyPr/>
        <a:lstStyle/>
        <a:p>
          <a:pPr>
            <a:defRPr lang="ja-JP" sz="11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32787415920151"/>
          <c:y val="3.9892589721079133E-2"/>
          <c:w val="0.83742553316686907"/>
          <c:h val="0.83734080468357386"/>
        </c:manualLayout>
      </c:layout>
      <c:lineChart>
        <c:grouping val="standard"/>
        <c:varyColors val="0"/>
        <c:ser>
          <c:idx val="1"/>
          <c:order val="0"/>
          <c:tx>
            <c:v>VIN = 18V</c:v>
          </c:tx>
          <c:spPr>
            <a:ln>
              <a:solidFill>
                <a:srgbClr val="00B050"/>
              </a:solidFill>
              <a:prstDash val="sysDash"/>
            </a:ln>
          </c:spPr>
          <c:marker>
            <c:symbol val="none"/>
          </c:marker>
          <c:cat>
            <c:numRef>
              <c:f>'Calculations - Single'!$AM$5:$AM$105</c:f>
              <c:numCache>
                <c:formatCode>0</c:formatCode>
                <c:ptCount val="101"/>
                <c:pt idx="0">
                  <c:v>1.0000000000000002E-6</c:v>
                </c:pt>
                <c:pt idx="1">
                  <c:v>25</c:v>
                </c:pt>
                <c:pt idx="2">
                  <c:v>50</c:v>
                </c:pt>
                <c:pt idx="3">
                  <c:v>75</c:v>
                </c:pt>
                <c:pt idx="4">
                  <c:v>100</c:v>
                </c:pt>
                <c:pt idx="5">
                  <c:v>125</c:v>
                </c:pt>
                <c:pt idx="6">
                  <c:v>150</c:v>
                </c:pt>
                <c:pt idx="7">
                  <c:v>175.00000000000003</c:v>
                </c:pt>
                <c:pt idx="8">
                  <c:v>200</c:v>
                </c:pt>
                <c:pt idx="9">
                  <c:v>224.99999999999997</c:v>
                </c:pt>
                <c:pt idx="10">
                  <c:v>250</c:v>
                </c:pt>
                <c:pt idx="11">
                  <c:v>275</c:v>
                </c:pt>
                <c:pt idx="12">
                  <c:v>300</c:v>
                </c:pt>
                <c:pt idx="13">
                  <c:v>325</c:v>
                </c:pt>
                <c:pt idx="14">
                  <c:v>350.00000000000006</c:v>
                </c:pt>
                <c:pt idx="15">
                  <c:v>375</c:v>
                </c:pt>
                <c:pt idx="16">
                  <c:v>400</c:v>
                </c:pt>
                <c:pt idx="17">
                  <c:v>425.00000000000006</c:v>
                </c:pt>
                <c:pt idx="18">
                  <c:v>449.99999999999994</c:v>
                </c:pt>
                <c:pt idx="19">
                  <c:v>475</c:v>
                </c:pt>
                <c:pt idx="20">
                  <c:v>500</c:v>
                </c:pt>
                <c:pt idx="21">
                  <c:v>525</c:v>
                </c:pt>
                <c:pt idx="22">
                  <c:v>550</c:v>
                </c:pt>
                <c:pt idx="23">
                  <c:v>575.00000000000011</c:v>
                </c:pt>
                <c:pt idx="24">
                  <c:v>600</c:v>
                </c:pt>
                <c:pt idx="25">
                  <c:v>625</c:v>
                </c:pt>
                <c:pt idx="26">
                  <c:v>650</c:v>
                </c:pt>
                <c:pt idx="27">
                  <c:v>675</c:v>
                </c:pt>
                <c:pt idx="28">
                  <c:v>700.00000000000011</c:v>
                </c:pt>
                <c:pt idx="29">
                  <c:v>725</c:v>
                </c:pt>
                <c:pt idx="30">
                  <c:v>750</c:v>
                </c:pt>
                <c:pt idx="31">
                  <c:v>775</c:v>
                </c:pt>
                <c:pt idx="32">
                  <c:v>800</c:v>
                </c:pt>
                <c:pt idx="33">
                  <c:v>825.00000000000011</c:v>
                </c:pt>
                <c:pt idx="34">
                  <c:v>850.00000000000011</c:v>
                </c:pt>
                <c:pt idx="35">
                  <c:v>875</c:v>
                </c:pt>
                <c:pt idx="36">
                  <c:v>899.99999999999989</c:v>
                </c:pt>
                <c:pt idx="37">
                  <c:v>925</c:v>
                </c:pt>
                <c:pt idx="38">
                  <c:v>950</c:v>
                </c:pt>
                <c:pt idx="39">
                  <c:v>975.00000000000011</c:v>
                </c:pt>
                <c:pt idx="40">
                  <c:v>1000</c:v>
                </c:pt>
                <c:pt idx="41">
                  <c:v>1025</c:v>
                </c:pt>
                <c:pt idx="42">
                  <c:v>1050</c:v>
                </c:pt>
                <c:pt idx="43">
                  <c:v>1075</c:v>
                </c:pt>
                <c:pt idx="44">
                  <c:v>1100</c:v>
                </c:pt>
                <c:pt idx="45">
                  <c:v>1125</c:v>
                </c:pt>
                <c:pt idx="46">
                  <c:v>1150.0000000000002</c:v>
                </c:pt>
                <c:pt idx="47">
                  <c:v>1174.9999999999998</c:v>
                </c:pt>
                <c:pt idx="48">
                  <c:v>1200</c:v>
                </c:pt>
                <c:pt idx="49">
                  <c:v>1225</c:v>
                </c:pt>
                <c:pt idx="50">
                  <c:v>1250</c:v>
                </c:pt>
                <c:pt idx="51">
                  <c:v>1275</c:v>
                </c:pt>
                <c:pt idx="52">
                  <c:v>1300</c:v>
                </c:pt>
                <c:pt idx="53">
                  <c:v>1325.0000000000002</c:v>
                </c:pt>
                <c:pt idx="54">
                  <c:v>1350</c:v>
                </c:pt>
                <c:pt idx="55">
                  <c:v>1375</c:v>
                </c:pt>
                <c:pt idx="56">
                  <c:v>1400.0000000000002</c:v>
                </c:pt>
                <c:pt idx="57">
                  <c:v>1424.9999999999998</c:v>
                </c:pt>
                <c:pt idx="58">
                  <c:v>1450</c:v>
                </c:pt>
                <c:pt idx="59">
                  <c:v>1474.9999999999998</c:v>
                </c:pt>
                <c:pt idx="60">
                  <c:v>1500</c:v>
                </c:pt>
                <c:pt idx="61">
                  <c:v>1525</c:v>
                </c:pt>
                <c:pt idx="62">
                  <c:v>1550</c:v>
                </c:pt>
                <c:pt idx="63">
                  <c:v>1575</c:v>
                </c:pt>
                <c:pt idx="64">
                  <c:v>1600</c:v>
                </c:pt>
                <c:pt idx="65">
                  <c:v>1625</c:v>
                </c:pt>
                <c:pt idx="66">
                  <c:v>1650.0000000000002</c:v>
                </c:pt>
                <c:pt idx="67">
                  <c:v>1675</c:v>
                </c:pt>
                <c:pt idx="68">
                  <c:v>1700.0000000000002</c:v>
                </c:pt>
                <c:pt idx="69">
                  <c:v>1724.9999999999998</c:v>
                </c:pt>
                <c:pt idx="70">
                  <c:v>1750</c:v>
                </c:pt>
                <c:pt idx="71">
                  <c:v>1775</c:v>
                </c:pt>
                <c:pt idx="72">
                  <c:v>1799.9999999999998</c:v>
                </c:pt>
                <c:pt idx="73">
                  <c:v>1825</c:v>
                </c:pt>
                <c:pt idx="74">
                  <c:v>1850</c:v>
                </c:pt>
                <c:pt idx="75">
                  <c:v>1875</c:v>
                </c:pt>
                <c:pt idx="76">
                  <c:v>1900</c:v>
                </c:pt>
                <c:pt idx="77">
                  <c:v>1925</c:v>
                </c:pt>
                <c:pt idx="78">
                  <c:v>1950.0000000000002</c:v>
                </c:pt>
                <c:pt idx="79">
                  <c:v>1975</c:v>
                </c:pt>
                <c:pt idx="80">
                  <c:v>2000</c:v>
                </c:pt>
                <c:pt idx="81">
                  <c:v>2025.0000000000005</c:v>
                </c:pt>
                <c:pt idx="82">
                  <c:v>2050</c:v>
                </c:pt>
                <c:pt idx="83">
                  <c:v>2074.9999999999995</c:v>
                </c:pt>
                <c:pt idx="84">
                  <c:v>2100</c:v>
                </c:pt>
                <c:pt idx="85">
                  <c:v>2125</c:v>
                </c:pt>
                <c:pt idx="86">
                  <c:v>2150</c:v>
                </c:pt>
                <c:pt idx="87">
                  <c:v>2175</c:v>
                </c:pt>
                <c:pt idx="88">
                  <c:v>2200</c:v>
                </c:pt>
                <c:pt idx="89">
                  <c:v>2225</c:v>
                </c:pt>
                <c:pt idx="90">
                  <c:v>2250</c:v>
                </c:pt>
                <c:pt idx="91">
                  <c:v>2275</c:v>
                </c:pt>
                <c:pt idx="92">
                  <c:v>2300.0000000000005</c:v>
                </c:pt>
                <c:pt idx="93">
                  <c:v>2325</c:v>
                </c:pt>
                <c:pt idx="94">
                  <c:v>2349.9999999999995</c:v>
                </c:pt>
                <c:pt idx="95">
                  <c:v>2375</c:v>
                </c:pt>
                <c:pt idx="96">
                  <c:v>2400</c:v>
                </c:pt>
                <c:pt idx="97">
                  <c:v>2425</c:v>
                </c:pt>
                <c:pt idx="98">
                  <c:v>2450</c:v>
                </c:pt>
                <c:pt idx="99">
                  <c:v>2475</c:v>
                </c:pt>
                <c:pt idx="100">
                  <c:v>2500</c:v>
                </c:pt>
              </c:numCache>
            </c:numRef>
          </c:cat>
          <c:val>
            <c:numRef>
              <c:f>'Calculations - Single'!$AN$110:$AN$210</c:f>
              <c:numCache>
                <c:formatCode>0.0</c:formatCode>
                <c:ptCount val="101"/>
                <c:pt idx="0">
                  <c:v>12</c:v>
                </c:pt>
                <c:pt idx="1">
                  <c:v>27.213671902389706</c:v>
                </c:pt>
                <c:pt idx="2">
                  <c:v>54.427343804779412</c:v>
                </c:pt>
                <c:pt idx="3">
                  <c:v>81.641015707169103</c:v>
                </c:pt>
                <c:pt idx="4">
                  <c:v>108.85468760955882</c:v>
                </c:pt>
                <c:pt idx="5">
                  <c:v>136.0683595119485</c:v>
                </c:pt>
                <c:pt idx="6">
                  <c:v>163.28203141433821</c:v>
                </c:pt>
                <c:pt idx="7">
                  <c:v>190.49570331672794</c:v>
                </c:pt>
                <c:pt idx="8">
                  <c:v>217.70937521911765</c:v>
                </c:pt>
                <c:pt idx="9">
                  <c:v>244.92304712150732</c:v>
                </c:pt>
                <c:pt idx="10">
                  <c:v>272.136719023897</c:v>
                </c:pt>
                <c:pt idx="11">
                  <c:v>299.35039092628676</c:v>
                </c:pt>
                <c:pt idx="12">
                  <c:v>326.56406282867641</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345.59649448492945</c:v>
                </c:pt>
                <c:pt idx="53">
                  <c:v>339.50093072999994</c:v>
                </c:pt>
                <c:pt idx="54">
                  <c:v>333.58914616118938</c:v>
                </c:pt>
                <c:pt idx="55">
                  <c:v>327.86822238219804</c:v>
                </c:pt>
                <c:pt idx="56">
                  <c:v>322.36096381979138</c:v>
                </c:pt>
                <c:pt idx="57">
                  <c:v>317.01812642490563</c:v>
                </c:pt>
                <c:pt idx="58">
                  <c:v>311.86134631443571</c:v>
                </c:pt>
                <c:pt idx="59">
                  <c:v>306.86857197822269</c:v>
                </c:pt>
                <c:pt idx="60">
                  <c:v>302.03210180726637</c:v>
                </c:pt>
                <c:pt idx="61">
                  <c:v>297.34470897747599</c:v>
                </c:pt>
                <c:pt idx="62">
                  <c:v>292.79960541837517</c:v>
                </c:pt>
                <c:pt idx="63">
                  <c:v>288.39040901403342</c:v>
                </c:pt>
                <c:pt idx="64">
                  <c:v>284.11111370292826</c:v>
                </c:pt>
                <c:pt idx="65">
                  <c:v>279.95606218215863</c:v>
                </c:pt>
                <c:pt idx="66">
                  <c:v>275.91992095514269</c:v>
                </c:pt>
                <c:pt idx="67">
                  <c:v>271.99765749137805</c:v>
                </c:pt>
                <c:pt idx="68">
                  <c:v>268.18451929260038</c:v>
                </c:pt>
                <c:pt idx="69">
                  <c:v>264.47601468224087</c:v>
                </c:pt>
                <c:pt idx="70">
                  <c:v>260.86789515492131</c:v>
                </c:pt>
                <c:pt idx="71">
                  <c:v>257.35613914015426</c:v>
                </c:pt>
                <c:pt idx="72">
                  <c:v>253.93693704979864</c:v>
                </c:pt>
                <c:pt idx="73">
                  <c:v>250.60667749238957</c:v>
                </c:pt>
                <c:pt idx="74">
                  <c:v>247.36193454947011</c:v>
                </c:pt>
                <c:pt idx="75">
                  <c:v>244.19945601968502</c:v>
                </c:pt>
                <c:pt idx="76">
                  <c:v>241.11615254583538</c:v>
                </c:pt>
                <c:pt idx="77">
                  <c:v>238.10908754848248</c:v>
                </c:pt>
                <c:pt idx="78">
                  <c:v>235.17546789715021</c:v>
                </c:pt>
                <c:pt idx="79">
                  <c:v>232.31263525683394</c:v>
                </c:pt>
                <c:pt idx="80">
                  <c:v>229.51805805346277</c:v>
                </c:pt>
                <c:pt idx="81">
                  <c:v>226.78932400727345</c:v>
                </c:pt>
                <c:pt idx="82">
                  <c:v>224.12413318781006</c:v>
                </c:pt>
                <c:pt idx="83">
                  <c:v>221.52029154852085</c:v>
                </c:pt>
                <c:pt idx="84">
                  <c:v>218.97570490275706</c:v>
                </c:pt>
                <c:pt idx="85">
                  <c:v>216.48837330640777</c:v>
                </c:pt>
                <c:pt idx="86">
                  <c:v>214.05638581550497</c:v>
                </c:pt>
                <c:pt idx="87">
                  <c:v>211.67791558991911</c:v>
                </c:pt>
                <c:pt idx="88">
                  <c:v>209.3512153167776</c:v>
                </c:pt>
                <c:pt idx="89">
                  <c:v>207.0746129295122</c:v>
                </c:pt>
                <c:pt idx="90">
                  <c:v>204.84650760049382</c:v>
                </c:pt>
                <c:pt idx="91">
                  <c:v>202.66536598707</c:v>
                </c:pt>
                <c:pt idx="92">
                  <c:v>200.5297187125071</c:v>
                </c:pt>
                <c:pt idx="93">
                  <c:v>198.43815706486419</c:v>
                </c:pt>
                <c:pt idx="94">
                  <c:v>196.38932989821393</c:v>
                </c:pt>
                <c:pt idx="95">
                  <c:v>194.38194072188682</c:v>
                </c:pt>
                <c:pt idx="96">
                  <c:v>192.41474496456223</c:v>
                </c:pt>
                <c:pt idx="97">
                  <c:v>190.48654740107293</c:v>
                </c:pt>
                <c:pt idx="98">
                  <c:v>188.59619973074584</c:v>
                </c:pt>
                <c:pt idx="99">
                  <c:v>186.74259829696749</c:v>
                </c:pt>
                <c:pt idx="100">
                  <c:v>184.92468193845872</c:v>
                </c:pt>
              </c:numCache>
            </c:numRef>
          </c:val>
          <c:smooth val="0"/>
          <c:extLst>
            <c:ext xmlns:c16="http://schemas.microsoft.com/office/drawing/2014/chart" uri="{C3380CC4-5D6E-409C-BE32-E72D297353CC}">
              <c16:uniqueId val="{00000000-7DBB-40A7-A5BB-CF5E7DC777D9}"/>
            </c:ext>
          </c:extLst>
        </c:ser>
        <c:ser>
          <c:idx val="0"/>
          <c:order val="1"/>
          <c:tx>
            <c:v>VIN = 24V</c:v>
          </c:tx>
          <c:spPr>
            <a:ln w="28575">
              <a:solidFill>
                <a:srgbClr val="0000FF"/>
              </a:solidFill>
              <a:prstDash val="lgDash"/>
            </a:ln>
          </c:spPr>
          <c:marker>
            <c:symbol val="none"/>
          </c:marker>
          <c:cat>
            <c:numRef>
              <c:f>'Calculations - Single'!$AM$5:$AM$105</c:f>
              <c:numCache>
                <c:formatCode>0</c:formatCode>
                <c:ptCount val="101"/>
                <c:pt idx="0">
                  <c:v>1.0000000000000002E-6</c:v>
                </c:pt>
                <c:pt idx="1">
                  <c:v>25</c:v>
                </c:pt>
                <c:pt idx="2">
                  <c:v>50</c:v>
                </c:pt>
                <c:pt idx="3">
                  <c:v>75</c:v>
                </c:pt>
                <c:pt idx="4">
                  <c:v>100</c:v>
                </c:pt>
                <c:pt idx="5">
                  <c:v>125</c:v>
                </c:pt>
                <c:pt idx="6">
                  <c:v>150</c:v>
                </c:pt>
                <c:pt idx="7">
                  <c:v>175.00000000000003</c:v>
                </c:pt>
                <c:pt idx="8">
                  <c:v>200</c:v>
                </c:pt>
                <c:pt idx="9">
                  <c:v>224.99999999999997</c:v>
                </c:pt>
                <c:pt idx="10">
                  <c:v>250</c:v>
                </c:pt>
                <c:pt idx="11">
                  <c:v>275</c:v>
                </c:pt>
                <c:pt idx="12">
                  <c:v>300</c:v>
                </c:pt>
                <c:pt idx="13">
                  <c:v>325</c:v>
                </c:pt>
                <c:pt idx="14">
                  <c:v>350.00000000000006</c:v>
                </c:pt>
                <c:pt idx="15">
                  <c:v>375</c:v>
                </c:pt>
                <c:pt idx="16">
                  <c:v>400</c:v>
                </c:pt>
                <c:pt idx="17">
                  <c:v>425.00000000000006</c:v>
                </c:pt>
                <c:pt idx="18">
                  <c:v>449.99999999999994</c:v>
                </c:pt>
                <c:pt idx="19">
                  <c:v>475</c:v>
                </c:pt>
                <c:pt idx="20">
                  <c:v>500</c:v>
                </c:pt>
                <c:pt idx="21">
                  <c:v>525</c:v>
                </c:pt>
                <c:pt idx="22">
                  <c:v>550</c:v>
                </c:pt>
                <c:pt idx="23">
                  <c:v>575.00000000000011</c:v>
                </c:pt>
                <c:pt idx="24">
                  <c:v>600</c:v>
                </c:pt>
                <c:pt idx="25">
                  <c:v>625</c:v>
                </c:pt>
                <c:pt idx="26">
                  <c:v>650</c:v>
                </c:pt>
                <c:pt idx="27">
                  <c:v>675</c:v>
                </c:pt>
                <c:pt idx="28">
                  <c:v>700.00000000000011</c:v>
                </c:pt>
                <c:pt idx="29">
                  <c:v>725</c:v>
                </c:pt>
                <c:pt idx="30">
                  <c:v>750</c:v>
                </c:pt>
                <c:pt idx="31">
                  <c:v>775</c:v>
                </c:pt>
                <c:pt idx="32">
                  <c:v>800</c:v>
                </c:pt>
                <c:pt idx="33">
                  <c:v>825.00000000000011</c:v>
                </c:pt>
                <c:pt idx="34">
                  <c:v>850.00000000000011</c:v>
                </c:pt>
                <c:pt idx="35">
                  <c:v>875</c:v>
                </c:pt>
                <c:pt idx="36">
                  <c:v>899.99999999999989</c:v>
                </c:pt>
                <c:pt idx="37">
                  <c:v>925</c:v>
                </c:pt>
                <c:pt idx="38">
                  <c:v>950</c:v>
                </c:pt>
                <c:pt idx="39">
                  <c:v>975.00000000000011</c:v>
                </c:pt>
                <c:pt idx="40">
                  <c:v>1000</c:v>
                </c:pt>
                <c:pt idx="41">
                  <c:v>1025</c:v>
                </c:pt>
                <c:pt idx="42">
                  <c:v>1050</c:v>
                </c:pt>
                <c:pt idx="43">
                  <c:v>1075</c:v>
                </c:pt>
                <c:pt idx="44">
                  <c:v>1100</c:v>
                </c:pt>
                <c:pt idx="45">
                  <c:v>1125</c:v>
                </c:pt>
                <c:pt idx="46">
                  <c:v>1150.0000000000002</c:v>
                </c:pt>
                <c:pt idx="47">
                  <c:v>1174.9999999999998</c:v>
                </c:pt>
                <c:pt idx="48">
                  <c:v>1200</c:v>
                </c:pt>
                <c:pt idx="49">
                  <c:v>1225</c:v>
                </c:pt>
                <c:pt idx="50">
                  <c:v>1250</c:v>
                </c:pt>
                <c:pt idx="51">
                  <c:v>1275</c:v>
                </c:pt>
                <c:pt idx="52">
                  <c:v>1300</c:v>
                </c:pt>
                <c:pt idx="53">
                  <c:v>1325.0000000000002</c:v>
                </c:pt>
                <c:pt idx="54">
                  <c:v>1350</c:v>
                </c:pt>
                <c:pt idx="55">
                  <c:v>1375</c:v>
                </c:pt>
                <c:pt idx="56">
                  <c:v>1400.0000000000002</c:v>
                </c:pt>
                <c:pt idx="57">
                  <c:v>1424.9999999999998</c:v>
                </c:pt>
                <c:pt idx="58">
                  <c:v>1450</c:v>
                </c:pt>
                <c:pt idx="59">
                  <c:v>1474.9999999999998</c:v>
                </c:pt>
                <c:pt idx="60">
                  <c:v>1500</c:v>
                </c:pt>
                <c:pt idx="61">
                  <c:v>1525</c:v>
                </c:pt>
                <c:pt idx="62">
                  <c:v>1550</c:v>
                </c:pt>
                <c:pt idx="63">
                  <c:v>1575</c:v>
                </c:pt>
                <c:pt idx="64">
                  <c:v>1600</c:v>
                </c:pt>
                <c:pt idx="65">
                  <c:v>1625</c:v>
                </c:pt>
                <c:pt idx="66">
                  <c:v>1650.0000000000002</c:v>
                </c:pt>
                <c:pt idx="67">
                  <c:v>1675</c:v>
                </c:pt>
                <c:pt idx="68">
                  <c:v>1700.0000000000002</c:v>
                </c:pt>
                <c:pt idx="69">
                  <c:v>1724.9999999999998</c:v>
                </c:pt>
                <c:pt idx="70">
                  <c:v>1750</c:v>
                </c:pt>
                <c:pt idx="71">
                  <c:v>1775</c:v>
                </c:pt>
                <c:pt idx="72">
                  <c:v>1799.9999999999998</c:v>
                </c:pt>
                <c:pt idx="73">
                  <c:v>1825</c:v>
                </c:pt>
                <c:pt idx="74">
                  <c:v>1850</c:v>
                </c:pt>
                <c:pt idx="75">
                  <c:v>1875</c:v>
                </c:pt>
                <c:pt idx="76">
                  <c:v>1900</c:v>
                </c:pt>
                <c:pt idx="77">
                  <c:v>1925</c:v>
                </c:pt>
                <c:pt idx="78">
                  <c:v>1950.0000000000002</c:v>
                </c:pt>
                <c:pt idx="79">
                  <c:v>1975</c:v>
                </c:pt>
                <c:pt idx="80">
                  <c:v>2000</c:v>
                </c:pt>
                <c:pt idx="81">
                  <c:v>2025.0000000000005</c:v>
                </c:pt>
                <c:pt idx="82">
                  <c:v>2050</c:v>
                </c:pt>
                <c:pt idx="83">
                  <c:v>2074.9999999999995</c:v>
                </c:pt>
                <c:pt idx="84">
                  <c:v>2100</c:v>
                </c:pt>
                <c:pt idx="85">
                  <c:v>2125</c:v>
                </c:pt>
                <c:pt idx="86">
                  <c:v>2150</c:v>
                </c:pt>
                <c:pt idx="87">
                  <c:v>2175</c:v>
                </c:pt>
                <c:pt idx="88">
                  <c:v>2200</c:v>
                </c:pt>
                <c:pt idx="89">
                  <c:v>2225</c:v>
                </c:pt>
                <c:pt idx="90">
                  <c:v>2250</c:v>
                </c:pt>
                <c:pt idx="91">
                  <c:v>2275</c:v>
                </c:pt>
                <c:pt idx="92">
                  <c:v>2300.0000000000005</c:v>
                </c:pt>
                <c:pt idx="93">
                  <c:v>2325</c:v>
                </c:pt>
                <c:pt idx="94">
                  <c:v>2349.9999999999995</c:v>
                </c:pt>
                <c:pt idx="95">
                  <c:v>2375</c:v>
                </c:pt>
                <c:pt idx="96">
                  <c:v>2400</c:v>
                </c:pt>
                <c:pt idx="97">
                  <c:v>2425</c:v>
                </c:pt>
                <c:pt idx="98">
                  <c:v>2450</c:v>
                </c:pt>
                <c:pt idx="99">
                  <c:v>2475</c:v>
                </c:pt>
                <c:pt idx="100">
                  <c:v>2500</c:v>
                </c:pt>
              </c:numCache>
            </c:numRef>
          </c:cat>
          <c:val>
            <c:numRef>
              <c:f>'Calculations - Single'!$AN$5:$AN$105</c:f>
              <c:numCache>
                <c:formatCode>0.0</c:formatCode>
                <c:ptCount val="101"/>
                <c:pt idx="0">
                  <c:v>12</c:v>
                </c:pt>
                <c:pt idx="1">
                  <c:v>27.213671902389706</c:v>
                </c:pt>
                <c:pt idx="2">
                  <c:v>54.427343804779412</c:v>
                </c:pt>
                <c:pt idx="3">
                  <c:v>81.641015707169103</c:v>
                </c:pt>
                <c:pt idx="4">
                  <c:v>108.85468760955882</c:v>
                </c:pt>
                <c:pt idx="5">
                  <c:v>136.0683595119485</c:v>
                </c:pt>
                <c:pt idx="6">
                  <c:v>163.28203141433821</c:v>
                </c:pt>
                <c:pt idx="7">
                  <c:v>190.49570331672794</c:v>
                </c:pt>
                <c:pt idx="8">
                  <c:v>217.70937521911765</c:v>
                </c:pt>
                <c:pt idx="9">
                  <c:v>244.92304712150732</c:v>
                </c:pt>
                <c:pt idx="10">
                  <c:v>272.136719023897</c:v>
                </c:pt>
                <c:pt idx="11">
                  <c:v>299.35039092628676</c:v>
                </c:pt>
                <c:pt idx="12">
                  <c:v>326.56406282867641</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349.3371558749638</c:v>
                </c:pt>
                <c:pt idx="80">
                  <c:v>345.26409899985299</c:v>
                </c:pt>
                <c:pt idx="81">
                  <c:v>341.28478162510442</c:v>
                </c:pt>
                <c:pt idx="82">
                  <c:v>337.39116932849856</c:v>
                </c:pt>
                <c:pt idx="83">
                  <c:v>333.57859733315439</c:v>
                </c:pt>
                <c:pt idx="84">
                  <c:v>329.85061870471486</c:v>
                </c:pt>
                <c:pt idx="85">
                  <c:v>326.20444097987803</c:v>
                </c:pt>
                <c:pt idx="86">
                  <c:v>322.64581719068138</c:v>
                </c:pt>
                <c:pt idx="87">
                  <c:v>319.15480701741797</c:v>
                </c:pt>
                <c:pt idx="88">
                  <c:v>315.74298603527006</c:v>
                </c:pt>
                <c:pt idx="89">
                  <c:v>312.40302342565195</c:v>
                </c:pt>
                <c:pt idx="90">
                  <c:v>309.13267264496466</c:v>
                </c:pt>
                <c:pt idx="91">
                  <c:v>305.9297798301518</c:v>
                </c:pt>
                <c:pt idx="92">
                  <c:v>302.79227906810155</c:v>
                </c:pt>
                <c:pt idx="93">
                  <c:v>299.71818795187278</c:v>
                </c:pt>
                <c:pt idx="94">
                  <c:v>296.70560340365626</c:v>
                </c:pt>
                <c:pt idx="95">
                  <c:v>293.75269774598098</c:v>
                </c:pt>
                <c:pt idx="96">
                  <c:v>290.85771500411721</c:v>
                </c:pt>
                <c:pt idx="97">
                  <c:v>288.01896742396167</c:v>
                </c:pt>
                <c:pt idx="98">
                  <c:v>285.2348321908936</c:v>
                </c:pt>
                <c:pt idx="99">
                  <c:v>282.50374833619844</c:v>
                </c:pt>
                <c:pt idx="100">
                  <c:v>279.824213818668</c:v>
                </c:pt>
              </c:numCache>
            </c:numRef>
          </c:val>
          <c:smooth val="0"/>
          <c:extLst>
            <c:ext xmlns:c16="http://schemas.microsoft.com/office/drawing/2014/chart" uri="{C3380CC4-5D6E-409C-BE32-E72D297353CC}">
              <c16:uniqueId val="{00000001-7DBB-40A7-A5BB-CF5E7DC777D9}"/>
            </c:ext>
          </c:extLst>
        </c:ser>
        <c:ser>
          <c:idx val="2"/>
          <c:order val="2"/>
          <c:tx>
            <c:v>VIN = 36V</c:v>
          </c:tx>
          <c:spPr>
            <a:ln>
              <a:solidFill>
                <a:srgbClr val="FF0000"/>
              </a:solidFill>
              <a:prstDash val="solid"/>
            </a:ln>
          </c:spPr>
          <c:marker>
            <c:symbol val="none"/>
          </c:marker>
          <c:cat>
            <c:numRef>
              <c:f>'Calculations - Single'!$AM$5:$AM$105</c:f>
              <c:numCache>
                <c:formatCode>0</c:formatCode>
                <c:ptCount val="101"/>
                <c:pt idx="0">
                  <c:v>1.0000000000000002E-6</c:v>
                </c:pt>
                <c:pt idx="1">
                  <c:v>25</c:v>
                </c:pt>
                <c:pt idx="2">
                  <c:v>50</c:v>
                </c:pt>
                <c:pt idx="3">
                  <c:v>75</c:v>
                </c:pt>
                <c:pt idx="4">
                  <c:v>100</c:v>
                </c:pt>
                <c:pt idx="5">
                  <c:v>125</c:v>
                </c:pt>
                <c:pt idx="6">
                  <c:v>150</c:v>
                </c:pt>
                <c:pt idx="7">
                  <c:v>175.00000000000003</c:v>
                </c:pt>
                <c:pt idx="8">
                  <c:v>200</c:v>
                </c:pt>
                <c:pt idx="9">
                  <c:v>224.99999999999997</c:v>
                </c:pt>
                <c:pt idx="10">
                  <c:v>250</c:v>
                </c:pt>
                <c:pt idx="11">
                  <c:v>275</c:v>
                </c:pt>
                <c:pt idx="12">
                  <c:v>300</c:v>
                </c:pt>
                <c:pt idx="13">
                  <c:v>325</c:v>
                </c:pt>
                <c:pt idx="14">
                  <c:v>350.00000000000006</c:v>
                </c:pt>
                <c:pt idx="15">
                  <c:v>375</c:v>
                </c:pt>
                <c:pt idx="16">
                  <c:v>400</c:v>
                </c:pt>
                <c:pt idx="17">
                  <c:v>425.00000000000006</c:v>
                </c:pt>
                <c:pt idx="18">
                  <c:v>449.99999999999994</c:v>
                </c:pt>
                <c:pt idx="19">
                  <c:v>475</c:v>
                </c:pt>
                <c:pt idx="20">
                  <c:v>500</c:v>
                </c:pt>
                <c:pt idx="21">
                  <c:v>525</c:v>
                </c:pt>
                <c:pt idx="22">
                  <c:v>550</c:v>
                </c:pt>
                <c:pt idx="23">
                  <c:v>575.00000000000011</c:v>
                </c:pt>
                <c:pt idx="24">
                  <c:v>600</c:v>
                </c:pt>
                <c:pt idx="25">
                  <c:v>625</c:v>
                </c:pt>
                <c:pt idx="26">
                  <c:v>650</c:v>
                </c:pt>
                <c:pt idx="27">
                  <c:v>675</c:v>
                </c:pt>
                <c:pt idx="28">
                  <c:v>700.00000000000011</c:v>
                </c:pt>
                <c:pt idx="29">
                  <c:v>725</c:v>
                </c:pt>
                <c:pt idx="30">
                  <c:v>750</c:v>
                </c:pt>
                <c:pt idx="31">
                  <c:v>775</c:v>
                </c:pt>
                <c:pt idx="32">
                  <c:v>800</c:v>
                </c:pt>
                <c:pt idx="33">
                  <c:v>825.00000000000011</c:v>
                </c:pt>
                <c:pt idx="34">
                  <c:v>850.00000000000011</c:v>
                </c:pt>
                <c:pt idx="35">
                  <c:v>875</c:v>
                </c:pt>
                <c:pt idx="36">
                  <c:v>899.99999999999989</c:v>
                </c:pt>
                <c:pt idx="37">
                  <c:v>925</c:v>
                </c:pt>
                <c:pt idx="38">
                  <c:v>950</c:v>
                </c:pt>
                <c:pt idx="39">
                  <c:v>975.00000000000011</c:v>
                </c:pt>
                <c:pt idx="40">
                  <c:v>1000</c:v>
                </c:pt>
                <c:pt idx="41">
                  <c:v>1025</c:v>
                </c:pt>
                <c:pt idx="42">
                  <c:v>1050</c:v>
                </c:pt>
                <c:pt idx="43">
                  <c:v>1075</c:v>
                </c:pt>
                <c:pt idx="44">
                  <c:v>1100</c:v>
                </c:pt>
                <c:pt idx="45">
                  <c:v>1125</c:v>
                </c:pt>
                <c:pt idx="46">
                  <c:v>1150.0000000000002</c:v>
                </c:pt>
                <c:pt idx="47">
                  <c:v>1174.9999999999998</c:v>
                </c:pt>
                <c:pt idx="48">
                  <c:v>1200</c:v>
                </c:pt>
                <c:pt idx="49">
                  <c:v>1225</c:v>
                </c:pt>
                <c:pt idx="50">
                  <c:v>1250</c:v>
                </c:pt>
                <c:pt idx="51">
                  <c:v>1275</c:v>
                </c:pt>
                <c:pt idx="52">
                  <c:v>1300</c:v>
                </c:pt>
                <c:pt idx="53">
                  <c:v>1325.0000000000002</c:v>
                </c:pt>
                <c:pt idx="54">
                  <c:v>1350</c:v>
                </c:pt>
                <c:pt idx="55">
                  <c:v>1375</c:v>
                </c:pt>
                <c:pt idx="56">
                  <c:v>1400.0000000000002</c:v>
                </c:pt>
                <c:pt idx="57">
                  <c:v>1424.9999999999998</c:v>
                </c:pt>
                <c:pt idx="58">
                  <c:v>1450</c:v>
                </c:pt>
                <c:pt idx="59">
                  <c:v>1474.9999999999998</c:v>
                </c:pt>
                <c:pt idx="60">
                  <c:v>1500</c:v>
                </c:pt>
                <c:pt idx="61">
                  <c:v>1525</c:v>
                </c:pt>
                <c:pt idx="62">
                  <c:v>1550</c:v>
                </c:pt>
                <c:pt idx="63">
                  <c:v>1575</c:v>
                </c:pt>
                <c:pt idx="64">
                  <c:v>1600</c:v>
                </c:pt>
                <c:pt idx="65">
                  <c:v>1625</c:v>
                </c:pt>
                <c:pt idx="66">
                  <c:v>1650.0000000000002</c:v>
                </c:pt>
                <c:pt idx="67">
                  <c:v>1675</c:v>
                </c:pt>
                <c:pt idx="68">
                  <c:v>1700.0000000000002</c:v>
                </c:pt>
                <c:pt idx="69">
                  <c:v>1724.9999999999998</c:v>
                </c:pt>
                <c:pt idx="70">
                  <c:v>1750</c:v>
                </c:pt>
                <c:pt idx="71">
                  <c:v>1775</c:v>
                </c:pt>
                <c:pt idx="72">
                  <c:v>1799.9999999999998</c:v>
                </c:pt>
                <c:pt idx="73">
                  <c:v>1825</c:v>
                </c:pt>
                <c:pt idx="74">
                  <c:v>1850</c:v>
                </c:pt>
                <c:pt idx="75">
                  <c:v>1875</c:v>
                </c:pt>
                <c:pt idx="76">
                  <c:v>1900</c:v>
                </c:pt>
                <c:pt idx="77">
                  <c:v>1925</c:v>
                </c:pt>
                <c:pt idx="78">
                  <c:v>1950.0000000000002</c:v>
                </c:pt>
                <c:pt idx="79">
                  <c:v>1975</c:v>
                </c:pt>
                <c:pt idx="80">
                  <c:v>2000</c:v>
                </c:pt>
                <c:pt idx="81">
                  <c:v>2025.0000000000005</c:v>
                </c:pt>
                <c:pt idx="82">
                  <c:v>2050</c:v>
                </c:pt>
                <c:pt idx="83">
                  <c:v>2074.9999999999995</c:v>
                </c:pt>
                <c:pt idx="84">
                  <c:v>2100</c:v>
                </c:pt>
                <c:pt idx="85">
                  <c:v>2125</c:v>
                </c:pt>
                <c:pt idx="86">
                  <c:v>2150</c:v>
                </c:pt>
                <c:pt idx="87">
                  <c:v>2175</c:v>
                </c:pt>
                <c:pt idx="88">
                  <c:v>2200</c:v>
                </c:pt>
                <c:pt idx="89">
                  <c:v>2225</c:v>
                </c:pt>
                <c:pt idx="90">
                  <c:v>2250</c:v>
                </c:pt>
                <c:pt idx="91">
                  <c:v>2275</c:v>
                </c:pt>
                <c:pt idx="92">
                  <c:v>2300.0000000000005</c:v>
                </c:pt>
                <c:pt idx="93">
                  <c:v>2325</c:v>
                </c:pt>
                <c:pt idx="94">
                  <c:v>2349.9999999999995</c:v>
                </c:pt>
                <c:pt idx="95">
                  <c:v>2375</c:v>
                </c:pt>
                <c:pt idx="96">
                  <c:v>2400</c:v>
                </c:pt>
                <c:pt idx="97">
                  <c:v>2425</c:v>
                </c:pt>
                <c:pt idx="98">
                  <c:v>2450</c:v>
                </c:pt>
                <c:pt idx="99">
                  <c:v>2475</c:v>
                </c:pt>
                <c:pt idx="100">
                  <c:v>2500</c:v>
                </c:pt>
              </c:numCache>
            </c:numRef>
          </c:cat>
          <c:val>
            <c:numRef>
              <c:f>'Calculations - Single'!$AN$216:$AN$316</c:f>
              <c:numCache>
                <c:formatCode>0.0</c:formatCode>
                <c:ptCount val="101"/>
                <c:pt idx="0">
                  <c:v>12</c:v>
                </c:pt>
                <c:pt idx="1">
                  <c:v>27.213671902389706</c:v>
                </c:pt>
                <c:pt idx="2">
                  <c:v>54.427343804779412</c:v>
                </c:pt>
                <c:pt idx="3">
                  <c:v>81.641015707169103</c:v>
                </c:pt>
                <c:pt idx="4">
                  <c:v>108.85468760955882</c:v>
                </c:pt>
                <c:pt idx="5">
                  <c:v>136.0683595119485</c:v>
                </c:pt>
                <c:pt idx="6">
                  <c:v>163.28203141433821</c:v>
                </c:pt>
                <c:pt idx="7">
                  <c:v>190.49570331672794</c:v>
                </c:pt>
                <c:pt idx="8">
                  <c:v>217.70937521911765</c:v>
                </c:pt>
                <c:pt idx="9">
                  <c:v>244.92304712150732</c:v>
                </c:pt>
                <c:pt idx="10">
                  <c:v>272.136719023897</c:v>
                </c:pt>
                <c:pt idx="11">
                  <c:v>299.35039092628676</c:v>
                </c:pt>
                <c:pt idx="12">
                  <c:v>326.56406282867641</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2-7DBB-40A7-A5BB-CF5E7DC777D9}"/>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Single'!$AM$5:$AM$105</c:f>
              <c:numCache>
                <c:formatCode>0</c:formatCode>
                <c:ptCount val="101"/>
                <c:pt idx="0">
                  <c:v>1.0000000000000002E-6</c:v>
                </c:pt>
                <c:pt idx="1">
                  <c:v>25</c:v>
                </c:pt>
                <c:pt idx="2">
                  <c:v>50</c:v>
                </c:pt>
                <c:pt idx="3">
                  <c:v>75</c:v>
                </c:pt>
                <c:pt idx="4">
                  <c:v>100</c:v>
                </c:pt>
                <c:pt idx="5">
                  <c:v>125</c:v>
                </c:pt>
                <c:pt idx="6">
                  <c:v>150</c:v>
                </c:pt>
                <c:pt idx="7">
                  <c:v>175.00000000000003</c:v>
                </c:pt>
                <c:pt idx="8">
                  <c:v>200</c:v>
                </c:pt>
                <c:pt idx="9">
                  <c:v>224.99999999999997</c:v>
                </c:pt>
                <c:pt idx="10">
                  <c:v>250</c:v>
                </c:pt>
                <c:pt idx="11">
                  <c:v>275</c:v>
                </c:pt>
                <c:pt idx="12">
                  <c:v>300</c:v>
                </c:pt>
                <c:pt idx="13">
                  <c:v>325</c:v>
                </c:pt>
                <c:pt idx="14">
                  <c:v>350.00000000000006</c:v>
                </c:pt>
                <c:pt idx="15">
                  <c:v>375</c:v>
                </c:pt>
                <c:pt idx="16">
                  <c:v>400</c:v>
                </c:pt>
                <c:pt idx="17">
                  <c:v>425.00000000000006</c:v>
                </c:pt>
                <c:pt idx="18">
                  <c:v>449.99999999999994</c:v>
                </c:pt>
                <c:pt idx="19">
                  <c:v>475</c:v>
                </c:pt>
                <c:pt idx="20">
                  <c:v>500</c:v>
                </c:pt>
                <c:pt idx="21">
                  <c:v>525</c:v>
                </c:pt>
                <c:pt idx="22">
                  <c:v>550</c:v>
                </c:pt>
                <c:pt idx="23">
                  <c:v>575.00000000000011</c:v>
                </c:pt>
                <c:pt idx="24">
                  <c:v>600</c:v>
                </c:pt>
                <c:pt idx="25">
                  <c:v>625</c:v>
                </c:pt>
                <c:pt idx="26">
                  <c:v>650</c:v>
                </c:pt>
                <c:pt idx="27">
                  <c:v>675</c:v>
                </c:pt>
                <c:pt idx="28">
                  <c:v>700.00000000000011</c:v>
                </c:pt>
                <c:pt idx="29">
                  <c:v>725</c:v>
                </c:pt>
                <c:pt idx="30">
                  <c:v>750</c:v>
                </c:pt>
                <c:pt idx="31">
                  <c:v>775</c:v>
                </c:pt>
                <c:pt idx="32">
                  <c:v>800</c:v>
                </c:pt>
                <c:pt idx="33">
                  <c:v>825.00000000000011</c:v>
                </c:pt>
                <c:pt idx="34">
                  <c:v>850.00000000000011</c:v>
                </c:pt>
                <c:pt idx="35">
                  <c:v>875</c:v>
                </c:pt>
                <c:pt idx="36">
                  <c:v>899.99999999999989</c:v>
                </c:pt>
                <c:pt idx="37">
                  <c:v>925</c:v>
                </c:pt>
                <c:pt idx="38">
                  <c:v>950</c:v>
                </c:pt>
                <c:pt idx="39">
                  <c:v>975.00000000000011</c:v>
                </c:pt>
                <c:pt idx="40">
                  <c:v>1000</c:v>
                </c:pt>
                <c:pt idx="41">
                  <c:v>1025</c:v>
                </c:pt>
                <c:pt idx="42">
                  <c:v>1050</c:v>
                </c:pt>
                <c:pt idx="43">
                  <c:v>1075</c:v>
                </c:pt>
                <c:pt idx="44">
                  <c:v>1100</c:v>
                </c:pt>
                <c:pt idx="45">
                  <c:v>1125</c:v>
                </c:pt>
                <c:pt idx="46">
                  <c:v>1150.0000000000002</c:v>
                </c:pt>
                <c:pt idx="47">
                  <c:v>1174.9999999999998</c:v>
                </c:pt>
                <c:pt idx="48">
                  <c:v>1200</c:v>
                </c:pt>
                <c:pt idx="49">
                  <c:v>1225</c:v>
                </c:pt>
                <c:pt idx="50">
                  <c:v>1250</c:v>
                </c:pt>
                <c:pt idx="51">
                  <c:v>1275</c:v>
                </c:pt>
                <c:pt idx="52">
                  <c:v>1300</c:v>
                </c:pt>
                <c:pt idx="53">
                  <c:v>1325.0000000000002</c:v>
                </c:pt>
                <c:pt idx="54">
                  <c:v>1350</c:v>
                </c:pt>
                <c:pt idx="55">
                  <c:v>1375</c:v>
                </c:pt>
                <c:pt idx="56">
                  <c:v>1400.0000000000002</c:v>
                </c:pt>
                <c:pt idx="57">
                  <c:v>1424.9999999999998</c:v>
                </c:pt>
                <c:pt idx="58">
                  <c:v>1450</c:v>
                </c:pt>
                <c:pt idx="59">
                  <c:v>1474.9999999999998</c:v>
                </c:pt>
                <c:pt idx="60">
                  <c:v>1500</c:v>
                </c:pt>
                <c:pt idx="61">
                  <c:v>1525</c:v>
                </c:pt>
                <c:pt idx="62">
                  <c:v>1550</c:v>
                </c:pt>
                <c:pt idx="63">
                  <c:v>1575</c:v>
                </c:pt>
                <c:pt idx="64">
                  <c:v>1600</c:v>
                </c:pt>
                <c:pt idx="65">
                  <c:v>1625</c:v>
                </c:pt>
                <c:pt idx="66">
                  <c:v>1650.0000000000002</c:v>
                </c:pt>
                <c:pt idx="67">
                  <c:v>1675</c:v>
                </c:pt>
                <c:pt idx="68">
                  <c:v>1700.0000000000002</c:v>
                </c:pt>
                <c:pt idx="69">
                  <c:v>1724.9999999999998</c:v>
                </c:pt>
                <c:pt idx="70">
                  <c:v>1750</c:v>
                </c:pt>
                <c:pt idx="71">
                  <c:v>1775</c:v>
                </c:pt>
                <c:pt idx="72">
                  <c:v>1799.9999999999998</c:v>
                </c:pt>
                <c:pt idx="73">
                  <c:v>1825</c:v>
                </c:pt>
                <c:pt idx="74">
                  <c:v>1850</c:v>
                </c:pt>
                <c:pt idx="75">
                  <c:v>1875</c:v>
                </c:pt>
                <c:pt idx="76">
                  <c:v>1900</c:v>
                </c:pt>
                <c:pt idx="77">
                  <c:v>1925</c:v>
                </c:pt>
                <c:pt idx="78">
                  <c:v>1950.0000000000002</c:v>
                </c:pt>
                <c:pt idx="79">
                  <c:v>1975</c:v>
                </c:pt>
                <c:pt idx="80">
                  <c:v>2000</c:v>
                </c:pt>
                <c:pt idx="81">
                  <c:v>2025.0000000000005</c:v>
                </c:pt>
                <c:pt idx="82">
                  <c:v>2050</c:v>
                </c:pt>
                <c:pt idx="83">
                  <c:v>2074.9999999999995</c:v>
                </c:pt>
                <c:pt idx="84">
                  <c:v>2100</c:v>
                </c:pt>
                <c:pt idx="85">
                  <c:v>2125</c:v>
                </c:pt>
                <c:pt idx="86">
                  <c:v>2150</c:v>
                </c:pt>
                <c:pt idx="87">
                  <c:v>2175</c:v>
                </c:pt>
                <c:pt idx="88">
                  <c:v>2200</c:v>
                </c:pt>
                <c:pt idx="89">
                  <c:v>2225</c:v>
                </c:pt>
                <c:pt idx="90">
                  <c:v>2250</c:v>
                </c:pt>
                <c:pt idx="91">
                  <c:v>2275</c:v>
                </c:pt>
                <c:pt idx="92">
                  <c:v>2300.0000000000005</c:v>
                </c:pt>
                <c:pt idx="93">
                  <c:v>2325</c:v>
                </c:pt>
                <c:pt idx="94">
                  <c:v>2349.9999999999995</c:v>
                </c:pt>
                <c:pt idx="95">
                  <c:v>2375</c:v>
                </c:pt>
                <c:pt idx="96">
                  <c:v>2400</c:v>
                </c:pt>
                <c:pt idx="97">
                  <c:v>2425</c:v>
                </c:pt>
                <c:pt idx="98">
                  <c:v>2450</c:v>
                </c:pt>
                <c:pt idx="99">
                  <c:v>2475</c:v>
                </c:pt>
                <c:pt idx="100">
                  <c:v>2500</c:v>
                </c:pt>
              </c:numCache>
            </c:numRef>
          </c:cat>
          <c:val>
            <c:numRef>
              <c:f>'Calculations - Single'!$CE$110:$CE$210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7DBB-40A7-A5BB-CF5E7DC777D9}"/>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Single'!$AM$5:$AM$105</c:f>
              <c:numCache>
                <c:formatCode>0</c:formatCode>
                <c:ptCount val="101"/>
                <c:pt idx="0">
                  <c:v>1.0000000000000002E-6</c:v>
                </c:pt>
                <c:pt idx="1">
                  <c:v>25</c:v>
                </c:pt>
                <c:pt idx="2">
                  <c:v>50</c:v>
                </c:pt>
                <c:pt idx="3">
                  <c:v>75</c:v>
                </c:pt>
                <c:pt idx="4">
                  <c:v>100</c:v>
                </c:pt>
                <c:pt idx="5">
                  <c:v>125</c:v>
                </c:pt>
                <c:pt idx="6">
                  <c:v>150</c:v>
                </c:pt>
                <c:pt idx="7">
                  <c:v>175.00000000000003</c:v>
                </c:pt>
                <c:pt idx="8">
                  <c:v>200</c:v>
                </c:pt>
                <c:pt idx="9">
                  <c:v>224.99999999999997</c:v>
                </c:pt>
                <c:pt idx="10">
                  <c:v>250</c:v>
                </c:pt>
                <c:pt idx="11">
                  <c:v>275</c:v>
                </c:pt>
                <c:pt idx="12">
                  <c:v>300</c:v>
                </c:pt>
                <c:pt idx="13">
                  <c:v>325</c:v>
                </c:pt>
                <c:pt idx="14">
                  <c:v>350.00000000000006</c:v>
                </c:pt>
                <c:pt idx="15">
                  <c:v>375</c:v>
                </c:pt>
                <c:pt idx="16">
                  <c:v>400</c:v>
                </c:pt>
                <c:pt idx="17">
                  <c:v>425.00000000000006</c:v>
                </c:pt>
                <c:pt idx="18">
                  <c:v>449.99999999999994</c:v>
                </c:pt>
                <c:pt idx="19">
                  <c:v>475</c:v>
                </c:pt>
                <c:pt idx="20">
                  <c:v>500</c:v>
                </c:pt>
                <c:pt idx="21">
                  <c:v>525</c:v>
                </c:pt>
                <c:pt idx="22">
                  <c:v>550</c:v>
                </c:pt>
                <c:pt idx="23">
                  <c:v>575.00000000000011</c:v>
                </c:pt>
                <c:pt idx="24">
                  <c:v>600</c:v>
                </c:pt>
                <c:pt idx="25">
                  <c:v>625</c:v>
                </c:pt>
                <c:pt idx="26">
                  <c:v>650</c:v>
                </c:pt>
                <c:pt idx="27">
                  <c:v>675</c:v>
                </c:pt>
                <c:pt idx="28">
                  <c:v>700.00000000000011</c:v>
                </c:pt>
                <c:pt idx="29">
                  <c:v>725</c:v>
                </c:pt>
                <c:pt idx="30">
                  <c:v>750</c:v>
                </c:pt>
                <c:pt idx="31">
                  <c:v>775</c:v>
                </c:pt>
                <c:pt idx="32">
                  <c:v>800</c:v>
                </c:pt>
                <c:pt idx="33">
                  <c:v>825.00000000000011</c:v>
                </c:pt>
                <c:pt idx="34">
                  <c:v>850.00000000000011</c:v>
                </c:pt>
                <c:pt idx="35">
                  <c:v>875</c:v>
                </c:pt>
                <c:pt idx="36">
                  <c:v>899.99999999999989</c:v>
                </c:pt>
                <c:pt idx="37">
                  <c:v>925</c:v>
                </c:pt>
                <c:pt idx="38">
                  <c:v>950</c:v>
                </c:pt>
                <c:pt idx="39">
                  <c:v>975.00000000000011</c:v>
                </c:pt>
                <c:pt idx="40">
                  <c:v>1000</c:v>
                </c:pt>
                <c:pt idx="41">
                  <c:v>1025</c:v>
                </c:pt>
                <c:pt idx="42">
                  <c:v>1050</c:v>
                </c:pt>
                <c:pt idx="43">
                  <c:v>1075</c:v>
                </c:pt>
                <c:pt idx="44">
                  <c:v>1100</c:v>
                </c:pt>
                <c:pt idx="45">
                  <c:v>1125</c:v>
                </c:pt>
                <c:pt idx="46">
                  <c:v>1150.0000000000002</c:v>
                </c:pt>
                <c:pt idx="47">
                  <c:v>1174.9999999999998</c:v>
                </c:pt>
                <c:pt idx="48">
                  <c:v>1200</c:v>
                </c:pt>
                <c:pt idx="49">
                  <c:v>1225</c:v>
                </c:pt>
                <c:pt idx="50">
                  <c:v>1250</c:v>
                </c:pt>
                <c:pt idx="51">
                  <c:v>1275</c:v>
                </c:pt>
                <c:pt idx="52">
                  <c:v>1300</c:v>
                </c:pt>
                <c:pt idx="53">
                  <c:v>1325.0000000000002</c:v>
                </c:pt>
                <c:pt idx="54">
                  <c:v>1350</c:v>
                </c:pt>
                <c:pt idx="55">
                  <c:v>1375</c:v>
                </c:pt>
                <c:pt idx="56">
                  <c:v>1400.0000000000002</c:v>
                </c:pt>
                <c:pt idx="57">
                  <c:v>1424.9999999999998</c:v>
                </c:pt>
                <c:pt idx="58">
                  <c:v>1450</c:v>
                </c:pt>
                <c:pt idx="59">
                  <c:v>1474.9999999999998</c:v>
                </c:pt>
                <c:pt idx="60">
                  <c:v>1500</c:v>
                </c:pt>
                <c:pt idx="61">
                  <c:v>1525</c:v>
                </c:pt>
                <c:pt idx="62">
                  <c:v>1550</c:v>
                </c:pt>
                <c:pt idx="63">
                  <c:v>1575</c:v>
                </c:pt>
                <c:pt idx="64">
                  <c:v>1600</c:v>
                </c:pt>
                <c:pt idx="65">
                  <c:v>1625</c:v>
                </c:pt>
                <c:pt idx="66">
                  <c:v>1650.0000000000002</c:v>
                </c:pt>
                <c:pt idx="67">
                  <c:v>1675</c:v>
                </c:pt>
                <c:pt idx="68">
                  <c:v>1700.0000000000002</c:v>
                </c:pt>
                <c:pt idx="69">
                  <c:v>1724.9999999999998</c:v>
                </c:pt>
                <c:pt idx="70">
                  <c:v>1750</c:v>
                </c:pt>
                <c:pt idx="71">
                  <c:v>1775</c:v>
                </c:pt>
                <c:pt idx="72">
                  <c:v>1799.9999999999998</c:v>
                </c:pt>
                <c:pt idx="73">
                  <c:v>1825</c:v>
                </c:pt>
                <c:pt idx="74">
                  <c:v>1850</c:v>
                </c:pt>
                <c:pt idx="75">
                  <c:v>1875</c:v>
                </c:pt>
                <c:pt idx="76">
                  <c:v>1900</c:v>
                </c:pt>
                <c:pt idx="77">
                  <c:v>1925</c:v>
                </c:pt>
                <c:pt idx="78">
                  <c:v>1950.0000000000002</c:v>
                </c:pt>
                <c:pt idx="79">
                  <c:v>1975</c:v>
                </c:pt>
                <c:pt idx="80">
                  <c:v>2000</c:v>
                </c:pt>
                <c:pt idx="81">
                  <c:v>2025.0000000000005</c:v>
                </c:pt>
                <c:pt idx="82">
                  <c:v>2050</c:v>
                </c:pt>
                <c:pt idx="83">
                  <c:v>2074.9999999999995</c:v>
                </c:pt>
                <c:pt idx="84">
                  <c:v>2100</c:v>
                </c:pt>
                <c:pt idx="85">
                  <c:v>2125</c:v>
                </c:pt>
                <c:pt idx="86">
                  <c:v>2150</c:v>
                </c:pt>
                <c:pt idx="87">
                  <c:v>2175</c:v>
                </c:pt>
                <c:pt idx="88">
                  <c:v>2200</c:v>
                </c:pt>
                <c:pt idx="89">
                  <c:v>2225</c:v>
                </c:pt>
                <c:pt idx="90">
                  <c:v>2250</c:v>
                </c:pt>
                <c:pt idx="91">
                  <c:v>2275</c:v>
                </c:pt>
                <c:pt idx="92">
                  <c:v>2300.0000000000005</c:v>
                </c:pt>
                <c:pt idx="93">
                  <c:v>2325</c:v>
                </c:pt>
                <c:pt idx="94">
                  <c:v>2349.9999999999995</c:v>
                </c:pt>
                <c:pt idx="95">
                  <c:v>2375</c:v>
                </c:pt>
                <c:pt idx="96">
                  <c:v>2400</c:v>
                </c:pt>
                <c:pt idx="97">
                  <c:v>2425</c:v>
                </c:pt>
                <c:pt idx="98">
                  <c:v>2450</c:v>
                </c:pt>
                <c:pt idx="99">
                  <c:v>2475</c:v>
                </c:pt>
                <c:pt idx="100">
                  <c:v>2500</c:v>
                </c:pt>
              </c:numCache>
            </c:numRef>
          </c:cat>
          <c:val>
            <c:numRef>
              <c:f>'Calculations - Single'!$CE$5:$CE$105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7DBB-40A7-A5BB-CF5E7DC777D9}"/>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Single'!$AM$5:$AM$105</c:f>
              <c:numCache>
                <c:formatCode>0</c:formatCode>
                <c:ptCount val="101"/>
                <c:pt idx="0">
                  <c:v>1.0000000000000002E-6</c:v>
                </c:pt>
                <c:pt idx="1">
                  <c:v>25</c:v>
                </c:pt>
                <c:pt idx="2">
                  <c:v>50</c:v>
                </c:pt>
                <c:pt idx="3">
                  <c:v>75</c:v>
                </c:pt>
                <c:pt idx="4">
                  <c:v>100</c:v>
                </c:pt>
                <c:pt idx="5">
                  <c:v>125</c:v>
                </c:pt>
                <c:pt idx="6">
                  <c:v>150</c:v>
                </c:pt>
                <c:pt idx="7">
                  <c:v>175.00000000000003</c:v>
                </c:pt>
                <c:pt idx="8">
                  <c:v>200</c:v>
                </c:pt>
                <c:pt idx="9">
                  <c:v>224.99999999999997</c:v>
                </c:pt>
                <c:pt idx="10">
                  <c:v>250</c:v>
                </c:pt>
                <c:pt idx="11">
                  <c:v>275</c:v>
                </c:pt>
                <c:pt idx="12">
                  <c:v>300</c:v>
                </c:pt>
                <c:pt idx="13">
                  <c:v>325</c:v>
                </c:pt>
                <c:pt idx="14">
                  <c:v>350.00000000000006</c:v>
                </c:pt>
                <c:pt idx="15">
                  <c:v>375</c:v>
                </c:pt>
                <c:pt idx="16">
                  <c:v>400</c:v>
                </c:pt>
                <c:pt idx="17">
                  <c:v>425.00000000000006</c:v>
                </c:pt>
                <c:pt idx="18">
                  <c:v>449.99999999999994</c:v>
                </c:pt>
                <c:pt idx="19">
                  <c:v>475</c:v>
                </c:pt>
                <c:pt idx="20">
                  <c:v>500</c:v>
                </c:pt>
                <c:pt idx="21">
                  <c:v>525</c:v>
                </c:pt>
                <c:pt idx="22">
                  <c:v>550</c:v>
                </c:pt>
                <c:pt idx="23">
                  <c:v>575.00000000000011</c:v>
                </c:pt>
                <c:pt idx="24">
                  <c:v>600</c:v>
                </c:pt>
                <c:pt idx="25">
                  <c:v>625</c:v>
                </c:pt>
                <c:pt idx="26">
                  <c:v>650</c:v>
                </c:pt>
                <c:pt idx="27">
                  <c:v>675</c:v>
                </c:pt>
                <c:pt idx="28">
                  <c:v>700.00000000000011</c:v>
                </c:pt>
                <c:pt idx="29">
                  <c:v>725</c:v>
                </c:pt>
                <c:pt idx="30">
                  <c:v>750</c:v>
                </c:pt>
                <c:pt idx="31">
                  <c:v>775</c:v>
                </c:pt>
                <c:pt idx="32">
                  <c:v>800</c:v>
                </c:pt>
                <c:pt idx="33">
                  <c:v>825.00000000000011</c:v>
                </c:pt>
                <c:pt idx="34">
                  <c:v>850.00000000000011</c:v>
                </c:pt>
                <c:pt idx="35">
                  <c:v>875</c:v>
                </c:pt>
                <c:pt idx="36">
                  <c:v>899.99999999999989</c:v>
                </c:pt>
                <c:pt idx="37">
                  <c:v>925</c:v>
                </c:pt>
                <c:pt idx="38">
                  <c:v>950</c:v>
                </c:pt>
                <c:pt idx="39">
                  <c:v>975.00000000000011</c:v>
                </c:pt>
                <c:pt idx="40">
                  <c:v>1000</c:v>
                </c:pt>
                <c:pt idx="41">
                  <c:v>1025</c:v>
                </c:pt>
                <c:pt idx="42">
                  <c:v>1050</c:v>
                </c:pt>
                <c:pt idx="43">
                  <c:v>1075</c:v>
                </c:pt>
                <c:pt idx="44">
                  <c:v>1100</c:v>
                </c:pt>
                <c:pt idx="45">
                  <c:v>1125</c:v>
                </c:pt>
                <c:pt idx="46">
                  <c:v>1150.0000000000002</c:v>
                </c:pt>
                <c:pt idx="47">
                  <c:v>1174.9999999999998</c:v>
                </c:pt>
                <c:pt idx="48">
                  <c:v>1200</c:v>
                </c:pt>
                <c:pt idx="49">
                  <c:v>1225</c:v>
                </c:pt>
                <c:pt idx="50">
                  <c:v>1250</c:v>
                </c:pt>
                <c:pt idx="51">
                  <c:v>1275</c:v>
                </c:pt>
                <c:pt idx="52">
                  <c:v>1300</c:v>
                </c:pt>
                <c:pt idx="53">
                  <c:v>1325.0000000000002</c:v>
                </c:pt>
                <c:pt idx="54">
                  <c:v>1350</c:v>
                </c:pt>
                <c:pt idx="55">
                  <c:v>1375</c:v>
                </c:pt>
                <c:pt idx="56">
                  <c:v>1400.0000000000002</c:v>
                </c:pt>
                <c:pt idx="57">
                  <c:v>1424.9999999999998</c:v>
                </c:pt>
                <c:pt idx="58">
                  <c:v>1450</c:v>
                </c:pt>
                <c:pt idx="59">
                  <c:v>1474.9999999999998</c:v>
                </c:pt>
                <c:pt idx="60">
                  <c:v>1500</c:v>
                </c:pt>
                <c:pt idx="61">
                  <c:v>1525</c:v>
                </c:pt>
                <c:pt idx="62">
                  <c:v>1550</c:v>
                </c:pt>
                <c:pt idx="63">
                  <c:v>1575</c:v>
                </c:pt>
                <c:pt idx="64">
                  <c:v>1600</c:v>
                </c:pt>
                <c:pt idx="65">
                  <c:v>1625</c:v>
                </c:pt>
                <c:pt idx="66">
                  <c:v>1650.0000000000002</c:v>
                </c:pt>
                <c:pt idx="67">
                  <c:v>1675</c:v>
                </c:pt>
                <c:pt idx="68">
                  <c:v>1700.0000000000002</c:v>
                </c:pt>
                <c:pt idx="69">
                  <c:v>1724.9999999999998</c:v>
                </c:pt>
                <c:pt idx="70">
                  <c:v>1750</c:v>
                </c:pt>
                <c:pt idx="71">
                  <c:v>1775</c:v>
                </c:pt>
                <c:pt idx="72">
                  <c:v>1799.9999999999998</c:v>
                </c:pt>
                <c:pt idx="73">
                  <c:v>1825</c:v>
                </c:pt>
                <c:pt idx="74">
                  <c:v>1850</c:v>
                </c:pt>
                <c:pt idx="75">
                  <c:v>1875</c:v>
                </c:pt>
                <c:pt idx="76">
                  <c:v>1900</c:v>
                </c:pt>
                <c:pt idx="77">
                  <c:v>1925</c:v>
                </c:pt>
                <c:pt idx="78">
                  <c:v>1950.0000000000002</c:v>
                </c:pt>
                <c:pt idx="79">
                  <c:v>1975</c:v>
                </c:pt>
                <c:pt idx="80">
                  <c:v>2000</c:v>
                </c:pt>
                <c:pt idx="81">
                  <c:v>2025.0000000000005</c:v>
                </c:pt>
                <c:pt idx="82">
                  <c:v>2050</c:v>
                </c:pt>
                <c:pt idx="83">
                  <c:v>2074.9999999999995</c:v>
                </c:pt>
                <c:pt idx="84">
                  <c:v>2100</c:v>
                </c:pt>
                <c:pt idx="85">
                  <c:v>2125</c:v>
                </c:pt>
                <c:pt idx="86">
                  <c:v>2150</c:v>
                </c:pt>
                <c:pt idx="87">
                  <c:v>2175</c:v>
                </c:pt>
                <c:pt idx="88">
                  <c:v>2200</c:v>
                </c:pt>
                <c:pt idx="89">
                  <c:v>2225</c:v>
                </c:pt>
                <c:pt idx="90">
                  <c:v>2250</c:v>
                </c:pt>
                <c:pt idx="91">
                  <c:v>2275</c:v>
                </c:pt>
                <c:pt idx="92">
                  <c:v>2300.0000000000005</c:v>
                </c:pt>
                <c:pt idx="93">
                  <c:v>2325</c:v>
                </c:pt>
                <c:pt idx="94">
                  <c:v>2349.9999999999995</c:v>
                </c:pt>
                <c:pt idx="95">
                  <c:v>2375</c:v>
                </c:pt>
                <c:pt idx="96">
                  <c:v>2400</c:v>
                </c:pt>
                <c:pt idx="97">
                  <c:v>2425</c:v>
                </c:pt>
                <c:pt idx="98">
                  <c:v>2450</c:v>
                </c:pt>
                <c:pt idx="99">
                  <c:v>2475</c:v>
                </c:pt>
                <c:pt idx="100">
                  <c:v>2500</c:v>
                </c:pt>
              </c:numCache>
            </c:numRef>
          </c:cat>
          <c:val>
            <c:numRef>
              <c:f>'Calculations - Single'!$CE$216:$CE$316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7DBB-40A7-A5BB-CF5E7DC777D9}"/>
            </c:ext>
          </c:extLst>
        </c:ser>
        <c:dLbls>
          <c:showLegendKey val="0"/>
          <c:showVal val="0"/>
          <c:showCatName val="0"/>
          <c:showSerName val="0"/>
          <c:showPercent val="0"/>
          <c:showBubbleSize val="0"/>
        </c:dLbls>
        <c:smooth val="0"/>
        <c:axId val="449432576"/>
        <c:axId val="449455616"/>
      </c:lineChart>
      <c:catAx>
        <c:axId val="44943257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2543478293742543"/>
              <c:y val="0.94106692471810893"/>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455616"/>
        <c:crosses val="autoZero"/>
        <c:auto val="1"/>
        <c:lblAlgn val="ctr"/>
        <c:lblOffset val="100"/>
        <c:tickLblSkip val="20"/>
        <c:tickMarkSkip val="10"/>
        <c:noMultiLvlLbl val="0"/>
      </c:catAx>
      <c:valAx>
        <c:axId val="449455616"/>
        <c:scaling>
          <c:orientation val="minMax"/>
          <c:max val="400"/>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Switching</a:t>
                </a:r>
                <a:r>
                  <a:rPr lang="en-US" sz="1200" b="1" baseline="0">
                    <a:solidFill>
                      <a:schemeClr val="tx1"/>
                    </a:solidFill>
                    <a:latin typeface="Arial" pitchFamily="34" charset="0"/>
                    <a:cs typeface="Arial" pitchFamily="34" charset="0"/>
                  </a:rPr>
                  <a:t> Frquency (kHz)</a:t>
                </a:r>
                <a:endParaRPr lang="en-US" sz="1200" b="1">
                  <a:solidFill>
                    <a:schemeClr val="tx1"/>
                  </a:solidFill>
                  <a:latin typeface="Arial" pitchFamily="34" charset="0"/>
                  <a:cs typeface="Arial" pitchFamily="34" charset="0"/>
                </a:endParaRPr>
              </a:p>
            </c:rich>
          </c:tx>
          <c:layout>
            <c:manualLayout>
              <c:xMode val="edge"/>
              <c:yMode val="edge"/>
              <c:x val="8.5568306292577653E-3"/>
              <c:y val="0.25732715553237367"/>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432576"/>
        <c:crossesAt val="0"/>
        <c:crossBetween val="between"/>
        <c:majorUnit val="50"/>
        <c:minorUnit val="25"/>
      </c:valAx>
      <c:spPr>
        <a:solidFill>
          <a:srgbClr val="FFFFFF"/>
        </a:solidFill>
        <a:ln w="25400">
          <a:noFill/>
        </a:ln>
      </c:spPr>
    </c:plotArea>
    <c:legend>
      <c:legendPos val="l"/>
      <c:legendEntry>
        <c:idx val="3"/>
        <c:delete val="1"/>
      </c:legendEntry>
      <c:legendEntry>
        <c:idx val="4"/>
        <c:delete val="1"/>
      </c:legendEntry>
      <c:legendEntry>
        <c:idx val="5"/>
        <c:delete val="1"/>
      </c:legendEntry>
      <c:layout>
        <c:manualLayout>
          <c:xMode val="edge"/>
          <c:yMode val="edge"/>
          <c:x val="0.71162527422808852"/>
          <c:y val="0.6653383790463161"/>
          <c:w val="0.22738313152556208"/>
          <c:h val="0.19125690419070665"/>
        </c:manualLayout>
      </c:layout>
      <c:overlay val="0"/>
      <c:spPr>
        <a:solidFill>
          <a:srgbClr val="FFFFFF"/>
        </a:solidFill>
        <a:ln w="25400">
          <a:noFill/>
        </a:ln>
      </c:spPr>
      <c:txPr>
        <a:bodyPr/>
        <a:lstStyle/>
        <a:p>
          <a:pPr>
            <a:defRPr lang="ja-JP" sz="1400" b="1"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37724383206249"/>
          <c:y val="5.3841379336306346E-2"/>
          <c:w val="0.83437623886771184"/>
          <c:h val="0.82339183462065391"/>
        </c:manualLayout>
      </c:layout>
      <c:lineChart>
        <c:grouping val="standard"/>
        <c:varyColors val="0"/>
        <c:ser>
          <c:idx val="1"/>
          <c:order val="0"/>
          <c:tx>
            <c:v>VIN = 18V</c:v>
          </c:tx>
          <c:spPr>
            <a:ln>
              <a:solidFill>
                <a:srgbClr val="00B050"/>
              </a:solidFill>
              <a:prstDash val="sysDash"/>
            </a:ln>
          </c:spPr>
          <c:marker>
            <c:symbol val="none"/>
          </c:marker>
          <c:val>
            <c:numRef>
              <c:f>'Calculations - Single'!$AJ$110:$AJ$210</c:f>
              <c:numCache>
                <c:formatCode>0.000</c:formatCode>
                <c:ptCount val="101"/>
                <c:pt idx="0">
                  <c:v>3.3333333333333335</c:v>
                </c:pt>
                <c:pt idx="1">
                  <c:v>3.3333333333333335</c:v>
                </c:pt>
                <c:pt idx="2">
                  <c:v>3.3333333333333335</c:v>
                </c:pt>
                <c:pt idx="3">
                  <c:v>3.3333333333333335</c:v>
                </c:pt>
                <c:pt idx="4">
                  <c:v>3.3333333333333335</c:v>
                </c:pt>
                <c:pt idx="5">
                  <c:v>3.3333333333333335</c:v>
                </c:pt>
                <c:pt idx="6">
                  <c:v>3.3333333333333335</c:v>
                </c:pt>
                <c:pt idx="7">
                  <c:v>3.3333333333333335</c:v>
                </c:pt>
                <c:pt idx="8">
                  <c:v>3.3333333333333335</c:v>
                </c:pt>
                <c:pt idx="9">
                  <c:v>3.3333333333333335</c:v>
                </c:pt>
                <c:pt idx="10">
                  <c:v>3.3333333333333335</c:v>
                </c:pt>
                <c:pt idx="11">
                  <c:v>3.3333333333333335</c:v>
                </c:pt>
                <c:pt idx="12">
                  <c:v>3.3333333333333335</c:v>
                </c:pt>
                <c:pt idx="13">
                  <c:v>3.3512810564026738</c:v>
                </c:pt>
                <c:pt idx="14">
                  <c:v>3.4778424817182247</c:v>
                </c:pt>
                <c:pt idx="15">
                  <c:v>3.599962679393391</c:v>
                </c:pt>
                <c:pt idx="16">
                  <c:v>3.7180791114584606</c:v>
                </c:pt>
                <c:pt idx="17">
                  <c:v>3.8325618164883295</c:v>
                </c:pt>
                <c:pt idx="18">
                  <c:v>3.9437271187712986</c:v>
                </c:pt>
                <c:pt idx="19">
                  <c:v>4.0518479490796731</c:v>
                </c:pt>
                <c:pt idx="20">
                  <c:v>4.1571617476697851</c:v>
                </c:pt>
                <c:pt idx="21">
                  <c:v>4.2598766077156682</c:v>
                </c:pt>
                <c:pt idx="22">
                  <c:v>4.3601761155460643</c:v>
                </c:pt>
                <c:pt idx="23">
                  <c:v>4.4582232104330322</c:v>
                </c:pt>
                <c:pt idx="24">
                  <c:v>4.5541632962653873</c:v>
                </c:pt>
                <c:pt idx="25">
                  <c:v>4.64812677504937</c:v>
                </c:pt>
                <c:pt idx="26">
                  <c:v>4.7402311283567053</c:v>
                </c:pt>
                <c:pt idx="27">
                  <c:v>4.8305826415615245</c:v>
                </c:pt>
                <c:pt idx="28">
                  <c:v>4.9192778430521491</c:v>
                </c:pt>
                <c:pt idx="29">
                  <c:v>5.0064047139723336</c:v>
                </c:pt>
                <c:pt idx="30">
                  <c:v>5.0920437116857755</c:v>
                </c:pt>
                <c:pt idx="31">
                  <c:v>5.1762686408656338</c:v>
                </c:pt>
                <c:pt idx="32">
                  <c:v>5.2591473990516491</c:v>
                </c:pt>
                <c:pt idx="33">
                  <c:v>5.3407426181018707</c:v>
                </c:pt>
                <c:pt idx="34">
                  <c:v>5.4211122187732723</c:v>
                </c:pt>
                <c:pt idx="35">
                  <c:v>5.5003098923919147</c:v>
                </c:pt>
                <c:pt idx="36">
                  <c:v>5.5783855209968651</c:v>
                </c:pt>
                <c:pt idx="37">
                  <c:v>5.6553855452991488</c:v>
                </c:pt>
                <c:pt idx="38">
                  <c:v>5.7313532881657752</c:v>
                </c:pt>
                <c:pt idx="39">
                  <c:v>5.8063292400277886</c:v>
                </c:pt>
                <c:pt idx="40">
                  <c:v>5.8803513115508368</c:v>
                </c:pt>
                <c:pt idx="41">
                  <c:v>5.9534550580441472</c:v>
                </c:pt>
                <c:pt idx="42">
                  <c:v>6.0256738793780311</c:v>
                </c:pt>
                <c:pt idx="43">
                  <c:v>6.0970391985997177</c:v>
                </c:pt>
                <c:pt idx="44">
                  <c:v>6.1675806219576819</c:v>
                </c:pt>
                <c:pt idx="45">
                  <c:v>6.237326082646252</c:v>
                </c:pt>
                <c:pt idx="46">
                  <c:v>6.306301970250149</c:v>
                </c:pt>
                <c:pt idx="47">
                  <c:v>6.3745332475901266</c:v>
                </c:pt>
                <c:pt idx="48">
                  <c:v>6.442043556436885</c:v>
                </c:pt>
                <c:pt idx="49">
                  <c:v>6.5088553133625631</c:v>
                </c:pt>
                <c:pt idx="50">
                  <c:v>6.5749897968316526</c:v>
                </c:pt>
                <c:pt idx="51">
                  <c:v>6.6404672264904816</c:v>
                </c:pt>
                <c:pt idx="52">
                  <c:v>6.7053068354927934</c:v>
                </c:pt>
                <c:pt idx="53">
                  <c:v>6.7695269365946835</c:v>
                </c:pt>
                <c:pt idx="54">
                  <c:v>6.8332453188332787</c:v>
                </c:pt>
                <c:pt idx="55">
                  <c:v>6.8964184115905462</c:v>
                </c:pt>
                <c:pt idx="56">
                  <c:v>7.0133339405486215</c:v>
                </c:pt>
                <c:pt idx="57">
                  <c:v>7.139271525402652</c:v>
                </c:pt>
                <c:pt idx="58">
                  <c:v>7.2650295520881869</c:v>
                </c:pt>
                <c:pt idx="59">
                  <c:v>7.3908051991968664</c:v>
                </c:pt>
                <c:pt idx="60">
                  <c:v>7.5165984712064544</c:v>
                </c:pt>
                <c:pt idx="61">
                  <c:v>7.6424093726002127</c:v>
                </c:pt>
                <c:pt idx="62">
                  <c:v>7.7682379078665793</c:v>
                </c:pt>
                <c:pt idx="63">
                  <c:v>7.8940840814988391</c:v>
                </c:pt>
                <c:pt idx="64">
                  <c:v>8.0199478979948911</c:v>
                </c:pt>
                <c:pt idx="65">
                  <c:v>8.1458293618569879</c:v>
                </c:pt>
                <c:pt idx="66">
                  <c:v>8.2717284775915179</c:v>
                </c:pt>
                <c:pt idx="67">
                  <c:v>8.3976452497088108</c:v>
                </c:pt>
                <c:pt idx="68">
                  <c:v>8.5235796827229464</c:v>
                </c:pt>
                <c:pt idx="69">
                  <c:v>8.6495317811516106</c:v>
                </c:pt>
                <c:pt idx="70">
                  <c:v>8.775501549515921</c:v>
                </c:pt>
                <c:pt idx="71">
                  <c:v>8.90148899234031</c:v>
                </c:pt>
                <c:pt idx="72">
                  <c:v>9.0274941141523861</c:v>
                </c:pt>
                <c:pt idx="73">
                  <c:v>9.1535169194828345</c:v>
                </c:pt>
                <c:pt idx="74">
                  <c:v>9.2795574128652998</c:v>
                </c:pt>
                <c:pt idx="75">
                  <c:v>9.4056155988362882</c:v>
                </c:pt>
                <c:pt idx="76">
                  <c:v>9.5316914819350984</c:v>
                </c:pt>
                <c:pt idx="77">
                  <c:v>9.6577850667037257</c:v>
                </c:pt>
                <c:pt idx="78">
                  <c:v>9.7838963576867837</c:v>
                </c:pt>
                <c:pt idx="79">
                  <c:v>9.9100253594314491</c:v>
                </c:pt>
                <c:pt idx="80">
                  <c:v>10.036172076487389</c:v>
                </c:pt>
                <c:pt idx="81">
                  <c:v>10.16233651340672</c:v>
                </c:pt>
                <c:pt idx="82">
                  <c:v>10.288518674743909</c:v>
                </c:pt>
                <c:pt idx="83">
                  <c:v>10.414718565055795</c:v>
                </c:pt>
                <c:pt idx="84">
                  <c:v>10.540936188901476</c:v>
                </c:pt>
                <c:pt idx="85">
                  <c:v>10.667171550842298</c:v>
                </c:pt>
                <c:pt idx="86">
                  <c:v>10.793424655441823</c:v>
                </c:pt>
                <c:pt idx="87">
                  <c:v>10.919695507265772</c:v>
                </c:pt>
                <c:pt idx="88">
                  <c:v>11.045984110881999</c:v>
                </c:pt>
                <c:pt idx="89">
                  <c:v>11.17229047086046</c:v>
                </c:pt>
                <c:pt idx="90">
                  <c:v>11.298614591773186</c:v>
                </c:pt>
                <c:pt idx="91">
                  <c:v>11.424956478194254</c:v>
                </c:pt>
                <c:pt idx="92">
                  <c:v>11.551316134699762</c:v>
                </c:pt>
                <c:pt idx="93">
                  <c:v>11.677693565867797</c:v>
                </c:pt>
                <c:pt idx="94">
                  <c:v>11.804088776278423</c:v>
                </c:pt>
                <c:pt idx="95">
                  <c:v>11.930501770513674</c:v>
                </c:pt>
                <c:pt idx="96">
                  <c:v>12.056932553157486</c:v>
                </c:pt>
                <c:pt idx="97">
                  <c:v>12.183381128795736</c:v>
                </c:pt>
                <c:pt idx="98">
                  <c:v>12.309847502016192</c:v>
                </c:pt>
                <c:pt idx="99">
                  <c:v>12.4363316774085</c:v>
                </c:pt>
                <c:pt idx="100">
                  <c:v>12.562833659564191</c:v>
                </c:pt>
              </c:numCache>
            </c:numRef>
          </c:val>
          <c:smooth val="0"/>
          <c:extLst>
            <c:ext xmlns:c16="http://schemas.microsoft.com/office/drawing/2014/chart" uri="{C3380CC4-5D6E-409C-BE32-E72D297353CC}">
              <c16:uniqueId val="{00000000-DE5E-470B-BC83-CF3F840E873B}"/>
            </c:ext>
          </c:extLst>
        </c:ser>
        <c:ser>
          <c:idx val="0"/>
          <c:order val="1"/>
          <c:tx>
            <c:v>VIN = 24V</c:v>
          </c:tx>
          <c:spPr>
            <a:ln w="28575">
              <a:solidFill>
                <a:srgbClr val="0000FF"/>
              </a:solidFill>
              <a:prstDash val="lgDash"/>
            </a:ln>
          </c:spPr>
          <c:marker>
            <c:symbol val="none"/>
          </c:marker>
          <c:cat>
            <c:numRef>
              <c:f>'Calculations - Single'!$AM$5:$AM$105</c:f>
              <c:numCache>
                <c:formatCode>0</c:formatCode>
                <c:ptCount val="101"/>
                <c:pt idx="0">
                  <c:v>1.0000000000000002E-6</c:v>
                </c:pt>
                <c:pt idx="1">
                  <c:v>25</c:v>
                </c:pt>
                <c:pt idx="2">
                  <c:v>50</c:v>
                </c:pt>
                <c:pt idx="3">
                  <c:v>75</c:v>
                </c:pt>
                <c:pt idx="4">
                  <c:v>100</c:v>
                </c:pt>
                <c:pt idx="5">
                  <c:v>125</c:v>
                </c:pt>
                <c:pt idx="6">
                  <c:v>150</c:v>
                </c:pt>
                <c:pt idx="7">
                  <c:v>175.00000000000003</c:v>
                </c:pt>
                <c:pt idx="8">
                  <c:v>200</c:v>
                </c:pt>
                <c:pt idx="9">
                  <c:v>224.99999999999997</c:v>
                </c:pt>
                <c:pt idx="10">
                  <c:v>250</c:v>
                </c:pt>
                <c:pt idx="11">
                  <c:v>275</c:v>
                </c:pt>
                <c:pt idx="12">
                  <c:v>300</c:v>
                </c:pt>
                <c:pt idx="13">
                  <c:v>325</c:v>
                </c:pt>
                <c:pt idx="14">
                  <c:v>350.00000000000006</c:v>
                </c:pt>
                <c:pt idx="15">
                  <c:v>375</c:v>
                </c:pt>
                <c:pt idx="16">
                  <c:v>400</c:v>
                </c:pt>
                <c:pt idx="17">
                  <c:v>425.00000000000006</c:v>
                </c:pt>
                <c:pt idx="18">
                  <c:v>449.99999999999994</c:v>
                </c:pt>
                <c:pt idx="19">
                  <c:v>475</c:v>
                </c:pt>
                <c:pt idx="20">
                  <c:v>500</c:v>
                </c:pt>
                <c:pt idx="21">
                  <c:v>525</c:v>
                </c:pt>
                <c:pt idx="22">
                  <c:v>550</c:v>
                </c:pt>
                <c:pt idx="23">
                  <c:v>575.00000000000011</c:v>
                </c:pt>
                <c:pt idx="24">
                  <c:v>600</c:v>
                </c:pt>
                <c:pt idx="25">
                  <c:v>625</c:v>
                </c:pt>
                <c:pt idx="26">
                  <c:v>650</c:v>
                </c:pt>
                <c:pt idx="27">
                  <c:v>675</c:v>
                </c:pt>
                <c:pt idx="28">
                  <c:v>700.00000000000011</c:v>
                </c:pt>
                <c:pt idx="29">
                  <c:v>725</c:v>
                </c:pt>
                <c:pt idx="30">
                  <c:v>750</c:v>
                </c:pt>
                <c:pt idx="31">
                  <c:v>775</c:v>
                </c:pt>
                <c:pt idx="32">
                  <c:v>800</c:v>
                </c:pt>
                <c:pt idx="33">
                  <c:v>825.00000000000011</c:v>
                </c:pt>
                <c:pt idx="34">
                  <c:v>850.00000000000011</c:v>
                </c:pt>
                <c:pt idx="35">
                  <c:v>875</c:v>
                </c:pt>
                <c:pt idx="36">
                  <c:v>899.99999999999989</c:v>
                </c:pt>
                <c:pt idx="37">
                  <c:v>925</c:v>
                </c:pt>
                <c:pt idx="38">
                  <c:v>950</c:v>
                </c:pt>
                <c:pt idx="39">
                  <c:v>975.00000000000011</c:v>
                </c:pt>
                <c:pt idx="40">
                  <c:v>1000</c:v>
                </c:pt>
                <c:pt idx="41">
                  <c:v>1025</c:v>
                </c:pt>
                <c:pt idx="42">
                  <c:v>1050</c:v>
                </c:pt>
                <c:pt idx="43">
                  <c:v>1075</c:v>
                </c:pt>
                <c:pt idx="44">
                  <c:v>1100</c:v>
                </c:pt>
                <c:pt idx="45">
                  <c:v>1125</c:v>
                </c:pt>
                <c:pt idx="46">
                  <c:v>1150.0000000000002</c:v>
                </c:pt>
                <c:pt idx="47">
                  <c:v>1174.9999999999998</c:v>
                </c:pt>
                <c:pt idx="48">
                  <c:v>1200</c:v>
                </c:pt>
                <c:pt idx="49">
                  <c:v>1225</c:v>
                </c:pt>
                <c:pt idx="50">
                  <c:v>1250</c:v>
                </c:pt>
                <c:pt idx="51">
                  <c:v>1275</c:v>
                </c:pt>
                <c:pt idx="52">
                  <c:v>1300</c:v>
                </c:pt>
                <c:pt idx="53">
                  <c:v>1325.0000000000002</c:v>
                </c:pt>
                <c:pt idx="54">
                  <c:v>1350</c:v>
                </c:pt>
                <c:pt idx="55">
                  <c:v>1375</c:v>
                </c:pt>
                <c:pt idx="56">
                  <c:v>1400.0000000000002</c:v>
                </c:pt>
                <c:pt idx="57">
                  <c:v>1424.9999999999998</c:v>
                </c:pt>
                <c:pt idx="58">
                  <c:v>1450</c:v>
                </c:pt>
                <c:pt idx="59">
                  <c:v>1474.9999999999998</c:v>
                </c:pt>
                <c:pt idx="60">
                  <c:v>1500</c:v>
                </c:pt>
                <c:pt idx="61">
                  <c:v>1525</c:v>
                </c:pt>
                <c:pt idx="62">
                  <c:v>1550</c:v>
                </c:pt>
                <c:pt idx="63">
                  <c:v>1575</c:v>
                </c:pt>
                <c:pt idx="64">
                  <c:v>1600</c:v>
                </c:pt>
                <c:pt idx="65">
                  <c:v>1625</c:v>
                </c:pt>
                <c:pt idx="66">
                  <c:v>1650.0000000000002</c:v>
                </c:pt>
                <c:pt idx="67">
                  <c:v>1675</c:v>
                </c:pt>
                <c:pt idx="68">
                  <c:v>1700.0000000000002</c:v>
                </c:pt>
                <c:pt idx="69">
                  <c:v>1724.9999999999998</c:v>
                </c:pt>
                <c:pt idx="70">
                  <c:v>1750</c:v>
                </c:pt>
                <c:pt idx="71">
                  <c:v>1775</c:v>
                </c:pt>
                <c:pt idx="72">
                  <c:v>1799.9999999999998</c:v>
                </c:pt>
                <c:pt idx="73">
                  <c:v>1825</c:v>
                </c:pt>
                <c:pt idx="74">
                  <c:v>1850</c:v>
                </c:pt>
                <c:pt idx="75">
                  <c:v>1875</c:v>
                </c:pt>
                <c:pt idx="76">
                  <c:v>1900</c:v>
                </c:pt>
                <c:pt idx="77">
                  <c:v>1925</c:v>
                </c:pt>
                <c:pt idx="78">
                  <c:v>1950.0000000000002</c:v>
                </c:pt>
                <c:pt idx="79">
                  <c:v>1975</c:v>
                </c:pt>
                <c:pt idx="80">
                  <c:v>2000</c:v>
                </c:pt>
                <c:pt idx="81">
                  <c:v>2025.0000000000005</c:v>
                </c:pt>
                <c:pt idx="82">
                  <c:v>2050</c:v>
                </c:pt>
                <c:pt idx="83">
                  <c:v>2074.9999999999995</c:v>
                </c:pt>
                <c:pt idx="84">
                  <c:v>2100</c:v>
                </c:pt>
                <c:pt idx="85">
                  <c:v>2125</c:v>
                </c:pt>
                <c:pt idx="86">
                  <c:v>2150</c:v>
                </c:pt>
                <c:pt idx="87">
                  <c:v>2175</c:v>
                </c:pt>
                <c:pt idx="88">
                  <c:v>2200</c:v>
                </c:pt>
                <c:pt idx="89">
                  <c:v>2225</c:v>
                </c:pt>
                <c:pt idx="90">
                  <c:v>2250</c:v>
                </c:pt>
                <c:pt idx="91">
                  <c:v>2275</c:v>
                </c:pt>
                <c:pt idx="92">
                  <c:v>2300.0000000000005</c:v>
                </c:pt>
                <c:pt idx="93">
                  <c:v>2325</c:v>
                </c:pt>
                <c:pt idx="94">
                  <c:v>2349.9999999999995</c:v>
                </c:pt>
                <c:pt idx="95">
                  <c:v>2375</c:v>
                </c:pt>
                <c:pt idx="96">
                  <c:v>2400</c:v>
                </c:pt>
                <c:pt idx="97">
                  <c:v>2425</c:v>
                </c:pt>
                <c:pt idx="98">
                  <c:v>2450</c:v>
                </c:pt>
                <c:pt idx="99">
                  <c:v>2475</c:v>
                </c:pt>
                <c:pt idx="100">
                  <c:v>2500</c:v>
                </c:pt>
              </c:numCache>
            </c:numRef>
          </c:cat>
          <c:val>
            <c:numRef>
              <c:f>'Calculations - Single'!$AJ$5:$AJ$105</c:f>
              <c:numCache>
                <c:formatCode>0.000</c:formatCode>
                <c:ptCount val="101"/>
                <c:pt idx="0">
                  <c:v>3.3333333333333335</c:v>
                </c:pt>
                <c:pt idx="1">
                  <c:v>3.3333333333333335</c:v>
                </c:pt>
                <c:pt idx="2">
                  <c:v>3.3333333333333335</c:v>
                </c:pt>
                <c:pt idx="3">
                  <c:v>3.3333333333333335</c:v>
                </c:pt>
                <c:pt idx="4">
                  <c:v>3.3333333333333335</c:v>
                </c:pt>
                <c:pt idx="5">
                  <c:v>3.3333333333333335</c:v>
                </c:pt>
                <c:pt idx="6">
                  <c:v>3.3333333333333335</c:v>
                </c:pt>
                <c:pt idx="7">
                  <c:v>3.3333333333333335</c:v>
                </c:pt>
                <c:pt idx="8">
                  <c:v>3.3333333333333335</c:v>
                </c:pt>
                <c:pt idx="9">
                  <c:v>3.3333333333333335</c:v>
                </c:pt>
                <c:pt idx="10">
                  <c:v>3.3333333333333335</c:v>
                </c:pt>
                <c:pt idx="11">
                  <c:v>3.3333333333333335</c:v>
                </c:pt>
                <c:pt idx="12">
                  <c:v>3.3333333333333335</c:v>
                </c:pt>
                <c:pt idx="13">
                  <c:v>3.3512810564026738</c:v>
                </c:pt>
                <c:pt idx="14">
                  <c:v>3.4778424817182247</c:v>
                </c:pt>
                <c:pt idx="15">
                  <c:v>3.599962679393391</c:v>
                </c:pt>
                <c:pt idx="16">
                  <c:v>3.7180791114584606</c:v>
                </c:pt>
                <c:pt idx="17">
                  <c:v>3.8325618164883295</c:v>
                </c:pt>
                <c:pt idx="18">
                  <c:v>3.9437271187712986</c:v>
                </c:pt>
                <c:pt idx="19">
                  <c:v>4.0518479490796731</c:v>
                </c:pt>
                <c:pt idx="20">
                  <c:v>4.1571617476697851</c:v>
                </c:pt>
                <c:pt idx="21">
                  <c:v>4.2598766077156682</c:v>
                </c:pt>
                <c:pt idx="22">
                  <c:v>4.3601761155460643</c:v>
                </c:pt>
                <c:pt idx="23">
                  <c:v>4.4582232104330322</c:v>
                </c:pt>
                <c:pt idx="24">
                  <c:v>4.5541632962653873</c:v>
                </c:pt>
                <c:pt idx="25">
                  <c:v>4.64812677504937</c:v>
                </c:pt>
                <c:pt idx="26">
                  <c:v>4.7402311283567053</c:v>
                </c:pt>
                <c:pt idx="27">
                  <c:v>4.8305826415615245</c:v>
                </c:pt>
                <c:pt idx="28">
                  <c:v>4.9192778430521491</c:v>
                </c:pt>
                <c:pt idx="29">
                  <c:v>5.0064047139723336</c:v>
                </c:pt>
                <c:pt idx="30">
                  <c:v>5.0920437116857755</c:v>
                </c:pt>
                <c:pt idx="31">
                  <c:v>5.1762686408656338</c:v>
                </c:pt>
                <c:pt idx="32">
                  <c:v>5.2591473990516491</c:v>
                </c:pt>
                <c:pt idx="33">
                  <c:v>5.3407426181018707</c:v>
                </c:pt>
                <c:pt idx="34">
                  <c:v>5.4211122187732723</c:v>
                </c:pt>
                <c:pt idx="35">
                  <c:v>5.5003098923919147</c:v>
                </c:pt>
                <c:pt idx="36">
                  <c:v>5.5783855209968651</c:v>
                </c:pt>
                <c:pt idx="37">
                  <c:v>5.6553855452991488</c:v>
                </c:pt>
                <c:pt idx="38">
                  <c:v>5.7313532881657752</c:v>
                </c:pt>
                <c:pt idx="39">
                  <c:v>5.8063292400277886</c:v>
                </c:pt>
                <c:pt idx="40">
                  <c:v>5.8803513115508368</c:v>
                </c:pt>
                <c:pt idx="41">
                  <c:v>5.9534550580441472</c:v>
                </c:pt>
                <c:pt idx="42">
                  <c:v>6.0256738793780311</c:v>
                </c:pt>
                <c:pt idx="43">
                  <c:v>6.0970391985997177</c:v>
                </c:pt>
                <c:pt idx="44">
                  <c:v>6.1675806219576819</c:v>
                </c:pt>
                <c:pt idx="45">
                  <c:v>6.237326082646252</c:v>
                </c:pt>
                <c:pt idx="46">
                  <c:v>6.306301970250149</c:v>
                </c:pt>
                <c:pt idx="47">
                  <c:v>6.3745332475901266</c:v>
                </c:pt>
                <c:pt idx="48">
                  <c:v>6.442043556436885</c:v>
                </c:pt>
                <c:pt idx="49">
                  <c:v>6.5088553133625631</c:v>
                </c:pt>
                <c:pt idx="50">
                  <c:v>6.5749897968316526</c:v>
                </c:pt>
                <c:pt idx="51">
                  <c:v>6.6404672264904816</c:v>
                </c:pt>
                <c:pt idx="52">
                  <c:v>6.7053068354927934</c:v>
                </c:pt>
                <c:pt idx="53">
                  <c:v>6.7695269365946835</c:v>
                </c:pt>
                <c:pt idx="54">
                  <c:v>6.8331449826626356</c:v>
                </c:pt>
                <c:pt idx="55">
                  <c:v>6.8961776221612343</c:v>
                </c:pt>
                <c:pt idx="56">
                  <c:v>6.9586407501204537</c:v>
                </c:pt>
                <c:pt idx="57">
                  <c:v>7.0205495550246368</c:v>
                </c:pt>
                <c:pt idx="58">
                  <c:v>7.081918562015078</c:v>
                </c:pt>
                <c:pt idx="59">
                  <c:v>7.1427616727543546</c:v>
                </c:pt>
                <c:pt idx="60">
                  <c:v>7.2030922022623818</c:v>
                </c:pt>
                <c:pt idx="61">
                  <c:v>7.2629229130006765</c:v>
                </c:pt>
                <c:pt idx="62">
                  <c:v>7.3222660464519969</c:v>
                </c:pt>
                <c:pt idx="63">
                  <c:v>7.3811333524167004</c:v>
                </c:pt>
                <c:pt idx="64">
                  <c:v>7.4395361162243949</c:v>
                </c:pt>
                <c:pt idx="65">
                  <c:v>7.4974851840393972</c:v>
                </c:pt>
                <c:pt idx="66">
                  <c:v>7.5549909864206866</c:v>
                </c:pt>
                <c:pt idx="67">
                  <c:v>7.6120635602813023</c:v>
                </c:pt>
                <c:pt idx="68">
                  <c:v>7.6687125693781164</c:v>
                </c:pt>
                <c:pt idx="69">
                  <c:v>7.7249473234504098</c:v>
                </c:pt>
                <c:pt idx="70">
                  <c:v>7.7807767961146173</c:v>
                </c:pt>
                <c:pt idx="71">
                  <c:v>7.8362096416126148</c:v>
                </c:pt>
                <c:pt idx="72">
                  <c:v>7.8912542105020789</c:v>
                </c:pt>
                <c:pt idx="73">
                  <c:v>7.9459185643694532</c:v>
                </c:pt>
                <c:pt idx="74">
                  <c:v>8.0002104896389348</c:v>
                </c:pt>
                <c:pt idx="75">
                  <c:v>8.0541375105444359</c:v>
                </c:pt>
                <c:pt idx="76">
                  <c:v>8.1077069013257219</c:v>
                </c:pt>
                <c:pt idx="77">
                  <c:v>8.1609256977046893</c:v>
                </c:pt>
                <c:pt idx="78">
                  <c:v>8.2138007076930375</c:v>
                </c:pt>
                <c:pt idx="79">
                  <c:v>8.2663385217783567</c:v>
                </c:pt>
                <c:pt idx="80">
                  <c:v>8.3185455225317373</c:v>
                </c:pt>
                <c:pt idx="81">
                  <c:v>8.3704278936765988</c:v>
                </c:pt>
                <c:pt idx="82">
                  <c:v>8.4220372409180477</c:v>
                </c:pt>
                <c:pt idx="83">
                  <c:v>8.4733970842082211</c:v>
                </c:pt>
                <c:pt idx="84">
                  <c:v>8.5244530438405395</c:v>
                </c:pt>
                <c:pt idx="85">
                  <c:v>8.5876747727419112</c:v>
                </c:pt>
                <c:pt idx="86">
                  <c:v>8.6889288280449506</c:v>
                </c:pt>
                <c:pt idx="87">
                  <c:v>8.7903904710628868</c:v>
                </c:pt>
                <c:pt idx="88">
                  <c:v>8.8917513473168466</c:v>
                </c:pt>
                <c:pt idx="89">
                  <c:v>8.9931195765831173</c:v>
                </c:pt>
                <c:pt idx="90">
                  <c:v>9.094495159890144</c:v>
                </c:pt>
                <c:pt idx="91">
                  <c:v>9.1958780982668973</c:v>
                </c:pt>
                <c:pt idx="92">
                  <c:v>9.2972683927428736</c:v>
                </c:pt>
                <c:pt idx="93">
                  <c:v>9.3986660443480563</c:v>
                </c:pt>
                <c:pt idx="94">
                  <c:v>9.5000710541129312</c:v>
                </c:pt>
                <c:pt idx="95">
                  <c:v>9.6014834230684336</c:v>
                </c:pt>
                <c:pt idx="96">
                  <c:v>9.702903152245959</c:v>
                </c:pt>
                <c:pt idx="97">
                  <c:v>9.8043302426773433</c:v>
                </c:pt>
                <c:pt idx="98">
                  <c:v>9.9057646953948453</c:v>
                </c:pt>
                <c:pt idx="99">
                  <c:v>10.007206511431139</c:v>
                </c:pt>
                <c:pt idx="100">
                  <c:v>10.108655691819306</c:v>
                </c:pt>
              </c:numCache>
            </c:numRef>
          </c:val>
          <c:smooth val="1"/>
          <c:extLst>
            <c:ext xmlns:c16="http://schemas.microsoft.com/office/drawing/2014/chart" uri="{C3380CC4-5D6E-409C-BE32-E72D297353CC}">
              <c16:uniqueId val="{00000001-DE5E-470B-BC83-CF3F840E873B}"/>
            </c:ext>
          </c:extLst>
        </c:ser>
        <c:ser>
          <c:idx val="2"/>
          <c:order val="2"/>
          <c:tx>
            <c:v>VIN = 36V</c:v>
          </c:tx>
          <c:spPr>
            <a:ln>
              <a:solidFill>
                <a:srgbClr val="FF0000"/>
              </a:solidFill>
              <a:prstDash val="solid"/>
            </a:ln>
          </c:spPr>
          <c:marker>
            <c:symbol val="none"/>
          </c:marker>
          <c:val>
            <c:numRef>
              <c:f>'Calculations - Single'!$AJ$216:$AJ$316</c:f>
              <c:numCache>
                <c:formatCode>0.000</c:formatCode>
                <c:ptCount val="101"/>
                <c:pt idx="0">
                  <c:v>3.3333333333333335</c:v>
                </c:pt>
                <c:pt idx="1">
                  <c:v>3.3333333333333335</c:v>
                </c:pt>
                <c:pt idx="2">
                  <c:v>3.3333333333333335</c:v>
                </c:pt>
                <c:pt idx="3">
                  <c:v>3.3333333333333335</c:v>
                </c:pt>
                <c:pt idx="4">
                  <c:v>3.3333333333333335</c:v>
                </c:pt>
                <c:pt idx="5">
                  <c:v>3.3333333333333335</c:v>
                </c:pt>
                <c:pt idx="6">
                  <c:v>3.3333333333333335</c:v>
                </c:pt>
                <c:pt idx="7">
                  <c:v>3.3333333333333335</c:v>
                </c:pt>
                <c:pt idx="8">
                  <c:v>3.3333333333333335</c:v>
                </c:pt>
                <c:pt idx="9">
                  <c:v>3.3333333333333335</c:v>
                </c:pt>
                <c:pt idx="10">
                  <c:v>3.3333333333333335</c:v>
                </c:pt>
                <c:pt idx="11">
                  <c:v>3.3333333333333335</c:v>
                </c:pt>
                <c:pt idx="12">
                  <c:v>3.3333333333333335</c:v>
                </c:pt>
                <c:pt idx="13">
                  <c:v>3.3512810564026738</c:v>
                </c:pt>
                <c:pt idx="14">
                  <c:v>3.4778424817182247</c:v>
                </c:pt>
                <c:pt idx="15">
                  <c:v>3.599962679393391</c:v>
                </c:pt>
                <c:pt idx="16">
                  <c:v>3.7180791114584606</c:v>
                </c:pt>
                <c:pt idx="17">
                  <c:v>3.8325618164883295</c:v>
                </c:pt>
                <c:pt idx="18">
                  <c:v>3.9437271187712986</c:v>
                </c:pt>
                <c:pt idx="19">
                  <c:v>4.0518479490796731</c:v>
                </c:pt>
                <c:pt idx="20">
                  <c:v>4.1571617476697851</c:v>
                </c:pt>
                <c:pt idx="21">
                  <c:v>4.2598766077156682</c:v>
                </c:pt>
                <c:pt idx="22">
                  <c:v>4.3601761155460643</c:v>
                </c:pt>
                <c:pt idx="23">
                  <c:v>4.4582232104330322</c:v>
                </c:pt>
                <c:pt idx="24">
                  <c:v>4.5541632962653873</c:v>
                </c:pt>
                <c:pt idx="25">
                  <c:v>4.64812677504937</c:v>
                </c:pt>
                <c:pt idx="26">
                  <c:v>4.7402311283567053</c:v>
                </c:pt>
                <c:pt idx="27">
                  <c:v>4.8305826415615245</c:v>
                </c:pt>
                <c:pt idx="28">
                  <c:v>4.9192778430521491</c:v>
                </c:pt>
                <c:pt idx="29">
                  <c:v>5.0064047139723336</c:v>
                </c:pt>
                <c:pt idx="30">
                  <c:v>5.0920437116857755</c:v>
                </c:pt>
                <c:pt idx="31">
                  <c:v>5.1762686408656338</c:v>
                </c:pt>
                <c:pt idx="32">
                  <c:v>5.2591473990516491</c:v>
                </c:pt>
                <c:pt idx="33">
                  <c:v>5.3407426181018707</c:v>
                </c:pt>
                <c:pt idx="34">
                  <c:v>5.4211122187732723</c:v>
                </c:pt>
                <c:pt idx="35">
                  <c:v>5.5003098923919147</c:v>
                </c:pt>
                <c:pt idx="36">
                  <c:v>5.5783855209968651</c:v>
                </c:pt>
                <c:pt idx="37">
                  <c:v>5.6553855452991488</c:v>
                </c:pt>
                <c:pt idx="38">
                  <c:v>5.7313532881657752</c:v>
                </c:pt>
                <c:pt idx="39">
                  <c:v>5.8063292400277886</c:v>
                </c:pt>
                <c:pt idx="40">
                  <c:v>5.8803513115508368</c:v>
                </c:pt>
                <c:pt idx="41">
                  <c:v>5.9534550580441472</c:v>
                </c:pt>
                <c:pt idx="42">
                  <c:v>6.0256738793780311</c:v>
                </c:pt>
                <c:pt idx="43">
                  <c:v>6.0970391985997177</c:v>
                </c:pt>
                <c:pt idx="44">
                  <c:v>6.1675806219576819</c:v>
                </c:pt>
                <c:pt idx="45">
                  <c:v>6.237326082646252</c:v>
                </c:pt>
                <c:pt idx="46">
                  <c:v>6.306301970250149</c:v>
                </c:pt>
                <c:pt idx="47">
                  <c:v>6.3745332475901266</c:v>
                </c:pt>
                <c:pt idx="48">
                  <c:v>6.442043556436885</c:v>
                </c:pt>
                <c:pt idx="49">
                  <c:v>6.5088553133625631</c:v>
                </c:pt>
                <c:pt idx="50">
                  <c:v>6.5749897968316526</c:v>
                </c:pt>
                <c:pt idx="51">
                  <c:v>6.6404672264904816</c:v>
                </c:pt>
                <c:pt idx="52">
                  <c:v>6.7053068354927934</c:v>
                </c:pt>
                <c:pt idx="53">
                  <c:v>6.7695269365946835</c:v>
                </c:pt>
                <c:pt idx="54">
                  <c:v>6.8331449826626356</c:v>
                </c:pt>
                <c:pt idx="55">
                  <c:v>6.8961776221612343</c:v>
                </c:pt>
                <c:pt idx="56">
                  <c:v>6.9586407501204537</c:v>
                </c:pt>
                <c:pt idx="57">
                  <c:v>7.0205495550246368</c:v>
                </c:pt>
                <c:pt idx="58">
                  <c:v>7.081918562015078</c:v>
                </c:pt>
                <c:pt idx="59">
                  <c:v>7.1427616727543546</c:v>
                </c:pt>
                <c:pt idx="60">
                  <c:v>7.2030922022623818</c:v>
                </c:pt>
                <c:pt idx="61">
                  <c:v>7.2629229130006765</c:v>
                </c:pt>
                <c:pt idx="62">
                  <c:v>7.3222660464519969</c:v>
                </c:pt>
                <c:pt idx="63">
                  <c:v>7.3811333524167004</c:v>
                </c:pt>
                <c:pt idx="64">
                  <c:v>7.4395361162243949</c:v>
                </c:pt>
                <c:pt idx="65">
                  <c:v>7.4974851840393972</c:v>
                </c:pt>
                <c:pt idx="66">
                  <c:v>7.5549909864206866</c:v>
                </c:pt>
                <c:pt idx="67">
                  <c:v>7.6120635602813023</c:v>
                </c:pt>
                <c:pt idx="68">
                  <c:v>7.6687125693781164</c:v>
                </c:pt>
                <c:pt idx="69">
                  <c:v>7.7249473234504098</c:v>
                </c:pt>
                <c:pt idx="70">
                  <c:v>7.7807767961146173</c:v>
                </c:pt>
                <c:pt idx="71">
                  <c:v>7.8362096416126148</c:v>
                </c:pt>
                <c:pt idx="72">
                  <c:v>7.8912542105020789</c:v>
                </c:pt>
                <c:pt idx="73">
                  <c:v>7.9459185643694532</c:v>
                </c:pt>
                <c:pt idx="74">
                  <c:v>8.0002104896389348</c:v>
                </c:pt>
                <c:pt idx="75">
                  <c:v>8.0541375105444359</c:v>
                </c:pt>
                <c:pt idx="76">
                  <c:v>8.1077069013257219</c:v>
                </c:pt>
                <c:pt idx="77">
                  <c:v>8.1609256977046893</c:v>
                </c:pt>
                <c:pt idx="78">
                  <c:v>8.2138007076930375</c:v>
                </c:pt>
                <c:pt idx="79">
                  <c:v>8.2663385217783567</c:v>
                </c:pt>
                <c:pt idx="80">
                  <c:v>8.3185455225317373</c:v>
                </c:pt>
                <c:pt idx="81">
                  <c:v>8.3704278936765988</c:v>
                </c:pt>
                <c:pt idx="82">
                  <c:v>8.4219916286551744</c:v>
                </c:pt>
                <c:pt idx="83">
                  <c:v>8.4732425387262733</c:v>
                </c:pt>
                <c:pt idx="84">
                  <c:v>8.5241862606252816</c:v>
                </c:pt>
                <c:pt idx="85">
                  <c:v>8.57482826381497</c:v>
                </c:pt>
                <c:pt idx="86">
                  <c:v>8.6251738573535395</c:v>
                </c:pt>
                <c:pt idx="87">
                  <c:v>8.6752281964043032</c:v>
                </c:pt>
                <c:pt idx="88">
                  <c:v>8.7249962884095673</c:v>
                </c:pt>
                <c:pt idx="89">
                  <c:v>8.7744829989496953</c:v>
                </c:pt>
                <c:pt idx="90">
                  <c:v>8.8236930573067269</c:v>
                </c:pt>
                <c:pt idx="91">
                  <c:v>8.8726310617505479</c:v>
                </c:pt>
                <c:pt idx="92">
                  <c:v>8.9213014845643634</c:v>
                </c:pt>
                <c:pt idx="93">
                  <c:v>8.9697086768250056</c:v>
                </c:pt>
                <c:pt idx="94">
                  <c:v>9.0178568729525264</c:v>
                </c:pt>
                <c:pt idx="95">
                  <c:v>9.0657501950425665</c:v>
                </c:pt>
                <c:pt idx="96">
                  <c:v>9.1133926569940158</c:v>
                </c:pt>
                <c:pt idx="97">
                  <c:v>9.1607881684436876</c:v>
                </c:pt>
                <c:pt idx="98">
                  <c:v>9.2079405385189066</c:v>
                </c:pt>
                <c:pt idx="99">
                  <c:v>9.2548534794182107</c:v>
                </c:pt>
                <c:pt idx="100">
                  <c:v>9.3015306098296993</c:v>
                </c:pt>
              </c:numCache>
            </c:numRef>
          </c:val>
          <c:smooth val="1"/>
          <c:extLst>
            <c:ext xmlns:c16="http://schemas.microsoft.com/office/drawing/2014/chart" uri="{C3380CC4-5D6E-409C-BE32-E72D297353CC}">
              <c16:uniqueId val="{00000002-DE5E-470B-BC83-CF3F840E873B}"/>
            </c:ext>
          </c:extLst>
        </c:ser>
        <c:dLbls>
          <c:showLegendKey val="0"/>
          <c:showVal val="0"/>
          <c:showCatName val="0"/>
          <c:showSerName val="0"/>
          <c:showPercent val="0"/>
          <c:showBubbleSize val="0"/>
        </c:dLbls>
        <c:smooth val="0"/>
        <c:axId val="449487616"/>
        <c:axId val="449489536"/>
      </c:lineChart>
      <c:catAx>
        <c:axId val="44948761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3000893709351745"/>
              <c:y val="0.94367744859545111"/>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489536"/>
        <c:crosses val="autoZero"/>
        <c:auto val="1"/>
        <c:lblAlgn val="ctr"/>
        <c:lblOffset val="100"/>
        <c:tickLblSkip val="20"/>
        <c:tickMarkSkip val="10"/>
        <c:noMultiLvlLbl val="0"/>
      </c:catAx>
      <c:valAx>
        <c:axId val="449489536"/>
        <c:scaling>
          <c:orientation val="minMax"/>
          <c:max val="1.4"/>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Peak Primary Current (A)</a:t>
                </a:r>
              </a:p>
            </c:rich>
          </c:tx>
          <c:layout>
            <c:manualLayout>
              <c:xMode val="edge"/>
              <c:yMode val="edge"/>
              <c:x val="1.5889339002412163E-2"/>
              <c:y val="0.26208107274429915"/>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487616"/>
        <c:crossesAt val="0"/>
        <c:crossBetween val="between"/>
        <c:majorUnit val="0.2"/>
        <c:minorUnit val="0.1"/>
      </c:valAx>
      <c:spPr>
        <a:solidFill>
          <a:srgbClr val="FFFFFF"/>
        </a:solidFill>
        <a:ln w="25400">
          <a:noFill/>
        </a:ln>
      </c:spPr>
    </c:plotArea>
    <c:legend>
      <c:legendPos val="tr"/>
      <c:layout>
        <c:manualLayout>
          <c:xMode val="edge"/>
          <c:yMode val="edge"/>
          <c:x val="0.73589084038576502"/>
          <c:y val="0.66865627288406981"/>
          <c:w val="0.19764373891878054"/>
          <c:h val="0.17556628247792619"/>
        </c:manualLayout>
      </c:layout>
      <c:overlay val="0"/>
      <c:spPr>
        <a:solidFill>
          <a:srgbClr val="FFFFFF"/>
        </a:solidFill>
        <a:ln w="25400">
          <a:noFill/>
        </a:ln>
      </c:spPr>
      <c:txPr>
        <a:bodyPr/>
        <a:lstStyle/>
        <a:p>
          <a:pPr>
            <a:defRPr lang="ja-JP" sz="1400" b="1"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3132914835E-2"/>
          <c:y val="0.12133523343001466"/>
          <c:w val="0.80670936294253548"/>
          <c:h val="0.7558980268938309"/>
        </c:manualLayout>
      </c:layout>
      <c:lineChart>
        <c:grouping val="standard"/>
        <c:varyColors val="0"/>
        <c:ser>
          <c:idx val="1"/>
          <c:order val="0"/>
          <c:tx>
            <c:v>VIN-min</c:v>
          </c:tx>
          <c:spPr>
            <a:ln w="19050">
              <a:solidFill>
                <a:srgbClr val="00B050"/>
              </a:solidFill>
              <a:prstDash val="lgDash"/>
            </a:ln>
          </c:spPr>
          <c:marker>
            <c:symbol val="none"/>
          </c:marker>
          <c:cat>
            <c:numRef>
              <c:f>'Calculations - Single'!$AM$5:$AM$105</c:f>
              <c:numCache>
                <c:formatCode>0</c:formatCode>
                <c:ptCount val="101"/>
                <c:pt idx="0">
                  <c:v>1.0000000000000002E-6</c:v>
                </c:pt>
                <c:pt idx="1">
                  <c:v>25</c:v>
                </c:pt>
                <c:pt idx="2">
                  <c:v>50</c:v>
                </c:pt>
                <c:pt idx="3">
                  <c:v>75</c:v>
                </c:pt>
                <c:pt idx="4">
                  <c:v>100</c:v>
                </c:pt>
                <c:pt idx="5">
                  <c:v>125</c:v>
                </c:pt>
                <c:pt idx="6">
                  <c:v>150</c:v>
                </c:pt>
                <c:pt idx="7">
                  <c:v>175.00000000000003</c:v>
                </c:pt>
                <c:pt idx="8">
                  <c:v>200</c:v>
                </c:pt>
                <c:pt idx="9">
                  <c:v>224.99999999999997</c:v>
                </c:pt>
                <c:pt idx="10">
                  <c:v>250</c:v>
                </c:pt>
                <c:pt idx="11">
                  <c:v>275</c:v>
                </c:pt>
                <c:pt idx="12">
                  <c:v>300</c:v>
                </c:pt>
                <c:pt idx="13">
                  <c:v>325</c:v>
                </c:pt>
                <c:pt idx="14">
                  <c:v>350.00000000000006</c:v>
                </c:pt>
                <c:pt idx="15">
                  <c:v>375</c:v>
                </c:pt>
                <c:pt idx="16">
                  <c:v>400</c:v>
                </c:pt>
                <c:pt idx="17">
                  <c:v>425.00000000000006</c:v>
                </c:pt>
                <c:pt idx="18">
                  <c:v>449.99999999999994</c:v>
                </c:pt>
                <c:pt idx="19">
                  <c:v>475</c:v>
                </c:pt>
                <c:pt idx="20">
                  <c:v>500</c:v>
                </c:pt>
                <c:pt idx="21">
                  <c:v>525</c:v>
                </c:pt>
                <c:pt idx="22">
                  <c:v>550</c:v>
                </c:pt>
                <c:pt idx="23">
                  <c:v>575.00000000000011</c:v>
                </c:pt>
                <c:pt idx="24">
                  <c:v>600</c:v>
                </c:pt>
                <c:pt idx="25">
                  <c:v>625</c:v>
                </c:pt>
                <c:pt idx="26">
                  <c:v>650</c:v>
                </c:pt>
                <c:pt idx="27">
                  <c:v>675</c:v>
                </c:pt>
                <c:pt idx="28">
                  <c:v>700.00000000000011</c:v>
                </c:pt>
                <c:pt idx="29">
                  <c:v>725</c:v>
                </c:pt>
                <c:pt idx="30">
                  <c:v>750</c:v>
                </c:pt>
                <c:pt idx="31">
                  <c:v>775</c:v>
                </c:pt>
                <c:pt idx="32">
                  <c:v>800</c:v>
                </c:pt>
                <c:pt idx="33">
                  <c:v>825.00000000000011</c:v>
                </c:pt>
                <c:pt idx="34">
                  <c:v>850.00000000000011</c:v>
                </c:pt>
                <c:pt idx="35">
                  <c:v>875</c:v>
                </c:pt>
                <c:pt idx="36">
                  <c:v>899.99999999999989</c:v>
                </c:pt>
                <c:pt idx="37">
                  <c:v>925</c:v>
                </c:pt>
                <c:pt idx="38">
                  <c:v>950</c:v>
                </c:pt>
                <c:pt idx="39">
                  <c:v>975.00000000000011</c:v>
                </c:pt>
                <c:pt idx="40">
                  <c:v>1000</c:v>
                </c:pt>
                <c:pt idx="41">
                  <c:v>1025</c:v>
                </c:pt>
                <c:pt idx="42">
                  <c:v>1050</c:v>
                </c:pt>
                <c:pt idx="43">
                  <c:v>1075</c:v>
                </c:pt>
                <c:pt idx="44">
                  <c:v>1100</c:v>
                </c:pt>
                <c:pt idx="45">
                  <c:v>1125</c:v>
                </c:pt>
                <c:pt idx="46">
                  <c:v>1150.0000000000002</c:v>
                </c:pt>
                <c:pt idx="47">
                  <c:v>1174.9999999999998</c:v>
                </c:pt>
                <c:pt idx="48">
                  <c:v>1200</c:v>
                </c:pt>
                <c:pt idx="49">
                  <c:v>1225</c:v>
                </c:pt>
                <c:pt idx="50">
                  <c:v>1250</c:v>
                </c:pt>
                <c:pt idx="51">
                  <c:v>1275</c:v>
                </c:pt>
                <c:pt idx="52">
                  <c:v>1300</c:v>
                </c:pt>
                <c:pt idx="53">
                  <c:v>1325.0000000000002</c:v>
                </c:pt>
                <c:pt idx="54">
                  <c:v>1350</c:v>
                </c:pt>
                <c:pt idx="55">
                  <c:v>1375</c:v>
                </c:pt>
                <c:pt idx="56">
                  <c:v>1400.0000000000002</c:v>
                </c:pt>
                <c:pt idx="57">
                  <c:v>1424.9999999999998</c:v>
                </c:pt>
                <c:pt idx="58">
                  <c:v>1450</c:v>
                </c:pt>
                <c:pt idx="59">
                  <c:v>1474.9999999999998</c:v>
                </c:pt>
                <c:pt idx="60">
                  <c:v>1500</c:v>
                </c:pt>
                <c:pt idx="61">
                  <c:v>1525</c:v>
                </c:pt>
                <c:pt idx="62">
                  <c:v>1550</c:v>
                </c:pt>
                <c:pt idx="63">
                  <c:v>1575</c:v>
                </c:pt>
                <c:pt idx="64">
                  <c:v>1600</c:v>
                </c:pt>
                <c:pt idx="65">
                  <c:v>1625</c:v>
                </c:pt>
                <c:pt idx="66">
                  <c:v>1650.0000000000002</c:v>
                </c:pt>
                <c:pt idx="67">
                  <c:v>1675</c:v>
                </c:pt>
                <c:pt idx="68">
                  <c:v>1700.0000000000002</c:v>
                </c:pt>
                <c:pt idx="69">
                  <c:v>1724.9999999999998</c:v>
                </c:pt>
                <c:pt idx="70">
                  <c:v>1750</c:v>
                </c:pt>
                <c:pt idx="71">
                  <c:v>1775</c:v>
                </c:pt>
                <c:pt idx="72">
                  <c:v>1799.9999999999998</c:v>
                </c:pt>
                <c:pt idx="73">
                  <c:v>1825</c:v>
                </c:pt>
                <c:pt idx="74">
                  <c:v>1850</c:v>
                </c:pt>
                <c:pt idx="75">
                  <c:v>1875</c:v>
                </c:pt>
                <c:pt idx="76">
                  <c:v>1900</c:v>
                </c:pt>
                <c:pt idx="77">
                  <c:v>1925</c:v>
                </c:pt>
                <c:pt idx="78">
                  <c:v>1950.0000000000002</c:v>
                </c:pt>
                <c:pt idx="79">
                  <c:v>1975</c:v>
                </c:pt>
                <c:pt idx="80">
                  <c:v>2000</c:v>
                </c:pt>
                <c:pt idx="81">
                  <c:v>2025.0000000000005</c:v>
                </c:pt>
                <c:pt idx="82">
                  <c:v>2050</c:v>
                </c:pt>
                <c:pt idx="83">
                  <c:v>2074.9999999999995</c:v>
                </c:pt>
                <c:pt idx="84">
                  <c:v>2100</c:v>
                </c:pt>
                <c:pt idx="85">
                  <c:v>2125</c:v>
                </c:pt>
                <c:pt idx="86">
                  <c:v>2150</c:v>
                </c:pt>
                <c:pt idx="87">
                  <c:v>2175</c:v>
                </c:pt>
                <c:pt idx="88">
                  <c:v>2200</c:v>
                </c:pt>
                <c:pt idx="89">
                  <c:v>2225</c:v>
                </c:pt>
                <c:pt idx="90">
                  <c:v>2250</c:v>
                </c:pt>
                <c:pt idx="91">
                  <c:v>2275</c:v>
                </c:pt>
                <c:pt idx="92">
                  <c:v>2300.0000000000005</c:v>
                </c:pt>
                <c:pt idx="93">
                  <c:v>2325</c:v>
                </c:pt>
                <c:pt idx="94">
                  <c:v>2349.9999999999995</c:v>
                </c:pt>
                <c:pt idx="95">
                  <c:v>2375</c:v>
                </c:pt>
                <c:pt idx="96">
                  <c:v>2400</c:v>
                </c:pt>
                <c:pt idx="97">
                  <c:v>2425</c:v>
                </c:pt>
                <c:pt idx="98">
                  <c:v>2450</c:v>
                </c:pt>
                <c:pt idx="99">
                  <c:v>2475</c:v>
                </c:pt>
                <c:pt idx="100">
                  <c:v>2500</c:v>
                </c:pt>
              </c:numCache>
            </c:numRef>
          </c:cat>
          <c:val>
            <c:numRef>
              <c:f>'Calculations - Single'!$AN$110:$AN$210</c:f>
              <c:numCache>
                <c:formatCode>0.0</c:formatCode>
                <c:ptCount val="101"/>
                <c:pt idx="0">
                  <c:v>12</c:v>
                </c:pt>
                <c:pt idx="1">
                  <c:v>27.213671902389706</c:v>
                </c:pt>
                <c:pt idx="2">
                  <c:v>54.427343804779412</c:v>
                </c:pt>
                <c:pt idx="3">
                  <c:v>81.641015707169103</c:v>
                </c:pt>
                <c:pt idx="4">
                  <c:v>108.85468760955882</c:v>
                </c:pt>
                <c:pt idx="5">
                  <c:v>136.0683595119485</c:v>
                </c:pt>
                <c:pt idx="6">
                  <c:v>163.28203141433821</c:v>
                </c:pt>
                <c:pt idx="7">
                  <c:v>190.49570331672794</c:v>
                </c:pt>
                <c:pt idx="8">
                  <c:v>217.70937521911765</c:v>
                </c:pt>
                <c:pt idx="9">
                  <c:v>244.92304712150732</c:v>
                </c:pt>
                <c:pt idx="10">
                  <c:v>272.136719023897</c:v>
                </c:pt>
                <c:pt idx="11">
                  <c:v>299.35039092628676</c:v>
                </c:pt>
                <c:pt idx="12">
                  <c:v>326.56406282867641</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345.59649448492945</c:v>
                </c:pt>
                <c:pt idx="53">
                  <c:v>339.50093072999994</c:v>
                </c:pt>
                <c:pt idx="54">
                  <c:v>333.58914616118938</c:v>
                </c:pt>
                <c:pt idx="55">
                  <c:v>327.86822238219804</c:v>
                </c:pt>
                <c:pt idx="56">
                  <c:v>322.36096381979138</c:v>
                </c:pt>
                <c:pt idx="57">
                  <c:v>317.01812642490563</c:v>
                </c:pt>
                <c:pt idx="58">
                  <c:v>311.86134631443571</c:v>
                </c:pt>
                <c:pt idx="59">
                  <c:v>306.86857197822269</c:v>
                </c:pt>
                <c:pt idx="60">
                  <c:v>302.03210180726637</c:v>
                </c:pt>
                <c:pt idx="61">
                  <c:v>297.34470897747599</c:v>
                </c:pt>
                <c:pt idx="62">
                  <c:v>292.79960541837517</c:v>
                </c:pt>
                <c:pt idx="63">
                  <c:v>288.39040901403342</c:v>
                </c:pt>
                <c:pt idx="64">
                  <c:v>284.11111370292826</c:v>
                </c:pt>
                <c:pt idx="65">
                  <c:v>279.95606218215863</c:v>
                </c:pt>
                <c:pt idx="66">
                  <c:v>275.91992095514269</c:v>
                </c:pt>
                <c:pt idx="67">
                  <c:v>271.99765749137805</c:v>
                </c:pt>
                <c:pt idx="68">
                  <c:v>268.18451929260038</c:v>
                </c:pt>
                <c:pt idx="69">
                  <c:v>264.47601468224087</c:v>
                </c:pt>
                <c:pt idx="70">
                  <c:v>260.86789515492131</c:v>
                </c:pt>
                <c:pt idx="71">
                  <c:v>257.35613914015426</c:v>
                </c:pt>
                <c:pt idx="72">
                  <c:v>253.93693704979864</c:v>
                </c:pt>
                <c:pt idx="73">
                  <c:v>250.60667749238957</c:v>
                </c:pt>
                <c:pt idx="74">
                  <c:v>247.36193454947011</c:v>
                </c:pt>
                <c:pt idx="75">
                  <c:v>244.19945601968502</c:v>
                </c:pt>
                <c:pt idx="76">
                  <c:v>241.11615254583538</c:v>
                </c:pt>
                <c:pt idx="77">
                  <c:v>238.10908754848248</c:v>
                </c:pt>
                <c:pt idx="78">
                  <c:v>235.17546789715021</c:v>
                </c:pt>
                <c:pt idx="79">
                  <c:v>232.31263525683394</c:v>
                </c:pt>
                <c:pt idx="80">
                  <c:v>229.51805805346277</c:v>
                </c:pt>
                <c:pt idx="81">
                  <c:v>226.78932400727345</c:v>
                </c:pt>
                <c:pt idx="82">
                  <c:v>224.12413318781006</c:v>
                </c:pt>
                <c:pt idx="83">
                  <c:v>221.52029154852085</c:v>
                </c:pt>
                <c:pt idx="84">
                  <c:v>218.97570490275706</c:v>
                </c:pt>
                <c:pt idx="85">
                  <c:v>216.48837330640777</c:v>
                </c:pt>
                <c:pt idx="86">
                  <c:v>214.05638581550497</c:v>
                </c:pt>
                <c:pt idx="87">
                  <c:v>211.67791558991911</c:v>
                </c:pt>
                <c:pt idx="88">
                  <c:v>209.3512153167776</c:v>
                </c:pt>
                <c:pt idx="89">
                  <c:v>207.0746129295122</c:v>
                </c:pt>
                <c:pt idx="90">
                  <c:v>204.84650760049382</c:v>
                </c:pt>
                <c:pt idx="91">
                  <c:v>202.66536598707</c:v>
                </c:pt>
                <c:pt idx="92">
                  <c:v>200.5297187125071</c:v>
                </c:pt>
                <c:pt idx="93">
                  <c:v>198.43815706486419</c:v>
                </c:pt>
                <c:pt idx="94">
                  <c:v>196.38932989821393</c:v>
                </c:pt>
                <c:pt idx="95">
                  <c:v>194.38194072188682</c:v>
                </c:pt>
                <c:pt idx="96">
                  <c:v>192.41474496456223</c:v>
                </c:pt>
                <c:pt idx="97">
                  <c:v>190.48654740107293</c:v>
                </c:pt>
                <c:pt idx="98">
                  <c:v>188.59619973074584</c:v>
                </c:pt>
                <c:pt idx="99">
                  <c:v>186.74259829696749</c:v>
                </c:pt>
                <c:pt idx="100">
                  <c:v>184.92468193845872</c:v>
                </c:pt>
              </c:numCache>
            </c:numRef>
          </c:val>
          <c:smooth val="0"/>
          <c:extLst>
            <c:ext xmlns:c16="http://schemas.microsoft.com/office/drawing/2014/chart" uri="{C3380CC4-5D6E-409C-BE32-E72D297353CC}">
              <c16:uniqueId val="{00000000-33CF-4CE8-9C2E-6191AB4D2064}"/>
            </c:ext>
          </c:extLst>
        </c:ser>
        <c:ser>
          <c:idx val="0"/>
          <c:order val="1"/>
          <c:tx>
            <c:v>VIN-nom</c:v>
          </c:tx>
          <c:spPr>
            <a:ln w="19050">
              <a:solidFill>
                <a:srgbClr val="FF0000"/>
              </a:solidFill>
              <a:prstDash val="lgDash"/>
            </a:ln>
          </c:spPr>
          <c:marker>
            <c:symbol val="none"/>
          </c:marker>
          <c:cat>
            <c:numRef>
              <c:f>'Calculations - Single'!$AM$5:$AM$105</c:f>
              <c:numCache>
                <c:formatCode>0</c:formatCode>
                <c:ptCount val="101"/>
                <c:pt idx="0">
                  <c:v>1.0000000000000002E-6</c:v>
                </c:pt>
                <c:pt idx="1">
                  <c:v>25</c:v>
                </c:pt>
                <c:pt idx="2">
                  <c:v>50</c:v>
                </c:pt>
                <c:pt idx="3">
                  <c:v>75</c:v>
                </c:pt>
                <c:pt idx="4">
                  <c:v>100</c:v>
                </c:pt>
                <c:pt idx="5">
                  <c:v>125</c:v>
                </c:pt>
                <c:pt idx="6">
                  <c:v>150</c:v>
                </c:pt>
                <c:pt idx="7">
                  <c:v>175.00000000000003</c:v>
                </c:pt>
                <c:pt idx="8">
                  <c:v>200</c:v>
                </c:pt>
                <c:pt idx="9">
                  <c:v>224.99999999999997</c:v>
                </c:pt>
                <c:pt idx="10">
                  <c:v>250</c:v>
                </c:pt>
                <c:pt idx="11">
                  <c:v>275</c:v>
                </c:pt>
                <c:pt idx="12">
                  <c:v>300</c:v>
                </c:pt>
                <c:pt idx="13">
                  <c:v>325</c:v>
                </c:pt>
                <c:pt idx="14">
                  <c:v>350.00000000000006</c:v>
                </c:pt>
                <c:pt idx="15">
                  <c:v>375</c:v>
                </c:pt>
                <c:pt idx="16">
                  <c:v>400</c:v>
                </c:pt>
                <c:pt idx="17">
                  <c:v>425.00000000000006</c:v>
                </c:pt>
                <c:pt idx="18">
                  <c:v>449.99999999999994</c:v>
                </c:pt>
                <c:pt idx="19">
                  <c:v>475</c:v>
                </c:pt>
                <c:pt idx="20">
                  <c:v>500</c:v>
                </c:pt>
                <c:pt idx="21">
                  <c:v>525</c:v>
                </c:pt>
                <c:pt idx="22">
                  <c:v>550</c:v>
                </c:pt>
                <c:pt idx="23">
                  <c:v>575.00000000000011</c:v>
                </c:pt>
                <c:pt idx="24">
                  <c:v>600</c:v>
                </c:pt>
                <c:pt idx="25">
                  <c:v>625</c:v>
                </c:pt>
                <c:pt idx="26">
                  <c:v>650</c:v>
                </c:pt>
                <c:pt idx="27">
                  <c:v>675</c:v>
                </c:pt>
                <c:pt idx="28">
                  <c:v>700.00000000000011</c:v>
                </c:pt>
                <c:pt idx="29">
                  <c:v>725</c:v>
                </c:pt>
                <c:pt idx="30">
                  <c:v>750</c:v>
                </c:pt>
                <c:pt idx="31">
                  <c:v>775</c:v>
                </c:pt>
                <c:pt idx="32">
                  <c:v>800</c:v>
                </c:pt>
                <c:pt idx="33">
                  <c:v>825.00000000000011</c:v>
                </c:pt>
                <c:pt idx="34">
                  <c:v>850.00000000000011</c:v>
                </c:pt>
                <c:pt idx="35">
                  <c:v>875</c:v>
                </c:pt>
                <c:pt idx="36">
                  <c:v>899.99999999999989</c:v>
                </c:pt>
                <c:pt idx="37">
                  <c:v>925</c:v>
                </c:pt>
                <c:pt idx="38">
                  <c:v>950</c:v>
                </c:pt>
                <c:pt idx="39">
                  <c:v>975.00000000000011</c:v>
                </c:pt>
                <c:pt idx="40">
                  <c:v>1000</c:v>
                </c:pt>
                <c:pt idx="41">
                  <c:v>1025</c:v>
                </c:pt>
                <c:pt idx="42">
                  <c:v>1050</c:v>
                </c:pt>
                <c:pt idx="43">
                  <c:v>1075</c:v>
                </c:pt>
                <c:pt idx="44">
                  <c:v>1100</c:v>
                </c:pt>
                <c:pt idx="45">
                  <c:v>1125</c:v>
                </c:pt>
                <c:pt idx="46">
                  <c:v>1150.0000000000002</c:v>
                </c:pt>
                <c:pt idx="47">
                  <c:v>1174.9999999999998</c:v>
                </c:pt>
                <c:pt idx="48">
                  <c:v>1200</c:v>
                </c:pt>
                <c:pt idx="49">
                  <c:v>1225</c:v>
                </c:pt>
                <c:pt idx="50">
                  <c:v>1250</c:v>
                </c:pt>
                <c:pt idx="51">
                  <c:v>1275</c:v>
                </c:pt>
                <c:pt idx="52">
                  <c:v>1300</c:v>
                </c:pt>
                <c:pt idx="53">
                  <c:v>1325.0000000000002</c:v>
                </c:pt>
                <c:pt idx="54">
                  <c:v>1350</c:v>
                </c:pt>
                <c:pt idx="55">
                  <c:v>1375</c:v>
                </c:pt>
                <c:pt idx="56">
                  <c:v>1400.0000000000002</c:v>
                </c:pt>
                <c:pt idx="57">
                  <c:v>1424.9999999999998</c:v>
                </c:pt>
                <c:pt idx="58">
                  <c:v>1450</c:v>
                </c:pt>
                <c:pt idx="59">
                  <c:v>1474.9999999999998</c:v>
                </c:pt>
                <c:pt idx="60">
                  <c:v>1500</c:v>
                </c:pt>
                <c:pt idx="61">
                  <c:v>1525</c:v>
                </c:pt>
                <c:pt idx="62">
                  <c:v>1550</c:v>
                </c:pt>
                <c:pt idx="63">
                  <c:v>1575</c:v>
                </c:pt>
                <c:pt idx="64">
                  <c:v>1600</c:v>
                </c:pt>
                <c:pt idx="65">
                  <c:v>1625</c:v>
                </c:pt>
                <c:pt idx="66">
                  <c:v>1650.0000000000002</c:v>
                </c:pt>
                <c:pt idx="67">
                  <c:v>1675</c:v>
                </c:pt>
                <c:pt idx="68">
                  <c:v>1700.0000000000002</c:v>
                </c:pt>
                <c:pt idx="69">
                  <c:v>1724.9999999999998</c:v>
                </c:pt>
                <c:pt idx="70">
                  <c:v>1750</c:v>
                </c:pt>
                <c:pt idx="71">
                  <c:v>1775</c:v>
                </c:pt>
                <c:pt idx="72">
                  <c:v>1799.9999999999998</c:v>
                </c:pt>
                <c:pt idx="73">
                  <c:v>1825</c:v>
                </c:pt>
                <c:pt idx="74">
                  <c:v>1850</c:v>
                </c:pt>
                <c:pt idx="75">
                  <c:v>1875</c:v>
                </c:pt>
                <c:pt idx="76">
                  <c:v>1900</c:v>
                </c:pt>
                <c:pt idx="77">
                  <c:v>1925</c:v>
                </c:pt>
                <c:pt idx="78">
                  <c:v>1950.0000000000002</c:v>
                </c:pt>
                <c:pt idx="79">
                  <c:v>1975</c:v>
                </c:pt>
                <c:pt idx="80">
                  <c:v>2000</c:v>
                </c:pt>
                <c:pt idx="81">
                  <c:v>2025.0000000000005</c:v>
                </c:pt>
                <c:pt idx="82">
                  <c:v>2050</c:v>
                </c:pt>
                <c:pt idx="83">
                  <c:v>2074.9999999999995</c:v>
                </c:pt>
                <c:pt idx="84">
                  <c:v>2100</c:v>
                </c:pt>
                <c:pt idx="85">
                  <c:v>2125</c:v>
                </c:pt>
                <c:pt idx="86">
                  <c:v>2150</c:v>
                </c:pt>
                <c:pt idx="87">
                  <c:v>2175</c:v>
                </c:pt>
                <c:pt idx="88">
                  <c:v>2200</c:v>
                </c:pt>
                <c:pt idx="89">
                  <c:v>2225</c:v>
                </c:pt>
                <c:pt idx="90">
                  <c:v>2250</c:v>
                </c:pt>
                <c:pt idx="91">
                  <c:v>2275</c:v>
                </c:pt>
                <c:pt idx="92">
                  <c:v>2300.0000000000005</c:v>
                </c:pt>
                <c:pt idx="93">
                  <c:v>2325</c:v>
                </c:pt>
                <c:pt idx="94">
                  <c:v>2349.9999999999995</c:v>
                </c:pt>
                <c:pt idx="95">
                  <c:v>2375</c:v>
                </c:pt>
                <c:pt idx="96">
                  <c:v>2400</c:v>
                </c:pt>
                <c:pt idx="97">
                  <c:v>2425</c:v>
                </c:pt>
                <c:pt idx="98">
                  <c:v>2450</c:v>
                </c:pt>
                <c:pt idx="99">
                  <c:v>2475</c:v>
                </c:pt>
                <c:pt idx="100">
                  <c:v>2500</c:v>
                </c:pt>
              </c:numCache>
            </c:numRef>
          </c:cat>
          <c:val>
            <c:numRef>
              <c:f>'Calculations - Single'!$AN$5:$AN$105</c:f>
              <c:numCache>
                <c:formatCode>0.0</c:formatCode>
                <c:ptCount val="101"/>
                <c:pt idx="0">
                  <c:v>12</c:v>
                </c:pt>
                <c:pt idx="1">
                  <c:v>27.213671902389706</c:v>
                </c:pt>
                <c:pt idx="2">
                  <c:v>54.427343804779412</c:v>
                </c:pt>
                <c:pt idx="3">
                  <c:v>81.641015707169103</c:v>
                </c:pt>
                <c:pt idx="4">
                  <c:v>108.85468760955882</c:v>
                </c:pt>
                <c:pt idx="5">
                  <c:v>136.0683595119485</c:v>
                </c:pt>
                <c:pt idx="6">
                  <c:v>163.28203141433821</c:v>
                </c:pt>
                <c:pt idx="7">
                  <c:v>190.49570331672794</c:v>
                </c:pt>
                <c:pt idx="8">
                  <c:v>217.70937521911765</c:v>
                </c:pt>
                <c:pt idx="9">
                  <c:v>244.92304712150732</c:v>
                </c:pt>
                <c:pt idx="10">
                  <c:v>272.136719023897</c:v>
                </c:pt>
                <c:pt idx="11">
                  <c:v>299.35039092628676</c:v>
                </c:pt>
                <c:pt idx="12">
                  <c:v>326.56406282867641</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349.3371558749638</c:v>
                </c:pt>
                <c:pt idx="80">
                  <c:v>345.26409899985299</c:v>
                </c:pt>
                <c:pt idx="81">
                  <c:v>341.28478162510442</c:v>
                </c:pt>
                <c:pt idx="82">
                  <c:v>337.39116932849856</c:v>
                </c:pt>
                <c:pt idx="83">
                  <c:v>333.57859733315439</c:v>
                </c:pt>
                <c:pt idx="84">
                  <c:v>329.85061870471486</c:v>
                </c:pt>
                <c:pt idx="85">
                  <c:v>326.20444097987803</c:v>
                </c:pt>
                <c:pt idx="86">
                  <c:v>322.64581719068138</c:v>
                </c:pt>
                <c:pt idx="87">
                  <c:v>319.15480701741797</c:v>
                </c:pt>
                <c:pt idx="88">
                  <c:v>315.74298603527006</c:v>
                </c:pt>
                <c:pt idx="89">
                  <c:v>312.40302342565195</c:v>
                </c:pt>
                <c:pt idx="90">
                  <c:v>309.13267264496466</c:v>
                </c:pt>
                <c:pt idx="91">
                  <c:v>305.9297798301518</c:v>
                </c:pt>
                <c:pt idx="92">
                  <c:v>302.79227906810155</c:v>
                </c:pt>
                <c:pt idx="93">
                  <c:v>299.71818795187278</c:v>
                </c:pt>
                <c:pt idx="94">
                  <c:v>296.70560340365626</c:v>
                </c:pt>
                <c:pt idx="95">
                  <c:v>293.75269774598098</c:v>
                </c:pt>
                <c:pt idx="96">
                  <c:v>290.85771500411721</c:v>
                </c:pt>
                <c:pt idx="97">
                  <c:v>288.01896742396167</c:v>
                </c:pt>
                <c:pt idx="98">
                  <c:v>285.2348321908936</c:v>
                </c:pt>
                <c:pt idx="99">
                  <c:v>282.50374833619844</c:v>
                </c:pt>
                <c:pt idx="100">
                  <c:v>279.824213818668</c:v>
                </c:pt>
              </c:numCache>
            </c:numRef>
          </c:val>
          <c:smooth val="0"/>
          <c:extLst>
            <c:ext xmlns:c16="http://schemas.microsoft.com/office/drawing/2014/chart" uri="{C3380CC4-5D6E-409C-BE32-E72D297353CC}">
              <c16:uniqueId val="{00000001-33CF-4CE8-9C2E-6191AB4D2064}"/>
            </c:ext>
          </c:extLst>
        </c:ser>
        <c:ser>
          <c:idx val="2"/>
          <c:order val="2"/>
          <c:tx>
            <c:v>VIN-max</c:v>
          </c:tx>
          <c:spPr>
            <a:ln w="19050">
              <a:solidFill>
                <a:srgbClr val="0000FF"/>
              </a:solidFill>
              <a:prstDash val="lgDash"/>
            </a:ln>
          </c:spPr>
          <c:marker>
            <c:symbol val="none"/>
          </c:marker>
          <c:cat>
            <c:numRef>
              <c:f>'Calculations - Single'!$AM$5:$AM$105</c:f>
              <c:numCache>
                <c:formatCode>0</c:formatCode>
                <c:ptCount val="101"/>
                <c:pt idx="0">
                  <c:v>1.0000000000000002E-6</c:v>
                </c:pt>
                <c:pt idx="1">
                  <c:v>25</c:v>
                </c:pt>
                <c:pt idx="2">
                  <c:v>50</c:v>
                </c:pt>
                <c:pt idx="3">
                  <c:v>75</c:v>
                </c:pt>
                <c:pt idx="4">
                  <c:v>100</c:v>
                </c:pt>
                <c:pt idx="5">
                  <c:v>125</c:v>
                </c:pt>
                <c:pt idx="6">
                  <c:v>150</c:v>
                </c:pt>
                <c:pt idx="7">
                  <c:v>175.00000000000003</c:v>
                </c:pt>
                <c:pt idx="8">
                  <c:v>200</c:v>
                </c:pt>
                <c:pt idx="9">
                  <c:v>224.99999999999997</c:v>
                </c:pt>
                <c:pt idx="10">
                  <c:v>250</c:v>
                </c:pt>
                <c:pt idx="11">
                  <c:v>275</c:v>
                </c:pt>
                <c:pt idx="12">
                  <c:v>300</c:v>
                </c:pt>
                <c:pt idx="13">
                  <c:v>325</c:v>
                </c:pt>
                <c:pt idx="14">
                  <c:v>350.00000000000006</c:v>
                </c:pt>
                <c:pt idx="15">
                  <c:v>375</c:v>
                </c:pt>
                <c:pt idx="16">
                  <c:v>400</c:v>
                </c:pt>
                <c:pt idx="17">
                  <c:v>425.00000000000006</c:v>
                </c:pt>
                <c:pt idx="18">
                  <c:v>449.99999999999994</c:v>
                </c:pt>
                <c:pt idx="19">
                  <c:v>475</c:v>
                </c:pt>
                <c:pt idx="20">
                  <c:v>500</c:v>
                </c:pt>
                <c:pt idx="21">
                  <c:v>525</c:v>
                </c:pt>
                <c:pt idx="22">
                  <c:v>550</c:v>
                </c:pt>
                <c:pt idx="23">
                  <c:v>575.00000000000011</c:v>
                </c:pt>
                <c:pt idx="24">
                  <c:v>600</c:v>
                </c:pt>
                <c:pt idx="25">
                  <c:v>625</c:v>
                </c:pt>
                <c:pt idx="26">
                  <c:v>650</c:v>
                </c:pt>
                <c:pt idx="27">
                  <c:v>675</c:v>
                </c:pt>
                <c:pt idx="28">
                  <c:v>700.00000000000011</c:v>
                </c:pt>
                <c:pt idx="29">
                  <c:v>725</c:v>
                </c:pt>
                <c:pt idx="30">
                  <c:v>750</c:v>
                </c:pt>
                <c:pt idx="31">
                  <c:v>775</c:v>
                </c:pt>
                <c:pt idx="32">
                  <c:v>800</c:v>
                </c:pt>
                <c:pt idx="33">
                  <c:v>825.00000000000011</c:v>
                </c:pt>
                <c:pt idx="34">
                  <c:v>850.00000000000011</c:v>
                </c:pt>
                <c:pt idx="35">
                  <c:v>875</c:v>
                </c:pt>
                <c:pt idx="36">
                  <c:v>899.99999999999989</c:v>
                </c:pt>
                <c:pt idx="37">
                  <c:v>925</c:v>
                </c:pt>
                <c:pt idx="38">
                  <c:v>950</c:v>
                </c:pt>
                <c:pt idx="39">
                  <c:v>975.00000000000011</c:v>
                </c:pt>
                <c:pt idx="40">
                  <c:v>1000</c:v>
                </c:pt>
                <c:pt idx="41">
                  <c:v>1025</c:v>
                </c:pt>
                <c:pt idx="42">
                  <c:v>1050</c:v>
                </c:pt>
                <c:pt idx="43">
                  <c:v>1075</c:v>
                </c:pt>
                <c:pt idx="44">
                  <c:v>1100</c:v>
                </c:pt>
                <c:pt idx="45">
                  <c:v>1125</c:v>
                </c:pt>
                <c:pt idx="46">
                  <c:v>1150.0000000000002</c:v>
                </c:pt>
                <c:pt idx="47">
                  <c:v>1174.9999999999998</c:v>
                </c:pt>
                <c:pt idx="48">
                  <c:v>1200</c:v>
                </c:pt>
                <c:pt idx="49">
                  <c:v>1225</c:v>
                </c:pt>
                <c:pt idx="50">
                  <c:v>1250</c:v>
                </c:pt>
                <c:pt idx="51">
                  <c:v>1275</c:v>
                </c:pt>
                <c:pt idx="52">
                  <c:v>1300</c:v>
                </c:pt>
                <c:pt idx="53">
                  <c:v>1325.0000000000002</c:v>
                </c:pt>
                <c:pt idx="54">
                  <c:v>1350</c:v>
                </c:pt>
                <c:pt idx="55">
                  <c:v>1375</c:v>
                </c:pt>
                <c:pt idx="56">
                  <c:v>1400.0000000000002</c:v>
                </c:pt>
                <c:pt idx="57">
                  <c:v>1424.9999999999998</c:v>
                </c:pt>
                <c:pt idx="58">
                  <c:v>1450</c:v>
                </c:pt>
                <c:pt idx="59">
                  <c:v>1474.9999999999998</c:v>
                </c:pt>
                <c:pt idx="60">
                  <c:v>1500</c:v>
                </c:pt>
                <c:pt idx="61">
                  <c:v>1525</c:v>
                </c:pt>
                <c:pt idx="62">
                  <c:v>1550</c:v>
                </c:pt>
                <c:pt idx="63">
                  <c:v>1575</c:v>
                </c:pt>
                <c:pt idx="64">
                  <c:v>1600</c:v>
                </c:pt>
                <c:pt idx="65">
                  <c:v>1625</c:v>
                </c:pt>
                <c:pt idx="66">
                  <c:v>1650.0000000000002</c:v>
                </c:pt>
                <c:pt idx="67">
                  <c:v>1675</c:v>
                </c:pt>
                <c:pt idx="68">
                  <c:v>1700.0000000000002</c:v>
                </c:pt>
                <c:pt idx="69">
                  <c:v>1724.9999999999998</c:v>
                </c:pt>
                <c:pt idx="70">
                  <c:v>1750</c:v>
                </c:pt>
                <c:pt idx="71">
                  <c:v>1775</c:v>
                </c:pt>
                <c:pt idx="72">
                  <c:v>1799.9999999999998</c:v>
                </c:pt>
                <c:pt idx="73">
                  <c:v>1825</c:v>
                </c:pt>
                <c:pt idx="74">
                  <c:v>1850</c:v>
                </c:pt>
                <c:pt idx="75">
                  <c:v>1875</c:v>
                </c:pt>
                <c:pt idx="76">
                  <c:v>1900</c:v>
                </c:pt>
                <c:pt idx="77">
                  <c:v>1925</c:v>
                </c:pt>
                <c:pt idx="78">
                  <c:v>1950.0000000000002</c:v>
                </c:pt>
                <c:pt idx="79">
                  <c:v>1975</c:v>
                </c:pt>
                <c:pt idx="80">
                  <c:v>2000</c:v>
                </c:pt>
                <c:pt idx="81">
                  <c:v>2025.0000000000005</c:v>
                </c:pt>
                <c:pt idx="82">
                  <c:v>2050</c:v>
                </c:pt>
                <c:pt idx="83">
                  <c:v>2074.9999999999995</c:v>
                </c:pt>
                <c:pt idx="84">
                  <c:v>2100</c:v>
                </c:pt>
                <c:pt idx="85">
                  <c:v>2125</c:v>
                </c:pt>
                <c:pt idx="86">
                  <c:v>2150</c:v>
                </c:pt>
                <c:pt idx="87">
                  <c:v>2175</c:v>
                </c:pt>
                <c:pt idx="88">
                  <c:v>2200</c:v>
                </c:pt>
                <c:pt idx="89">
                  <c:v>2225</c:v>
                </c:pt>
                <c:pt idx="90">
                  <c:v>2250</c:v>
                </c:pt>
                <c:pt idx="91">
                  <c:v>2275</c:v>
                </c:pt>
                <c:pt idx="92">
                  <c:v>2300.0000000000005</c:v>
                </c:pt>
                <c:pt idx="93">
                  <c:v>2325</c:v>
                </c:pt>
                <c:pt idx="94">
                  <c:v>2349.9999999999995</c:v>
                </c:pt>
                <c:pt idx="95">
                  <c:v>2375</c:v>
                </c:pt>
                <c:pt idx="96">
                  <c:v>2400</c:v>
                </c:pt>
                <c:pt idx="97">
                  <c:v>2425</c:v>
                </c:pt>
                <c:pt idx="98">
                  <c:v>2450</c:v>
                </c:pt>
                <c:pt idx="99">
                  <c:v>2475</c:v>
                </c:pt>
                <c:pt idx="100">
                  <c:v>2500</c:v>
                </c:pt>
              </c:numCache>
            </c:numRef>
          </c:cat>
          <c:val>
            <c:numRef>
              <c:f>'Calculations - Single'!$AN$216:$AN$316</c:f>
              <c:numCache>
                <c:formatCode>0.0</c:formatCode>
                <c:ptCount val="101"/>
                <c:pt idx="0">
                  <c:v>12</c:v>
                </c:pt>
                <c:pt idx="1">
                  <c:v>27.213671902389706</c:v>
                </c:pt>
                <c:pt idx="2">
                  <c:v>54.427343804779412</c:v>
                </c:pt>
                <c:pt idx="3">
                  <c:v>81.641015707169103</c:v>
                </c:pt>
                <c:pt idx="4">
                  <c:v>108.85468760955882</c:v>
                </c:pt>
                <c:pt idx="5">
                  <c:v>136.0683595119485</c:v>
                </c:pt>
                <c:pt idx="6">
                  <c:v>163.28203141433821</c:v>
                </c:pt>
                <c:pt idx="7">
                  <c:v>190.49570331672794</c:v>
                </c:pt>
                <c:pt idx="8">
                  <c:v>217.70937521911765</c:v>
                </c:pt>
                <c:pt idx="9">
                  <c:v>244.92304712150732</c:v>
                </c:pt>
                <c:pt idx="10">
                  <c:v>272.136719023897</c:v>
                </c:pt>
                <c:pt idx="11">
                  <c:v>299.35039092628676</c:v>
                </c:pt>
                <c:pt idx="12">
                  <c:v>326.56406282867641</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2-33CF-4CE8-9C2E-6191AB4D2064}"/>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Single'!$AM$5:$AM$105</c:f>
              <c:numCache>
                <c:formatCode>0</c:formatCode>
                <c:ptCount val="101"/>
                <c:pt idx="0">
                  <c:v>1.0000000000000002E-6</c:v>
                </c:pt>
                <c:pt idx="1">
                  <c:v>25</c:v>
                </c:pt>
                <c:pt idx="2">
                  <c:v>50</c:v>
                </c:pt>
                <c:pt idx="3">
                  <c:v>75</c:v>
                </c:pt>
                <c:pt idx="4">
                  <c:v>100</c:v>
                </c:pt>
                <c:pt idx="5">
                  <c:v>125</c:v>
                </c:pt>
                <c:pt idx="6">
                  <c:v>150</c:v>
                </c:pt>
                <c:pt idx="7">
                  <c:v>175.00000000000003</c:v>
                </c:pt>
                <c:pt idx="8">
                  <c:v>200</c:v>
                </c:pt>
                <c:pt idx="9">
                  <c:v>224.99999999999997</c:v>
                </c:pt>
                <c:pt idx="10">
                  <c:v>250</c:v>
                </c:pt>
                <c:pt idx="11">
                  <c:v>275</c:v>
                </c:pt>
                <c:pt idx="12">
                  <c:v>300</c:v>
                </c:pt>
                <c:pt idx="13">
                  <c:v>325</c:v>
                </c:pt>
                <c:pt idx="14">
                  <c:v>350.00000000000006</c:v>
                </c:pt>
                <c:pt idx="15">
                  <c:v>375</c:v>
                </c:pt>
                <c:pt idx="16">
                  <c:v>400</c:v>
                </c:pt>
                <c:pt idx="17">
                  <c:v>425.00000000000006</c:v>
                </c:pt>
                <c:pt idx="18">
                  <c:v>449.99999999999994</c:v>
                </c:pt>
                <c:pt idx="19">
                  <c:v>475</c:v>
                </c:pt>
                <c:pt idx="20">
                  <c:v>500</c:v>
                </c:pt>
                <c:pt idx="21">
                  <c:v>525</c:v>
                </c:pt>
                <c:pt idx="22">
                  <c:v>550</c:v>
                </c:pt>
                <c:pt idx="23">
                  <c:v>575.00000000000011</c:v>
                </c:pt>
                <c:pt idx="24">
                  <c:v>600</c:v>
                </c:pt>
                <c:pt idx="25">
                  <c:v>625</c:v>
                </c:pt>
                <c:pt idx="26">
                  <c:v>650</c:v>
                </c:pt>
                <c:pt idx="27">
                  <c:v>675</c:v>
                </c:pt>
                <c:pt idx="28">
                  <c:v>700.00000000000011</c:v>
                </c:pt>
                <c:pt idx="29">
                  <c:v>725</c:v>
                </c:pt>
                <c:pt idx="30">
                  <c:v>750</c:v>
                </c:pt>
                <c:pt idx="31">
                  <c:v>775</c:v>
                </c:pt>
                <c:pt idx="32">
                  <c:v>800</c:v>
                </c:pt>
                <c:pt idx="33">
                  <c:v>825.00000000000011</c:v>
                </c:pt>
                <c:pt idx="34">
                  <c:v>850.00000000000011</c:v>
                </c:pt>
                <c:pt idx="35">
                  <c:v>875</c:v>
                </c:pt>
                <c:pt idx="36">
                  <c:v>899.99999999999989</c:v>
                </c:pt>
                <c:pt idx="37">
                  <c:v>925</c:v>
                </c:pt>
                <c:pt idx="38">
                  <c:v>950</c:v>
                </c:pt>
                <c:pt idx="39">
                  <c:v>975.00000000000011</c:v>
                </c:pt>
                <c:pt idx="40">
                  <c:v>1000</c:v>
                </c:pt>
                <c:pt idx="41">
                  <c:v>1025</c:v>
                </c:pt>
                <c:pt idx="42">
                  <c:v>1050</c:v>
                </c:pt>
                <c:pt idx="43">
                  <c:v>1075</c:v>
                </c:pt>
                <c:pt idx="44">
                  <c:v>1100</c:v>
                </c:pt>
                <c:pt idx="45">
                  <c:v>1125</c:v>
                </c:pt>
                <c:pt idx="46">
                  <c:v>1150.0000000000002</c:v>
                </c:pt>
                <c:pt idx="47">
                  <c:v>1174.9999999999998</c:v>
                </c:pt>
                <c:pt idx="48">
                  <c:v>1200</c:v>
                </c:pt>
                <c:pt idx="49">
                  <c:v>1225</c:v>
                </c:pt>
                <c:pt idx="50">
                  <c:v>1250</c:v>
                </c:pt>
                <c:pt idx="51">
                  <c:v>1275</c:v>
                </c:pt>
                <c:pt idx="52">
                  <c:v>1300</c:v>
                </c:pt>
                <c:pt idx="53">
                  <c:v>1325.0000000000002</c:v>
                </c:pt>
                <c:pt idx="54">
                  <c:v>1350</c:v>
                </c:pt>
                <c:pt idx="55">
                  <c:v>1375</c:v>
                </c:pt>
                <c:pt idx="56">
                  <c:v>1400.0000000000002</c:v>
                </c:pt>
                <c:pt idx="57">
                  <c:v>1424.9999999999998</c:v>
                </c:pt>
                <c:pt idx="58">
                  <c:v>1450</c:v>
                </c:pt>
                <c:pt idx="59">
                  <c:v>1474.9999999999998</c:v>
                </c:pt>
                <c:pt idx="60">
                  <c:v>1500</c:v>
                </c:pt>
                <c:pt idx="61">
                  <c:v>1525</c:v>
                </c:pt>
                <c:pt idx="62">
                  <c:v>1550</c:v>
                </c:pt>
                <c:pt idx="63">
                  <c:v>1575</c:v>
                </c:pt>
                <c:pt idx="64">
                  <c:v>1600</c:v>
                </c:pt>
                <c:pt idx="65">
                  <c:v>1625</c:v>
                </c:pt>
                <c:pt idx="66">
                  <c:v>1650.0000000000002</c:v>
                </c:pt>
                <c:pt idx="67">
                  <c:v>1675</c:v>
                </c:pt>
                <c:pt idx="68">
                  <c:v>1700.0000000000002</c:v>
                </c:pt>
                <c:pt idx="69">
                  <c:v>1724.9999999999998</c:v>
                </c:pt>
                <c:pt idx="70">
                  <c:v>1750</c:v>
                </c:pt>
                <c:pt idx="71">
                  <c:v>1775</c:v>
                </c:pt>
                <c:pt idx="72">
                  <c:v>1799.9999999999998</c:v>
                </c:pt>
                <c:pt idx="73">
                  <c:v>1825</c:v>
                </c:pt>
                <c:pt idx="74">
                  <c:v>1850</c:v>
                </c:pt>
                <c:pt idx="75">
                  <c:v>1875</c:v>
                </c:pt>
                <c:pt idx="76">
                  <c:v>1900</c:v>
                </c:pt>
                <c:pt idx="77">
                  <c:v>1925</c:v>
                </c:pt>
                <c:pt idx="78">
                  <c:v>1950.0000000000002</c:v>
                </c:pt>
                <c:pt idx="79">
                  <c:v>1975</c:v>
                </c:pt>
                <c:pt idx="80">
                  <c:v>2000</c:v>
                </c:pt>
                <c:pt idx="81">
                  <c:v>2025.0000000000005</c:v>
                </c:pt>
                <c:pt idx="82">
                  <c:v>2050</c:v>
                </c:pt>
                <c:pt idx="83">
                  <c:v>2074.9999999999995</c:v>
                </c:pt>
                <c:pt idx="84">
                  <c:v>2100</c:v>
                </c:pt>
                <c:pt idx="85">
                  <c:v>2125</c:v>
                </c:pt>
                <c:pt idx="86">
                  <c:v>2150</c:v>
                </c:pt>
                <c:pt idx="87">
                  <c:v>2175</c:v>
                </c:pt>
                <c:pt idx="88">
                  <c:v>2200</c:v>
                </c:pt>
                <c:pt idx="89">
                  <c:v>2225</c:v>
                </c:pt>
                <c:pt idx="90">
                  <c:v>2250</c:v>
                </c:pt>
                <c:pt idx="91">
                  <c:v>2275</c:v>
                </c:pt>
                <c:pt idx="92">
                  <c:v>2300.0000000000005</c:v>
                </c:pt>
                <c:pt idx="93">
                  <c:v>2325</c:v>
                </c:pt>
                <c:pt idx="94">
                  <c:v>2349.9999999999995</c:v>
                </c:pt>
                <c:pt idx="95">
                  <c:v>2375</c:v>
                </c:pt>
                <c:pt idx="96">
                  <c:v>2400</c:v>
                </c:pt>
                <c:pt idx="97">
                  <c:v>2425</c:v>
                </c:pt>
                <c:pt idx="98">
                  <c:v>2450</c:v>
                </c:pt>
                <c:pt idx="99">
                  <c:v>2475</c:v>
                </c:pt>
                <c:pt idx="100">
                  <c:v>2500</c:v>
                </c:pt>
              </c:numCache>
            </c:numRef>
          </c:cat>
          <c:val>
            <c:numRef>
              <c:f>'Calculations - Single'!$CE$110:$CE$210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33CF-4CE8-9C2E-6191AB4D2064}"/>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Single'!$AM$5:$AM$105</c:f>
              <c:numCache>
                <c:formatCode>0</c:formatCode>
                <c:ptCount val="101"/>
                <c:pt idx="0">
                  <c:v>1.0000000000000002E-6</c:v>
                </c:pt>
                <c:pt idx="1">
                  <c:v>25</c:v>
                </c:pt>
                <c:pt idx="2">
                  <c:v>50</c:v>
                </c:pt>
                <c:pt idx="3">
                  <c:v>75</c:v>
                </c:pt>
                <c:pt idx="4">
                  <c:v>100</c:v>
                </c:pt>
                <c:pt idx="5">
                  <c:v>125</c:v>
                </c:pt>
                <c:pt idx="6">
                  <c:v>150</c:v>
                </c:pt>
                <c:pt idx="7">
                  <c:v>175.00000000000003</c:v>
                </c:pt>
                <c:pt idx="8">
                  <c:v>200</c:v>
                </c:pt>
                <c:pt idx="9">
                  <c:v>224.99999999999997</c:v>
                </c:pt>
                <c:pt idx="10">
                  <c:v>250</c:v>
                </c:pt>
                <c:pt idx="11">
                  <c:v>275</c:v>
                </c:pt>
                <c:pt idx="12">
                  <c:v>300</c:v>
                </c:pt>
                <c:pt idx="13">
                  <c:v>325</c:v>
                </c:pt>
                <c:pt idx="14">
                  <c:v>350.00000000000006</c:v>
                </c:pt>
                <c:pt idx="15">
                  <c:v>375</c:v>
                </c:pt>
                <c:pt idx="16">
                  <c:v>400</c:v>
                </c:pt>
                <c:pt idx="17">
                  <c:v>425.00000000000006</c:v>
                </c:pt>
                <c:pt idx="18">
                  <c:v>449.99999999999994</c:v>
                </c:pt>
                <c:pt idx="19">
                  <c:v>475</c:v>
                </c:pt>
                <c:pt idx="20">
                  <c:v>500</c:v>
                </c:pt>
                <c:pt idx="21">
                  <c:v>525</c:v>
                </c:pt>
                <c:pt idx="22">
                  <c:v>550</c:v>
                </c:pt>
                <c:pt idx="23">
                  <c:v>575.00000000000011</c:v>
                </c:pt>
                <c:pt idx="24">
                  <c:v>600</c:v>
                </c:pt>
                <c:pt idx="25">
                  <c:v>625</c:v>
                </c:pt>
                <c:pt idx="26">
                  <c:v>650</c:v>
                </c:pt>
                <c:pt idx="27">
                  <c:v>675</c:v>
                </c:pt>
                <c:pt idx="28">
                  <c:v>700.00000000000011</c:v>
                </c:pt>
                <c:pt idx="29">
                  <c:v>725</c:v>
                </c:pt>
                <c:pt idx="30">
                  <c:v>750</c:v>
                </c:pt>
                <c:pt idx="31">
                  <c:v>775</c:v>
                </c:pt>
                <c:pt idx="32">
                  <c:v>800</c:v>
                </c:pt>
                <c:pt idx="33">
                  <c:v>825.00000000000011</c:v>
                </c:pt>
                <c:pt idx="34">
                  <c:v>850.00000000000011</c:v>
                </c:pt>
                <c:pt idx="35">
                  <c:v>875</c:v>
                </c:pt>
                <c:pt idx="36">
                  <c:v>899.99999999999989</c:v>
                </c:pt>
                <c:pt idx="37">
                  <c:v>925</c:v>
                </c:pt>
                <c:pt idx="38">
                  <c:v>950</c:v>
                </c:pt>
                <c:pt idx="39">
                  <c:v>975.00000000000011</c:v>
                </c:pt>
                <c:pt idx="40">
                  <c:v>1000</c:v>
                </c:pt>
                <c:pt idx="41">
                  <c:v>1025</c:v>
                </c:pt>
                <c:pt idx="42">
                  <c:v>1050</c:v>
                </c:pt>
                <c:pt idx="43">
                  <c:v>1075</c:v>
                </c:pt>
                <c:pt idx="44">
                  <c:v>1100</c:v>
                </c:pt>
                <c:pt idx="45">
                  <c:v>1125</c:v>
                </c:pt>
                <c:pt idx="46">
                  <c:v>1150.0000000000002</c:v>
                </c:pt>
                <c:pt idx="47">
                  <c:v>1174.9999999999998</c:v>
                </c:pt>
                <c:pt idx="48">
                  <c:v>1200</c:v>
                </c:pt>
                <c:pt idx="49">
                  <c:v>1225</c:v>
                </c:pt>
                <c:pt idx="50">
                  <c:v>1250</c:v>
                </c:pt>
                <c:pt idx="51">
                  <c:v>1275</c:v>
                </c:pt>
                <c:pt idx="52">
                  <c:v>1300</c:v>
                </c:pt>
                <c:pt idx="53">
                  <c:v>1325.0000000000002</c:v>
                </c:pt>
                <c:pt idx="54">
                  <c:v>1350</c:v>
                </c:pt>
                <c:pt idx="55">
                  <c:v>1375</c:v>
                </c:pt>
                <c:pt idx="56">
                  <c:v>1400.0000000000002</c:v>
                </c:pt>
                <c:pt idx="57">
                  <c:v>1424.9999999999998</c:v>
                </c:pt>
                <c:pt idx="58">
                  <c:v>1450</c:v>
                </c:pt>
                <c:pt idx="59">
                  <c:v>1474.9999999999998</c:v>
                </c:pt>
                <c:pt idx="60">
                  <c:v>1500</c:v>
                </c:pt>
                <c:pt idx="61">
                  <c:v>1525</c:v>
                </c:pt>
                <c:pt idx="62">
                  <c:v>1550</c:v>
                </c:pt>
                <c:pt idx="63">
                  <c:v>1575</c:v>
                </c:pt>
                <c:pt idx="64">
                  <c:v>1600</c:v>
                </c:pt>
                <c:pt idx="65">
                  <c:v>1625</c:v>
                </c:pt>
                <c:pt idx="66">
                  <c:v>1650.0000000000002</c:v>
                </c:pt>
                <c:pt idx="67">
                  <c:v>1675</c:v>
                </c:pt>
                <c:pt idx="68">
                  <c:v>1700.0000000000002</c:v>
                </c:pt>
                <c:pt idx="69">
                  <c:v>1724.9999999999998</c:v>
                </c:pt>
                <c:pt idx="70">
                  <c:v>1750</c:v>
                </c:pt>
                <c:pt idx="71">
                  <c:v>1775</c:v>
                </c:pt>
                <c:pt idx="72">
                  <c:v>1799.9999999999998</c:v>
                </c:pt>
                <c:pt idx="73">
                  <c:v>1825</c:v>
                </c:pt>
                <c:pt idx="74">
                  <c:v>1850</c:v>
                </c:pt>
                <c:pt idx="75">
                  <c:v>1875</c:v>
                </c:pt>
                <c:pt idx="76">
                  <c:v>1900</c:v>
                </c:pt>
                <c:pt idx="77">
                  <c:v>1925</c:v>
                </c:pt>
                <c:pt idx="78">
                  <c:v>1950.0000000000002</c:v>
                </c:pt>
                <c:pt idx="79">
                  <c:v>1975</c:v>
                </c:pt>
                <c:pt idx="80">
                  <c:v>2000</c:v>
                </c:pt>
                <c:pt idx="81">
                  <c:v>2025.0000000000005</c:v>
                </c:pt>
                <c:pt idx="82">
                  <c:v>2050</c:v>
                </c:pt>
                <c:pt idx="83">
                  <c:v>2074.9999999999995</c:v>
                </c:pt>
                <c:pt idx="84">
                  <c:v>2100</c:v>
                </c:pt>
                <c:pt idx="85">
                  <c:v>2125</c:v>
                </c:pt>
                <c:pt idx="86">
                  <c:v>2150</c:v>
                </c:pt>
                <c:pt idx="87">
                  <c:v>2175</c:v>
                </c:pt>
                <c:pt idx="88">
                  <c:v>2200</c:v>
                </c:pt>
                <c:pt idx="89">
                  <c:v>2225</c:v>
                </c:pt>
                <c:pt idx="90">
                  <c:v>2250</c:v>
                </c:pt>
                <c:pt idx="91">
                  <c:v>2275</c:v>
                </c:pt>
                <c:pt idx="92">
                  <c:v>2300.0000000000005</c:v>
                </c:pt>
                <c:pt idx="93">
                  <c:v>2325</c:v>
                </c:pt>
                <c:pt idx="94">
                  <c:v>2349.9999999999995</c:v>
                </c:pt>
                <c:pt idx="95">
                  <c:v>2375</c:v>
                </c:pt>
                <c:pt idx="96">
                  <c:v>2400</c:v>
                </c:pt>
                <c:pt idx="97">
                  <c:v>2425</c:v>
                </c:pt>
                <c:pt idx="98">
                  <c:v>2450</c:v>
                </c:pt>
                <c:pt idx="99">
                  <c:v>2475</c:v>
                </c:pt>
                <c:pt idx="100">
                  <c:v>2500</c:v>
                </c:pt>
              </c:numCache>
            </c:numRef>
          </c:cat>
          <c:val>
            <c:numRef>
              <c:f>'Calculations - Single'!$CE$5:$CE$105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33CF-4CE8-9C2E-6191AB4D2064}"/>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Single'!$AM$5:$AM$105</c:f>
              <c:numCache>
                <c:formatCode>0</c:formatCode>
                <c:ptCount val="101"/>
                <c:pt idx="0">
                  <c:v>1.0000000000000002E-6</c:v>
                </c:pt>
                <c:pt idx="1">
                  <c:v>25</c:v>
                </c:pt>
                <c:pt idx="2">
                  <c:v>50</c:v>
                </c:pt>
                <c:pt idx="3">
                  <c:v>75</c:v>
                </c:pt>
                <c:pt idx="4">
                  <c:v>100</c:v>
                </c:pt>
                <c:pt idx="5">
                  <c:v>125</c:v>
                </c:pt>
                <c:pt idx="6">
                  <c:v>150</c:v>
                </c:pt>
                <c:pt idx="7">
                  <c:v>175.00000000000003</c:v>
                </c:pt>
                <c:pt idx="8">
                  <c:v>200</c:v>
                </c:pt>
                <c:pt idx="9">
                  <c:v>224.99999999999997</c:v>
                </c:pt>
                <c:pt idx="10">
                  <c:v>250</c:v>
                </c:pt>
                <c:pt idx="11">
                  <c:v>275</c:v>
                </c:pt>
                <c:pt idx="12">
                  <c:v>300</c:v>
                </c:pt>
                <c:pt idx="13">
                  <c:v>325</c:v>
                </c:pt>
                <c:pt idx="14">
                  <c:v>350.00000000000006</c:v>
                </c:pt>
                <c:pt idx="15">
                  <c:v>375</c:v>
                </c:pt>
                <c:pt idx="16">
                  <c:v>400</c:v>
                </c:pt>
                <c:pt idx="17">
                  <c:v>425.00000000000006</c:v>
                </c:pt>
                <c:pt idx="18">
                  <c:v>449.99999999999994</c:v>
                </c:pt>
                <c:pt idx="19">
                  <c:v>475</c:v>
                </c:pt>
                <c:pt idx="20">
                  <c:v>500</c:v>
                </c:pt>
                <c:pt idx="21">
                  <c:v>525</c:v>
                </c:pt>
                <c:pt idx="22">
                  <c:v>550</c:v>
                </c:pt>
                <c:pt idx="23">
                  <c:v>575.00000000000011</c:v>
                </c:pt>
                <c:pt idx="24">
                  <c:v>600</c:v>
                </c:pt>
                <c:pt idx="25">
                  <c:v>625</c:v>
                </c:pt>
                <c:pt idx="26">
                  <c:v>650</c:v>
                </c:pt>
                <c:pt idx="27">
                  <c:v>675</c:v>
                </c:pt>
                <c:pt idx="28">
                  <c:v>700.00000000000011</c:v>
                </c:pt>
                <c:pt idx="29">
                  <c:v>725</c:v>
                </c:pt>
                <c:pt idx="30">
                  <c:v>750</c:v>
                </c:pt>
                <c:pt idx="31">
                  <c:v>775</c:v>
                </c:pt>
                <c:pt idx="32">
                  <c:v>800</c:v>
                </c:pt>
                <c:pt idx="33">
                  <c:v>825.00000000000011</c:v>
                </c:pt>
                <c:pt idx="34">
                  <c:v>850.00000000000011</c:v>
                </c:pt>
                <c:pt idx="35">
                  <c:v>875</c:v>
                </c:pt>
                <c:pt idx="36">
                  <c:v>899.99999999999989</c:v>
                </c:pt>
                <c:pt idx="37">
                  <c:v>925</c:v>
                </c:pt>
                <c:pt idx="38">
                  <c:v>950</c:v>
                </c:pt>
                <c:pt idx="39">
                  <c:v>975.00000000000011</c:v>
                </c:pt>
                <c:pt idx="40">
                  <c:v>1000</c:v>
                </c:pt>
                <c:pt idx="41">
                  <c:v>1025</c:v>
                </c:pt>
                <c:pt idx="42">
                  <c:v>1050</c:v>
                </c:pt>
                <c:pt idx="43">
                  <c:v>1075</c:v>
                </c:pt>
                <c:pt idx="44">
                  <c:v>1100</c:v>
                </c:pt>
                <c:pt idx="45">
                  <c:v>1125</c:v>
                </c:pt>
                <c:pt idx="46">
                  <c:v>1150.0000000000002</c:v>
                </c:pt>
                <c:pt idx="47">
                  <c:v>1174.9999999999998</c:v>
                </c:pt>
                <c:pt idx="48">
                  <c:v>1200</c:v>
                </c:pt>
                <c:pt idx="49">
                  <c:v>1225</c:v>
                </c:pt>
                <c:pt idx="50">
                  <c:v>1250</c:v>
                </c:pt>
                <c:pt idx="51">
                  <c:v>1275</c:v>
                </c:pt>
                <c:pt idx="52">
                  <c:v>1300</c:v>
                </c:pt>
                <c:pt idx="53">
                  <c:v>1325.0000000000002</c:v>
                </c:pt>
                <c:pt idx="54">
                  <c:v>1350</c:v>
                </c:pt>
                <c:pt idx="55">
                  <c:v>1375</c:v>
                </c:pt>
                <c:pt idx="56">
                  <c:v>1400.0000000000002</c:v>
                </c:pt>
                <c:pt idx="57">
                  <c:v>1424.9999999999998</c:v>
                </c:pt>
                <c:pt idx="58">
                  <c:v>1450</c:v>
                </c:pt>
                <c:pt idx="59">
                  <c:v>1474.9999999999998</c:v>
                </c:pt>
                <c:pt idx="60">
                  <c:v>1500</c:v>
                </c:pt>
                <c:pt idx="61">
                  <c:v>1525</c:v>
                </c:pt>
                <c:pt idx="62">
                  <c:v>1550</c:v>
                </c:pt>
                <c:pt idx="63">
                  <c:v>1575</c:v>
                </c:pt>
                <c:pt idx="64">
                  <c:v>1600</c:v>
                </c:pt>
                <c:pt idx="65">
                  <c:v>1625</c:v>
                </c:pt>
                <c:pt idx="66">
                  <c:v>1650.0000000000002</c:v>
                </c:pt>
                <c:pt idx="67">
                  <c:v>1675</c:v>
                </c:pt>
                <c:pt idx="68">
                  <c:v>1700.0000000000002</c:v>
                </c:pt>
                <c:pt idx="69">
                  <c:v>1724.9999999999998</c:v>
                </c:pt>
                <c:pt idx="70">
                  <c:v>1750</c:v>
                </c:pt>
                <c:pt idx="71">
                  <c:v>1775</c:v>
                </c:pt>
                <c:pt idx="72">
                  <c:v>1799.9999999999998</c:v>
                </c:pt>
                <c:pt idx="73">
                  <c:v>1825</c:v>
                </c:pt>
                <c:pt idx="74">
                  <c:v>1850</c:v>
                </c:pt>
                <c:pt idx="75">
                  <c:v>1875</c:v>
                </c:pt>
                <c:pt idx="76">
                  <c:v>1900</c:v>
                </c:pt>
                <c:pt idx="77">
                  <c:v>1925</c:v>
                </c:pt>
                <c:pt idx="78">
                  <c:v>1950.0000000000002</c:v>
                </c:pt>
                <c:pt idx="79">
                  <c:v>1975</c:v>
                </c:pt>
                <c:pt idx="80">
                  <c:v>2000</c:v>
                </c:pt>
                <c:pt idx="81">
                  <c:v>2025.0000000000005</c:v>
                </c:pt>
                <c:pt idx="82">
                  <c:v>2050</c:v>
                </c:pt>
                <c:pt idx="83">
                  <c:v>2074.9999999999995</c:v>
                </c:pt>
                <c:pt idx="84">
                  <c:v>2100</c:v>
                </c:pt>
                <c:pt idx="85">
                  <c:v>2125</c:v>
                </c:pt>
                <c:pt idx="86">
                  <c:v>2150</c:v>
                </c:pt>
                <c:pt idx="87">
                  <c:v>2175</c:v>
                </c:pt>
                <c:pt idx="88">
                  <c:v>2200</c:v>
                </c:pt>
                <c:pt idx="89">
                  <c:v>2225</c:v>
                </c:pt>
                <c:pt idx="90">
                  <c:v>2250</c:v>
                </c:pt>
                <c:pt idx="91">
                  <c:v>2275</c:v>
                </c:pt>
                <c:pt idx="92">
                  <c:v>2300.0000000000005</c:v>
                </c:pt>
                <c:pt idx="93">
                  <c:v>2325</c:v>
                </c:pt>
                <c:pt idx="94">
                  <c:v>2349.9999999999995</c:v>
                </c:pt>
                <c:pt idx="95">
                  <c:v>2375</c:v>
                </c:pt>
                <c:pt idx="96">
                  <c:v>2400</c:v>
                </c:pt>
                <c:pt idx="97">
                  <c:v>2425</c:v>
                </c:pt>
                <c:pt idx="98">
                  <c:v>2450</c:v>
                </c:pt>
                <c:pt idx="99">
                  <c:v>2475</c:v>
                </c:pt>
                <c:pt idx="100">
                  <c:v>2500</c:v>
                </c:pt>
              </c:numCache>
            </c:numRef>
          </c:cat>
          <c:val>
            <c:numRef>
              <c:f>'Calculations - Single'!$CE$216:$CE$316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33CF-4CE8-9C2E-6191AB4D2064}"/>
            </c:ext>
          </c:extLst>
        </c:ser>
        <c:dLbls>
          <c:showLegendKey val="0"/>
          <c:showVal val="0"/>
          <c:showCatName val="0"/>
          <c:showSerName val="0"/>
          <c:showPercent val="0"/>
          <c:showBubbleSize val="0"/>
        </c:dLbls>
        <c:marker val="1"/>
        <c:smooth val="0"/>
        <c:axId val="449006208"/>
        <c:axId val="449020672"/>
      </c:lineChart>
      <c:lineChart>
        <c:grouping val="standard"/>
        <c:varyColors val="0"/>
        <c:ser>
          <c:idx val="6"/>
          <c:order val="6"/>
          <c:spPr>
            <a:ln w="31750">
              <a:solidFill>
                <a:srgbClr val="FF0000"/>
              </a:solidFill>
            </a:ln>
          </c:spPr>
          <c:marker>
            <c:symbol val="none"/>
          </c:marker>
          <c:val>
            <c:numRef>
              <c:f>'Calculations - Single'!$AW$5:$AW$105</c:f>
              <c:numCache>
                <c:formatCode>0.000</c:formatCode>
                <c:ptCount val="101"/>
                <c:pt idx="0">
                  <c:v>6.714288820559999E-3</c:v>
                </c:pt>
                <c:pt idx="1">
                  <c:v>1.5250131972276126E-2</c:v>
                </c:pt>
                <c:pt idx="2">
                  <c:v>3.0500263944552252E-2</c:v>
                </c:pt>
                <c:pt idx="3">
                  <c:v>4.5750395916828369E-2</c:v>
                </c:pt>
                <c:pt idx="4">
                  <c:v>6.1000527889104504E-2</c:v>
                </c:pt>
                <c:pt idx="5">
                  <c:v>7.6250659861380604E-2</c:v>
                </c:pt>
                <c:pt idx="6">
                  <c:v>9.1500791833656739E-2</c:v>
                </c:pt>
                <c:pt idx="7">
                  <c:v>0.10675092380593286</c:v>
                </c:pt>
                <c:pt idx="8">
                  <c:v>0.12200105577820901</c:v>
                </c:pt>
                <c:pt idx="9">
                  <c:v>0.13725118775048509</c:v>
                </c:pt>
                <c:pt idx="10">
                  <c:v>0.15250131972276121</c:v>
                </c:pt>
                <c:pt idx="11">
                  <c:v>0.16775145169503736</c:v>
                </c:pt>
                <c:pt idx="12">
                  <c:v>0.18300158366731348</c:v>
                </c:pt>
                <c:pt idx="13">
                  <c:v>0.19719229060034524</c:v>
                </c:pt>
                <c:pt idx="14">
                  <c:v>0.20465122382992734</c:v>
                </c:pt>
                <c:pt idx="15">
                  <c:v>0.2118492374870713</c:v>
                </c:pt>
                <c:pt idx="16">
                  <c:v>0.21881203237980076</c:v>
                </c:pt>
                <c:pt idx="17">
                  <c:v>0.22556134819636856</c:v>
                </c:pt>
                <c:pt idx="18">
                  <c:v>0.2321157689176904</c:v>
                </c:pt>
                <c:pt idx="19">
                  <c:v>0.23849132916162982</c:v>
                </c:pt>
                <c:pt idx="20">
                  <c:v>0.24470197848344588</c:v>
                </c:pt>
                <c:pt idx="21">
                  <c:v>0.25075994230186055</c:v>
                </c:pt>
                <c:pt idx="22">
                  <c:v>0.25667600626243431</c:v>
                </c:pt>
                <c:pt idx="23">
                  <c:v>0.26245974299968622</c:v>
                </c:pt>
                <c:pt idx="24">
                  <c:v>0.26811969494751919</c:v>
                </c:pt>
                <c:pt idx="25">
                  <c:v>0.27366352318205223</c:v>
                </c:pt>
                <c:pt idx="26">
                  <c:v>0.27909812970640868</c:v>
                </c:pt>
                <c:pt idx="27">
                  <c:v>0.28442975874939008</c:v>
                </c:pt>
                <c:pt idx="28">
                  <c:v>0.28966408131895349</c:v>
                </c:pt>
                <c:pt idx="29">
                  <c:v>0.29480626627432355</c:v>
                </c:pt>
                <c:pt idx="30">
                  <c:v>0.29986104045436751</c:v>
                </c:pt>
                <c:pt idx="31">
                  <c:v>0.30483273985396037</c:v>
                </c:pt>
                <c:pt idx="32">
                  <c:v>0.30972535342533714</c:v>
                </c:pt>
                <c:pt idx="33">
                  <c:v>0.31454256076326748</c:v>
                </c:pt>
                <c:pt idx="34">
                  <c:v>0.31928776468656528</c:v>
                </c:pt>
                <c:pt idx="35">
                  <c:v>0.32396411953611909</c:v>
                </c:pt>
                <c:pt idx="36">
                  <c:v>0.3285745558582655</c:v>
                </c:pt>
                <c:pt idx="37">
                  <c:v>0.33312180202230324</c:v>
                </c:pt>
                <c:pt idx="38">
                  <c:v>0.33760840322511293</c:v>
                </c:pt>
                <c:pt idx="39">
                  <c:v>0.34203673825881892</c:v>
                </c:pt>
                <c:pt idx="40">
                  <c:v>0.34640903435513026</c:v>
                </c:pt>
                <c:pt idx="41">
                  <c:v>0.35072738036931744</c:v>
                </c:pt>
                <c:pt idx="42">
                  <c:v>0.35499373852531951</c:v>
                </c:pt>
                <c:pt idx="43">
                  <c:v>0.35920995490938235</c:v>
                </c:pt>
                <c:pt idx="44">
                  <c:v>0.36337776887144901</c:v>
                </c:pt>
                <c:pt idx="45">
                  <c:v>0.36749882147011975</c:v>
                </c:pt>
                <c:pt idx="46">
                  <c:v>0.37157466307748593</c:v>
                </c:pt>
                <c:pt idx="47">
                  <c:v>0.37560676024378092</c:v>
                </c:pt>
                <c:pt idx="48">
                  <c:v>0.37959650190804417</c:v>
                </c:pt>
                <c:pt idx="49">
                  <c:v>0.38354520502937123</c:v>
                </c:pt>
                <c:pt idx="50">
                  <c:v>0.38745411970347965</c:v>
                </c:pt>
                <c:pt idx="51">
                  <c:v>0.39132443382094456</c:v>
                </c:pt>
                <c:pt idx="52">
                  <c:v>0.3951572773163049</c:v>
                </c:pt>
                <c:pt idx="53">
                  <c:v>0.398953726051122</c:v>
                </c:pt>
                <c:pt idx="54">
                  <c:v>0.40271480536880816</c:v>
                </c:pt>
                <c:pt idx="55">
                  <c:v>0.40644149335451274</c:v>
                </c:pt>
                <c:pt idx="56">
                  <c:v>0.41013472382943472</c:v>
                </c:pt>
                <c:pt idx="57">
                  <c:v>0.41379538910553498</c:v>
                </c:pt>
                <c:pt idx="58">
                  <c:v>0.41742434252367439</c:v>
                </c:pt>
                <c:pt idx="59">
                  <c:v>0.42102240079562953</c:v>
                </c:pt>
                <c:pt idx="60">
                  <c:v>0.4245903461681993</c:v>
                </c:pt>
                <c:pt idx="61">
                  <c:v>0.4281289284256431</c:v>
                </c:pt>
                <c:pt idx="62">
                  <c:v>0.43163886674497409</c:v>
                </c:pt>
                <c:pt idx="63">
                  <c:v>0.43512085141710993</c:v>
                </c:pt>
                <c:pt idx="64">
                  <c:v>0.43857554544554711</c:v>
                </c:pt>
                <c:pt idx="65">
                  <c:v>0.4420035860330474</c:v>
                </c:pt>
                <c:pt idx="66">
                  <c:v>0.44540558596577712</c:v>
                </c:pt>
                <c:pt idx="67">
                  <c:v>0.44878213490341257</c:v>
                </c:pt>
                <c:pt idx="68">
                  <c:v>0.45213380058290681</c:v>
                </c:pt>
                <c:pt idx="69">
                  <c:v>0.45546112994287352</c:v>
                </c:pt>
                <c:pt idx="70">
                  <c:v>0.45876465017489593</c:v>
                </c:pt>
                <c:pt idx="71">
                  <c:v>0.4620448697074826</c:v>
                </c:pt>
                <c:pt idx="72">
                  <c:v>0.46530227912786903</c:v>
                </c:pt>
                <c:pt idx="73">
                  <c:v>0.46853735204639863</c:v>
                </c:pt>
                <c:pt idx="74">
                  <c:v>0.47175054590779519</c:v>
                </c:pt>
                <c:pt idx="75">
                  <c:v>0.47494230275325933</c:v>
                </c:pt>
                <c:pt idx="76">
                  <c:v>0.47811304993698756</c:v>
                </c:pt>
                <c:pt idx="77">
                  <c:v>0.48126320080039725</c:v>
                </c:pt>
                <c:pt idx="78">
                  <c:v>0.484393155307074</c:v>
                </c:pt>
                <c:pt idx="79">
                  <c:v>0.48658004721615344</c:v>
                </c:pt>
                <c:pt idx="80">
                  <c:v>0.48395571271194116</c:v>
                </c:pt>
                <c:pt idx="81">
                  <c:v>0.48137306924007395</c:v>
                </c:pt>
                <c:pt idx="82">
                  <c:v>0.47883659369329462</c:v>
                </c:pt>
                <c:pt idx="83">
                  <c:v>0.4763471695831421</c:v>
                </c:pt>
                <c:pt idx="84">
                  <c:v>0.47389638223285929</c:v>
                </c:pt>
                <c:pt idx="85">
                  <c:v>0.47216856721628098</c:v>
                </c:pt>
                <c:pt idx="86">
                  <c:v>0.47254062681213055</c:v>
                </c:pt>
                <c:pt idx="87">
                  <c:v>0.4729160492695863</c:v>
                </c:pt>
                <c:pt idx="88">
                  <c:v>0.47327752891722619</c:v>
                </c:pt>
                <c:pt idx="89">
                  <c:v>0.47363177334634132</c:v>
                </c:pt>
                <c:pt idx="90">
                  <c:v>0.47397900876657811</c:v>
                </c:pt>
                <c:pt idx="91">
                  <c:v>0.47431945205539261</c:v>
                </c:pt>
                <c:pt idx="92">
                  <c:v>0.47465331123438309</c:v>
                </c:pt>
                <c:pt idx="93">
                  <c:v>0.47498078591674053</c:v>
                </c:pt>
                <c:pt idx="94">
                  <c:v>0.47530206772784267</c:v>
                </c:pt>
                <c:pt idx="95">
                  <c:v>0.47561734070085088</c:v>
                </c:pt>
                <c:pt idx="96">
                  <c:v>0.47592678164902774</c:v>
                </c:pt>
                <c:pt idx="97">
                  <c:v>0.47623056051635704</c:v>
                </c:pt>
                <c:pt idx="98">
                  <c:v>0.47652884070792906</c:v>
                </c:pt>
                <c:pt idx="99">
                  <c:v>0.47682177940143744</c:v>
                </c:pt>
                <c:pt idx="100">
                  <c:v>0.47710952784103916</c:v>
                </c:pt>
              </c:numCache>
            </c:numRef>
          </c:val>
          <c:smooth val="0"/>
          <c:extLst>
            <c:ext xmlns:c16="http://schemas.microsoft.com/office/drawing/2014/chart" uri="{C3380CC4-5D6E-409C-BE32-E72D297353CC}">
              <c16:uniqueId val="{00000006-33CF-4CE8-9C2E-6191AB4D2064}"/>
            </c:ext>
          </c:extLst>
        </c:ser>
        <c:ser>
          <c:idx val="7"/>
          <c:order val="7"/>
          <c:spPr>
            <a:ln w="31750">
              <a:solidFill>
                <a:srgbClr val="00B050"/>
              </a:solidFill>
            </a:ln>
          </c:spPr>
          <c:marker>
            <c:symbol val="none"/>
          </c:marker>
          <c:val>
            <c:numRef>
              <c:f>'Calculations - Single'!$AW$110:$AW$210</c:f>
              <c:numCache>
                <c:formatCode>0.000</c:formatCode>
                <c:ptCount val="101"/>
                <c:pt idx="0">
                  <c:v>9.8947435881428618E-3</c:v>
                </c:pt>
                <c:pt idx="1">
                  <c:v>2.2490274603662784E-2</c:v>
                </c:pt>
                <c:pt idx="2">
                  <c:v>4.4980549207325568E-2</c:v>
                </c:pt>
                <c:pt idx="3">
                  <c:v>6.7470823810988345E-2</c:v>
                </c:pt>
                <c:pt idx="4">
                  <c:v>8.9961098414651136E-2</c:v>
                </c:pt>
                <c:pt idx="5">
                  <c:v>0.11245137301831389</c:v>
                </c:pt>
                <c:pt idx="6">
                  <c:v>0.13494164762197669</c:v>
                </c:pt>
                <c:pt idx="7">
                  <c:v>0.15743192222563945</c:v>
                </c:pt>
                <c:pt idx="8">
                  <c:v>0.17992219682930227</c:v>
                </c:pt>
                <c:pt idx="9">
                  <c:v>0.20241247143296501</c:v>
                </c:pt>
                <c:pt idx="10">
                  <c:v>0.22490274603662777</c:v>
                </c:pt>
                <c:pt idx="11">
                  <c:v>0.24739302064029056</c:v>
                </c:pt>
                <c:pt idx="12">
                  <c:v>0.26988329524395338</c:v>
                </c:pt>
                <c:pt idx="13">
                  <c:v>0.29081222947367219</c:v>
                </c:pt>
                <c:pt idx="14">
                  <c:v>0.30182076787554724</c:v>
                </c:pt>
                <c:pt idx="15">
                  <c:v>0.31244479709422091</c:v>
                </c:pt>
                <c:pt idx="16">
                  <c:v>0.32272219187434742</c:v>
                </c:pt>
                <c:pt idx="17">
                  <c:v>0.33268498953335851</c:v>
                </c:pt>
                <c:pt idx="18">
                  <c:v>0.34236057688318872</c:v>
                </c:pt>
                <c:pt idx="19">
                  <c:v>0.35177258378877979</c:v>
                </c:pt>
                <c:pt idx="20">
                  <c:v>0.36094156739910593</c:v>
                </c:pt>
                <c:pt idx="21">
                  <c:v>0.36988554403722207</c:v>
                </c:pt>
                <c:pt idx="22">
                  <c:v>0.37862040826125115</c:v>
                </c:pt>
                <c:pt idx="23">
                  <c:v>0.38716026703944406</c:v>
                </c:pt>
                <c:pt idx="24">
                  <c:v>0.39551770915442847</c:v>
                </c:pt>
                <c:pt idx="25">
                  <c:v>0.40370402455003906</c:v>
                </c:pt>
                <c:pt idx="26">
                  <c:v>0.41172938454004898</c:v>
                </c:pt>
                <c:pt idx="27">
                  <c:v>0.41960299109005306</c:v>
                </c:pt>
                <c:pt idx="28">
                  <c:v>0.42733320142227033</c:v>
                </c:pt>
                <c:pt idx="29">
                  <c:v>0.43492763275311008</c:v>
                </c:pt>
                <c:pt idx="30">
                  <c:v>0.44239325090316139</c:v>
                </c:pt>
                <c:pt idx="31">
                  <c:v>0.44973644571477539</c:v>
                </c:pt>
                <c:pt idx="32">
                  <c:v>0.45696309560123222</c:v>
                </c:pt>
                <c:pt idx="33">
                  <c:v>0.46407862308261616</c:v>
                </c:pt>
                <c:pt idx="34">
                  <c:v>0.47108804280051736</c:v>
                </c:pt>
                <c:pt idx="35">
                  <c:v>0.47799600322025509</c:v>
                </c:pt>
                <c:pt idx="36">
                  <c:v>0.48480682300625016</c:v>
                </c:pt>
                <c:pt idx="37">
                  <c:v>0.49152452287930321</c:v>
                </c:pt>
                <c:pt idx="38">
                  <c:v>0.49815285362330086</c:v>
                </c:pt>
                <c:pt idx="39">
                  <c:v>0.50469532079536306</c:v>
                </c:pt>
                <c:pt idx="40">
                  <c:v>0.51115520660162905</c:v>
                </c:pt>
                <c:pt idx="41">
                  <c:v>0.51753558932620114</c:v>
                </c:pt>
                <c:pt idx="42">
                  <c:v>0.52383936063965308</c:v>
                </c:pt>
                <c:pt idx="43">
                  <c:v>0.53006924106327502</c:v>
                </c:pt>
                <c:pt idx="44">
                  <c:v>0.53622779382369623</c:v>
                </c:pt>
                <c:pt idx="45">
                  <c:v>0.54231743729803461</c:v>
                </c:pt>
                <c:pt idx="46">
                  <c:v>0.54834045622097161</c:v>
                </c:pt>
                <c:pt idx="47">
                  <c:v>0.55429901180103291</c:v>
                </c:pt>
                <c:pt idx="48">
                  <c:v>0.56019515087310467</c:v>
                </c:pt>
                <c:pt idx="49">
                  <c:v>0.56603081419707735</c:v>
                </c:pt>
                <c:pt idx="50">
                  <c:v>0.57180784399801243</c:v>
                </c:pt>
                <c:pt idx="51">
                  <c:v>0.57752799083087614</c:v>
                </c:pt>
                <c:pt idx="52">
                  <c:v>0.57585551058841788</c:v>
                </c:pt>
                <c:pt idx="53">
                  <c:v>0.57114165576339782</c:v>
                </c:pt>
                <c:pt idx="54">
                  <c:v>0.56654958750458062</c:v>
                </c:pt>
                <c:pt idx="55">
                  <c:v>0.56206907572192899</c:v>
                </c:pt>
                <c:pt idx="56">
                  <c:v>0.56204452111467329</c:v>
                </c:pt>
                <c:pt idx="57">
                  <c:v>0.56272443297741637</c:v>
                </c:pt>
                <c:pt idx="58">
                  <c:v>0.56337023062324509</c:v>
                </c:pt>
                <c:pt idx="59">
                  <c:v>0.56399637907838851</c:v>
                </c:pt>
                <c:pt idx="60">
                  <c:v>0.56460380109419561</c:v>
                </c:pt>
                <c:pt idx="61">
                  <c:v>0.56519336253697328</c:v>
                </c:pt>
                <c:pt idx="62">
                  <c:v>0.56576587670495437</c:v>
                </c:pt>
                <c:pt idx="63">
                  <c:v>0.5663221082580101</c:v>
                </c:pt>
                <c:pt idx="64">
                  <c:v>0.56686277680003672</c:v>
                </c:pt>
                <c:pt idx="65">
                  <c:v>0.56738856014931471</c:v>
                </c:pt>
                <c:pt idx="66">
                  <c:v>0.56790009732809088</c:v>
                </c:pt>
                <c:pt idx="67">
                  <c:v>0.56839799129910984</c:v>
                </c:pt>
                <c:pt idx="68">
                  <c:v>0.56888281147374131</c:v>
                </c:pt>
                <c:pt idx="69">
                  <c:v>0.56935509601363254</c:v>
                </c:pt>
                <c:pt idx="70">
                  <c:v>0.56981535394545269</c:v>
                </c:pt>
                <c:pt idx="71">
                  <c:v>0.57026406710619859</c:v>
                </c:pt>
                <c:pt idx="72">
                  <c:v>0.57070169193469189</c:v>
                </c:pt>
                <c:pt idx="73">
                  <c:v>0.57112866112326943</c:v>
                </c:pt>
                <c:pt idx="74">
                  <c:v>0.57154538514223641</c:v>
                </c:pt>
                <c:pt idx="75">
                  <c:v>0.57195225364836788</c:v>
                </c:pt>
                <c:pt idx="76">
                  <c:v>0.5723496367876213</c:v>
                </c:pt>
                <c:pt idx="77">
                  <c:v>0.57273788640121592</c:v>
                </c:pt>
                <c:pt idx="78">
                  <c:v>0.57311733714333901</c:v>
                </c:pt>
                <c:pt idx="79">
                  <c:v>0.573488307517941</c:v>
                </c:pt>
                <c:pt idx="80">
                  <c:v>0.57385110084137358</c:v>
                </c:pt>
                <c:pt idx="81">
                  <c:v>0.5742060061369858</c:v>
                </c:pt>
                <c:pt idx="82">
                  <c:v>0.57455329896722118</c:v>
                </c:pt>
                <c:pt idx="83">
                  <c:v>0.57489324220825511</c:v>
                </c:pt>
                <c:pt idx="84">
                  <c:v>0.57522608677174625</c:v>
                </c:pt>
                <c:pt idx="85">
                  <c:v>0.57555207227786709</c:v>
                </c:pt>
                <c:pt idx="86">
                  <c:v>0.57587142768341026</c:v>
                </c:pt>
                <c:pt idx="87">
                  <c:v>0.57618437186842753</c:v>
                </c:pt>
                <c:pt idx="88">
                  <c:v>0.57649111418456289</c:v>
                </c:pt>
                <c:pt idx="89">
                  <c:v>0.57679185496796415</c:v>
                </c:pt>
                <c:pt idx="90">
                  <c:v>0.57708678601941832</c:v>
                </c:pt>
                <c:pt idx="91">
                  <c:v>0.57737609105412302</c:v>
                </c:pt>
                <c:pt idx="92">
                  <c:v>0.57765994612331495</c:v>
                </c:pt>
                <c:pt idx="93">
                  <c:v>0.57793852000978796</c:v>
                </c:pt>
                <c:pt idx="94">
                  <c:v>0.57821197459916551</c:v>
                </c:pt>
                <c:pt idx="95">
                  <c:v>0.57848046522864816</c:v>
                </c:pt>
                <c:pt idx="96">
                  <c:v>0.57874414101480987</c:v>
                </c:pt>
                <c:pt idx="97">
                  <c:v>0.57900314516190032</c:v>
                </c:pt>
                <c:pt idx="98">
                  <c:v>0.57925761525199082</c:v>
                </c:pt>
                <c:pt idx="99">
                  <c:v>0.57950768351820048</c:v>
                </c:pt>
                <c:pt idx="100">
                  <c:v>0.57975347710214153</c:v>
                </c:pt>
              </c:numCache>
            </c:numRef>
          </c:val>
          <c:smooth val="0"/>
          <c:extLst>
            <c:ext xmlns:c16="http://schemas.microsoft.com/office/drawing/2014/chart" uri="{C3380CC4-5D6E-409C-BE32-E72D297353CC}">
              <c16:uniqueId val="{00000007-33CF-4CE8-9C2E-6191AB4D2064}"/>
            </c:ext>
          </c:extLst>
        </c:ser>
        <c:ser>
          <c:idx val="8"/>
          <c:order val="8"/>
          <c:spPr>
            <a:ln w="31750">
              <a:solidFill>
                <a:srgbClr val="0000FF"/>
              </a:solidFill>
            </a:ln>
          </c:spPr>
          <c:marker>
            <c:symbol val="none"/>
          </c:marker>
          <c:val>
            <c:numRef>
              <c:f>'Calculations - Single'!$AW$216:$AW$316</c:f>
              <c:numCache>
                <c:formatCode>0.000</c:formatCode>
                <c:ptCount val="101"/>
                <c:pt idx="0">
                  <c:v>4.7000015220741891E-3</c:v>
                </c:pt>
                <c:pt idx="1">
                  <c:v>1.0670165815552546E-2</c:v>
                </c:pt>
                <c:pt idx="2">
                  <c:v>2.1340331631105092E-2</c:v>
                </c:pt>
                <c:pt idx="3">
                  <c:v>3.2010497446657633E-2</c:v>
                </c:pt>
                <c:pt idx="4">
                  <c:v>4.2680663262210185E-2</c:v>
                </c:pt>
                <c:pt idx="5">
                  <c:v>5.3350829077762715E-2</c:v>
                </c:pt>
                <c:pt idx="6">
                  <c:v>6.4020994893315267E-2</c:v>
                </c:pt>
                <c:pt idx="7">
                  <c:v>7.4691160708867818E-2</c:v>
                </c:pt>
                <c:pt idx="8">
                  <c:v>8.5361326524420369E-2</c:v>
                </c:pt>
                <c:pt idx="9">
                  <c:v>9.6031492339972893E-2</c:v>
                </c:pt>
                <c:pt idx="10">
                  <c:v>0.10670165815552543</c:v>
                </c:pt>
                <c:pt idx="11">
                  <c:v>0.11737182397107798</c:v>
                </c:pt>
                <c:pt idx="12">
                  <c:v>0.12804198978663053</c:v>
                </c:pt>
                <c:pt idx="13">
                  <c:v>0.13797058322004191</c:v>
                </c:pt>
                <c:pt idx="14">
                  <c:v>0.14318690394136252</c:v>
                </c:pt>
                <c:pt idx="15">
                  <c:v>0.14822058012852854</c:v>
                </c:pt>
                <c:pt idx="16">
                  <c:v>0.1530896023752899</c:v>
                </c:pt>
                <c:pt idx="17">
                  <c:v>0.15780918848887152</c:v>
                </c:pt>
                <c:pt idx="18">
                  <c:v>0.16239234727907909</c:v>
                </c:pt>
                <c:pt idx="19">
                  <c:v>0.16685030299962067</c:v>
                </c:pt>
                <c:pt idx="20">
                  <c:v>0.17119282035868233</c:v>
                </c:pt>
                <c:pt idx="21">
                  <c:v>0.17542845716739053</c:v>
                </c:pt>
                <c:pt idx="22">
                  <c:v>0.17956476339435462</c:v>
                </c:pt>
                <c:pt idx="23">
                  <c:v>0.18360843989930045</c:v>
                </c:pt>
                <c:pt idx="24">
                  <c:v>0.18756546640049532</c:v>
                </c:pt>
                <c:pt idx="25">
                  <c:v>0.19144120566483913</c:v>
                </c:pt>
                <c:pt idx="26">
                  <c:v>0.19524048910730879</c:v>
                </c:pt>
                <c:pt idx="27">
                  <c:v>0.19896768770010997</c:v>
                </c:pt>
                <c:pt idx="28">
                  <c:v>0.2026267711601816</c:v>
                </c:pt>
                <c:pt idx="29">
                  <c:v>0.20622135769973465</c:v>
                </c:pt>
                <c:pt idx="30">
                  <c:v>0.20975475611616881</c:v>
                </c:pt>
                <c:pt idx="31">
                  <c:v>0.21323000161557479</c:v>
                </c:pt>
                <c:pt idx="32">
                  <c:v>0.21664988647372274</c:v>
                </c:pt>
                <c:pt idx="33">
                  <c:v>0.22001698641572218</c:v>
                </c:pt>
                <c:pt idx="34">
                  <c:v>0.22333368342311152</c:v>
                </c:pt>
                <c:pt idx="35">
                  <c:v>0.22660218554250935</c:v>
                </c:pt>
                <c:pt idx="36">
                  <c:v>0.22982454416400258</c:v>
                </c:pt>
                <c:pt idx="37">
                  <c:v>0.23300266915343038</c:v>
                </c:pt>
                <c:pt idx="38">
                  <c:v>0.23613834215563989</c:v>
                </c:pt>
                <c:pt idx="39">
                  <c:v>0.2392332283318695</c:v>
                </c:pt>
                <c:pt idx="40">
                  <c:v>0.24228888675080537</c:v>
                </c:pt>
                <c:pt idx="41">
                  <c:v>0.24530677961738168</c:v>
                </c:pt>
                <c:pt idx="42">
                  <c:v>0.24828828049437074</c:v>
                </c:pt>
                <c:pt idx="43">
                  <c:v>0.25123468164794333</c:v>
                </c:pt>
                <c:pt idx="44">
                  <c:v>0.2541472006286547</c:v>
                </c:pt>
                <c:pt idx="45">
                  <c:v>0.25702698618292841</c:v>
                </c:pt>
                <c:pt idx="46">
                  <c:v>0.25987512357645054</c:v>
                </c:pt>
                <c:pt idx="47">
                  <c:v>0.26269263939943527</c:v>
                </c:pt>
                <c:pt idx="48">
                  <c:v>0.265480505914099</c:v>
                </c:pt>
                <c:pt idx="49">
                  <c:v>0.26823964499654362</c:v>
                </c:pt>
                <c:pt idx="50">
                  <c:v>0.27097093171836106</c:v>
                </c:pt>
                <c:pt idx="51">
                  <c:v>0.27367519760740461</c:v>
                </c:pt>
                <c:pt idx="52">
                  <c:v>0.27635323362217107</c:v>
                </c:pt>
                <c:pt idx="53">
                  <c:v>0.27900579286994759</c:v>
                </c:pt>
                <c:pt idx="54">
                  <c:v>0.28163359309519753</c:v>
                </c:pt>
                <c:pt idx="55">
                  <c:v>0.28423731896148663</c:v>
                </c:pt>
                <c:pt idx="56">
                  <c:v>0.28681762414750678</c:v>
                </c:pt>
                <c:pt idx="57">
                  <c:v>0.28937513327537945</c:v>
                </c:pt>
                <c:pt idx="58">
                  <c:v>0.29191044368735702</c:v>
                </c:pt>
                <c:pt idx="59">
                  <c:v>0.29442412708523813</c:v>
                </c:pt>
                <c:pt idx="60">
                  <c:v>0.29691673104524607</c:v>
                </c:pt>
                <c:pt idx="61">
                  <c:v>0.29938878041973982</c:v>
                </c:pt>
                <c:pt idx="62">
                  <c:v>0.30184077863592218</c:v>
                </c:pt>
                <c:pt idx="63">
                  <c:v>0.30427320890064946</c:v>
                </c:pt>
                <c:pt idx="64">
                  <c:v>0.30668653531950596</c:v>
                </c:pt>
                <c:pt idx="65">
                  <c:v>0.30908120393748811</c:v>
                </c:pt>
                <c:pt idx="66">
                  <c:v>0.31145764370790452</c:v>
                </c:pt>
                <c:pt idx="67">
                  <c:v>0.31381626739545243</c:v>
                </c:pt>
                <c:pt idx="68">
                  <c:v>0.316157472418857</c:v>
                </c:pt>
                <c:pt idx="69">
                  <c:v>0.31848164163794285</c:v>
                </c:pt>
                <c:pt idx="70">
                  <c:v>0.32078914408955195</c:v>
                </c:pt>
                <c:pt idx="71">
                  <c:v>0.32308033567631533</c:v>
                </c:pt>
                <c:pt idx="72">
                  <c:v>0.32535555981191638</c:v>
                </c:pt>
                <c:pt idx="73">
                  <c:v>0.32761514802615893</c:v>
                </c:pt>
                <c:pt idx="74">
                  <c:v>0.32985942053286021</c:v>
                </c:pt>
                <c:pt idx="75">
                  <c:v>0.3320886867633206</c:v>
                </c:pt>
                <c:pt idx="76">
                  <c:v>0.33430324586788768</c:v>
                </c:pt>
                <c:pt idx="77">
                  <c:v>0.33650338718791645</c:v>
                </c:pt>
                <c:pt idx="78">
                  <c:v>0.3386893907002328</c:v>
                </c:pt>
                <c:pt idx="79">
                  <c:v>0.34086152743603521</c:v>
                </c:pt>
                <c:pt idx="80">
                  <c:v>0.34302005987600531</c:v>
                </c:pt>
                <c:pt idx="81">
                  <c:v>0.34516524232326251</c:v>
                </c:pt>
                <c:pt idx="82">
                  <c:v>0.3472973212556591</c:v>
                </c:pt>
                <c:pt idx="83">
                  <c:v>0.34941653565879904</c:v>
                </c:pt>
                <c:pt idx="84">
                  <c:v>0.35152311734105429</c:v>
                </c:pt>
                <c:pt idx="85">
                  <c:v>0.35361729123175306</c:v>
                </c:pt>
                <c:pt idx="86">
                  <c:v>0.35569927566362675</c:v>
                </c:pt>
                <c:pt idx="87">
                  <c:v>0.35776928264051944</c:v>
                </c:pt>
                <c:pt idx="88">
                  <c:v>0.35982751809128799</c:v>
                </c:pt>
                <c:pt idx="89">
                  <c:v>0.36187418211075423</c:v>
                </c:pt>
                <c:pt idx="90">
                  <c:v>0.36390946918850819</c:v>
                </c:pt>
                <c:pt idx="91">
                  <c:v>0.36593356842630098</c:v>
                </c:pt>
                <c:pt idx="92">
                  <c:v>0.36794666374471602</c:v>
                </c:pt>
                <c:pt idx="93">
                  <c:v>0.36994893407975821</c:v>
                </c:pt>
                <c:pt idx="94">
                  <c:v>0.37194055356995537</c:v>
                </c:pt>
                <c:pt idx="95">
                  <c:v>0.37392169173452577</c:v>
                </c:pt>
                <c:pt idx="96">
                  <c:v>0.37589251364312759</c:v>
                </c:pt>
                <c:pt idx="97">
                  <c:v>0.3778531800776711</c:v>
                </c:pt>
                <c:pt idx="98">
                  <c:v>0.37980384768664366</c:v>
                </c:pt>
                <c:pt idx="99">
                  <c:v>0.38174466913236499</c:v>
                </c:pt>
                <c:pt idx="100">
                  <c:v>0.38367579323156575</c:v>
                </c:pt>
              </c:numCache>
            </c:numRef>
          </c:val>
          <c:smooth val="0"/>
          <c:extLst>
            <c:ext xmlns:c16="http://schemas.microsoft.com/office/drawing/2014/chart" uri="{C3380CC4-5D6E-409C-BE32-E72D297353CC}">
              <c16:uniqueId val="{00000008-33CF-4CE8-9C2E-6191AB4D2064}"/>
            </c:ext>
          </c:extLst>
        </c:ser>
        <c:dLbls>
          <c:showLegendKey val="0"/>
          <c:showVal val="0"/>
          <c:showCatName val="0"/>
          <c:showSerName val="0"/>
          <c:showPercent val="0"/>
          <c:showBubbleSize val="0"/>
        </c:dLbls>
        <c:marker val="1"/>
        <c:smooth val="0"/>
        <c:axId val="449032960"/>
        <c:axId val="449022592"/>
      </c:lineChart>
      <c:catAx>
        <c:axId val="449006208"/>
        <c:scaling>
          <c:orientation val="minMax"/>
        </c:scaling>
        <c:delete val="0"/>
        <c:axPos val="b"/>
        <c:majorGridlines>
          <c:spPr>
            <a:ln w="15875">
              <a:solidFill>
                <a:srgbClr val="969696"/>
              </a:solidFill>
              <a:prstDash val="sysDash"/>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400">
                    <a:solidFill>
                      <a:schemeClr val="tx1"/>
                    </a:solidFill>
                    <a:latin typeface="Arial" pitchFamily="34" charset="0"/>
                    <a:cs typeface="Arial" pitchFamily="34" charset="0"/>
                  </a:rPr>
                  <a:t>Load Current (mA)</a:t>
                </a:r>
              </a:p>
            </c:rich>
          </c:tx>
          <c:layout>
            <c:manualLayout>
              <c:xMode val="edge"/>
              <c:yMode val="edge"/>
              <c:x val="0.4112305719849535"/>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020672"/>
        <c:crosses val="autoZero"/>
        <c:auto val="1"/>
        <c:lblAlgn val="ctr"/>
        <c:lblOffset val="100"/>
        <c:tickLblSkip val="20"/>
        <c:tickMarkSkip val="10"/>
        <c:noMultiLvlLbl val="0"/>
      </c:catAx>
      <c:valAx>
        <c:axId val="449020672"/>
        <c:scaling>
          <c:orientation val="minMax"/>
          <c:max val="400"/>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400" b="1">
                    <a:solidFill>
                      <a:schemeClr val="tx1"/>
                    </a:solidFill>
                    <a:latin typeface="Arial" pitchFamily="34" charset="0"/>
                    <a:cs typeface="Arial" pitchFamily="34" charset="0"/>
                  </a:rPr>
                  <a:t>Switching</a:t>
                </a:r>
                <a:r>
                  <a:rPr lang="en-US" sz="1400" b="1" baseline="0">
                    <a:solidFill>
                      <a:schemeClr val="tx1"/>
                    </a:solidFill>
                    <a:latin typeface="Arial" pitchFamily="34" charset="0"/>
                    <a:cs typeface="Arial" pitchFamily="34" charset="0"/>
                  </a:rPr>
                  <a:t> Frquency (kHz)</a:t>
                </a:r>
                <a:endParaRPr lang="en-US" sz="1400" b="1">
                  <a:solidFill>
                    <a:schemeClr val="tx1"/>
                  </a:solidFill>
                  <a:latin typeface="Arial" pitchFamily="34" charset="0"/>
                  <a:cs typeface="Arial" pitchFamily="34" charset="0"/>
                </a:endParaRPr>
              </a:p>
            </c:rich>
          </c:tx>
          <c:layout>
            <c:manualLayout>
              <c:xMode val="edge"/>
              <c:yMode val="edge"/>
              <c:x val="8.5568268367748525E-3"/>
              <c:y val="0.30050661099568304"/>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006208"/>
        <c:crossesAt val="0"/>
        <c:crossBetween val="between"/>
        <c:majorUnit val="50"/>
        <c:minorUnit val="25"/>
      </c:valAx>
      <c:valAx>
        <c:axId val="449022592"/>
        <c:scaling>
          <c:orientation val="minMax"/>
          <c:min val="0"/>
        </c:scaling>
        <c:delete val="0"/>
        <c:axPos val="r"/>
        <c:title>
          <c:tx>
            <c:rich>
              <a:bodyPr rot="-5400000" vert="horz"/>
              <a:lstStyle/>
              <a:p>
                <a:pPr>
                  <a:defRPr lang="ja-JP" sz="1400" b="1"/>
                </a:pPr>
                <a:r>
                  <a:rPr lang="en-US" sz="1400" b="1"/>
                  <a:t>Duty Cycle</a:t>
                </a:r>
              </a:p>
            </c:rich>
          </c:tx>
          <c:layout>
            <c:manualLayout>
              <c:xMode val="edge"/>
              <c:yMode val="edge"/>
              <c:x val="0.96323100741439582"/>
              <c:y val="0.41073169332818471"/>
            </c:manualLayout>
          </c:layout>
          <c:overlay val="0"/>
        </c:title>
        <c:numFmt formatCode="General" sourceLinked="0"/>
        <c:majorTickMark val="in"/>
        <c:minorTickMark val="in"/>
        <c:tickLblPos val="nextTo"/>
        <c:txPr>
          <a:bodyPr/>
          <a:lstStyle/>
          <a:p>
            <a:pPr>
              <a:defRPr lang="ja-JP" sz="1200" b="1"/>
            </a:pPr>
            <a:endParaRPr lang="en-US"/>
          </a:p>
        </c:txPr>
        <c:crossAx val="449032960"/>
        <c:crosses val="max"/>
        <c:crossBetween val="between"/>
        <c:majorUnit val="0.1"/>
        <c:minorUnit val="2.0000000000000004E-2"/>
      </c:valAx>
      <c:catAx>
        <c:axId val="449032960"/>
        <c:scaling>
          <c:orientation val="minMax"/>
        </c:scaling>
        <c:delete val="1"/>
        <c:axPos val="b"/>
        <c:majorTickMark val="out"/>
        <c:minorTickMark val="none"/>
        <c:tickLblPos val="nextTo"/>
        <c:crossAx val="449022592"/>
        <c:crosses val="autoZero"/>
        <c:auto val="1"/>
        <c:lblAlgn val="ctr"/>
        <c:lblOffset val="100"/>
        <c:noMultiLvlLbl val="0"/>
      </c:catAx>
      <c:spPr>
        <a:solidFill>
          <a:srgbClr val="FFFFFF"/>
        </a:solidFill>
        <a:ln w="25400">
          <a:noFill/>
        </a:ln>
      </c:spPr>
    </c:plotArea>
    <c:legend>
      <c:legendPos val="t"/>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ayout>
        <c:manualLayout>
          <c:xMode val="edge"/>
          <c:yMode val="edge"/>
          <c:x val="0.21364188347424315"/>
          <c:y val="3.4655227110648466E-2"/>
          <c:w val="0.56362386153343735"/>
          <c:h val="5.4335766847817754E-2"/>
        </c:manualLayout>
      </c:layout>
      <c:overlay val="0"/>
      <c:spPr>
        <a:solidFill>
          <a:srgbClr val="FFFFFF"/>
        </a:solidFill>
        <a:ln w="25400">
          <a:noFill/>
        </a:ln>
      </c:spPr>
      <c:txPr>
        <a:bodyPr/>
        <a:lstStyle/>
        <a:p>
          <a:pPr>
            <a:defRPr lang="ja-JP" sz="1400" b="1"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Single'!$AJ$110:$AJ$210</c:f>
              <c:numCache>
                <c:formatCode>0.000</c:formatCode>
                <c:ptCount val="101"/>
                <c:pt idx="0">
                  <c:v>3.3333333333333335</c:v>
                </c:pt>
                <c:pt idx="1">
                  <c:v>3.3333333333333335</c:v>
                </c:pt>
                <c:pt idx="2">
                  <c:v>3.3333333333333335</c:v>
                </c:pt>
                <c:pt idx="3">
                  <c:v>3.3333333333333335</c:v>
                </c:pt>
                <c:pt idx="4">
                  <c:v>3.3333333333333335</c:v>
                </c:pt>
                <c:pt idx="5">
                  <c:v>3.3333333333333335</c:v>
                </c:pt>
                <c:pt idx="6">
                  <c:v>3.3333333333333335</c:v>
                </c:pt>
                <c:pt idx="7">
                  <c:v>3.3333333333333335</c:v>
                </c:pt>
                <c:pt idx="8">
                  <c:v>3.3333333333333335</c:v>
                </c:pt>
                <c:pt idx="9">
                  <c:v>3.3333333333333335</c:v>
                </c:pt>
                <c:pt idx="10">
                  <c:v>3.3333333333333335</c:v>
                </c:pt>
                <c:pt idx="11">
                  <c:v>3.3333333333333335</c:v>
                </c:pt>
                <c:pt idx="12">
                  <c:v>3.3333333333333335</c:v>
                </c:pt>
                <c:pt idx="13">
                  <c:v>3.3512810564026738</c:v>
                </c:pt>
                <c:pt idx="14">
                  <c:v>3.4778424817182247</c:v>
                </c:pt>
                <c:pt idx="15">
                  <c:v>3.599962679393391</c:v>
                </c:pt>
                <c:pt idx="16">
                  <c:v>3.7180791114584606</c:v>
                </c:pt>
                <c:pt idx="17">
                  <c:v>3.8325618164883295</c:v>
                </c:pt>
                <c:pt idx="18">
                  <c:v>3.9437271187712986</c:v>
                </c:pt>
                <c:pt idx="19">
                  <c:v>4.0518479490796731</c:v>
                </c:pt>
                <c:pt idx="20">
                  <c:v>4.1571617476697851</c:v>
                </c:pt>
                <c:pt idx="21">
                  <c:v>4.2598766077156682</c:v>
                </c:pt>
                <c:pt idx="22">
                  <c:v>4.3601761155460643</c:v>
                </c:pt>
                <c:pt idx="23">
                  <c:v>4.4582232104330322</c:v>
                </c:pt>
                <c:pt idx="24">
                  <c:v>4.5541632962653873</c:v>
                </c:pt>
                <c:pt idx="25">
                  <c:v>4.64812677504937</c:v>
                </c:pt>
                <c:pt idx="26">
                  <c:v>4.7402311283567053</c:v>
                </c:pt>
                <c:pt idx="27">
                  <c:v>4.8305826415615245</c:v>
                </c:pt>
                <c:pt idx="28">
                  <c:v>4.9192778430521491</c:v>
                </c:pt>
                <c:pt idx="29">
                  <c:v>5.0064047139723336</c:v>
                </c:pt>
                <c:pt idx="30">
                  <c:v>5.0920437116857755</c:v>
                </c:pt>
                <c:pt idx="31">
                  <c:v>5.1762686408656338</c:v>
                </c:pt>
                <c:pt idx="32">
                  <c:v>5.2591473990516491</c:v>
                </c:pt>
                <c:pt idx="33">
                  <c:v>5.3407426181018707</c:v>
                </c:pt>
                <c:pt idx="34">
                  <c:v>5.4211122187732723</c:v>
                </c:pt>
                <c:pt idx="35">
                  <c:v>5.5003098923919147</c:v>
                </c:pt>
                <c:pt idx="36">
                  <c:v>5.5783855209968651</c:v>
                </c:pt>
                <c:pt idx="37">
                  <c:v>5.6553855452991488</c:v>
                </c:pt>
                <c:pt idx="38">
                  <c:v>5.7313532881657752</c:v>
                </c:pt>
                <c:pt idx="39">
                  <c:v>5.8063292400277886</c:v>
                </c:pt>
                <c:pt idx="40">
                  <c:v>5.8803513115508368</c:v>
                </c:pt>
                <c:pt idx="41">
                  <c:v>5.9534550580441472</c:v>
                </c:pt>
                <c:pt idx="42">
                  <c:v>6.0256738793780311</c:v>
                </c:pt>
                <c:pt idx="43">
                  <c:v>6.0970391985997177</c:v>
                </c:pt>
                <c:pt idx="44">
                  <c:v>6.1675806219576819</c:v>
                </c:pt>
                <c:pt idx="45">
                  <c:v>6.237326082646252</c:v>
                </c:pt>
                <c:pt idx="46">
                  <c:v>6.306301970250149</c:v>
                </c:pt>
                <c:pt idx="47">
                  <c:v>6.3745332475901266</c:v>
                </c:pt>
                <c:pt idx="48">
                  <c:v>6.442043556436885</c:v>
                </c:pt>
                <c:pt idx="49">
                  <c:v>6.5088553133625631</c:v>
                </c:pt>
                <c:pt idx="50">
                  <c:v>6.5749897968316526</c:v>
                </c:pt>
                <c:pt idx="51">
                  <c:v>6.6404672264904816</c:v>
                </c:pt>
                <c:pt idx="52">
                  <c:v>6.7053068354927934</c:v>
                </c:pt>
                <c:pt idx="53">
                  <c:v>6.7695269365946835</c:v>
                </c:pt>
                <c:pt idx="54">
                  <c:v>6.8332453188332787</c:v>
                </c:pt>
                <c:pt idx="55">
                  <c:v>6.8964184115905462</c:v>
                </c:pt>
                <c:pt idx="56">
                  <c:v>7.0133339405486215</c:v>
                </c:pt>
                <c:pt idx="57">
                  <c:v>7.139271525402652</c:v>
                </c:pt>
                <c:pt idx="58">
                  <c:v>7.2650295520881869</c:v>
                </c:pt>
                <c:pt idx="59">
                  <c:v>7.3908051991968664</c:v>
                </c:pt>
                <c:pt idx="60">
                  <c:v>7.5165984712064544</c:v>
                </c:pt>
                <c:pt idx="61">
                  <c:v>7.6424093726002127</c:v>
                </c:pt>
                <c:pt idx="62">
                  <c:v>7.7682379078665793</c:v>
                </c:pt>
                <c:pt idx="63">
                  <c:v>7.8940840814988391</c:v>
                </c:pt>
                <c:pt idx="64">
                  <c:v>8.0199478979948911</c:v>
                </c:pt>
                <c:pt idx="65">
                  <c:v>8.1458293618569879</c:v>
                </c:pt>
                <c:pt idx="66">
                  <c:v>8.2717284775915179</c:v>
                </c:pt>
                <c:pt idx="67">
                  <c:v>8.3976452497088108</c:v>
                </c:pt>
                <c:pt idx="68">
                  <c:v>8.5235796827229464</c:v>
                </c:pt>
                <c:pt idx="69">
                  <c:v>8.6495317811516106</c:v>
                </c:pt>
                <c:pt idx="70">
                  <c:v>8.775501549515921</c:v>
                </c:pt>
                <c:pt idx="71">
                  <c:v>8.90148899234031</c:v>
                </c:pt>
                <c:pt idx="72">
                  <c:v>9.0274941141523861</c:v>
                </c:pt>
                <c:pt idx="73">
                  <c:v>9.1535169194828345</c:v>
                </c:pt>
                <c:pt idx="74">
                  <c:v>9.2795574128652998</c:v>
                </c:pt>
                <c:pt idx="75">
                  <c:v>9.4056155988362882</c:v>
                </c:pt>
                <c:pt idx="76">
                  <c:v>9.5316914819350984</c:v>
                </c:pt>
                <c:pt idx="77">
                  <c:v>9.6577850667037257</c:v>
                </c:pt>
                <c:pt idx="78">
                  <c:v>9.7838963576867837</c:v>
                </c:pt>
                <c:pt idx="79">
                  <c:v>9.9100253594314491</c:v>
                </c:pt>
                <c:pt idx="80">
                  <c:v>10.036172076487389</c:v>
                </c:pt>
                <c:pt idx="81">
                  <c:v>10.16233651340672</c:v>
                </c:pt>
                <c:pt idx="82">
                  <c:v>10.288518674743909</c:v>
                </c:pt>
                <c:pt idx="83">
                  <c:v>10.414718565055795</c:v>
                </c:pt>
                <c:pt idx="84">
                  <c:v>10.540936188901476</c:v>
                </c:pt>
                <c:pt idx="85">
                  <c:v>10.667171550842298</c:v>
                </c:pt>
                <c:pt idx="86">
                  <c:v>10.793424655441823</c:v>
                </c:pt>
                <c:pt idx="87">
                  <c:v>10.919695507265772</c:v>
                </c:pt>
                <c:pt idx="88">
                  <c:v>11.045984110881999</c:v>
                </c:pt>
                <c:pt idx="89">
                  <c:v>11.17229047086046</c:v>
                </c:pt>
                <c:pt idx="90">
                  <c:v>11.298614591773186</c:v>
                </c:pt>
                <c:pt idx="91">
                  <c:v>11.424956478194254</c:v>
                </c:pt>
                <c:pt idx="92">
                  <c:v>11.551316134699762</c:v>
                </c:pt>
                <c:pt idx="93">
                  <c:v>11.677693565867797</c:v>
                </c:pt>
                <c:pt idx="94">
                  <c:v>11.804088776278423</c:v>
                </c:pt>
                <c:pt idx="95">
                  <c:v>11.930501770513674</c:v>
                </c:pt>
                <c:pt idx="96">
                  <c:v>12.056932553157486</c:v>
                </c:pt>
                <c:pt idx="97">
                  <c:v>12.183381128795736</c:v>
                </c:pt>
                <c:pt idx="98">
                  <c:v>12.309847502016192</c:v>
                </c:pt>
                <c:pt idx="99">
                  <c:v>12.4363316774085</c:v>
                </c:pt>
                <c:pt idx="100">
                  <c:v>12.562833659564191</c:v>
                </c:pt>
              </c:numCache>
            </c:numRef>
          </c:val>
          <c:smooth val="0"/>
          <c:extLst>
            <c:ext xmlns:c16="http://schemas.microsoft.com/office/drawing/2014/chart" uri="{C3380CC4-5D6E-409C-BE32-E72D297353CC}">
              <c16:uniqueId val="{00000000-6477-4C46-89EF-E7A1D5DEFAE7}"/>
            </c:ext>
          </c:extLst>
        </c:ser>
        <c:ser>
          <c:idx val="0"/>
          <c:order val="1"/>
          <c:tx>
            <c:v>VIN-nom</c:v>
          </c:tx>
          <c:spPr>
            <a:ln w="28575">
              <a:solidFill>
                <a:srgbClr val="0000FF"/>
              </a:solidFill>
              <a:prstDash val="lgDash"/>
            </a:ln>
          </c:spPr>
          <c:marker>
            <c:symbol val="none"/>
          </c:marker>
          <c:cat>
            <c:numRef>
              <c:f>'Calculations - Single'!$AM$5:$AM$105</c:f>
              <c:numCache>
                <c:formatCode>0</c:formatCode>
                <c:ptCount val="101"/>
                <c:pt idx="0">
                  <c:v>1.0000000000000002E-6</c:v>
                </c:pt>
                <c:pt idx="1">
                  <c:v>25</c:v>
                </c:pt>
                <c:pt idx="2">
                  <c:v>50</c:v>
                </c:pt>
                <c:pt idx="3">
                  <c:v>75</c:v>
                </c:pt>
                <c:pt idx="4">
                  <c:v>100</c:v>
                </c:pt>
                <c:pt idx="5">
                  <c:v>125</c:v>
                </c:pt>
                <c:pt idx="6">
                  <c:v>150</c:v>
                </c:pt>
                <c:pt idx="7">
                  <c:v>175.00000000000003</c:v>
                </c:pt>
                <c:pt idx="8">
                  <c:v>200</c:v>
                </c:pt>
                <c:pt idx="9">
                  <c:v>224.99999999999997</c:v>
                </c:pt>
                <c:pt idx="10">
                  <c:v>250</c:v>
                </c:pt>
                <c:pt idx="11">
                  <c:v>275</c:v>
                </c:pt>
                <c:pt idx="12">
                  <c:v>300</c:v>
                </c:pt>
                <c:pt idx="13">
                  <c:v>325</c:v>
                </c:pt>
                <c:pt idx="14">
                  <c:v>350.00000000000006</c:v>
                </c:pt>
                <c:pt idx="15">
                  <c:v>375</c:v>
                </c:pt>
                <c:pt idx="16">
                  <c:v>400</c:v>
                </c:pt>
                <c:pt idx="17">
                  <c:v>425.00000000000006</c:v>
                </c:pt>
                <c:pt idx="18">
                  <c:v>449.99999999999994</c:v>
                </c:pt>
                <c:pt idx="19">
                  <c:v>475</c:v>
                </c:pt>
                <c:pt idx="20">
                  <c:v>500</c:v>
                </c:pt>
                <c:pt idx="21">
                  <c:v>525</c:v>
                </c:pt>
                <c:pt idx="22">
                  <c:v>550</c:v>
                </c:pt>
                <c:pt idx="23">
                  <c:v>575.00000000000011</c:v>
                </c:pt>
                <c:pt idx="24">
                  <c:v>600</c:v>
                </c:pt>
                <c:pt idx="25">
                  <c:v>625</c:v>
                </c:pt>
                <c:pt idx="26">
                  <c:v>650</c:v>
                </c:pt>
                <c:pt idx="27">
                  <c:v>675</c:v>
                </c:pt>
                <c:pt idx="28">
                  <c:v>700.00000000000011</c:v>
                </c:pt>
                <c:pt idx="29">
                  <c:v>725</c:v>
                </c:pt>
                <c:pt idx="30">
                  <c:v>750</c:v>
                </c:pt>
                <c:pt idx="31">
                  <c:v>775</c:v>
                </c:pt>
                <c:pt idx="32">
                  <c:v>800</c:v>
                </c:pt>
                <c:pt idx="33">
                  <c:v>825.00000000000011</c:v>
                </c:pt>
                <c:pt idx="34">
                  <c:v>850.00000000000011</c:v>
                </c:pt>
                <c:pt idx="35">
                  <c:v>875</c:v>
                </c:pt>
                <c:pt idx="36">
                  <c:v>899.99999999999989</c:v>
                </c:pt>
                <c:pt idx="37">
                  <c:v>925</c:v>
                </c:pt>
                <c:pt idx="38">
                  <c:v>950</c:v>
                </c:pt>
                <c:pt idx="39">
                  <c:v>975.00000000000011</c:v>
                </c:pt>
                <c:pt idx="40">
                  <c:v>1000</c:v>
                </c:pt>
                <c:pt idx="41">
                  <c:v>1025</c:v>
                </c:pt>
                <c:pt idx="42">
                  <c:v>1050</c:v>
                </c:pt>
                <c:pt idx="43">
                  <c:v>1075</c:v>
                </c:pt>
                <c:pt idx="44">
                  <c:v>1100</c:v>
                </c:pt>
                <c:pt idx="45">
                  <c:v>1125</c:v>
                </c:pt>
                <c:pt idx="46">
                  <c:v>1150.0000000000002</c:v>
                </c:pt>
                <c:pt idx="47">
                  <c:v>1174.9999999999998</c:v>
                </c:pt>
                <c:pt idx="48">
                  <c:v>1200</c:v>
                </c:pt>
                <c:pt idx="49">
                  <c:v>1225</c:v>
                </c:pt>
                <c:pt idx="50">
                  <c:v>1250</c:v>
                </c:pt>
                <c:pt idx="51">
                  <c:v>1275</c:v>
                </c:pt>
                <c:pt idx="52">
                  <c:v>1300</c:v>
                </c:pt>
                <c:pt idx="53">
                  <c:v>1325.0000000000002</c:v>
                </c:pt>
                <c:pt idx="54">
                  <c:v>1350</c:v>
                </c:pt>
                <c:pt idx="55">
                  <c:v>1375</c:v>
                </c:pt>
                <c:pt idx="56">
                  <c:v>1400.0000000000002</c:v>
                </c:pt>
                <c:pt idx="57">
                  <c:v>1424.9999999999998</c:v>
                </c:pt>
                <c:pt idx="58">
                  <c:v>1450</c:v>
                </c:pt>
                <c:pt idx="59">
                  <c:v>1474.9999999999998</c:v>
                </c:pt>
                <c:pt idx="60">
                  <c:v>1500</c:v>
                </c:pt>
                <c:pt idx="61">
                  <c:v>1525</c:v>
                </c:pt>
                <c:pt idx="62">
                  <c:v>1550</c:v>
                </c:pt>
                <c:pt idx="63">
                  <c:v>1575</c:v>
                </c:pt>
                <c:pt idx="64">
                  <c:v>1600</c:v>
                </c:pt>
                <c:pt idx="65">
                  <c:v>1625</c:v>
                </c:pt>
                <c:pt idx="66">
                  <c:v>1650.0000000000002</c:v>
                </c:pt>
                <c:pt idx="67">
                  <c:v>1675</c:v>
                </c:pt>
                <c:pt idx="68">
                  <c:v>1700.0000000000002</c:v>
                </c:pt>
                <c:pt idx="69">
                  <c:v>1724.9999999999998</c:v>
                </c:pt>
                <c:pt idx="70">
                  <c:v>1750</c:v>
                </c:pt>
                <c:pt idx="71">
                  <c:v>1775</c:v>
                </c:pt>
                <c:pt idx="72">
                  <c:v>1799.9999999999998</c:v>
                </c:pt>
                <c:pt idx="73">
                  <c:v>1825</c:v>
                </c:pt>
                <c:pt idx="74">
                  <c:v>1850</c:v>
                </c:pt>
                <c:pt idx="75">
                  <c:v>1875</c:v>
                </c:pt>
                <c:pt idx="76">
                  <c:v>1900</c:v>
                </c:pt>
                <c:pt idx="77">
                  <c:v>1925</c:v>
                </c:pt>
                <c:pt idx="78">
                  <c:v>1950.0000000000002</c:v>
                </c:pt>
                <c:pt idx="79">
                  <c:v>1975</c:v>
                </c:pt>
                <c:pt idx="80">
                  <c:v>2000</c:v>
                </c:pt>
                <c:pt idx="81">
                  <c:v>2025.0000000000005</c:v>
                </c:pt>
                <c:pt idx="82">
                  <c:v>2050</c:v>
                </c:pt>
                <c:pt idx="83">
                  <c:v>2074.9999999999995</c:v>
                </c:pt>
                <c:pt idx="84">
                  <c:v>2100</c:v>
                </c:pt>
                <c:pt idx="85">
                  <c:v>2125</c:v>
                </c:pt>
                <c:pt idx="86">
                  <c:v>2150</c:v>
                </c:pt>
                <c:pt idx="87">
                  <c:v>2175</c:v>
                </c:pt>
                <c:pt idx="88">
                  <c:v>2200</c:v>
                </c:pt>
                <c:pt idx="89">
                  <c:v>2225</c:v>
                </c:pt>
                <c:pt idx="90">
                  <c:v>2250</c:v>
                </c:pt>
                <c:pt idx="91">
                  <c:v>2275</c:v>
                </c:pt>
                <c:pt idx="92">
                  <c:v>2300.0000000000005</c:v>
                </c:pt>
                <c:pt idx="93">
                  <c:v>2325</c:v>
                </c:pt>
                <c:pt idx="94">
                  <c:v>2349.9999999999995</c:v>
                </c:pt>
                <c:pt idx="95">
                  <c:v>2375</c:v>
                </c:pt>
                <c:pt idx="96">
                  <c:v>2400</c:v>
                </c:pt>
                <c:pt idx="97">
                  <c:v>2425</c:v>
                </c:pt>
                <c:pt idx="98">
                  <c:v>2450</c:v>
                </c:pt>
                <c:pt idx="99">
                  <c:v>2475</c:v>
                </c:pt>
                <c:pt idx="100">
                  <c:v>2500</c:v>
                </c:pt>
              </c:numCache>
            </c:numRef>
          </c:cat>
          <c:val>
            <c:numRef>
              <c:f>'Calculations - Single'!$AJ$5:$AJ$105</c:f>
              <c:numCache>
                <c:formatCode>0.000</c:formatCode>
                <c:ptCount val="101"/>
                <c:pt idx="0">
                  <c:v>3.3333333333333335</c:v>
                </c:pt>
                <c:pt idx="1">
                  <c:v>3.3333333333333335</c:v>
                </c:pt>
                <c:pt idx="2">
                  <c:v>3.3333333333333335</c:v>
                </c:pt>
                <c:pt idx="3">
                  <c:v>3.3333333333333335</c:v>
                </c:pt>
                <c:pt idx="4">
                  <c:v>3.3333333333333335</c:v>
                </c:pt>
                <c:pt idx="5">
                  <c:v>3.3333333333333335</c:v>
                </c:pt>
                <c:pt idx="6">
                  <c:v>3.3333333333333335</c:v>
                </c:pt>
                <c:pt idx="7">
                  <c:v>3.3333333333333335</c:v>
                </c:pt>
                <c:pt idx="8">
                  <c:v>3.3333333333333335</c:v>
                </c:pt>
                <c:pt idx="9">
                  <c:v>3.3333333333333335</c:v>
                </c:pt>
                <c:pt idx="10">
                  <c:v>3.3333333333333335</c:v>
                </c:pt>
                <c:pt idx="11">
                  <c:v>3.3333333333333335</c:v>
                </c:pt>
                <c:pt idx="12">
                  <c:v>3.3333333333333335</c:v>
                </c:pt>
                <c:pt idx="13">
                  <c:v>3.3512810564026738</c:v>
                </c:pt>
                <c:pt idx="14">
                  <c:v>3.4778424817182247</c:v>
                </c:pt>
                <c:pt idx="15">
                  <c:v>3.599962679393391</c:v>
                </c:pt>
                <c:pt idx="16">
                  <c:v>3.7180791114584606</c:v>
                </c:pt>
                <c:pt idx="17">
                  <c:v>3.8325618164883295</c:v>
                </c:pt>
                <c:pt idx="18">
                  <c:v>3.9437271187712986</c:v>
                </c:pt>
                <c:pt idx="19">
                  <c:v>4.0518479490796731</c:v>
                </c:pt>
                <c:pt idx="20">
                  <c:v>4.1571617476697851</c:v>
                </c:pt>
                <c:pt idx="21">
                  <c:v>4.2598766077156682</c:v>
                </c:pt>
                <c:pt idx="22">
                  <c:v>4.3601761155460643</c:v>
                </c:pt>
                <c:pt idx="23">
                  <c:v>4.4582232104330322</c:v>
                </c:pt>
                <c:pt idx="24">
                  <c:v>4.5541632962653873</c:v>
                </c:pt>
                <c:pt idx="25">
                  <c:v>4.64812677504937</c:v>
                </c:pt>
                <c:pt idx="26">
                  <c:v>4.7402311283567053</c:v>
                </c:pt>
                <c:pt idx="27">
                  <c:v>4.8305826415615245</c:v>
                </c:pt>
                <c:pt idx="28">
                  <c:v>4.9192778430521491</c:v>
                </c:pt>
                <c:pt idx="29">
                  <c:v>5.0064047139723336</c:v>
                </c:pt>
                <c:pt idx="30">
                  <c:v>5.0920437116857755</c:v>
                </c:pt>
                <c:pt idx="31">
                  <c:v>5.1762686408656338</c:v>
                </c:pt>
                <c:pt idx="32">
                  <c:v>5.2591473990516491</c:v>
                </c:pt>
                <c:pt idx="33">
                  <c:v>5.3407426181018707</c:v>
                </c:pt>
                <c:pt idx="34">
                  <c:v>5.4211122187732723</c:v>
                </c:pt>
                <c:pt idx="35">
                  <c:v>5.5003098923919147</c:v>
                </c:pt>
                <c:pt idx="36">
                  <c:v>5.5783855209968651</c:v>
                </c:pt>
                <c:pt idx="37">
                  <c:v>5.6553855452991488</c:v>
                </c:pt>
                <c:pt idx="38">
                  <c:v>5.7313532881657752</c:v>
                </c:pt>
                <c:pt idx="39">
                  <c:v>5.8063292400277886</c:v>
                </c:pt>
                <c:pt idx="40">
                  <c:v>5.8803513115508368</c:v>
                </c:pt>
                <c:pt idx="41">
                  <c:v>5.9534550580441472</c:v>
                </c:pt>
                <c:pt idx="42">
                  <c:v>6.0256738793780311</c:v>
                </c:pt>
                <c:pt idx="43">
                  <c:v>6.0970391985997177</c:v>
                </c:pt>
                <c:pt idx="44">
                  <c:v>6.1675806219576819</c:v>
                </c:pt>
                <c:pt idx="45">
                  <c:v>6.237326082646252</c:v>
                </c:pt>
                <c:pt idx="46">
                  <c:v>6.306301970250149</c:v>
                </c:pt>
                <c:pt idx="47">
                  <c:v>6.3745332475901266</c:v>
                </c:pt>
                <c:pt idx="48">
                  <c:v>6.442043556436885</c:v>
                </c:pt>
                <c:pt idx="49">
                  <c:v>6.5088553133625631</c:v>
                </c:pt>
                <c:pt idx="50">
                  <c:v>6.5749897968316526</c:v>
                </c:pt>
                <c:pt idx="51">
                  <c:v>6.6404672264904816</c:v>
                </c:pt>
                <c:pt idx="52">
                  <c:v>6.7053068354927934</c:v>
                </c:pt>
                <c:pt idx="53">
                  <c:v>6.7695269365946835</c:v>
                </c:pt>
                <c:pt idx="54">
                  <c:v>6.8331449826626356</c:v>
                </c:pt>
                <c:pt idx="55">
                  <c:v>6.8961776221612343</c:v>
                </c:pt>
                <c:pt idx="56">
                  <c:v>6.9586407501204537</c:v>
                </c:pt>
                <c:pt idx="57">
                  <c:v>7.0205495550246368</c:v>
                </c:pt>
                <c:pt idx="58">
                  <c:v>7.081918562015078</c:v>
                </c:pt>
                <c:pt idx="59">
                  <c:v>7.1427616727543546</c:v>
                </c:pt>
                <c:pt idx="60">
                  <c:v>7.2030922022623818</c:v>
                </c:pt>
                <c:pt idx="61">
                  <c:v>7.2629229130006765</c:v>
                </c:pt>
                <c:pt idx="62">
                  <c:v>7.3222660464519969</c:v>
                </c:pt>
                <c:pt idx="63">
                  <c:v>7.3811333524167004</c:v>
                </c:pt>
                <c:pt idx="64">
                  <c:v>7.4395361162243949</c:v>
                </c:pt>
                <c:pt idx="65">
                  <c:v>7.4974851840393972</c:v>
                </c:pt>
                <c:pt idx="66">
                  <c:v>7.5549909864206866</c:v>
                </c:pt>
                <c:pt idx="67">
                  <c:v>7.6120635602813023</c:v>
                </c:pt>
                <c:pt idx="68">
                  <c:v>7.6687125693781164</c:v>
                </c:pt>
                <c:pt idx="69">
                  <c:v>7.7249473234504098</c:v>
                </c:pt>
                <c:pt idx="70">
                  <c:v>7.7807767961146173</c:v>
                </c:pt>
                <c:pt idx="71">
                  <c:v>7.8362096416126148</c:v>
                </c:pt>
                <c:pt idx="72">
                  <c:v>7.8912542105020789</c:v>
                </c:pt>
                <c:pt idx="73">
                  <c:v>7.9459185643694532</c:v>
                </c:pt>
                <c:pt idx="74">
                  <c:v>8.0002104896389348</c:v>
                </c:pt>
                <c:pt idx="75">
                  <c:v>8.0541375105444359</c:v>
                </c:pt>
                <c:pt idx="76">
                  <c:v>8.1077069013257219</c:v>
                </c:pt>
                <c:pt idx="77">
                  <c:v>8.1609256977046893</c:v>
                </c:pt>
                <c:pt idx="78">
                  <c:v>8.2138007076930375</c:v>
                </c:pt>
                <c:pt idx="79">
                  <c:v>8.2663385217783567</c:v>
                </c:pt>
                <c:pt idx="80">
                  <c:v>8.3185455225317373</c:v>
                </c:pt>
                <c:pt idx="81">
                  <c:v>8.3704278936765988</c:v>
                </c:pt>
                <c:pt idx="82">
                  <c:v>8.4220372409180477</c:v>
                </c:pt>
                <c:pt idx="83">
                  <c:v>8.4733970842082211</c:v>
                </c:pt>
                <c:pt idx="84">
                  <c:v>8.5244530438405395</c:v>
                </c:pt>
                <c:pt idx="85">
                  <c:v>8.5876747727419112</c:v>
                </c:pt>
                <c:pt idx="86">
                  <c:v>8.6889288280449506</c:v>
                </c:pt>
                <c:pt idx="87">
                  <c:v>8.7903904710628868</c:v>
                </c:pt>
                <c:pt idx="88">
                  <c:v>8.8917513473168466</c:v>
                </c:pt>
                <c:pt idx="89">
                  <c:v>8.9931195765831173</c:v>
                </c:pt>
                <c:pt idx="90">
                  <c:v>9.094495159890144</c:v>
                </c:pt>
                <c:pt idx="91">
                  <c:v>9.1958780982668973</c:v>
                </c:pt>
                <c:pt idx="92">
                  <c:v>9.2972683927428736</c:v>
                </c:pt>
                <c:pt idx="93">
                  <c:v>9.3986660443480563</c:v>
                </c:pt>
                <c:pt idx="94">
                  <c:v>9.5000710541129312</c:v>
                </c:pt>
                <c:pt idx="95">
                  <c:v>9.6014834230684336</c:v>
                </c:pt>
                <c:pt idx="96">
                  <c:v>9.702903152245959</c:v>
                </c:pt>
                <c:pt idx="97">
                  <c:v>9.8043302426773433</c:v>
                </c:pt>
                <c:pt idx="98">
                  <c:v>9.9057646953948453</c:v>
                </c:pt>
                <c:pt idx="99">
                  <c:v>10.007206511431139</c:v>
                </c:pt>
                <c:pt idx="100">
                  <c:v>10.108655691819306</c:v>
                </c:pt>
              </c:numCache>
            </c:numRef>
          </c:val>
          <c:smooth val="0"/>
          <c:extLst>
            <c:ext xmlns:c16="http://schemas.microsoft.com/office/drawing/2014/chart" uri="{C3380CC4-5D6E-409C-BE32-E72D297353CC}">
              <c16:uniqueId val="{00000001-6477-4C46-89EF-E7A1D5DEFAE7}"/>
            </c:ext>
          </c:extLst>
        </c:ser>
        <c:ser>
          <c:idx val="2"/>
          <c:order val="2"/>
          <c:tx>
            <c:v>VIN-max</c:v>
          </c:tx>
          <c:spPr>
            <a:ln>
              <a:solidFill>
                <a:srgbClr val="FF0000"/>
              </a:solidFill>
              <a:prstDash val="solid"/>
            </a:ln>
          </c:spPr>
          <c:marker>
            <c:symbol val="none"/>
          </c:marker>
          <c:val>
            <c:numRef>
              <c:f>'Calculations - Single'!$AJ$216:$AJ$316</c:f>
              <c:numCache>
                <c:formatCode>0.000</c:formatCode>
                <c:ptCount val="101"/>
                <c:pt idx="0">
                  <c:v>3.3333333333333335</c:v>
                </c:pt>
                <c:pt idx="1">
                  <c:v>3.3333333333333335</c:v>
                </c:pt>
                <c:pt idx="2">
                  <c:v>3.3333333333333335</c:v>
                </c:pt>
                <c:pt idx="3">
                  <c:v>3.3333333333333335</c:v>
                </c:pt>
                <c:pt idx="4">
                  <c:v>3.3333333333333335</c:v>
                </c:pt>
                <c:pt idx="5">
                  <c:v>3.3333333333333335</c:v>
                </c:pt>
                <c:pt idx="6">
                  <c:v>3.3333333333333335</c:v>
                </c:pt>
                <c:pt idx="7">
                  <c:v>3.3333333333333335</c:v>
                </c:pt>
                <c:pt idx="8">
                  <c:v>3.3333333333333335</c:v>
                </c:pt>
                <c:pt idx="9">
                  <c:v>3.3333333333333335</c:v>
                </c:pt>
                <c:pt idx="10">
                  <c:v>3.3333333333333335</c:v>
                </c:pt>
                <c:pt idx="11">
                  <c:v>3.3333333333333335</c:v>
                </c:pt>
                <c:pt idx="12">
                  <c:v>3.3333333333333335</c:v>
                </c:pt>
                <c:pt idx="13">
                  <c:v>3.3512810564026738</c:v>
                </c:pt>
                <c:pt idx="14">
                  <c:v>3.4778424817182247</c:v>
                </c:pt>
                <c:pt idx="15">
                  <c:v>3.599962679393391</c:v>
                </c:pt>
                <c:pt idx="16">
                  <c:v>3.7180791114584606</c:v>
                </c:pt>
                <c:pt idx="17">
                  <c:v>3.8325618164883295</c:v>
                </c:pt>
                <c:pt idx="18">
                  <c:v>3.9437271187712986</c:v>
                </c:pt>
                <c:pt idx="19">
                  <c:v>4.0518479490796731</c:v>
                </c:pt>
                <c:pt idx="20">
                  <c:v>4.1571617476697851</c:v>
                </c:pt>
                <c:pt idx="21">
                  <c:v>4.2598766077156682</c:v>
                </c:pt>
                <c:pt idx="22">
                  <c:v>4.3601761155460643</c:v>
                </c:pt>
                <c:pt idx="23">
                  <c:v>4.4582232104330322</c:v>
                </c:pt>
                <c:pt idx="24">
                  <c:v>4.5541632962653873</c:v>
                </c:pt>
                <c:pt idx="25">
                  <c:v>4.64812677504937</c:v>
                </c:pt>
                <c:pt idx="26">
                  <c:v>4.7402311283567053</c:v>
                </c:pt>
                <c:pt idx="27">
                  <c:v>4.8305826415615245</c:v>
                </c:pt>
                <c:pt idx="28">
                  <c:v>4.9192778430521491</c:v>
                </c:pt>
                <c:pt idx="29">
                  <c:v>5.0064047139723336</c:v>
                </c:pt>
                <c:pt idx="30">
                  <c:v>5.0920437116857755</c:v>
                </c:pt>
                <c:pt idx="31">
                  <c:v>5.1762686408656338</c:v>
                </c:pt>
                <c:pt idx="32">
                  <c:v>5.2591473990516491</c:v>
                </c:pt>
                <c:pt idx="33">
                  <c:v>5.3407426181018707</c:v>
                </c:pt>
                <c:pt idx="34">
                  <c:v>5.4211122187732723</c:v>
                </c:pt>
                <c:pt idx="35">
                  <c:v>5.5003098923919147</c:v>
                </c:pt>
                <c:pt idx="36">
                  <c:v>5.5783855209968651</c:v>
                </c:pt>
                <c:pt idx="37">
                  <c:v>5.6553855452991488</c:v>
                </c:pt>
                <c:pt idx="38">
                  <c:v>5.7313532881657752</c:v>
                </c:pt>
                <c:pt idx="39">
                  <c:v>5.8063292400277886</c:v>
                </c:pt>
                <c:pt idx="40">
                  <c:v>5.8803513115508368</c:v>
                </c:pt>
                <c:pt idx="41">
                  <c:v>5.9534550580441472</c:v>
                </c:pt>
                <c:pt idx="42">
                  <c:v>6.0256738793780311</c:v>
                </c:pt>
                <c:pt idx="43">
                  <c:v>6.0970391985997177</c:v>
                </c:pt>
                <c:pt idx="44">
                  <c:v>6.1675806219576819</c:v>
                </c:pt>
                <c:pt idx="45">
                  <c:v>6.237326082646252</c:v>
                </c:pt>
                <c:pt idx="46">
                  <c:v>6.306301970250149</c:v>
                </c:pt>
                <c:pt idx="47">
                  <c:v>6.3745332475901266</c:v>
                </c:pt>
                <c:pt idx="48">
                  <c:v>6.442043556436885</c:v>
                </c:pt>
                <c:pt idx="49">
                  <c:v>6.5088553133625631</c:v>
                </c:pt>
                <c:pt idx="50">
                  <c:v>6.5749897968316526</c:v>
                </c:pt>
                <c:pt idx="51">
                  <c:v>6.6404672264904816</c:v>
                </c:pt>
                <c:pt idx="52">
                  <c:v>6.7053068354927934</c:v>
                </c:pt>
                <c:pt idx="53">
                  <c:v>6.7695269365946835</c:v>
                </c:pt>
                <c:pt idx="54">
                  <c:v>6.8331449826626356</c:v>
                </c:pt>
                <c:pt idx="55">
                  <c:v>6.8961776221612343</c:v>
                </c:pt>
                <c:pt idx="56">
                  <c:v>6.9586407501204537</c:v>
                </c:pt>
                <c:pt idx="57">
                  <c:v>7.0205495550246368</c:v>
                </c:pt>
                <c:pt idx="58">
                  <c:v>7.081918562015078</c:v>
                </c:pt>
                <c:pt idx="59">
                  <c:v>7.1427616727543546</c:v>
                </c:pt>
                <c:pt idx="60">
                  <c:v>7.2030922022623818</c:v>
                </c:pt>
                <c:pt idx="61">
                  <c:v>7.2629229130006765</c:v>
                </c:pt>
                <c:pt idx="62">
                  <c:v>7.3222660464519969</c:v>
                </c:pt>
                <c:pt idx="63">
                  <c:v>7.3811333524167004</c:v>
                </c:pt>
                <c:pt idx="64">
                  <c:v>7.4395361162243949</c:v>
                </c:pt>
                <c:pt idx="65">
                  <c:v>7.4974851840393972</c:v>
                </c:pt>
                <c:pt idx="66">
                  <c:v>7.5549909864206866</c:v>
                </c:pt>
                <c:pt idx="67">
                  <c:v>7.6120635602813023</c:v>
                </c:pt>
                <c:pt idx="68">
                  <c:v>7.6687125693781164</c:v>
                </c:pt>
                <c:pt idx="69">
                  <c:v>7.7249473234504098</c:v>
                </c:pt>
                <c:pt idx="70">
                  <c:v>7.7807767961146173</c:v>
                </c:pt>
                <c:pt idx="71">
                  <c:v>7.8362096416126148</c:v>
                </c:pt>
                <c:pt idx="72">
                  <c:v>7.8912542105020789</c:v>
                </c:pt>
                <c:pt idx="73">
                  <c:v>7.9459185643694532</c:v>
                </c:pt>
                <c:pt idx="74">
                  <c:v>8.0002104896389348</c:v>
                </c:pt>
                <c:pt idx="75">
                  <c:v>8.0541375105444359</c:v>
                </c:pt>
                <c:pt idx="76">
                  <c:v>8.1077069013257219</c:v>
                </c:pt>
                <c:pt idx="77">
                  <c:v>8.1609256977046893</c:v>
                </c:pt>
                <c:pt idx="78">
                  <c:v>8.2138007076930375</c:v>
                </c:pt>
                <c:pt idx="79">
                  <c:v>8.2663385217783567</c:v>
                </c:pt>
                <c:pt idx="80">
                  <c:v>8.3185455225317373</c:v>
                </c:pt>
                <c:pt idx="81">
                  <c:v>8.3704278936765988</c:v>
                </c:pt>
                <c:pt idx="82">
                  <c:v>8.4219916286551744</c:v>
                </c:pt>
                <c:pt idx="83">
                  <c:v>8.4732425387262733</c:v>
                </c:pt>
                <c:pt idx="84">
                  <c:v>8.5241862606252816</c:v>
                </c:pt>
                <c:pt idx="85">
                  <c:v>8.57482826381497</c:v>
                </c:pt>
                <c:pt idx="86">
                  <c:v>8.6251738573535395</c:v>
                </c:pt>
                <c:pt idx="87">
                  <c:v>8.6752281964043032</c:v>
                </c:pt>
                <c:pt idx="88">
                  <c:v>8.7249962884095673</c:v>
                </c:pt>
                <c:pt idx="89">
                  <c:v>8.7744829989496953</c:v>
                </c:pt>
                <c:pt idx="90">
                  <c:v>8.8236930573067269</c:v>
                </c:pt>
                <c:pt idx="91">
                  <c:v>8.8726310617505479</c:v>
                </c:pt>
                <c:pt idx="92">
                  <c:v>8.9213014845643634</c:v>
                </c:pt>
                <c:pt idx="93">
                  <c:v>8.9697086768250056</c:v>
                </c:pt>
                <c:pt idx="94">
                  <c:v>9.0178568729525264</c:v>
                </c:pt>
                <c:pt idx="95">
                  <c:v>9.0657501950425665</c:v>
                </c:pt>
                <c:pt idx="96">
                  <c:v>9.1133926569940158</c:v>
                </c:pt>
                <c:pt idx="97">
                  <c:v>9.1607881684436876</c:v>
                </c:pt>
                <c:pt idx="98">
                  <c:v>9.2079405385189066</c:v>
                </c:pt>
                <c:pt idx="99">
                  <c:v>9.2548534794182107</c:v>
                </c:pt>
                <c:pt idx="100">
                  <c:v>9.3015306098296993</c:v>
                </c:pt>
              </c:numCache>
            </c:numRef>
          </c:val>
          <c:smooth val="0"/>
          <c:extLst>
            <c:ext xmlns:c16="http://schemas.microsoft.com/office/drawing/2014/chart" uri="{C3380CC4-5D6E-409C-BE32-E72D297353CC}">
              <c16:uniqueId val="{00000002-6477-4C46-89EF-E7A1D5DEFAE7}"/>
            </c:ext>
          </c:extLst>
        </c:ser>
        <c:dLbls>
          <c:showLegendKey val="0"/>
          <c:showVal val="0"/>
          <c:showCatName val="0"/>
          <c:showSerName val="0"/>
          <c:showPercent val="0"/>
          <c:showBubbleSize val="0"/>
        </c:dLbls>
        <c:smooth val="0"/>
        <c:axId val="448889216"/>
        <c:axId val="448891136"/>
      </c:lineChart>
      <c:catAx>
        <c:axId val="44888921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48891136"/>
        <c:crosses val="autoZero"/>
        <c:auto val="1"/>
        <c:lblAlgn val="ctr"/>
        <c:lblOffset val="100"/>
        <c:tickLblSkip val="20"/>
        <c:tickMarkSkip val="10"/>
        <c:noMultiLvlLbl val="0"/>
      </c:catAx>
      <c:valAx>
        <c:axId val="448891136"/>
        <c:scaling>
          <c:orientation val="minMax"/>
          <c:max val="1.4"/>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Peak</a:t>
                </a:r>
                <a:r>
                  <a:rPr lang="en-US" sz="1200" b="1" baseline="0">
                    <a:solidFill>
                      <a:schemeClr val="tx1"/>
                    </a:solidFill>
                    <a:latin typeface="Arial" pitchFamily="34" charset="0"/>
                    <a:cs typeface="Arial" pitchFamily="34" charset="0"/>
                  </a:rPr>
                  <a:t> Primary Current (A)</a:t>
                </a:r>
                <a:endParaRPr lang="en-US" sz="1200" b="1">
                  <a:solidFill>
                    <a:schemeClr val="tx1"/>
                  </a:solidFill>
                  <a:latin typeface="Arial" pitchFamily="34" charset="0"/>
                  <a:cs typeface="Arial" pitchFamily="34" charset="0"/>
                </a:endParaRPr>
              </a:p>
            </c:rich>
          </c:tx>
          <c:layout>
            <c:manualLayout>
              <c:xMode val="edge"/>
              <c:yMode val="edge"/>
              <c:x val="1.8892754684734177E-2"/>
              <c:y val="0.30303578260037478"/>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48889216"/>
        <c:crossesAt val="0"/>
        <c:crossBetween val="between"/>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Single'!$AK$110:$AK$210</c:f>
              <c:numCache>
                <c:formatCode>0.000</c:formatCode>
                <c:ptCount val="101"/>
                <c:pt idx="0">
                  <c:v>1.0068571428571429</c:v>
                </c:pt>
                <c:pt idx="1">
                  <c:v>1.0155506696585084</c:v>
                </c:pt>
                <c:pt idx="2">
                  <c:v>1.0311013393170168</c:v>
                </c:pt>
                <c:pt idx="3">
                  <c:v>1.0466520089755251</c:v>
                </c:pt>
                <c:pt idx="4">
                  <c:v>1.0622026786340335</c:v>
                </c:pt>
                <c:pt idx="5">
                  <c:v>1.0777533482925421</c:v>
                </c:pt>
                <c:pt idx="6">
                  <c:v>1.0933040179510505</c:v>
                </c:pt>
                <c:pt idx="7">
                  <c:v>1.1088546876095589</c:v>
                </c:pt>
                <c:pt idx="8">
                  <c:v>1.1244053572680672</c:v>
                </c:pt>
                <c:pt idx="9">
                  <c:v>1.1399560269265756</c:v>
                </c:pt>
                <c:pt idx="10">
                  <c:v>1.155506696585084</c:v>
                </c:pt>
                <c:pt idx="11">
                  <c:v>1.1710573662435924</c:v>
                </c:pt>
                <c:pt idx="12">
                  <c:v>1.1866080359021007</c:v>
                </c:pt>
                <c:pt idx="13">
                  <c:v>1.2132946096809929</c:v>
                </c:pt>
                <c:pt idx="14">
                  <c:v>1.3070438136184379</c:v>
                </c:pt>
                <c:pt idx="15">
                  <c:v>1.3975032193037462</c:v>
                </c:pt>
                <c:pt idx="16">
                  <c:v>1.4849968726852794</c:v>
                </c:pt>
                <c:pt idx="17">
                  <c:v>1.5697988764111082</c:v>
                </c:pt>
                <c:pt idx="18">
                  <c:v>1.652143544768863</c:v>
                </c:pt>
                <c:pt idx="19">
                  <c:v>1.732233048700992</c:v>
                </c:pt>
                <c:pt idx="20">
                  <c:v>1.8102432698788529</c:v>
                </c:pt>
                <c:pt idx="21">
                  <c:v>1.8863283513943219</c:v>
                </c:pt>
                <c:pt idx="22">
                  <c:v>1.9606242831205414</c:v>
                </c:pt>
                <c:pt idx="23">
                  <c:v>2.0332517608145917</c:v>
                </c:pt>
                <c:pt idx="24">
                  <c:v>2.1043184910607806</c:v>
                </c:pt>
                <c:pt idx="25">
                  <c:v>2.1739210679378047</c:v>
                </c:pt>
                <c:pt idx="26">
                  <c:v>2.2421465148321271</c:v>
                </c:pt>
                <c:pt idx="27">
                  <c:v>2.3090735616505116</c:v>
                </c:pt>
                <c:pt idx="28">
                  <c:v>2.3747737109028262</c:v>
                </c:pt>
                <c:pt idx="29">
                  <c:v>2.4393121338066668</c:v>
                </c:pt>
                <c:pt idx="30">
                  <c:v>2.5027484284092161</c:v>
                </c:pt>
                <c:pt idx="31">
                  <c:v>2.5651372648387412</c:v>
                </c:pt>
                <c:pt idx="32">
                  <c:v>2.6265289375691223</c:v>
                </c:pt>
                <c:pt idx="33">
                  <c:v>2.6869698405692866</c:v>
                </c:pt>
                <c:pt idx="34">
                  <c:v>2.7465028781036587</c:v>
                </c:pt>
                <c:pt idx="35">
                  <c:v>2.8051678215248748</c:v>
                </c:pt>
                <c:pt idx="36">
                  <c:v>2.863001620491505</c:v>
                </c:pt>
                <c:pt idx="37">
                  <c:v>2.9200386755302334</c:v>
                </c:pt>
                <c:pt idx="38">
                  <c:v>2.9763110776536603</c:v>
                </c:pt>
                <c:pt idx="39">
                  <c:v>3.0318488197736704</c:v>
                </c:pt>
                <c:pt idx="40">
                  <c:v>3.0866799838648173</c:v>
                </c:pt>
                <c:pt idx="41">
                  <c:v>3.1408309071931955</c:v>
                </c:pt>
                <c:pt idx="42">
                  <c:v>3.1943263304034799</c:v>
                </c:pt>
                <c:pt idx="43">
                  <c:v>3.2471895298269509</c:v>
                </c:pt>
                <c:pt idx="44">
                  <c:v>3.2994424360180359</c:v>
                </c:pt>
                <c:pt idx="45">
                  <c:v>3.351105740231791</c:v>
                </c:pt>
                <c:pt idx="46">
                  <c:v>3.4021989903087526</c:v>
                </c:pt>
                <c:pt idx="47">
                  <c:v>3.4527406772272542</c:v>
                </c:pt>
                <c:pt idx="48">
                  <c:v>3.5027483134100379</c:v>
                </c:pt>
                <c:pt idx="49">
                  <c:v>3.5522385037253548</c:v>
                </c:pt>
                <c:pt idx="50">
                  <c:v>3.6012270099987544</c:v>
                </c:pt>
                <c:pt idx="51">
                  <c:v>3.6497288097460361</c:v>
                </c:pt>
                <c:pt idx="52">
                  <c:v>3.6977581497477479</c:v>
                </c:pt>
                <c:pt idx="53">
                  <c:v>3.7453285950084076</c:v>
                </c:pt>
                <c:pt idx="54">
                  <c:v>3.7925273966666264</c:v>
                </c:pt>
                <c:pt idx="55">
                  <c:v>3.8393222801905278</c:v>
                </c:pt>
                <c:pt idx="56">
                  <c:v>3.9259263757150284</c:v>
                </c:pt>
                <c:pt idx="57">
                  <c:v>4.0192134756069029</c:v>
                </c:pt>
                <c:pt idx="58">
                  <c:v>4.1123675694480397</c:v>
                </c:pt>
                <c:pt idx="59">
                  <c:v>4.2055347154544691</c:v>
                </c:pt>
                <c:pt idx="60">
                  <c:v>4.2987149169430525</c:v>
                </c:pt>
                <c:pt idx="61">
                  <c:v>4.3919081772347246</c:v>
                </c:pt>
                <c:pt idx="62">
                  <c:v>4.485114499654256</c:v>
                </c:pt>
                <c:pt idx="63">
                  <c:v>4.5783338875300039</c:v>
                </c:pt>
                <c:pt idx="64">
                  <c:v>4.6715663441937458</c:v>
                </c:pt>
                <c:pt idx="65">
                  <c:v>4.7648118729804843</c:v>
                </c:pt>
                <c:pt idx="66">
                  <c:v>4.8580704772282841</c:v>
                </c:pt>
                <c:pt idx="67">
                  <c:v>4.9513421602781307</c:v>
                </c:pt>
                <c:pt idx="68">
                  <c:v>5.0446269254737874</c:v>
                </c:pt>
                <c:pt idx="69">
                  <c:v>5.137924776161686</c:v>
                </c:pt>
                <c:pt idx="70">
                  <c:v>5.2312357156908051</c:v>
                </c:pt>
                <c:pt idx="71">
                  <c:v>5.3245597474125752</c:v>
                </c:pt>
                <c:pt idx="72">
                  <c:v>5.4178968746807792</c:v>
                </c:pt>
                <c:pt idx="73">
                  <c:v>5.5112471008514818</c:v>
                </c:pt>
                <c:pt idx="74">
                  <c:v>5.6046104292829382</c:v>
                </c:pt>
                <c:pt idx="75">
                  <c:v>5.6979868633355224</c:v>
                </c:pt>
                <c:pt idx="76">
                  <c:v>5.7913764063716773</c:v>
                </c:pt>
                <c:pt idx="77">
                  <c:v>5.8847790617558458</c:v>
                </c:pt>
                <c:pt idx="78">
                  <c:v>5.978194832854407</c:v>
                </c:pt>
                <c:pt idx="79">
                  <c:v>6.0716237230356409</c:v>
                </c:pt>
                <c:pt idx="80">
                  <c:v>6.1650657356696712</c:v>
                </c:pt>
                <c:pt idx="81">
                  <c:v>6.2585208741284335</c:v>
                </c:pt>
                <c:pt idx="82">
                  <c:v>6.3519891417856114</c:v>
                </c:pt>
                <c:pt idx="83">
                  <c:v>6.4454705420166372</c:v>
                </c:pt>
                <c:pt idx="84">
                  <c:v>6.5389650781986237</c:v>
                </c:pt>
                <c:pt idx="85">
                  <c:v>6.6324727537103438</c:v>
                </c:pt>
                <c:pt idx="86">
                  <c:v>6.7259935719322153</c:v>
                </c:pt>
                <c:pt idx="87">
                  <c:v>6.81952753624625</c:v>
                </c:pt>
                <c:pt idx="88">
                  <c:v>6.9130746500360489</c:v>
                </c:pt>
                <c:pt idx="89">
                  <c:v>7.0066349166867603</c:v>
                </c:pt>
                <c:pt idx="90">
                  <c:v>7.100208339585075</c:v>
                </c:pt>
                <c:pt idx="91">
                  <c:v>7.1937949221192001</c:v>
                </c:pt>
                <c:pt idx="92">
                  <c:v>7.2873946676788366</c:v>
                </c:pt>
                <c:pt idx="93">
                  <c:v>7.381007579655158</c:v>
                </c:pt>
                <c:pt idx="94">
                  <c:v>7.4746336614408069</c:v>
                </c:pt>
                <c:pt idx="95">
                  <c:v>7.5682729164298816</c:v>
                </c:pt>
                <c:pt idx="96">
                  <c:v>7.6619253480178902</c:v>
                </c:pt>
                <c:pt idx="97">
                  <c:v>7.7555909596017791</c:v>
                </c:pt>
                <c:pt idx="98">
                  <c:v>7.8492697545798951</c:v>
                </c:pt>
                <c:pt idx="99">
                  <c:v>7.9429617363519744</c:v>
                </c:pt>
                <c:pt idx="100">
                  <c:v>8.0366669083191518</c:v>
                </c:pt>
              </c:numCache>
            </c:numRef>
          </c:val>
          <c:smooth val="0"/>
          <c:extLst>
            <c:ext xmlns:c16="http://schemas.microsoft.com/office/drawing/2014/chart" uri="{C3380CC4-5D6E-409C-BE32-E72D297353CC}">
              <c16:uniqueId val="{00000000-B28B-4852-801F-8278A9821D66}"/>
            </c:ext>
          </c:extLst>
        </c:ser>
        <c:ser>
          <c:idx val="0"/>
          <c:order val="1"/>
          <c:tx>
            <c:v>VIN-nom</c:v>
          </c:tx>
          <c:spPr>
            <a:ln w="28575">
              <a:solidFill>
                <a:srgbClr val="0000FF"/>
              </a:solidFill>
              <a:prstDash val="lgDash"/>
            </a:ln>
          </c:spPr>
          <c:marker>
            <c:symbol val="none"/>
          </c:marker>
          <c:cat>
            <c:numRef>
              <c:f>'Calculations - Single'!$AM$5:$AM$105</c:f>
              <c:numCache>
                <c:formatCode>0</c:formatCode>
                <c:ptCount val="101"/>
                <c:pt idx="0">
                  <c:v>1.0000000000000002E-6</c:v>
                </c:pt>
                <c:pt idx="1">
                  <c:v>25</c:v>
                </c:pt>
                <c:pt idx="2">
                  <c:v>50</c:v>
                </c:pt>
                <c:pt idx="3">
                  <c:v>75</c:v>
                </c:pt>
                <c:pt idx="4">
                  <c:v>100</c:v>
                </c:pt>
                <c:pt idx="5">
                  <c:v>125</c:v>
                </c:pt>
                <c:pt idx="6">
                  <c:v>150</c:v>
                </c:pt>
                <c:pt idx="7">
                  <c:v>175.00000000000003</c:v>
                </c:pt>
                <c:pt idx="8">
                  <c:v>200</c:v>
                </c:pt>
                <c:pt idx="9">
                  <c:v>224.99999999999997</c:v>
                </c:pt>
                <c:pt idx="10">
                  <c:v>250</c:v>
                </c:pt>
                <c:pt idx="11">
                  <c:v>275</c:v>
                </c:pt>
                <c:pt idx="12">
                  <c:v>300</c:v>
                </c:pt>
                <c:pt idx="13">
                  <c:v>325</c:v>
                </c:pt>
                <c:pt idx="14">
                  <c:v>350.00000000000006</c:v>
                </c:pt>
                <c:pt idx="15">
                  <c:v>375</c:v>
                </c:pt>
                <c:pt idx="16">
                  <c:v>400</c:v>
                </c:pt>
                <c:pt idx="17">
                  <c:v>425.00000000000006</c:v>
                </c:pt>
                <c:pt idx="18">
                  <c:v>449.99999999999994</c:v>
                </c:pt>
                <c:pt idx="19">
                  <c:v>475</c:v>
                </c:pt>
                <c:pt idx="20">
                  <c:v>500</c:v>
                </c:pt>
                <c:pt idx="21">
                  <c:v>525</c:v>
                </c:pt>
                <c:pt idx="22">
                  <c:v>550</c:v>
                </c:pt>
                <c:pt idx="23">
                  <c:v>575.00000000000011</c:v>
                </c:pt>
                <c:pt idx="24">
                  <c:v>600</c:v>
                </c:pt>
                <c:pt idx="25">
                  <c:v>625</c:v>
                </c:pt>
                <c:pt idx="26">
                  <c:v>650</c:v>
                </c:pt>
                <c:pt idx="27">
                  <c:v>675</c:v>
                </c:pt>
                <c:pt idx="28">
                  <c:v>700.00000000000011</c:v>
                </c:pt>
                <c:pt idx="29">
                  <c:v>725</c:v>
                </c:pt>
                <c:pt idx="30">
                  <c:v>750</c:v>
                </c:pt>
                <c:pt idx="31">
                  <c:v>775</c:v>
                </c:pt>
                <c:pt idx="32">
                  <c:v>800</c:v>
                </c:pt>
                <c:pt idx="33">
                  <c:v>825.00000000000011</c:v>
                </c:pt>
                <c:pt idx="34">
                  <c:v>850.00000000000011</c:v>
                </c:pt>
                <c:pt idx="35">
                  <c:v>875</c:v>
                </c:pt>
                <c:pt idx="36">
                  <c:v>899.99999999999989</c:v>
                </c:pt>
                <c:pt idx="37">
                  <c:v>925</c:v>
                </c:pt>
                <c:pt idx="38">
                  <c:v>950</c:v>
                </c:pt>
                <c:pt idx="39">
                  <c:v>975.00000000000011</c:v>
                </c:pt>
                <c:pt idx="40">
                  <c:v>1000</c:v>
                </c:pt>
                <c:pt idx="41">
                  <c:v>1025</c:v>
                </c:pt>
                <c:pt idx="42">
                  <c:v>1050</c:v>
                </c:pt>
                <c:pt idx="43">
                  <c:v>1075</c:v>
                </c:pt>
                <c:pt idx="44">
                  <c:v>1100</c:v>
                </c:pt>
                <c:pt idx="45">
                  <c:v>1125</c:v>
                </c:pt>
                <c:pt idx="46">
                  <c:v>1150.0000000000002</c:v>
                </c:pt>
                <c:pt idx="47">
                  <c:v>1174.9999999999998</c:v>
                </c:pt>
                <c:pt idx="48">
                  <c:v>1200</c:v>
                </c:pt>
                <c:pt idx="49">
                  <c:v>1225</c:v>
                </c:pt>
                <c:pt idx="50">
                  <c:v>1250</c:v>
                </c:pt>
                <c:pt idx="51">
                  <c:v>1275</c:v>
                </c:pt>
                <c:pt idx="52">
                  <c:v>1300</c:v>
                </c:pt>
                <c:pt idx="53">
                  <c:v>1325.0000000000002</c:v>
                </c:pt>
                <c:pt idx="54">
                  <c:v>1350</c:v>
                </c:pt>
                <c:pt idx="55">
                  <c:v>1375</c:v>
                </c:pt>
                <c:pt idx="56">
                  <c:v>1400.0000000000002</c:v>
                </c:pt>
                <c:pt idx="57">
                  <c:v>1424.9999999999998</c:v>
                </c:pt>
                <c:pt idx="58">
                  <c:v>1450</c:v>
                </c:pt>
                <c:pt idx="59">
                  <c:v>1474.9999999999998</c:v>
                </c:pt>
                <c:pt idx="60">
                  <c:v>1500</c:v>
                </c:pt>
                <c:pt idx="61">
                  <c:v>1525</c:v>
                </c:pt>
                <c:pt idx="62">
                  <c:v>1550</c:v>
                </c:pt>
                <c:pt idx="63">
                  <c:v>1575</c:v>
                </c:pt>
                <c:pt idx="64">
                  <c:v>1600</c:v>
                </c:pt>
                <c:pt idx="65">
                  <c:v>1625</c:v>
                </c:pt>
                <c:pt idx="66">
                  <c:v>1650.0000000000002</c:v>
                </c:pt>
                <c:pt idx="67">
                  <c:v>1675</c:v>
                </c:pt>
                <c:pt idx="68">
                  <c:v>1700.0000000000002</c:v>
                </c:pt>
                <c:pt idx="69">
                  <c:v>1724.9999999999998</c:v>
                </c:pt>
                <c:pt idx="70">
                  <c:v>1750</c:v>
                </c:pt>
                <c:pt idx="71">
                  <c:v>1775</c:v>
                </c:pt>
                <c:pt idx="72">
                  <c:v>1799.9999999999998</c:v>
                </c:pt>
                <c:pt idx="73">
                  <c:v>1825</c:v>
                </c:pt>
                <c:pt idx="74">
                  <c:v>1850</c:v>
                </c:pt>
                <c:pt idx="75">
                  <c:v>1875</c:v>
                </c:pt>
                <c:pt idx="76">
                  <c:v>1900</c:v>
                </c:pt>
                <c:pt idx="77">
                  <c:v>1925</c:v>
                </c:pt>
                <c:pt idx="78">
                  <c:v>1950.0000000000002</c:v>
                </c:pt>
                <c:pt idx="79">
                  <c:v>1975</c:v>
                </c:pt>
                <c:pt idx="80">
                  <c:v>2000</c:v>
                </c:pt>
                <c:pt idx="81">
                  <c:v>2025.0000000000005</c:v>
                </c:pt>
                <c:pt idx="82">
                  <c:v>2050</c:v>
                </c:pt>
                <c:pt idx="83">
                  <c:v>2074.9999999999995</c:v>
                </c:pt>
                <c:pt idx="84">
                  <c:v>2100</c:v>
                </c:pt>
                <c:pt idx="85">
                  <c:v>2125</c:v>
                </c:pt>
                <c:pt idx="86">
                  <c:v>2150</c:v>
                </c:pt>
                <c:pt idx="87">
                  <c:v>2175</c:v>
                </c:pt>
                <c:pt idx="88">
                  <c:v>2200</c:v>
                </c:pt>
                <c:pt idx="89">
                  <c:v>2225</c:v>
                </c:pt>
                <c:pt idx="90">
                  <c:v>2250</c:v>
                </c:pt>
                <c:pt idx="91">
                  <c:v>2275</c:v>
                </c:pt>
                <c:pt idx="92">
                  <c:v>2300.0000000000005</c:v>
                </c:pt>
                <c:pt idx="93">
                  <c:v>2325</c:v>
                </c:pt>
                <c:pt idx="94">
                  <c:v>2349.9999999999995</c:v>
                </c:pt>
                <c:pt idx="95">
                  <c:v>2375</c:v>
                </c:pt>
                <c:pt idx="96">
                  <c:v>2400</c:v>
                </c:pt>
                <c:pt idx="97">
                  <c:v>2425</c:v>
                </c:pt>
                <c:pt idx="98">
                  <c:v>2450</c:v>
                </c:pt>
                <c:pt idx="99">
                  <c:v>2475</c:v>
                </c:pt>
                <c:pt idx="100">
                  <c:v>2500</c:v>
                </c:pt>
              </c:numCache>
            </c:numRef>
          </c:cat>
          <c:val>
            <c:numRef>
              <c:f>'Calculations - Single'!$AK$5:$AK$105</c:f>
              <c:numCache>
                <c:formatCode>0.000</c:formatCode>
                <c:ptCount val="101"/>
                <c:pt idx="0">
                  <c:v>1.0068571428571429</c:v>
                </c:pt>
                <c:pt idx="1">
                  <c:v>1.0155506696585084</c:v>
                </c:pt>
                <c:pt idx="2">
                  <c:v>1.0311013393170168</c:v>
                </c:pt>
                <c:pt idx="3">
                  <c:v>1.0466520089755251</c:v>
                </c:pt>
                <c:pt idx="4">
                  <c:v>1.0622026786340335</c:v>
                </c:pt>
                <c:pt idx="5">
                  <c:v>1.0777533482925421</c:v>
                </c:pt>
                <c:pt idx="6">
                  <c:v>1.0933040179510505</c:v>
                </c:pt>
                <c:pt idx="7">
                  <c:v>1.1088546876095589</c:v>
                </c:pt>
                <c:pt idx="8">
                  <c:v>1.1244053572680672</c:v>
                </c:pt>
                <c:pt idx="9">
                  <c:v>1.1399560269265756</c:v>
                </c:pt>
                <c:pt idx="10">
                  <c:v>1.155506696585084</c:v>
                </c:pt>
                <c:pt idx="11">
                  <c:v>1.1710573662435924</c:v>
                </c:pt>
                <c:pt idx="12">
                  <c:v>1.1866080359021007</c:v>
                </c:pt>
                <c:pt idx="13">
                  <c:v>1.2132946096809929</c:v>
                </c:pt>
                <c:pt idx="14">
                  <c:v>1.3070438136184379</c:v>
                </c:pt>
                <c:pt idx="15">
                  <c:v>1.3975032193037462</c:v>
                </c:pt>
                <c:pt idx="16">
                  <c:v>1.4849968726852794</c:v>
                </c:pt>
                <c:pt idx="17">
                  <c:v>1.5697988764111082</c:v>
                </c:pt>
                <c:pt idx="18">
                  <c:v>1.652143544768863</c:v>
                </c:pt>
                <c:pt idx="19">
                  <c:v>1.732233048700992</c:v>
                </c:pt>
                <c:pt idx="20">
                  <c:v>1.8102432698788529</c:v>
                </c:pt>
                <c:pt idx="21">
                  <c:v>1.8863283513943219</c:v>
                </c:pt>
                <c:pt idx="22">
                  <c:v>1.9606242831205414</c:v>
                </c:pt>
                <c:pt idx="23">
                  <c:v>2.0332517608145917</c:v>
                </c:pt>
                <c:pt idx="24">
                  <c:v>2.1043184910607806</c:v>
                </c:pt>
                <c:pt idx="25">
                  <c:v>2.1739210679378047</c:v>
                </c:pt>
                <c:pt idx="26">
                  <c:v>2.2421465148321271</c:v>
                </c:pt>
                <c:pt idx="27">
                  <c:v>2.3090735616505116</c:v>
                </c:pt>
                <c:pt idx="28">
                  <c:v>2.3747737109028262</c:v>
                </c:pt>
                <c:pt idx="29">
                  <c:v>2.4393121338066668</c:v>
                </c:pt>
                <c:pt idx="30">
                  <c:v>2.5027484284092161</c:v>
                </c:pt>
                <c:pt idx="31">
                  <c:v>2.5651372648387412</c:v>
                </c:pt>
                <c:pt idx="32">
                  <c:v>2.6265289375691223</c:v>
                </c:pt>
                <c:pt idx="33">
                  <c:v>2.6869698405692866</c:v>
                </c:pt>
                <c:pt idx="34">
                  <c:v>2.7465028781036587</c:v>
                </c:pt>
                <c:pt idx="35">
                  <c:v>2.8051678215248748</c:v>
                </c:pt>
                <c:pt idx="36">
                  <c:v>2.863001620491505</c:v>
                </c:pt>
                <c:pt idx="37">
                  <c:v>2.9200386755302334</c:v>
                </c:pt>
                <c:pt idx="38">
                  <c:v>2.9763110776536603</c:v>
                </c:pt>
                <c:pt idx="39">
                  <c:v>3.0318488197736704</c:v>
                </c:pt>
                <c:pt idx="40">
                  <c:v>3.0866799838648173</c:v>
                </c:pt>
                <c:pt idx="41">
                  <c:v>3.1408309071931955</c:v>
                </c:pt>
                <c:pt idx="42">
                  <c:v>3.1943263304034799</c:v>
                </c:pt>
                <c:pt idx="43">
                  <c:v>3.2471895298269509</c:v>
                </c:pt>
                <c:pt idx="44">
                  <c:v>3.2994424360180359</c:v>
                </c:pt>
                <c:pt idx="45">
                  <c:v>3.351105740231791</c:v>
                </c:pt>
                <c:pt idx="46">
                  <c:v>3.4021989903087526</c:v>
                </c:pt>
                <c:pt idx="47">
                  <c:v>3.4527406772272542</c:v>
                </c:pt>
                <c:pt idx="48">
                  <c:v>3.5027483134100379</c:v>
                </c:pt>
                <c:pt idx="49">
                  <c:v>3.5522385037253548</c:v>
                </c:pt>
                <c:pt idx="50">
                  <c:v>3.6012270099987544</c:v>
                </c:pt>
                <c:pt idx="51">
                  <c:v>3.6497288097460361</c:v>
                </c:pt>
                <c:pt idx="52">
                  <c:v>3.6977581497477479</c:v>
                </c:pt>
                <c:pt idx="53">
                  <c:v>3.7453285950084076</c:v>
                </c:pt>
                <c:pt idx="54">
                  <c:v>3.7924530735772608</c:v>
                </c:pt>
                <c:pt idx="55">
                  <c:v>3.8391439176502971</c:v>
                </c:pt>
                <c:pt idx="56">
                  <c:v>3.885412901323793</c:v>
                </c:pt>
                <c:pt idx="57">
                  <c:v>3.9312712753268917</c:v>
                </c:pt>
                <c:pt idx="58">
                  <c:v>3.9767297990235146</c:v>
                </c:pt>
                <c:pt idx="59">
                  <c:v>4.0217987699414968</c:v>
                </c:pt>
                <c:pt idx="60">
                  <c:v>4.0664880510585544</c:v>
                </c:pt>
                <c:pt idx="61">
                  <c:v>4.1108070960498839</c:v>
                </c:pt>
                <c:pt idx="62">
                  <c:v>4.1547649726804918</c:v>
                </c:pt>
                <c:pt idx="63">
                  <c:v>4.1983703845061973</c:v>
                </c:pt>
                <c:pt idx="64">
                  <c:v>4.2416316910304159</c:v>
                </c:pt>
                <c:pt idx="65">
                  <c:v>4.2845569264489365</c:v>
                </c:pt>
                <c:pt idx="66">
                  <c:v>4.3271538171017436</c:v>
                </c:pt>
                <c:pt idx="67">
                  <c:v>4.3694297977392367</c:v>
                </c:pt>
                <c:pt idx="68">
                  <c:v>4.411392026699839</c:v>
                </c:pt>
                <c:pt idx="69">
                  <c:v>4.4530474000867235</c:v>
                </c:pt>
                <c:pt idx="70">
                  <c:v>4.4944025650231731</c:v>
                </c:pt>
                <c:pt idx="71">
                  <c:v>4.5354639320587271</c:v>
                </c:pt>
                <c:pt idx="72">
                  <c:v>4.5762376867916634</c:v>
                </c:pt>
                <c:pt idx="73">
                  <c:v>4.6167298007674962</c:v>
                </c:pt>
                <c:pt idx="74">
                  <c:v>4.6569460417078528</c:v>
                </c:pt>
                <c:pt idx="75">
                  <c:v>4.6968919831193352</c:v>
                </c:pt>
                <c:pt idx="76">
                  <c:v>4.7365730133276953</c:v>
                </c:pt>
                <c:pt idx="77">
                  <c:v>4.7759943439787822</c:v>
                </c:pt>
                <c:pt idx="78">
                  <c:v>4.8151610180442246</c:v>
                </c:pt>
                <c:pt idx="79">
                  <c:v>4.8540779173666833</c:v>
                </c:pt>
                <c:pt idx="80">
                  <c:v>4.8927497697765956</c:v>
                </c:pt>
                <c:pt idx="81">
                  <c:v>4.931181155809826</c:v>
                </c:pt>
                <c:pt idx="82">
                  <c:v>4.9694103019146025</c:v>
                </c:pt>
                <c:pt idx="83">
                  <c:v>5.0074546302776941</c:v>
                </c:pt>
                <c:pt idx="84">
                  <c:v>5.0452738596349667</c:v>
                </c:pt>
                <c:pt idx="85">
                  <c:v>5.0921047699322797</c:v>
                </c:pt>
                <c:pt idx="86">
                  <c:v>5.1671077738604572</c:v>
                </c:pt>
                <c:pt idx="87">
                  <c:v>5.2422645464663358</c:v>
                </c:pt>
                <c:pt idx="88">
                  <c:v>5.3173466770248243</c:v>
                </c:pt>
                <c:pt idx="89">
                  <c:v>5.3924342542590988</c:v>
                </c:pt>
                <c:pt idx="90">
                  <c:v>5.4675272789309703</c:v>
                </c:pt>
                <c:pt idx="91">
                  <c:v>5.5426257518026389</c:v>
                </c:pt>
                <c:pt idx="92">
                  <c:v>5.6177296736366955</c:v>
                </c:pt>
                <c:pt idx="93">
                  <c:v>5.6928390451960906</c:v>
                </c:pt>
                <c:pt idx="94">
                  <c:v>5.7679538672441462</c:v>
                </c:pt>
                <c:pt idx="95">
                  <c:v>5.8430741405445188</c:v>
                </c:pt>
                <c:pt idx="96">
                  <c:v>5.9181998658612045</c:v>
                </c:pt>
                <c:pt idx="97">
                  <c:v>5.9933310439585252</c:v>
                </c:pt>
                <c:pt idx="98">
                  <c:v>6.06846767560112</c:v>
                </c:pt>
                <c:pt idx="99">
                  <c:v>6.1436097615539298</c:v>
                </c:pt>
                <c:pt idx="100">
                  <c:v>6.2187573025822021</c:v>
                </c:pt>
              </c:numCache>
            </c:numRef>
          </c:val>
          <c:smooth val="0"/>
          <c:extLst>
            <c:ext xmlns:c16="http://schemas.microsoft.com/office/drawing/2014/chart" uri="{C3380CC4-5D6E-409C-BE32-E72D297353CC}">
              <c16:uniqueId val="{00000001-B28B-4852-801F-8278A9821D66}"/>
            </c:ext>
          </c:extLst>
        </c:ser>
        <c:ser>
          <c:idx val="2"/>
          <c:order val="2"/>
          <c:tx>
            <c:v>VIN-max</c:v>
          </c:tx>
          <c:spPr>
            <a:ln>
              <a:solidFill>
                <a:srgbClr val="FF0000"/>
              </a:solidFill>
              <a:prstDash val="solid"/>
            </a:ln>
          </c:spPr>
          <c:marker>
            <c:symbol val="none"/>
          </c:marker>
          <c:val>
            <c:numRef>
              <c:f>'Calculations - Single'!$AK$216:$AK$316</c:f>
              <c:numCache>
                <c:formatCode>0.000</c:formatCode>
                <c:ptCount val="101"/>
                <c:pt idx="0">
                  <c:v>1.0068571428571429</c:v>
                </c:pt>
                <c:pt idx="1">
                  <c:v>1.0155506696585084</c:v>
                </c:pt>
                <c:pt idx="2">
                  <c:v>1.0311013393170168</c:v>
                </c:pt>
                <c:pt idx="3">
                  <c:v>1.0466520089755251</c:v>
                </c:pt>
                <c:pt idx="4">
                  <c:v>1.0622026786340335</c:v>
                </c:pt>
                <c:pt idx="5">
                  <c:v>1.0777533482925421</c:v>
                </c:pt>
                <c:pt idx="6">
                  <c:v>1.0933040179510505</c:v>
                </c:pt>
                <c:pt idx="7">
                  <c:v>1.1088546876095589</c:v>
                </c:pt>
                <c:pt idx="8">
                  <c:v>1.1244053572680672</c:v>
                </c:pt>
                <c:pt idx="9">
                  <c:v>1.1399560269265756</c:v>
                </c:pt>
                <c:pt idx="10">
                  <c:v>1.155506696585084</c:v>
                </c:pt>
                <c:pt idx="11">
                  <c:v>1.1710573662435924</c:v>
                </c:pt>
                <c:pt idx="12">
                  <c:v>1.1866080359021007</c:v>
                </c:pt>
                <c:pt idx="13">
                  <c:v>1.2132946096809929</c:v>
                </c:pt>
                <c:pt idx="14">
                  <c:v>1.3070438136184379</c:v>
                </c:pt>
                <c:pt idx="15">
                  <c:v>1.3975032193037462</c:v>
                </c:pt>
                <c:pt idx="16">
                  <c:v>1.4849968726852794</c:v>
                </c:pt>
                <c:pt idx="17">
                  <c:v>1.5697988764111082</c:v>
                </c:pt>
                <c:pt idx="18">
                  <c:v>1.652143544768863</c:v>
                </c:pt>
                <c:pt idx="19">
                  <c:v>1.732233048700992</c:v>
                </c:pt>
                <c:pt idx="20">
                  <c:v>1.8102432698788529</c:v>
                </c:pt>
                <c:pt idx="21">
                  <c:v>1.8863283513943219</c:v>
                </c:pt>
                <c:pt idx="22">
                  <c:v>1.9606242831205414</c:v>
                </c:pt>
                <c:pt idx="23">
                  <c:v>2.0332517608145917</c:v>
                </c:pt>
                <c:pt idx="24">
                  <c:v>2.1043184910607806</c:v>
                </c:pt>
                <c:pt idx="25">
                  <c:v>2.1739210679378047</c:v>
                </c:pt>
                <c:pt idx="26">
                  <c:v>2.2421465148321271</c:v>
                </c:pt>
                <c:pt idx="27">
                  <c:v>2.3090735616505116</c:v>
                </c:pt>
                <c:pt idx="28">
                  <c:v>2.3747737109028262</c:v>
                </c:pt>
                <c:pt idx="29">
                  <c:v>2.4393121338066668</c:v>
                </c:pt>
                <c:pt idx="30">
                  <c:v>2.5027484284092161</c:v>
                </c:pt>
                <c:pt idx="31">
                  <c:v>2.5651372648387412</c:v>
                </c:pt>
                <c:pt idx="32">
                  <c:v>2.6265289375691223</c:v>
                </c:pt>
                <c:pt idx="33">
                  <c:v>2.6869698405692866</c:v>
                </c:pt>
                <c:pt idx="34">
                  <c:v>2.7465028781036587</c:v>
                </c:pt>
                <c:pt idx="35">
                  <c:v>2.8051678215248748</c:v>
                </c:pt>
                <c:pt idx="36">
                  <c:v>2.863001620491505</c:v>
                </c:pt>
                <c:pt idx="37">
                  <c:v>2.9200386755302334</c:v>
                </c:pt>
                <c:pt idx="38">
                  <c:v>2.9763110776536603</c:v>
                </c:pt>
                <c:pt idx="39">
                  <c:v>3.0318488197736704</c:v>
                </c:pt>
                <c:pt idx="40">
                  <c:v>3.0866799838648173</c:v>
                </c:pt>
                <c:pt idx="41">
                  <c:v>3.1408309071931955</c:v>
                </c:pt>
                <c:pt idx="42">
                  <c:v>3.1943263304034799</c:v>
                </c:pt>
                <c:pt idx="43">
                  <c:v>3.2471895298269509</c:v>
                </c:pt>
                <c:pt idx="44">
                  <c:v>3.2994424360180359</c:v>
                </c:pt>
                <c:pt idx="45">
                  <c:v>3.351105740231791</c:v>
                </c:pt>
                <c:pt idx="46">
                  <c:v>3.4021989903087526</c:v>
                </c:pt>
                <c:pt idx="47">
                  <c:v>3.4527406772272542</c:v>
                </c:pt>
                <c:pt idx="48">
                  <c:v>3.5027483134100379</c:v>
                </c:pt>
                <c:pt idx="49">
                  <c:v>3.5522385037253548</c:v>
                </c:pt>
                <c:pt idx="50">
                  <c:v>3.6012270099987544</c:v>
                </c:pt>
                <c:pt idx="51">
                  <c:v>3.6497288097460361</c:v>
                </c:pt>
                <c:pt idx="52">
                  <c:v>3.6977581497477479</c:v>
                </c:pt>
                <c:pt idx="53">
                  <c:v>3.7453285950084076</c:v>
                </c:pt>
                <c:pt idx="54">
                  <c:v>3.7924530735772608</c:v>
                </c:pt>
                <c:pt idx="55">
                  <c:v>3.8391439176502971</c:v>
                </c:pt>
                <c:pt idx="56">
                  <c:v>3.885412901323793</c:v>
                </c:pt>
                <c:pt idx="57">
                  <c:v>3.9312712753268917</c:v>
                </c:pt>
                <c:pt idx="58">
                  <c:v>3.9767297990235146</c:v>
                </c:pt>
                <c:pt idx="59">
                  <c:v>4.0217987699414968</c:v>
                </c:pt>
                <c:pt idx="60">
                  <c:v>4.0664880510585544</c:v>
                </c:pt>
                <c:pt idx="61">
                  <c:v>4.1108070960498839</c:v>
                </c:pt>
                <c:pt idx="62">
                  <c:v>4.1547649726804918</c:v>
                </c:pt>
                <c:pt idx="63">
                  <c:v>4.1983703845061973</c:v>
                </c:pt>
                <c:pt idx="64">
                  <c:v>4.2416316910304159</c:v>
                </c:pt>
                <c:pt idx="65">
                  <c:v>4.2845569264489365</c:v>
                </c:pt>
                <c:pt idx="66">
                  <c:v>4.3271538171017436</c:v>
                </c:pt>
                <c:pt idx="67">
                  <c:v>4.3694297977392367</c:v>
                </c:pt>
                <c:pt idx="68">
                  <c:v>4.411392026699839</c:v>
                </c:pt>
                <c:pt idx="69">
                  <c:v>4.4530474000867235</c:v>
                </c:pt>
                <c:pt idx="70">
                  <c:v>4.4944025650231731</c:v>
                </c:pt>
                <c:pt idx="71">
                  <c:v>4.5354639320587271</c:v>
                </c:pt>
                <c:pt idx="72">
                  <c:v>4.5762376867916634</c:v>
                </c:pt>
                <c:pt idx="73">
                  <c:v>4.6167298007674962</c:v>
                </c:pt>
                <c:pt idx="74">
                  <c:v>4.6569460417078528</c:v>
                </c:pt>
                <c:pt idx="75">
                  <c:v>4.6968919831193352</c:v>
                </c:pt>
                <c:pt idx="76">
                  <c:v>4.7365730133276953</c:v>
                </c:pt>
                <c:pt idx="77">
                  <c:v>4.7759943439787822</c:v>
                </c:pt>
                <c:pt idx="78">
                  <c:v>4.8151610180442246</c:v>
                </c:pt>
                <c:pt idx="79">
                  <c:v>4.8540779173666833</c:v>
                </c:pt>
                <c:pt idx="80">
                  <c:v>4.8927497697765956</c:v>
                </c:pt>
                <c:pt idx="81">
                  <c:v>4.931181155809826</c:v>
                </c:pt>
                <c:pt idx="82">
                  <c:v>4.9693765150532156</c:v>
                </c:pt>
                <c:pt idx="83">
                  <c:v>5.0073401521429179</c:v>
                </c:pt>
                <c:pt idx="84">
                  <c:v>5.0450762424384799</c:v>
                </c:pt>
                <c:pt idx="85">
                  <c:v>5.0825888373938044</c:v>
                </c:pt>
                <c:pt idx="86">
                  <c:v>5.1198818696445967</c:v>
                </c:pt>
                <c:pt idx="87">
                  <c:v>5.1569591578303475</c:v>
                </c:pt>
                <c:pt idx="88">
                  <c:v>5.1938244111675802</c:v>
                </c:pt>
                <c:pt idx="89">
                  <c:v>5.2304812337898978</c:v>
                </c:pt>
                <c:pt idx="90">
                  <c:v>5.2669331288691801</c:v>
                </c:pt>
                <c:pt idx="91">
                  <c:v>5.3031835025312697</c:v>
                </c:pt>
                <c:pt idx="92">
                  <c:v>5.3392356675785404</c:v>
                </c:pt>
                <c:pt idx="93">
                  <c:v>5.3750928470308681</c:v>
                </c:pt>
                <c:pt idx="94">
                  <c:v>5.4107581774956977</c:v>
                </c:pt>
                <c:pt idx="95">
                  <c:v>5.4462347123772092</c:v>
                </c:pt>
                <c:pt idx="96">
                  <c:v>5.4815254249338388</c:v>
                </c:pt>
                <c:pt idx="97">
                  <c:v>5.516633211192854</c:v>
                </c:pt>
                <c:pt idx="98">
                  <c:v>5.5515608927300537</c:v>
                </c:pt>
                <c:pt idx="99">
                  <c:v>5.5863112193221305</c:v>
                </c:pt>
                <c:pt idx="100">
                  <c:v>5.6208868714787892</c:v>
                </c:pt>
              </c:numCache>
            </c:numRef>
          </c:val>
          <c:smooth val="0"/>
          <c:extLst>
            <c:ext xmlns:c16="http://schemas.microsoft.com/office/drawing/2014/chart" uri="{C3380CC4-5D6E-409C-BE32-E72D297353CC}">
              <c16:uniqueId val="{00000002-B28B-4852-801F-8278A9821D66}"/>
            </c:ext>
          </c:extLst>
        </c:ser>
        <c:dLbls>
          <c:showLegendKey val="0"/>
          <c:showVal val="0"/>
          <c:showCatName val="0"/>
          <c:showSerName val="0"/>
          <c:showPercent val="0"/>
          <c:showBubbleSize val="0"/>
        </c:dLbls>
        <c:smooth val="0"/>
        <c:axId val="448925696"/>
        <c:axId val="448927616"/>
      </c:lineChart>
      <c:catAx>
        <c:axId val="44892569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48927616"/>
        <c:crosses val="autoZero"/>
        <c:auto val="1"/>
        <c:lblAlgn val="ctr"/>
        <c:lblOffset val="100"/>
        <c:tickLblSkip val="20"/>
        <c:tickMarkSkip val="10"/>
        <c:noMultiLvlLbl val="0"/>
      </c:catAx>
      <c:valAx>
        <c:axId val="448927616"/>
        <c:scaling>
          <c:orientation val="minMax"/>
          <c:max val="2.2000000000000002"/>
          <c:min val="1"/>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COMP</a:t>
                </a:r>
                <a:r>
                  <a:rPr lang="en-US" sz="1200" b="1" baseline="0">
                    <a:solidFill>
                      <a:schemeClr val="tx1"/>
                    </a:solidFill>
                    <a:latin typeface="Arial" pitchFamily="34" charset="0"/>
                    <a:cs typeface="Arial" pitchFamily="34" charset="0"/>
                  </a:rPr>
                  <a:t> Voltage (V)</a:t>
                </a:r>
                <a:endParaRPr lang="en-US" sz="1200" b="1">
                  <a:solidFill>
                    <a:schemeClr val="tx1"/>
                  </a:solidFill>
                  <a:latin typeface="Arial" pitchFamily="34" charset="0"/>
                  <a:cs typeface="Arial" pitchFamily="34" charset="0"/>
                </a:endParaRPr>
              </a:p>
            </c:rich>
          </c:tx>
          <c:layout>
            <c:manualLayout>
              <c:xMode val="edge"/>
              <c:yMode val="edge"/>
              <c:x val="1.5939635452545176E-2"/>
              <c:y val="0.34603169988013316"/>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48925696"/>
        <c:crossesAt val="0"/>
        <c:crossBetween val="between"/>
        <c:majorUnit val="0.2"/>
        <c:minorUnit val="0.1"/>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lang="ja-JP"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Single'!$AM$5:$AM$105</c:f>
              <c:numCache>
                <c:formatCode>0</c:formatCode>
                <c:ptCount val="101"/>
                <c:pt idx="0">
                  <c:v>1.0000000000000002E-6</c:v>
                </c:pt>
                <c:pt idx="1">
                  <c:v>25</c:v>
                </c:pt>
                <c:pt idx="2">
                  <c:v>50</c:v>
                </c:pt>
                <c:pt idx="3">
                  <c:v>75</c:v>
                </c:pt>
                <c:pt idx="4">
                  <c:v>100</c:v>
                </c:pt>
                <c:pt idx="5">
                  <c:v>125</c:v>
                </c:pt>
                <c:pt idx="6">
                  <c:v>150</c:v>
                </c:pt>
                <c:pt idx="7">
                  <c:v>175.00000000000003</c:v>
                </c:pt>
                <c:pt idx="8">
                  <c:v>200</c:v>
                </c:pt>
                <c:pt idx="9">
                  <c:v>224.99999999999997</c:v>
                </c:pt>
                <c:pt idx="10">
                  <c:v>250</c:v>
                </c:pt>
                <c:pt idx="11">
                  <c:v>275</c:v>
                </c:pt>
                <c:pt idx="12">
                  <c:v>300</c:v>
                </c:pt>
                <c:pt idx="13">
                  <c:v>325</c:v>
                </c:pt>
                <c:pt idx="14">
                  <c:v>350.00000000000006</c:v>
                </c:pt>
                <c:pt idx="15">
                  <c:v>375</c:v>
                </c:pt>
                <c:pt idx="16">
                  <c:v>400</c:v>
                </c:pt>
                <c:pt idx="17">
                  <c:v>425.00000000000006</c:v>
                </c:pt>
                <c:pt idx="18">
                  <c:v>449.99999999999994</c:v>
                </c:pt>
                <c:pt idx="19">
                  <c:v>475</c:v>
                </c:pt>
                <c:pt idx="20">
                  <c:v>500</c:v>
                </c:pt>
                <c:pt idx="21">
                  <c:v>525</c:v>
                </c:pt>
                <c:pt idx="22">
                  <c:v>550</c:v>
                </c:pt>
                <c:pt idx="23">
                  <c:v>575.00000000000011</c:v>
                </c:pt>
                <c:pt idx="24">
                  <c:v>600</c:v>
                </c:pt>
                <c:pt idx="25">
                  <c:v>625</c:v>
                </c:pt>
                <c:pt idx="26">
                  <c:v>650</c:v>
                </c:pt>
                <c:pt idx="27">
                  <c:v>675</c:v>
                </c:pt>
                <c:pt idx="28">
                  <c:v>700.00000000000011</c:v>
                </c:pt>
                <c:pt idx="29">
                  <c:v>725</c:v>
                </c:pt>
                <c:pt idx="30">
                  <c:v>750</c:v>
                </c:pt>
                <c:pt idx="31">
                  <c:v>775</c:v>
                </c:pt>
                <c:pt idx="32">
                  <c:v>800</c:v>
                </c:pt>
                <c:pt idx="33">
                  <c:v>825.00000000000011</c:v>
                </c:pt>
                <c:pt idx="34">
                  <c:v>850.00000000000011</c:v>
                </c:pt>
                <c:pt idx="35">
                  <c:v>875</c:v>
                </c:pt>
                <c:pt idx="36">
                  <c:v>899.99999999999989</c:v>
                </c:pt>
                <c:pt idx="37">
                  <c:v>925</c:v>
                </c:pt>
                <c:pt idx="38">
                  <c:v>950</c:v>
                </c:pt>
                <c:pt idx="39">
                  <c:v>975.00000000000011</c:v>
                </c:pt>
                <c:pt idx="40">
                  <c:v>1000</c:v>
                </c:pt>
                <c:pt idx="41">
                  <c:v>1025</c:v>
                </c:pt>
                <c:pt idx="42">
                  <c:v>1050</c:v>
                </c:pt>
                <c:pt idx="43">
                  <c:v>1075</c:v>
                </c:pt>
                <c:pt idx="44">
                  <c:v>1100</c:v>
                </c:pt>
                <c:pt idx="45">
                  <c:v>1125</c:v>
                </c:pt>
                <c:pt idx="46">
                  <c:v>1150.0000000000002</c:v>
                </c:pt>
                <c:pt idx="47">
                  <c:v>1174.9999999999998</c:v>
                </c:pt>
                <c:pt idx="48">
                  <c:v>1200</c:v>
                </c:pt>
                <c:pt idx="49">
                  <c:v>1225</c:v>
                </c:pt>
                <c:pt idx="50">
                  <c:v>1250</c:v>
                </c:pt>
                <c:pt idx="51">
                  <c:v>1275</c:v>
                </c:pt>
                <c:pt idx="52">
                  <c:v>1300</c:v>
                </c:pt>
                <c:pt idx="53">
                  <c:v>1325.0000000000002</c:v>
                </c:pt>
                <c:pt idx="54">
                  <c:v>1350</c:v>
                </c:pt>
                <c:pt idx="55">
                  <c:v>1375</c:v>
                </c:pt>
                <c:pt idx="56">
                  <c:v>1400.0000000000002</c:v>
                </c:pt>
                <c:pt idx="57">
                  <c:v>1424.9999999999998</c:v>
                </c:pt>
                <c:pt idx="58">
                  <c:v>1450</c:v>
                </c:pt>
                <c:pt idx="59">
                  <c:v>1474.9999999999998</c:v>
                </c:pt>
                <c:pt idx="60">
                  <c:v>1500</c:v>
                </c:pt>
                <c:pt idx="61">
                  <c:v>1525</c:v>
                </c:pt>
                <c:pt idx="62">
                  <c:v>1550</c:v>
                </c:pt>
                <c:pt idx="63">
                  <c:v>1575</c:v>
                </c:pt>
                <c:pt idx="64">
                  <c:v>1600</c:v>
                </c:pt>
                <c:pt idx="65">
                  <c:v>1625</c:v>
                </c:pt>
                <c:pt idx="66">
                  <c:v>1650.0000000000002</c:v>
                </c:pt>
                <c:pt idx="67">
                  <c:v>1675</c:v>
                </c:pt>
                <c:pt idx="68">
                  <c:v>1700.0000000000002</c:v>
                </c:pt>
                <c:pt idx="69">
                  <c:v>1724.9999999999998</c:v>
                </c:pt>
                <c:pt idx="70">
                  <c:v>1750</c:v>
                </c:pt>
                <c:pt idx="71">
                  <c:v>1775</c:v>
                </c:pt>
                <c:pt idx="72">
                  <c:v>1799.9999999999998</c:v>
                </c:pt>
                <c:pt idx="73">
                  <c:v>1825</c:v>
                </c:pt>
                <c:pt idx="74">
                  <c:v>1850</c:v>
                </c:pt>
                <c:pt idx="75">
                  <c:v>1875</c:v>
                </c:pt>
                <c:pt idx="76">
                  <c:v>1900</c:v>
                </c:pt>
                <c:pt idx="77">
                  <c:v>1925</c:v>
                </c:pt>
                <c:pt idx="78">
                  <c:v>1950.0000000000002</c:v>
                </c:pt>
                <c:pt idx="79">
                  <c:v>1975</c:v>
                </c:pt>
                <c:pt idx="80">
                  <c:v>2000</c:v>
                </c:pt>
                <c:pt idx="81">
                  <c:v>2025.0000000000005</c:v>
                </c:pt>
                <c:pt idx="82">
                  <c:v>2050</c:v>
                </c:pt>
                <c:pt idx="83">
                  <c:v>2074.9999999999995</c:v>
                </c:pt>
                <c:pt idx="84">
                  <c:v>2100</c:v>
                </c:pt>
                <c:pt idx="85">
                  <c:v>2125</c:v>
                </c:pt>
                <c:pt idx="86">
                  <c:v>2150</c:v>
                </c:pt>
                <c:pt idx="87">
                  <c:v>2175</c:v>
                </c:pt>
                <c:pt idx="88">
                  <c:v>2200</c:v>
                </c:pt>
                <c:pt idx="89">
                  <c:v>2225</c:v>
                </c:pt>
                <c:pt idx="90">
                  <c:v>2250</c:v>
                </c:pt>
                <c:pt idx="91">
                  <c:v>2275</c:v>
                </c:pt>
                <c:pt idx="92">
                  <c:v>2300.0000000000005</c:v>
                </c:pt>
                <c:pt idx="93">
                  <c:v>2325</c:v>
                </c:pt>
                <c:pt idx="94">
                  <c:v>2349.9999999999995</c:v>
                </c:pt>
                <c:pt idx="95">
                  <c:v>2375</c:v>
                </c:pt>
                <c:pt idx="96">
                  <c:v>2400</c:v>
                </c:pt>
                <c:pt idx="97">
                  <c:v>2425</c:v>
                </c:pt>
                <c:pt idx="98">
                  <c:v>2450</c:v>
                </c:pt>
                <c:pt idx="99">
                  <c:v>2475</c:v>
                </c:pt>
                <c:pt idx="100">
                  <c:v>2500</c:v>
                </c:pt>
              </c:numCache>
            </c:numRef>
          </c:cat>
          <c:val>
            <c:numRef>
              <c:f>'Calculations - Single'!$CB$5:$CB$105</c:f>
              <c:numCache>
                <c:formatCode>0.00</c:formatCode>
                <c:ptCount val="101"/>
                <c:pt idx="0">
                  <c:v>1.8331770523116768E-5</c:v>
                </c:pt>
                <c:pt idx="1">
                  <c:v>72.301232852834971</c:v>
                </c:pt>
                <c:pt idx="2">
                  <c:v>74.72117816883835</c:v>
                </c:pt>
                <c:pt idx="3">
                  <c:v>75.002873784625706</c:v>
                </c:pt>
                <c:pt idx="4">
                  <c:v>74.632917488478682</c:v>
                </c:pt>
                <c:pt idx="5">
                  <c:v>73.948612832159469</c:v>
                </c:pt>
                <c:pt idx="6">
                  <c:v>73.077166085730212</c:v>
                </c:pt>
                <c:pt idx="7">
                  <c:v>72.081610726269375</c:v>
                </c:pt>
                <c:pt idx="8">
                  <c:v>70.999136496465695</c:v>
                </c:pt>
                <c:pt idx="9">
                  <c:v>69.854418624642676</c:v>
                </c:pt>
                <c:pt idx="10">
                  <c:v>68.66518641580393</c:v>
                </c:pt>
                <c:pt idx="11">
                  <c:v>67.444882165793246</c:v>
                </c:pt>
                <c:pt idx="12">
                  <c:v>66.204070905257424</c:v>
                </c:pt>
                <c:pt idx="13">
                  <c:v>65.155589403272216</c:v>
                </c:pt>
                <c:pt idx="14">
                  <c:v>65.347580446898874</c:v>
                </c:pt>
                <c:pt idx="15">
                  <c:v>65.503461774613896</c:v>
                </c:pt>
                <c:pt idx="16">
                  <c:v>65.629903321191122</c:v>
                </c:pt>
                <c:pt idx="17">
                  <c:v>65.732083653148493</c:v>
                </c:pt>
                <c:pt idx="18">
                  <c:v>65.814081298974216</c:v>
                </c:pt>
                <c:pt idx="19">
                  <c:v>65.879149261899585</c:v>
                </c:pt>
                <c:pt idx="20">
                  <c:v>65.929911460672514</c:v>
                </c:pt>
                <c:pt idx="21">
                  <c:v>65.968505815939722</c:v>
                </c:pt>
                <c:pt idx="22">
                  <c:v>65.996690141524411</c:v>
                </c:pt>
                <c:pt idx="23">
                  <c:v>66.015921638495072</c:v>
                </c:pt>
                <c:pt idx="24">
                  <c:v>66.027417350727774</c:v>
                </c:pt>
                <c:pt idx="25">
                  <c:v>66.032200686910144</c:v>
                </c:pt>
                <c:pt idx="26">
                  <c:v>66.031137608183982</c:v>
                </c:pt>
                <c:pt idx="27">
                  <c:v>66.024965056753047</c:v>
                </c:pt>
                <c:pt idx="28">
                  <c:v>66.014313493288185</c:v>
                </c:pt>
                <c:pt idx="29">
                  <c:v>65.999724914807487</c:v>
                </c:pt>
                <c:pt idx="30">
                  <c:v>65.981667371997887</c:v>
                </c:pt>
                <c:pt idx="31">
                  <c:v>65.960546751033377</c:v>
                </c:pt>
                <c:pt idx="32">
                  <c:v>65.936716400014078</c:v>
                </c:pt>
                <c:pt idx="33">
                  <c:v>65.91048504399096</c:v>
                </c:pt>
                <c:pt idx="34">
                  <c:v>65.882123331275835</c:v>
                </c:pt>
                <c:pt idx="35">
                  <c:v>65.851869277702619</c:v>
                </c:pt>
                <c:pt idx="36">
                  <c:v>65.81993281791668</c:v>
                </c:pt>
                <c:pt idx="37">
                  <c:v>65.786499628780831</c:v>
                </c:pt>
                <c:pt idx="38">
                  <c:v>65.751734356127002</c:v>
                </c:pt>
                <c:pt idx="39">
                  <c:v>65.715783349826154</c:v>
                </c:pt>
                <c:pt idx="40">
                  <c:v>65.678776991647112</c:v>
                </c:pt>
                <c:pt idx="41">
                  <c:v>65.640831684259837</c:v>
                </c:pt>
                <c:pt idx="42">
                  <c:v>65.602051556994596</c:v>
                </c:pt>
                <c:pt idx="43">
                  <c:v>65.56252993382931</c:v>
                </c:pt>
                <c:pt idx="44">
                  <c:v>65.522350600965538</c:v>
                </c:pt>
                <c:pt idx="45">
                  <c:v>65.481588904830446</c:v>
                </c:pt>
                <c:pt idx="46">
                  <c:v>65.440312706068084</c:v>
                </c:pt>
                <c:pt idx="47">
                  <c:v>65.398583210799615</c:v>
                </c:pt>
                <c:pt idx="48">
                  <c:v>65.356455696937161</c:v>
                </c:pt>
                <c:pt idx="49">
                  <c:v>65.313980150470769</c:v>
                </c:pt>
                <c:pt idx="50">
                  <c:v>65.271201824290074</c:v>
                </c:pt>
                <c:pt idx="51">
                  <c:v>65.228161730153715</c:v>
                </c:pt>
                <c:pt idx="52">
                  <c:v>65.184897072803139</c:v>
                </c:pt>
                <c:pt idx="53">
                  <c:v>65.141441633871509</c:v>
                </c:pt>
                <c:pt idx="54">
                  <c:v>65.097826112113864</c:v>
                </c:pt>
                <c:pt idx="55">
                  <c:v>65.054078425541633</c:v>
                </c:pt>
                <c:pt idx="56">
                  <c:v>65.010223980251595</c:v>
                </c:pt>
                <c:pt idx="57">
                  <c:v>64.966285910069942</c:v>
                </c:pt>
                <c:pt idx="58">
                  <c:v>64.922285290565711</c:v>
                </c:pt>
                <c:pt idx="59">
                  <c:v>64.878241330506981</c:v>
                </c:pt>
                <c:pt idx="60">
                  <c:v>64.834171543423707</c:v>
                </c:pt>
                <c:pt idx="61">
                  <c:v>64.790091901591836</c:v>
                </c:pt>
                <c:pt idx="62">
                  <c:v>64.746016974454463</c:v>
                </c:pt>
                <c:pt idx="63">
                  <c:v>64.701960053238622</c:v>
                </c:pt>
                <c:pt idx="64">
                  <c:v>64.65793326330656</c:v>
                </c:pt>
                <c:pt idx="65">
                  <c:v>64.613947665589208</c:v>
                </c:pt>
                <c:pt idx="66">
                  <c:v>64.570013348286011</c:v>
                </c:pt>
                <c:pt idx="67">
                  <c:v>64.52613950987211</c:v>
                </c:pt>
                <c:pt idx="68">
                  <c:v>64.482334534331102</c:v>
                </c:pt>
                <c:pt idx="69">
                  <c:v>64.438606059423819</c:v>
                </c:pt>
                <c:pt idx="70">
                  <c:v>64.394961038709823</c:v>
                </c:pt>
                <c:pt idx="71">
                  <c:v>64.351405797956744</c:v>
                </c:pt>
                <c:pt idx="72">
                  <c:v>64.307946086501445</c:v>
                </c:pt>
                <c:pt idx="73">
                  <c:v>64.264587124063539</c:v>
                </c:pt>
                <c:pt idx="74">
                  <c:v>64.221333643457427</c:v>
                </c:pt>
                <c:pt idx="75">
                  <c:v>64.178189929600777</c:v>
                </c:pt>
                <c:pt idx="76">
                  <c:v>64.135159855173868</c:v>
                </c:pt>
                <c:pt idx="77">
                  <c:v>64.092246913247493</c:v>
                </c:pt>
                <c:pt idx="78">
                  <c:v>64.049454247164064</c:v>
                </c:pt>
                <c:pt idx="79">
                  <c:v>64.096775380629367</c:v>
                </c:pt>
                <c:pt idx="80">
                  <c:v>64.608615677580929</c:v>
                </c:pt>
                <c:pt idx="81">
                  <c:v>65.110105293935689</c:v>
                </c:pt>
                <c:pt idx="82">
                  <c:v>65.601820997225317</c:v>
                </c:pt>
                <c:pt idx="83">
                  <c:v>66.084091933567038</c:v>
                </c:pt>
                <c:pt idx="84">
                  <c:v>66.556622081816869</c:v>
                </c:pt>
                <c:pt idx="85">
                  <c:v>66.94939160766161</c:v>
                </c:pt>
                <c:pt idx="86">
                  <c:v>67.120784769508418</c:v>
                </c:pt>
                <c:pt idx="87">
                  <c:v>67.289394998800773</c:v>
                </c:pt>
                <c:pt idx="88">
                  <c:v>67.455095362243966</c:v>
                </c:pt>
                <c:pt idx="89">
                  <c:v>67.618019668273831</c:v>
                </c:pt>
                <c:pt idx="90">
                  <c:v>67.778225928469681</c:v>
                </c:pt>
                <c:pt idx="91">
                  <c:v>67.93577049493841</c:v>
                </c:pt>
                <c:pt idx="92">
                  <c:v>68.090708118219752</c:v>
                </c:pt>
                <c:pt idx="93">
                  <c:v>68.24309200277186</c:v>
                </c:pt>
                <c:pt idx="94">
                  <c:v>68.392973860154029</c:v>
                </c:pt>
                <c:pt idx="95">
                  <c:v>68.540403960018153</c:v>
                </c:pt>
                <c:pt idx="96">
                  <c:v>68.685431179013293</c:v>
                </c:pt>
                <c:pt idx="97">
                  <c:v>68.828103047702555</c:v>
                </c:pt>
                <c:pt idx="98">
                  <c:v>68.968465795585857</c:v>
                </c:pt>
                <c:pt idx="99">
                  <c:v>69.106564394317672</c:v>
                </c:pt>
                <c:pt idx="100">
                  <c:v>69.242442599202732</c:v>
                </c:pt>
              </c:numCache>
            </c:numRef>
          </c:val>
          <c:smooth val="0"/>
          <c:extLst>
            <c:ext xmlns:c16="http://schemas.microsoft.com/office/drawing/2014/chart" uri="{C3380CC4-5D6E-409C-BE32-E72D297353CC}">
              <c16:uniqueId val="{00000000-1E04-4A6B-B26C-C435E097FB7E}"/>
            </c:ext>
          </c:extLst>
        </c:ser>
        <c:dLbls>
          <c:showLegendKey val="0"/>
          <c:showVal val="0"/>
          <c:showCatName val="0"/>
          <c:showSerName val="0"/>
          <c:showPercent val="0"/>
          <c:showBubbleSize val="0"/>
        </c:dLbls>
        <c:marker val="1"/>
        <c:smooth val="0"/>
        <c:axId val="448972288"/>
        <c:axId val="448974208"/>
      </c:lineChart>
      <c:lineChart>
        <c:grouping val="standard"/>
        <c:varyColors val="0"/>
        <c:ser>
          <c:idx val="2"/>
          <c:order val="1"/>
          <c:tx>
            <c:strRef>
              <c:f>'Calculations - Single'!$BO$3</c:f>
              <c:strCache>
                <c:ptCount val="1"/>
                <c:pt idx="0">
                  <c:v>Flyback Diode Loss</c:v>
                </c:pt>
              </c:strCache>
            </c:strRef>
          </c:tx>
          <c:spPr>
            <a:ln w="38100">
              <a:solidFill>
                <a:srgbClr val="808000"/>
              </a:solidFill>
              <a:prstDash val="sysDash"/>
            </a:ln>
          </c:spPr>
          <c:marker>
            <c:symbol val="none"/>
          </c:marker>
          <c:val>
            <c:numRef>
              <c:f>'Calculations - Single'!$BR$5:$BR$105</c:f>
              <c:numCache>
                <c:formatCode>0.0</c:formatCode>
                <c:ptCount val="101"/>
                <c:pt idx="0">
                  <c:v>6.7059999999999998E-7</c:v>
                </c:pt>
                <c:pt idx="1">
                  <c:v>16.764999999999997</c:v>
                </c:pt>
                <c:pt idx="2">
                  <c:v>33.529999999999994</c:v>
                </c:pt>
                <c:pt idx="3">
                  <c:v>50.295000000000002</c:v>
                </c:pt>
                <c:pt idx="4">
                  <c:v>67.059999999999988</c:v>
                </c:pt>
                <c:pt idx="5">
                  <c:v>83.825000000000003</c:v>
                </c:pt>
                <c:pt idx="6">
                  <c:v>100.59</c:v>
                </c:pt>
                <c:pt idx="7">
                  <c:v>117.35499999999999</c:v>
                </c:pt>
                <c:pt idx="8">
                  <c:v>134.11999999999998</c:v>
                </c:pt>
                <c:pt idx="9">
                  <c:v>150.88499999999996</c:v>
                </c:pt>
                <c:pt idx="10">
                  <c:v>167.65</c:v>
                </c:pt>
                <c:pt idx="11">
                  <c:v>184.41499999999999</c:v>
                </c:pt>
                <c:pt idx="12">
                  <c:v>201.18</c:v>
                </c:pt>
                <c:pt idx="13">
                  <c:v>217.94499999999996</c:v>
                </c:pt>
                <c:pt idx="14">
                  <c:v>234.70999999999998</c:v>
                </c:pt>
                <c:pt idx="15">
                  <c:v>251.47499999999994</c:v>
                </c:pt>
                <c:pt idx="16">
                  <c:v>268.23999999999995</c:v>
                </c:pt>
                <c:pt idx="17">
                  <c:v>285.00499999999994</c:v>
                </c:pt>
                <c:pt idx="18">
                  <c:v>301.76999999999992</c:v>
                </c:pt>
                <c:pt idx="19">
                  <c:v>318.53499999999997</c:v>
                </c:pt>
                <c:pt idx="20">
                  <c:v>335.3</c:v>
                </c:pt>
                <c:pt idx="21">
                  <c:v>352.06499999999994</c:v>
                </c:pt>
                <c:pt idx="22">
                  <c:v>368.83</c:v>
                </c:pt>
                <c:pt idx="23">
                  <c:v>385.59500000000003</c:v>
                </c:pt>
                <c:pt idx="24">
                  <c:v>402.36</c:v>
                </c:pt>
                <c:pt idx="25">
                  <c:v>419.12499999999994</c:v>
                </c:pt>
                <c:pt idx="26">
                  <c:v>435.88999999999993</c:v>
                </c:pt>
                <c:pt idx="27">
                  <c:v>452.65499999999997</c:v>
                </c:pt>
                <c:pt idx="28">
                  <c:v>469.41999999999996</c:v>
                </c:pt>
                <c:pt idx="29">
                  <c:v>486.18499999999995</c:v>
                </c:pt>
                <c:pt idx="30">
                  <c:v>502.94999999999987</c:v>
                </c:pt>
                <c:pt idx="31">
                  <c:v>519.71499999999992</c:v>
                </c:pt>
                <c:pt idx="32">
                  <c:v>536.4799999999999</c:v>
                </c:pt>
                <c:pt idx="33">
                  <c:v>553.245</c:v>
                </c:pt>
                <c:pt idx="34">
                  <c:v>570.00999999999988</c:v>
                </c:pt>
                <c:pt idx="35">
                  <c:v>586.77499999999998</c:v>
                </c:pt>
                <c:pt idx="36">
                  <c:v>603.53999999999985</c:v>
                </c:pt>
                <c:pt idx="37">
                  <c:v>620.30499999999995</c:v>
                </c:pt>
                <c:pt idx="38">
                  <c:v>637.06999999999994</c:v>
                </c:pt>
                <c:pt idx="39">
                  <c:v>653.83499999999992</c:v>
                </c:pt>
                <c:pt idx="40">
                  <c:v>670.6</c:v>
                </c:pt>
                <c:pt idx="41">
                  <c:v>687.3649999999999</c:v>
                </c:pt>
                <c:pt idx="42">
                  <c:v>704.12999999999988</c:v>
                </c:pt>
                <c:pt idx="43">
                  <c:v>720.89499999999998</c:v>
                </c:pt>
                <c:pt idx="44">
                  <c:v>737.66</c:v>
                </c:pt>
                <c:pt idx="45">
                  <c:v>754.42499999999995</c:v>
                </c:pt>
                <c:pt idx="46">
                  <c:v>771.19</c:v>
                </c:pt>
                <c:pt idx="47">
                  <c:v>787.9549999999997</c:v>
                </c:pt>
                <c:pt idx="48">
                  <c:v>804.72</c:v>
                </c:pt>
                <c:pt idx="49">
                  <c:v>821.48500000000001</c:v>
                </c:pt>
                <c:pt idx="50">
                  <c:v>838.24999999999989</c:v>
                </c:pt>
                <c:pt idx="51">
                  <c:v>855.01499999999987</c:v>
                </c:pt>
                <c:pt idx="52">
                  <c:v>871.77999999999986</c:v>
                </c:pt>
                <c:pt idx="53">
                  <c:v>888.54500000000007</c:v>
                </c:pt>
                <c:pt idx="54">
                  <c:v>905.31</c:v>
                </c:pt>
                <c:pt idx="55">
                  <c:v>922.07499999999982</c:v>
                </c:pt>
                <c:pt idx="56">
                  <c:v>938.83999999999992</c:v>
                </c:pt>
                <c:pt idx="57">
                  <c:v>955.60499999999979</c:v>
                </c:pt>
                <c:pt idx="58">
                  <c:v>972.36999999999989</c:v>
                </c:pt>
                <c:pt idx="59">
                  <c:v>989.13499999999976</c:v>
                </c:pt>
                <c:pt idx="60">
                  <c:v>1005.8999999999997</c:v>
                </c:pt>
                <c:pt idx="61">
                  <c:v>1022.665</c:v>
                </c:pt>
                <c:pt idx="62">
                  <c:v>1039.4299999999998</c:v>
                </c:pt>
                <c:pt idx="63">
                  <c:v>1056.1949999999997</c:v>
                </c:pt>
                <c:pt idx="64">
                  <c:v>1072.9599999999998</c:v>
                </c:pt>
                <c:pt idx="65">
                  <c:v>1089.7249999999999</c:v>
                </c:pt>
                <c:pt idx="66">
                  <c:v>1106.49</c:v>
                </c:pt>
                <c:pt idx="67">
                  <c:v>1123.2549999999999</c:v>
                </c:pt>
                <c:pt idx="68">
                  <c:v>1140.0199999999998</c:v>
                </c:pt>
                <c:pt idx="69">
                  <c:v>1156.7849999999996</c:v>
                </c:pt>
                <c:pt idx="70">
                  <c:v>1173.55</c:v>
                </c:pt>
                <c:pt idx="71">
                  <c:v>1190.3149999999998</c:v>
                </c:pt>
                <c:pt idx="72">
                  <c:v>1207.0799999999997</c:v>
                </c:pt>
                <c:pt idx="73">
                  <c:v>1223.8449999999998</c:v>
                </c:pt>
                <c:pt idx="74">
                  <c:v>1240.6099999999999</c:v>
                </c:pt>
                <c:pt idx="75">
                  <c:v>1257.375</c:v>
                </c:pt>
                <c:pt idx="76">
                  <c:v>1274.1399999999999</c:v>
                </c:pt>
                <c:pt idx="77">
                  <c:v>1290.905</c:v>
                </c:pt>
                <c:pt idx="78">
                  <c:v>1307.6699999999998</c:v>
                </c:pt>
                <c:pt idx="79">
                  <c:v>1324.4349999999999</c:v>
                </c:pt>
                <c:pt idx="80">
                  <c:v>1341.2</c:v>
                </c:pt>
                <c:pt idx="81">
                  <c:v>1357.9650000000001</c:v>
                </c:pt>
                <c:pt idx="82">
                  <c:v>1374.7299999999998</c:v>
                </c:pt>
                <c:pt idx="83">
                  <c:v>1391.4949999999997</c:v>
                </c:pt>
                <c:pt idx="84">
                  <c:v>1408.2599999999998</c:v>
                </c:pt>
                <c:pt idx="85">
                  <c:v>1425.0249999999999</c:v>
                </c:pt>
                <c:pt idx="86">
                  <c:v>1441.79</c:v>
                </c:pt>
                <c:pt idx="87">
                  <c:v>1458.5549999999996</c:v>
                </c:pt>
                <c:pt idx="88">
                  <c:v>1475.32</c:v>
                </c:pt>
                <c:pt idx="89">
                  <c:v>1492.0849999999998</c:v>
                </c:pt>
                <c:pt idx="90">
                  <c:v>1508.85</c:v>
                </c:pt>
                <c:pt idx="91">
                  <c:v>1525.6149999999998</c:v>
                </c:pt>
                <c:pt idx="92">
                  <c:v>1542.38</c:v>
                </c:pt>
                <c:pt idx="93">
                  <c:v>1559.1449999999998</c:v>
                </c:pt>
                <c:pt idx="94">
                  <c:v>1575.9099999999994</c:v>
                </c:pt>
                <c:pt idx="95">
                  <c:v>1592.6749999999997</c:v>
                </c:pt>
                <c:pt idx="96">
                  <c:v>1609.44</c:v>
                </c:pt>
                <c:pt idx="97">
                  <c:v>1626.2049999999997</c:v>
                </c:pt>
                <c:pt idx="98">
                  <c:v>1642.97</c:v>
                </c:pt>
                <c:pt idx="99">
                  <c:v>1659.7349999999999</c:v>
                </c:pt>
                <c:pt idx="100">
                  <c:v>1676.4999999999998</c:v>
                </c:pt>
              </c:numCache>
            </c:numRef>
          </c:val>
          <c:smooth val="0"/>
          <c:extLst>
            <c:ext xmlns:c16="http://schemas.microsoft.com/office/drawing/2014/chart" uri="{C3380CC4-5D6E-409C-BE32-E72D297353CC}">
              <c16:uniqueId val="{00000001-1E04-4A6B-B26C-C435E097FB7E}"/>
            </c:ext>
          </c:extLst>
        </c:ser>
        <c:ser>
          <c:idx val="3"/>
          <c:order val="2"/>
          <c:tx>
            <c:strRef>
              <c:f>'Calculations - Single'!$BG$3</c:f>
              <c:strCache>
                <c:ptCount val="1"/>
                <c:pt idx="0">
                  <c:v>MOSFET Loss</c:v>
                </c:pt>
              </c:strCache>
            </c:strRef>
          </c:tx>
          <c:spPr>
            <a:ln w="38100">
              <a:solidFill>
                <a:srgbClr val="800080"/>
              </a:solidFill>
              <a:prstDash val="dash"/>
            </a:ln>
          </c:spPr>
          <c:marker>
            <c:symbol val="none"/>
          </c:marker>
          <c:val>
            <c:numRef>
              <c:f>'Calculations - Single'!$BM$5:$BM$105</c:f>
              <c:numCache>
                <c:formatCode>0.0000</c:formatCode>
                <c:ptCount val="101"/>
                <c:pt idx="0">
                  <c:v>6.0354746970104192E-2</c:v>
                </c:pt>
                <c:pt idx="1">
                  <c:v>0.13695989779645246</c:v>
                </c:pt>
                <c:pt idx="2">
                  <c:v>0.27396392223095989</c:v>
                </c:pt>
                <c:pt idx="3">
                  <c:v>0.41101209463247251</c:v>
                </c:pt>
                <c:pt idx="4">
                  <c:v>0.54810443634368933</c:v>
                </c:pt>
                <c:pt idx="5">
                  <c:v>0.68524096872106788</c:v>
                </c:pt>
                <c:pt idx="6">
                  <c:v>0.8224217131348367</c:v>
                </c:pt>
                <c:pt idx="7">
                  <c:v>0.95964669096900601</c:v>
                </c:pt>
                <c:pt idx="8">
                  <c:v>1.0969159236213775</c:v>
                </c:pt>
                <c:pt idx="9">
                  <c:v>1.2342294325035577</c:v>
                </c:pt>
                <c:pt idx="10">
                  <c:v>1.3715872390409676</c:v>
                </c:pt>
                <c:pt idx="11">
                  <c:v>1.5089893646728549</c:v>
                </c:pt>
                <c:pt idx="12">
                  <c:v>1.6464358308523022</c:v>
                </c:pt>
                <c:pt idx="13">
                  <c:v>1.7715644138594751</c:v>
                </c:pt>
                <c:pt idx="14">
                  <c:v>1.8190890250908045</c:v>
                </c:pt>
                <c:pt idx="15">
                  <c:v>1.8650979070416998</c:v>
                </c:pt>
                <c:pt idx="16">
                  <c:v>1.9097470350500709</c:v>
                </c:pt>
                <c:pt idx="17">
                  <c:v>1.9531682583143033</c:v>
                </c:pt>
                <c:pt idx="18">
                  <c:v>1.9954742148705744</c:v>
                </c:pt>
                <c:pt idx="19">
                  <c:v>2.0367620305025484</c:v>
                </c:pt>
                <c:pt idx="20">
                  <c:v>2.0771161501650188</c:v>
                </c:pt>
                <c:pt idx="21">
                  <c:v>2.1166105382507365</c:v>
                </c:pt>
                <c:pt idx="22">
                  <c:v>2.1553104115248556</c:v>
                </c:pt>
                <c:pt idx="23">
                  <c:v>2.1932736205596939</c:v>
                </c:pt>
                <c:pt idx="24">
                  <c:v>2.2305517630347675</c:v>
                </c:pt>
                <c:pt idx="25">
                  <c:v>2.2671910898669907</c:v>
                </c:pt>
                <c:pt idx="26">
                  <c:v>2.3032332494053023</c:v>
                </c:pt>
                <c:pt idx="27">
                  <c:v>2.3387159036981764</c:v>
                </c:pt>
                <c:pt idx="28">
                  <c:v>2.3736732427129881</c:v>
                </c:pt>
                <c:pt idx="29">
                  <c:v>2.4081364164194574</c:v>
                </c:pt>
                <c:pt idx="30">
                  <c:v>2.4421339002155698</c:v>
                </c:pt>
                <c:pt idx="31">
                  <c:v>2.475691805841973</c:v>
                </c:pt>
                <c:pt idx="32">
                  <c:v>2.5088341473996287</c:v>
                </c:pt>
                <c:pt idx="33">
                  <c:v>2.5415830701440627</c:v>
                </c:pt>
                <c:pt idx="34">
                  <c:v>2.5739590482266808</c:v>
                </c:pt>
                <c:pt idx="35">
                  <c:v>2.6059810563805028</c:v>
                </c:pt>
                <c:pt idx="36">
                  <c:v>2.6376667196244985</c:v>
                </c:pt>
                <c:pt idx="37">
                  <c:v>2.6690324443288413</c:v>
                </c:pt>
                <c:pt idx="38">
                  <c:v>2.7000935333991753</c:v>
                </c:pt>
                <c:pt idx="39">
                  <c:v>2.7308642878684335</c:v>
                </c:pt>
                <c:pt idx="40">
                  <c:v>2.761358096805099</c:v>
                </c:pt>
                <c:pt idx="41">
                  <c:v>2.791587517138006</c:v>
                </c:pt>
                <c:pt idx="42">
                  <c:v>2.8215643447451471</c:v>
                </c:pt>
                <c:pt idx="43">
                  <c:v>2.8512996779463342</c:v>
                </c:pt>
                <c:pt idx="44">
                  <c:v>2.8808039743679346</c:v>
                </c:pt>
                <c:pt idx="45">
                  <c:v>2.9100871020053924</c:v>
                </c:pt>
                <c:pt idx="46">
                  <c:v>2.9391583851904883</c:v>
                </c:pt>
                <c:pt idx="47">
                  <c:v>2.9680266460706779</c:v>
                </c:pt>
                <c:pt idx="48">
                  <c:v>2.9967002421242261</c:v>
                </c:pt>
                <c:pt idx="49">
                  <c:v>3.025187100164092</c:v>
                </c:pt>
                <c:pt idx="50">
                  <c:v>3.0534947472237048</c:v>
                </c:pt>
                <c:pt idx="51">
                  <c:v>3.0816303386667663</c:v>
                </c:pt>
                <c:pt idx="52">
                  <c:v>3.1096006838197607</c:v>
                </c:pt>
                <c:pt idx="53">
                  <c:v>3.1374122693886388</c:v>
                </c:pt>
                <c:pt idx="54">
                  <c:v>3.1650712808891259</c:v>
                </c:pt>
                <c:pt idx="55">
                  <c:v>3.1925836222926245</c:v>
                </c:pt>
                <c:pt idx="56">
                  <c:v>3.2199549340657891</c:v>
                </c:pt>
                <c:pt idx="57">
                  <c:v>3.2471906097613132</c:v>
                </c:pt>
                <c:pt idx="58">
                  <c:v>3.2742958112994791</c:v>
                </c:pt>
                <c:pt idx="59">
                  <c:v>3.3012754830644759</c:v>
                </c:pt>
                <c:pt idx="60">
                  <c:v>3.3281343649258162</c:v>
                </c:pt>
                <c:pt idx="61">
                  <c:v>3.3548770042832623</c:v>
                </c:pt>
                <c:pt idx="62">
                  <c:v>3.3815077672232268</c:v>
                </c:pt>
                <c:pt idx="63">
                  <c:v>3.4080308488653928</c:v>
                </c:pt>
                <c:pt idx="64">
                  <c:v>3.434450282970178</c:v>
                </c:pt>
                <c:pt idx="65">
                  <c:v>3.4607699508705396</c:v>
                </c:pt>
                <c:pt idx="66">
                  <c:v>3.4869935897852349</c:v>
                </c:pt>
                <c:pt idx="67">
                  <c:v>3.513124800565083</c:v>
                </c:pt>
                <c:pt idx="68">
                  <c:v>3.5391670549187308</c:v>
                </c:pt>
                <c:pt idx="69">
                  <c:v>3.5651237021600251</c:v>
                </c:pt>
                <c:pt idx="70">
                  <c:v>3.5909979755151267</c:v>
                </c:pt>
                <c:pt idx="71">
                  <c:v>3.6167929980239291</c:v>
                </c:pt>
                <c:pt idx="72">
                  <c:v>3.6425117880672513</c:v>
                </c:pt>
                <c:pt idx="73">
                  <c:v>3.6681572645483498</c:v>
                </c:pt>
                <c:pt idx="74">
                  <c:v>3.6937322517548568</c:v>
                </c:pt>
                <c:pt idx="75">
                  <c:v>3.7192394839248504</c:v>
                </c:pt>
                <c:pt idx="76">
                  <c:v>3.7446816095388127</c:v>
                </c:pt>
                <c:pt idx="77">
                  <c:v>3.7700611953573002</c:v>
                </c:pt>
                <c:pt idx="78">
                  <c:v>3.7953807302225027</c:v>
                </c:pt>
                <c:pt idx="79">
                  <c:v>3.813170832679583</c:v>
                </c:pt>
                <c:pt idx="80">
                  <c:v>3.7920997593613568</c:v>
                </c:pt>
                <c:pt idx="81">
                  <c:v>3.7714204129025477</c:v>
                </c:pt>
                <c:pt idx="82">
                  <c:v>3.7511158879813826</c:v>
                </c:pt>
                <c:pt idx="83">
                  <c:v>3.7311734031737709</c:v>
                </c:pt>
                <c:pt idx="84">
                  <c:v>3.711589846530774</c:v>
                </c:pt>
                <c:pt idx="85">
                  <c:v>3.6980330367533942</c:v>
                </c:pt>
                <c:pt idx="86">
                  <c:v>3.7021347083244729</c:v>
                </c:pt>
                <c:pt idx="87">
                  <c:v>3.706435210664242</c:v>
                </c:pt>
                <c:pt idx="88">
                  <c:v>3.710896669973629</c:v>
                </c:pt>
                <c:pt idx="89">
                  <c:v>3.7155304817101911</c:v>
                </c:pt>
                <c:pt idx="90">
                  <c:v>3.7203350591989461</c:v>
                </c:pt>
                <c:pt idx="91">
                  <c:v>3.7253089122923218</c:v>
                </c:pt>
                <c:pt idx="92">
                  <c:v>3.7304506429793176</c:v>
                </c:pt>
                <c:pt idx="93">
                  <c:v>3.735758941268839</c:v>
                </c:pt>
                <c:pt idx="94">
                  <c:v>3.7412325813281551</c:v>
                </c:pt>
                <c:pt idx="95">
                  <c:v>3.7468704178589483</c:v>
                </c:pt>
                <c:pt idx="96">
                  <c:v>3.7526713826948606</c:v>
                </c:pt>
                <c:pt idx="97">
                  <c:v>3.7586344816056041</c:v>
                </c:pt>
                <c:pt idx="98">
                  <c:v>3.7647587912939375</c:v>
                </c:pt>
                <c:pt idx="99">
                  <c:v>3.7710434565728255</c:v>
                </c:pt>
                <c:pt idx="100">
                  <c:v>3.7774876877110262</c:v>
                </c:pt>
              </c:numCache>
            </c:numRef>
          </c:val>
          <c:smooth val="0"/>
          <c:extLst>
            <c:ext xmlns:c16="http://schemas.microsoft.com/office/drawing/2014/chart" uri="{C3380CC4-5D6E-409C-BE32-E72D297353CC}">
              <c16:uniqueId val="{00000002-1E04-4A6B-B26C-C435E097FB7E}"/>
            </c:ext>
          </c:extLst>
        </c:ser>
        <c:ser>
          <c:idx val="1"/>
          <c:order val="3"/>
          <c:tx>
            <c:strRef>
              <c:f>'Calculations - Single'!$BS$3</c:f>
              <c:strCache>
                <c:ptCount val="1"/>
                <c:pt idx="0">
                  <c:v>Transformer Loss</c:v>
                </c:pt>
              </c:strCache>
            </c:strRef>
          </c:tx>
          <c:spPr>
            <a:ln w="38100">
              <a:solidFill>
                <a:srgbClr val="002060"/>
              </a:solidFill>
              <a:prstDash val="sysDot"/>
            </a:ln>
          </c:spPr>
          <c:marker>
            <c:symbol val="none"/>
          </c:marker>
          <c:val>
            <c:numRef>
              <c:f>'Calculations - Single'!$BX$5:$BX$105</c:f>
              <c:numCache>
                <c:formatCode>0.0</c:formatCode>
                <c:ptCount val="101"/>
                <c:pt idx="0">
                  <c:v>78.405523138894438</c:v>
                </c:pt>
                <c:pt idx="1">
                  <c:v>98.736488069960956</c:v>
                </c:pt>
                <c:pt idx="2">
                  <c:v>147.29842262899723</c:v>
                </c:pt>
                <c:pt idx="3">
                  <c:v>216.6162669017379</c:v>
                </c:pt>
                <c:pt idx="4">
                  <c:v>311.43239545780222</c:v>
                </c:pt>
                <c:pt idx="5">
                  <c:v>435.72196874604572</c:v>
                </c:pt>
                <c:pt idx="6">
                  <c:v>592.97952435265586</c:v>
                </c:pt>
                <c:pt idx="7">
                  <c:v>786.36097782376135</c:v>
                </c:pt>
                <c:pt idx="8">
                  <c:v>1018.7667310503952</c:v>
                </c:pt>
                <c:pt idx="9">
                  <c:v>1292.8953934366098</c:v>
                </c:pt>
                <c:pt idx="10">
                  <c:v>1611.2809188285382</c:v>
                </c:pt>
                <c:pt idx="11">
                  <c:v>1976.3195606856857</c:v>
                </c:pt>
                <c:pt idx="12">
                  <c:v>2390.2901774815273</c:v>
                </c:pt>
                <c:pt idx="13">
                  <c:v>2824.2285053366909</c:v>
                </c:pt>
                <c:pt idx="14">
                  <c:v>3090.1008600921118</c:v>
                </c:pt>
                <c:pt idx="15">
                  <c:v>3360.2851525045621</c:v>
                </c:pt>
                <c:pt idx="16">
                  <c:v>3634.5761392856643</c:v>
                </c:pt>
                <c:pt idx="17">
                  <c:v>3912.7914469043881</c:v>
                </c:pt>
                <c:pt idx="18">
                  <c:v>4194.7678276833003</c:v>
                </c:pt>
                <c:pt idx="19">
                  <c:v>4480.3582044829609</c:v>
                </c:pt>
                <c:pt idx="20">
                  <c:v>4769.4293047268802</c:v>
                </c:pt>
                <c:pt idx="21">
                  <c:v>5061.8597424015343</c:v>
                </c:pt>
                <c:pt idx="22">
                  <c:v>5357.538445751391</c:v>
                </c:pt>
                <c:pt idx="23">
                  <c:v>5656.3633553667942</c:v>
                </c:pt>
                <c:pt idx="24">
                  <c:v>5958.2403363512531</c:v>
                </c:pt>
                <c:pt idx="25">
                  <c:v>6263.0822618574448</c:v>
                </c:pt>
                <c:pt idx="26">
                  <c:v>6570.8082351813373</c:v>
                </c:pt>
                <c:pt idx="27">
                  <c:v>6881.3429249140636</c:v>
                </c:pt>
                <c:pt idx="28">
                  <c:v>7194.615993120663</c:v>
                </c:pt>
                <c:pt idx="29">
                  <c:v>7510.5616006561995</c:v>
                </c:pt>
                <c:pt idx="30">
                  <c:v>7829.1179769011505</c:v>
                </c:pt>
                <c:pt idx="31">
                  <c:v>8150.2270436508898</c:v>
                </c:pt>
                <c:pt idx="32">
                  <c:v>8473.8340848097632</c:v>
                </c:pt>
                <c:pt idx="33">
                  <c:v>8799.887455049673</c:v>
                </c:pt>
                <c:pt idx="34">
                  <c:v>9128.3383217911887</c:v>
                </c:pt>
                <c:pt idx="35">
                  <c:v>9459.1404358253385</c:v>
                </c:pt>
                <c:pt idx="36">
                  <c:v>9792.2499266670802</c:v>
                </c:pt>
                <c:pt idx="37">
                  <c:v>10127.6251193593</c:v>
                </c:pt>
                <c:pt idx="38">
                  <c:v>10465.226369958527</c:v>
                </c:pt>
                <c:pt idx="39">
                  <c:v>10805.015917355064</c:v>
                </c:pt>
                <c:pt idx="40">
                  <c:v>11146.957749427271</c:v>
                </c:pt>
                <c:pt idx="41">
                  <c:v>11491.017481819537</c:v>
                </c:pt>
                <c:pt idx="42">
                  <c:v>11837.162247873617</c:v>
                </c:pt>
                <c:pt idx="43">
                  <c:v>12185.360598445939</c:v>
                </c:pt>
                <c:pt idx="44">
                  <c:v>12535.582410513345</c:v>
                </c:pt>
                <c:pt idx="45">
                  <c:v>12887.798803613867</c:v>
                </c:pt>
                <c:pt idx="46">
                  <c:v>13241.982063291525</c:v>
                </c:pt>
                <c:pt idx="47">
                  <c:v>13598.105570818516</c:v>
                </c:pt>
                <c:pt idx="48">
                  <c:v>13956.143738557397</c:v>
                </c:pt>
                <c:pt idx="49">
                  <c:v>14316.071950402336</c:v>
                </c:pt>
                <c:pt idx="50">
                  <c:v>14677.866506805003</c:v>
                </c:pt>
                <c:pt idx="51">
                  <c:v>15041.504573947546</c:v>
                </c:pt>
                <c:pt idx="52">
                  <c:v>15406.964136674405</c:v>
                </c:pt>
                <c:pt idx="53">
                  <c:v>15774.223954838275</c:v>
                </c:pt>
                <c:pt idx="54">
                  <c:v>16143.263522752819</c:v>
                </c:pt>
                <c:pt idx="55">
                  <c:v>16514.063031477461</c:v>
                </c:pt>
                <c:pt idx="56">
                  <c:v>16886.603333688781</c:v>
                </c:pt>
                <c:pt idx="57">
                  <c:v>17260.865910917953</c:v>
                </c:pt>
                <c:pt idx="58">
                  <c:v>17636.832842956373</c:v>
                </c:pt>
                <c:pt idx="59">
                  <c:v>18014.486779250852</c:v>
                </c:pt>
                <c:pt idx="60">
                  <c:v>18393.810912127756</c:v>
                </c:pt>
                <c:pt idx="61">
                  <c:v>18774.788951700557</c:v>
                </c:pt>
                <c:pt idx="62">
                  <c:v>19157.405102329005</c:v>
                </c:pt>
                <c:pt idx="63">
                  <c:v>19541.644040510757</c:v>
                </c:pt>
                <c:pt idx="64">
                  <c:v>19927.490894096813</c:v>
                </c:pt>
                <c:pt idx="65">
                  <c:v>20314.931222732168</c:v>
                </c:pt>
                <c:pt idx="66">
                  <c:v>20703.950999431629</c:v>
                </c:pt>
                <c:pt idx="67">
                  <c:v>21094.536593208923</c:v>
                </c:pt>
                <c:pt idx="68">
                  <c:v>21486.674752683983</c:v>
                </c:pt>
                <c:pt idx="69">
                  <c:v>21880.352590599701</c:v>
                </c:pt>
                <c:pt idx="70">
                  <c:v>22275.557569185443</c:v>
                </c:pt>
                <c:pt idx="71">
                  <c:v>22672.277486309624</c:v>
                </c:pt>
                <c:pt idx="72">
                  <c:v>23070.500462367887</c:v>
                </c:pt>
                <c:pt idx="73">
                  <c:v>23470.214927858935</c:v>
                </c:pt>
                <c:pt idx="74">
                  <c:v>23871.409611602303</c:v>
                </c:pt>
                <c:pt idx="75">
                  <c:v>24274.073529557078</c:v>
                </c:pt>
                <c:pt idx="76">
                  <c:v>24678.1959742033</c:v>
                </c:pt>
                <c:pt idx="77">
                  <c:v>25083.766504450723</c:v>
                </c:pt>
                <c:pt idx="78">
                  <c:v>25490.774936041991</c:v>
                </c:pt>
                <c:pt idx="79">
                  <c:v>25785.459416669848</c:v>
                </c:pt>
                <c:pt idx="80">
                  <c:v>25490.18972975705</c:v>
                </c:pt>
                <c:pt idx="81">
                  <c:v>25202.071907652229</c:v>
                </c:pt>
                <c:pt idx="82">
                  <c:v>24920.37440114862</c:v>
                </c:pt>
                <c:pt idx="83">
                  <c:v>24644.704660479103</c:v>
                </c:pt>
                <c:pt idx="84">
                  <c:v>24375.497985921615</c:v>
                </c:pt>
                <c:pt idx="85">
                  <c:v>24199.980698943844</c:v>
                </c:pt>
                <c:pt idx="86">
                  <c:v>24295.481963657279</c:v>
                </c:pt>
                <c:pt idx="87">
                  <c:v>24390.363392869851</c:v>
                </c:pt>
                <c:pt idx="88">
                  <c:v>24484.936842806059</c:v>
                </c:pt>
                <c:pt idx="89">
                  <c:v>24579.115928098417</c:v>
                </c:pt>
                <c:pt idx="90">
                  <c:v>24672.924644797175</c:v>
                </c:pt>
                <c:pt idx="91">
                  <c:v>24766.386131316907</c:v>
                </c:pt>
                <c:pt idx="92">
                  <c:v>24859.52271103895</c:v>
                </c:pt>
                <c:pt idx="93">
                  <c:v>24952.355932493829</c:v>
                </c:pt>
                <c:pt idx="94">
                  <c:v>25044.906607284443</c:v>
                </c:pt>
                <c:pt idx="95">
                  <c:v>25137.194845896778</c:v>
                </c:pt>
                <c:pt idx="96">
                  <c:v>25229.240091535412</c:v>
                </c:pt>
                <c:pt idx="97">
                  <c:v>25321.061152110971</c:v>
                </c:pt>
                <c:pt idx="98">
                  <c:v>25412.676230497065</c:v>
                </c:pt>
                <c:pt idx="99">
                  <c:v>25504.102953165286</c:v>
                </c:pt>
                <c:pt idx="100">
                  <c:v>25595.358397301206</c:v>
                </c:pt>
              </c:numCache>
            </c:numRef>
          </c:val>
          <c:smooth val="0"/>
          <c:extLst>
            <c:ext xmlns:c16="http://schemas.microsoft.com/office/drawing/2014/chart" uri="{C3380CC4-5D6E-409C-BE32-E72D297353CC}">
              <c16:uniqueId val="{00000003-1E04-4A6B-B26C-C435E097FB7E}"/>
            </c:ext>
          </c:extLst>
        </c:ser>
        <c:dLbls>
          <c:showLegendKey val="0"/>
          <c:showVal val="0"/>
          <c:showCatName val="0"/>
          <c:showSerName val="0"/>
          <c:showPercent val="0"/>
          <c:showBubbleSize val="0"/>
        </c:dLbls>
        <c:marker val="1"/>
        <c:smooth val="0"/>
        <c:axId val="448986496"/>
        <c:axId val="448984576"/>
      </c:lineChart>
      <c:catAx>
        <c:axId val="448972288"/>
        <c:scaling>
          <c:orientation val="minMax"/>
        </c:scaling>
        <c:delete val="0"/>
        <c:axPos val="b"/>
        <c:majorGridlines>
          <c:spPr>
            <a:ln w="15875">
              <a:solidFill>
                <a:srgbClr val="969696"/>
              </a:solidFill>
              <a:prstDash val="sysDash"/>
            </a:ln>
          </c:spPr>
        </c:majorGridlines>
        <c:minorGridlines/>
        <c:title>
          <c:tx>
            <c:rich>
              <a:bodyPr/>
              <a:lstStyle/>
              <a:p>
                <a:pPr>
                  <a:defRPr lang="ja-JP"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Load Current (mA)</a:t>
                </a:r>
              </a:p>
            </c:rich>
          </c:tx>
          <c:layout>
            <c:manualLayout>
              <c:xMode val="edge"/>
              <c:yMode val="edge"/>
              <c:x val="0.42471011396394504"/>
              <c:y val="0.93853771636955563"/>
            </c:manualLayout>
          </c:layout>
          <c:overlay val="0"/>
          <c:spPr>
            <a:noFill/>
            <a:ln w="25400">
              <a:noFill/>
            </a:ln>
          </c:spPr>
        </c:title>
        <c:numFmt formatCode="0" sourceLinked="1"/>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0000FF"/>
                </a:solidFill>
                <a:latin typeface="Arial" pitchFamily="34" charset="0"/>
                <a:ea typeface="Calibri"/>
                <a:cs typeface="Arial" pitchFamily="34" charset="0"/>
              </a:defRPr>
            </a:pPr>
            <a:endParaRPr lang="en-US"/>
          </a:p>
        </c:txPr>
        <c:crossAx val="448974208"/>
        <c:crosses val="autoZero"/>
        <c:auto val="1"/>
        <c:lblAlgn val="ctr"/>
        <c:lblOffset val="100"/>
        <c:tickLblSkip val="20"/>
        <c:tickMarkSkip val="20"/>
        <c:noMultiLvlLbl val="0"/>
      </c:catAx>
      <c:valAx>
        <c:axId val="448974208"/>
        <c:scaling>
          <c:orientation val="minMax"/>
          <c:max val="100"/>
          <c:min val="55"/>
        </c:scaling>
        <c:delete val="0"/>
        <c:axPos val="l"/>
        <c:majorGridlines>
          <c:spPr>
            <a:ln w="15875">
              <a:solidFill>
                <a:srgbClr val="808080"/>
              </a:solidFill>
              <a:prstDash val="solid"/>
            </a:ln>
          </c:spPr>
        </c:majorGridlines>
        <c:title>
          <c:tx>
            <c:rich>
              <a:bodyPr/>
              <a:lstStyle/>
              <a:p>
                <a:pPr>
                  <a:defRPr lang="ja-JP"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FF0000"/>
                </a:solidFill>
                <a:latin typeface="Arial" pitchFamily="34" charset="0"/>
                <a:ea typeface="Calibri"/>
                <a:cs typeface="Arial" pitchFamily="34" charset="0"/>
              </a:defRPr>
            </a:pPr>
            <a:endParaRPr lang="en-US"/>
          </a:p>
        </c:txPr>
        <c:crossAx val="448972288"/>
        <c:crossesAt val="0"/>
        <c:crossBetween val="between"/>
        <c:majorUnit val="5"/>
        <c:minorUnit val="2.5"/>
      </c:valAx>
      <c:valAx>
        <c:axId val="448984576"/>
        <c:scaling>
          <c:orientation val="minMax"/>
        </c:scaling>
        <c:delete val="0"/>
        <c:axPos val="r"/>
        <c:title>
          <c:tx>
            <c:rich>
              <a:bodyPr rot="-5400000" vert="horz"/>
              <a:lstStyle/>
              <a:p>
                <a:pPr>
                  <a:defRPr lang="ja-JP"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lang="ja-JP" sz="1100" b="1">
                <a:solidFill>
                  <a:sysClr val="windowText" lastClr="000000"/>
                </a:solidFill>
              </a:defRPr>
            </a:pPr>
            <a:endParaRPr lang="en-US"/>
          </a:p>
        </c:txPr>
        <c:crossAx val="448986496"/>
        <c:crosses val="max"/>
        <c:crossBetween val="between"/>
      </c:valAx>
      <c:catAx>
        <c:axId val="448986496"/>
        <c:scaling>
          <c:orientation val="minMax"/>
        </c:scaling>
        <c:delete val="1"/>
        <c:axPos val="b"/>
        <c:numFmt formatCode="General" sourceLinked="1"/>
        <c:majorTickMark val="out"/>
        <c:minorTickMark val="none"/>
        <c:tickLblPos val="nextTo"/>
        <c:crossAx val="448984576"/>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0550962619267337"/>
          <c:h val="8.9795049320617604E-2"/>
        </c:manualLayout>
      </c:layout>
      <c:overlay val="0"/>
      <c:spPr>
        <a:solidFill>
          <a:srgbClr val="FFFFFF"/>
        </a:solidFill>
        <a:ln w="25400">
          <a:noFill/>
        </a:ln>
      </c:spPr>
      <c:txPr>
        <a:bodyPr/>
        <a:lstStyle/>
        <a:p>
          <a:pPr>
            <a:defRPr lang="ja-JP" sz="11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sz="1200" b="1" i="0" u="none" strike="noStrike" baseline="0">
                <a:solidFill>
                  <a:srgbClr val="000000"/>
                </a:solidFill>
                <a:latin typeface="Arial"/>
                <a:ea typeface="Arial"/>
                <a:cs typeface="Arial"/>
              </a:defRPr>
            </a:pPr>
            <a:r>
              <a:rPr lang="en-US"/>
              <a:t>LM5185-Q1 Bode Plot</a:t>
            </a:r>
          </a:p>
        </c:rich>
      </c:tx>
      <c:layout>
        <c:manualLayout>
          <c:xMode val="edge"/>
          <c:yMode val="edge"/>
          <c:x val="0.38532555879494657"/>
          <c:y val="2.4449846994932085E-2"/>
        </c:manualLayout>
      </c:layout>
      <c:overlay val="0"/>
      <c:spPr>
        <a:noFill/>
        <a:ln w="25400">
          <a:noFill/>
        </a:ln>
      </c:spPr>
    </c:title>
    <c:autoTitleDeleted val="0"/>
    <c:plotArea>
      <c:layout>
        <c:manualLayout>
          <c:layoutTarget val="inner"/>
          <c:xMode val="edge"/>
          <c:yMode val="edge"/>
          <c:x val="0.10349854227405264"/>
          <c:y val="9.5803642121931945E-2"/>
          <c:w val="0.80272108843537593"/>
          <c:h val="0.71734049943922984"/>
        </c:manualLayout>
      </c:layout>
      <c:scatterChart>
        <c:scatterStyle val="smoothMarker"/>
        <c:varyColors val="0"/>
        <c:ser>
          <c:idx val="0"/>
          <c:order val="0"/>
          <c:tx>
            <c:strRef>
              <c:f>'Stability Calculations'!$W$12</c:f>
              <c:strCache>
                <c:ptCount val="1"/>
                <c:pt idx="0">
                  <c:v>Gain (dB)</c:v>
                </c:pt>
              </c:strCache>
            </c:strRef>
          </c:tx>
          <c:spPr>
            <a:ln w="25400">
              <a:solidFill>
                <a:srgbClr val="FF0000"/>
              </a:solidFill>
              <a:prstDash val="solid"/>
            </a:ln>
          </c:spPr>
          <c:marker>
            <c:symbol val="none"/>
          </c:marker>
          <c:xVal>
            <c:numRef>
              <c:f>'Stability Calculations'!$G$13:$G$613</c:f>
              <c:numCache>
                <c:formatCode>General</c:formatCode>
                <c:ptCount val="601"/>
                <c:pt idx="0">
                  <c:v>1</c:v>
                </c:pt>
                <c:pt idx="1">
                  <c:v>1.0965</c:v>
                </c:pt>
                <c:pt idx="2">
                  <c:v>1.2022999999999999</c:v>
                </c:pt>
                <c:pt idx="3">
                  <c:v>1.3183</c:v>
                </c:pt>
                <c:pt idx="4">
                  <c:v>1.4454</c:v>
                </c:pt>
                <c:pt idx="5">
                  <c:v>1.5849</c:v>
                </c:pt>
                <c:pt idx="6">
                  <c:v>1.7378</c:v>
                </c:pt>
                <c:pt idx="7">
                  <c:v>1.9055</c:v>
                </c:pt>
                <c:pt idx="8">
                  <c:v>2.0893000000000002</c:v>
                </c:pt>
                <c:pt idx="9">
                  <c:v>2.2909000000000002</c:v>
                </c:pt>
                <c:pt idx="10">
                  <c:v>2.5118999999999998</c:v>
                </c:pt>
                <c:pt idx="11">
                  <c:v>2.7542</c:v>
                </c:pt>
                <c:pt idx="12">
                  <c:v>3.02</c:v>
                </c:pt>
                <c:pt idx="13">
                  <c:v>3.3113000000000001</c:v>
                </c:pt>
                <c:pt idx="14">
                  <c:v>3.6307999999999998</c:v>
                </c:pt>
                <c:pt idx="15">
                  <c:v>3.9811000000000001</c:v>
                </c:pt>
                <c:pt idx="16">
                  <c:v>4.3651999999999997</c:v>
                </c:pt>
                <c:pt idx="17">
                  <c:v>4.7862999999999998</c:v>
                </c:pt>
                <c:pt idx="18">
                  <c:v>5.2481</c:v>
                </c:pt>
                <c:pt idx="19">
                  <c:v>5.7544000000000004</c:v>
                </c:pt>
                <c:pt idx="20">
                  <c:v>6.3095999999999997</c:v>
                </c:pt>
                <c:pt idx="21">
                  <c:v>6.9183000000000003</c:v>
                </c:pt>
                <c:pt idx="22">
                  <c:v>7.5857999999999999</c:v>
                </c:pt>
                <c:pt idx="23">
                  <c:v>8.3176000000000005</c:v>
                </c:pt>
                <c:pt idx="24">
                  <c:v>9.1201000000000008</c:v>
                </c:pt>
                <c:pt idx="25">
                  <c:v>10</c:v>
                </c:pt>
                <c:pt idx="26">
                  <c:v>10.965</c:v>
                </c:pt>
                <c:pt idx="27">
                  <c:v>12.023</c:v>
                </c:pt>
                <c:pt idx="28">
                  <c:v>13.183</c:v>
                </c:pt>
                <c:pt idx="29">
                  <c:v>14.454000000000001</c:v>
                </c:pt>
                <c:pt idx="30">
                  <c:v>15.849</c:v>
                </c:pt>
                <c:pt idx="31">
                  <c:v>17.378</c:v>
                </c:pt>
                <c:pt idx="32">
                  <c:v>19.055</c:v>
                </c:pt>
                <c:pt idx="33">
                  <c:v>20.893000000000001</c:v>
                </c:pt>
                <c:pt idx="34">
                  <c:v>22.909000000000002</c:v>
                </c:pt>
                <c:pt idx="35">
                  <c:v>25.119</c:v>
                </c:pt>
                <c:pt idx="36">
                  <c:v>27.542000000000002</c:v>
                </c:pt>
                <c:pt idx="37">
                  <c:v>30.2</c:v>
                </c:pt>
                <c:pt idx="38">
                  <c:v>33.113</c:v>
                </c:pt>
                <c:pt idx="39">
                  <c:v>36.308</c:v>
                </c:pt>
                <c:pt idx="40">
                  <c:v>39.811</c:v>
                </c:pt>
                <c:pt idx="41">
                  <c:v>43.652000000000001</c:v>
                </c:pt>
                <c:pt idx="42">
                  <c:v>47.863</c:v>
                </c:pt>
                <c:pt idx="43">
                  <c:v>52.481000000000002</c:v>
                </c:pt>
                <c:pt idx="44">
                  <c:v>57.544000000000004</c:v>
                </c:pt>
                <c:pt idx="45">
                  <c:v>63.095999999999997</c:v>
                </c:pt>
                <c:pt idx="46">
                  <c:v>69.183000000000007</c:v>
                </c:pt>
                <c:pt idx="47">
                  <c:v>75.858000000000004</c:v>
                </c:pt>
                <c:pt idx="48">
                  <c:v>83.176000000000002</c:v>
                </c:pt>
                <c:pt idx="49">
                  <c:v>91.201000000000008</c:v>
                </c:pt>
                <c:pt idx="50">
                  <c:v>100</c:v>
                </c:pt>
                <c:pt idx="51">
                  <c:v>109.65</c:v>
                </c:pt>
                <c:pt idx="52">
                  <c:v>120.23</c:v>
                </c:pt>
                <c:pt idx="53">
                  <c:v>131.83000000000001</c:v>
                </c:pt>
                <c:pt idx="54">
                  <c:v>144.54</c:v>
                </c:pt>
                <c:pt idx="55">
                  <c:v>158.49</c:v>
                </c:pt>
                <c:pt idx="56">
                  <c:v>173.78</c:v>
                </c:pt>
                <c:pt idx="57">
                  <c:v>190.55</c:v>
                </c:pt>
                <c:pt idx="58">
                  <c:v>208.93</c:v>
                </c:pt>
                <c:pt idx="59">
                  <c:v>229.09</c:v>
                </c:pt>
                <c:pt idx="60">
                  <c:v>251.19</c:v>
                </c:pt>
                <c:pt idx="61">
                  <c:v>275.42</c:v>
                </c:pt>
                <c:pt idx="62">
                  <c:v>302</c:v>
                </c:pt>
                <c:pt idx="63">
                  <c:v>331.13</c:v>
                </c:pt>
                <c:pt idx="64">
                  <c:v>363.08</c:v>
                </c:pt>
                <c:pt idx="65">
                  <c:v>398.11</c:v>
                </c:pt>
                <c:pt idx="66">
                  <c:v>436.52</c:v>
                </c:pt>
                <c:pt idx="67">
                  <c:v>478.63</c:v>
                </c:pt>
                <c:pt idx="68">
                  <c:v>524.80999999999995</c:v>
                </c:pt>
                <c:pt idx="69">
                  <c:v>575.44000000000005</c:v>
                </c:pt>
                <c:pt idx="70">
                  <c:v>630.96</c:v>
                </c:pt>
                <c:pt idx="71">
                  <c:v>691.83</c:v>
                </c:pt>
                <c:pt idx="72">
                  <c:v>758.58</c:v>
                </c:pt>
                <c:pt idx="73">
                  <c:v>831.76</c:v>
                </c:pt>
                <c:pt idx="74">
                  <c:v>912.01</c:v>
                </c:pt>
                <c:pt idx="75">
                  <c:v>1000</c:v>
                </c:pt>
                <c:pt idx="76">
                  <c:v>1096.5</c:v>
                </c:pt>
                <c:pt idx="77">
                  <c:v>1202.3</c:v>
                </c:pt>
                <c:pt idx="78">
                  <c:v>1318.3</c:v>
                </c:pt>
                <c:pt idx="79">
                  <c:v>1445.4</c:v>
                </c:pt>
                <c:pt idx="80">
                  <c:v>1584.9</c:v>
                </c:pt>
                <c:pt idx="81">
                  <c:v>1737.8</c:v>
                </c:pt>
                <c:pt idx="82">
                  <c:v>1905.5</c:v>
                </c:pt>
                <c:pt idx="83">
                  <c:v>2089.3000000000002</c:v>
                </c:pt>
                <c:pt idx="84">
                  <c:v>2290.9</c:v>
                </c:pt>
                <c:pt idx="85">
                  <c:v>2511.9</c:v>
                </c:pt>
                <c:pt idx="86">
                  <c:v>2754.2</c:v>
                </c:pt>
                <c:pt idx="87">
                  <c:v>3020</c:v>
                </c:pt>
                <c:pt idx="88">
                  <c:v>3311.3</c:v>
                </c:pt>
                <c:pt idx="89">
                  <c:v>3630.8</c:v>
                </c:pt>
                <c:pt idx="90">
                  <c:v>3981.1</c:v>
                </c:pt>
                <c:pt idx="91">
                  <c:v>4365.2</c:v>
                </c:pt>
                <c:pt idx="92">
                  <c:v>4786.3</c:v>
                </c:pt>
                <c:pt idx="93">
                  <c:v>5248.1</c:v>
                </c:pt>
                <c:pt idx="94">
                  <c:v>5370.3</c:v>
                </c:pt>
                <c:pt idx="95">
                  <c:v>5432.85</c:v>
                </c:pt>
                <c:pt idx="96">
                  <c:v>5495.4</c:v>
                </c:pt>
                <c:pt idx="97">
                  <c:v>5559.4</c:v>
                </c:pt>
                <c:pt idx="98">
                  <c:v>5623.4</c:v>
                </c:pt>
                <c:pt idx="99">
                  <c:v>5688.9</c:v>
                </c:pt>
                <c:pt idx="100">
                  <c:v>5754.4</c:v>
                </c:pt>
                <c:pt idx="101">
                  <c:v>5821.4</c:v>
                </c:pt>
                <c:pt idx="102">
                  <c:v>5888.4</c:v>
                </c:pt>
                <c:pt idx="103">
                  <c:v>5957</c:v>
                </c:pt>
                <c:pt idx="104">
                  <c:v>6025.6</c:v>
                </c:pt>
                <c:pt idx="105">
                  <c:v>6095.8</c:v>
                </c:pt>
                <c:pt idx="106">
                  <c:v>6166</c:v>
                </c:pt>
                <c:pt idx="107">
                  <c:v>6237.8</c:v>
                </c:pt>
                <c:pt idx="108">
                  <c:v>6309.6</c:v>
                </c:pt>
                <c:pt idx="109">
                  <c:v>6383.05</c:v>
                </c:pt>
                <c:pt idx="110">
                  <c:v>6456.5</c:v>
                </c:pt>
                <c:pt idx="111">
                  <c:v>6531.7</c:v>
                </c:pt>
                <c:pt idx="112">
                  <c:v>6606.9</c:v>
                </c:pt>
                <c:pt idx="113">
                  <c:v>6683.85</c:v>
                </c:pt>
                <c:pt idx="114">
                  <c:v>6760.8</c:v>
                </c:pt>
                <c:pt idx="115">
                  <c:v>6839.55</c:v>
                </c:pt>
                <c:pt idx="116">
                  <c:v>6918.3</c:v>
                </c:pt>
                <c:pt idx="117">
                  <c:v>6998.9</c:v>
                </c:pt>
                <c:pt idx="118">
                  <c:v>7079.5</c:v>
                </c:pt>
                <c:pt idx="119">
                  <c:v>7161.95</c:v>
                </c:pt>
                <c:pt idx="120">
                  <c:v>7244.4</c:v>
                </c:pt>
                <c:pt idx="121">
                  <c:v>7328.75</c:v>
                </c:pt>
                <c:pt idx="122">
                  <c:v>7413.1</c:v>
                </c:pt>
                <c:pt idx="123">
                  <c:v>7499.45</c:v>
                </c:pt>
                <c:pt idx="124">
                  <c:v>7585.8</c:v>
                </c:pt>
                <c:pt idx="125">
                  <c:v>7674.15</c:v>
                </c:pt>
                <c:pt idx="126">
                  <c:v>7762.5</c:v>
                </c:pt>
                <c:pt idx="127">
                  <c:v>7852.9</c:v>
                </c:pt>
                <c:pt idx="128">
                  <c:v>7943.3</c:v>
                </c:pt>
                <c:pt idx="129">
                  <c:v>8035.8</c:v>
                </c:pt>
                <c:pt idx="130">
                  <c:v>8128.3</c:v>
                </c:pt>
                <c:pt idx="131">
                  <c:v>8222.9500000000007</c:v>
                </c:pt>
                <c:pt idx="132">
                  <c:v>8270.2750000000015</c:v>
                </c:pt>
                <c:pt idx="133">
                  <c:v>8317.6</c:v>
                </c:pt>
                <c:pt idx="134">
                  <c:v>8366.0499999999993</c:v>
                </c:pt>
                <c:pt idx="135">
                  <c:v>8414.5</c:v>
                </c:pt>
                <c:pt idx="136">
                  <c:v>8462.9500000000007</c:v>
                </c:pt>
                <c:pt idx="137">
                  <c:v>8511.4</c:v>
                </c:pt>
                <c:pt idx="138">
                  <c:v>8560.9500000000007</c:v>
                </c:pt>
                <c:pt idx="139">
                  <c:v>8610.5</c:v>
                </c:pt>
                <c:pt idx="140">
                  <c:v>8660.0499999999993</c:v>
                </c:pt>
                <c:pt idx="141">
                  <c:v>8709.6</c:v>
                </c:pt>
                <c:pt idx="142">
                  <c:v>8760.3250000000007</c:v>
                </c:pt>
                <c:pt idx="143">
                  <c:v>8811.0499999999993</c:v>
                </c:pt>
                <c:pt idx="144">
                  <c:v>8861.7749999999996</c:v>
                </c:pt>
                <c:pt idx="145">
                  <c:v>8912.5</c:v>
                </c:pt>
                <c:pt idx="146">
                  <c:v>8964.4</c:v>
                </c:pt>
                <c:pt idx="147">
                  <c:v>9016.2999999999993</c:v>
                </c:pt>
                <c:pt idx="148">
                  <c:v>9068.2000000000007</c:v>
                </c:pt>
                <c:pt idx="149">
                  <c:v>9120.1</c:v>
                </c:pt>
                <c:pt idx="150">
                  <c:v>9173.2000000000007</c:v>
                </c:pt>
                <c:pt idx="151">
                  <c:v>9226.2999999999993</c:v>
                </c:pt>
                <c:pt idx="152">
                  <c:v>9279.4</c:v>
                </c:pt>
                <c:pt idx="153">
                  <c:v>9332.5</c:v>
                </c:pt>
                <c:pt idx="154">
                  <c:v>9386.85</c:v>
                </c:pt>
                <c:pt idx="155">
                  <c:v>9441.2000000000007</c:v>
                </c:pt>
                <c:pt idx="156">
                  <c:v>9495.5499999999993</c:v>
                </c:pt>
                <c:pt idx="157">
                  <c:v>9549.9</c:v>
                </c:pt>
                <c:pt idx="158">
                  <c:v>9605.5249999999996</c:v>
                </c:pt>
                <c:pt idx="159">
                  <c:v>9661.15</c:v>
                </c:pt>
                <c:pt idx="160">
                  <c:v>9716.7749999999996</c:v>
                </c:pt>
                <c:pt idx="161">
                  <c:v>9772.4</c:v>
                </c:pt>
                <c:pt idx="162">
                  <c:v>9829.2999999999993</c:v>
                </c:pt>
                <c:pt idx="163">
                  <c:v>9886.2000000000007</c:v>
                </c:pt>
                <c:pt idx="164">
                  <c:v>9943.1</c:v>
                </c:pt>
                <c:pt idx="165">
                  <c:v>10000</c:v>
                </c:pt>
                <c:pt idx="166">
                  <c:v>10058.25</c:v>
                </c:pt>
                <c:pt idx="167">
                  <c:v>10116.5</c:v>
                </c:pt>
                <c:pt idx="168">
                  <c:v>10174.75</c:v>
                </c:pt>
                <c:pt idx="169">
                  <c:v>10233</c:v>
                </c:pt>
                <c:pt idx="170">
                  <c:v>10292.5</c:v>
                </c:pt>
                <c:pt idx="171">
                  <c:v>10352</c:v>
                </c:pt>
                <c:pt idx="172">
                  <c:v>10411.5</c:v>
                </c:pt>
                <c:pt idx="173">
                  <c:v>10471</c:v>
                </c:pt>
                <c:pt idx="174">
                  <c:v>10532</c:v>
                </c:pt>
                <c:pt idx="175">
                  <c:v>10593</c:v>
                </c:pt>
                <c:pt idx="176">
                  <c:v>10654</c:v>
                </c:pt>
                <c:pt idx="177">
                  <c:v>10715</c:v>
                </c:pt>
                <c:pt idx="178">
                  <c:v>10777.5</c:v>
                </c:pt>
                <c:pt idx="179">
                  <c:v>10840</c:v>
                </c:pt>
                <c:pt idx="180">
                  <c:v>10902.5</c:v>
                </c:pt>
                <c:pt idx="181">
                  <c:v>10965</c:v>
                </c:pt>
                <c:pt idx="182">
                  <c:v>11028.75</c:v>
                </c:pt>
                <c:pt idx="183">
                  <c:v>11092.5</c:v>
                </c:pt>
                <c:pt idx="184">
                  <c:v>11156.25</c:v>
                </c:pt>
                <c:pt idx="185">
                  <c:v>11220</c:v>
                </c:pt>
                <c:pt idx="186">
                  <c:v>11285.5</c:v>
                </c:pt>
                <c:pt idx="187">
                  <c:v>11351</c:v>
                </c:pt>
                <c:pt idx="188">
                  <c:v>11416.5</c:v>
                </c:pt>
                <c:pt idx="189">
                  <c:v>11482</c:v>
                </c:pt>
                <c:pt idx="190">
                  <c:v>11548.75</c:v>
                </c:pt>
                <c:pt idx="191">
                  <c:v>11615.5</c:v>
                </c:pt>
                <c:pt idx="192">
                  <c:v>11682.25</c:v>
                </c:pt>
                <c:pt idx="193">
                  <c:v>11749</c:v>
                </c:pt>
                <c:pt idx="194">
                  <c:v>11817.5</c:v>
                </c:pt>
                <c:pt idx="195">
                  <c:v>11886</c:v>
                </c:pt>
                <c:pt idx="196">
                  <c:v>11954.5</c:v>
                </c:pt>
                <c:pt idx="197">
                  <c:v>12023</c:v>
                </c:pt>
                <c:pt idx="198">
                  <c:v>12093</c:v>
                </c:pt>
                <c:pt idx="199">
                  <c:v>12163</c:v>
                </c:pt>
                <c:pt idx="200">
                  <c:v>12233</c:v>
                </c:pt>
                <c:pt idx="201">
                  <c:v>12303</c:v>
                </c:pt>
                <c:pt idx="202">
                  <c:v>12374.5</c:v>
                </c:pt>
                <c:pt idx="203">
                  <c:v>12446</c:v>
                </c:pt>
                <c:pt idx="204">
                  <c:v>12517.5</c:v>
                </c:pt>
                <c:pt idx="205">
                  <c:v>12589</c:v>
                </c:pt>
                <c:pt idx="206">
                  <c:v>12662.25</c:v>
                </c:pt>
                <c:pt idx="207">
                  <c:v>12735.5</c:v>
                </c:pt>
                <c:pt idx="208">
                  <c:v>12808.75</c:v>
                </c:pt>
                <c:pt idx="209">
                  <c:v>12882</c:v>
                </c:pt>
                <c:pt idx="210">
                  <c:v>12957.25</c:v>
                </c:pt>
                <c:pt idx="211">
                  <c:v>13032.5</c:v>
                </c:pt>
                <c:pt idx="212">
                  <c:v>13107.75</c:v>
                </c:pt>
                <c:pt idx="213">
                  <c:v>13183</c:v>
                </c:pt>
                <c:pt idx="214">
                  <c:v>13259.75</c:v>
                </c:pt>
                <c:pt idx="215">
                  <c:v>13336.5</c:v>
                </c:pt>
                <c:pt idx="216">
                  <c:v>13413.25</c:v>
                </c:pt>
                <c:pt idx="217">
                  <c:v>13490</c:v>
                </c:pt>
                <c:pt idx="218">
                  <c:v>13568.5</c:v>
                </c:pt>
                <c:pt idx="219">
                  <c:v>13647</c:v>
                </c:pt>
                <c:pt idx="220">
                  <c:v>13725.5</c:v>
                </c:pt>
                <c:pt idx="221">
                  <c:v>13804</c:v>
                </c:pt>
                <c:pt idx="222">
                  <c:v>13884.25</c:v>
                </c:pt>
                <c:pt idx="223">
                  <c:v>13964.5</c:v>
                </c:pt>
                <c:pt idx="224">
                  <c:v>14044.75</c:v>
                </c:pt>
                <c:pt idx="225">
                  <c:v>14125</c:v>
                </c:pt>
                <c:pt idx="226">
                  <c:v>14207.25</c:v>
                </c:pt>
                <c:pt idx="227">
                  <c:v>14289.5</c:v>
                </c:pt>
                <c:pt idx="228">
                  <c:v>14371.75</c:v>
                </c:pt>
                <c:pt idx="229">
                  <c:v>14454</c:v>
                </c:pt>
                <c:pt idx="230">
                  <c:v>14622.5</c:v>
                </c:pt>
                <c:pt idx="231">
                  <c:v>14706.75</c:v>
                </c:pt>
                <c:pt idx="232">
                  <c:v>14791</c:v>
                </c:pt>
                <c:pt idx="233">
                  <c:v>14877.25</c:v>
                </c:pt>
                <c:pt idx="234">
                  <c:v>14963.5</c:v>
                </c:pt>
                <c:pt idx="235">
                  <c:v>15049.75</c:v>
                </c:pt>
                <c:pt idx="236">
                  <c:v>15136</c:v>
                </c:pt>
                <c:pt idx="237">
                  <c:v>15224</c:v>
                </c:pt>
                <c:pt idx="238">
                  <c:v>15312</c:v>
                </c:pt>
                <c:pt idx="239">
                  <c:v>15400</c:v>
                </c:pt>
                <c:pt idx="240">
                  <c:v>15488</c:v>
                </c:pt>
                <c:pt idx="241">
                  <c:v>15578.25</c:v>
                </c:pt>
                <c:pt idx="242">
                  <c:v>15668.5</c:v>
                </c:pt>
                <c:pt idx="243">
                  <c:v>15758.75</c:v>
                </c:pt>
                <c:pt idx="244">
                  <c:v>15849</c:v>
                </c:pt>
                <c:pt idx="245">
                  <c:v>15941.25</c:v>
                </c:pt>
                <c:pt idx="246">
                  <c:v>16033.5</c:v>
                </c:pt>
                <c:pt idx="247">
                  <c:v>16125.75</c:v>
                </c:pt>
                <c:pt idx="248">
                  <c:v>16218</c:v>
                </c:pt>
                <c:pt idx="249">
                  <c:v>16312.5</c:v>
                </c:pt>
                <c:pt idx="250">
                  <c:v>16407</c:v>
                </c:pt>
                <c:pt idx="251">
                  <c:v>16501.5</c:v>
                </c:pt>
                <c:pt idx="252">
                  <c:v>16596</c:v>
                </c:pt>
                <c:pt idx="253">
                  <c:v>16692.5</c:v>
                </c:pt>
                <c:pt idx="254">
                  <c:v>16789</c:v>
                </c:pt>
                <c:pt idx="255">
                  <c:v>16885.5</c:v>
                </c:pt>
                <c:pt idx="256">
                  <c:v>16982</c:v>
                </c:pt>
                <c:pt idx="257">
                  <c:v>17081</c:v>
                </c:pt>
                <c:pt idx="258">
                  <c:v>17180</c:v>
                </c:pt>
                <c:pt idx="259">
                  <c:v>17279</c:v>
                </c:pt>
                <c:pt idx="260">
                  <c:v>17378</c:v>
                </c:pt>
                <c:pt idx="261">
                  <c:v>17479.25</c:v>
                </c:pt>
                <c:pt idx="262">
                  <c:v>17580.5</c:v>
                </c:pt>
                <c:pt idx="263">
                  <c:v>17681.75</c:v>
                </c:pt>
                <c:pt idx="264">
                  <c:v>17783</c:v>
                </c:pt>
                <c:pt idx="265">
                  <c:v>17886.5</c:v>
                </c:pt>
                <c:pt idx="266">
                  <c:v>17990</c:v>
                </c:pt>
                <c:pt idx="267">
                  <c:v>18093.5</c:v>
                </c:pt>
                <c:pt idx="268">
                  <c:v>18197</c:v>
                </c:pt>
                <c:pt idx="269">
                  <c:v>18303</c:v>
                </c:pt>
                <c:pt idx="270">
                  <c:v>18409</c:v>
                </c:pt>
                <c:pt idx="271">
                  <c:v>18515</c:v>
                </c:pt>
                <c:pt idx="272">
                  <c:v>18621</c:v>
                </c:pt>
                <c:pt idx="273">
                  <c:v>18729.5</c:v>
                </c:pt>
                <c:pt idx="274">
                  <c:v>18838</c:v>
                </c:pt>
                <c:pt idx="275">
                  <c:v>18946.5</c:v>
                </c:pt>
                <c:pt idx="276">
                  <c:v>19055</c:v>
                </c:pt>
                <c:pt idx="277">
                  <c:v>19165.75</c:v>
                </c:pt>
                <c:pt idx="278">
                  <c:v>19276.5</c:v>
                </c:pt>
                <c:pt idx="279">
                  <c:v>19387.25</c:v>
                </c:pt>
                <c:pt idx="280">
                  <c:v>19498</c:v>
                </c:pt>
                <c:pt idx="281">
                  <c:v>19611.75</c:v>
                </c:pt>
                <c:pt idx="282">
                  <c:v>19725.5</c:v>
                </c:pt>
                <c:pt idx="283">
                  <c:v>19839.25</c:v>
                </c:pt>
                <c:pt idx="284">
                  <c:v>19953</c:v>
                </c:pt>
                <c:pt idx="285">
                  <c:v>20069</c:v>
                </c:pt>
                <c:pt idx="286">
                  <c:v>20185</c:v>
                </c:pt>
                <c:pt idx="287">
                  <c:v>20301</c:v>
                </c:pt>
                <c:pt idx="288">
                  <c:v>20417</c:v>
                </c:pt>
                <c:pt idx="289">
                  <c:v>20536</c:v>
                </c:pt>
                <c:pt idx="290">
                  <c:v>20655</c:v>
                </c:pt>
                <c:pt idx="291">
                  <c:v>20774</c:v>
                </c:pt>
                <c:pt idx="292">
                  <c:v>20893</c:v>
                </c:pt>
                <c:pt idx="293">
                  <c:v>21014.75</c:v>
                </c:pt>
                <c:pt idx="294">
                  <c:v>21136.5</c:v>
                </c:pt>
                <c:pt idx="295">
                  <c:v>21258.25</c:v>
                </c:pt>
                <c:pt idx="296">
                  <c:v>21380</c:v>
                </c:pt>
                <c:pt idx="297">
                  <c:v>21504.5</c:v>
                </c:pt>
                <c:pt idx="298">
                  <c:v>21629</c:v>
                </c:pt>
                <c:pt idx="299">
                  <c:v>21753.5</c:v>
                </c:pt>
                <c:pt idx="300">
                  <c:v>21878</c:v>
                </c:pt>
                <c:pt idx="301">
                  <c:v>22005.25</c:v>
                </c:pt>
                <c:pt idx="302">
                  <c:v>22132.5</c:v>
                </c:pt>
                <c:pt idx="303">
                  <c:v>22259.75</c:v>
                </c:pt>
                <c:pt idx="304">
                  <c:v>22387</c:v>
                </c:pt>
                <c:pt idx="305">
                  <c:v>22517.5</c:v>
                </c:pt>
                <c:pt idx="306">
                  <c:v>22648</c:v>
                </c:pt>
                <c:pt idx="307">
                  <c:v>22778.5</c:v>
                </c:pt>
                <c:pt idx="308">
                  <c:v>22909</c:v>
                </c:pt>
                <c:pt idx="309">
                  <c:v>23042.25</c:v>
                </c:pt>
                <c:pt idx="310">
                  <c:v>23175.5</c:v>
                </c:pt>
                <c:pt idx="311">
                  <c:v>23308.75</c:v>
                </c:pt>
                <c:pt idx="312">
                  <c:v>23442</c:v>
                </c:pt>
                <c:pt idx="313">
                  <c:v>23578.5</c:v>
                </c:pt>
                <c:pt idx="314">
                  <c:v>23715</c:v>
                </c:pt>
                <c:pt idx="315">
                  <c:v>23851.5</c:v>
                </c:pt>
                <c:pt idx="316">
                  <c:v>23988</c:v>
                </c:pt>
                <c:pt idx="317">
                  <c:v>24127.75</c:v>
                </c:pt>
                <c:pt idx="318">
                  <c:v>24267.5</c:v>
                </c:pt>
                <c:pt idx="319">
                  <c:v>24407.25</c:v>
                </c:pt>
                <c:pt idx="320">
                  <c:v>24547</c:v>
                </c:pt>
                <c:pt idx="321">
                  <c:v>24690</c:v>
                </c:pt>
                <c:pt idx="322">
                  <c:v>24833</c:v>
                </c:pt>
                <c:pt idx="323">
                  <c:v>24976</c:v>
                </c:pt>
                <c:pt idx="324">
                  <c:v>25119</c:v>
                </c:pt>
                <c:pt idx="325">
                  <c:v>25265.25</c:v>
                </c:pt>
                <c:pt idx="326">
                  <c:v>25411.5</c:v>
                </c:pt>
                <c:pt idx="327">
                  <c:v>25557.75</c:v>
                </c:pt>
                <c:pt idx="328">
                  <c:v>25704</c:v>
                </c:pt>
                <c:pt idx="329">
                  <c:v>25853.75</c:v>
                </c:pt>
                <c:pt idx="330">
                  <c:v>26003.5</c:v>
                </c:pt>
                <c:pt idx="331">
                  <c:v>26153.25</c:v>
                </c:pt>
                <c:pt idx="332">
                  <c:v>26303</c:v>
                </c:pt>
                <c:pt idx="333">
                  <c:v>26456</c:v>
                </c:pt>
                <c:pt idx="334">
                  <c:v>26609</c:v>
                </c:pt>
                <c:pt idx="335">
                  <c:v>26762</c:v>
                </c:pt>
                <c:pt idx="336">
                  <c:v>26915</c:v>
                </c:pt>
                <c:pt idx="337">
                  <c:v>27071.75</c:v>
                </c:pt>
                <c:pt idx="338">
                  <c:v>27228.5</c:v>
                </c:pt>
                <c:pt idx="339">
                  <c:v>27385.25</c:v>
                </c:pt>
                <c:pt idx="340">
                  <c:v>27542</c:v>
                </c:pt>
                <c:pt idx="341">
                  <c:v>27702.5</c:v>
                </c:pt>
                <c:pt idx="342">
                  <c:v>27863</c:v>
                </c:pt>
                <c:pt idx="343">
                  <c:v>28023.5</c:v>
                </c:pt>
                <c:pt idx="344">
                  <c:v>28184</c:v>
                </c:pt>
                <c:pt idx="345">
                  <c:v>28348</c:v>
                </c:pt>
                <c:pt idx="346">
                  <c:v>28512</c:v>
                </c:pt>
                <c:pt idx="347">
                  <c:v>28676</c:v>
                </c:pt>
                <c:pt idx="348">
                  <c:v>28840</c:v>
                </c:pt>
                <c:pt idx="349">
                  <c:v>29008</c:v>
                </c:pt>
                <c:pt idx="350">
                  <c:v>29176</c:v>
                </c:pt>
                <c:pt idx="351">
                  <c:v>29344</c:v>
                </c:pt>
                <c:pt idx="352">
                  <c:v>29512</c:v>
                </c:pt>
                <c:pt idx="353">
                  <c:v>29684</c:v>
                </c:pt>
                <c:pt idx="354">
                  <c:v>29856</c:v>
                </c:pt>
                <c:pt idx="355">
                  <c:v>30028</c:v>
                </c:pt>
                <c:pt idx="356">
                  <c:v>30200</c:v>
                </c:pt>
                <c:pt idx="357">
                  <c:v>30375.75</c:v>
                </c:pt>
                <c:pt idx="358">
                  <c:v>30551.5</c:v>
                </c:pt>
                <c:pt idx="359">
                  <c:v>30727.25</c:v>
                </c:pt>
                <c:pt idx="360">
                  <c:v>30903</c:v>
                </c:pt>
                <c:pt idx="361">
                  <c:v>31083</c:v>
                </c:pt>
                <c:pt idx="362">
                  <c:v>31263</c:v>
                </c:pt>
                <c:pt idx="363">
                  <c:v>31443</c:v>
                </c:pt>
                <c:pt idx="364">
                  <c:v>31623</c:v>
                </c:pt>
                <c:pt idx="365">
                  <c:v>31807</c:v>
                </c:pt>
                <c:pt idx="366">
                  <c:v>31991</c:v>
                </c:pt>
                <c:pt idx="367">
                  <c:v>32175</c:v>
                </c:pt>
                <c:pt idx="368">
                  <c:v>32359</c:v>
                </c:pt>
                <c:pt idx="369">
                  <c:v>32547.5</c:v>
                </c:pt>
                <c:pt idx="370">
                  <c:v>32736</c:v>
                </c:pt>
                <c:pt idx="371">
                  <c:v>32924.5</c:v>
                </c:pt>
                <c:pt idx="372">
                  <c:v>33113</c:v>
                </c:pt>
                <c:pt idx="373">
                  <c:v>33305.75</c:v>
                </c:pt>
                <c:pt idx="374">
                  <c:v>33498.5</c:v>
                </c:pt>
                <c:pt idx="375">
                  <c:v>33691.25</c:v>
                </c:pt>
                <c:pt idx="376">
                  <c:v>33884</c:v>
                </c:pt>
                <c:pt idx="377">
                  <c:v>34081.5</c:v>
                </c:pt>
                <c:pt idx="378">
                  <c:v>34279</c:v>
                </c:pt>
                <c:pt idx="379">
                  <c:v>34476.5</c:v>
                </c:pt>
                <c:pt idx="380">
                  <c:v>34674</c:v>
                </c:pt>
                <c:pt idx="381">
                  <c:v>34875.75</c:v>
                </c:pt>
                <c:pt idx="382">
                  <c:v>35077.5</c:v>
                </c:pt>
                <c:pt idx="383">
                  <c:v>35279.25</c:v>
                </c:pt>
                <c:pt idx="384">
                  <c:v>35481</c:v>
                </c:pt>
                <c:pt idx="385">
                  <c:v>35687.75</c:v>
                </c:pt>
                <c:pt idx="386">
                  <c:v>35894.5</c:v>
                </c:pt>
                <c:pt idx="387">
                  <c:v>36101.25</c:v>
                </c:pt>
                <c:pt idx="388">
                  <c:v>36308</c:v>
                </c:pt>
                <c:pt idx="389">
                  <c:v>36519.5</c:v>
                </c:pt>
                <c:pt idx="390">
                  <c:v>36731</c:v>
                </c:pt>
                <c:pt idx="391">
                  <c:v>36942.5</c:v>
                </c:pt>
                <c:pt idx="392">
                  <c:v>37154</c:v>
                </c:pt>
                <c:pt idx="393">
                  <c:v>37370.25</c:v>
                </c:pt>
                <c:pt idx="394">
                  <c:v>37586.5</c:v>
                </c:pt>
                <c:pt idx="395">
                  <c:v>37802.75</c:v>
                </c:pt>
                <c:pt idx="396">
                  <c:v>38019</c:v>
                </c:pt>
                <c:pt idx="397">
                  <c:v>38240.5</c:v>
                </c:pt>
                <c:pt idx="398">
                  <c:v>38462</c:v>
                </c:pt>
                <c:pt idx="399">
                  <c:v>38683.5</c:v>
                </c:pt>
                <c:pt idx="400">
                  <c:v>38905</c:v>
                </c:pt>
                <c:pt idx="401">
                  <c:v>39131.5</c:v>
                </c:pt>
                <c:pt idx="402">
                  <c:v>39358</c:v>
                </c:pt>
                <c:pt idx="403">
                  <c:v>39584.5</c:v>
                </c:pt>
                <c:pt idx="404">
                  <c:v>39811</c:v>
                </c:pt>
                <c:pt idx="405">
                  <c:v>40042.75</c:v>
                </c:pt>
                <c:pt idx="406">
                  <c:v>40274.5</c:v>
                </c:pt>
                <c:pt idx="407">
                  <c:v>40506.25</c:v>
                </c:pt>
                <c:pt idx="408">
                  <c:v>40738</c:v>
                </c:pt>
                <c:pt idx="409">
                  <c:v>40975.25</c:v>
                </c:pt>
                <c:pt idx="410">
                  <c:v>41212.5</c:v>
                </c:pt>
                <c:pt idx="411">
                  <c:v>41449.75</c:v>
                </c:pt>
                <c:pt idx="412">
                  <c:v>41687</c:v>
                </c:pt>
                <c:pt idx="413">
                  <c:v>41929.75</c:v>
                </c:pt>
                <c:pt idx="414">
                  <c:v>42172.5</c:v>
                </c:pt>
                <c:pt idx="415">
                  <c:v>42415.25</c:v>
                </c:pt>
                <c:pt idx="416">
                  <c:v>42658</c:v>
                </c:pt>
                <c:pt idx="417">
                  <c:v>42906.5</c:v>
                </c:pt>
                <c:pt idx="418">
                  <c:v>43155</c:v>
                </c:pt>
                <c:pt idx="419">
                  <c:v>43403.5</c:v>
                </c:pt>
                <c:pt idx="420">
                  <c:v>43652</c:v>
                </c:pt>
                <c:pt idx="421">
                  <c:v>43906</c:v>
                </c:pt>
                <c:pt idx="422">
                  <c:v>44160</c:v>
                </c:pt>
                <c:pt idx="423">
                  <c:v>44414</c:v>
                </c:pt>
                <c:pt idx="424">
                  <c:v>44668</c:v>
                </c:pt>
                <c:pt idx="425">
                  <c:v>44928.25</c:v>
                </c:pt>
                <c:pt idx="426">
                  <c:v>45188.5</c:v>
                </c:pt>
                <c:pt idx="427">
                  <c:v>45448.75</c:v>
                </c:pt>
                <c:pt idx="428">
                  <c:v>45709</c:v>
                </c:pt>
                <c:pt idx="429">
                  <c:v>45975.25</c:v>
                </c:pt>
                <c:pt idx="430">
                  <c:v>46241.5</c:v>
                </c:pt>
                <c:pt idx="431">
                  <c:v>46507.75</c:v>
                </c:pt>
                <c:pt idx="432">
                  <c:v>46774</c:v>
                </c:pt>
                <c:pt idx="433">
                  <c:v>47046.25</c:v>
                </c:pt>
                <c:pt idx="434">
                  <c:v>47318.5</c:v>
                </c:pt>
                <c:pt idx="435">
                  <c:v>47590.75</c:v>
                </c:pt>
                <c:pt idx="436">
                  <c:v>47863</c:v>
                </c:pt>
                <c:pt idx="437">
                  <c:v>48141.75</c:v>
                </c:pt>
                <c:pt idx="438">
                  <c:v>48420.5</c:v>
                </c:pt>
                <c:pt idx="439">
                  <c:v>48699.25</c:v>
                </c:pt>
                <c:pt idx="440">
                  <c:v>48978</c:v>
                </c:pt>
                <c:pt idx="441">
                  <c:v>49263.25</c:v>
                </c:pt>
                <c:pt idx="442">
                  <c:v>49548.5</c:v>
                </c:pt>
                <c:pt idx="443">
                  <c:v>49833.75</c:v>
                </c:pt>
                <c:pt idx="444">
                  <c:v>50119</c:v>
                </c:pt>
                <c:pt idx="445">
                  <c:v>50410.75</c:v>
                </c:pt>
                <c:pt idx="446">
                  <c:v>50702.5</c:v>
                </c:pt>
                <c:pt idx="447">
                  <c:v>50994.25</c:v>
                </c:pt>
                <c:pt idx="448">
                  <c:v>51286</c:v>
                </c:pt>
                <c:pt idx="449">
                  <c:v>51584.75</c:v>
                </c:pt>
                <c:pt idx="450">
                  <c:v>51883.5</c:v>
                </c:pt>
                <c:pt idx="451">
                  <c:v>52182.25</c:v>
                </c:pt>
                <c:pt idx="452">
                  <c:v>52481</c:v>
                </c:pt>
                <c:pt idx="453">
                  <c:v>52786.5</c:v>
                </c:pt>
                <c:pt idx="454">
                  <c:v>53092</c:v>
                </c:pt>
                <c:pt idx="455">
                  <c:v>53397.5</c:v>
                </c:pt>
                <c:pt idx="456">
                  <c:v>53703</c:v>
                </c:pt>
                <c:pt idx="457">
                  <c:v>54015.75</c:v>
                </c:pt>
                <c:pt idx="458">
                  <c:v>54328.5</c:v>
                </c:pt>
                <c:pt idx="459">
                  <c:v>54641.25</c:v>
                </c:pt>
                <c:pt idx="460">
                  <c:v>54954</c:v>
                </c:pt>
                <c:pt idx="461">
                  <c:v>55274</c:v>
                </c:pt>
                <c:pt idx="462">
                  <c:v>55594</c:v>
                </c:pt>
                <c:pt idx="463">
                  <c:v>55914</c:v>
                </c:pt>
                <c:pt idx="464">
                  <c:v>56234</c:v>
                </c:pt>
                <c:pt idx="465">
                  <c:v>56561.5</c:v>
                </c:pt>
                <c:pt idx="466">
                  <c:v>56889</c:v>
                </c:pt>
                <c:pt idx="467">
                  <c:v>57216.5</c:v>
                </c:pt>
                <c:pt idx="468">
                  <c:v>57544</c:v>
                </c:pt>
                <c:pt idx="469">
                  <c:v>57879</c:v>
                </c:pt>
                <c:pt idx="470">
                  <c:v>58214</c:v>
                </c:pt>
                <c:pt idx="471">
                  <c:v>58549</c:v>
                </c:pt>
                <c:pt idx="472">
                  <c:v>58884</c:v>
                </c:pt>
                <c:pt idx="473">
                  <c:v>59227</c:v>
                </c:pt>
                <c:pt idx="474">
                  <c:v>59570</c:v>
                </c:pt>
                <c:pt idx="475">
                  <c:v>59913</c:v>
                </c:pt>
                <c:pt idx="476">
                  <c:v>60256</c:v>
                </c:pt>
                <c:pt idx="477">
                  <c:v>60607</c:v>
                </c:pt>
                <c:pt idx="478">
                  <c:v>60958</c:v>
                </c:pt>
                <c:pt idx="479">
                  <c:v>61309</c:v>
                </c:pt>
                <c:pt idx="480">
                  <c:v>61660</c:v>
                </c:pt>
                <c:pt idx="481">
                  <c:v>62019</c:v>
                </c:pt>
                <c:pt idx="482">
                  <c:v>62378</c:v>
                </c:pt>
                <c:pt idx="483">
                  <c:v>62737</c:v>
                </c:pt>
                <c:pt idx="484">
                  <c:v>63096</c:v>
                </c:pt>
                <c:pt idx="485">
                  <c:v>63463.25</c:v>
                </c:pt>
                <c:pt idx="486">
                  <c:v>63830.5</c:v>
                </c:pt>
                <c:pt idx="487">
                  <c:v>64197.75</c:v>
                </c:pt>
                <c:pt idx="488">
                  <c:v>64565</c:v>
                </c:pt>
                <c:pt idx="489">
                  <c:v>64941</c:v>
                </c:pt>
                <c:pt idx="490">
                  <c:v>65317</c:v>
                </c:pt>
                <c:pt idx="491">
                  <c:v>65693</c:v>
                </c:pt>
                <c:pt idx="492">
                  <c:v>66069</c:v>
                </c:pt>
                <c:pt idx="493">
                  <c:v>66453.75</c:v>
                </c:pt>
                <c:pt idx="494">
                  <c:v>66838.5</c:v>
                </c:pt>
                <c:pt idx="495">
                  <c:v>67223.25</c:v>
                </c:pt>
                <c:pt idx="496">
                  <c:v>67608</c:v>
                </c:pt>
                <c:pt idx="497">
                  <c:v>68001.75</c:v>
                </c:pt>
                <c:pt idx="498">
                  <c:v>68395.5</c:v>
                </c:pt>
                <c:pt idx="499">
                  <c:v>68789.25</c:v>
                </c:pt>
                <c:pt idx="500">
                  <c:v>69183</c:v>
                </c:pt>
                <c:pt idx="501">
                  <c:v>69586</c:v>
                </c:pt>
                <c:pt idx="502">
                  <c:v>69989</c:v>
                </c:pt>
                <c:pt idx="503">
                  <c:v>70392</c:v>
                </c:pt>
                <c:pt idx="504">
                  <c:v>70795</c:v>
                </c:pt>
                <c:pt idx="505">
                  <c:v>71207.25</c:v>
                </c:pt>
                <c:pt idx="506">
                  <c:v>71619.5</c:v>
                </c:pt>
                <c:pt idx="507">
                  <c:v>72031.75</c:v>
                </c:pt>
                <c:pt idx="508">
                  <c:v>72444</c:v>
                </c:pt>
                <c:pt idx="509">
                  <c:v>72865.75</c:v>
                </c:pt>
                <c:pt idx="510">
                  <c:v>73287.5</c:v>
                </c:pt>
                <c:pt idx="511">
                  <c:v>73709.25</c:v>
                </c:pt>
                <c:pt idx="512">
                  <c:v>74131</c:v>
                </c:pt>
                <c:pt idx="513">
                  <c:v>74562.75</c:v>
                </c:pt>
                <c:pt idx="514">
                  <c:v>74994.5</c:v>
                </c:pt>
                <c:pt idx="515">
                  <c:v>75426.25</c:v>
                </c:pt>
                <c:pt idx="516">
                  <c:v>75858</c:v>
                </c:pt>
                <c:pt idx="517">
                  <c:v>76299.75</c:v>
                </c:pt>
                <c:pt idx="518">
                  <c:v>76741.5</c:v>
                </c:pt>
                <c:pt idx="519">
                  <c:v>77183.25</c:v>
                </c:pt>
                <c:pt idx="520">
                  <c:v>77625</c:v>
                </c:pt>
                <c:pt idx="521">
                  <c:v>78077</c:v>
                </c:pt>
                <c:pt idx="522">
                  <c:v>78529</c:v>
                </c:pt>
                <c:pt idx="523">
                  <c:v>78981</c:v>
                </c:pt>
                <c:pt idx="524">
                  <c:v>79433</c:v>
                </c:pt>
                <c:pt idx="525">
                  <c:v>79895.5</c:v>
                </c:pt>
                <c:pt idx="526">
                  <c:v>80358</c:v>
                </c:pt>
                <c:pt idx="527">
                  <c:v>80820.5</c:v>
                </c:pt>
                <c:pt idx="528">
                  <c:v>81283</c:v>
                </c:pt>
                <c:pt idx="529">
                  <c:v>81756.25</c:v>
                </c:pt>
                <c:pt idx="530">
                  <c:v>82229.5</c:v>
                </c:pt>
                <c:pt idx="531">
                  <c:v>82702.75</c:v>
                </c:pt>
                <c:pt idx="532">
                  <c:v>83176</c:v>
                </c:pt>
                <c:pt idx="533">
                  <c:v>83660.5</c:v>
                </c:pt>
                <c:pt idx="534">
                  <c:v>84145</c:v>
                </c:pt>
                <c:pt idx="535">
                  <c:v>84629.5</c:v>
                </c:pt>
                <c:pt idx="536">
                  <c:v>85114</c:v>
                </c:pt>
                <c:pt idx="537">
                  <c:v>85609.5</c:v>
                </c:pt>
                <c:pt idx="538">
                  <c:v>86105</c:v>
                </c:pt>
                <c:pt idx="539">
                  <c:v>86600.5</c:v>
                </c:pt>
                <c:pt idx="540">
                  <c:v>87096</c:v>
                </c:pt>
                <c:pt idx="541">
                  <c:v>87603.25</c:v>
                </c:pt>
                <c:pt idx="542">
                  <c:v>88110.5</c:v>
                </c:pt>
                <c:pt idx="543">
                  <c:v>88617.75</c:v>
                </c:pt>
                <c:pt idx="544">
                  <c:v>89125</c:v>
                </c:pt>
                <c:pt idx="545">
                  <c:v>89644</c:v>
                </c:pt>
                <c:pt idx="546">
                  <c:v>90163</c:v>
                </c:pt>
                <c:pt idx="547">
                  <c:v>90682</c:v>
                </c:pt>
                <c:pt idx="548">
                  <c:v>91201</c:v>
                </c:pt>
                <c:pt idx="549">
                  <c:v>91732</c:v>
                </c:pt>
                <c:pt idx="550">
                  <c:v>92263</c:v>
                </c:pt>
                <c:pt idx="551">
                  <c:v>92794</c:v>
                </c:pt>
                <c:pt idx="552">
                  <c:v>93325</c:v>
                </c:pt>
                <c:pt idx="553">
                  <c:v>93868.5</c:v>
                </c:pt>
                <c:pt idx="554">
                  <c:v>94412</c:v>
                </c:pt>
                <c:pt idx="555">
                  <c:v>94955.5</c:v>
                </c:pt>
                <c:pt idx="556">
                  <c:v>95499</c:v>
                </c:pt>
                <c:pt idx="557">
                  <c:v>96611.5</c:v>
                </c:pt>
                <c:pt idx="558">
                  <c:v>97724</c:v>
                </c:pt>
                <c:pt idx="559">
                  <c:v>98862</c:v>
                </c:pt>
                <c:pt idx="560">
                  <c:v>100000</c:v>
                </c:pt>
                <c:pt idx="561">
                  <c:v>101165</c:v>
                </c:pt>
                <c:pt idx="562">
                  <c:v>102330</c:v>
                </c:pt>
                <c:pt idx="563">
                  <c:v>103520</c:v>
                </c:pt>
                <c:pt idx="564">
                  <c:v>104710</c:v>
                </c:pt>
                <c:pt idx="565">
                  <c:v>105930</c:v>
                </c:pt>
                <c:pt idx="566">
                  <c:v>107150</c:v>
                </c:pt>
                <c:pt idx="567">
                  <c:v>108400</c:v>
                </c:pt>
                <c:pt idx="568">
                  <c:v>109650</c:v>
                </c:pt>
                <c:pt idx="569">
                  <c:v>110925</c:v>
                </c:pt>
                <c:pt idx="570">
                  <c:v>112200</c:v>
                </c:pt>
                <c:pt idx="571">
                  <c:v>113510</c:v>
                </c:pt>
                <c:pt idx="572">
                  <c:v>114820</c:v>
                </c:pt>
                <c:pt idx="573">
                  <c:v>116155</c:v>
                </c:pt>
                <c:pt idx="574">
                  <c:v>117490</c:v>
                </c:pt>
                <c:pt idx="575">
                  <c:v>118860</c:v>
                </c:pt>
                <c:pt idx="576">
                  <c:v>120230</c:v>
                </c:pt>
                <c:pt idx="577">
                  <c:v>126030</c:v>
                </c:pt>
                <c:pt idx="578">
                  <c:v>131830</c:v>
                </c:pt>
                <c:pt idx="579">
                  <c:v>144540</c:v>
                </c:pt>
                <c:pt idx="580">
                  <c:v>158490</c:v>
                </c:pt>
                <c:pt idx="581">
                  <c:v>173780</c:v>
                </c:pt>
                <c:pt idx="582">
                  <c:v>190550</c:v>
                </c:pt>
                <c:pt idx="583">
                  <c:v>208930</c:v>
                </c:pt>
                <c:pt idx="584">
                  <c:v>229090</c:v>
                </c:pt>
                <c:pt idx="585">
                  <c:v>251190</c:v>
                </c:pt>
                <c:pt idx="586">
                  <c:v>275420</c:v>
                </c:pt>
                <c:pt idx="587">
                  <c:v>302000</c:v>
                </c:pt>
                <c:pt idx="588">
                  <c:v>331130</c:v>
                </c:pt>
                <c:pt idx="589">
                  <c:v>363080</c:v>
                </c:pt>
                <c:pt idx="590">
                  <c:v>398110</c:v>
                </c:pt>
                <c:pt idx="591">
                  <c:v>436520</c:v>
                </c:pt>
                <c:pt idx="592">
                  <c:v>478630</c:v>
                </c:pt>
                <c:pt idx="593">
                  <c:v>524810</c:v>
                </c:pt>
                <c:pt idx="594">
                  <c:v>575440</c:v>
                </c:pt>
                <c:pt idx="595">
                  <c:v>630960</c:v>
                </c:pt>
                <c:pt idx="596">
                  <c:v>691830</c:v>
                </c:pt>
                <c:pt idx="597">
                  <c:v>758580</c:v>
                </c:pt>
                <c:pt idx="598">
                  <c:v>831760</c:v>
                </c:pt>
                <c:pt idx="599">
                  <c:v>912010</c:v>
                </c:pt>
                <c:pt idx="600">
                  <c:v>1000000</c:v>
                </c:pt>
              </c:numCache>
            </c:numRef>
          </c:xVal>
          <c:yVal>
            <c:numRef>
              <c:f>'Stability Calculations'!$W$13:$W$613</c:f>
              <c:numCache>
                <c:formatCode>0.00</c:formatCode>
                <c:ptCount val="601"/>
                <c:pt idx="0">
                  <c:v>80.416474410376367</c:v>
                </c:pt>
                <c:pt idx="1">
                  <c:v>79.618334823474839</c:v>
                </c:pt>
                <c:pt idx="2">
                  <c:v>78.819935388544295</c:v>
                </c:pt>
                <c:pt idx="3">
                  <c:v>78.02130085348908</c:v>
                </c:pt>
                <c:pt idx="4">
                  <c:v>77.222973803448284</c:v>
                </c:pt>
                <c:pt idx="5">
                  <c:v>76.42364254498608</c:v>
                </c:pt>
                <c:pt idx="6">
                  <c:v>75.624455678107381</c:v>
                </c:pt>
                <c:pt idx="7">
                  <c:v>74.82489753789153</c:v>
                </c:pt>
                <c:pt idx="8">
                  <c:v>74.025559749634965</c:v>
                </c:pt>
                <c:pt idx="9">
                  <c:v>73.22584395193185</c:v>
                </c:pt>
                <c:pt idx="10">
                  <c:v>72.426214993788861</c:v>
                </c:pt>
                <c:pt idx="11">
                  <c:v>71.626562420330174</c:v>
                </c:pt>
                <c:pt idx="12">
                  <c:v>70.826464900247188</c:v>
                </c:pt>
                <c:pt idx="13">
                  <c:v>70.02669126779</c:v>
                </c:pt>
                <c:pt idx="14">
                  <c:v>69.226601680802716</c:v>
                </c:pt>
                <c:pt idx="15">
                  <c:v>68.426500645492908</c:v>
                </c:pt>
                <c:pt idx="16">
                  <c:v>67.626318493062826</c:v>
                </c:pt>
                <c:pt idx="17">
                  <c:v>66.826161604718308</c:v>
                </c:pt>
                <c:pt idx="18">
                  <c:v>66.025787591734996</c:v>
                </c:pt>
                <c:pt idx="19">
                  <c:v>65.225398446510354</c:v>
                </c:pt>
                <c:pt idx="20">
                  <c:v>64.424817997207967</c:v>
                </c:pt>
                <c:pt idx="21">
                  <c:v>63.624188949736855</c:v>
                </c:pt>
                <c:pt idx="22">
                  <c:v>62.823315140969356</c:v>
                </c:pt>
                <c:pt idx="23">
                  <c:v>62.022364376843264</c:v>
                </c:pt>
                <c:pt idx="24">
                  <c:v>61.221096351186674</c:v>
                </c:pt>
                <c:pt idx="25">
                  <c:v>60.419591402237494</c:v>
                </c:pt>
                <c:pt idx="26">
                  <c:v>59.617610512237249</c:v>
                </c:pt>
                <c:pt idx="27">
                  <c:v>58.815346590989137</c:v>
                </c:pt>
                <c:pt idx="28">
                  <c:v>58.012694100242172</c:v>
                </c:pt>
                <c:pt idx="29">
                  <c:v>57.210063436718279</c:v>
                </c:pt>
                <c:pt idx="30">
                  <c:v>56.405991205785625</c:v>
                </c:pt>
                <c:pt idx="31">
                  <c:v>55.601474104924087</c:v>
                </c:pt>
                <c:pt idx="32">
                  <c:v>54.79581590561839</c:v>
                </c:pt>
                <c:pt idx="33">
                  <c:v>53.989411574217954</c:v>
                </c:pt>
                <c:pt idx="34">
                  <c:v>53.181425918009467</c:v>
                </c:pt>
                <c:pt idx="35">
                  <c:v>52.372059841164727</c:v>
                </c:pt>
                <c:pt idx="36">
                  <c:v>51.560889352373451</c:v>
                </c:pt>
                <c:pt idx="37">
                  <c:v>50.747120303621116</c:v>
                </c:pt>
                <c:pt idx="38">
                  <c:v>49.931107620600869</c:v>
                </c:pt>
                <c:pt idx="39">
                  <c:v>49.111700511431778</c:v>
                </c:pt>
                <c:pt idx="40">
                  <c:v>48.288629474327756</c:v>
                </c:pt>
                <c:pt idx="41">
                  <c:v>47.461150907580326</c:v>
                </c:pt>
                <c:pt idx="42">
                  <c:v>46.628601699210051</c:v>
                </c:pt>
                <c:pt idx="43">
                  <c:v>45.789845098414439</c:v>
                </c:pt>
                <c:pt idx="44">
                  <c:v>44.944092066855205</c:v>
                </c:pt>
                <c:pt idx="45">
                  <c:v>44.090038872211423</c:v>
                </c:pt>
                <c:pt idx="46">
                  <c:v>43.226608407687323</c:v>
                </c:pt>
                <c:pt idx="47">
                  <c:v>42.352262129580254</c:v>
                </c:pt>
                <c:pt idx="48">
                  <c:v>41.465786698673654</c:v>
                </c:pt>
                <c:pt idx="49">
                  <c:v>40.565491367526846</c:v>
                </c:pt>
                <c:pt idx="50">
                  <c:v>39.650072007855833</c:v>
                </c:pt>
                <c:pt idx="51">
                  <c:v>38.717970881129908</c:v>
                </c:pt>
                <c:pt idx="52">
                  <c:v>37.768339839187661</c:v>
                </c:pt>
                <c:pt idx="53">
                  <c:v>36.800313040697716</c:v>
                </c:pt>
                <c:pt idx="54">
                  <c:v>35.814106559014306</c:v>
                </c:pt>
                <c:pt idx="55">
                  <c:v>34.808178622341075</c:v>
                </c:pt>
                <c:pt idx="56">
                  <c:v>33.784690879206607</c:v>
                </c:pt>
                <c:pt idx="57">
                  <c:v>32.744428272303075</c:v>
                </c:pt>
                <c:pt idx="58">
                  <c:v>31.690330023461968</c:v>
                </c:pt>
                <c:pt idx="59">
                  <c:v>30.624459324091184</c:v>
                </c:pt>
                <c:pt idx="60">
                  <c:v>29.550865327349772</c:v>
                </c:pt>
                <c:pt idx="61">
                  <c:v>28.473258773247178</c:v>
                </c:pt>
                <c:pt idx="62">
                  <c:v>27.395153001932847</c:v>
                </c:pt>
                <c:pt idx="63">
                  <c:v>26.321667413409763</c:v>
                </c:pt>
                <c:pt idx="64">
                  <c:v>25.255806163516095</c:v>
                </c:pt>
                <c:pt idx="65">
                  <c:v>24.20142177628356</c:v>
                </c:pt>
                <c:pt idx="66">
                  <c:v>23.161289125666059</c:v>
                </c:pt>
                <c:pt idx="67">
                  <c:v>22.137733987063125</c:v>
                </c:pt>
                <c:pt idx="68">
                  <c:v>21.131920458779277</c:v>
                </c:pt>
                <c:pt idx="69">
                  <c:v>20.144877221330493</c:v>
                </c:pt>
                <c:pt idx="70">
                  <c:v>19.176524368440187</c:v>
                </c:pt>
                <c:pt idx="71">
                  <c:v>18.226633192168102</c:v>
                </c:pt>
                <c:pt idx="72">
                  <c:v>17.294145936129787</c:v>
                </c:pt>
                <c:pt idx="73">
                  <c:v>16.378126579047528</c:v>
                </c:pt>
                <c:pt idx="74">
                  <c:v>15.476974056973908</c:v>
                </c:pt>
                <c:pt idx="75">
                  <c:v>14.589356072117114</c:v>
                </c:pt>
                <c:pt idx="76">
                  <c:v>13.713565335282096</c:v>
                </c:pt>
                <c:pt idx="77">
                  <c:v>12.8484062339876</c:v>
                </c:pt>
                <c:pt idx="78">
                  <c:v>11.992433763199809</c:v>
                </c:pt>
                <c:pt idx="79">
                  <c:v>11.14485406882933</c:v>
                </c:pt>
                <c:pt idx="80">
                  <c:v>10.30302398624718</c:v>
                </c:pt>
                <c:pt idx="81">
                  <c:v>9.4670176611643555</c:v>
                </c:pt>
                <c:pt idx="82">
                  <c:v>8.6352586800611668</c:v>
                </c:pt>
                <c:pt idx="83">
                  <c:v>7.8074214774372672</c:v>
                </c:pt>
                <c:pt idx="84">
                  <c:v>6.9820269103779893</c:v>
                </c:pt>
                <c:pt idx="85">
                  <c:v>6.1587619647280007</c:v>
                </c:pt>
                <c:pt idx="86">
                  <c:v>5.3367671754962984</c:v>
                </c:pt>
                <c:pt idx="87">
                  <c:v>4.5148952308340338</c:v>
                </c:pt>
                <c:pt idx="88">
                  <c:v>3.693233191436442</c:v>
                </c:pt>
                <c:pt idx="89">
                  <c:v>2.8704137547506168</c:v>
                </c:pt>
                <c:pt idx="90">
                  <c:v>2.0460131434950801</c:v>
                </c:pt>
                <c:pt idx="91">
                  <c:v>1.2191760630853183</c:v>
                </c:pt>
                <c:pt idx="92">
                  <c:v>0.38916134883737413</c:v>
                </c:pt>
                <c:pt idx="93">
                  <c:v>-0.44522429918429979</c:v>
                </c:pt>
                <c:pt idx="94">
                  <c:v>-0.65451906220279632</c:v>
                </c:pt>
                <c:pt idx="95">
                  <c:v>-0.75994494402611734</c:v>
                </c:pt>
                <c:pt idx="96">
                  <c:v>-0.86425292192832737</c:v>
                </c:pt>
                <c:pt idx="97">
                  <c:v>-0.96984952881059294</c:v>
                </c:pt>
                <c:pt idx="98">
                  <c:v>-1.0743310620801385</c:v>
                </c:pt>
                <c:pt idx="99">
                  <c:v>-1.1801344574208041</c:v>
                </c:pt>
                <c:pt idx="100">
                  <c:v>-1.2848250937618098</c:v>
                </c:pt>
                <c:pt idx="101">
                  <c:v>-1.3907895528798808</c:v>
                </c:pt>
                <c:pt idx="102">
                  <c:v>-1.4956447705493161</c:v>
                </c:pt>
                <c:pt idx="103">
                  <c:v>-1.6018822813288121</c:v>
                </c:pt>
                <c:pt idx="104">
                  <c:v>-1.7070119953726031</c:v>
                </c:pt>
                <c:pt idx="105">
                  <c:v>-1.8134744188220662</c:v>
                </c:pt>
                <c:pt idx="106">
                  <c:v>-1.9188317622887339</c:v>
                </c:pt>
                <c:pt idx="107">
                  <c:v>-2.0254747597324698</c:v>
                </c:pt>
                <c:pt idx="108">
                  <c:v>-2.1310165763772853</c:v>
                </c:pt>
                <c:pt idx="109">
                  <c:v>-2.2378717898035316</c:v>
                </c:pt>
                <c:pt idx="110">
                  <c:v>-2.3436293408984445</c:v>
                </c:pt>
                <c:pt idx="111">
                  <c:v>-2.4507968394500406</c:v>
                </c:pt>
                <c:pt idx="112">
                  <c:v>-2.5568684405432212</c:v>
                </c:pt>
                <c:pt idx="113">
                  <c:v>-2.6643013878354656</c:v>
                </c:pt>
                <c:pt idx="114">
                  <c:v>-2.7706414595448408</c:v>
                </c:pt>
                <c:pt idx="115">
                  <c:v>-2.878364832107656</c:v>
                </c:pt>
                <c:pt idx="116">
                  <c:v>-2.9849981508485839</c:v>
                </c:pt>
                <c:pt idx="117">
                  <c:v>-3.0930350443761156</c:v>
                </c:pt>
                <c:pt idx="118">
                  <c:v>-3.1999845571450418</c:v>
                </c:pt>
                <c:pt idx="119">
                  <c:v>-3.3082910101325931</c:v>
                </c:pt>
                <c:pt idx="120">
                  <c:v>-3.4155139522077018</c:v>
                </c:pt>
                <c:pt idx="121">
                  <c:v>-3.5241136970342355</c:v>
                </c:pt>
                <c:pt idx="122">
                  <c:v>-3.6316336437941543</c:v>
                </c:pt>
                <c:pt idx="123">
                  <c:v>-3.7406116070145607</c:v>
                </c:pt>
                <c:pt idx="124">
                  <c:v>-3.8485121393496136</c:v>
                </c:pt>
                <c:pt idx="125">
                  <c:v>-3.9578237665852187</c:v>
                </c:pt>
                <c:pt idx="126">
                  <c:v>-4.0660615499341972</c:v>
                </c:pt>
                <c:pt idx="127">
                  <c:v>-4.1757263293177784</c:v>
                </c:pt>
                <c:pt idx="128">
                  <c:v>-4.284320810848059</c:v>
                </c:pt>
                <c:pt idx="129">
                  <c:v>-4.3943570563148544</c:v>
                </c:pt>
                <c:pt idx="130">
                  <c:v>-4.5033265407659657</c:v>
                </c:pt>
                <c:pt idx="131">
                  <c:v>-4.6137515145767169</c:v>
                </c:pt>
                <c:pt idx="132">
                  <c:v>-4.6685636681702229</c:v>
                </c:pt>
                <c:pt idx="133">
                  <c:v>-4.723113283180405</c:v>
                </c:pt>
                <c:pt idx="134">
                  <c:v>-4.7786909975949019</c:v>
                </c:pt>
                <c:pt idx="135">
                  <c:v>-4.8340002510962963</c:v>
                </c:pt>
                <c:pt idx="136">
                  <c:v>-4.8890443475458483</c:v>
                </c:pt>
                <c:pt idx="137">
                  <c:v>-4.9438265323860069</c:v>
                </c:pt>
                <c:pt idx="138">
                  <c:v>-4.9995849056875494</c:v>
                </c:pt>
                <c:pt idx="139">
                  <c:v>-5.0550760243028439</c:v>
                </c:pt>
                <c:pt idx="140">
                  <c:v>-5.1103031787783015</c:v>
                </c:pt>
                <c:pt idx="141">
                  <c:v>-5.1652696014177319</c:v>
                </c:pt>
                <c:pt idx="142">
                  <c:v>-5.22127270144526</c:v>
                </c:pt>
                <c:pt idx="143">
                  <c:v>-5.2770092312081704</c:v>
                </c:pt>
                <c:pt idx="144">
                  <c:v>-5.3324824773675275</c:v>
                </c:pt>
                <c:pt idx="145">
                  <c:v>-5.387695668287062</c:v>
                </c:pt>
                <c:pt idx="146">
                  <c:v>-5.4439219707170148</c:v>
                </c:pt>
                <c:pt idx="147">
                  <c:v>-5.4998826868964077</c:v>
                </c:pt>
                <c:pt idx="148">
                  <c:v>-5.555581093859332</c:v>
                </c:pt>
                <c:pt idx="149">
                  <c:v>-5.6110204104136985</c:v>
                </c:pt>
                <c:pt idx="150">
                  <c:v>-5.667476712724314</c:v>
                </c:pt>
                <c:pt idx="151">
                  <c:v>-5.7236684407789795</c:v>
                </c:pt>
                <c:pt idx="152">
                  <c:v>-5.779598861191694</c:v>
                </c:pt>
                <c:pt idx="153">
                  <c:v>-5.8352711824308976</c:v>
                </c:pt>
                <c:pt idx="154">
                  <c:v>-5.8919900620947772</c:v>
                </c:pt>
                <c:pt idx="155">
                  <c:v>-5.9484451688339686</c:v>
                </c:pt>
                <c:pt idx="156">
                  <c:v>-6.0046397624056391</c:v>
                </c:pt>
                <c:pt idx="157">
                  <c:v>-6.0605770444078644</c:v>
                </c:pt>
                <c:pt idx="158">
                  <c:v>-6.1175634071693841</c:v>
                </c:pt>
                <c:pt idx="159">
                  <c:v>-6.1742868491019234</c:v>
                </c:pt>
                <c:pt idx="160">
                  <c:v>-6.2307506217881468</c:v>
                </c:pt>
                <c:pt idx="161">
                  <c:v>-6.2869579186594384</c:v>
                </c:pt>
                <c:pt idx="162">
                  <c:v>-6.3441914709535485</c:v>
                </c:pt>
                <c:pt idx="163">
                  <c:v>-6.4011632341459013</c:v>
                </c:pt>
                <c:pt idx="164">
                  <c:v>-6.4578764460289975</c:v>
                </c:pt>
                <c:pt idx="165">
                  <c:v>-6.5143342863747256</c:v>
                </c:pt>
                <c:pt idx="166">
                  <c:v>-6.5718703646913461</c:v>
                </c:pt>
                <c:pt idx="167">
                  <c:v>-6.6291453732738868</c:v>
                </c:pt>
                <c:pt idx="168">
                  <c:v>-6.6861625432438121</c:v>
                </c:pt>
                <c:pt idx="169">
                  <c:v>-6.7429250476531202</c:v>
                </c:pt>
                <c:pt idx="170">
                  <c:v>-6.8006459500142675</c:v>
                </c:pt>
                <c:pt idx="171">
                  <c:v>-6.8581076525346782</c:v>
                </c:pt>
                <c:pt idx="172">
                  <c:v>-6.915313357809838</c:v>
                </c:pt>
                <c:pt idx="173">
                  <c:v>-6.97226621082919</c:v>
                </c:pt>
                <c:pt idx="174">
                  <c:v>-7.0303955888775533</c:v>
                </c:pt>
                <c:pt idx="175">
                  <c:v>-7.088265719507854</c:v>
                </c:pt>
                <c:pt idx="176">
                  <c:v>-7.1458798116028523</c:v>
                </c:pt>
                <c:pt idx="177">
                  <c:v>-7.2032410160592573</c:v>
                </c:pt>
                <c:pt idx="178">
                  <c:v>-7.2617536852752931</c:v>
                </c:pt>
                <c:pt idx="179">
                  <c:v>-7.3200073927904983</c:v>
                </c:pt>
                <c:pt idx="180">
                  <c:v>-7.3780053469144926</c:v>
                </c:pt>
                <c:pt idx="181">
                  <c:v>-7.4357506977427326</c:v>
                </c:pt>
                <c:pt idx="182">
                  <c:v>-7.49439393126229</c:v>
                </c:pt>
                <c:pt idx="183">
                  <c:v>-7.5527807973028436</c:v>
                </c:pt>
                <c:pt idx="184">
                  <c:v>-7.6109144601031522</c:v>
                </c:pt>
                <c:pt idx="185">
                  <c:v>-7.6687980264988864</c:v>
                </c:pt>
                <c:pt idx="186">
                  <c:v>-7.7280132710148708</c:v>
                </c:pt>
                <c:pt idx="187">
                  <c:v>-7.7869709688620201</c:v>
                </c:pt>
                <c:pt idx="188">
                  <c:v>-7.8456743090970535</c:v>
                </c:pt>
                <c:pt idx="189">
                  <c:v>-7.9041264225098073</c:v>
                </c:pt>
                <c:pt idx="190">
                  <c:v>-7.9634387523529782</c:v>
                </c:pt>
                <c:pt idx="191">
                  <c:v>-8.0224965610144192</c:v>
                </c:pt>
                <c:pt idx="192">
                  <c:v>-8.0813029837269532</c:v>
                </c:pt>
                <c:pt idx="193">
                  <c:v>-8.1398610984896234</c:v>
                </c:pt>
                <c:pt idx="194">
                  <c:v>-8.1996994555675542</c:v>
                </c:pt>
                <c:pt idx="195">
                  <c:v>-8.2592827027536568</c:v>
                </c:pt>
                <c:pt idx="196">
                  <c:v>-8.3186139871249924</c:v>
                </c:pt>
                <c:pt idx="197">
                  <c:v>-8.3776963979538994</c:v>
                </c:pt>
                <c:pt idx="198">
                  <c:v>-8.4378186320150093</c:v>
                </c:pt>
                <c:pt idx="199">
                  <c:v>-8.4976873174233631</c:v>
                </c:pt>
                <c:pt idx="200">
                  <c:v>-8.5573055723515274</c:v>
                </c:pt>
                <c:pt idx="201">
                  <c:v>-8.6166764575805352</c:v>
                </c:pt>
                <c:pt idx="202">
                  <c:v>-8.6770673222399051</c:v>
                </c:pt>
                <c:pt idx="203">
                  <c:v>-8.7372063797810533</c:v>
                </c:pt>
                <c:pt idx="204">
                  <c:v>-8.7970967150386965</c:v>
                </c:pt>
                <c:pt idx="205">
                  <c:v>-8.8567413559726003</c:v>
                </c:pt>
                <c:pt idx="206">
                  <c:v>-8.9175941498303697</c:v>
                </c:pt>
                <c:pt idx="207">
                  <c:v>-8.9781953316109195</c:v>
                </c:pt>
                <c:pt idx="208">
                  <c:v>-9.038547979900093</c:v>
                </c:pt>
                <c:pt idx="209">
                  <c:v>-9.0986551162547364</c:v>
                </c:pt>
                <c:pt idx="210">
                  <c:v>-9.1601508606874535</c:v>
                </c:pt>
                <c:pt idx="211">
                  <c:v>-9.2213937888147903</c:v>
                </c:pt>
                <c:pt idx="212">
                  <c:v>-9.282386997153246</c:v>
                </c:pt>
                <c:pt idx="213">
                  <c:v>-9.3431335244287439</c:v>
                </c:pt>
                <c:pt idx="214">
                  <c:v>-9.4048399321930525</c:v>
                </c:pt>
                <c:pt idx="215">
                  <c:v>-9.4662959337336812</c:v>
                </c:pt>
                <c:pt idx="216">
                  <c:v>-9.5275045759446737</c:v>
                </c:pt>
                <c:pt idx="217">
                  <c:v>-9.5884688488354701</c:v>
                </c:pt>
                <c:pt idx="218">
                  <c:v>-9.6505734541555555</c:v>
                </c:pt>
                <c:pt idx="219">
                  <c:v>-9.7124285698916513</c:v>
                </c:pt>
                <c:pt idx="220">
                  <c:v>-9.7740372191425298</c:v>
                </c:pt>
                <c:pt idx="221">
                  <c:v>-9.8354023683865535</c:v>
                </c:pt>
                <c:pt idx="222">
                  <c:v>-9.8978868587837869</c:v>
                </c:pt>
                <c:pt idx="223">
                  <c:v>-9.9601229656121859</c:v>
                </c:pt>
                <c:pt idx="224">
                  <c:v>-10.022113683206015</c:v>
                </c:pt>
                <c:pt idx="225">
                  <c:v>-10.083861949666899</c:v>
                </c:pt>
                <c:pt idx="226">
                  <c:v>-10.146900540082278</c:v>
                </c:pt>
                <c:pt idx="227">
                  <c:v>-10.209690518161166</c:v>
                </c:pt>
                <c:pt idx="228">
                  <c:v>-10.272234871855694</c:v>
                </c:pt>
                <c:pt idx="229">
                  <c:v>-10.334536532713138</c:v>
                </c:pt>
                <c:pt idx="230">
                  <c:v>-10.461423913127101</c:v>
                </c:pt>
                <c:pt idx="231">
                  <c:v>-10.524497696151133</c:v>
                </c:pt>
                <c:pt idx="232">
                  <c:v>-10.587328784860164</c:v>
                </c:pt>
                <c:pt idx="233">
                  <c:v>-10.651402997720181</c:v>
                </c:pt>
                <c:pt idx="234">
                  <c:v>-10.715228872054819</c:v>
                </c:pt>
                <c:pt idx="235">
                  <c:v>-10.778809364324292</c:v>
                </c:pt>
                <c:pt idx="236">
                  <c:v>-10.842147374710125</c:v>
                </c:pt>
                <c:pt idx="237">
                  <c:v>-10.906523544438809</c:v>
                </c:pt>
                <c:pt idx="238">
                  <c:v>-10.970653218729252</c:v>
                </c:pt>
                <c:pt idx="239">
                  <c:v>-11.034539305284863</c:v>
                </c:pt>
                <c:pt idx="240">
                  <c:v>-11.098184656436725</c:v>
                </c:pt>
                <c:pt idx="241">
                  <c:v>-11.163210187586056</c:v>
                </c:pt>
                <c:pt idx="242">
                  <c:v>-11.227988419402051</c:v>
                </c:pt>
                <c:pt idx="243">
                  <c:v>-11.292522255736069</c:v>
                </c:pt>
                <c:pt idx="244">
                  <c:v>-11.356814544844351</c:v>
                </c:pt>
                <c:pt idx="245">
                  <c:v>-11.422284866592641</c:v>
                </c:pt>
                <c:pt idx="246">
                  <c:v>-11.487508662503567</c:v>
                </c:pt>
                <c:pt idx="247">
                  <c:v>-11.552488802872457</c:v>
                </c:pt>
                <c:pt idx="248">
                  <c:v>-11.617228102941139</c:v>
                </c:pt>
                <c:pt idx="249">
                  <c:v>-11.683299573471045</c:v>
                </c:pt>
                <c:pt idx="250">
                  <c:v>-11.749124121258603</c:v>
                </c:pt>
                <c:pt idx="251">
                  <c:v>-11.814704601465365</c:v>
                </c:pt>
                <c:pt idx="252">
                  <c:v>-11.880043814284736</c:v>
                </c:pt>
                <c:pt idx="253">
                  <c:v>-11.946519740953024</c:v>
                </c:pt>
                <c:pt idx="254">
                  <c:v>-12.012749811979837</c:v>
                </c:pt>
                <c:pt idx="255">
                  <c:v>-12.078736840182135</c:v>
                </c:pt>
                <c:pt idx="256">
                  <c:v>-12.144483584205741</c:v>
                </c:pt>
                <c:pt idx="257">
                  <c:v>-12.211686745247594</c:v>
                </c:pt>
                <c:pt idx="258">
                  <c:v>-12.278642723634368</c:v>
                </c:pt>
                <c:pt idx="259">
                  <c:v>-12.345354328826595</c:v>
                </c:pt>
                <c:pt idx="260">
                  <c:v>-12.411824315930428</c:v>
                </c:pt>
                <c:pt idx="261">
                  <c:v>-12.479557882850793</c:v>
                </c:pt>
                <c:pt idx="262">
                  <c:v>-12.547044384911016</c:v>
                </c:pt>
                <c:pt idx="263">
                  <c:v>-12.614286601495884</c:v>
                </c:pt>
                <c:pt idx="264">
                  <c:v>-12.681287258158786</c:v>
                </c:pt>
                <c:pt idx="265">
                  <c:v>-12.749529929713956</c:v>
                </c:pt>
                <c:pt idx="266">
                  <c:v>-12.817525778961084</c:v>
                </c:pt>
                <c:pt idx="267">
                  <c:v>-12.885277551296326</c:v>
                </c:pt>
                <c:pt idx="268">
                  <c:v>-12.95278793893309</c:v>
                </c:pt>
                <c:pt idx="269">
                  <c:v>-13.02168156981722</c:v>
                </c:pt>
                <c:pt idx="270">
                  <c:v>-13.09032756463732</c:v>
                </c:pt>
                <c:pt idx="271">
                  <c:v>-13.158728650471602</c:v>
                </c:pt>
                <c:pt idx="272">
                  <c:v>-13.226887501487838</c:v>
                </c:pt>
                <c:pt idx="273">
                  <c:v>-13.296405737881571</c:v>
                </c:pt>
                <c:pt idx="274">
                  <c:v>-13.365675684032913</c:v>
                </c:pt>
                <c:pt idx="275">
                  <c:v>-13.434700044061023</c:v>
                </c:pt>
                <c:pt idx="276">
                  <c:v>-13.503481469596192</c:v>
                </c:pt>
                <c:pt idx="277">
                  <c:v>-13.573441394782744</c:v>
                </c:pt>
                <c:pt idx="278">
                  <c:v>-13.643153626631348</c:v>
                </c:pt>
                <c:pt idx="279">
                  <c:v>-13.712620824348004</c:v>
                </c:pt>
                <c:pt idx="280">
                  <c:v>-13.781845595670175</c:v>
                </c:pt>
                <c:pt idx="281">
                  <c:v>-13.852695850587843</c:v>
                </c:pt>
                <c:pt idx="282">
                  <c:v>-13.923295782650616</c:v>
                </c:pt>
                <c:pt idx="283">
                  <c:v>-13.993648056179744</c:v>
                </c:pt>
                <c:pt idx="284">
                  <c:v>-14.063755283794819</c:v>
                </c:pt>
                <c:pt idx="285">
                  <c:v>-14.134999539232002</c:v>
                </c:pt>
                <c:pt idx="286">
                  <c:v>-14.205994287883152</c:v>
                </c:pt>
                <c:pt idx="287">
                  <c:v>-14.276742142690292</c:v>
                </c:pt>
                <c:pt idx="288">
                  <c:v>-14.347245666152928</c:v>
                </c:pt>
                <c:pt idx="289">
                  <c:v>-14.419321299043165</c:v>
                </c:pt>
                <c:pt idx="290">
                  <c:v>-14.491145105180825</c:v>
                </c:pt>
                <c:pt idx="291">
                  <c:v>-14.562719693906519</c:v>
                </c:pt>
                <c:pt idx="292">
                  <c:v>-14.634047624189995</c:v>
                </c:pt>
                <c:pt idx="293">
                  <c:v>-14.706771231838117</c:v>
                </c:pt>
                <c:pt idx="294">
                  <c:v>-14.779241912322693</c:v>
                </c:pt>
                <c:pt idx="295">
                  <c:v>-14.851462250743834</c:v>
                </c:pt>
                <c:pt idx="296">
                  <c:v>-14.923434782475038</c:v>
                </c:pt>
                <c:pt idx="297">
                  <c:v>-14.996779302227377</c:v>
                </c:pt>
                <c:pt idx="298">
                  <c:v>-15.069869902911975</c:v>
                </c:pt>
                <c:pt idx="299">
                  <c:v>-15.142709142506829</c:v>
                </c:pt>
                <c:pt idx="300">
                  <c:v>-15.215299530024865</c:v>
                </c:pt>
                <c:pt idx="301">
                  <c:v>-15.289238723716336</c:v>
                </c:pt>
                <c:pt idx="302">
                  <c:v>-15.362923099407549</c:v>
                </c:pt>
                <c:pt idx="303">
                  <c:v>-15.436355185599822</c:v>
                </c:pt>
                <c:pt idx="304">
                  <c:v>-15.509537462694365</c:v>
                </c:pt>
                <c:pt idx="305">
                  <c:v>-15.584331923196036</c:v>
                </c:pt>
                <c:pt idx="306">
                  <c:v>-15.6588687854704</c:v>
                </c:pt>
                <c:pt idx="307">
                  <c:v>-15.733150575333797</c:v>
                </c:pt>
                <c:pt idx="308">
                  <c:v>-15.807179770737278</c:v>
                </c:pt>
                <c:pt idx="309">
                  <c:v>-15.882510859592054</c:v>
                </c:pt>
                <c:pt idx="310">
                  <c:v>-15.95758367026674</c:v>
                </c:pt>
                <c:pt idx="311">
                  <c:v>-16.032400694185604</c:v>
                </c:pt>
                <c:pt idx="312">
                  <c:v>-16.106964375987445</c:v>
                </c:pt>
                <c:pt idx="313">
                  <c:v>-16.183086505591323</c:v>
                </c:pt>
                <c:pt idx="314">
                  <c:v>-16.258947832227481</c:v>
                </c:pt>
                <c:pt idx="315">
                  <c:v>-16.33455083899733</c:v>
                </c:pt>
                <c:pt idx="316">
                  <c:v>-16.409897962691282</c:v>
                </c:pt>
                <c:pt idx="317">
                  <c:v>-16.486776468417801</c:v>
                </c:pt>
                <c:pt idx="318">
                  <c:v>-16.563391786820326</c:v>
                </c:pt>
                <c:pt idx="319">
                  <c:v>-16.639746389896619</c:v>
                </c:pt>
                <c:pt idx="320">
                  <c:v>-16.715842703926622</c:v>
                </c:pt>
                <c:pt idx="321">
                  <c:v>-16.793443815048711</c:v>
                </c:pt>
                <c:pt idx="322">
                  <c:v>-16.870779482515687</c:v>
                </c:pt>
                <c:pt idx="323">
                  <c:v>-16.947852164945875</c:v>
                </c:pt>
                <c:pt idx="324">
                  <c:v>-17.024664275936495</c:v>
                </c:pt>
                <c:pt idx="325">
                  <c:v>-17.102955064350105</c:v>
                </c:pt>
                <c:pt idx="326">
                  <c:v>-17.180978269991364</c:v>
                </c:pt>
                <c:pt idx="327">
                  <c:v>-17.258736336295893</c:v>
                </c:pt>
                <c:pt idx="328">
                  <c:v>-17.336231662462843</c:v>
                </c:pt>
                <c:pt idx="329">
                  <c:v>-17.415311791157229</c:v>
                </c:pt>
                <c:pt idx="330">
                  <c:v>-17.494121407547464</c:v>
                </c:pt>
                <c:pt idx="331">
                  <c:v>-17.572662950603316</c:v>
                </c:pt>
                <c:pt idx="332">
                  <c:v>-17.650938815628489</c:v>
                </c:pt>
                <c:pt idx="333">
                  <c:v>-17.730641546811256</c:v>
                </c:pt>
                <c:pt idx="334">
                  <c:v>-17.810071863477269</c:v>
                </c:pt>
                <c:pt idx="335">
                  <c:v>-17.889232186446815</c:v>
                </c:pt>
                <c:pt idx="336">
                  <c:v>-17.968124893808842</c:v>
                </c:pt>
                <c:pt idx="337">
                  <c:v>-18.048676153784427</c:v>
                </c:pt>
                <c:pt idx="338">
                  <c:v>-18.128951439673944</c:v>
                </c:pt>
                <c:pt idx="339">
                  <c:v>-18.208953176490454</c:v>
                </c:pt>
                <c:pt idx="340">
                  <c:v>-18.288683746963702</c:v>
                </c:pt>
                <c:pt idx="341">
                  <c:v>-18.370043217917885</c:v>
                </c:pt>
                <c:pt idx="342">
                  <c:v>-18.451123317771149</c:v>
                </c:pt>
                <c:pt idx="343">
                  <c:v>-18.531926473771893</c:v>
                </c:pt>
                <c:pt idx="344">
                  <c:v>-18.612455071418431</c:v>
                </c:pt>
                <c:pt idx="345">
                  <c:v>-18.694458579373141</c:v>
                </c:pt>
                <c:pt idx="346">
                  <c:v>-18.776180330918699</c:v>
                </c:pt>
                <c:pt idx="347">
                  <c:v>-18.857622742983921</c:v>
                </c:pt>
                <c:pt idx="348">
                  <c:v>-18.938788191597109</c:v>
                </c:pt>
                <c:pt idx="349">
                  <c:v>-19.021648548467066</c:v>
                </c:pt>
                <c:pt idx="350">
                  <c:v>-19.104223187241917</c:v>
                </c:pt>
                <c:pt idx="351">
                  <c:v>-19.186514535481304</c:v>
                </c:pt>
                <c:pt idx="352">
                  <c:v>-19.268524980249321</c:v>
                </c:pt>
                <c:pt idx="353">
                  <c:v>-19.352199490491905</c:v>
                </c:pt>
                <c:pt idx="354">
                  <c:v>-19.435584499881276</c:v>
                </c:pt>
                <c:pt idx="355">
                  <c:v>-19.518682444948947</c:v>
                </c:pt>
                <c:pt idx="356">
                  <c:v>-19.6014957222006</c:v>
                </c:pt>
                <c:pt idx="357">
                  <c:v>-19.685822929039357</c:v>
                </c:pt>
                <c:pt idx="358">
                  <c:v>-19.769857855345396</c:v>
                </c:pt>
                <c:pt idx="359">
                  <c:v>-19.853602934938021</c:v>
                </c:pt>
                <c:pt idx="360">
                  <c:v>-19.937060562352087</c:v>
                </c:pt>
                <c:pt idx="361">
                  <c:v>-20.022240867379054</c:v>
                </c:pt>
                <c:pt idx="362">
                  <c:v>-20.107124612006984</c:v>
                </c:pt>
                <c:pt idx="363">
                  <c:v>-20.19171424707509</c:v>
                </c:pt>
                <c:pt idx="364">
                  <c:v>-20.27601218446874</c:v>
                </c:pt>
                <c:pt idx="365">
                  <c:v>-20.361884388005794</c:v>
                </c:pt>
                <c:pt idx="366">
                  <c:v>-20.44745676171145</c:v>
                </c:pt>
                <c:pt idx="367">
                  <c:v>-20.532731761989048</c:v>
                </c:pt>
                <c:pt idx="368">
                  <c:v>-20.617711806870439</c:v>
                </c:pt>
                <c:pt idx="369">
                  <c:v>-20.704466792647345</c:v>
                </c:pt>
                <c:pt idx="370">
                  <c:v>-20.790917237692614</c:v>
                </c:pt>
                <c:pt idx="371">
                  <c:v>-20.877065622763759</c:v>
                </c:pt>
                <c:pt idx="372">
                  <c:v>-20.962914390444098</c:v>
                </c:pt>
                <c:pt idx="373">
                  <c:v>-21.050391419723688</c:v>
                </c:pt>
                <c:pt idx="374">
                  <c:v>-21.137560216114565</c:v>
                </c:pt>
                <c:pt idx="375">
                  <c:v>-21.224423273421653</c:v>
                </c:pt>
                <c:pt idx="376">
                  <c:v>-21.310983047706266</c:v>
                </c:pt>
                <c:pt idx="377">
                  <c:v>-21.399363886061167</c:v>
                </c:pt>
                <c:pt idx="378">
                  <c:v>-21.487431412635992</c:v>
                </c:pt>
                <c:pt idx="379">
                  <c:v>-21.57518815224347</c:v>
                </c:pt>
                <c:pt idx="380">
                  <c:v>-21.662636592019737</c:v>
                </c:pt>
                <c:pt idx="381">
                  <c:v>-21.751651058980816</c:v>
                </c:pt>
                <c:pt idx="382">
                  <c:v>-21.840348944913703</c:v>
                </c:pt>
                <c:pt idx="383">
                  <c:v>-21.928732785030256</c:v>
                </c:pt>
                <c:pt idx="384">
                  <c:v>-22.016805077332613</c:v>
                </c:pt>
                <c:pt idx="385">
                  <c:v>-22.106739427861175</c:v>
                </c:pt>
                <c:pt idx="386">
                  <c:v>-22.196351792642986</c:v>
                </c:pt>
                <c:pt idx="387">
                  <c:v>-22.285644744137091</c:v>
                </c:pt>
                <c:pt idx="388">
                  <c:v>-22.374620817522999</c:v>
                </c:pt>
                <c:pt idx="389">
                  <c:v>-22.465315804398237</c:v>
                </c:pt>
                <c:pt idx="390">
                  <c:v>-22.555684436860904</c:v>
                </c:pt>
                <c:pt idx="391">
                  <c:v>-22.645729313370907</c:v>
                </c:pt>
                <c:pt idx="392">
                  <c:v>-22.735452995243058</c:v>
                </c:pt>
                <c:pt idx="393">
                  <c:v>-22.826862282016954</c:v>
                </c:pt>
                <c:pt idx="394">
                  <c:v>-22.917941085216089</c:v>
                </c:pt>
                <c:pt idx="395">
                  <c:v>-23.008692027653737</c:v>
                </c:pt>
                <c:pt idx="396">
                  <c:v>-23.099117695143025</c:v>
                </c:pt>
                <c:pt idx="397">
                  <c:v>-23.191404116189961</c:v>
                </c:pt>
                <c:pt idx="398">
                  <c:v>-23.283354653120579</c:v>
                </c:pt>
                <c:pt idx="399">
                  <c:v>-23.374971969347449</c:v>
                </c:pt>
                <c:pt idx="400">
                  <c:v>-23.466258691102581</c:v>
                </c:pt>
                <c:pt idx="401">
                  <c:v>-23.559266886732928</c:v>
                </c:pt>
                <c:pt idx="402">
                  <c:v>-23.651934832970692</c:v>
                </c:pt>
                <c:pt idx="403">
                  <c:v>-23.744265222618051</c:v>
                </c:pt>
                <c:pt idx="404">
                  <c:v>-23.836260711301748</c:v>
                </c:pt>
                <c:pt idx="405">
                  <c:v>-23.930044642676368</c:v>
                </c:pt>
                <c:pt idx="406">
                  <c:v>-24.023483476999065</c:v>
                </c:pt>
                <c:pt idx="407">
                  <c:v>-24.116579943228999</c:v>
                </c:pt>
                <c:pt idx="408">
                  <c:v>-24.209336733004708</c:v>
                </c:pt>
                <c:pt idx="409">
                  <c:v>-24.303945778306037</c:v>
                </c:pt>
                <c:pt idx="410">
                  <c:v>-24.398204425476759</c:v>
                </c:pt>
                <c:pt idx="411">
                  <c:v>-24.492115445969958</c:v>
                </c:pt>
                <c:pt idx="412">
                  <c:v>-24.585681573632488</c:v>
                </c:pt>
                <c:pt idx="413">
                  <c:v>-24.681062613345212</c:v>
                </c:pt>
                <c:pt idx="414">
                  <c:v>-24.776088257370212</c:v>
                </c:pt>
                <c:pt idx="415">
                  <c:v>-24.870761316961776</c:v>
                </c:pt>
                <c:pt idx="416">
                  <c:v>-24.965084565505204</c:v>
                </c:pt>
                <c:pt idx="417">
                  <c:v>-25.061282559696529</c:v>
                </c:pt>
                <c:pt idx="418">
                  <c:v>-25.157119737952574</c:v>
                </c:pt>
                <c:pt idx="419">
                  <c:v>-25.252598957171209</c:v>
                </c:pt>
                <c:pt idx="420">
                  <c:v>-25.347723035987929</c:v>
                </c:pt>
                <c:pt idx="421">
                  <c:v>-25.444588354105075</c:v>
                </c:pt>
                <c:pt idx="422">
                  <c:v>-25.541088473117846</c:v>
                </c:pt>
                <c:pt idx="423">
                  <c:v>-25.63722628404237</c:v>
                </c:pt>
                <c:pt idx="424">
                  <c:v>-25.733004639417807</c:v>
                </c:pt>
                <c:pt idx="425">
                  <c:v>-25.830769857275754</c:v>
                </c:pt>
                <c:pt idx="426">
                  <c:v>-25.928163654647626</c:v>
                </c:pt>
                <c:pt idx="427">
                  <c:v>-26.025188979164732</c:v>
                </c:pt>
                <c:pt idx="428">
                  <c:v>-26.121848739343694</c:v>
                </c:pt>
                <c:pt idx="429">
                  <c:v>-26.220361655925473</c:v>
                </c:pt>
                <c:pt idx="430">
                  <c:v>-26.318497994360108</c:v>
                </c:pt>
                <c:pt idx="431">
                  <c:v>-26.416260746887165</c:v>
                </c:pt>
                <c:pt idx="432">
                  <c:v>-26.51365286618368</c:v>
                </c:pt>
                <c:pt idx="433">
                  <c:v>-26.612859517210907</c:v>
                </c:pt>
                <c:pt idx="434">
                  <c:v>-26.711684762975398</c:v>
                </c:pt>
                <c:pt idx="435">
                  <c:v>-26.810131636948412</c:v>
                </c:pt>
                <c:pt idx="436">
                  <c:v>-26.908203132628294</c:v>
                </c:pt>
                <c:pt idx="437">
                  <c:v>-27.008230253005586</c:v>
                </c:pt>
                <c:pt idx="438">
                  <c:v>-27.10787008284488</c:v>
                </c:pt>
                <c:pt idx="439">
                  <c:v>-27.207125709954646</c:v>
                </c:pt>
                <c:pt idx="440">
                  <c:v>-27.306000181511632</c:v>
                </c:pt>
                <c:pt idx="441">
                  <c:v>-27.406788792341082</c:v>
                </c:pt>
                <c:pt idx="442">
                  <c:v>-27.507184593823226</c:v>
                </c:pt>
                <c:pt idx="443">
                  <c:v>-27.607190724187078</c:v>
                </c:pt>
                <c:pt idx="444">
                  <c:v>-27.706810280424353</c:v>
                </c:pt>
                <c:pt idx="445">
                  <c:v>-27.808303168152829</c:v>
                </c:pt>
                <c:pt idx="446">
                  <c:v>-27.909398087887336</c:v>
                </c:pt>
                <c:pt idx="447">
                  <c:v>-28.010098224376023</c:v>
                </c:pt>
                <c:pt idx="448">
                  <c:v>-28.11040672058002</c:v>
                </c:pt>
                <c:pt idx="449">
                  <c:v>-28.212719324975705</c:v>
                </c:pt>
                <c:pt idx="450">
                  <c:v>-28.314627809639589</c:v>
                </c:pt>
                <c:pt idx="451">
                  <c:v>-28.416135418129961</c:v>
                </c:pt>
                <c:pt idx="452">
                  <c:v>-28.51724535144491</c:v>
                </c:pt>
                <c:pt idx="453">
                  <c:v>-28.620231814082842</c:v>
                </c:pt>
                <c:pt idx="454">
                  <c:v>-28.722809065680181</c:v>
                </c:pt>
                <c:pt idx="455">
                  <c:v>-28.824980396237976</c:v>
                </c:pt>
                <c:pt idx="456">
                  <c:v>-28.926749052635014</c:v>
                </c:pt>
                <c:pt idx="457">
                  <c:v>-29.030519064660378</c:v>
                </c:pt>
                <c:pt idx="458">
                  <c:v>-29.1338738149527</c:v>
                </c:pt>
                <c:pt idx="459">
                  <c:v>-29.236816651880293</c:v>
                </c:pt>
                <c:pt idx="460">
                  <c:v>-29.339350879918634</c:v>
                </c:pt>
                <c:pt idx="461">
                  <c:v>-29.443842475150316</c:v>
                </c:pt>
                <c:pt idx="462">
                  <c:v>-29.547913159545232</c:v>
                </c:pt>
                <c:pt idx="463">
                  <c:v>-29.651566335394847</c:v>
                </c:pt>
                <c:pt idx="464">
                  <c:v>-29.754805360408771</c:v>
                </c:pt>
                <c:pt idx="465">
                  <c:v>-29.860038683421944</c:v>
                </c:pt>
                <c:pt idx="466">
                  <c:v>-29.964845191666928</c:v>
                </c:pt>
                <c:pt idx="467">
                  <c:v>-30.069228344882575</c:v>
                </c:pt>
                <c:pt idx="468">
                  <c:v>-30.173191557483577</c:v>
                </c:pt>
                <c:pt idx="469">
                  <c:v>-30.27910464378332</c:v>
                </c:pt>
                <c:pt idx="470">
                  <c:v>-30.384585420773796</c:v>
                </c:pt>
                <c:pt idx="471">
                  <c:v>-30.489637401169652</c:v>
                </c:pt>
                <c:pt idx="472">
                  <c:v>-30.594264051710027</c:v>
                </c:pt>
                <c:pt idx="473">
                  <c:v>-30.700952135413644</c:v>
                </c:pt>
                <c:pt idx="474">
                  <c:v>-30.807201543856436</c:v>
                </c:pt>
                <c:pt idx="475">
                  <c:v>-30.913015853924154</c:v>
                </c:pt>
                <c:pt idx="476">
                  <c:v>-31.018398595698272</c:v>
                </c:pt>
                <c:pt idx="477">
                  <c:v>-31.125796094483249</c:v>
                </c:pt>
                <c:pt idx="478">
                  <c:v>-31.232748991994626</c:v>
                </c:pt>
                <c:pt idx="479">
                  <c:v>-31.339260924631485</c:v>
                </c:pt>
                <c:pt idx="480">
                  <c:v>-31.445335481264006</c:v>
                </c:pt>
                <c:pt idx="481">
                  <c:v>-31.553378940809921</c:v>
                </c:pt>
                <c:pt idx="482">
                  <c:v>-31.660972305674534</c:v>
                </c:pt>
                <c:pt idx="483">
                  <c:v>-31.768119267292086</c:v>
                </c:pt>
                <c:pt idx="484">
                  <c:v>-31.874823468948513</c:v>
                </c:pt>
                <c:pt idx="485">
                  <c:v>-31.983525396708838</c:v>
                </c:pt>
                <c:pt idx="486">
                  <c:v>-32.091771543600387</c:v>
                </c:pt>
                <c:pt idx="487">
                  <c:v>-32.199565659428792</c:v>
                </c:pt>
                <c:pt idx="488">
                  <c:v>-32.306911445205571</c:v>
                </c:pt>
                <c:pt idx="489">
                  <c:v>-32.416354157408563</c:v>
                </c:pt>
                <c:pt idx="490">
                  <c:v>-32.525334620160884</c:v>
                </c:pt>
                <c:pt idx="491">
                  <c:v>-32.633856652467117</c:v>
                </c:pt>
                <c:pt idx="492">
                  <c:v>-32.74192402374139</c:v>
                </c:pt>
                <c:pt idx="493">
                  <c:v>-32.852039487004269</c:v>
                </c:pt>
                <c:pt idx="494">
                  <c:v>-32.961686712652693</c:v>
                </c:pt>
                <c:pt idx="495">
                  <c:v>-33.070869584368367</c:v>
                </c:pt>
                <c:pt idx="496">
                  <c:v>-33.179591935566478</c:v>
                </c:pt>
                <c:pt idx="497">
                  <c:v>-33.290384642723481</c:v>
                </c:pt>
                <c:pt idx="498">
                  <c:v>-33.400702999127091</c:v>
                </c:pt>
                <c:pt idx="499">
                  <c:v>-33.510550956342449</c:v>
                </c:pt>
                <c:pt idx="500">
                  <c:v>-33.619932414983104</c:v>
                </c:pt>
                <c:pt idx="501">
                  <c:v>-33.731404422307797</c:v>
                </c:pt>
                <c:pt idx="502">
                  <c:v>-33.842395864423096</c:v>
                </c:pt>
                <c:pt idx="503">
                  <c:v>-33.952910763989969</c:v>
                </c:pt>
                <c:pt idx="504">
                  <c:v>-34.062953092028415</c:v>
                </c:pt>
                <c:pt idx="505">
                  <c:v>-34.175036326345115</c:v>
                </c:pt>
                <c:pt idx="506">
                  <c:v>-34.28663329153197</c:v>
                </c:pt>
                <c:pt idx="507">
                  <c:v>-34.39774807719256</c:v>
                </c:pt>
                <c:pt idx="508">
                  <c:v>-34.508384720726468</c:v>
                </c:pt>
                <c:pt idx="509">
                  <c:v>-34.62108026458823</c:v>
                </c:pt>
                <c:pt idx="510">
                  <c:v>-34.733283761293087</c:v>
                </c:pt>
                <c:pt idx="511">
                  <c:v>-34.844999370888331</c:v>
                </c:pt>
                <c:pt idx="512">
                  <c:v>-34.956231200654308</c:v>
                </c:pt>
                <c:pt idx="513">
                  <c:v>-35.06960353005681</c:v>
                </c:pt>
                <c:pt idx="514">
                  <c:v>-35.182477411979832</c:v>
                </c:pt>
                <c:pt idx="515">
                  <c:v>-35.294857087799471</c:v>
                </c:pt>
                <c:pt idx="516">
                  <c:v>-35.406746745441502</c:v>
                </c:pt>
                <c:pt idx="517">
                  <c:v>-35.520725080270864</c:v>
                </c:pt>
                <c:pt idx="518">
                  <c:v>-35.634199138015767</c:v>
                </c:pt>
                <c:pt idx="519">
                  <c:v>-35.747173237564965</c:v>
                </c:pt>
                <c:pt idx="520">
                  <c:v>-35.859651643808</c:v>
                </c:pt>
                <c:pt idx="521">
                  <c:v>-35.974231219431026</c:v>
                </c:pt>
                <c:pt idx="522">
                  <c:v>-36.088300696912249</c:v>
                </c:pt>
                <c:pt idx="523">
                  <c:v>-36.201864476435397</c:v>
                </c:pt>
                <c:pt idx="524">
                  <c:v>-36.314926903647056</c:v>
                </c:pt>
                <c:pt idx="525">
                  <c:v>-36.430101300795101</c:v>
                </c:pt>
                <c:pt idx="526">
                  <c:v>-36.544759817515747</c:v>
                </c:pt>
                <c:pt idx="527">
                  <c:v>-36.658906939213935</c:v>
                </c:pt>
                <c:pt idx="528">
                  <c:v>-36.772547096233581</c:v>
                </c:pt>
                <c:pt idx="529">
                  <c:v>-36.888308407134978</c:v>
                </c:pt>
                <c:pt idx="530">
                  <c:v>-37.00354812591862</c:v>
                </c:pt>
                <c:pt idx="531">
                  <c:v>-37.118270827308486</c:v>
                </c:pt>
                <c:pt idx="532">
                  <c:v>-37.232481030461784</c:v>
                </c:pt>
                <c:pt idx="533">
                  <c:v>-37.348879958639259</c:v>
                </c:pt>
                <c:pt idx="534">
                  <c:v>-37.464751145149926</c:v>
                </c:pt>
                <c:pt idx="535">
                  <c:v>-37.580099265527195</c:v>
                </c:pt>
                <c:pt idx="536">
                  <c:v>-37.694928939139842</c:v>
                </c:pt>
                <c:pt idx="537">
                  <c:v>-37.811834204728981</c:v>
                </c:pt>
                <c:pt idx="538">
                  <c:v>-37.928206812717058</c:v>
                </c:pt>
                <c:pt idx="539">
                  <c:v>-38.044051529488094</c:v>
                </c:pt>
                <c:pt idx="540">
                  <c:v>-38.159373064922335</c:v>
                </c:pt>
                <c:pt idx="541">
                  <c:v>-38.276892189581737</c:v>
                </c:pt>
                <c:pt idx="542">
                  <c:v>-38.393872838336009</c:v>
                </c:pt>
                <c:pt idx="543">
                  <c:v>-38.510319887703211</c:v>
                </c:pt>
                <c:pt idx="544">
                  <c:v>-38.626238157163527</c:v>
                </c:pt>
                <c:pt idx="545">
                  <c:v>-38.744299244671176</c:v>
                </c:pt>
                <c:pt idx="546">
                  <c:v>-38.861816800916273</c:v>
                </c:pt>
                <c:pt idx="547">
                  <c:v>-38.978795810401628</c:v>
                </c:pt>
                <c:pt idx="548">
                  <c:v>-39.095241200211966</c:v>
                </c:pt>
                <c:pt idx="549">
                  <c:v>-39.213831779254491</c:v>
                </c:pt>
                <c:pt idx="550">
                  <c:v>-39.331874032802794</c:v>
                </c:pt>
                <c:pt idx="551">
                  <c:v>-39.449373058857738</c:v>
                </c:pt>
                <c:pt idx="552">
                  <c:v>-39.566333897669878</c:v>
                </c:pt>
                <c:pt idx="553">
                  <c:v>-39.685495912991108</c:v>
                </c:pt>
                <c:pt idx="554">
                  <c:v>-39.804104609370775</c:v>
                </c:pt>
                <c:pt idx="555">
                  <c:v>-39.922165211423511</c:v>
                </c:pt>
                <c:pt idx="556">
                  <c:v>-40.039682885632608</c:v>
                </c:pt>
                <c:pt idx="557">
                  <c:v>-40.278560311712717</c:v>
                </c:pt>
                <c:pt idx="558">
                  <c:v>-40.515227387663309</c:v>
                </c:pt>
                <c:pt idx="559">
                  <c:v>-40.755076221047531</c:v>
                </c:pt>
                <c:pt idx="560">
                  <c:v>-40.992700498742423</c:v>
                </c:pt>
                <c:pt idx="561">
                  <c:v>-41.233703387330898</c:v>
                </c:pt>
                <c:pt idx="562">
                  <c:v>-41.472465615886222</c:v>
                </c:pt>
                <c:pt idx="563">
                  <c:v>-41.714084428451926</c:v>
                </c:pt>
                <c:pt idx="564">
                  <c:v>-41.953458199004181</c:v>
                </c:pt>
                <c:pt idx="565">
                  <c:v>-42.196583566252613</c:v>
                </c:pt>
                <c:pt idx="566">
                  <c:v>-42.437445124636113</c:v>
                </c:pt>
                <c:pt idx="567">
                  <c:v>-42.681930768880633</c:v>
                </c:pt>
                <c:pt idx="568">
                  <c:v>-42.924139047688058</c:v>
                </c:pt>
                <c:pt idx="569">
                  <c:v>-43.168895912806306</c:v>
                </c:pt>
                <c:pt idx="570">
                  <c:v>-43.411384922823444</c:v>
                </c:pt>
                <c:pt idx="571">
                  <c:v>-43.658220816303285</c:v>
                </c:pt>
                <c:pt idx="572">
                  <c:v>-43.902768418739832</c:v>
                </c:pt>
                <c:pt idx="573">
                  <c:v>-44.149682810531736</c:v>
                </c:pt>
                <c:pt idx="574">
                  <c:v>-44.394329309914099</c:v>
                </c:pt>
                <c:pt idx="575">
                  <c:v>-44.643087962556784</c:v>
                </c:pt>
                <c:pt idx="576">
                  <c:v>-44.889571405897797</c:v>
                </c:pt>
                <c:pt idx="577">
                  <c:v>-45.909146691348397</c:v>
                </c:pt>
                <c:pt idx="578">
                  <c:v>-46.893030798268455</c:v>
                </c:pt>
                <c:pt idx="579">
                  <c:v>-48.943229528052889</c:v>
                </c:pt>
                <c:pt idx="580">
                  <c:v>-51.06477430605257</c:v>
                </c:pt>
                <c:pt idx="581">
                  <c:v>-53.297197199594073</c:v>
                </c:pt>
                <c:pt idx="582">
                  <c:v>-55.728372123693582</c:v>
                </c:pt>
                <c:pt idx="583">
                  <c:v>-58.542286861442605</c:v>
                </c:pt>
                <c:pt idx="584">
                  <c:v>-62.185367906043687</c:v>
                </c:pt>
                <c:pt idx="585">
                  <c:v>-67.972999637933981</c:v>
                </c:pt>
                <c:pt idx="586">
                  <c:v>-85.468788724805052</c:v>
                </c:pt>
                <c:pt idx="587">
                  <c:v>-73.474023071894294</c:v>
                </c:pt>
                <c:pt idx="588">
                  <c:v>-69.10161370305849</c:v>
                </c:pt>
                <c:pt idx="589">
                  <c:v>-68.353033604300023</c:v>
                </c:pt>
                <c:pt idx="590">
                  <c:v>-69.001397214147872</c:v>
                </c:pt>
                <c:pt idx="591">
                  <c:v>-70.480348108245906</c:v>
                </c:pt>
                <c:pt idx="592">
                  <c:v>-73.054369254229485</c:v>
                </c:pt>
                <c:pt idx="593">
                  <c:v>-79.343690315584766</c:v>
                </c:pt>
                <c:pt idx="594">
                  <c:v>-86.989261583181147</c:v>
                </c:pt>
                <c:pt idx="595">
                  <c:v>-77.757142466011416</c:v>
                </c:pt>
                <c:pt idx="596">
                  <c:v>-77.366033200800558</c:v>
                </c:pt>
                <c:pt idx="597">
                  <c:v>-79.773274217826241</c:v>
                </c:pt>
                <c:pt idx="598">
                  <c:v>-98.172791767422254</c:v>
                </c:pt>
                <c:pt idx="599">
                  <c:v>-82.591138283232766</c:v>
                </c:pt>
                <c:pt idx="600">
                  <c:v>-82.206996834341169</c:v>
                </c:pt>
              </c:numCache>
            </c:numRef>
          </c:yVal>
          <c:smooth val="0"/>
          <c:extLst>
            <c:ext xmlns:c16="http://schemas.microsoft.com/office/drawing/2014/chart" uri="{C3380CC4-5D6E-409C-BE32-E72D297353CC}">
              <c16:uniqueId val="{00000000-52E8-40C0-BDC9-E7AD10D908CE}"/>
            </c:ext>
          </c:extLst>
        </c:ser>
        <c:dLbls>
          <c:showLegendKey val="0"/>
          <c:showVal val="0"/>
          <c:showCatName val="0"/>
          <c:showSerName val="0"/>
          <c:showPercent val="0"/>
          <c:showBubbleSize val="0"/>
        </c:dLbls>
        <c:axId val="446572416"/>
        <c:axId val="446582784"/>
      </c:scatterChart>
      <c:scatterChart>
        <c:scatterStyle val="lineMarker"/>
        <c:varyColors val="0"/>
        <c:ser>
          <c:idx val="1"/>
          <c:order val="1"/>
          <c:tx>
            <c:strRef>
              <c:f>'Stability Calculations'!$Y$12</c:f>
              <c:strCache>
                <c:ptCount val="1"/>
                <c:pt idx="0">
                  <c:v>Phase Margin (°)</c:v>
                </c:pt>
              </c:strCache>
            </c:strRef>
          </c:tx>
          <c:spPr>
            <a:ln w="25400">
              <a:solidFill>
                <a:srgbClr val="0000FF"/>
              </a:solidFill>
              <a:prstDash val="solid"/>
            </a:ln>
          </c:spPr>
          <c:marker>
            <c:symbol val="none"/>
          </c:marker>
          <c:xVal>
            <c:numRef>
              <c:f>'Stability Calculations'!$G$13:$G$613</c:f>
              <c:numCache>
                <c:formatCode>General</c:formatCode>
                <c:ptCount val="601"/>
                <c:pt idx="0">
                  <c:v>1</c:v>
                </c:pt>
                <c:pt idx="1">
                  <c:v>1.0965</c:v>
                </c:pt>
                <c:pt idx="2">
                  <c:v>1.2022999999999999</c:v>
                </c:pt>
                <c:pt idx="3">
                  <c:v>1.3183</c:v>
                </c:pt>
                <c:pt idx="4">
                  <c:v>1.4454</c:v>
                </c:pt>
                <c:pt idx="5">
                  <c:v>1.5849</c:v>
                </c:pt>
                <c:pt idx="6">
                  <c:v>1.7378</c:v>
                </c:pt>
                <c:pt idx="7">
                  <c:v>1.9055</c:v>
                </c:pt>
                <c:pt idx="8">
                  <c:v>2.0893000000000002</c:v>
                </c:pt>
                <c:pt idx="9">
                  <c:v>2.2909000000000002</c:v>
                </c:pt>
                <c:pt idx="10">
                  <c:v>2.5118999999999998</c:v>
                </c:pt>
                <c:pt idx="11">
                  <c:v>2.7542</c:v>
                </c:pt>
                <c:pt idx="12">
                  <c:v>3.02</c:v>
                </c:pt>
                <c:pt idx="13">
                  <c:v>3.3113000000000001</c:v>
                </c:pt>
                <c:pt idx="14">
                  <c:v>3.6307999999999998</c:v>
                </c:pt>
                <c:pt idx="15">
                  <c:v>3.9811000000000001</c:v>
                </c:pt>
                <c:pt idx="16">
                  <c:v>4.3651999999999997</c:v>
                </c:pt>
                <c:pt idx="17">
                  <c:v>4.7862999999999998</c:v>
                </c:pt>
                <c:pt idx="18">
                  <c:v>5.2481</c:v>
                </c:pt>
                <c:pt idx="19">
                  <c:v>5.7544000000000004</c:v>
                </c:pt>
                <c:pt idx="20">
                  <c:v>6.3095999999999997</c:v>
                </c:pt>
                <c:pt idx="21">
                  <c:v>6.9183000000000003</c:v>
                </c:pt>
                <c:pt idx="22">
                  <c:v>7.5857999999999999</c:v>
                </c:pt>
                <c:pt idx="23">
                  <c:v>8.3176000000000005</c:v>
                </c:pt>
                <c:pt idx="24">
                  <c:v>9.1201000000000008</c:v>
                </c:pt>
                <c:pt idx="25">
                  <c:v>10</c:v>
                </c:pt>
                <c:pt idx="26">
                  <c:v>10.965</c:v>
                </c:pt>
                <c:pt idx="27">
                  <c:v>12.023</c:v>
                </c:pt>
                <c:pt idx="28">
                  <c:v>13.183</c:v>
                </c:pt>
                <c:pt idx="29">
                  <c:v>14.454000000000001</c:v>
                </c:pt>
                <c:pt idx="30">
                  <c:v>15.849</c:v>
                </c:pt>
                <c:pt idx="31">
                  <c:v>17.378</c:v>
                </c:pt>
                <c:pt idx="32">
                  <c:v>19.055</c:v>
                </c:pt>
                <c:pt idx="33">
                  <c:v>20.893000000000001</c:v>
                </c:pt>
                <c:pt idx="34">
                  <c:v>22.909000000000002</c:v>
                </c:pt>
                <c:pt idx="35">
                  <c:v>25.119</c:v>
                </c:pt>
                <c:pt idx="36">
                  <c:v>27.542000000000002</c:v>
                </c:pt>
                <c:pt idx="37">
                  <c:v>30.2</c:v>
                </c:pt>
                <c:pt idx="38">
                  <c:v>33.113</c:v>
                </c:pt>
                <c:pt idx="39">
                  <c:v>36.308</c:v>
                </c:pt>
                <c:pt idx="40">
                  <c:v>39.811</c:v>
                </c:pt>
                <c:pt idx="41">
                  <c:v>43.652000000000001</c:v>
                </c:pt>
                <c:pt idx="42">
                  <c:v>47.863</c:v>
                </c:pt>
                <c:pt idx="43">
                  <c:v>52.481000000000002</c:v>
                </c:pt>
                <c:pt idx="44">
                  <c:v>57.544000000000004</c:v>
                </c:pt>
                <c:pt idx="45">
                  <c:v>63.095999999999997</c:v>
                </c:pt>
                <c:pt idx="46">
                  <c:v>69.183000000000007</c:v>
                </c:pt>
                <c:pt idx="47">
                  <c:v>75.858000000000004</c:v>
                </c:pt>
                <c:pt idx="48">
                  <c:v>83.176000000000002</c:v>
                </c:pt>
                <c:pt idx="49">
                  <c:v>91.201000000000008</c:v>
                </c:pt>
                <c:pt idx="50">
                  <c:v>100</c:v>
                </c:pt>
                <c:pt idx="51">
                  <c:v>109.65</c:v>
                </c:pt>
                <c:pt idx="52">
                  <c:v>120.23</c:v>
                </c:pt>
                <c:pt idx="53">
                  <c:v>131.83000000000001</c:v>
                </c:pt>
                <c:pt idx="54">
                  <c:v>144.54</c:v>
                </c:pt>
                <c:pt idx="55">
                  <c:v>158.49</c:v>
                </c:pt>
                <c:pt idx="56">
                  <c:v>173.78</c:v>
                </c:pt>
                <c:pt idx="57">
                  <c:v>190.55</c:v>
                </c:pt>
                <c:pt idx="58">
                  <c:v>208.93</c:v>
                </c:pt>
                <c:pt idx="59">
                  <c:v>229.09</c:v>
                </c:pt>
                <c:pt idx="60">
                  <c:v>251.19</c:v>
                </c:pt>
                <c:pt idx="61">
                  <c:v>275.42</c:v>
                </c:pt>
                <c:pt idx="62">
                  <c:v>302</c:v>
                </c:pt>
                <c:pt idx="63">
                  <c:v>331.13</c:v>
                </c:pt>
                <c:pt idx="64">
                  <c:v>363.08</c:v>
                </c:pt>
                <c:pt idx="65">
                  <c:v>398.11</c:v>
                </c:pt>
                <c:pt idx="66">
                  <c:v>436.52</c:v>
                </c:pt>
                <c:pt idx="67">
                  <c:v>478.63</c:v>
                </c:pt>
                <c:pt idx="68">
                  <c:v>524.80999999999995</c:v>
                </c:pt>
                <c:pt idx="69">
                  <c:v>575.44000000000005</c:v>
                </c:pt>
                <c:pt idx="70">
                  <c:v>630.96</c:v>
                </c:pt>
                <c:pt idx="71">
                  <c:v>691.83</c:v>
                </c:pt>
                <c:pt idx="72">
                  <c:v>758.58</c:v>
                </c:pt>
                <c:pt idx="73">
                  <c:v>831.76</c:v>
                </c:pt>
                <c:pt idx="74">
                  <c:v>912.01</c:v>
                </c:pt>
                <c:pt idx="75">
                  <c:v>1000</c:v>
                </c:pt>
                <c:pt idx="76">
                  <c:v>1096.5</c:v>
                </c:pt>
                <c:pt idx="77">
                  <c:v>1202.3</c:v>
                </c:pt>
                <c:pt idx="78">
                  <c:v>1318.3</c:v>
                </c:pt>
                <c:pt idx="79">
                  <c:v>1445.4</c:v>
                </c:pt>
                <c:pt idx="80">
                  <c:v>1584.9</c:v>
                </c:pt>
                <c:pt idx="81">
                  <c:v>1737.8</c:v>
                </c:pt>
                <c:pt idx="82">
                  <c:v>1905.5</c:v>
                </c:pt>
                <c:pt idx="83">
                  <c:v>2089.3000000000002</c:v>
                </c:pt>
                <c:pt idx="84">
                  <c:v>2290.9</c:v>
                </c:pt>
                <c:pt idx="85">
                  <c:v>2511.9</c:v>
                </c:pt>
                <c:pt idx="86">
                  <c:v>2754.2</c:v>
                </c:pt>
                <c:pt idx="87">
                  <c:v>3020</c:v>
                </c:pt>
                <c:pt idx="88">
                  <c:v>3311.3</c:v>
                </c:pt>
                <c:pt idx="89">
                  <c:v>3630.8</c:v>
                </c:pt>
                <c:pt idx="90">
                  <c:v>3981.1</c:v>
                </c:pt>
                <c:pt idx="91">
                  <c:v>4365.2</c:v>
                </c:pt>
                <c:pt idx="92">
                  <c:v>4786.3</c:v>
                </c:pt>
                <c:pt idx="93">
                  <c:v>5248.1</c:v>
                </c:pt>
                <c:pt idx="94">
                  <c:v>5370.3</c:v>
                </c:pt>
                <c:pt idx="95">
                  <c:v>5432.85</c:v>
                </c:pt>
                <c:pt idx="96">
                  <c:v>5495.4</c:v>
                </c:pt>
                <c:pt idx="97">
                  <c:v>5559.4</c:v>
                </c:pt>
                <c:pt idx="98">
                  <c:v>5623.4</c:v>
                </c:pt>
                <c:pt idx="99">
                  <c:v>5688.9</c:v>
                </c:pt>
                <c:pt idx="100">
                  <c:v>5754.4</c:v>
                </c:pt>
                <c:pt idx="101">
                  <c:v>5821.4</c:v>
                </c:pt>
                <c:pt idx="102">
                  <c:v>5888.4</c:v>
                </c:pt>
                <c:pt idx="103">
                  <c:v>5957</c:v>
                </c:pt>
                <c:pt idx="104">
                  <c:v>6025.6</c:v>
                </c:pt>
                <c:pt idx="105">
                  <c:v>6095.8</c:v>
                </c:pt>
                <c:pt idx="106">
                  <c:v>6166</c:v>
                </c:pt>
                <c:pt idx="107">
                  <c:v>6237.8</c:v>
                </c:pt>
                <c:pt idx="108">
                  <c:v>6309.6</c:v>
                </c:pt>
                <c:pt idx="109">
                  <c:v>6383.05</c:v>
                </c:pt>
                <c:pt idx="110">
                  <c:v>6456.5</c:v>
                </c:pt>
                <c:pt idx="111">
                  <c:v>6531.7</c:v>
                </c:pt>
                <c:pt idx="112">
                  <c:v>6606.9</c:v>
                </c:pt>
                <c:pt idx="113">
                  <c:v>6683.85</c:v>
                </c:pt>
                <c:pt idx="114">
                  <c:v>6760.8</c:v>
                </c:pt>
                <c:pt idx="115">
                  <c:v>6839.55</c:v>
                </c:pt>
                <c:pt idx="116">
                  <c:v>6918.3</c:v>
                </c:pt>
                <c:pt idx="117">
                  <c:v>6998.9</c:v>
                </c:pt>
                <c:pt idx="118">
                  <c:v>7079.5</c:v>
                </c:pt>
                <c:pt idx="119">
                  <c:v>7161.95</c:v>
                </c:pt>
                <c:pt idx="120">
                  <c:v>7244.4</c:v>
                </c:pt>
                <c:pt idx="121">
                  <c:v>7328.75</c:v>
                </c:pt>
                <c:pt idx="122">
                  <c:v>7413.1</c:v>
                </c:pt>
                <c:pt idx="123">
                  <c:v>7499.45</c:v>
                </c:pt>
                <c:pt idx="124">
                  <c:v>7585.8</c:v>
                </c:pt>
                <c:pt idx="125">
                  <c:v>7674.15</c:v>
                </c:pt>
                <c:pt idx="126">
                  <c:v>7762.5</c:v>
                </c:pt>
                <c:pt idx="127">
                  <c:v>7852.9</c:v>
                </c:pt>
                <c:pt idx="128">
                  <c:v>7943.3</c:v>
                </c:pt>
                <c:pt idx="129">
                  <c:v>8035.8</c:v>
                </c:pt>
                <c:pt idx="130">
                  <c:v>8128.3</c:v>
                </c:pt>
                <c:pt idx="131">
                  <c:v>8222.9500000000007</c:v>
                </c:pt>
                <c:pt idx="132">
                  <c:v>8270.2750000000015</c:v>
                </c:pt>
                <c:pt idx="133">
                  <c:v>8317.6</c:v>
                </c:pt>
                <c:pt idx="134">
                  <c:v>8366.0499999999993</c:v>
                </c:pt>
                <c:pt idx="135">
                  <c:v>8414.5</c:v>
                </c:pt>
                <c:pt idx="136">
                  <c:v>8462.9500000000007</c:v>
                </c:pt>
                <c:pt idx="137">
                  <c:v>8511.4</c:v>
                </c:pt>
                <c:pt idx="138">
                  <c:v>8560.9500000000007</c:v>
                </c:pt>
                <c:pt idx="139">
                  <c:v>8610.5</c:v>
                </c:pt>
                <c:pt idx="140">
                  <c:v>8660.0499999999993</c:v>
                </c:pt>
                <c:pt idx="141">
                  <c:v>8709.6</c:v>
                </c:pt>
                <c:pt idx="142">
                  <c:v>8760.3250000000007</c:v>
                </c:pt>
                <c:pt idx="143">
                  <c:v>8811.0499999999993</c:v>
                </c:pt>
                <c:pt idx="144">
                  <c:v>8861.7749999999996</c:v>
                </c:pt>
                <c:pt idx="145">
                  <c:v>8912.5</c:v>
                </c:pt>
                <c:pt idx="146">
                  <c:v>8964.4</c:v>
                </c:pt>
                <c:pt idx="147">
                  <c:v>9016.2999999999993</c:v>
                </c:pt>
                <c:pt idx="148">
                  <c:v>9068.2000000000007</c:v>
                </c:pt>
                <c:pt idx="149">
                  <c:v>9120.1</c:v>
                </c:pt>
                <c:pt idx="150">
                  <c:v>9173.2000000000007</c:v>
                </c:pt>
                <c:pt idx="151">
                  <c:v>9226.2999999999993</c:v>
                </c:pt>
                <c:pt idx="152">
                  <c:v>9279.4</c:v>
                </c:pt>
                <c:pt idx="153">
                  <c:v>9332.5</c:v>
                </c:pt>
                <c:pt idx="154">
                  <c:v>9386.85</c:v>
                </c:pt>
                <c:pt idx="155">
                  <c:v>9441.2000000000007</c:v>
                </c:pt>
                <c:pt idx="156">
                  <c:v>9495.5499999999993</c:v>
                </c:pt>
                <c:pt idx="157">
                  <c:v>9549.9</c:v>
                </c:pt>
                <c:pt idx="158">
                  <c:v>9605.5249999999996</c:v>
                </c:pt>
                <c:pt idx="159">
                  <c:v>9661.15</c:v>
                </c:pt>
                <c:pt idx="160">
                  <c:v>9716.7749999999996</c:v>
                </c:pt>
                <c:pt idx="161">
                  <c:v>9772.4</c:v>
                </c:pt>
                <c:pt idx="162">
                  <c:v>9829.2999999999993</c:v>
                </c:pt>
                <c:pt idx="163">
                  <c:v>9886.2000000000007</c:v>
                </c:pt>
                <c:pt idx="164">
                  <c:v>9943.1</c:v>
                </c:pt>
                <c:pt idx="165">
                  <c:v>10000</c:v>
                </c:pt>
                <c:pt idx="166">
                  <c:v>10058.25</c:v>
                </c:pt>
                <c:pt idx="167">
                  <c:v>10116.5</c:v>
                </c:pt>
                <c:pt idx="168">
                  <c:v>10174.75</c:v>
                </c:pt>
                <c:pt idx="169">
                  <c:v>10233</c:v>
                </c:pt>
                <c:pt idx="170">
                  <c:v>10292.5</c:v>
                </c:pt>
                <c:pt idx="171">
                  <c:v>10352</c:v>
                </c:pt>
                <c:pt idx="172">
                  <c:v>10411.5</c:v>
                </c:pt>
                <c:pt idx="173">
                  <c:v>10471</c:v>
                </c:pt>
                <c:pt idx="174">
                  <c:v>10532</c:v>
                </c:pt>
                <c:pt idx="175">
                  <c:v>10593</c:v>
                </c:pt>
                <c:pt idx="176">
                  <c:v>10654</c:v>
                </c:pt>
                <c:pt idx="177">
                  <c:v>10715</c:v>
                </c:pt>
                <c:pt idx="178">
                  <c:v>10777.5</c:v>
                </c:pt>
                <c:pt idx="179">
                  <c:v>10840</c:v>
                </c:pt>
                <c:pt idx="180">
                  <c:v>10902.5</c:v>
                </c:pt>
                <c:pt idx="181">
                  <c:v>10965</c:v>
                </c:pt>
                <c:pt idx="182">
                  <c:v>11028.75</c:v>
                </c:pt>
                <c:pt idx="183">
                  <c:v>11092.5</c:v>
                </c:pt>
                <c:pt idx="184">
                  <c:v>11156.25</c:v>
                </c:pt>
                <c:pt idx="185">
                  <c:v>11220</c:v>
                </c:pt>
                <c:pt idx="186">
                  <c:v>11285.5</c:v>
                </c:pt>
                <c:pt idx="187">
                  <c:v>11351</c:v>
                </c:pt>
                <c:pt idx="188">
                  <c:v>11416.5</c:v>
                </c:pt>
                <c:pt idx="189">
                  <c:v>11482</c:v>
                </c:pt>
                <c:pt idx="190">
                  <c:v>11548.75</c:v>
                </c:pt>
                <c:pt idx="191">
                  <c:v>11615.5</c:v>
                </c:pt>
                <c:pt idx="192">
                  <c:v>11682.25</c:v>
                </c:pt>
                <c:pt idx="193">
                  <c:v>11749</c:v>
                </c:pt>
                <c:pt idx="194">
                  <c:v>11817.5</c:v>
                </c:pt>
                <c:pt idx="195">
                  <c:v>11886</c:v>
                </c:pt>
                <c:pt idx="196">
                  <c:v>11954.5</c:v>
                </c:pt>
                <c:pt idx="197">
                  <c:v>12023</c:v>
                </c:pt>
                <c:pt idx="198">
                  <c:v>12093</c:v>
                </c:pt>
                <c:pt idx="199">
                  <c:v>12163</c:v>
                </c:pt>
                <c:pt idx="200">
                  <c:v>12233</c:v>
                </c:pt>
                <c:pt idx="201">
                  <c:v>12303</c:v>
                </c:pt>
                <c:pt idx="202">
                  <c:v>12374.5</c:v>
                </c:pt>
                <c:pt idx="203">
                  <c:v>12446</c:v>
                </c:pt>
                <c:pt idx="204">
                  <c:v>12517.5</c:v>
                </c:pt>
                <c:pt idx="205">
                  <c:v>12589</c:v>
                </c:pt>
                <c:pt idx="206">
                  <c:v>12662.25</c:v>
                </c:pt>
                <c:pt idx="207">
                  <c:v>12735.5</c:v>
                </c:pt>
                <c:pt idx="208">
                  <c:v>12808.75</c:v>
                </c:pt>
                <c:pt idx="209">
                  <c:v>12882</c:v>
                </c:pt>
                <c:pt idx="210">
                  <c:v>12957.25</c:v>
                </c:pt>
                <c:pt idx="211">
                  <c:v>13032.5</c:v>
                </c:pt>
                <c:pt idx="212">
                  <c:v>13107.75</c:v>
                </c:pt>
                <c:pt idx="213">
                  <c:v>13183</c:v>
                </c:pt>
                <c:pt idx="214">
                  <c:v>13259.75</c:v>
                </c:pt>
                <c:pt idx="215">
                  <c:v>13336.5</c:v>
                </c:pt>
                <c:pt idx="216">
                  <c:v>13413.25</c:v>
                </c:pt>
                <c:pt idx="217">
                  <c:v>13490</c:v>
                </c:pt>
                <c:pt idx="218">
                  <c:v>13568.5</c:v>
                </c:pt>
                <c:pt idx="219">
                  <c:v>13647</c:v>
                </c:pt>
                <c:pt idx="220">
                  <c:v>13725.5</c:v>
                </c:pt>
                <c:pt idx="221">
                  <c:v>13804</c:v>
                </c:pt>
                <c:pt idx="222">
                  <c:v>13884.25</c:v>
                </c:pt>
                <c:pt idx="223">
                  <c:v>13964.5</c:v>
                </c:pt>
                <c:pt idx="224">
                  <c:v>14044.75</c:v>
                </c:pt>
                <c:pt idx="225">
                  <c:v>14125</c:v>
                </c:pt>
                <c:pt idx="226">
                  <c:v>14207.25</c:v>
                </c:pt>
                <c:pt idx="227">
                  <c:v>14289.5</c:v>
                </c:pt>
                <c:pt idx="228">
                  <c:v>14371.75</c:v>
                </c:pt>
                <c:pt idx="229">
                  <c:v>14454</c:v>
                </c:pt>
                <c:pt idx="230">
                  <c:v>14622.5</c:v>
                </c:pt>
                <c:pt idx="231">
                  <c:v>14706.75</c:v>
                </c:pt>
                <c:pt idx="232">
                  <c:v>14791</c:v>
                </c:pt>
                <c:pt idx="233">
                  <c:v>14877.25</c:v>
                </c:pt>
                <c:pt idx="234">
                  <c:v>14963.5</c:v>
                </c:pt>
                <c:pt idx="235">
                  <c:v>15049.75</c:v>
                </c:pt>
                <c:pt idx="236">
                  <c:v>15136</c:v>
                </c:pt>
                <c:pt idx="237">
                  <c:v>15224</c:v>
                </c:pt>
                <c:pt idx="238">
                  <c:v>15312</c:v>
                </c:pt>
                <c:pt idx="239">
                  <c:v>15400</c:v>
                </c:pt>
                <c:pt idx="240">
                  <c:v>15488</c:v>
                </c:pt>
                <c:pt idx="241">
                  <c:v>15578.25</c:v>
                </c:pt>
                <c:pt idx="242">
                  <c:v>15668.5</c:v>
                </c:pt>
                <c:pt idx="243">
                  <c:v>15758.75</c:v>
                </c:pt>
                <c:pt idx="244">
                  <c:v>15849</c:v>
                </c:pt>
                <c:pt idx="245">
                  <c:v>15941.25</c:v>
                </c:pt>
                <c:pt idx="246">
                  <c:v>16033.5</c:v>
                </c:pt>
                <c:pt idx="247">
                  <c:v>16125.75</c:v>
                </c:pt>
                <c:pt idx="248">
                  <c:v>16218</c:v>
                </c:pt>
                <c:pt idx="249">
                  <c:v>16312.5</c:v>
                </c:pt>
                <c:pt idx="250">
                  <c:v>16407</c:v>
                </c:pt>
                <c:pt idx="251">
                  <c:v>16501.5</c:v>
                </c:pt>
                <c:pt idx="252">
                  <c:v>16596</c:v>
                </c:pt>
                <c:pt idx="253">
                  <c:v>16692.5</c:v>
                </c:pt>
                <c:pt idx="254">
                  <c:v>16789</c:v>
                </c:pt>
                <c:pt idx="255">
                  <c:v>16885.5</c:v>
                </c:pt>
                <c:pt idx="256">
                  <c:v>16982</c:v>
                </c:pt>
                <c:pt idx="257">
                  <c:v>17081</c:v>
                </c:pt>
                <c:pt idx="258">
                  <c:v>17180</c:v>
                </c:pt>
                <c:pt idx="259">
                  <c:v>17279</c:v>
                </c:pt>
                <c:pt idx="260">
                  <c:v>17378</c:v>
                </c:pt>
                <c:pt idx="261">
                  <c:v>17479.25</c:v>
                </c:pt>
                <c:pt idx="262">
                  <c:v>17580.5</c:v>
                </c:pt>
                <c:pt idx="263">
                  <c:v>17681.75</c:v>
                </c:pt>
                <c:pt idx="264">
                  <c:v>17783</c:v>
                </c:pt>
                <c:pt idx="265">
                  <c:v>17886.5</c:v>
                </c:pt>
                <c:pt idx="266">
                  <c:v>17990</c:v>
                </c:pt>
                <c:pt idx="267">
                  <c:v>18093.5</c:v>
                </c:pt>
                <c:pt idx="268">
                  <c:v>18197</c:v>
                </c:pt>
                <c:pt idx="269">
                  <c:v>18303</c:v>
                </c:pt>
                <c:pt idx="270">
                  <c:v>18409</c:v>
                </c:pt>
                <c:pt idx="271">
                  <c:v>18515</c:v>
                </c:pt>
                <c:pt idx="272">
                  <c:v>18621</c:v>
                </c:pt>
                <c:pt idx="273">
                  <c:v>18729.5</c:v>
                </c:pt>
                <c:pt idx="274">
                  <c:v>18838</c:v>
                </c:pt>
                <c:pt idx="275">
                  <c:v>18946.5</c:v>
                </c:pt>
                <c:pt idx="276">
                  <c:v>19055</c:v>
                </c:pt>
                <c:pt idx="277">
                  <c:v>19165.75</c:v>
                </c:pt>
                <c:pt idx="278">
                  <c:v>19276.5</c:v>
                </c:pt>
                <c:pt idx="279">
                  <c:v>19387.25</c:v>
                </c:pt>
                <c:pt idx="280">
                  <c:v>19498</c:v>
                </c:pt>
                <c:pt idx="281">
                  <c:v>19611.75</c:v>
                </c:pt>
                <c:pt idx="282">
                  <c:v>19725.5</c:v>
                </c:pt>
                <c:pt idx="283">
                  <c:v>19839.25</c:v>
                </c:pt>
                <c:pt idx="284">
                  <c:v>19953</c:v>
                </c:pt>
                <c:pt idx="285">
                  <c:v>20069</c:v>
                </c:pt>
                <c:pt idx="286">
                  <c:v>20185</c:v>
                </c:pt>
                <c:pt idx="287">
                  <c:v>20301</c:v>
                </c:pt>
                <c:pt idx="288">
                  <c:v>20417</c:v>
                </c:pt>
                <c:pt idx="289">
                  <c:v>20536</c:v>
                </c:pt>
                <c:pt idx="290">
                  <c:v>20655</c:v>
                </c:pt>
                <c:pt idx="291">
                  <c:v>20774</c:v>
                </c:pt>
                <c:pt idx="292">
                  <c:v>20893</c:v>
                </c:pt>
                <c:pt idx="293">
                  <c:v>21014.75</c:v>
                </c:pt>
                <c:pt idx="294">
                  <c:v>21136.5</c:v>
                </c:pt>
                <c:pt idx="295">
                  <c:v>21258.25</c:v>
                </c:pt>
                <c:pt idx="296">
                  <c:v>21380</c:v>
                </c:pt>
                <c:pt idx="297">
                  <c:v>21504.5</c:v>
                </c:pt>
                <c:pt idx="298">
                  <c:v>21629</c:v>
                </c:pt>
                <c:pt idx="299">
                  <c:v>21753.5</c:v>
                </c:pt>
                <c:pt idx="300">
                  <c:v>21878</c:v>
                </c:pt>
                <c:pt idx="301">
                  <c:v>22005.25</c:v>
                </c:pt>
                <c:pt idx="302">
                  <c:v>22132.5</c:v>
                </c:pt>
                <c:pt idx="303">
                  <c:v>22259.75</c:v>
                </c:pt>
                <c:pt idx="304">
                  <c:v>22387</c:v>
                </c:pt>
                <c:pt idx="305">
                  <c:v>22517.5</c:v>
                </c:pt>
                <c:pt idx="306">
                  <c:v>22648</c:v>
                </c:pt>
                <c:pt idx="307">
                  <c:v>22778.5</c:v>
                </c:pt>
                <c:pt idx="308">
                  <c:v>22909</c:v>
                </c:pt>
                <c:pt idx="309">
                  <c:v>23042.25</c:v>
                </c:pt>
                <c:pt idx="310">
                  <c:v>23175.5</c:v>
                </c:pt>
                <c:pt idx="311">
                  <c:v>23308.75</c:v>
                </c:pt>
                <c:pt idx="312">
                  <c:v>23442</c:v>
                </c:pt>
                <c:pt idx="313">
                  <c:v>23578.5</c:v>
                </c:pt>
                <c:pt idx="314">
                  <c:v>23715</c:v>
                </c:pt>
                <c:pt idx="315">
                  <c:v>23851.5</c:v>
                </c:pt>
                <c:pt idx="316">
                  <c:v>23988</c:v>
                </c:pt>
                <c:pt idx="317">
                  <c:v>24127.75</c:v>
                </c:pt>
                <c:pt idx="318">
                  <c:v>24267.5</c:v>
                </c:pt>
                <c:pt idx="319">
                  <c:v>24407.25</c:v>
                </c:pt>
                <c:pt idx="320">
                  <c:v>24547</c:v>
                </c:pt>
                <c:pt idx="321">
                  <c:v>24690</c:v>
                </c:pt>
                <c:pt idx="322">
                  <c:v>24833</c:v>
                </c:pt>
                <c:pt idx="323">
                  <c:v>24976</c:v>
                </c:pt>
                <c:pt idx="324">
                  <c:v>25119</c:v>
                </c:pt>
                <c:pt idx="325">
                  <c:v>25265.25</c:v>
                </c:pt>
                <c:pt idx="326">
                  <c:v>25411.5</c:v>
                </c:pt>
                <c:pt idx="327">
                  <c:v>25557.75</c:v>
                </c:pt>
                <c:pt idx="328">
                  <c:v>25704</c:v>
                </c:pt>
                <c:pt idx="329">
                  <c:v>25853.75</c:v>
                </c:pt>
                <c:pt idx="330">
                  <c:v>26003.5</c:v>
                </c:pt>
                <c:pt idx="331">
                  <c:v>26153.25</c:v>
                </c:pt>
                <c:pt idx="332">
                  <c:v>26303</c:v>
                </c:pt>
                <c:pt idx="333">
                  <c:v>26456</c:v>
                </c:pt>
                <c:pt idx="334">
                  <c:v>26609</c:v>
                </c:pt>
                <c:pt idx="335">
                  <c:v>26762</c:v>
                </c:pt>
                <c:pt idx="336">
                  <c:v>26915</c:v>
                </c:pt>
                <c:pt idx="337">
                  <c:v>27071.75</c:v>
                </c:pt>
                <c:pt idx="338">
                  <c:v>27228.5</c:v>
                </c:pt>
                <c:pt idx="339">
                  <c:v>27385.25</c:v>
                </c:pt>
                <c:pt idx="340">
                  <c:v>27542</c:v>
                </c:pt>
                <c:pt idx="341">
                  <c:v>27702.5</c:v>
                </c:pt>
                <c:pt idx="342">
                  <c:v>27863</c:v>
                </c:pt>
                <c:pt idx="343">
                  <c:v>28023.5</c:v>
                </c:pt>
                <c:pt idx="344">
                  <c:v>28184</c:v>
                </c:pt>
                <c:pt idx="345">
                  <c:v>28348</c:v>
                </c:pt>
                <c:pt idx="346">
                  <c:v>28512</c:v>
                </c:pt>
                <c:pt idx="347">
                  <c:v>28676</c:v>
                </c:pt>
                <c:pt idx="348">
                  <c:v>28840</c:v>
                </c:pt>
                <c:pt idx="349">
                  <c:v>29008</c:v>
                </c:pt>
                <c:pt idx="350">
                  <c:v>29176</c:v>
                </c:pt>
                <c:pt idx="351">
                  <c:v>29344</c:v>
                </c:pt>
                <c:pt idx="352">
                  <c:v>29512</c:v>
                </c:pt>
                <c:pt idx="353">
                  <c:v>29684</c:v>
                </c:pt>
                <c:pt idx="354">
                  <c:v>29856</c:v>
                </c:pt>
                <c:pt idx="355">
                  <c:v>30028</c:v>
                </c:pt>
                <c:pt idx="356">
                  <c:v>30200</c:v>
                </c:pt>
                <c:pt idx="357">
                  <c:v>30375.75</c:v>
                </c:pt>
                <c:pt idx="358">
                  <c:v>30551.5</c:v>
                </c:pt>
                <c:pt idx="359">
                  <c:v>30727.25</c:v>
                </c:pt>
                <c:pt idx="360">
                  <c:v>30903</c:v>
                </c:pt>
                <c:pt idx="361">
                  <c:v>31083</c:v>
                </c:pt>
                <c:pt idx="362">
                  <c:v>31263</c:v>
                </c:pt>
                <c:pt idx="363">
                  <c:v>31443</c:v>
                </c:pt>
                <c:pt idx="364">
                  <c:v>31623</c:v>
                </c:pt>
                <c:pt idx="365">
                  <c:v>31807</c:v>
                </c:pt>
                <c:pt idx="366">
                  <c:v>31991</c:v>
                </c:pt>
                <c:pt idx="367">
                  <c:v>32175</c:v>
                </c:pt>
                <c:pt idx="368">
                  <c:v>32359</c:v>
                </c:pt>
                <c:pt idx="369">
                  <c:v>32547.5</c:v>
                </c:pt>
                <c:pt idx="370">
                  <c:v>32736</c:v>
                </c:pt>
                <c:pt idx="371">
                  <c:v>32924.5</c:v>
                </c:pt>
                <c:pt idx="372">
                  <c:v>33113</c:v>
                </c:pt>
                <c:pt idx="373">
                  <c:v>33305.75</c:v>
                </c:pt>
                <c:pt idx="374">
                  <c:v>33498.5</c:v>
                </c:pt>
                <c:pt idx="375">
                  <c:v>33691.25</c:v>
                </c:pt>
                <c:pt idx="376">
                  <c:v>33884</c:v>
                </c:pt>
                <c:pt idx="377">
                  <c:v>34081.5</c:v>
                </c:pt>
                <c:pt idx="378">
                  <c:v>34279</c:v>
                </c:pt>
                <c:pt idx="379">
                  <c:v>34476.5</c:v>
                </c:pt>
                <c:pt idx="380">
                  <c:v>34674</c:v>
                </c:pt>
                <c:pt idx="381">
                  <c:v>34875.75</c:v>
                </c:pt>
                <c:pt idx="382">
                  <c:v>35077.5</c:v>
                </c:pt>
                <c:pt idx="383">
                  <c:v>35279.25</c:v>
                </c:pt>
                <c:pt idx="384">
                  <c:v>35481</c:v>
                </c:pt>
                <c:pt idx="385">
                  <c:v>35687.75</c:v>
                </c:pt>
                <c:pt idx="386">
                  <c:v>35894.5</c:v>
                </c:pt>
                <c:pt idx="387">
                  <c:v>36101.25</c:v>
                </c:pt>
                <c:pt idx="388">
                  <c:v>36308</c:v>
                </c:pt>
                <c:pt idx="389">
                  <c:v>36519.5</c:v>
                </c:pt>
                <c:pt idx="390">
                  <c:v>36731</c:v>
                </c:pt>
                <c:pt idx="391">
                  <c:v>36942.5</c:v>
                </c:pt>
                <c:pt idx="392">
                  <c:v>37154</c:v>
                </c:pt>
                <c:pt idx="393">
                  <c:v>37370.25</c:v>
                </c:pt>
                <c:pt idx="394">
                  <c:v>37586.5</c:v>
                </c:pt>
                <c:pt idx="395">
                  <c:v>37802.75</c:v>
                </c:pt>
                <c:pt idx="396">
                  <c:v>38019</c:v>
                </c:pt>
                <c:pt idx="397">
                  <c:v>38240.5</c:v>
                </c:pt>
                <c:pt idx="398">
                  <c:v>38462</c:v>
                </c:pt>
                <c:pt idx="399">
                  <c:v>38683.5</c:v>
                </c:pt>
                <c:pt idx="400">
                  <c:v>38905</c:v>
                </c:pt>
                <c:pt idx="401">
                  <c:v>39131.5</c:v>
                </c:pt>
                <c:pt idx="402">
                  <c:v>39358</c:v>
                </c:pt>
                <c:pt idx="403">
                  <c:v>39584.5</c:v>
                </c:pt>
                <c:pt idx="404">
                  <c:v>39811</c:v>
                </c:pt>
                <c:pt idx="405">
                  <c:v>40042.75</c:v>
                </c:pt>
                <c:pt idx="406">
                  <c:v>40274.5</c:v>
                </c:pt>
                <c:pt idx="407">
                  <c:v>40506.25</c:v>
                </c:pt>
                <c:pt idx="408">
                  <c:v>40738</c:v>
                </c:pt>
                <c:pt idx="409">
                  <c:v>40975.25</c:v>
                </c:pt>
                <c:pt idx="410">
                  <c:v>41212.5</c:v>
                </c:pt>
                <c:pt idx="411">
                  <c:v>41449.75</c:v>
                </c:pt>
                <c:pt idx="412">
                  <c:v>41687</c:v>
                </c:pt>
                <c:pt idx="413">
                  <c:v>41929.75</c:v>
                </c:pt>
                <c:pt idx="414">
                  <c:v>42172.5</c:v>
                </c:pt>
                <c:pt idx="415">
                  <c:v>42415.25</c:v>
                </c:pt>
                <c:pt idx="416">
                  <c:v>42658</c:v>
                </c:pt>
                <c:pt idx="417">
                  <c:v>42906.5</c:v>
                </c:pt>
                <c:pt idx="418">
                  <c:v>43155</c:v>
                </c:pt>
                <c:pt idx="419">
                  <c:v>43403.5</c:v>
                </c:pt>
                <c:pt idx="420">
                  <c:v>43652</c:v>
                </c:pt>
                <c:pt idx="421">
                  <c:v>43906</c:v>
                </c:pt>
                <c:pt idx="422">
                  <c:v>44160</c:v>
                </c:pt>
                <c:pt idx="423">
                  <c:v>44414</c:v>
                </c:pt>
                <c:pt idx="424">
                  <c:v>44668</c:v>
                </c:pt>
                <c:pt idx="425">
                  <c:v>44928.25</c:v>
                </c:pt>
                <c:pt idx="426">
                  <c:v>45188.5</c:v>
                </c:pt>
                <c:pt idx="427">
                  <c:v>45448.75</c:v>
                </c:pt>
                <c:pt idx="428">
                  <c:v>45709</c:v>
                </c:pt>
                <c:pt idx="429">
                  <c:v>45975.25</c:v>
                </c:pt>
                <c:pt idx="430">
                  <c:v>46241.5</c:v>
                </c:pt>
                <c:pt idx="431">
                  <c:v>46507.75</c:v>
                </c:pt>
                <c:pt idx="432">
                  <c:v>46774</c:v>
                </c:pt>
                <c:pt idx="433">
                  <c:v>47046.25</c:v>
                </c:pt>
                <c:pt idx="434">
                  <c:v>47318.5</c:v>
                </c:pt>
                <c:pt idx="435">
                  <c:v>47590.75</c:v>
                </c:pt>
                <c:pt idx="436">
                  <c:v>47863</c:v>
                </c:pt>
                <c:pt idx="437">
                  <c:v>48141.75</c:v>
                </c:pt>
                <c:pt idx="438">
                  <c:v>48420.5</c:v>
                </c:pt>
                <c:pt idx="439">
                  <c:v>48699.25</c:v>
                </c:pt>
                <c:pt idx="440">
                  <c:v>48978</c:v>
                </c:pt>
                <c:pt idx="441">
                  <c:v>49263.25</c:v>
                </c:pt>
                <c:pt idx="442">
                  <c:v>49548.5</c:v>
                </c:pt>
                <c:pt idx="443">
                  <c:v>49833.75</c:v>
                </c:pt>
                <c:pt idx="444">
                  <c:v>50119</c:v>
                </c:pt>
                <c:pt idx="445">
                  <c:v>50410.75</c:v>
                </c:pt>
                <c:pt idx="446">
                  <c:v>50702.5</c:v>
                </c:pt>
                <c:pt idx="447">
                  <c:v>50994.25</c:v>
                </c:pt>
                <c:pt idx="448">
                  <c:v>51286</c:v>
                </c:pt>
                <c:pt idx="449">
                  <c:v>51584.75</c:v>
                </c:pt>
                <c:pt idx="450">
                  <c:v>51883.5</c:v>
                </c:pt>
                <c:pt idx="451">
                  <c:v>52182.25</c:v>
                </c:pt>
                <c:pt idx="452">
                  <c:v>52481</c:v>
                </c:pt>
                <c:pt idx="453">
                  <c:v>52786.5</c:v>
                </c:pt>
                <c:pt idx="454">
                  <c:v>53092</c:v>
                </c:pt>
                <c:pt idx="455">
                  <c:v>53397.5</c:v>
                </c:pt>
                <c:pt idx="456">
                  <c:v>53703</c:v>
                </c:pt>
                <c:pt idx="457">
                  <c:v>54015.75</c:v>
                </c:pt>
                <c:pt idx="458">
                  <c:v>54328.5</c:v>
                </c:pt>
                <c:pt idx="459">
                  <c:v>54641.25</c:v>
                </c:pt>
                <c:pt idx="460">
                  <c:v>54954</c:v>
                </c:pt>
                <c:pt idx="461">
                  <c:v>55274</c:v>
                </c:pt>
                <c:pt idx="462">
                  <c:v>55594</c:v>
                </c:pt>
                <c:pt idx="463">
                  <c:v>55914</c:v>
                </c:pt>
                <c:pt idx="464">
                  <c:v>56234</c:v>
                </c:pt>
                <c:pt idx="465">
                  <c:v>56561.5</c:v>
                </c:pt>
                <c:pt idx="466">
                  <c:v>56889</c:v>
                </c:pt>
                <c:pt idx="467">
                  <c:v>57216.5</c:v>
                </c:pt>
                <c:pt idx="468">
                  <c:v>57544</c:v>
                </c:pt>
                <c:pt idx="469">
                  <c:v>57879</c:v>
                </c:pt>
                <c:pt idx="470">
                  <c:v>58214</c:v>
                </c:pt>
                <c:pt idx="471">
                  <c:v>58549</c:v>
                </c:pt>
                <c:pt idx="472">
                  <c:v>58884</c:v>
                </c:pt>
                <c:pt idx="473">
                  <c:v>59227</c:v>
                </c:pt>
                <c:pt idx="474">
                  <c:v>59570</c:v>
                </c:pt>
                <c:pt idx="475">
                  <c:v>59913</c:v>
                </c:pt>
                <c:pt idx="476">
                  <c:v>60256</c:v>
                </c:pt>
                <c:pt idx="477">
                  <c:v>60607</c:v>
                </c:pt>
                <c:pt idx="478">
                  <c:v>60958</c:v>
                </c:pt>
                <c:pt idx="479">
                  <c:v>61309</c:v>
                </c:pt>
                <c:pt idx="480">
                  <c:v>61660</c:v>
                </c:pt>
                <c:pt idx="481">
                  <c:v>62019</c:v>
                </c:pt>
                <c:pt idx="482">
                  <c:v>62378</c:v>
                </c:pt>
                <c:pt idx="483">
                  <c:v>62737</c:v>
                </c:pt>
                <c:pt idx="484">
                  <c:v>63096</c:v>
                </c:pt>
                <c:pt idx="485">
                  <c:v>63463.25</c:v>
                </c:pt>
                <c:pt idx="486">
                  <c:v>63830.5</c:v>
                </c:pt>
                <c:pt idx="487">
                  <c:v>64197.75</c:v>
                </c:pt>
                <c:pt idx="488">
                  <c:v>64565</c:v>
                </c:pt>
                <c:pt idx="489">
                  <c:v>64941</c:v>
                </c:pt>
                <c:pt idx="490">
                  <c:v>65317</c:v>
                </c:pt>
                <c:pt idx="491">
                  <c:v>65693</c:v>
                </c:pt>
                <c:pt idx="492">
                  <c:v>66069</c:v>
                </c:pt>
                <c:pt idx="493">
                  <c:v>66453.75</c:v>
                </c:pt>
                <c:pt idx="494">
                  <c:v>66838.5</c:v>
                </c:pt>
                <c:pt idx="495">
                  <c:v>67223.25</c:v>
                </c:pt>
                <c:pt idx="496">
                  <c:v>67608</c:v>
                </c:pt>
                <c:pt idx="497">
                  <c:v>68001.75</c:v>
                </c:pt>
                <c:pt idx="498">
                  <c:v>68395.5</c:v>
                </c:pt>
                <c:pt idx="499">
                  <c:v>68789.25</c:v>
                </c:pt>
                <c:pt idx="500">
                  <c:v>69183</c:v>
                </c:pt>
                <c:pt idx="501">
                  <c:v>69586</c:v>
                </c:pt>
                <c:pt idx="502">
                  <c:v>69989</c:v>
                </c:pt>
                <c:pt idx="503">
                  <c:v>70392</c:v>
                </c:pt>
                <c:pt idx="504">
                  <c:v>70795</c:v>
                </c:pt>
                <c:pt idx="505">
                  <c:v>71207.25</c:v>
                </c:pt>
                <c:pt idx="506">
                  <c:v>71619.5</c:v>
                </c:pt>
                <c:pt idx="507">
                  <c:v>72031.75</c:v>
                </c:pt>
                <c:pt idx="508">
                  <c:v>72444</c:v>
                </c:pt>
                <c:pt idx="509">
                  <c:v>72865.75</c:v>
                </c:pt>
                <c:pt idx="510">
                  <c:v>73287.5</c:v>
                </c:pt>
                <c:pt idx="511">
                  <c:v>73709.25</c:v>
                </c:pt>
                <c:pt idx="512">
                  <c:v>74131</c:v>
                </c:pt>
                <c:pt idx="513">
                  <c:v>74562.75</c:v>
                </c:pt>
                <c:pt idx="514">
                  <c:v>74994.5</c:v>
                </c:pt>
                <c:pt idx="515">
                  <c:v>75426.25</c:v>
                </c:pt>
                <c:pt idx="516">
                  <c:v>75858</c:v>
                </c:pt>
                <c:pt idx="517">
                  <c:v>76299.75</c:v>
                </c:pt>
                <c:pt idx="518">
                  <c:v>76741.5</c:v>
                </c:pt>
                <c:pt idx="519">
                  <c:v>77183.25</c:v>
                </c:pt>
                <c:pt idx="520">
                  <c:v>77625</c:v>
                </c:pt>
                <c:pt idx="521">
                  <c:v>78077</c:v>
                </c:pt>
                <c:pt idx="522">
                  <c:v>78529</c:v>
                </c:pt>
                <c:pt idx="523">
                  <c:v>78981</c:v>
                </c:pt>
                <c:pt idx="524">
                  <c:v>79433</c:v>
                </c:pt>
                <c:pt idx="525">
                  <c:v>79895.5</c:v>
                </c:pt>
                <c:pt idx="526">
                  <c:v>80358</c:v>
                </c:pt>
                <c:pt idx="527">
                  <c:v>80820.5</c:v>
                </c:pt>
                <c:pt idx="528">
                  <c:v>81283</c:v>
                </c:pt>
                <c:pt idx="529">
                  <c:v>81756.25</c:v>
                </c:pt>
                <c:pt idx="530">
                  <c:v>82229.5</c:v>
                </c:pt>
                <c:pt idx="531">
                  <c:v>82702.75</c:v>
                </c:pt>
                <c:pt idx="532">
                  <c:v>83176</c:v>
                </c:pt>
                <c:pt idx="533">
                  <c:v>83660.5</c:v>
                </c:pt>
                <c:pt idx="534">
                  <c:v>84145</c:v>
                </c:pt>
                <c:pt idx="535">
                  <c:v>84629.5</c:v>
                </c:pt>
                <c:pt idx="536">
                  <c:v>85114</c:v>
                </c:pt>
                <c:pt idx="537">
                  <c:v>85609.5</c:v>
                </c:pt>
                <c:pt idx="538">
                  <c:v>86105</c:v>
                </c:pt>
                <c:pt idx="539">
                  <c:v>86600.5</c:v>
                </c:pt>
                <c:pt idx="540">
                  <c:v>87096</c:v>
                </c:pt>
                <c:pt idx="541">
                  <c:v>87603.25</c:v>
                </c:pt>
                <c:pt idx="542">
                  <c:v>88110.5</c:v>
                </c:pt>
                <c:pt idx="543">
                  <c:v>88617.75</c:v>
                </c:pt>
                <c:pt idx="544">
                  <c:v>89125</c:v>
                </c:pt>
                <c:pt idx="545">
                  <c:v>89644</c:v>
                </c:pt>
                <c:pt idx="546">
                  <c:v>90163</c:v>
                </c:pt>
                <c:pt idx="547">
                  <c:v>90682</c:v>
                </c:pt>
                <c:pt idx="548">
                  <c:v>91201</c:v>
                </c:pt>
                <c:pt idx="549">
                  <c:v>91732</c:v>
                </c:pt>
                <c:pt idx="550">
                  <c:v>92263</c:v>
                </c:pt>
                <c:pt idx="551">
                  <c:v>92794</c:v>
                </c:pt>
                <c:pt idx="552">
                  <c:v>93325</c:v>
                </c:pt>
                <c:pt idx="553">
                  <c:v>93868.5</c:v>
                </c:pt>
                <c:pt idx="554">
                  <c:v>94412</c:v>
                </c:pt>
                <c:pt idx="555">
                  <c:v>94955.5</c:v>
                </c:pt>
                <c:pt idx="556">
                  <c:v>95499</c:v>
                </c:pt>
                <c:pt idx="557">
                  <c:v>96611.5</c:v>
                </c:pt>
                <c:pt idx="558">
                  <c:v>97724</c:v>
                </c:pt>
                <c:pt idx="559">
                  <c:v>98862</c:v>
                </c:pt>
                <c:pt idx="560">
                  <c:v>100000</c:v>
                </c:pt>
                <c:pt idx="561">
                  <c:v>101165</c:v>
                </c:pt>
                <c:pt idx="562">
                  <c:v>102330</c:v>
                </c:pt>
                <c:pt idx="563">
                  <c:v>103520</c:v>
                </c:pt>
                <c:pt idx="564">
                  <c:v>104710</c:v>
                </c:pt>
                <c:pt idx="565">
                  <c:v>105930</c:v>
                </c:pt>
                <c:pt idx="566">
                  <c:v>107150</c:v>
                </c:pt>
                <c:pt idx="567">
                  <c:v>108400</c:v>
                </c:pt>
                <c:pt idx="568">
                  <c:v>109650</c:v>
                </c:pt>
                <c:pt idx="569">
                  <c:v>110925</c:v>
                </c:pt>
                <c:pt idx="570">
                  <c:v>112200</c:v>
                </c:pt>
                <c:pt idx="571">
                  <c:v>113510</c:v>
                </c:pt>
                <c:pt idx="572">
                  <c:v>114820</c:v>
                </c:pt>
                <c:pt idx="573">
                  <c:v>116155</c:v>
                </c:pt>
                <c:pt idx="574">
                  <c:v>117490</c:v>
                </c:pt>
                <c:pt idx="575">
                  <c:v>118860</c:v>
                </c:pt>
                <c:pt idx="576">
                  <c:v>120230</c:v>
                </c:pt>
                <c:pt idx="577">
                  <c:v>126030</c:v>
                </c:pt>
                <c:pt idx="578">
                  <c:v>131830</c:v>
                </c:pt>
                <c:pt idx="579">
                  <c:v>144540</c:v>
                </c:pt>
                <c:pt idx="580">
                  <c:v>158490</c:v>
                </c:pt>
                <c:pt idx="581">
                  <c:v>173780</c:v>
                </c:pt>
                <c:pt idx="582">
                  <c:v>190550</c:v>
                </c:pt>
                <c:pt idx="583">
                  <c:v>208930</c:v>
                </c:pt>
                <c:pt idx="584">
                  <c:v>229090</c:v>
                </c:pt>
                <c:pt idx="585">
                  <c:v>251190</c:v>
                </c:pt>
                <c:pt idx="586">
                  <c:v>275420</c:v>
                </c:pt>
                <c:pt idx="587">
                  <c:v>302000</c:v>
                </c:pt>
                <c:pt idx="588">
                  <c:v>331130</c:v>
                </c:pt>
                <c:pt idx="589">
                  <c:v>363080</c:v>
                </c:pt>
                <c:pt idx="590">
                  <c:v>398110</c:v>
                </c:pt>
                <c:pt idx="591">
                  <c:v>436520</c:v>
                </c:pt>
                <c:pt idx="592">
                  <c:v>478630</c:v>
                </c:pt>
                <c:pt idx="593">
                  <c:v>524810</c:v>
                </c:pt>
                <c:pt idx="594">
                  <c:v>575440</c:v>
                </c:pt>
                <c:pt idx="595">
                  <c:v>630960</c:v>
                </c:pt>
                <c:pt idx="596">
                  <c:v>691830</c:v>
                </c:pt>
                <c:pt idx="597">
                  <c:v>758580</c:v>
                </c:pt>
                <c:pt idx="598">
                  <c:v>831760</c:v>
                </c:pt>
                <c:pt idx="599">
                  <c:v>912010</c:v>
                </c:pt>
                <c:pt idx="600">
                  <c:v>1000000</c:v>
                </c:pt>
              </c:numCache>
            </c:numRef>
          </c:xVal>
          <c:yVal>
            <c:numRef>
              <c:f>'Stability Calculations'!$Y$13:$Y$613</c:f>
              <c:numCache>
                <c:formatCode>0.00</c:formatCode>
                <c:ptCount val="601"/>
                <c:pt idx="0">
                  <c:v>92.879017823766574</c:v>
                </c:pt>
                <c:pt idx="1">
                  <c:v>92.596970192560931</c:v>
                </c:pt>
                <c:pt idx="2">
                  <c:v>92.33685844746681</c:v>
                </c:pt>
                <c:pt idx="3">
                  <c:v>92.096493290541474</c:v>
                </c:pt>
                <c:pt idx="4">
                  <c:v>91.873990138646391</c:v>
                </c:pt>
                <c:pt idx="5">
                  <c:v>91.667111141088753</c:v>
                </c:pt>
                <c:pt idx="6">
                  <c:v>91.474419816577324</c:v>
                </c:pt>
                <c:pt idx="7">
                  <c:v>91.294158389585405</c:v>
                </c:pt>
                <c:pt idx="8">
                  <c:v>91.124932235946417</c:v>
                </c:pt>
                <c:pt idx="9">
                  <c:v>90.965179580683113</c:v>
                </c:pt>
                <c:pt idx="10">
                  <c:v>90.813642034978884</c:v>
                </c:pt>
                <c:pt idx="11">
                  <c:v>90.669011470179996</c:v>
                </c:pt>
                <c:pt idx="12">
                  <c:v>90.529989730332488</c:v>
                </c:pt>
                <c:pt idx="13">
                  <c:v>90.395533059384036</c:v>
                </c:pt>
                <c:pt idx="14">
                  <c:v>90.264393654181731</c:v>
                </c:pt>
                <c:pt idx="15">
                  <c:v>90.13551266726563</c:v>
                </c:pt>
                <c:pt idx="16">
                  <c:v>90.007788445018406</c:v>
                </c:pt>
                <c:pt idx="17">
                  <c:v>89.880158622269988</c:v>
                </c:pt>
                <c:pt idx="18">
                  <c:v>89.751507176610616</c:v>
                </c:pt>
                <c:pt idx="19">
                  <c:v>89.620782488815649</c:v>
                </c:pt>
                <c:pt idx="20">
                  <c:v>89.486856240156783</c:v>
                </c:pt>
                <c:pt idx="21">
                  <c:v>89.348628897303072</c:v>
                </c:pt>
                <c:pt idx="22">
                  <c:v>89.204910280197396</c:v>
                </c:pt>
                <c:pt idx="23">
                  <c:v>89.054533371047043</c:v>
                </c:pt>
                <c:pt idx="24">
                  <c:v>88.896205811090795</c:v>
                </c:pt>
                <c:pt idx="25">
                  <c:v>88.728636645880187</c:v>
                </c:pt>
                <c:pt idx="26">
                  <c:v>88.550400482367905</c:v>
                </c:pt>
                <c:pt idx="27">
                  <c:v>88.360090915061193</c:v>
                </c:pt>
                <c:pt idx="28">
                  <c:v>88.156156175368238</c:v>
                </c:pt>
                <c:pt idx="29">
                  <c:v>87.937098879804267</c:v>
                </c:pt>
                <c:pt idx="30">
                  <c:v>87.700798488507587</c:v>
                </c:pt>
                <c:pt idx="31">
                  <c:v>87.445719671390776</c:v>
                </c:pt>
                <c:pt idx="32">
                  <c:v>87.169730011168696</c:v>
                </c:pt>
                <c:pt idx="33">
                  <c:v>86.870956372701301</c:v>
                </c:pt>
                <c:pt idx="34">
                  <c:v>86.546984960823295</c:v>
                </c:pt>
                <c:pt idx="35">
                  <c:v>86.195703179709639</c:v>
                </c:pt>
                <c:pt idx="36">
                  <c:v>85.81468776875073</c:v>
                </c:pt>
                <c:pt idx="37">
                  <c:v>85.401262600658256</c:v>
                </c:pt>
                <c:pt idx="38">
                  <c:v>84.953333029760685</c:v>
                </c:pt>
                <c:pt idx="39">
                  <c:v>84.468066174208744</c:v>
                </c:pt>
                <c:pt idx="40">
                  <c:v>83.943224220696251</c:v>
                </c:pt>
                <c:pt idx="41">
                  <c:v>83.376516969928844</c:v>
                </c:pt>
                <c:pt idx="42">
                  <c:v>82.766053968884492</c:v>
                </c:pt>
                <c:pt idx="43">
                  <c:v>82.11009306741586</c:v>
                </c:pt>
                <c:pt idx="44">
                  <c:v>81.407838742596056</c:v>
                </c:pt>
                <c:pt idx="45">
                  <c:v>80.658994604751896</c:v>
                </c:pt>
                <c:pt idx="46">
                  <c:v>79.864621902582655</c:v>
                </c:pt>
                <c:pt idx="47">
                  <c:v>79.026810726645024</c:v>
                </c:pt>
                <c:pt idx="48">
                  <c:v>78.149690986769102</c:v>
                </c:pt>
                <c:pt idx="49">
                  <c:v>77.238936150019285</c:v>
                </c:pt>
                <c:pt idx="50">
                  <c:v>76.302839488230958</c:v>
                </c:pt>
                <c:pt idx="51">
                  <c:v>75.351818682115095</c:v>
                </c:pt>
                <c:pt idx="52">
                  <c:v>74.399403396754394</c:v>
                </c:pt>
                <c:pt idx="53">
                  <c:v>73.461305462179311</c:v>
                </c:pt>
                <c:pt idx="54">
                  <c:v>72.556050966112494</c:v>
                </c:pt>
                <c:pt idx="55">
                  <c:v>71.701799129898376</c:v>
                </c:pt>
                <c:pt idx="56">
                  <c:v>70.92034739082834</c:v>
                </c:pt>
                <c:pt idx="57">
                  <c:v>70.23155690872369</c:v>
                </c:pt>
                <c:pt idx="58">
                  <c:v>69.65490663702208</c:v>
                </c:pt>
                <c:pt idx="59">
                  <c:v>69.206292347416948</c:v>
                </c:pt>
                <c:pt idx="60">
                  <c:v>68.898476483553864</c:v>
                </c:pt>
                <c:pt idx="61">
                  <c:v>68.738982568100937</c:v>
                </c:pt>
                <c:pt idx="62">
                  <c:v>68.729942250583505</c:v>
                </c:pt>
                <c:pt idx="63">
                  <c:v>68.867752330838286</c:v>
                </c:pt>
                <c:pt idx="64">
                  <c:v>69.14336174015456</c:v>
                </c:pt>
                <c:pt idx="65">
                  <c:v>69.542720915152927</c:v>
                </c:pt>
                <c:pt idx="66">
                  <c:v>70.047964146396609</c:v>
                </c:pt>
                <c:pt idx="67">
                  <c:v>70.638418784985078</c:v>
                </c:pt>
                <c:pt idx="68">
                  <c:v>71.292239151681656</c:v>
                </c:pt>
                <c:pt idx="69">
                  <c:v>71.987003286268163</c:v>
                </c:pt>
                <c:pt idx="70">
                  <c:v>72.701393829083315</c:v>
                </c:pt>
                <c:pt idx="71">
                  <c:v>73.415403996334547</c:v>
                </c:pt>
                <c:pt idx="72">
                  <c:v>74.111438902252019</c:v>
                </c:pt>
                <c:pt idx="73">
                  <c:v>74.773965970687925</c:v>
                </c:pt>
                <c:pt idx="74">
                  <c:v>75.39022062496548</c:v>
                </c:pt>
                <c:pt idx="75">
                  <c:v>75.949472488607469</c:v>
                </c:pt>
                <c:pt idx="76">
                  <c:v>76.443269518176095</c:v>
                </c:pt>
                <c:pt idx="77">
                  <c:v>76.864635386894236</c:v>
                </c:pt>
                <c:pt idx="78">
                  <c:v>77.208218632883515</c:v>
                </c:pt>
                <c:pt idx="79">
                  <c:v>77.469600230329903</c:v>
                </c:pt>
                <c:pt idx="80">
                  <c:v>77.645659081271475</c:v>
                </c:pt>
                <c:pt idx="81">
                  <c:v>77.733040985948861</c:v>
                </c:pt>
                <c:pt idx="82">
                  <c:v>77.729037506920179</c:v>
                </c:pt>
                <c:pt idx="83">
                  <c:v>77.63093171545934</c:v>
                </c:pt>
                <c:pt idx="84">
                  <c:v>77.435786075222822</c:v>
                </c:pt>
                <c:pt idx="85">
                  <c:v>77.140542005756402</c:v>
                </c:pt>
                <c:pt idx="86">
                  <c:v>76.741652622997279</c:v>
                </c:pt>
                <c:pt idx="87">
                  <c:v>76.234802549309876</c:v>
                </c:pt>
                <c:pt idx="88">
                  <c:v>75.615875038759526</c:v>
                </c:pt>
                <c:pt idx="89">
                  <c:v>74.879171529416865</c:v>
                </c:pt>
                <c:pt idx="90">
                  <c:v>74.019030781655317</c:v>
                </c:pt>
                <c:pt idx="91">
                  <c:v>73.028798209274029</c:v>
                </c:pt>
                <c:pt idx="92">
                  <c:v>71.901340834673789</c:v>
                </c:pt>
                <c:pt idx="93">
                  <c:v>70.628334777402898</c:v>
                </c:pt>
                <c:pt idx="94">
                  <c:v>70.286510451441202</c:v>
                </c:pt>
                <c:pt idx="95">
                  <c:v>70.11086003314395</c:v>
                </c:pt>
                <c:pt idx="96">
                  <c:v>69.934775383759487</c:v>
                </c:pt>
                <c:pt idx="97">
                  <c:v>69.754180190169464</c:v>
                </c:pt>
                <c:pt idx="98">
                  <c:v>69.573171749802242</c:v>
                </c:pt>
                <c:pt idx="99">
                  <c:v>69.387513495913282</c:v>
                </c:pt>
                <c:pt idx="100">
                  <c:v>69.201463079189807</c:v>
                </c:pt>
                <c:pt idx="101">
                  <c:v>69.010766346107687</c:v>
                </c:pt>
                <c:pt idx="102">
                  <c:v>68.81969927160884</c:v>
                </c:pt>
                <c:pt idx="103">
                  <c:v>68.623705497000628</c:v>
                </c:pt>
                <c:pt idx="104">
                  <c:v>68.427362885201433</c:v>
                </c:pt>
                <c:pt idx="105">
                  <c:v>68.226099230483328</c:v>
                </c:pt>
                <c:pt idx="106">
                  <c:v>68.024509080508992</c:v>
                </c:pt>
                <c:pt idx="107">
                  <c:v>67.818005738100013</c:v>
                </c:pt>
                <c:pt idx="108">
                  <c:v>67.611199014309022</c:v>
                </c:pt>
                <c:pt idx="109">
                  <c:v>67.399344737631623</c:v>
                </c:pt>
                <c:pt idx="110">
                  <c:v>67.187210536809985</c:v>
                </c:pt>
                <c:pt idx="111">
                  <c:v>66.969750700151607</c:v>
                </c:pt>
                <c:pt idx="112">
                  <c:v>66.752034500925802</c:v>
                </c:pt>
                <c:pt idx="113">
                  <c:v>66.529004756756578</c:v>
                </c:pt>
                <c:pt idx="114">
                  <c:v>66.305743122148556</c:v>
                </c:pt>
                <c:pt idx="115">
                  <c:v>66.077037020578629</c:v>
                </c:pt>
                <c:pt idx="116">
                  <c:v>65.848124100733074</c:v>
                </c:pt>
                <c:pt idx="117">
                  <c:v>65.613637262653057</c:v>
                </c:pt>
                <c:pt idx="118">
                  <c:v>65.378969358860431</c:v>
                </c:pt>
                <c:pt idx="119">
                  <c:v>65.138745450281704</c:v>
                </c:pt>
                <c:pt idx="120">
                  <c:v>64.898367163810462</c:v>
                </c:pt>
                <c:pt idx="121">
                  <c:v>64.652307182194747</c:v>
                </c:pt>
                <c:pt idx="122">
                  <c:v>64.406120251630114</c:v>
                </c:pt>
                <c:pt idx="123">
                  <c:v>64.153981745708293</c:v>
                </c:pt>
                <c:pt idx="124">
                  <c:v>63.901744433288215</c:v>
                </c:pt>
                <c:pt idx="125">
                  <c:v>63.643579642273608</c:v>
                </c:pt>
                <c:pt idx="126">
                  <c:v>63.385345239147242</c:v>
                </c:pt>
                <c:pt idx="127">
                  <c:v>63.12106371864634</c:v>
                </c:pt>
                <c:pt idx="128">
                  <c:v>62.856742744601448</c:v>
                </c:pt>
                <c:pt idx="129">
                  <c:v>62.58625733291106</c:v>
                </c:pt>
                <c:pt idx="130">
                  <c:v>62.315763661142967</c:v>
                </c:pt>
                <c:pt idx="131">
                  <c:v>62.038990706404718</c:v>
                </c:pt>
                <c:pt idx="132">
                  <c:v>61.900612255136181</c:v>
                </c:pt>
                <c:pt idx="133">
                  <c:v>61.762241788594167</c:v>
                </c:pt>
                <c:pt idx="134">
                  <c:v>61.62059229192009</c:v>
                </c:pt>
                <c:pt idx="135">
                  <c:v>61.478955210887094</c:v>
                </c:pt>
                <c:pt idx="136">
                  <c:v>61.337332532493534</c:v>
                </c:pt>
                <c:pt idx="137">
                  <c:v>61.19572620466289</c:v>
                </c:pt>
                <c:pt idx="138">
                  <c:v>61.050923774214482</c:v>
                </c:pt>
                <c:pt idx="139">
                  <c:v>60.906142445424379</c:v>
                </c:pt>
                <c:pt idx="140">
                  <c:v>60.761384181587147</c:v>
                </c:pt>
                <c:pt idx="141">
                  <c:v>60.616650907504777</c:v>
                </c:pt>
                <c:pt idx="142">
                  <c:v>60.468513368246391</c:v>
                </c:pt>
                <c:pt idx="143">
                  <c:v>60.32040598079449</c:v>
                </c:pt>
                <c:pt idx="144">
                  <c:v>60.172330691143657</c:v>
                </c:pt>
                <c:pt idx="145">
                  <c:v>60.024289407184312</c:v>
                </c:pt>
                <c:pt idx="146">
                  <c:v>59.872856024491114</c:v>
                </c:pt>
                <c:pt idx="147">
                  <c:v>59.721462164020039</c:v>
                </c:pt>
                <c:pt idx="148">
                  <c:v>59.570109751695256</c:v>
                </c:pt>
                <c:pt idx="149">
                  <c:v>59.418800675766406</c:v>
                </c:pt>
                <c:pt idx="150">
                  <c:v>59.264039905852826</c:v>
                </c:pt>
                <c:pt idx="151">
                  <c:v>59.109328381643365</c:v>
                </c:pt>
                <c:pt idx="152">
                  <c:v>58.954668009052341</c:v>
                </c:pt>
                <c:pt idx="153">
                  <c:v>58.800060656710599</c:v>
                </c:pt>
                <c:pt idx="154">
                  <c:v>58.641870590866802</c:v>
                </c:pt>
                <c:pt idx="155">
                  <c:v>58.483739916589855</c:v>
                </c:pt>
                <c:pt idx="156">
                  <c:v>58.325670522221301</c:v>
                </c:pt>
                <c:pt idx="157">
                  <c:v>58.167664259103418</c:v>
                </c:pt>
                <c:pt idx="158">
                  <c:v>58.006018581553192</c:v>
                </c:pt>
                <c:pt idx="159">
                  <c:v>57.844442841123254</c:v>
                </c:pt>
                <c:pt idx="160">
                  <c:v>57.682938907992735</c:v>
                </c:pt>
                <c:pt idx="161">
                  <c:v>57.521508615593262</c:v>
                </c:pt>
                <c:pt idx="162">
                  <c:v>57.356456189081058</c:v>
                </c:pt>
                <c:pt idx="163">
                  <c:v>57.19148458484014</c:v>
                </c:pt>
                <c:pt idx="164">
                  <c:v>57.026595651670959</c:v>
                </c:pt>
                <c:pt idx="165">
                  <c:v>56.861791201909043</c:v>
                </c:pt>
                <c:pt idx="166">
                  <c:v>56.693165997658923</c:v>
                </c:pt>
                <c:pt idx="167">
                  <c:v>56.524633063685613</c:v>
                </c:pt>
                <c:pt idx="168">
                  <c:v>56.35619423127666</c:v>
                </c:pt>
                <c:pt idx="169">
                  <c:v>56.187851295370336</c:v>
                </c:pt>
                <c:pt idx="170">
                  <c:v>56.015996684781712</c:v>
                </c:pt>
                <c:pt idx="171">
                  <c:v>55.84424580408124</c:v>
                </c:pt>
                <c:pt idx="172">
                  <c:v>55.67260045429164</c:v>
                </c:pt>
                <c:pt idx="173">
                  <c:v>55.501062400474211</c:v>
                </c:pt>
                <c:pt idx="174">
                  <c:v>55.325313056154869</c:v>
                </c:pt>
                <c:pt idx="175">
                  <c:v>55.149680130664578</c:v>
                </c:pt>
                <c:pt idx="176">
                  <c:v>54.974165413663883</c:v>
                </c:pt>
                <c:pt idx="177">
                  <c:v>54.798770658660814</c:v>
                </c:pt>
                <c:pt idx="178">
                  <c:v>54.619189137440117</c:v>
                </c:pt>
                <c:pt idx="179">
                  <c:v>54.439737164613291</c:v>
                </c:pt>
                <c:pt idx="180">
                  <c:v>54.260416513535475</c:v>
                </c:pt>
                <c:pt idx="181">
                  <c:v>54.081228921256752</c:v>
                </c:pt>
                <c:pt idx="182">
                  <c:v>53.898596418771021</c:v>
                </c:pt>
                <c:pt idx="183">
                  <c:v>53.716105889409064</c:v>
                </c:pt>
                <c:pt idx="184">
                  <c:v>53.533759065039547</c:v>
                </c:pt>
                <c:pt idx="185">
                  <c:v>53.351557641669984</c:v>
                </c:pt>
                <c:pt idx="186">
                  <c:v>53.164507799028328</c:v>
                </c:pt>
                <c:pt idx="187">
                  <c:v>52.977614966802165</c:v>
                </c:pt>
                <c:pt idx="188">
                  <c:v>52.79088087146873</c:v>
                </c:pt>
                <c:pt idx="189">
                  <c:v>52.604307202984742</c:v>
                </c:pt>
                <c:pt idx="190">
                  <c:v>52.414339729290234</c:v>
                </c:pt>
                <c:pt idx="191">
                  <c:v>52.224542295345344</c:v>
                </c:pt>
                <c:pt idx="192">
                  <c:v>52.034916577745562</c:v>
                </c:pt>
                <c:pt idx="193">
                  <c:v>51.845464217039165</c:v>
                </c:pt>
                <c:pt idx="194">
                  <c:v>51.651226857693388</c:v>
                </c:pt>
                <c:pt idx="195">
                  <c:v>51.457175451765067</c:v>
                </c:pt>
                <c:pt idx="196">
                  <c:v>51.263311658907782</c:v>
                </c:pt>
                <c:pt idx="197">
                  <c:v>51.069637102136966</c:v>
                </c:pt>
                <c:pt idx="198">
                  <c:v>50.871918645358676</c:v>
                </c:pt>
                <c:pt idx="199">
                  <c:v>50.674401116283832</c:v>
                </c:pt>
                <c:pt idx="200">
                  <c:v>50.477086133323354</c:v>
                </c:pt>
                <c:pt idx="201">
                  <c:v>50.279975278225947</c:v>
                </c:pt>
                <c:pt idx="202">
                  <c:v>50.078852962173642</c:v>
                </c:pt>
                <c:pt idx="203">
                  <c:v>49.87794683826607</c:v>
                </c:pt>
                <c:pt idx="204">
                  <c:v>49.677258478580484</c:v>
                </c:pt>
                <c:pt idx="205">
                  <c:v>49.476789418522088</c:v>
                </c:pt>
                <c:pt idx="206">
                  <c:v>49.271642757053627</c:v>
                </c:pt>
                <c:pt idx="207">
                  <c:v>49.06672940920356</c:v>
                </c:pt>
                <c:pt idx="208">
                  <c:v>48.862050911059612</c:v>
                </c:pt>
                <c:pt idx="209">
                  <c:v>48.657608761546186</c:v>
                </c:pt>
                <c:pt idx="210">
                  <c:v>48.447832226923083</c:v>
                </c:pt>
                <c:pt idx="211">
                  <c:v>48.23830821326564</c:v>
                </c:pt>
                <c:pt idx="212">
                  <c:v>48.029038228094379</c:v>
                </c:pt>
                <c:pt idx="213">
                  <c:v>47.820023740815884</c:v>
                </c:pt>
                <c:pt idx="214">
                  <c:v>47.607107524704304</c:v>
                </c:pt>
                <c:pt idx="215">
                  <c:v>47.394460063786852</c:v>
                </c:pt>
                <c:pt idx="216">
                  <c:v>47.182082799488114</c:v>
                </c:pt>
                <c:pt idx="217">
                  <c:v>46.96997713521921</c:v>
                </c:pt>
                <c:pt idx="218">
                  <c:v>46.75331756909037</c:v>
                </c:pt>
                <c:pt idx="219">
                  <c:v>46.536944981132706</c:v>
                </c:pt>
                <c:pt idx="220">
                  <c:v>46.320860754433198</c:v>
                </c:pt>
                <c:pt idx="221">
                  <c:v>46.10506623370128</c:v>
                </c:pt>
                <c:pt idx="222">
                  <c:v>45.884761833617574</c:v>
                </c:pt>
                <c:pt idx="223">
                  <c:v>45.66476292281564</c:v>
                </c:pt>
                <c:pt idx="224">
                  <c:v>45.445070818454866</c:v>
                </c:pt>
                <c:pt idx="225">
                  <c:v>45.225686798997117</c:v>
                </c:pt>
                <c:pt idx="226">
                  <c:v>45.001156260544633</c:v>
                </c:pt>
                <c:pt idx="227">
                  <c:v>44.776951952638655</c:v>
                </c:pt>
                <c:pt idx="228">
                  <c:v>44.553075130113797</c:v>
                </c:pt>
                <c:pt idx="229">
                  <c:v>44.329527008365318</c:v>
                </c:pt>
                <c:pt idx="230">
                  <c:v>43.87259049555729</c:v>
                </c:pt>
                <c:pt idx="231">
                  <c:v>43.644644429435232</c:v>
                </c:pt>
                <c:pt idx="232">
                  <c:v>43.417048026762501</c:v>
                </c:pt>
                <c:pt idx="233">
                  <c:v>43.184412106512667</c:v>
                </c:pt>
                <c:pt idx="234">
                  <c:v>42.952144945603578</c:v>
                </c:pt>
                <c:pt idx="235">
                  <c:v>42.720247644205813</c:v>
                </c:pt>
                <c:pt idx="236">
                  <c:v>42.488721261795007</c:v>
                </c:pt>
                <c:pt idx="237">
                  <c:v>42.252880584532221</c:v>
                </c:pt>
                <c:pt idx="238">
                  <c:v>42.017428132914688</c:v>
                </c:pt>
                <c:pt idx="239">
                  <c:v>41.78236490632986</c:v>
                </c:pt>
                <c:pt idx="240">
                  <c:v>41.547691863429861</c:v>
                </c:pt>
                <c:pt idx="241">
                  <c:v>41.307424895274295</c:v>
                </c:pt>
                <c:pt idx="242">
                  <c:v>41.067570232804968</c:v>
                </c:pt>
                <c:pt idx="243">
                  <c:v>40.828128781801183</c:v>
                </c:pt>
                <c:pt idx="244">
                  <c:v>40.589101406431922</c:v>
                </c:pt>
                <c:pt idx="245">
                  <c:v>40.345205824118096</c:v>
                </c:pt>
                <c:pt idx="246">
                  <c:v>40.101744569472913</c:v>
                </c:pt>
                <c:pt idx="247">
                  <c:v>39.85871843590499</c:v>
                </c:pt>
                <c:pt idx="248">
                  <c:v>39.61612817490996</c:v>
                </c:pt>
                <c:pt idx="249">
                  <c:v>39.368073769410643</c:v>
                </c:pt>
                <c:pt idx="250">
                  <c:v>39.120478223063401</c:v>
                </c:pt>
                <c:pt idx="251">
                  <c:v>38.873342212325383</c:v>
                </c:pt>
                <c:pt idx="252">
                  <c:v>38.626666371106296</c:v>
                </c:pt>
                <c:pt idx="253">
                  <c:v>38.375245373540736</c:v>
                </c:pt>
                <c:pt idx="254">
                  <c:v>38.124305433779227</c:v>
                </c:pt>
                <c:pt idx="255">
                  <c:v>37.873847095014156</c:v>
                </c:pt>
                <c:pt idx="256">
                  <c:v>37.623870857838767</c:v>
                </c:pt>
                <c:pt idx="257">
                  <c:v>37.367920030930122</c:v>
                </c:pt>
                <c:pt idx="258">
                  <c:v>37.112477542084719</c:v>
                </c:pt>
                <c:pt idx="259">
                  <c:v>36.857543797771967</c:v>
                </c:pt>
                <c:pt idx="260">
                  <c:v>36.603119161080315</c:v>
                </c:pt>
                <c:pt idx="261">
                  <c:v>36.343439075228702</c:v>
                </c:pt>
                <c:pt idx="262">
                  <c:v>36.084292134430939</c:v>
                </c:pt>
                <c:pt idx="263">
                  <c:v>35.825678592196454</c:v>
                </c:pt>
                <c:pt idx="264">
                  <c:v>35.567598658488293</c:v>
                </c:pt>
                <c:pt idx="265">
                  <c:v>35.304335316388062</c:v>
                </c:pt>
                <c:pt idx="266">
                  <c:v>35.041629870717259</c:v>
                </c:pt>
                <c:pt idx="267">
                  <c:v>34.779482410705327</c:v>
                </c:pt>
                <c:pt idx="268">
                  <c:v>34.51789298204875</c:v>
                </c:pt>
                <c:pt idx="269">
                  <c:v>34.250563383834503</c:v>
                </c:pt>
                <c:pt idx="270">
                  <c:v>33.983819061807083</c:v>
                </c:pt>
                <c:pt idx="271">
                  <c:v>33.717659929324128</c:v>
                </c:pt>
                <c:pt idx="272">
                  <c:v>33.452085856007301</c:v>
                </c:pt>
                <c:pt idx="273">
                  <c:v>33.180853982001935</c:v>
                </c:pt>
                <c:pt idx="274">
                  <c:v>32.910234677223286</c:v>
                </c:pt>
                <c:pt idx="275">
                  <c:v>32.640227665952608</c:v>
                </c:pt>
                <c:pt idx="276">
                  <c:v>32.370832628763225</c:v>
                </c:pt>
                <c:pt idx="277">
                  <c:v>32.096481824022248</c:v>
                </c:pt>
                <c:pt idx="278">
                  <c:v>31.822767830665867</c:v>
                </c:pt>
                <c:pt idx="279">
                  <c:v>31.549690174711827</c:v>
                </c:pt>
                <c:pt idx="280">
                  <c:v>31.27724833912751</c:v>
                </c:pt>
                <c:pt idx="281">
                  <c:v>30.998087890093359</c:v>
                </c:pt>
                <c:pt idx="282">
                  <c:v>30.71959693363155</c:v>
                </c:pt>
                <c:pt idx="283">
                  <c:v>30.441774774650241</c:v>
                </c:pt>
                <c:pt idx="284">
                  <c:v>30.16462067476516</c:v>
                </c:pt>
                <c:pt idx="285">
                  <c:v>29.882671607802934</c:v>
                </c:pt>
                <c:pt idx="286">
                  <c:v>29.601415606331557</c:v>
                </c:pt>
                <c:pt idx="287">
                  <c:v>29.320851755277431</c:v>
                </c:pt>
                <c:pt idx="288">
                  <c:v>29.040979097451356</c:v>
                </c:pt>
                <c:pt idx="289">
                  <c:v>28.754585545109563</c:v>
                </c:pt>
                <c:pt idx="290">
                  <c:v>28.468917227772579</c:v>
                </c:pt>
                <c:pt idx="291">
                  <c:v>28.183972981256119</c:v>
                </c:pt>
                <c:pt idx="292">
                  <c:v>27.899751599636687</c:v>
                </c:pt>
                <c:pt idx="293">
                  <c:v>27.60970889185171</c:v>
                </c:pt>
                <c:pt idx="294">
                  <c:v>27.320420162213736</c:v>
                </c:pt>
                <c:pt idx="295">
                  <c:v>27.031883991223197</c:v>
                </c:pt>
                <c:pt idx="296">
                  <c:v>26.74409891870954</c:v>
                </c:pt>
                <c:pt idx="297">
                  <c:v>26.450588742598399</c:v>
                </c:pt>
                <c:pt idx="298">
                  <c:v>26.157860765468001</c:v>
                </c:pt>
                <c:pt idx="299">
                  <c:v>25.865913301841061</c:v>
                </c:pt>
                <c:pt idx="300">
                  <c:v>25.574744626963621</c:v>
                </c:pt>
                <c:pt idx="301">
                  <c:v>25.277947462221391</c:v>
                </c:pt>
                <c:pt idx="302">
                  <c:v>24.981960106931552</c:v>
                </c:pt>
                <c:pt idx="303">
                  <c:v>24.686780600321612</c:v>
                </c:pt>
                <c:pt idx="304">
                  <c:v>24.392406944068426</c:v>
                </c:pt>
                <c:pt idx="305">
                  <c:v>24.091349757874156</c:v>
                </c:pt>
                <c:pt idx="306">
                  <c:v>23.791135738190349</c:v>
                </c:pt>
                <c:pt idx="307">
                  <c:v>23.491762614867696</c:v>
                </c:pt>
                <c:pt idx="308">
                  <c:v>23.193228081722765</c:v>
                </c:pt>
                <c:pt idx="309">
                  <c:v>22.889265441947401</c:v>
                </c:pt>
                <c:pt idx="310">
                  <c:v>22.586172138908609</c:v>
                </c:pt>
                <c:pt idx="311">
                  <c:v>22.283945609672685</c:v>
                </c:pt>
                <c:pt idx="312">
                  <c:v>21.982583257717835</c:v>
                </c:pt>
                <c:pt idx="313">
                  <c:v>21.674763906963534</c:v>
                </c:pt>
                <c:pt idx="314">
                  <c:v>21.36784578431903</c:v>
                </c:pt>
                <c:pt idx="315">
                  <c:v>21.061825997585174</c:v>
                </c:pt>
                <c:pt idx="316">
                  <c:v>20.756701623289615</c:v>
                </c:pt>
                <c:pt idx="317">
                  <c:v>20.445236944034406</c:v>
                </c:pt>
                <c:pt idx="318">
                  <c:v>20.134704527267388</c:v>
                </c:pt>
                <c:pt idx="319">
                  <c:v>19.825101142612368</c:v>
                </c:pt>
                <c:pt idx="320">
                  <c:v>19.51642353116236</c:v>
                </c:pt>
                <c:pt idx="321">
                  <c:v>19.201522260472757</c:v>
                </c:pt>
                <c:pt idx="322">
                  <c:v>18.887583333485651</c:v>
                </c:pt>
                <c:pt idx="323">
                  <c:v>18.574603174757641</c:v>
                </c:pt>
                <c:pt idx="324">
                  <c:v>18.262578183470112</c:v>
                </c:pt>
                <c:pt idx="325">
                  <c:v>17.944445913916553</c:v>
                </c:pt>
                <c:pt idx="326">
                  <c:v>17.627305028300839</c:v>
                </c:pt>
                <c:pt idx="327">
                  <c:v>17.311151601306278</c:v>
                </c:pt>
                <c:pt idx="328">
                  <c:v>16.995981685795044</c:v>
                </c:pt>
                <c:pt idx="329">
                  <c:v>16.674284197019404</c:v>
                </c:pt>
                <c:pt idx="330">
                  <c:v>16.353609417285071</c:v>
                </c:pt>
                <c:pt idx="331">
                  <c:v>16.033953047171991</c:v>
                </c:pt>
                <c:pt idx="332">
                  <c:v>15.715310769252937</c:v>
                </c:pt>
                <c:pt idx="333">
                  <c:v>15.390795885006469</c:v>
                </c:pt>
                <c:pt idx="334">
                  <c:v>15.067330424931299</c:v>
                </c:pt>
                <c:pt idx="335">
                  <c:v>14.744909735122178</c:v>
                </c:pt>
                <c:pt idx="336">
                  <c:v>14.423529147985562</c:v>
                </c:pt>
                <c:pt idx="337">
                  <c:v>14.095345346750236</c:v>
                </c:pt>
                <c:pt idx="338">
                  <c:v>13.768243301870257</c:v>
                </c:pt>
                <c:pt idx="339">
                  <c:v>13.442217958350227</c:v>
                </c:pt>
                <c:pt idx="340">
                  <c:v>13.117264252034204</c:v>
                </c:pt>
                <c:pt idx="341">
                  <c:v>12.785641636013708</c:v>
                </c:pt>
                <c:pt idx="342">
                  <c:v>12.455131775796161</c:v>
                </c:pt>
                <c:pt idx="343">
                  <c:v>12.125729214063369</c:v>
                </c:pt>
                <c:pt idx="344">
                  <c:v>11.797428489290013</c:v>
                </c:pt>
                <c:pt idx="345">
                  <c:v>11.463101013571162</c:v>
                </c:pt>
                <c:pt idx="346">
                  <c:v>11.129912417345253</c:v>
                </c:pt>
                <c:pt idx="347">
                  <c:v>10.797856869032756</c:v>
                </c:pt>
                <c:pt idx="348">
                  <c:v>10.466928538176518</c:v>
                </c:pt>
                <c:pt idx="349">
                  <c:v>10.129091484939806</c:v>
                </c:pt>
                <c:pt idx="350">
                  <c:v>9.7924249292963452</c:v>
                </c:pt>
                <c:pt idx="351">
                  <c:v>9.4569226158351967</c:v>
                </c:pt>
                <c:pt idx="352">
                  <c:v>9.1225782959518256</c:v>
                </c:pt>
                <c:pt idx="353">
                  <c:v>8.7814665593285497</c:v>
                </c:pt>
                <c:pt idx="354">
                  <c:v>8.4415553872827331</c:v>
                </c:pt>
                <c:pt idx="355">
                  <c:v>8.1028381045616982</c:v>
                </c:pt>
                <c:pt idx="356">
                  <c:v>7.7653080487687873</c:v>
                </c:pt>
                <c:pt idx="357">
                  <c:v>7.4216384712286469</c:v>
                </c:pt>
                <c:pt idx="358">
                  <c:v>7.0791944360311447</c:v>
                </c:pt>
                <c:pt idx="359">
                  <c:v>6.7379688848464809</c:v>
                </c:pt>
                <c:pt idx="360">
                  <c:v>6.3979547784511794</c:v>
                </c:pt>
                <c:pt idx="361">
                  <c:v>6.0509668325647112</c:v>
                </c:pt>
                <c:pt idx="362">
                  <c:v>5.705234750613954</c:v>
                </c:pt>
                <c:pt idx="363">
                  <c:v>5.3607510399603768</c:v>
                </c:pt>
                <c:pt idx="364">
                  <c:v>5.0175082337928814</c:v>
                </c:pt>
                <c:pt idx="365">
                  <c:v>4.6679126375379383</c:v>
                </c:pt>
                <c:pt idx="366">
                  <c:v>4.3195980189257739</c:v>
                </c:pt>
                <c:pt idx="367">
                  <c:v>3.9725564927366861</c:v>
                </c:pt>
                <c:pt idx="368">
                  <c:v>3.6267802063857459</c:v>
                </c:pt>
                <c:pt idx="369">
                  <c:v>3.2738512940199769</c:v>
                </c:pt>
                <c:pt idx="370">
                  <c:v>2.9222336898793912</c:v>
                </c:pt>
                <c:pt idx="371">
                  <c:v>2.5719190638496343</c:v>
                </c:pt>
                <c:pt idx="372">
                  <c:v>2.2228991258125461</c:v>
                </c:pt>
                <c:pt idx="373">
                  <c:v>1.8673402467268545</c:v>
                </c:pt>
                <c:pt idx="374">
                  <c:v>1.5131176949242899</c:v>
                </c:pt>
                <c:pt idx="375">
                  <c:v>1.160222742128866</c:v>
                </c:pt>
                <c:pt idx="376">
                  <c:v>0.80864670737594224</c:v>
                </c:pt>
                <c:pt idx="377">
                  <c:v>0.44976571621140238</c:v>
                </c:pt>
                <c:pt idx="378">
                  <c:v>9.2251151884994442E-2</c:v>
                </c:pt>
                <c:pt idx="379">
                  <c:v>-0.26390616487233842</c:v>
                </c:pt>
                <c:pt idx="380">
                  <c:v>-0.61871535808182898</c:v>
                </c:pt>
                <c:pt idx="381">
                  <c:v>-0.97977716454124675</c:v>
                </c:pt>
                <c:pt idx="382">
                  <c:v>-1.3394512704126669</c:v>
                </c:pt>
                <c:pt idx="383">
                  <c:v>-1.6977472189250022</c:v>
                </c:pt>
                <c:pt idx="384">
                  <c:v>-2.0546744906286563</c:v>
                </c:pt>
                <c:pt idx="385">
                  <c:v>-2.4190374168756819</c:v>
                </c:pt>
                <c:pt idx="386">
                  <c:v>-2.7819829407779366</c:v>
                </c:pt>
                <c:pt idx="387">
                  <c:v>-3.1435210573830261</c:v>
                </c:pt>
                <c:pt idx="388">
                  <c:v>-3.5036616906822644</c:v>
                </c:pt>
                <c:pt idx="389">
                  <c:v>-3.8706406737920247</c:v>
                </c:pt>
                <c:pt idx="390">
                  <c:v>-4.2361780026110125</c:v>
                </c:pt>
                <c:pt idx="391">
                  <c:v>-4.6002840680032762</c:v>
                </c:pt>
                <c:pt idx="392">
                  <c:v>-4.9629691817442279</c:v>
                </c:pt>
                <c:pt idx="393">
                  <c:v>-5.3323411854143217</c:v>
                </c:pt>
                <c:pt idx="394">
                  <c:v>-5.7002492440657022</c:v>
                </c:pt>
                <c:pt idx="395">
                  <c:v>-6.0667041224072591</c:v>
                </c:pt>
                <c:pt idx="396">
                  <c:v>-6.4317164981372343</c:v>
                </c:pt>
                <c:pt idx="397">
                  <c:v>-6.8041060555921717</c:v>
                </c:pt>
                <c:pt idx="398">
                  <c:v>-7.1750046166345101</c:v>
                </c:pt>
                <c:pt idx="399">
                  <c:v>-7.5444233717789189</c:v>
                </c:pt>
                <c:pt idx="400">
                  <c:v>-7.9123734159318246</c:v>
                </c:pt>
                <c:pt idx="401">
                  <c:v>-8.2871219740709421</c:v>
                </c:pt>
                <c:pt idx="402">
                  <c:v>-8.6603579248670712</c:v>
                </c:pt>
                <c:pt idx="403">
                  <c:v>-9.0320928226890942</c:v>
                </c:pt>
                <c:pt idx="404">
                  <c:v>-9.4023381183074832</c:v>
                </c:pt>
                <c:pt idx="405">
                  <c:v>-9.7796353005848005</c:v>
                </c:pt>
                <c:pt idx="406">
                  <c:v>-10.155396948719186</c:v>
                </c:pt>
                <c:pt idx="407">
                  <c:v>-10.529634993952413</c:v>
                </c:pt>
                <c:pt idx="408">
                  <c:v>-10.902361255733496</c:v>
                </c:pt>
                <c:pt idx="409">
                  <c:v>-11.282379429281463</c:v>
                </c:pt>
                <c:pt idx="410">
                  <c:v>-11.660837922798379</c:v>
                </c:pt>
                <c:pt idx="411">
                  <c:v>-12.037749056947888</c:v>
                </c:pt>
                <c:pt idx="412">
                  <c:v>-12.413125032200128</c:v>
                </c:pt>
                <c:pt idx="413">
                  <c:v>-12.795626730951653</c:v>
                </c:pt>
                <c:pt idx="414">
                  <c:v>-13.176546728164027</c:v>
                </c:pt>
                <c:pt idx="415">
                  <c:v>-13.555897706895109</c:v>
                </c:pt>
                <c:pt idx="416">
                  <c:v>-13.933692221935985</c:v>
                </c:pt>
                <c:pt idx="417">
                  <c:v>-14.318836296979129</c:v>
                </c:pt>
                <c:pt idx="418">
                  <c:v>-14.702375516559812</c:v>
                </c:pt>
                <c:pt idx="419">
                  <c:v>-15.084322937568629</c:v>
                </c:pt>
                <c:pt idx="420">
                  <c:v>-15.464691480401484</c:v>
                </c:pt>
                <c:pt idx="421">
                  <c:v>-15.851860269870258</c:v>
                </c:pt>
                <c:pt idx="422">
                  <c:v>-16.237406382563648</c:v>
                </c:pt>
                <c:pt idx="423">
                  <c:v>-16.621343181458997</c:v>
                </c:pt>
                <c:pt idx="424">
                  <c:v>-17.00368388579659</c:v>
                </c:pt>
                <c:pt idx="425">
                  <c:v>-17.393790765017854</c:v>
                </c:pt>
                <c:pt idx="426">
                  <c:v>-17.782249675704094</c:v>
                </c:pt>
                <c:pt idx="427">
                  <c:v>-18.169074376697978</c:v>
                </c:pt>
                <c:pt idx="428">
                  <c:v>-18.554278474626784</c:v>
                </c:pt>
                <c:pt idx="429">
                  <c:v>-18.946700312044186</c:v>
                </c:pt>
                <c:pt idx="430">
                  <c:v>-19.337454289730886</c:v>
                </c:pt>
                <c:pt idx="431">
                  <c:v>-19.726554493184125</c:v>
                </c:pt>
                <c:pt idx="432">
                  <c:v>-20.114014848282778</c:v>
                </c:pt>
                <c:pt idx="433">
                  <c:v>-20.508525351104481</c:v>
                </c:pt>
                <c:pt idx="434">
                  <c:v>-20.901350210499999</c:v>
                </c:pt>
                <c:pt idx="435">
                  <c:v>-21.292503809349682</c:v>
                </c:pt>
                <c:pt idx="436">
                  <c:v>-21.682000364066454</c:v>
                </c:pt>
                <c:pt idx="437">
                  <c:v>-22.079094008214753</c:v>
                </c:pt>
                <c:pt idx="438">
                  <c:v>-22.474480176001634</c:v>
                </c:pt>
                <c:pt idx="439">
                  <c:v>-22.868173597481018</c:v>
                </c:pt>
                <c:pt idx="440">
                  <c:v>-23.260188828741036</c:v>
                </c:pt>
                <c:pt idx="441">
                  <c:v>-23.659622882966232</c:v>
                </c:pt>
                <c:pt idx="442">
                  <c:v>-24.057329862001524</c:v>
                </c:pt>
                <c:pt idx="443">
                  <c:v>-24.453324813079007</c:v>
                </c:pt>
                <c:pt idx="444">
                  <c:v>-24.8476226025644</c:v>
                </c:pt>
                <c:pt idx="445">
                  <c:v>-25.249164963243771</c:v>
                </c:pt>
                <c:pt idx="446">
                  <c:v>-25.648962823555877</c:v>
                </c:pt>
                <c:pt idx="447">
                  <c:v>-26.047031518409824</c:v>
                </c:pt>
                <c:pt idx="448">
                  <c:v>-26.443386195584026</c:v>
                </c:pt>
                <c:pt idx="449">
                  <c:v>-26.847490098901488</c:v>
                </c:pt>
                <c:pt idx="450">
                  <c:v>-27.249828306567593</c:v>
                </c:pt>
                <c:pt idx="451">
                  <c:v>-27.650416490523355</c:v>
                </c:pt>
                <c:pt idx="452">
                  <c:v>-28.049270128679325</c:v>
                </c:pt>
                <c:pt idx="453">
                  <c:v>-28.455357674982992</c:v>
                </c:pt>
                <c:pt idx="454">
                  <c:v>-28.859663536413251</c:v>
                </c:pt>
                <c:pt idx="455">
                  <c:v>-29.262203653187328</c:v>
                </c:pt>
                <c:pt idx="456">
                  <c:v>-29.662993765907572</c:v>
                </c:pt>
                <c:pt idx="457">
                  <c:v>-30.07149869982112</c:v>
                </c:pt>
                <c:pt idx="458">
                  <c:v>-30.478202340306694</c:v>
                </c:pt>
                <c:pt idx="459">
                  <c:v>-30.88312094538901</c:v>
                </c:pt>
                <c:pt idx="460">
                  <c:v>-31.286270567271572</c:v>
                </c:pt>
                <c:pt idx="461">
                  <c:v>-31.696951344599313</c:v>
                </c:pt>
                <c:pt idx="462">
                  <c:v>-32.105813526858526</c:v>
                </c:pt>
                <c:pt idx="463">
                  <c:v>-32.512873660942375</c:v>
                </c:pt>
                <c:pt idx="464">
                  <c:v>-32.918148082412387</c:v>
                </c:pt>
                <c:pt idx="465">
                  <c:v>-33.33108896942565</c:v>
                </c:pt>
                <c:pt idx="466">
                  <c:v>-33.742193416098104</c:v>
                </c:pt>
                <c:pt idx="467">
                  <c:v>-34.15147826868494</c:v>
                </c:pt>
                <c:pt idx="468">
                  <c:v>-34.558960156637681</c:v>
                </c:pt>
                <c:pt idx="469">
                  <c:v>-34.973925432489978</c:v>
                </c:pt>
                <c:pt idx="470">
                  <c:v>-35.387038738931352</c:v>
                </c:pt>
                <c:pt idx="471">
                  <c:v>-35.798317193853734</c:v>
                </c:pt>
                <c:pt idx="472">
                  <c:v>-36.207777693576844</c:v>
                </c:pt>
                <c:pt idx="473">
                  <c:v>-36.625150177113852</c:v>
                </c:pt>
                <c:pt idx="474">
                  <c:v>-37.040651994576052</c:v>
                </c:pt>
                <c:pt idx="475">
                  <c:v>-37.454300584751024</c:v>
                </c:pt>
                <c:pt idx="476">
                  <c:v>-37.866113159467687</c:v>
                </c:pt>
                <c:pt idx="477">
                  <c:v>-38.285647666827231</c:v>
                </c:pt>
                <c:pt idx="478">
                  <c:v>-38.703295272739098</c:v>
                </c:pt>
                <c:pt idx="479">
                  <c:v>-39.119073709459144</c:v>
                </c:pt>
                <c:pt idx="480">
                  <c:v>-39.533000477609221</c:v>
                </c:pt>
                <c:pt idx="481">
                  <c:v>-39.954464022253461</c:v>
                </c:pt>
                <c:pt idx="482">
                  <c:v>-40.374026838128572</c:v>
                </c:pt>
                <c:pt idx="483">
                  <c:v>-40.791706924877559</c:v>
                </c:pt>
                <c:pt idx="484">
                  <c:v>-41.207522046529562</c:v>
                </c:pt>
                <c:pt idx="485">
                  <c:v>-41.630981343181304</c:v>
                </c:pt>
                <c:pt idx="486">
                  <c:v>-42.052525844613712</c:v>
                </c:pt>
                <c:pt idx="487">
                  <c:v>-42.472173830299255</c:v>
                </c:pt>
                <c:pt idx="488">
                  <c:v>-42.889943340143503</c:v>
                </c:pt>
                <c:pt idx="489">
                  <c:v>-43.315738962368727</c:v>
                </c:pt>
                <c:pt idx="490">
                  <c:v>-43.739603049988688</c:v>
                </c:pt>
                <c:pt idx="491">
                  <c:v>-44.161554211567818</c:v>
                </c:pt>
                <c:pt idx="492">
                  <c:v>-44.581610811530709</c:v>
                </c:pt>
                <c:pt idx="493">
                  <c:v>-45.00950036345958</c:v>
                </c:pt>
                <c:pt idx="494">
                  <c:v>-45.435444292465434</c:v>
                </c:pt>
                <c:pt idx="495">
                  <c:v>-45.859461510860001</c:v>
                </c:pt>
                <c:pt idx="496">
                  <c:v>-46.281570682930038</c:v>
                </c:pt>
                <c:pt idx="497">
                  <c:v>-46.711597456024776</c:v>
                </c:pt>
                <c:pt idx="498">
                  <c:v>-47.139664650607017</c:v>
                </c:pt>
                <c:pt idx="499">
                  <c:v>-47.565791495180946</c:v>
                </c:pt>
                <c:pt idx="500">
                  <c:v>-47.989996966364714</c:v>
                </c:pt>
                <c:pt idx="501">
                  <c:v>-48.422197835397128</c:v>
                </c:pt>
                <c:pt idx="502">
                  <c:v>-48.852425433457483</c:v>
                </c:pt>
                <c:pt idx="503">
                  <c:v>-49.280699317728306</c:v>
                </c:pt>
                <c:pt idx="504">
                  <c:v>-49.707038789672879</c:v>
                </c:pt>
                <c:pt idx="505">
                  <c:v>-50.141182307721181</c:v>
                </c:pt>
                <c:pt idx="506">
                  <c:v>-50.573341654575614</c:v>
                </c:pt>
                <c:pt idx="507">
                  <c:v>-51.003536692736617</c:v>
                </c:pt>
                <c:pt idx="508">
                  <c:v>-51.431787025796694</c:v>
                </c:pt>
                <c:pt idx="509">
                  <c:v>-51.867913807933206</c:v>
                </c:pt>
                <c:pt idx="510">
                  <c:v>-52.30204592331404</c:v>
                </c:pt>
                <c:pt idx="511">
                  <c:v>-52.734203553494552</c:v>
                </c:pt>
                <c:pt idx="512">
                  <c:v>-53.164406617938795</c:v>
                </c:pt>
                <c:pt idx="513">
                  <c:v>-53.602806006027294</c:v>
                </c:pt>
                <c:pt idx="514">
                  <c:v>-54.039198467197735</c:v>
                </c:pt>
                <c:pt idx="515">
                  <c:v>-54.473604551324598</c:v>
                </c:pt>
                <c:pt idx="516">
                  <c:v>-54.906044542409688</c:v>
                </c:pt>
                <c:pt idx="517">
                  <c:v>-55.346486470546068</c:v>
                </c:pt>
                <c:pt idx="518">
                  <c:v>-55.784912306315533</c:v>
                </c:pt>
                <c:pt idx="519">
                  <c:v>-56.221342945586372</c:v>
                </c:pt>
                <c:pt idx="520">
                  <c:v>-56.655799015211386</c:v>
                </c:pt>
                <c:pt idx="521">
                  <c:v>-57.098313255762662</c:v>
                </c:pt>
                <c:pt idx="522">
                  <c:v>-57.538803082777548</c:v>
                </c:pt>
                <c:pt idx="523">
                  <c:v>-57.977289752281195</c:v>
                </c:pt>
                <c:pt idx="524">
                  <c:v>-58.413794248166369</c:v>
                </c:pt>
                <c:pt idx="525">
                  <c:v>-58.858408613677</c:v>
                </c:pt>
                <c:pt idx="526">
                  <c:v>-59.300991245018821</c:v>
                </c:pt>
                <c:pt idx="527">
                  <c:v>-59.741563772794763</c:v>
                </c:pt>
                <c:pt idx="528">
                  <c:v>-60.180147552388092</c:v>
                </c:pt>
                <c:pt idx="529">
                  <c:v>-60.626888812617807</c:v>
                </c:pt>
                <c:pt idx="530">
                  <c:v>-61.071592180404224</c:v>
                </c:pt>
                <c:pt idx="531">
                  <c:v>-61.514279675692364</c:v>
                </c:pt>
                <c:pt idx="532">
                  <c:v>-61.95497304016979</c:v>
                </c:pt>
                <c:pt idx="533">
                  <c:v>-62.404099089946897</c:v>
                </c:pt>
                <c:pt idx="534">
                  <c:v>-62.85118032128716</c:v>
                </c:pt>
                <c:pt idx="535">
                  <c:v>-63.296239193221481</c:v>
                </c:pt>
                <c:pt idx="536">
                  <c:v>-63.739297882975478</c:v>
                </c:pt>
                <c:pt idx="537">
                  <c:v>-64.190369703820238</c:v>
                </c:pt>
                <c:pt idx="538">
                  <c:v>-64.639395527955458</c:v>
                </c:pt>
                <c:pt idx="539">
                  <c:v>-65.086398199654809</c:v>
                </c:pt>
                <c:pt idx="540">
                  <c:v>-65.531400279093049</c:v>
                </c:pt>
                <c:pt idx="541">
                  <c:v>-65.984905825407083</c:v>
                </c:pt>
                <c:pt idx="542">
                  <c:v>-66.436361731487722</c:v>
                </c:pt>
                <c:pt idx="543">
                  <c:v>-66.885791312744374</c:v>
                </c:pt>
                <c:pt idx="544">
                  <c:v>-67.333217597164236</c:v>
                </c:pt>
                <c:pt idx="545">
                  <c:v>-67.788958399608248</c:v>
                </c:pt>
                <c:pt idx="546">
                  <c:v>-68.242649897538939</c:v>
                </c:pt>
                <c:pt idx="547">
                  <c:v>-68.69431586003256</c:v>
                </c:pt>
                <c:pt idx="548">
                  <c:v>-69.143979766154303</c:v>
                </c:pt>
                <c:pt idx="549">
                  <c:v>-69.601992687569094</c:v>
                </c:pt>
                <c:pt idx="550">
                  <c:v>-70.057958720506065</c:v>
                </c:pt>
                <c:pt idx="551">
                  <c:v>-70.511902106351528</c:v>
                </c:pt>
                <c:pt idx="552">
                  <c:v>-70.96384679408601</c:v>
                </c:pt>
                <c:pt idx="553">
                  <c:v>-71.42438534891923</c:v>
                </c:pt>
                <c:pt idx="554">
                  <c:v>-71.882879855110929</c:v>
                </c:pt>
                <c:pt idx="555">
                  <c:v>-72.339355080376492</c:v>
                </c:pt>
                <c:pt idx="556">
                  <c:v>-72.793835497334527</c:v>
                </c:pt>
                <c:pt idx="557">
                  <c:v>-73.718000517595982</c:v>
                </c:pt>
                <c:pt idx="558">
                  <c:v>-74.634112304115547</c:v>
                </c:pt>
                <c:pt idx="559">
                  <c:v>-75.563097801033564</c:v>
                </c:pt>
                <c:pt idx="560">
                  <c:v>-76.484072900311673</c:v>
                </c:pt>
                <c:pt idx="561">
                  <c:v>-77.418813365710719</c:v>
                </c:pt>
                <c:pt idx="562">
                  <c:v>-78.345584934989006</c:v>
                </c:pt>
                <c:pt idx="563">
                  <c:v>-79.284233623140835</c:v>
                </c:pt>
                <c:pt idx="564">
                  <c:v>-80.215002070828575</c:v>
                </c:pt>
                <c:pt idx="565">
                  <c:v>-81.161276673013958</c:v>
                </c:pt>
                <c:pt idx="566">
                  <c:v>-82.09971542362797</c:v>
                </c:pt>
                <c:pt idx="567">
                  <c:v>-83.053332089101161</c:v>
                </c:pt>
                <c:pt idx="568">
                  <c:v>-83.999182837549256</c:v>
                </c:pt>
                <c:pt idx="569">
                  <c:v>-84.956183952112553</c:v>
                </c:pt>
                <c:pt idx="570">
                  <c:v>-85.905574251162534</c:v>
                </c:pt>
                <c:pt idx="571">
                  <c:v>-86.873340355152095</c:v>
                </c:pt>
                <c:pt idx="572">
                  <c:v>-87.833558189578866</c:v>
                </c:pt>
                <c:pt idx="573">
                  <c:v>-88.804582540403544</c:v>
                </c:pt>
                <c:pt idx="574">
                  <c:v>-89.768264071210695</c:v>
                </c:pt>
                <c:pt idx="575">
                  <c:v>-90.74983172452454</c:v>
                </c:pt>
                <c:pt idx="576">
                  <c:v>-91.724180806855088</c:v>
                </c:pt>
                <c:pt idx="577">
                  <c:v>-95.774943037796106</c:v>
                </c:pt>
                <c:pt idx="578">
                  <c:v>-99.719163739283829</c:v>
                </c:pt>
                <c:pt idx="579">
                  <c:v>-108.07301598109819</c:v>
                </c:pt>
                <c:pt idx="580">
                  <c:v>-116.947677776994</c:v>
                </c:pt>
                <c:pt idx="581">
                  <c:v>-126.56293193418315</c:v>
                </c:pt>
                <c:pt idx="582">
                  <c:v>-137.29027139630921</c:v>
                </c:pt>
                <c:pt idx="583">
                  <c:v>-149.69090870589599</c:v>
                </c:pt>
                <c:pt idx="584">
                  <c:v>-164.61307863526935</c:v>
                </c:pt>
                <c:pt idx="585">
                  <c:v>-183.04893400736114</c:v>
                </c:pt>
                <c:pt idx="586">
                  <c:v>-205.40497610379958</c:v>
                </c:pt>
                <c:pt idx="587">
                  <c:v>-50.03623673692104</c:v>
                </c:pt>
                <c:pt idx="588">
                  <c:v>-73.539587289078014</c:v>
                </c:pt>
                <c:pt idx="589">
                  <c:v>-94.001922974559136</c:v>
                </c:pt>
                <c:pt idx="590">
                  <c:v>-112.06733504819522</c:v>
                </c:pt>
                <c:pt idx="591">
                  <c:v>-129.88406610535884</c:v>
                </c:pt>
                <c:pt idx="592">
                  <c:v>-150.96757181387136</c:v>
                </c:pt>
                <c:pt idx="593">
                  <c:v>-181.44873985679487</c:v>
                </c:pt>
                <c:pt idx="594">
                  <c:v>-44.857722757812667</c:v>
                </c:pt>
                <c:pt idx="595">
                  <c:v>-85.196349498474888</c:v>
                </c:pt>
                <c:pt idx="596">
                  <c:v>-115.33020794736126</c:v>
                </c:pt>
                <c:pt idx="597">
                  <c:v>-146.85788320188448</c:v>
                </c:pt>
                <c:pt idx="598">
                  <c:v>-199.52767702290538</c:v>
                </c:pt>
                <c:pt idx="599">
                  <c:v>-81.131055708346366</c:v>
                </c:pt>
                <c:pt idx="600">
                  <c:v>-123.27517195885957</c:v>
                </c:pt>
              </c:numCache>
            </c:numRef>
          </c:yVal>
          <c:smooth val="0"/>
          <c:extLst>
            <c:ext xmlns:c16="http://schemas.microsoft.com/office/drawing/2014/chart" uri="{C3380CC4-5D6E-409C-BE32-E72D297353CC}">
              <c16:uniqueId val="{00000001-52E8-40C0-BDC9-E7AD10D908CE}"/>
            </c:ext>
          </c:extLst>
        </c:ser>
        <c:dLbls>
          <c:showLegendKey val="0"/>
          <c:showVal val="0"/>
          <c:showCatName val="0"/>
          <c:showSerName val="0"/>
          <c:showPercent val="0"/>
          <c:showBubbleSize val="0"/>
        </c:dLbls>
        <c:axId val="446584704"/>
        <c:axId val="446586240"/>
      </c:scatterChart>
      <c:valAx>
        <c:axId val="446572416"/>
        <c:scaling>
          <c:logBase val="10"/>
          <c:orientation val="minMax"/>
          <c:max val="1000000"/>
          <c:min val="1"/>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lang="ja-JP" sz="1200" b="1" i="0" u="none" strike="noStrike" baseline="0">
                    <a:solidFill>
                      <a:srgbClr val="000000"/>
                    </a:solidFill>
                    <a:latin typeface="Arial"/>
                    <a:ea typeface="Arial"/>
                    <a:cs typeface="Arial"/>
                  </a:defRPr>
                </a:pPr>
                <a:r>
                  <a:rPr lang="en-US"/>
                  <a:t>Frequency (Hz)</a:t>
                </a:r>
              </a:p>
            </c:rich>
          </c:tx>
          <c:layout>
            <c:manualLayout>
              <c:xMode val="edge"/>
              <c:yMode val="edge"/>
              <c:x val="0.42857142857142855"/>
              <c:y val="0.8836114034132848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000000"/>
                </a:solidFill>
                <a:latin typeface="Arial"/>
                <a:ea typeface="Arial"/>
                <a:cs typeface="Arial"/>
              </a:defRPr>
            </a:pPr>
            <a:endParaRPr lang="en-US"/>
          </a:p>
        </c:txPr>
        <c:crossAx val="446582784"/>
        <c:crossesAt val="-80"/>
        <c:crossBetween val="midCat"/>
        <c:majorUnit val="10"/>
        <c:minorUnit val="10"/>
      </c:valAx>
      <c:valAx>
        <c:axId val="446582784"/>
        <c:scaling>
          <c:orientation val="minMax"/>
          <c:max val="80"/>
          <c:min val="-40"/>
        </c:scaling>
        <c:delete val="0"/>
        <c:axPos val="l"/>
        <c:majorGridlines>
          <c:spPr>
            <a:ln w="3175">
              <a:solidFill>
                <a:srgbClr val="000000"/>
              </a:solidFill>
              <a:prstDash val="solid"/>
            </a:ln>
          </c:spPr>
        </c:majorGridlines>
        <c:title>
          <c:tx>
            <c:rich>
              <a:bodyPr/>
              <a:lstStyle/>
              <a:p>
                <a:pPr>
                  <a:defRPr lang="ja-JP" sz="1200" b="1" i="0" u="none" strike="noStrike" baseline="0">
                    <a:solidFill>
                      <a:srgbClr val="FF0000"/>
                    </a:solidFill>
                    <a:latin typeface="Arial"/>
                    <a:ea typeface="Arial"/>
                    <a:cs typeface="Arial"/>
                  </a:defRPr>
                </a:pPr>
                <a:r>
                  <a:rPr lang="en-US"/>
                  <a:t>Gain (dB)</a:t>
                </a:r>
              </a:p>
            </c:rich>
          </c:tx>
          <c:layout>
            <c:manualLayout>
              <c:xMode val="edge"/>
              <c:yMode val="edge"/>
              <c:x val="1.5549076773566581E-2"/>
              <c:y val="0.3927162330515138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FF0000"/>
                </a:solidFill>
                <a:latin typeface="Arial"/>
                <a:ea typeface="Arial"/>
                <a:cs typeface="Arial"/>
              </a:defRPr>
            </a:pPr>
            <a:endParaRPr lang="en-US"/>
          </a:p>
        </c:txPr>
        <c:crossAx val="446572416"/>
        <c:crossesAt val="0.1"/>
        <c:crossBetween val="midCat"/>
        <c:majorUnit val="20"/>
        <c:minorUnit val="4"/>
      </c:valAx>
      <c:valAx>
        <c:axId val="446584704"/>
        <c:scaling>
          <c:logBase val="10"/>
          <c:orientation val="minMax"/>
        </c:scaling>
        <c:delete val="1"/>
        <c:axPos val="t"/>
        <c:numFmt formatCode="General" sourceLinked="1"/>
        <c:majorTickMark val="out"/>
        <c:minorTickMark val="none"/>
        <c:tickLblPos val="none"/>
        <c:crossAx val="446586240"/>
        <c:crossesAt val="0"/>
        <c:crossBetween val="midCat"/>
      </c:valAx>
      <c:valAx>
        <c:axId val="446586240"/>
        <c:scaling>
          <c:orientation val="minMax"/>
          <c:max val="120"/>
          <c:min val="-60"/>
        </c:scaling>
        <c:delete val="0"/>
        <c:axPos val="r"/>
        <c:title>
          <c:tx>
            <c:rich>
              <a:bodyPr/>
              <a:lstStyle/>
              <a:p>
                <a:pPr>
                  <a:defRPr lang="ja-JP" sz="1200" b="1" i="0" u="none" strike="noStrike" baseline="0">
                    <a:solidFill>
                      <a:srgbClr val="0000FF"/>
                    </a:solidFill>
                    <a:latin typeface="Arial"/>
                    <a:ea typeface="Arial"/>
                    <a:cs typeface="Arial"/>
                  </a:defRPr>
                </a:pPr>
                <a:r>
                  <a:rPr lang="en-US"/>
                  <a:t>Phase (°)</a:t>
                </a:r>
              </a:p>
            </c:rich>
          </c:tx>
          <c:layout>
            <c:manualLayout>
              <c:xMode val="edge"/>
              <c:yMode val="edge"/>
              <c:x val="0.96550048590864856"/>
              <c:y val="0.3982582822308516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0000FF"/>
                </a:solidFill>
                <a:latin typeface="Arial"/>
                <a:ea typeface="Arial"/>
                <a:cs typeface="Arial"/>
              </a:defRPr>
            </a:pPr>
            <a:endParaRPr lang="en-US"/>
          </a:p>
        </c:txPr>
        <c:crossAx val="446584704"/>
        <c:crosses val="max"/>
        <c:crossBetween val="midCat"/>
        <c:majorUnit val="30"/>
      </c:valAx>
      <c:spPr>
        <a:noFill/>
        <a:ln w="25400">
          <a:noFill/>
        </a:ln>
      </c:spPr>
    </c:plotArea>
    <c:plotVisOnly val="1"/>
    <c:dispBlanksAs val="gap"/>
    <c:showDLblsOverMax val="0"/>
  </c:chart>
  <c:spPr>
    <a:solidFill>
      <a:srgbClr val="FFFFFF"/>
    </a:solidFill>
    <a:ln w="254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67" r="0.75000000000000167"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32787415920151"/>
          <c:y val="3.9892589721079133E-2"/>
          <c:w val="0.83742553316686907"/>
          <c:h val="0.83734080468357386"/>
        </c:manualLayout>
      </c:layout>
      <c:lineChart>
        <c:grouping val="standard"/>
        <c:varyColors val="0"/>
        <c:ser>
          <c:idx val="1"/>
          <c:order val="0"/>
          <c:tx>
            <c:v>VIN = 18V</c:v>
          </c:tx>
          <c:spPr>
            <a:ln>
              <a:solidFill>
                <a:srgbClr val="00B050"/>
              </a:solidFill>
              <a:prstDash val="sysDash"/>
            </a:ln>
          </c:spPr>
          <c:marker>
            <c:symbol val="none"/>
          </c:marker>
          <c:cat>
            <c:numRef>
              <c:f>'Calculations - Single'!$AM$5:$AM$105</c:f>
              <c:numCache>
                <c:formatCode>0</c:formatCode>
                <c:ptCount val="101"/>
                <c:pt idx="0">
                  <c:v>1.0000000000000002E-6</c:v>
                </c:pt>
                <c:pt idx="1">
                  <c:v>25</c:v>
                </c:pt>
                <c:pt idx="2">
                  <c:v>50</c:v>
                </c:pt>
                <c:pt idx="3">
                  <c:v>75</c:v>
                </c:pt>
                <c:pt idx="4">
                  <c:v>100</c:v>
                </c:pt>
                <c:pt idx="5">
                  <c:v>125</c:v>
                </c:pt>
                <c:pt idx="6">
                  <c:v>150</c:v>
                </c:pt>
                <c:pt idx="7">
                  <c:v>175.00000000000003</c:v>
                </c:pt>
                <c:pt idx="8">
                  <c:v>200</c:v>
                </c:pt>
                <c:pt idx="9">
                  <c:v>224.99999999999997</c:v>
                </c:pt>
                <c:pt idx="10">
                  <c:v>250</c:v>
                </c:pt>
                <c:pt idx="11">
                  <c:v>275</c:v>
                </c:pt>
                <c:pt idx="12">
                  <c:v>300</c:v>
                </c:pt>
                <c:pt idx="13">
                  <c:v>325</c:v>
                </c:pt>
                <c:pt idx="14">
                  <c:v>350.00000000000006</c:v>
                </c:pt>
                <c:pt idx="15">
                  <c:v>375</c:v>
                </c:pt>
                <c:pt idx="16">
                  <c:v>400</c:v>
                </c:pt>
                <c:pt idx="17">
                  <c:v>425.00000000000006</c:v>
                </c:pt>
                <c:pt idx="18">
                  <c:v>449.99999999999994</c:v>
                </c:pt>
                <c:pt idx="19">
                  <c:v>475</c:v>
                </c:pt>
                <c:pt idx="20">
                  <c:v>500</c:v>
                </c:pt>
                <c:pt idx="21">
                  <c:v>525</c:v>
                </c:pt>
                <c:pt idx="22">
                  <c:v>550</c:v>
                </c:pt>
                <c:pt idx="23">
                  <c:v>575.00000000000011</c:v>
                </c:pt>
                <c:pt idx="24">
                  <c:v>600</c:v>
                </c:pt>
                <c:pt idx="25">
                  <c:v>625</c:v>
                </c:pt>
                <c:pt idx="26">
                  <c:v>650</c:v>
                </c:pt>
                <c:pt idx="27">
                  <c:v>675</c:v>
                </c:pt>
                <c:pt idx="28">
                  <c:v>700.00000000000011</c:v>
                </c:pt>
                <c:pt idx="29">
                  <c:v>725</c:v>
                </c:pt>
                <c:pt idx="30">
                  <c:v>750</c:v>
                </c:pt>
                <c:pt idx="31">
                  <c:v>775</c:v>
                </c:pt>
                <c:pt idx="32">
                  <c:v>800</c:v>
                </c:pt>
                <c:pt idx="33">
                  <c:v>825.00000000000011</c:v>
                </c:pt>
                <c:pt idx="34">
                  <c:v>850.00000000000011</c:v>
                </c:pt>
                <c:pt idx="35">
                  <c:v>875</c:v>
                </c:pt>
                <c:pt idx="36">
                  <c:v>899.99999999999989</c:v>
                </c:pt>
                <c:pt idx="37">
                  <c:v>925</c:v>
                </c:pt>
                <c:pt idx="38">
                  <c:v>950</c:v>
                </c:pt>
                <c:pt idx="39">
                  <c:v>975.00000000000011</c:v>
                </c:pt>
                <c:pt idx="40">
                  <c:v>1000</c:v>
                </c:pt>
                <c:pt idx="41">
                  <c:v>1025</c:v>
                </c:pt>
                <c:pt idx="42">
                  <c:v>1050</c:v>
                </c:pt>
                <c:pt idx="43">
                  <c:v>1075</c:v>
                </c:pt>
                <c:pt idx="44">
                  <c:v>1100</c:v>
                </c:pt>
                <c:pt idx="45">
                  <c:v>1125</c:v>
                </c:pt>
                <c:pt idx="46">
                  <c:v>1150.0000000000002</c:v>
                </c:pt>
                <c:pt idx="47">
                  <c:v>1174.9999999999998</c:v>
                </c:pt>
                <c:pt idx="48">
                  <c:v>1200</c:v>
                </c:pt>
                <c:pt idx="49">
                  <c:v>1225</c:v>
                </c:pt>
                <c:pt idx="50">
                  <c:v>1250</c:v>
                </c:pt>
                <c:pt idx="51">
                  <c:v>1275</c:v>
                </c:pt>
                <c:pt idx="52">
                  <c:v>1300</c:v>
                </c:pt>
                <c:pt idx="53">
                  <c:v>1325.0000000000002</c:v>
                </c:pt>
                <c:pt idx="54">
                  <c:v>1350</c:v>
                </c:pt>
                <c:pt idx="55">
                  <c:v>1375</c:v>
                </c:pt>
                <c:pt idx="56">
                  <c:v>1400.0000000000002</c:v>
                </c:pt>
                <c:pt idx="57">
                  <c:v>1424.9999999999998</c:v>
                </c:pt>
                <c:pt idx="58">
                  <c:v>1450</c:v>
                </c:pt>
                <c:pt idx="59">
                  <c:v>1474.9999999999998</c:v>
                </c:pt>
                <c:pt idx="60">
                  <c:v>1500</c:v>
                </c:pt>
                <c:pt idx="61">
                  <c:v>1525</c:v>
                </c:pt>
                <c:pt idx="62">
                  <c:v>1550</c:v>
                </c:pt>
                <c:pt idx="63">
                  <c:v>1575</c:v>
                </c:pt>
                <c:pt idx="64">
                  <c:v>1600</c:v>
                </c:pt>
                <c:pt idx="65">
                  <c:v>1625</c:v>
                </c:pt>
                <c:pt idx="66">
                  <c:v>1650.0000000000002</c:v>
                </c:pt>
                <c:pt idx="67">
                  <c:v>1675</c:v>
                </c:pt>
                <c:pt idx="68">
                  <c:v>1700.0000000000002</c:v>
                </c:pt>
                <c:pt idx="69">
                  <c:v>1724.9999999999998</c:v>
                </c:pt>
                <c:pt idx="70">
                  <c:v>1750</c:v>
                </c:pt>
                <c:pt idx="71">
                  <c:v>1775</c:v>
                </c:pt>
                <c:pt idx="72">
                  <c:v>1799.9999999999998</c:v>
                </c:pt>
                <c:pt idx="73">
                  <c:v>1825</c:v>
                </c:pt>
                <c:pt idx="74">
                  <c:v>1850</c:v>
                </c:pt>
                <c:pt idx="75">
                  <c:v>1875</c:v>
                </c:pt>
                <c:pt idx="76">
                  <c:v>1900</c:v>
                </c:pt>
                <c:pt idx="77">
                  <c:v>1925</c:v>
                </c:pt>
                <c:pt idx="78">
                  <c:v>1950.0000000000002</c:v>
                </c:pt>
                <c:pt idx="79">
                  <c:v>1975</c:v>
                </c:pt>
                <c:pt idx="80">
                  <c:v>2000</c:v>
                </c:pt>
                <c:pt idx="81">
                  <c:v>2025.0000000000005</c:v>
                </c:pt>
                <c:pt idx="82">
                  <c:v>2050</c:v>
                </c:pt>
                <c:pt idx="83">
                  <c:v>2074.9999999999995</c:v>
                </c:pt>
                <c:pt idx="84">
                  <c:v>2100</c:v>
                </c:pt>
                <c:pt idx="85">
                  <c:v>2125</c:v>
                </c:pt>
                <c:pt idx="86">
                  <c:v>2150</c:v>
                </c:pt>
                <c:pt idx="87">
                  <c:v>2175</c:v>
                </c:pt>
                <c:pt idx="88">
                  <c:v>2200</c:v>
                </c:pt>
                <c:pt idx="89">
                  <c:v>2225</c:v>
                </c:pt>
                <c:pt idx="90">
                  <c:v>2250</c:v>
                </c:pt>
                <c:pt idx="91">
                  <c:v>2275</c:v>
                </c:pt>
                <c:pt idx="92">
                  <c:v>2300.0000000000005</c:v>
                </c:pt>
                <c:pt idx="93">
                  <c:v>2325</c:v>
                </c:pt>
                <c:pt idx="94">
                  <c:v>2349.9999999999995</c:v>
                </c:pt>
                <c:pt idx="95">
                  <c:v>2375</c:v>
                </c:pt>
                <c:pt idx="96">
                  <c:v>2400</c:v>
                </c:pt>
                <c:pt idx="97">
                  <c:v>2425</c:v>
                </c:pt>
                <c:pt idx="98">
                  <c:v>2450</c:v>
                </c:pt>
                <c:pt idx="99">
                  <c:v>2475</c:v>
                </c:pt>
                <c:pt idx="100">
                  <c:v>2500</c:v>
                </c:pt>
              </c:numCache>
            </c:numRef>
          </c:cat>
          <c:val>
            <c:numRef>
              <c:f>'Calculations - Single'!$AN$110:$AN$210</c:f>
              <c:numCache>
                <c:formatCode>0.0</c:formatCode>
                <c:ptCount val="101"/>
                <c:pt idx="0">
                  <c:v>12</c:v>
                </c:pt>
                <c:pt idx="1">
                  <c:v>27.213671902389706</c:v>
                </c:pt>
                <c:pt idx="2">
                  <c:v>54.427343804779412</c:v>
                </c:pt>
                <c:pt idx="3">
                  <c:v>81.641015707169103</c:v>
                </c:pt>
                <c:pt idx="4">
                  <c:v>108.85468760955882</c:v>
                </c:pt>
                <c:pt idx="5">
                  <c:v>136.0683595119485</c:v>
                </c:pt>
                <c:pt idx="6">
                  <c:v>163.28203141433821</c:v>
                </c:pt>
                <c:pt idx="7">
                  <c:v>190.49570331672794</c:v>
                </c:pt>
                <c:pt idx="8">
                  <c:v>217.70937521911765</c:v>
                </c:pt>
                <c:pt idx="9">
                  <c:v>244.92304712150732</c:v>
                </c:pt>
                <c:pt idx="10">
                  <c:v>272.136719023897</c:v>
                </c:pt>
                <c:pt idx="11">
                  <c:v>299.35039092628676</c:v>
                </c:pt>
                <c:pt idx="12">
                  <c:v>326.56406282867641</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345.59649448492945</c:v>
                </c:pt>
                <c:pt idx="53">
                  <c:v>339.50093072999994</c:v>
                </c:pt>
                <c:pt idx="54">
                  <c:v>333.58914616118938</c:v>
                </c:pt>
                <c:pt idx="55">
                  <c:v>327.86822238219804</c:v>
                </c:pt>
                <c:pt idx="56">
                  <c:v>322.36096381979138</c:v>
                </c:pt>
                <c:pt idx="57">
                  <c:v>317.01812642490563</c:v>
                </c:pt>
                <c:pt idx="58">
                  <c:v>311.86134631443571</c:v>
                </c:pt>
                <c:pt idx="59">
                  <c:v>306.86857197822269</c:v>
                </c:pt>
                <c:pt idx="60">
                  <c:v>302.03210180726637</c:v>
                </c:pt>
                <c:pt idx="61">
                  <c:v>297.34470897747599</c:v>
                </c:pt>
                <c:pt idx="62">
                  <c:v>292.79960541837517</c:v>
                </c:pt>
                <c:pt idx="63">
                  <c:v>288.39040901403342</c:v>
                </c:pt>
                <c:pt idx="64">
                  <c:v>284.11111370292826</c:v>
                </c:pt>
                <c:pt idx="65">
                  <c:v>279.95606218215863</c:v>
                </c:pt>
                <c:pt idx="66">
                  <c:v>275.91992095514269</c:v>
                </c:pt>
                <c:pt idx="67">
                  <c:v>271.99765749137805</c:v>
                </c:pt>
                <c:pt idx="68">
                  <c:v>268.18451929260038</c:v>
                </c:pt>
                <c:pt idx="69">
                  <c:v>264.47601468224087</c:v>
                </c:pt>
                <c:pt idx="70">
                  <c:v>260.86789515492131</c:v>
                </c:pt>
                <c:pt idx="71">
                  <c:v>257.35613914015426</c:v>
                </c:pt>
                <c:pt idx="72">
                  <c:v>253.93693704979864</c:v>
                </c:pt>
                <c:pt idx="73">
                  <c:v>250.60667749238957</c:v>
                </c:pt>
                <c:pt idx="74">
                  <c:v>247.36193454947011</c:v>
                </c:pt>
                <c:pt idx="75">
                  <c:v>244.19945601968502</c:v>
                </c:pt>
                <c:pt idx="76">
                  <c:v>241.11615254583538</c:v>
                </c:pt>
                <c:pt idx="77">
                  <c:v>238.10908754848248</c:v>
                </c:pt>
                <c:pt idx="78">
                  <c:v>235.17546789715021</c:v>
                </c:pt>
                <c:pt idx="79">
                  <c:v>232.31263525683394</c:v>
                </c:pt>
                <c:pt idx="80">
                  <c:v>229.51805805346277</c:v>
                </c:pt>
                <c:pt idx="81">
                  <c:v>226.78932400727345</c:v>
                </c:pt>
                <c:pt idx="82">
                  <c:v>224.12413318781006</c:v>
                </c:pt>
                <c:pt idx="83">
                  <c:v>221.52029154852085</c:v>
                </c:pt>
                <c:pt idx="84">
                  <c:v>218.97570490275706</c:v>
                </c:pt>
                <c:pt idx="85">
                  <c:v>216.48837330640777</c:v>
                </c:pt>
                <c:pt idx="86">
                  <c:v>214.05638581550497</c:v>
                </c:pt>
                <c:pt idx="87">
                  <c:v>211.67791558991911</c:v>
                </c:pt>
                <c:pt idx="88">
                  <c:v>209.3512153167776</c:v>
                </c:pt>
                <c:pt idx="89">
                  <c:v>207.0746129295122</c:v>
                </c:pt>
                <c:pt idx="90">
                  <c:v>204.84650760049382</c:v>
                </c:pt>
                <c:pt idx="91">
                  <c:v>202.66536598707</c:v>
                </c:pt>
                <c:pt idx="92">
                  <c:v>200.5297187125071</c:v>
                </c:pt>
                <c:pt idx="93">
                  <c:v>198.43815706486419</c:v>
                </c:pt>
                <c:pt idx="94">
                  <c:v>196.38932989821393</c:v>
                </c:pt>
                <c:pt idx="95">
                  <c:v>194.38194072188682</c:v>
                </c:pt>
                <c:pt idx="96">
                  <c:v>192.41474496456223</c:v>
                </c:pt>
                <c:pt idx="97">
                  <c:v>190.48654740107293</c:v>
                </c:pt>
                <c:pt idx="98">
                  <c:v>188.59619973074584</c:v>
                </c:pt>
                <c:pt idx="99">
                  <c:v>186.74259829696749</c:v>
                </c:pt>
                <c:pt idx="100">
                  <c:v>184.92468193845872</c:v>
                </c:pt>
              </c:numCache>
            </c:numRef>
          </c:val>
          <c:smooth val="0"/>
          <c:extLst>
            <c:ext xmlns:c16="http://schemas.microsoft.com/office/drawing/2014/chart" uri="{C3380CC4-5D6E-409C-BE32-E72D297353CC}">
              <c16:uniqueId val="{00000000-D9E7-4F5E-A983-604758A0F86A}"/>
            </c:ext>
          </c:extLst>
        </c:ser>
        <c:ser>
          <c:idx val="0"/>
          <c:order val="1"/>
          <c:tx>
            <c:v>VIN = 24V</c:v>
          </c:tx>
          <c:spPr>
            <a:ln w="28575">
              <a:solidFill>
                <a:srgbClr val="0000FF"/>
              </a:solidFill>
              <a:prstDash val="lgDash"/>
            </a:ln>
          </c:spPr>
          <c:marker>
            <c:symbol val="none"/>
          </c:marker>
          <c:cat>
            <c:numRef>
              <c:f>'Calculations - Single'!$AM$5:$AM$105</c:f>
              <c:numCache>
                <c:formatCode>0</c:formatCode>
                <c:ptCount val="101"/>
                <c:pt idx="0">
                  <c:v>1.0000000000000002E-6</c:v>
                </c:pt>
                <c:pt idx="1">
                  <c:v>25</c:v>
                </c:pt>
                <c:pt idx="2">
                  <c:v>50</c:v>
                </c:pt>
                <c:pt idx="3">
                  <c:v>75</c:v>
                </c:pt>
                <c:pt idx="4">
                  <c:v>100</c:v>
                </c:pt>
                <c:pt idx="5">
                  <c:v>125</c:v>
                </c:pt>
                <c:pt idx="6">
                  <c:v>150</c:v>
                </c:pt>
                <c:pt idx="7">
                  <c:v>175.00000000000003</c:v>
                </c:pt>
                <c:pt idx="8">
                  <c:v>200</c:v>
                </c:pt>
                <c:pt idx="9">
                  <c:v>224.99999999999997</c:v>
                </c:pt>
                <c:pt idx="10">
                  <c:v>250</c:v>
                </c:pt>
                <c:pt idx="11">
                  <c:v>275</c:v>
                </c:pt>
                <c:pt idx="12">
                  <c:v>300</c:v>
                </c:pt>
                <c:pt idx="13">
                  <c:v>325</c:v>
                </c:pt>
                <c:pt idx="14">
                  <c:v>350.00000000000006</c:v>
                </c:pt>
                <c:pt idx="15">
                  <c:v>375</c:v>
                </c:pt>
                <c:pt idx="16">
                  <c:v>400</c:v>
                </c:pt>
                <c:pt idx="17">
                  <c:v>425.00000000000006</c:v>
                </c:pt>
                <c:pt idx="18">
                  <c:v>449.99999999999994</c:v>
                </c:pt>
                <c:pt idx="19">
                  <c:v>475</c:v>
                </c:pt>
                <c:pt idx="20">
                  <c:v>500</c:v>
                </c:pt>
                <c:pt idx="21">
                  <c:v>525</c:v>
                </c:pt>
                <c:pt idx="22">
                  <c:v>550</c:v>
                </c:pt>
                <c:pt idx="23">
                  <c:v>575.00000000000011</c:v>
                </c:pt>
                <c:pt idx="24">
                  <c:v>600</c:v>
                </c:pt>
                <c:pt idx="25">
                  <c:v>625</c:v>
                </c:pt>
                <c:pt idx="26">
                  <c:v>650</c:v>
                </c:pt>
                <c:pt idx="27">
                  <c:v>675</c:v>
                </c:pt>
                <c:pt idx="28">
                  <c:v>700.00000000000011</c:v>
                </c:pt>
                <c:pt idx="29">
                  <c:v>725</c:v>
                </c:pt>
                <c:pt idx="30">
                  <c:v>750</c:v>
                </c:pt>
                <c:pt idx="31">
                  <c:v>775</c:v>
                </c:pt>
                <c:pt idx="32">
                  <c:v>800</c:v>
                </c:pt>
                <c:pt idx="33">
                  <c:v>825.00000000000011</c:v>
                </c:pt>
                <c:pt idx="34">
                  <c:v>850.00000000000011</c:v>
                </c:pt>
                <c:pt idx="35">
                  <c:v>875</c:v>
                </c:pt>
                <c:pt idx="36">
                  <c:v>899.99999999999989</c:v>
                </c:pt>
                <c:pt idx="37">
                  <c:v>925</c:v>
                </c:pt>
                <c:pt idx="38">
                  <c:v>950</c:v>
                </c:pt>
                <c:pt idx="39">
                  <c:v>975.00000000000011</c:v>
                </c:pt>
                <c:pt idx="40">
                  <c:v>1000</c:v>
                </c:pt>
                <c:pt idx="41">
                  <c:v>1025</c:v>
                </c:pt>
                <c:pt idx="42">
                  <c:v>1050</c:v>
                </c:pt>
                <c:pt idx="43">
                  <c:v>1075</c:v>
                </c:pt>
                <c:pt idx="44">
                  <c:v>1100</c:v>
                </c:pt>
                <c:pt idx="45">
                  <c:v>1125</c:v>
                </c:pt>
                <c:pt idx="46">
                  <c:v>1150.0000000000002</c:v>
                </c:pt>
                <c:pt idx="47">
                  <c:v>1174.9999999999998</c:v>
                </c:pt>
                <c:pt idx="48">
                  <c:v>1200</c:v>
                </c:pt>
                <c:pt idx="49">
                  <c:v>1225</c:v>
                </c:pt>
                <c:pt idx="50">
                  <c:v>1250</c:v>
                </c:pt>
                <c:pt idx="51">
                  <c:v>1275</c:v>
                </c:pt>
                <c:pt idx="52">
                  <c:v>1300</c:v>
                </c:pt>
                <c:pt idx="53">
                  <c:v>1325.0000000000002</c:v>
                </c:pt>
                <c:pt idx="54">
                  <c:v>1350</c:v>
                </c:pt>
                <c:pt idx="55">
                  <c:v>1375</c:v>
                </c:pt>
                <c:pt idx="56">
                  <c:v>1400.0000000000002</c:v>
                </c:pt>
                <c:pt idx="57">
                  <c:v>1424.9999999999998</c:v>
                </c:pt>
                <c:pt idx="58">
                  <c:v>1450</c:v>
                </c:pt>
                <c:pt idx="59">
                  <c:v>1474.9999999999998</c:v>
                </c:pt>
                <c:pt idx="60">
                  <c:v>1500</c:v>
                </c:pt>
                <c:pt idx="61">
                  <c:v>1525</c:v>
                </c:pt>
                <c:pt idx="62">
                  <c:v>1550</c:v>
                </c:pt>
                <c:pt idx="63">
                  <c:v>1575</c:v>
                </c:pt>
                <c:pt idx="64">
                  <c:v>1600</c:v>
                </c:pt>
                <c:pt idx="65">
                  <c:v>1625</c:v>
                </c:pt>
                <c:pt idx="66">
                  <c:v>1650.0000000000002</c:v>
                </c:pt>
                <c:pt idx="67">
                  <c:v>1675</c:v>
                </c:pt>
                <c:pt idx="68">
                  <c:v>1700.0000000000002</c:v>
                </c:pt>
                <c:pt idx="69">
                  <c:v>1724.9999999999998</c:v>
                </c:pt>
                <c:pt idx="70">
                  <c:v>1750</c:v>
                </c:pt>
                <c:pt idx="71">
                  <c:v>1775</c:v>
                </c:pt>
                <c:pt idx="72">
                  <c:v>1799.9999999999998</c:v>
                </c:pt>
                <c:pt idx="73">
                  <c:v>1825</c:v>
                </c:pt>
                <c:pt idx="74">
                  <c:v>1850</c:v>
                </c:pt>
                <c:pt idx="75">
                  <c:v>1875</c:v>
                </c:pt>
                <c:pt idx="76">
                  <c:v>1900</c:v>
                </c:pt>
                <c:pt idx="77">
                  <c:v>1925</c:v>
                </c:pt>
                <c:pt idx="78">
                  <c:v>1950.0000000000002</c:v>
                </c:pt>
                <c:pt idx="79">
                  <c:v>1975</c:v>
                </c:pt>
                <c:pt idx="80">
                  <c:v>2000</c:v>
                </c:pt>
                <c:pt idx="81">
                  <c:v>2025.0000000000005</c:v>
                </c:pt>
                <c:pt idx="82">
                  <c:v>2050</c:v>
                </c:pt>
                <c:pt idx="83">
                  <c:v>2074.9999999999995</c:v>
                </c:pt>
                <c:pt idx="84">
                  <c:v>2100</c:v>
                </c:pt>
                <c:pt idx="85">
                  <c:v>2125</c:v>
                </c:pt>
                <c:pt idx="86">
                  <c:v>2150</c:v>
                </c:pt>
                <c:pt idx="87">
                  <c:v>2175</c:v>
                </c:pt>
                <c:pt idx="88">
                  <c:v>2200</c:v>
                </c:pt>
                <c:pt idx="89">
                  <c:v>2225</c:v>
                </c:pt>
                <c:pt idx="90">
                  <c:v>2250</c:v>
                </c:pt>
                <c:pt idx="91">
                  <c:v>2275</c:v>
                </c:pt>
                <c:pt idx="92">
                  <c:v>2300.0000000000005</c:v>
                </c:pt>
                <c:pt idx="93">
                  <c:v>2325</c:v>
                </c:pt>
                <c:pt idx="94">
                  <c:v>2349.9999999999995</c:v>
                </c:pt>
                <c:pt idx="95">
                  <c:v>2375</c:v>
                </c:pt>
                <c:pt idx="96">
                  <c:v>2400</c:v>
                </c:pt>
                <c:pt idx="97">
                  <c:v>2425</c:v>
                </c:pt>
                <c:pt idx="98">
                  <c:v>2450</c:v>
                </c:pt>
                <c:pt idx="99">
                  <c:v>2475</c:v>
                </c:pt>
                <c:pt idx="100">
                  <c:v>2500</c:v>
                </c:pt>
              </c:numCache>
            </c:numRef>
          </c:cat>
          <c:val>
            <c:numRef>
              <c:f>'Calculations - Single'!$AN$5:$AN$105</c:f>
              <c:numCache>
                <c:formatCode>0.0</c:formatCode>
                <c:ptCount val="101"/>
                <c:pt idx="0">
                  <c:v>12</c:v>
                </c:pt>
                <c:pt idx="1">
                  <c:v>27.213671902389706</c:v>
                </c:pt>
                <c:pt idx="2">
                  <c:v>54.427343804779412</c:v>
                </c:pt>
                <c:pt idx="3">
                  <c:v>81.641015707169103</c:v>
                </c:pt>
                <c:pt idx="4">
                  <c:v>108.85468760955882</c:v>
                </c:pt>
                <c:pt idx="5">
                  <c:v>136.0683595119485</c:v>
                </c:pt>
                <c:pt idx="6">
                  <c:v>163.28203141433821</c:v>
                </c:pt>
                <c:pt idx="7">
                  <c:v>190.49570331672794</c:v>
                </c:pt>
                <c:pt idx="8">
                  <c:v>217.70937521911765</c:v>
                </c:pt>
                <c:pt idx="9">
                  <c:v>244.92304712150732</c:v>
                </c:pt>
                <c:pt idx="10">
                  <c:v>272.136719023897</c:v>
                </c:pt>
                <c:pt idx="11">
                  <c:v>299.35039092628676</c:v>
                </c:pt>
                <c:pt idx="12">
                  <c:v>326.56406282867641</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349.3371558749638</c:v>
                </c:pt>
                <c:pt idx="80">
                  <c:v>345.26409899985299</c:v>
                </c:pt>
                <c:pt idx="81">
                  <c:v>341.28478162510442</c:v>
                </c:pt>
                <c:pt idx="82">
                  <c:v>337.39116932849856</c:v>
                </c:pt>
                <c:pt idx="83">
                  <c:v>333.57859733315439</c:v>
                </c:pt>
                <c:pt idx="84">
                  <c:v>329.85061870471486</c:v>
                </c:pt>
                <c:pt idx="85">
                  <c:v>326.20444097987803</c:v>
                </c:pt>
                <c:pt idx="86">
                  <c:v>322.64581719068138</c:v>
                </c:pt>
                <c:pt idx="87">
                  <c:v>319.15480701741797</c:v>
                </c:pt>
                <c:pt idx="88">
                  <c:v>315.74298603527006</c:v>
                </c:pt>
                <c:pt idx="89">
                  <c:v>312.40302342565195</c:v>
                </c:pt>
                <c:pt idx="90">
                  <c:v>309.13267264496466</c:v>
                </c:pt>
                <c:pt idx="91">
                  <c:v>305.9297798301518</c:v>
                </c:pt>
                <c:pt idx="92">
                  <c:v>302.79227906810155</c:v>
                </c:pt>
                <c:pt idx="93">
                  <c:v>299.71818795187278</c:v>
                </c:pt>
                <c:pt idx="94">
                  <c:v>296.70560340365626</c:v>
                </c:pt>
                <c:pt idx="95">
                  <c:v>293.75269774598098</c:v>
                </c:pt>
                <c:pt idx="96">
                  <c:v>290.85771500411721</c:v>
                </c:pt>
                <c:pt idx="97">
                  <c:v>288.01896742396167</c:v>
                </c:pt>
                <c:pt idx="98">
                  <c:v>285.2348321908936</c:v>
                </c:pt>
                <c:pt idx="99">
                  <c:v>282.50374833619844</c:v>
                </c:pt>
                <c:pt idx="100">
                  <c:v>279.824213818668</c:v>
                </c:pt>
              </c:numCache>
            </c:numRef>
          </c:val>
          <c:smooth val="0"/>
          <c:extLst>
            <c:ext xmlns:c16="http://schemas.microsoft.com/office/drawing/2014/chart" uri="{C3380CC4-5D6E-409C-BE32-E72D297353CC}">
              <c16:uniqueId val="{00000001-D9E7-4F5E-A983-604758A0F86A}"/>
            </c:ext>
          </c:extLst>
        </c:ser>
        <c:ser>
          <c:idx val="2"/>
          <c:order val="2"/>
          <c:tx>
            <c:v>VIN = 36V</c:v>
          </c:tx>
          <c:spPr>
            <a:ln>
              <a:solidFill>
                <a:srgbClr val="FF0000"/>
              </a:solidFill>
              <a:prstDash val="solid"/>
            </a:ln>
          </c:spPr>
          <c:marker>
            <c:symbol val="none"/>
          </c:marker>
          <c:cat>
            <c:numRef>
              <c:f>'Calculations - Single'!$AM$5:$AM$105</c:f>
              <c:numCache>
                <c:formatCode>0</c:formatCode>
                <c:ptCount val="101"/>
                <c:pt idx="0">
                  <c:v>1.0000000000000002E-6</c:v>
                </c:pt>
                <c:pt idx="1">
                  <c:v>25</c:v>
                </c:pt>
                <c:pt idx="2">
                  <c:v>50</c:v>
                </c:pt>
                <c:pt idx="3">
                  <c:v>75</c:v>
                </c:pt>
                <c:pt idx="4">
                  <c:v>100</c:v>
                </c:pt>
                <c:pt idx="5">
                  <c:v>125</c:v>
                </c:pt>
                <c:pt idx="6">
                  <c:v>150</c:v>
                </c:pt>
                <c:pt idx="7">
                  <c:v>175.00000000000003</c:v>
                </c:pt>
                <c:pt idx="8">
                  <c:v>200</c:v>
                </c:pt>
                <c:pt idx="9">
                  <c:v>224.99999999999997</c:v>
                </c:pt>
                <c:pt idx="10">
                  <c:v>250</c:v>
                </c:pt>
                <c:pt idx="11">
                  <c:v>275</c:v>
                </c:pt>
                <c:pt idx="12">
                  <c:v>300</c:v>
                </c:pt>
                <c:pt idx="13">
                  <c:v>325</c:v>
                </c:pt>
                <c:pt idx="14">
                  <c:v>350.00000000000006</c:v>
                </c:pt>
                <c:pt idx="15">
                  <c:v>375</c:v>
                </c:pt>
                <c:pt idx="16">
                  <c:v>400</c:v>
                </c:pt>
                <c:pt idx="17">
                  <c:v>425.00000000000006</c:v>
                </c:pt>
                <c:pt idx="18">
                  <c:v>449.99999999999994</c:v>
                </c:pt>
                <c:pt idx="19">
                  <c:v>475</c:v>
                </c:pt>
                <c:pt idx="20">
                  <c:v>500</c:v>
                </c:pt>
                <c:pt idx="21">
                  <c:v>525</c:v>
                </c:pt>
                <c:pt idx="22">
                  <c:v>550</c:v>
                </c:pt>
                <c:pt idx="23">
                  <c:v>575.00000000000011</c:v>
                </c:pt>
                <c:pt idx="24">
                  <c:v>600</c:v>
                </c:pt>
                <c:pt idx="25">
                  <c:v>625</c:v>
                </c:pt>
                <c:pt idx="26">
                  <c:v>650</c:v>
                </c:pt>
                <c:pt idx="27">
                  <c:v>675</c:v>
                </c:pt>
                <c:pt idx="28">
                  <c:v>700.00000000000011</c:v>
                </c:pt>
                <c:pt idx="29">
                  <c:v>725</c:v>
                </c:pt>
                <c:pt idx="30">
                  <c:v>750</c:v>
                </c:pt>
                <c:pt idx="31">
                  <c:v>775</c:v>
                </c:pt>
                <c:pt idx="32">
                  <c:v>800</c:v>
                </c:pt>
                <c:pt idx="33">
                  <c:v>825.00000000000011</c:v>
                </c:pt>
                <c:pt idx="34">
                  <c:v>850.00000000000011</c:v>
                </c:pt>
                <c:pt idx="35">
                  <c:v>875</c:v>
                </c:pt>
                <c:pt idx="36">
                  <c:v>899.99999999999989</c:v>
                </c:pt>
                <c:pt idx="37">
                  <c:v>925</c:v>
                </c:pt>
                <c:pt idx="38">
                  <c:v>950</c:v>
                </c:pt>
                <c:pt idx="39">
                  <c:v>975.00000000000011</c:v>
                </c:pt>
                <c:pt idx="40">
                  <c:v>1000</c:v>
                </c:pt>
                <c:pt idx="41">
                  <c:v>1025</c:v>
                </c:pt>
                <c:pt idx="42">
                  <c:v>1050</c:v>
                </c:pt>
                <c:pt idx="43">
                  <c:v>1075</c:v>
                </c:pt>
                <c:pt idx="44">
                  <c:v>1100</c:v>
                </c:pt>
                <c:pt idx="45">
                  <c:v>1125</c:v>
                </c:pt>
                <c:pt idx="46">
                  <c:v>1150.0000000000002</c:v>
                </c:pt>
                <c:pt idx="47">
                  <c:v>1174.9999999999998</c:v>
                </c:pt>
                <c:pt idx="48">
                  <c:v>1200</c:v>
                </c:pt>
                <c:pt idx="49">
                  <c:v>1225</c:v>
                </c:pt>
                <c:pt idx="50">
                  <c:v>1250</c:v>
                </c:pt>
                <c:pt idx="51">
                  <c:v>1275</c:v>
                </c:pt>
                <c:pt idx="52">
                  <c:v>1300</c:v>
                </c:pt>
                <c:pt idx="53">
                  <c:v>1325.0000000000002</c:v>
                </c:pt>
                <c:pt idx="54">
                  <c:v>1350</c:v>
                </c:pt>
                <c:pt idx="55">
                  <c:v>1375</c:v>
                </c:pt>
                <c:pt idx="56">
                  <c:v>1400.0000000000002</c:v>
                </c:pt>
                <c:pt idx="57">
                  <c:v>1424.9999999999998</c:v>
                </c:pt>
                <c:pt idx="58">
                  <c:v>1450</c:v>
                </c:pt>
                <c:pt idx="59">
                  <c:v>1474.9999999999998</c:v>
                </c:pt>
                <c:pt idx="60">
                  <c:v>1500</c:v>
                </c:pt>
                <c:pt idx="61">
                  <c:v>1525</c:v>
                </c:pt>
                <c:pt idx="62">
                  <c:v>1550</c:v>
                </c:pt>
                <c:pt idx="63">
                  <c:v>1575</c:v>
                </c:pt>
                <c:pt idx="64">
                  <c:v>1600</c:v>
                </c:pt>
                <c:pt idx="65">
                  <c:v>1625</c:v>
                </c:pt>
                <c:pt idx="66">
                  <c:v>1650.0000000000002</c:v>
                </c:pt>
                <c:pt idx="67">
                  <c:v>1675</c:v>
                </c:pt>
                <c:pt idx="68">
                  <c:v>1700.0000000000002</c:v>
                </c:pt>
                <c:pt idx="69">
                  <c:v>1724.9999999999998</c:v>
                </c:pt>
                <c:pt idx="70">
                  <c:v>1750</c:v>
                </c:pt>
                <c:pt idx="71">
                  <c:v>1775</c:v>
                </c:pt>
                <c:pt idx="72">
                  <c:v>1799.9999999999998</c:v>
                </c:pt>
                <c:pt idx="73">
                  <c:v>1825</c:v>
                </c:pt>
                <c:pt idx="74">
                  <c:v>1850</c:v>
                </c:pt>
                <c:pt idx="75">
                  <c:v>1875</c:v>
                </c:pt>
                <c:pt idx="76">
                  <c:v>1900</c:v>
                </c:pt>
                <c:pt idx="77">
                  <c:v>1925</c:v>
                </c:pt>
                <c:pt idx="78">
                  <c:v>1950.0000000000002</c:v>
                </c:pt>
                <c:pt idx="79">
                  <c:v>1975</c:v>
                </c:pt>
                <c:pt idx="80">
                  <c:v>2000</c:v>
                </c:pt>
                <c:pt idx="81">
                  <c:v>2025.0000000000005</c:v>
                </c:pt>
                <c:pt idx="82">
                  <c:v>2050</c:v>
                </c:pt>
                <c:pt idx="83">
                  <c:v>2074.9999999999995</c:v>
                </c:pt>
                <c:pt idx="84">
                  <c:v>2100</c:v>
                </c:pt>
                <c:pt idx="85">
                  <c:v>2125</c:v>
                </c:pt>
                <c:pt idx="86">
                  <c:v>2150</c:v>
                </c:pt>
                <c:pt idx="87">
                  <c:v>2175</c:v>
                </c:pt>
                <c:pt idx="88">
                  <c:v>2200</c:v>
                </c:pt>
                <c:pt idx="89">
                  <c:v>2225</c:v>
                </c:pt>
                <c:pt idx="90">
                  <c:v>2250</c:v>
                </c:pt>
                <c:pt idx="91">
                  <c:v>2275</c:v>
                </c:pt>
                <c:pt idx="92">
                  <c:v>2300.0000000000005</c:v>
                </c:pt>
                <c:pt idx="93">
                  <c:v>2325</c:v>
                </c:pt>
                <c:pt idx="94">
                  <c:v>2349.9999999999995</c:v>
                </c:pt>
                <c:pt idx="95">
                  <c:v>2375</c:v>
                </c:pt>
                <c:pt idx="96">
                  <c:v>2400</c:v>
                </c:pt>
                <c:pt idx="97">
                  <c:v>2425</c:v>
                </c:pt>
                <c:pt idx="98">
                  <c:v>2450</c:v>
                </c:pt>
                <c:pt idx="99">
                  <c:v>2475</c:v>
                </c:pt>
                <c:pt idx="100">
                  <c:v>2500</c:v>
                </c:pt>
              </c:numCache>
            </c:numRef>
          </c:cat>
          <c:val>
            <c:numRef>
              <c:f>'Calculations - Single'!$AN$216:$AN$316</c:f>
              <c:numCache>
                <c:formatCode>0.0</c:formatCode>
                <c:ptCount val="101"/>
                <c:pt idx="0">
                  <c:v>12</c:v>
                </c:pt>
                <c:pt idx="1">
                  <c:v>27.213671902389706</c:v>
                </c:pt>
                <c:pt idx="2">
                  <c:v>54.427343804779412</c:v>
                </c:pt>
                <c:pt idx="3">
                  <c:v>81.641015707169103</c:v>
                </c:pt>
                <c:pt idx="4">
                  <c:v>108.85468760955882</c:v>
                </c:pt>
                <c:pt idx="5">
                  <c:v>136.0683595119485</c:v>
                </c:pt>
                <c:pt idx="6">
                  <c:v>163.28203141433821</c:v>
                </c:pt>
                <c:pt idx="7">
                  <c:v>190.49570331672794</c:v>
                </c:pt>
                <c:pt idx="8">
                  <c:v>217.70937521911765</c:v>
                </c:pt>
                <c:pt idx="9">
                  <c:v>244.92304712150732</c:v>
                </c:pt>
                <c:pt idx="10">
                  <c:v>272.136719023897</c:v>
                </c:pt>
                <c:pt idx="11">
                  <c:v>299.35039092628676</c:v>
                </c:pt>
                <c:pt idx="12">
                  <c:v>326.56406282867641</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2-D9E7-4F5E-A983-604758A0F86A}"/>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Single'!$AM$5:$AM$105</c:f>
              <c:numCache>
                <c:formatCode>0</c:formatCode>
                <c:ptCount val="101"/>
                <c:pt idx="0">
                  <c:v>1.0000000000000002E-6</c:v>
                </c:pt>
                <c:pt idx="1">
                  <c:v>25</c:v>
                </c:pt>
                <c:pt idx="2">
                  <c:v>50</c:v>
                </c:pt>
                <c:pt idx="3">
                  <c:v>75</c:v>
                </c:pt>
                <c:pt idx="4">
                  <c:v>100</c:v>
                </c:pt>
                <c:pt idx="5">
                  <c:v>125</c:v>
                </c:pt>
                <c:pt idx="6">
                  <c:v>150</c:v>
                </c:pt>
                <c:pt idx="7">
                  <c:v>175.00000000000003</c:v>
                </c:pt>
                <c:pt idx="8">
                  <c:v>200</c:v>
                </c:pt>
                <c:pt idx="9">
                  <c:v>224.99999999999997</c:v>
                </c:pt>
                <c:pt idx="10">
                  <c:v>250</c:v>
                </c:pt>
                <c:pt idx="11">
                  <c:v>275</c:v>
                </c:pt>
                <c:pt idx="12">
                  <c:v>300</c:v>
                </c:pt>
                <c:pt idx="13">
                  <c:v>325</c:v>
                </c:pt>
                <c:pt idx="14">
                  <c:v>350.00000000000006</c:v>
                </c:pt>
                <c:pt idx="15">
                  <c:v>375</c:v>
                </c:pt>
                <c:pt idx="16">
                  <c:v>400</c:v>
                </c:pt>
                <c:pt idx="17">
                  <c:v>425.00000000000006</c:v>
                </c:pt>
                <c:pt idx="18">
                  <c:v>449.99999999999994</c:v>
                </c:pt>
                <c:pt idx="19">
                  <c:v>475</c:v>
                </c:pt>
                <c:pt idx="20">
                  <c:v>500</c:v>
                </c:pt>
                <c:pt idx="21">
                  <c:v>525</c:v>
                </c:pt>
                <c:pt idx="22">
                  <c:v>550</c:v>
                </c:pt>
                <c:pt idx="23">
                  <c:v>575.00000000000011</c:v>
                </c:pt>
                <c:pt idx="24">
                  <c:v>600</c:v>
                </c:pt>
                <c:pt idx="25">
                  <c:v>625</c:v>
                </c:pt>
                <c:pt idx="26">
                  <c:v>650</c:v>
                </c:pt>
                <c:pt idx="27">
                  <c:v>675</c:v>
                </c:pt>
                <c:pt idx="28">
                  <c:v>700.00000000000011</c:v>
                </c:pt>
                <c:pt idx="29">
                  <c:v>725</c:v>
                </c:pt>
                <c:pt idx="30">
                  <c:v>750</c:v>
                </c:pt>
                <c:pt idx="31">
                  <c:v>775</c:v>
                </c:pt>
                <c:pt idx="32">
                  <c:v>800</c:v>
                </c:pt>
                <c:pt idx="33">
                  <c:v>825.00000000000011</c:v>
                </c:pt>
                <c:pt idx="34">
                  <c:v>850.00000000000011</c:v>
                </c:pt>
                <c:pt idx="35">
                  <c:v>875</c:v>
                </c:pt>
                <c:pt idx="36">
                  <c:v>899.99999999999989</c:v>
                </c:pt>
                <c:pt idx="37">
                  <c:v>925</c:v>
                </c:pt>
                <c:pt idx="38">
                  <c:v>950</c:v>
                </c:pt>
                <c:pt idx="39">
                  <c:v>975.00000000000011</c:v>
                </c:pt>
                <c:pt idx="40">
                  <c:v>1000</c:v>
                </c:pt>
                <c:pt idx="41">
                  <c:v>1025</c:v>
                </c:pt>
                <c:pt idx="42">
                  <c:v>1050</c:v>
                </c:pt>
                <c:pt idx="43">
                  <c:v>1075</c:v>
                </c:pt>
                <c:pt idx="44">
                  <c:v>1100</c:v>
                </c:pt>
                <c:pt idx="45">
                  <c:v>1125</c:v>
                </c:pt>
                <c:pt idx="46">
                  <c:v>1150.0000000000002</c:v>
                </c:pt>
                <c:pt idx="47">
                  <c:v>1174.9999999999998</c:v>
                </c:pt>
                <c:pt idx="48">
                  <c:v>1200</c:v>
                </c:pt>
                <c:pt idx="49">
                  <c:v>1225</c:v>
                </c:pt>
                <c:pt idx="50">
                  <c:v>1250</c:v>
                </c:pt>
                <c:pt idx="51">
                  <c:v>1275</c:v>
                </c:pt>
                <c:pt idx="52">
                  <c:v>1300</c:v>
                </c:pt>
                <c:pt idx="53">
                  <c:v>1325.0000000000002</c:v>
                </c:pt>
                <c:pt idx="54">
                  <c:v>1350</c:v>
                </c:pt>
                <c:pt idx="55">
                  <c:v>1375</c:v>
                </c:pt>
                <c:pt idx="56">
                  <c:v>1400.0000000000002</c:v>
                </c:pt>
                <c:pt idx="57">
                  <c:v>1424.9999999999998</c:v>
                </c:pt>
                <c:pt idx="58">
                  <c:v>1450</c:v>
                </c:pt>
                <c:pt idx="59">
                  <c:v>1474.9999999999998</c:v>
                </c:pt>
                <c:pt idx="60">
                  <c:v>1500</c:v>
                </c:pt>
                <c:pt idx="61">
                  <c:v>1525</c:v>
                </c:pt>
                <c:pt idx="62">
                  <c:v>1550</c:v>
                </c:pt>
                <c:pt idx="63">
                  <c:v>1575</c:v>
                </c:pt>
                <c:pt idx="64">
                  <c:v>1600</c:v>
                </c:pt>
                <c:pt idx="65">
                  <c:v>1625</c:v>
                </c:pt>
                <c:pt idx="66">
                  <c:v>1650.0000000000002</c:v>
                </c:pt>
                <c:pt idx="67">
                  <c:v>1675</c:v>
                </c:pt>
                <c:pt idx="68">
                  <c:v>1700.0000000000002</c:v>
                </c:pt>
                <c:pt idx="69">
                  <c:v>1724.9999999999998</c:v>
                </c:pt>
                <c:pt idx="70">
                  <c:v>1750</c:v>
                </c:pt>
                <c:pt idx="71">
                  <c:v>1775</c:v>
                </c:pt>
                <c:pt idx="72">
                  <c:v>1799.9999999999998</c:v>
                </c:pt>
                <c:pt idx="73">
                  <c:v>1825</c:v>
                </c:pt>
                <c:pt idx="74">
                  <c:v>1850</c:v>
                </c:pt>
                <c:pt idx="75">
                  <c:v>1875</c:v>
                </c:pt>
                <c:pt idx="76">
                  <c:v>1900</c:v>
                </c:pt>
                <c:pt idx="77">
                  <c:v>1925</c:v>
                </c:pt>
                <c:pt idx="78">
                  <c:v>1950.0000000000002</c:v>
                </c:pt>
                <c:pt idx="79">
                  <c:v>1975</c:v>
                </c:pt>
                <c:pt idx="80">
                  <c:v>2000</c:v>
                </c:pt>
                <c:pt idx="81">
                  <c:v>2025.0000000000005</c:v>
                </c:pt>
                <c:pt idx="82">
                  <c:v>2050</c:v>
                </c:pt>
                <c:pt idx="83">
                  <c:v>2074.9999999999995</c:v>
                </c:pt>
                <c:pt idx="84">
                  <c:v>2100</c:v>
                </c:pt>
                <c:pt idx="85">
                  <c:v>2125</c:v>
                </c:pt>
                <c:pt idx="86">
                  <c:v>2150</c:v>
                </c:pt>
                <c:pt idx="87">
                  <c:v>2175</c:v>
                </c:pt>
                <c:pt idx="88">
                  <c:v>2200</c:v>
                </c:pt>
                <c:pt idx="89">
                  <c:v>2225</c:v>
                </c:pt>
                <c:pt idx="90">
                  <c:v>2250</c:v>
                </c:pt>
                <c:pt idx="91">
                  <c:v>2275</c:v>
                </c:pt>
                <c:pt idx="92">
                  <c:v>2300.0000000000005</c:v>
                </c:pt>
                <c:pt idx="93">
                  <c:v>2325</c:v>
                </c:pt>
                <c:pt idx="94">
                  <c:v>2349.9999999999995</c:v>
                </c:pt>
                <c:pt idx="95">
                  <c:v>2375</c:v>
                </c:pt>
                <c:pt idx="96">
                  <c:v>2400</c:v>
                </c:pt>
                <c:pt idx="97">
                  <c:v>2425</c:v>
                </c:pt>
                <c:pt idx="98">
                  <c:v>2450</c:v>
                </c:pt>
                <c:pt idx="99">
                  <c:v>2475</c:v>
                </c:pt>
                <c:pt idx="100">
                  <c:v>2500</c:v>
                </c:pt>
              </c:numCache>
            </c:numRef>
          </c:cat>
          <c:val>
            <c:numRef>
              <c:f>'Calculations - Single'!$CE$110:$CE$210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D9E7-4F5E-A983-604758A0F86A}"/>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Single'!$AM$5:$AM$105</c:f>
              <c:numCache>
                <c:formatCode>0</c:formatCode>
                <c:ptCount val="101"/>
                <c:pt idx="0">
                  <c:v>1.0000000000000002E-6</c:v>
                </c:pt>
                <c:pt idx="1">
                  <c:v>25</c:v>
                </c:pt>
                <c:pt idx="2">
                  <c:v>50</c:v>
                </c:pt>
                <c:pt idx="3">
                  <c:v>75</c:v>
                </c:pt>
                <c:pt idx="4">
                  <c:v>100</c:v>
                </c:pt>
                <c:pt idx="5">
                  <c:v>125</c:v>
                </c:pt>
                <c:pt idx="6">
                  <c:v>150</c:v>
                </c:pt>
                <c:pt idx="7">
                  <c:v>175.00000000000003</c:v>
                </c:pt>
                <c:pt idx="8">
                  <c:v>200</c:v>
                </c:pt>
                <c:pt idx="9">
                  <c:v>224.99999999999997</c:v>
                </c:pt>
                <c:pt idx="10">
                  <c:v>250</c:v>
                </c:pt>
                <c:pt idx="11">
                  <c:v>275</c:v>
                </c:pt>
                <c:pt idx="12">
                  <c:v>300</c:v>
                </c:pt>
                <c:pt idx="13">
                  <c:v>325</c:v>
                </c:pt>
                <c:pt idx="14">
                  <c:v>350.00000000000006</c:v>
                </c:pt>
                <c:pt idx="15">
                  <c:v>375</c:v>
                </c:pt>
                <c:pt idx="16">
                  <c:v>400</c:v>
                </c:pt>
                <c:pt idx="17">
                  <c:v>425.00000000000006</c:v>
                </c:pt>
                <c:pt idx="18">
                  <c:v>449.99999999999994</c:v>
                </c:pt>
                <c:pt idx="19">
                  <c:v>475</c:v>
                </c:pt>
                <c:pt idx="20">
                  <c:v>500</c:v>
                </c:pt>
                <c:pt idx="21">
                  <c:v>525</c:v>
                </c:pt>
                <c:pt idx="22">
                  <c:v>550</c:v>
                </c:pt>
                <c:pt idx="23">
                  <c:v>575.00000000000011</c:v>
                </c:pt>
                <c:pt idx="24">
                  <c:v>600</c:v>
                </c:pt>
                <c:pt idx="25">
                  <c:v>625</c:v>
                </c:pt>
                <c:pt idx="26">
                  <c:v>650</c:v>
                </c:pt>
                <c:pt idx="27">
                  <c:v>675</c:v>
                </c:pt>
                <c:pt idx="28">
                  <c:v>700.00000000000011</c:v>
                </c:pt>
                <c:pt idx="29">
                  <c:v>725</c:v>
                </c:pt>
                <c:pt idx="30">
                  <c:v>750</c:v>
                </c:pt>
                <c:pt idx="31">
                  <c:v>775</c:v>
                </c:pt>
                <c:pt idx="32">
                  <c:v>800</c:v>
                </c:pt>
                <c:pt idx="33">
                  <c:v>825.00000000000011</c:v>
                </c:pt>
                <c:pt idx="34">
                  <c:v>850.00000000000011</c:v>
                </c:pt>
                <c:pt idx="35">
                  <c:v>875</c:v>
                </c:pt>
                <c:pt idx="36">
                  <c:v>899.99999999999989</c:v>
                </c:pt>
                <c:pt idx="37">
                  <c:v>925</c:v>
                </c:pt>
                <c:pt idx="38">
                  <c:v>950</c:v>
                </c:pt>
                <c:pt idx="39">
                  <c:v>975.00000000000011</c:v>
                </c:pt>
                <c:pt idx="40">
                  <c:v>1000</c:v>
                </c:pt>
                <c:pt idx="41">
                  <c:v>1025</c:v>
                </c:pt>
                <c:pt idx="42">
                  <c:v>1050</c:v>
                </c:pt>
                <c:pt idx="43">
                  <c:v>1075</c:v>
                </c:pt>
                <c:pt idx="44">
                  <c:v>1100</c:v>
                </c:pt>
                <c:pt idx="45">
                  <c:v>1125</c:v>
                </c:pt>
                <c:pt idx="46">
                  <c:v>1150.0000000000002</c:v>
                </c:pt>
                <c:pt idx="47">
                  <c:v>1174.9999999999998</c:v>
                </c:pt>
                <c:pt idx="48">
                  <c:v>1200</c:v>
                </c:pt>
                <c:pt idx="49">
                  <c:v>1225</c:v>
                </c:pt>
                <c:pt idx="50">
                  <c:v>1250</c:v>
                </c:pt>
                <c:pt idx="51">
                  <c:v>1275</c:v>
                </c:pt>
                <c:pt idx="52">
                  <c:v>1300</c:v>
                </c:pt>
                <c:pt idx="53">
                  <c:v>1325.0000000000002</c:v>
                </c:pt>
                <c:pt idx="54">
                  <c:v>1350</c:v>
                </c:pt>
                <c:pt idx="55">
                  <c:v>1375</c:v>
                </c:pt>
                <c:pt idx="56">
                  <c:v>1400.0000000000002</c:v>
                </c:pt>
                <c:pt idx="57">
                  <c:v>1424.9999999999998</c:v>
                </c:pt>
                <c:pt idx="58">
                  <c:v>1450</c:v>
                </c:pt>
                <c:pt idx="59">
                  <c:v>1474.9999999999998</c:v>
                </c:pt>
                <c:pt idx="60">
                  <c:v>1500</c:v>
                </c:pt>
                <c:pt idx="61">
                  <c:v>1525</c:v>
                </c:pt>
                <c:pt idx="62">
                  <c:v>1550</c:v>
                </c:pt>
                <c:pt idx="63">
                  <c:v>1575</c:v>
                </c:pt>
                <c:pt idx="64">
                  <c:v>1600</c:v>
                </c:pt>
                <c:pt idx="65">
                  <c:v>1625</c:v>
                </c:pt>
                <c:pt idx="66">
                  <c:v>1650.0000000000002</c:v>
                </c:pt>
                <c:pt idx="67">
                  <c:v>1675</c:v>
                </c:pt>
                <c:pt idx="68">
                  <c:v>1700.0000000000002</c:v>
                </c:pt>
                <c:pt idx="69">
                  <c:v>1724.9999999999998</c:v>
                </c:pt>
                <c:pt idx="70">
                  <c:v>1750</c:v>
                </c:pt>
                <c:pt idx="71">
                  <c:v>1775</c:v>
                </c:pt>
                <c:pt idx="72">
                  <c:v>1799.9999999999998</c:v>
                </c:pt>
                <c:pt idx="73">
                  <c:v>1825</c:v>
                </c:pt>
                <c:pt idx="74">
                  <c:v>1850</c:v>
                </c:pt>
                <c:pt idx="75">
                  <c:v>1875</c:v>
                </c:pt>
                <c:pt idx="76">
                  <c:v>1900</c:v>
                </c:pt>
                <c:pt idx="77">
                  <c:v>1925</c:v>
                </c:pt>
                <c:pt idx="78">
                  <c:v>1950.0000000000002</c:v>
                </c:pt>
                <c:pt idx="79">
                  <c:v>1975</c:v>
                </c:pt>
                <c:pt idx="80">
                  <c:v>2000</c:v>
                </c:pt>
                <c:pt idx="81">
                  <c:v>2025.0000000000005</c:v>
                </c:pt>
                <c:pt idx="82">
                  <c:v>2050</c:v>
                </c:pt>
                <c:pt idx="83">
                  <c:v>2074.9999999999995</c:v>
                </c:pt>
                <c:pt idx="84">
                  <c:v>2100</c:v>
                </c:pt>
                <c:pt idx="85">
                  <c:v>2125</c:v>
                </c:pt>
                <c:pt idx="86">
                  <c:v>2150</c:v>
                </c:pt>
                <c:pt idx="87">
                  <c:v>2175</c:v>
                </c:pt>
                <c:pt idx="88">
                  <c:v>2200</c:v>
                </c:pt>
                <c:pt idx="89">
                  <c:v>2225</c:v>
                </c:pt>
                <c:pt idx="90">
                  <c:v>2250</c:v>
                </c:pt>
                <c:pt idx="91">
                  <c:v>2275</c:v>
                </c:pt>
                <c:pt idx="92">
                  <c:v>2300.0000000000005</c:v>
                </c:pt>
                <c:pt idx="93">
                  <c:v>2325</c:v>
                </c:pt>
                <c:pt idx="94">
                  <c:v>2349.9999999999995</c:v>
                </c:pt>
                <c:pt idx="95">
                  <c:v>2375</c:v>
                </c:pt>
                <c:pt idx="96">
                  <c:v>2400</c:v>
                </c:pt>
                <c:pt idx="97">
                  <c:v>2425</c:v>
                </c:pt>
                <c:pt idx="98">
                  <c:v>2450</c:v>
                </c:pt>
                <c:pt idx="99">
                  <c:v>2475</c:v>
                </c:pt>
                <c:pt idx="100">
                  <c:v>2500</c:v>
                </c:pt>
              </c:numCache>
            </c:numRef>
          </c:cat>
          <c:val>
            <c:numRef>
              <c:f>'Calculations - Single'!$CE$5:$CE$105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D9E7-4F5E-A983-604758A0F86A}"/>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Single'!$AM$5:$AM$105</c:f>
              <c:numCache>
                <c:formatCode>0</c:formatCode>
                <c:ptCount val="101"/>
                <c:pt idx="0">
                  <c:v>1.0000000000000002E-6</c:v>
                </c:pt>
                <c:pt idx="1">
                  <c:v>25</c:v>
                </c:pt>
                <c:pt idx="2">
                  <c:v>50</c:v>
                </c:pt>
                <c:pt idx="3">
                  <c:v>75</c:v>
                </c:pt>
                <c:pt idx="4">
                  <c:v>100</c:v>
                </c:pt>
                <c:pt idx="5">
                  <c:v>125</c:v>
                </c:pt>
                <c:pt idx="6">
                  <c:v>150</c:v>
                </c:pt>
                <c:pt idx="7">
                  <c:v>175.00000000000003</c:v>
                </c:pt>
                <c:pt idx="8">
                  <c:v>200</c:v>
                </c:pt>
                <c:pt idx="9">
                  <c:v>224.99999999999997</c:v>
                </c:pt>
                <c:pt idx="10">
                  <c:v>250</c:v>
                </c:pt>
                <c:pt idx="11">
                  <c:v>275</c:v>
                </c:pt>
                <c:pt idx="12">
                  <c:v>300</c:v>
                </c:pt>
                <c:pt idx="13">
                  <c:v>325</c:v>
                </c:pt>
                <c:pt idx="14">
                  <c:v>350.00000000000006</c:v>
                </c:pt>
                <c:pt idx="15">
                  <c:v>375</c:v>
                </c:pt>
                <c:pt idx="16">
                  <c:v>400</c:v>
                </c:pt>
                <c:pt idx="17">
                  <c:v>425.00000000000006</c:v>
                </c:pt>
                <c:pt idx="18">
                  <c:v>449.99999999999994</c:v>
                </c:pt>
                <c:pt idx="19">
                  <c:v>475</c:v>
                </c:pt>
                <c:pt idx="20">
                  <c:v>500</c:v>
                </c:pt>
                <c:pt idx="21">
                  <c:v>525</c:v>
                </c:pt>
                <c:pt idx="22">
                  <c:v>550</c:v>
                </c:pt>
                <c:pt idx="23">
                  <c:v>575.00000000000011</c:v>
                </c:pt>
                <c:pt idx="24">
                  <c:v>600</c:v>
                </c:pt>
                <c:pt idx="25">
                  <c:v>625</c:v>
                </c:pt>
                <c:pt idx="26">
                  <c:v>650</c:v>
                </c:pt>
                <c:pt idx="27">
                  <c:v>675</c:v>
                </c:pt>
                <c:pt idx="28">
                  <c:v>700.00000000000011</c:v>
                </c:pt>
                <c:pt idx="29">
                  <c:v>725</c:v>
                </c:pt>
                <c:pt idx="30">
                  <c:v>750</c:v>
                </c:pt>
                <c:pt idx="31">
                  <c:v>775</c:v>
                </c:pt>
                <c:pt idx="32">
                  <c:v>800</c:v>
                </c:pt>
                <c:pt idx="33">
                  <c:v>825.00000000000011</c:v>
                </c:pt>
                <c:pt idx="34">
                  <c:v>850.00000000000011</c:v>
                </c:pt>
                <c:pt idx="35">
                  <c:v>875</c:v>
                </c:pt>
                <c:pt idx="36">
                  <c:v>899.99999999999989</c:v>
                </c:pt>
                <c:pt idx="37">
                  <c:v>925</c:v>
                </c:pt>
                <c:pt idx="38">
                  <c:v>950</c:v>
                </c:pt>
                <c:pt idx="39">
                  <c:v>975.00000000000011</c:v>
                </c:pt>
                <c:pt idx="40">
                  <c:v>1000</c:v>
                </c:pt>
                <c:pt idx="41">
                  <c:v>1025</c:v>
                </c:pt>
                <c:pt idx="42">
                  <c:v>1050</c:v>
                </c:pt>
                <c:pt idx="43">
                  <c:v>1075</c:v>
                </c:pt>
                <c:pt idx="44">
                  <c:v>1100</c:v>
                </c:pt>
                <c:pt idx="45">
                  <c:v>1125</c:v>
                </c:pt>
                <c:pt idx="46">
                  <c:v>1150.0000000000002</c:v>
                </c:pt>
                <c:pt idx="47">
                  <c:v>1174.9999999999998</c:v>
                </c:pt>
                <c:pt idx="48">
                  <c:v>1200</c:v>
                </c:pt>
                <c:pt idx="49">
                  <c:v>1225</c:v>
                </c:pt>
                <c:pt idx="50">
                  <c:v>1250</c:v>
                </c:pt>
                <c:pt idx="51">
                  <c:v>1275</c:v>
                </c:pt>
                <c:pt idx="52">
                  <c:v>1300</c:v>
                </c:pt>
                <c:pt idx="53">
                  <c:v>1325.0000000000002</c:v>
                </c:pt>
                <c:pt idx="54">
                  <c:v>1350</c:v>
                </c:pt>
                <c:pt idx="55">
                  <c:v>1375</c:v>
                </c:pt>
                <c:pt idx="56">
                  <c:v>1400.0000000000002</c:v>
                </c:pt>
                <c:pt idx="57">
                  <c:v>1424.9999999999998</c:v>
                </c:pt>
                <c:pt idx="58">
                  <c:v>1450</c:v>
                </c:pt>
                <c:pt idx="59">
                  <c:v>1474.9999999999998</c:v>
                </c:pt>
                <c:pt idx="60">
                  <c:v>1500</c:v>
                </c:pt>
                <c:pt idx="61">
                  <c:v>1525</c:v>
                </c:pt>
                <c:pt idx="62">
                  <c:v>1550</c:v>
                </c:pt>
                <c:pt idx="63">
                  <c:v>1575</c:v>
                </c:pt>
                <c:pt idx="64">
                  <c:v>1600</c:v>
                </c:pt>
                <c:pt idx="65">
                  <c:v>1625</c:v>
                </c:pt>
                <c:pt idx="66">
                  <c:v>1650.0000000000002</c:v>
                </c:pt>
                <c:pt idx="67">
                  <c:v>1675</c:v>
                </c:pt>
                <c:pt idx="68">
                  <c:v>1700.0000000000002</c:v>
                </c:pt>
                <c:pt idx="69">
                  <c:v>1724.9999999999998</c:v>
                </c:pt>
                <c:pt idx="70">
                  <c:v>1750</c:v>
                </c:pt>
                <c:pt idx="71">
                  <c:v>1775</c:v>
                </c:pt>
                <c:pt idx="72">
                  <c:v>1799.9999999999998</c:v>
                </c:pt>
                <c:pt idx="73">
                  <c:v>1825</c:v>
                </c:pt>
                <c:pt idx="74">
                  <c:v>1850</c:v>
                </c:pt>
                <c:pt idx="75">
                  <c:v>1875</c:v>
                </c:pt>
                <c:pt idx="76">
                  <c:v>1900</c:v>
                </c:pt>
                <c:pt idx="77">
                  <c:v>1925</c:v>
                </c:pt>
                <c:pt idx="78">
                  <c:v>1950.0000000000002</c:v>
                </c:pt>
                <c:pt idx="79">
                  <c:v>1975</c:v>
                </c:pt>
                <c:pt idx="80">
                  <c:v>2000</c:v>
                </c:pt>
                <c:pt idx="81">
                  <c:v>2025.0000000000005</c:v>
                </c:pt>
                <c:pt idx="82">
                  <c:v>2050</c:v>
                </c:pt>
                <c:pt idx="83">
                  <c:v>2074.9999999999995</c:v>
                </c:pt>
                <c:pt idx="84">
                  <c:v>2100</c:v>
                </c:pt>
                <c:pt idx="85">
                  <c:v>2125</c:v>
                </c:pt>
                <c:pt idx="86">
                  <c:v>2150</c:v>
                </c:pt>
                <c:pt idx="87">
                  <c:v>2175</c:v>
                </c:pt>
                <c:pt idx="88">
                  <c:v>2200</c:v>
                </c:pt>
                <c:pt idx="89">
                  <c:v>2225</c:v>
                </c:pt>
                <c:pt idx="90">
                  <c:v>2250</c:v>
                </c:pt>
                <c:pt idx="91">
                  <c:v>2275</c:v>
                </c:pt>
                <c:pt idx="92">
                  <c:v>2300.0000000000005</c:v>
                </c:pt>
                <c:pt idx="93">
                  <c:v>2325</c:v>
                </c:pt>
                <c:pt idx="94">
                  <c:v>2349.9999999999995</c:v>
                </c:pt>
                <c:pt idx="95">
                  <c:v>2375</c:v>
                </c:pt>
                <c:pt idx="96">
                  <c:v>2400</c:v>
                </c:pt>
                <c:pt idx="97">
                  <c:v>2425</c:v>
                </c:pt>
                <c:pt idx="98">
                  <c:v>2450</c:v>
                </c:pt>
                <c:pt idx="99">
                  <c:v>2475</c:v>
                </c:pt>
                <c:pt idx="100">
                  <c:v>2500</c:v>
                </c:pt>
              </c:numCache>
            </c:numRef>
          </c:cat>
          <c:val>
            <c:numRef>
              <c:f>'Calculations - Single'!$CE$216:$CE$316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D9E7-4F5E-A983-604758A0F86A}"/>
            </c:ext>
          </c:extLst>
        </c:ser>
        <c:dLbls>
          <c:showLegendKey val="0"/>
          <c:showVal val="0"/>
          <c:showCatName val="0"/>
          <c:showSerName val="0"/>
          <c:showPercent val="0"/>
          <c:showBubbleSize val="0"/>
        </c:dLbls>
        <c:smooth val="0"/>
        <c:axId val="449432576"/>
        <c:axId val="449455616"/>
      </c:lineChart>
      <c:catAx>
        <c:axId val="44943257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2543478293742543"/>
              <c:y val="0.94106692471810893"/>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455616"/>
        <c:crosses val="autoZero"/>
        <c:auto val="1"/>
        <c:lblAlgn val="ctr"/>
        <c:lblOffset val="100"/>
        <c:tickLblSkip val="20"/>
        <c:tickMarkSkip val="10"/>
        <c:noMultiLvlLbl val="0"/>
      </c:catAx>
      <c:valAx>
        <c:axId val="449455616"/>
        <c:scaling>
          <c:orientation val="minMax"/>
          <c:max val="400"/>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Switching</a:t>
                </a:r>
                <a:r>
                  <a:rPr lang="en-US" sz="1200" b="1" baseline="0">
                    <a:solidFill>
                      <a:schemeClr val="tx1"/>
                    </a:solidFill>
                    <a:latin typeface="Arial" pitchFamily="34" charset="0"/>
                    <a:cs typeface="Arial" pitchFamily="34" charset="0"/>
                  </a:rPr>
                  <a:t> Frquency (kHz)</a:t>
                </a:r>
                <a:endParaRPr lang="en-US" sz="1200" b="1">
                  <a:solidFill>
                    <a:schemeClr val="tx1"/>
                  </a:solidFill>
                  <a:latin typeface="Arial" pitchFamily="34" charset="0"/>
                  <a:cs typeface="Arial" pitchFamily="34" charset="0"/>
                </a:endParaRPr>
              </a:p>
            </c:rich>
          </c:tx>
          <c:layout>
            <c:manualLayout>
              <c:xMode val="edge"/>
              <c:yMode val="edge"/>
              <c:x val="8.5568306292577653E-3"/>
              <c:y val="0.25732715553237367"/>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432576"/>
        <c:crossesAt val="0"/>
        <c:crossBetween val="between"/>
        <c:majorUnit val="50"/>
        <c:minorUnit val="25"/>
      </c:valAx>
      <c:spPr>
        <a:solidFill>
          <a:srgbClr val="FFFFFF"/>
        </a:solidFill>
        <a:ln w="25400">
          <a:noFill/>
        </a:ln>
      </c:spPr>
    </c:plotArea>
    <c:legend>
      <c:legendPos val="l"/>
      <c:legendEntry>
        <c:idx val="3"/>
        <c:delete val="1"/>
      </c:legendEntry>
      <c:legendEntry>
        <c:idx val="4"/>
        <c:delete val="1"/>
      </c:legendEntry>
      <c:legendEntry>
        <c:idx val="5"/>
        <c:delete val="1"/>
      </c:legendEntry>
      <c:layout>
        <c:manualLayout>
          <c:xMode val="edge"/>
          <c:yMode val="edge"/>
          <c:x val="0.71162527422808852"/>
          <c:y val="0.6653383790463161"/>
          <c:w val="0.22738313152556208"/>
          <c:h val="0.19125690419070665"/>
        </c:manualLayout>
      </c:layout>
      <c:overlay val="0"/>
      <c:spPr>
        <a:solidFill>
          <a:srgbClr val="FFFFFF"/>
        </a:solidFill>
        <a:ln w="25400">
          <a:noFill/>
        </a:ln>
      </c:spPr>
      <c:txPr>
        <a:bodyPr/>
        <a:lstStyle/>
        <a:p>
          <a:pPr>
            <a:defRPr lang="ja-JP" sz="1400" b="1"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37724383206249"/>
          <c:y val="5.3841379336306346E-2"/>
          <c:w val="0.83437623886771184"/>
          <c:h val="0.82339183462065391"/>
        </c:manualLayout>
      </c:layout>
      <c:lineChart>
        <c:grouping val="standard"/>
        <c:varyColors val="0"/>
        <c:ser>
          <c:idx val="1"/>
          <c:order val="0"/>
          <c:tx>
            <c:v>VIN = 18V</c:v>
          </c:tx>
          <c:spPr>
            <a:ln>
              <a:solidFill>
                <a:srgbClr val="00B050"/>
              </a:solidFill>
              <a:prstDash val="sysDash"/>
            </a:ln>
          </c:spPr>
          <c:marker>
            <c:symbol val="none"/>
          </c:marker>
          <c:val>
            <c:numRef>
              <c:f>'Calculations - Single'!$AJ$110:$AJ$210</c:f>
              <c:numCache>
                <c:formatCode>0.000</c:formatCode>
                <c:ptCount val="101"/>
                <c:pt idx="0">
                  <c:v>3.3333333333333335</c:v>
                </c:pt>
                <c:pt idx="1">
                  <c:v>3.3333333333333335</c:v>
                </c:pt>
                <c:pt idx="2">
                  <c:v>3.3333333333333335</c:v>
                </c:pt>
                <c:pt idx="3">
                  <c:v>3.3333333333333335</c:v>
                </c:pt>
                <c:pt idx="4">
                  <c:v>3.3333333333333335</c:v>
                </c:pt>
                <c:pt idx="5">
                  <c:v>3.3333333333333335</c:v>
                </c:pt>
                <c:pt idx="6">
                  <c:v>3.3333333333333335</c:v>
                </c:pt>
                <c:pt idx="7">
                  <c:v>3.3333333333333335</c:v>
                </c:pt>
                <c:pt idx="8">
                  <c:v>3.3333333333333335</c:v>
                </c:pt>
                <c:pt idx="9">
                  <c:v>3.3333333333333335</c:v>
                </c:pt>
                <c:pt idx="10">
                  <c:v>3.3333333333333335</c:v>
                </c:pt>
                <c:pt idx="11">
                  <c:v>3.3333333333333335</c:v>
                </c:pt>
                <c:pt idx="12">
                  <c:v>3.3333333333333335</c:v>
                </c:pt>
                <c:pt idx="13">
                  <c:v>3.3512810564026738</c:v>
                </c:pt>
                <c:pt idx="14">
                  <c:v>3.4778424817182247</c:v>
                </c:pt>
                <c:pt idx="15">
                  <c:v>3.599962679393391</c:v>
                </c:pt>
                <c:pt idx="16">
                  <c:v>3.7180791114584606</c:v>
                </c:pt>
                <c:pt idx="17">
                  <c:v>3.8325618164883295</c:v>
                </c:pt>
                <c:pt idx="18">
                  <c:v>3.9437271187712986</c:v>
                </c:pt>
                <c:pt idx="19">
                  <c:v>4.0518479490796731</c:v>
                </c:pt>
                <c:pt idx="20">
                  <c:v>4.1571617476697851</c:v>
                </c:pt>
                <c:pt idx="21">
                  <c:v>4.2598766077156682</c:v>
                </c:pt>
                <c:pt idx="22">
                  <c:v>4.3601761155460643</c:v>
                </c:pt>
                <c:pt idx="23">
                  <c:v>4.4582232104330322</c:v>
                </c:pt>
                <c:pt idx="24">
                  <c:v>4.5541632962653873</c:v>
                </c:pt>
                <c:pt idx="25">
                  <c:v>4.64812677504937</c:v>
                </c:pt>
                <c:pt idx="26">
                  <c:v>4.7402311283567053</c:v>
                </c:pt>
                <c:pt idx="27">
                  <c:v>4.8305826415615245</c:v>
                </c:pt>
                <c:pt idx="28">
                  <c:v>4.9192778430521491</c:v>
                </c:pt>
                <c:pt idx="29">
                  <c:v>5.0064047139723336</c:v>
                </c:pt>
                <c:pt idx="30">
                  <c:v>5.0920437116857755</c:v>
                </c:pt>
                <c:pt idx="31">
                  <c:v>5.1762686408656338</c:v>
                </c:pt>
                <c:pt idx="32">
                  <c:v>5.2591473990516491</c:v>
                </c:pt>
                <c:pt idx="33">
                  <c:v>5.3407426181018707</c:v>
                </c:pt>
                <c:pt idx="34">
                  <c:v>5.4211122187732723</c:v>
                </c:pt>
                <c:pt idx="35">
                  <c:v>5.5003098923919147</c:v>
                </c:pt>
                <c:pt idx="36">
                  <c:v>5.5783855209968651</c:v>
                </c:pt>
                <c:pt idx="37">
                  <c:v>5.6553855452991488</c:v>
                </c:pt>
                <c:pt idx="38">
                  <c:v>5.7313532881657752</c:v>
                </c:pt>
                <c:pt idx="39">
                  <c:v>5.8063292400277886</c:v>
                </c:pt>
                <c:pt idx="40">
                  <c:v>5.8803513115508368</c:v>
                </c:pt>
                <c:pt idx="41">
                  <c:v>5.9534550580441472</c:v>
                </c:pt>
                <c:pt idx="42">
                  <c:v>6.0256738793780311</c:v>
                </c:pt>
                <c:pt idx="43">
                  <c:v>6.0970391985997177</c:v>
                </c:pt>
                <c:pt idx="44">
                  <c:v>6.1675806219576819</c:v>
                </c:pt>
                <c:pt idx="45">
                  <c:v>6.237326082646252</c:v>
                </c:pt>
                <c:pt idx="46">
                  <c:v>6.306301970250149</c:v>
                </c:pt>
                <c:pt idx="47">
                  <c:v>6.3745332475901266</c:v>
                </c:pt>
                <c:pt idx="48">
                  <c:v>6.442043556436885</c:v>
                </c:pt>
                <c:pt idx="49">
                  <c:v>6.5088553133625631</c:v>
                </c:pt>
                <c:pt idx="50">
                  <c:v>6.5749897968316526</c:v>
                </c:pt>
                <c:pt idx="51">
                  <c:v>6.6404672264904816</c:v>
                </c:pt>
                <c:pt idx="52">
                  <c:v>6.7053068354927934</c:v>
                </c:pt>
                <c:pt idx="53">
                  <c:v>6.7695269365946835</c:v>
                </c:pt>
                <c:pt idx="54">
                  <c:v>6.8332453188332787</c:v>
                </c:pt>
                <c:pt idx="55">
                  <c:v>6.8964184115905462</c:v>
                </c:pt>
                <c:pt idx="56">
                  <c:v>7.0133339405486215</c:v>
                </c:pt>
                <c:pt idx="57">
                  <c:v>7.139271525402652</c:v>
                </c:pt>
                <c:pt idx="58">
                  <c:v>7.2650295520881869</c:v>
                </c:pt>
                <c:pt idx="59">
                  <c:v>7.3908051991968664</c:v>
                </c:pt>
                <c:pt idx="60">
                  <c:v>7.5165984712064544</c:v>
                </c:pt>
                <c:pt idx="61">
                  <c:v>7.6424093726002127</c:v>
                </c:pt>
                <c:pt idx="62">
                  <c:v>7.7682379078665793</c:v>
                </c:pt>
                <c:pt idx="63">
                  <c:v>7.8940840814988391</c:v>
                </c:pt>
                <c:pt idx="64">
                  <c:v>8.0199478979948911</c:v>
                </c:pt>
                <c:pt idx="65">
                  <c:v>8.1458293618569879</c:v>
                </c:pt>
                <c:pt idx="66">
                  <c:v>8.2717284775915179</c:v>
                </c:pt>
                <c:pt idx="67">
                  <c:v>8.3976452497088108</c:v>
                </c:pt>
                <c:pt idx="68">
                  <c:v>8.5235796827229464</c:v>
                </c:pt>
                <c:pt idx="69">
                  <c:v>8.6495317811516106</c:v>
                </c:pt>
                <c:pt idx="70">
                  <c:v>8.775501549515921</c:v>
                </c:pt>
                <c:pt idx="71">
                  <c:v>8.90148899234031</c:v>
                </c:pt>
                <c:pt idx="72">
                  <c:v>9.0274941141523861</c:v>
                </c:pt>
                <c:pt idx="73">
                  <c:v>9.1535169194828345</c:v>
                </c:pt>
                <c:pt idx="74">
                  <c:v>9.2795574128652998</c:v>
                </c:pt>
                <c:pt idx="75">
                  <c:v>9.4056155988362882</c:v>
                </c:pt>
                <c:pt idx="76">
                  <c:v>9.5316914819350984</c:v>
                </c:pt>
                <c:pt idx="77">
                  <c:v>9.6577850667037257</c:v>
                </c:pt>
                <c:pt idx="78">
                  <c:v>9.7838963576867837</c:v>
                </c:pt>
                <c:pt idx="79">
                  <c:v>9.9100253594314491</c:v>
                </c:pt>
                <c:pt idx="80">
                  <c:v>10.036172076487389</c:v>
                </c:pt>
                <c:pt idx="81">
                  <c:v>10.16233651340672</c:v>
                </c:pt>
                <c:pt idx="82">
                  <c:v>10.288518674743909</c:v>
                </c:pt>
                <c:pt idx="83">
                  <c:v>10.414718565055795</c:v>
                </c:pt>
                <c:pt idx="84">
                  <c:v>10.540936188901476</c:v>
                </c:pt>
                <c:pt idx="85">
                  <c:v>10.667171550842298</c:v>
                </c:pt>
                <c:pt idx="86">
                  <c:v>10.793424655441823</c:v>
                </c:pt>
                <c:pt idx="87">
                  <c:v>10.919695507265772</c:v>
                </c:pt>
                <c:pt idx="88">
                  <c:v>11.045984110881999</c:v>
                </c:pt>
                <c:pt idx="89">
                  <c:v>11.17229047086046</c:v>
                </c:pt>
                <c:pt idx="90">
                  <c:v>11.298614591773186</c:v>
                </c:pt>
                <c:pt idx="91">
                  <c:v>11.424956478194254</c:v>
                </c:pt>
                <c:pt idx="92">
                  <c:v>11.551316134699762</c:v>
                </c:pt>
                <c:pt idx="93">
                  <c:v>11.677693565867797</c:v>
                </c:pt>
                <c:pt idx="94">
                  <c:v>11.804088776278423</c:v>
                </c:pt>
                <c:pt idx="95">
                  <c:v>11.930501770513674</c:v>
                </c:pt>
                <c:pt idx="96">
                  <c:v>12.056932553157486</c:v>
                </c:pt>
                <c:pt idx="97">
                  <c:v>12.183381128795736</c:v>
                </c:pt>
                <c:pt idx="98">
                  <c:v>12.309847502016192</c:v>
                </c:pt>
                <c:pt idx="99">
                  <c:v>12.4363316774085</c:v>
                </c:pt>
                <c:pt idx="100">
                  <c:v>12.562833659564191</c:v>
                </c:pt>
              </c:numCache>
            </c:numRef>
          </c:val>
          <c:smooth val="0"/>
          <c:extLst>
            <c:ext xmlns:c16="http://schemas.microsoft.com/office/drawing/2014/chart" uri="{C3380CC4-5D6E-409C-BE32-E72D297353CC}">
              <c16:uniqueId val="{00000000-B744-4C18-B26C-E1D454627484}"/>
            </c:ext>
          </c:extLst>
        </c:ser>
        <c:ser>
          <c:idx val="0"/>
          <c:order val="1"/>
          <c:tx>
            <c:v>VIN = 24V</c:v>
          </c:tx>
          <c:spPr>
            <a:ln w="28575">
              <a:solidFill>
                <a:srgbClr val="0000FF"/>
              </a:solidFill>
              <a:prstDash val="lgDash"/>
            </a:ln>
          </c:spPr>
          <c:marker>
            <c:symbol val="none"/>
          </c:marker>
          <c:cat>
            <c:numRef>
              <c:f>'Calculations - Single'!$AM$5:$AM$105</c:f>
              <c:numCache>
                <c:formatCode>0</c:formatCode>
                <c:ptCount val="101"/>
                <c:pt idx="0">
                  <c:v>1.0000000000000002E-6</c:v>
                </c:pt>
                <c:pt idx="1">
                  <c:v>25</c:v>
                </c:pt>
                <c:pt idx="2">
                  <c:v>50</c:v>
                </c:pt>
                <c:pt idx="3">
                  <c:v>75</c:v>
                </c:pt>
                <c:pt idx="4">
                  <c:v>100</c:v>
                </c:pt>
                <c:pt idx="5">
                  <c:v>125</c:v>
                </c:pt>
                <c:pt idx="6">
                  <c:v>150</c:v>
                </c:pt>
                <c:pt idx="7">
                  <c:v>175.00000000000003</c:v>
                </c:pt>
                <c:pt idx="8">
                  <c:v>200</c:v>
                </c:pt>
                <c:pt idx="9">
                  <c:v>224.99999999999997</c:v>
                </c:pt>
                <c:pt idx="10">
                  <c:v>250</c:v>
                </c:pt>
                <c:pt idx="11">
                  <c:v>275</c:v>
                </c:pt>
                <c:pt idx="12">
                  <c:v>300</c:v>
                </c:pt>
                <c:pt idx="13">
                  <c:v>325</c:v>
                </c:pt>
                <c:pt idx="14">
                  <c:v>350.00000000000006</c:v>
                </c:pt>
                <c:pt idx="15">
                  <c:v>375</c:v>
                </c:pt>
                <c:pt idx="16">
                  <c:v>400</c:v>
                </c:pt>
                <c:pt idx="17">
                  <c:v>425.00000000000006</c:v>
                </c:pt>
                <c:pt idx="18">
                  <c:v>449.99999999999994</c:v>
                </c:pt>
                <c:pt idx="19">
                  <c:v>475</c:v>
                </c:pt>
                <c:pt idx="20">
                  <c:v>500</c:v>
                </c:pt>
                <c:pt idx="21">
                  <c:v>525</c:v>
                </c:pt>
                <c:pt idx="22">
                  <c:v>550</c:v>
                </c:pt>
                <c:pt idx="23">
                  <c:v>575.00000000000011</c:v>
                </c:pt>
                <c:pt idx="24">
                  <c:v>600</c:v>
                </c:pt>
                <c:pt idx="25">
                  <c:v>625</c:v>
                </c:pt>
                <c:pt idx="26">
                  <c:v>650</c:v>
                </c:pt>
                <c:pt idx="27">
                  <c:v>675</c:v>
                </c:pt>
                <c:pt idx="28">
                  <c:v>700.00000000000011</c:v>
                </c:pt>
                <c:pt idx="29">
                  <c:v>725</c:v>
                </c:pt>
                <c:pt idx="30">
                  <c:v>750</c:v>
                </c:pt>
                <c:pt idx="31">
                  <c:v>775</c:v>
                </c:pt>
                <c:pt idx="32">
                  <c:v>800</c:v>
                </c:pt>
                <c:pt idx="33">
                  <c:v>825.00000000000011</c:v>
                </c:pt>
                <c:pt idx="34">
                  <c:v>850.00000000000011</c:v>
                </c:pt>
                <c:pt idx="35">
                  <c:v>875</c:v>
                </c:pt>
                <c:pt idx="36">
                  <c:v>899.99999999999989</c:v>
                </c:pt>
                <c:pt idx="37">
                  <c:v>925</c:v>
                </c:pt>
                <c:pt idx="38">
                  <c:v>950</c:v>
                </c:pt>
                <c:pt idx="39">
                  <c:v>975.00000000000011</c:v>
                </c:pt>
                <c:pt idx="40">
                  <c:v>1000</c:v>
                </c:pt>
                <c:pt idx="41">
                  <c:v>1025</c:v>
                </c:pt>
                <c:pt idx="42">
                  <c:v>1050</c:v>
                </c:pt>
                <c:pt idx="43">
                  <c:v>1075</c:v>
                </c:pt>
                <c:pt idx="44">
                  <c:v>1100</c:v>
                </c:pt>
                <c:pt idx="45">
                  <c:v>1125</c:v>
                </c:pt>
                <c:pt idx="46">
                  <c:v>1150.0000000000002</c:v>
                </c:pt>
                <c:pt idx="47">
                  <c:v>1174.9999999999998</c:v>
                </c:pt>
                <c:pt idx="48">
                  <c:v>1200</c:v>
                </c:pt>
                <c:pt idx="49">
                  <c:v>1225</c:v>
                </c:pt>
                <c:pt idx="50">
                  <c:v>1250</c:v>
                </c:pt>
                <c:pt idx="51">
                  <c:v>1275</c:v>
                </c:pt>
                <c:pt idx="52">
                  <c:v>1300</c:v>
                </c:pt>
                <c:pt idx="53">
                  <c:v>1325.0000000000002</c:v>
                </c:pt>
                <c:pt idx="54">
                  <c:v>1350</c:v>
                </c:pt>
                <c:pt idx="55">
                  <c:v>1375</c:v>
                </c:pt>
                <c:pt idx="56">
                  <c:v>1400.0000000000002</c:v>
                </c:pt>
                <c:pt idx="57">
                  <c:v>1424.9999999999998</c:v>
                </c:pt>
                <c:pt idx="58">
                  <c:v>1450</c:v>
                </c:pt>
                <c:pt idx="59">
                  <c:v>1474.9999999999998</c:v>
                </c:pt>
                <c:pt idx="60">
                  <c:v>1500</c:v>
                </c:pt>
                <c:pt idx="61">
                  <c:v>1525</c:v>
                </c:pt>
                <c:pt idx="62">
                  <c:v>1550</c:v>
                </c:pt>
                <c:pt idx="63">
                  <c:v>1575</c:v>
                </c:pt>
                <c:pt idx="64">
                  <c:v>1600</c:v>
                </c:pt>
                <c:pt idx="65">
                  <c:v>1625</c:v>
                </c:pt>
                <c:pt idx="66">
                  <c:v>1650.0000000000002</c:v>
                </c:pt>
                <c:pt idx="67">
                  <c:v>1675</c:v>
                </c:pt>
                <c:pt idx="68">
                  <c:v>1700.0000000000002</c:v>
                </c:pt>
                <c:pt idx="69">
                  <c:v>1724.9999999999998</c:v>
                </c:pt>
                <c:pt idx="70">
                  <c:v>1750</c:v>
                </c:pt>
                <c:pt idx="71">
                  <c:v>1775</c:v>
                </c:pt>
                <c:pt idx="72">
                  <c:v>1799.9999999999998</c:v>
                </c:pt>
                <c:pt idx="73">
                  <c:v>1825</c:v>
                </c:pt>
                <c:pt idx="74">
                  <c:v>1850</c:v>
                </c:pt>
                <c:pt idx="75">
                  <c:v>1875</c:v>
                </c:pt>
                <c:pt idx="76">
                  <c:v>1900</c:v>
                </c:pt>
                <c:pt idx="77">
                  <c:v>1925</c:v>
                </c:pt>
                <c:pt idx="78">
                  <c:v>1950.0000000000002</c:v>
                </c:pt>
                <c:pt idx="79">
                  <c:v>1975</c:v>
                </c:pt>
                <c:pt idx="80">
                  <c:v>2000</c:v>
                </c:pt>
                <c:pt idx="81">
                  <c:v>2025.0000000000005</c:v>
                </c:pt>
                <c:pt idx="82">
                  <c:v>2050</c:v>
                </c:pt>
                <c:pt idx="83">
                  <c:v>2074.9999999999995</c:v>
                </c:pt>
                <c:pt idx="84">
                  <c:v>2100</c:v>
                </c:pt>
                <c:pt idx="85">
                  <c:v>2125</c:v>
                </c:pt>
                <c:pt idx="86">
                  <c:v>2150</c:v>
                </c:pt>
                <c:pt idx="87">
                  <c:v>2175</c:v>
                </c:pt>
                <c:pt idx="88">
                  <c:v>2200</c:v>
                </c:pt>
                <c:pt idx="89">
                  <c:v>2225</c:v>
                </c:pt>
                <c:pt idx="90">
                  <c:v>2250</c:v>
                </c:pt>
                <c:pt idx="91">
                  <c:v>2275</c:v>
                </c:pt>
                <c:pt idx="92">
                  <c:v>2300.0000000000005</c:v>
                </c:pt>
                <c:pt idx="93">
                  <c:v>2325</c:v>
                </c:pt>
                <c:pt idx="94">
                  <c:v>2349.9999999999995</c:v>
                </c:pt>
                <c:pt idx="95">
                  <c:v>2375</c:v>
                </c:pt>
                <c:pt idx="96">
                  <c:v>2400</c:v>
                </c:pt>
                <c:pt idx="97">
                  <c:v>2425</c:v>
                </c:pt>
                <c:pt idx="98">
                  <c:v>2450</c:v>
                </c:pt>
                <c:pt idx="99">
                  <c:v>2475</c:v>
                </c:pt>
                <c:pt idx="100">
                  <c:v>2500</c:v>
                </c:pt>
              </c:numCache>
            </c:numRef>
          </c:cat>
          <c:val>
            <c:numRef>
              <c:f>'Calculations - Single'!$AJ$5:$AJ$105</c:f>
              <c:numCache>
                <c:formatCode>0.000</c:formatCode>
                <c:ptCount val="101"/>
                <c:pt idx="0">
                  <c:v>3.3333333333333335</c:v>
                </c:pt>
                <c:pt idx="1">
                  <c:v>3.3333333333333335</c:v>
                </c:pt>
                <c:pt idx="2">
                  <c:v>3.3333333333333335</c:v>
                </c:pt>
                <c:pt idx="3">
                  <c:v>3.3333333333333335</c:v>
                </c:pt>
                <c:pt idx="4">
                  <c:v>3.3333333333333335</c:v>
                </c:pt>
                <c:pt idx="5">
                  <c:v>3.3333333333333335</c:v>
                </c:pt>
                <c:pt idx="6">
                  <c:v>3.3333333333333335</c:v>
                </c:pt>
                <c:pt idx="7">
                  <c:v>3.3333333333333335</c:v>
                </c:pt>
                <c:pt idx="8">
                  <c:v>3.3333333333333335</c:v>
                </c:pt>
                <c:pt idx="9">
                  <c:v>3.3333333333333335</c:v>
                </c:pt>
                <c:pt idx="10">
                  <c:v>3.3333333333333335</c:v>
                </c:pt>
                <c:pt idx="11">
                  <c:v>3.3333333333333335</c:v>
                </c:pt>
                <c:pt idx="12">
                  <c:v>3.3333333333333335</c:v>
                </c:pt>
                <c:pt idx="13">
                  <c:v>3.3512810564026738</c:v>
                </c:pt>
                <c:pt idx="14">
                  <c:v>3.4778424817182247</c:v>
                </c:pt>
                <c:pt idx="15">
                  <c:v>3.599962679393391</c:v>
                </c:pt>
                <c:pt idx="16">
                  <c:v>3.7180791114584606</c:v>
                </c:pt>
                <c:pt idx="17">
                  <c:v>3.8325618164883295</c:v>
                </c:pt>
                <c:pt idx="18">
                  <c:v>3.9437271187712986</c:v>
                </c:pt>
                <c:pt idx="19">
                  <c:v>4.0518479490796731</c:v>
                </c:pt>
                <c:pt idx="20">
                  <c:v>4.1571617476697851</c:v>
                </c:pt>
                <c:pt idx="21">
                  <c:v>4.2598766077156682</c:v>
                </c:pt>
                <c:pt idx="22">
                  <c:v>4.3601761155460643</c:v>
                </c:pt>
                <c:pt idx="23">
                  <c:v>4.4582232104330322</c:v>
                </c:pt>
                <c:pt idx="24">
                  <c:v>4.5541632962653873</c:v>
                </c:pt>
                <c:pt idx="25">
                  <c:v>4.64812677504937</c:v>
                </c:pt>
                <c:pt idx="26">
                  <c:v>4.7402311283567053</c:v>
                </c:pt>
                <c:pt idx="27">
                  <c:v>4.8305826415615245</c:v>
                </c:pt>
                <c:pt idx="28">
                  <c:v>4.9192778430521491</c:v>
                </c:pt>
                <c:pt idx="29">
                  <c:v>5.0064047139723336</c:v>
                </c:pt>
                <c:pt idx="30">
                  <c:v>5.0920437116857755</c:v>
                </c:pt>
                <c:pt idx="31">
                  <c:v>5.1762686408656338</c:v>
                </c:pt>
                <c:pt idx="32">
                  <c:v>5.2591473990516491</c:v>
                </c:pt>
                <c:pt idx="33">
                  <c:v>5.3407426181018707</c:v>
                </c:pt>
                <c:pt idx="34">
                  <c:v>5.4211122187732723</c:v>
                </c:pt>
                <c:pt idx="35">
                  <c:v>5.5003098923919147</c:v>
                </c:pt>
                <c:pt idx="36">
                  <c:v>5.5783855209968651</c:v>
                </c:pt>
                <c:pt idx="37">
                  <c:v>5.6553855452991488</c:v>
                </c:pt>
                <c:pt idx="38">
                  <c:v>5.7313532881657752</c:v>
                </c:pt>
                <c:pt idx="39">
                  <c:v>5.8063292400277886</c:v>
                </c:pt>
                <c:pt idx="40">
                  <c:v>5.8803513115508368</c:v>
                </c:pt>
                <c:pt idx="41">
                  <c:v>5.9534550580441472</c:v>
                </c:pt>
                <c:pt idx="42">
                  <c:v>6.0256738793780311</c:v>
                </c:pt>
                <c:pt idx="43">
                  <c:v>6.0970391985997177</c:v>
                </c:pt>
                <c:pt idx="44">
                  <c:v>6.1675806219576819</c:v>
                </c:pt>
                <c:pt idx="45">
                  <c:v>6.237326082646252</c:v>
                </c:pt>
                <c:pt idx="46">
                  <c:v>6.306301970250149</c:v>
                </c:pt>
                <c:pt idx="47">
                  <c:v>6.3745332475901266</c:v>
                </c:pt>
                <c:pt idx="48">
                  <c:v>6.442043556436885</c:v>
                </c:pt>
                <c:pt idx="49">
                  <c:v>6.5088553133625631</c:v>
                </c:pt>
                <c:pt idx="50">
                  <c:v>6.5749897968316526</c:v>
                </c:pt>
                <c:pt idx="51">
                  <c:v>6.6404672264904816</c:v>
                </c:pt>
                <c:pt idx="52">
                  <c:v>6.7053068354927934</c:v>
                </c:pt>
                <c:pt idx="53">
                  <c:v>6.7695269365946835</c:v>
                </c:pt>
                <c:pt idx="54">
                  <c:v>6.8331449826626356</c:v>
                </c:pt>
                <c:pt idx="55">
                  <c:v>6.8961776221612343</c:v>
                </c:pt>
                <c:pt idx="56">
                  <c:v>6.9586407501204537</c:v>
                </c:pt>
                <c:pt idx="57">
                  <c:v>7.0205495550246368</c:v>
                </c:pt>
                <c:pt idx="58">
                  <c:v>7.081918562015078</c:v>
                </c:pt>
                <c:pt idx="59">
                  <c:v>7.1427616727543546</c:v>
                </c:pt>
                <c:pt idx="60">
                  <c:v>7.2030922022623818</c:v>
                </c:pt>
                <c:pt idx="61">
                  <c:v>7.2629229130006765</c:v>
                </c:pt>
                <c:pt idx="62">
                  <c:v>7.3222660464519969</c:v>
                </c:pt>
                <c:pt idx="63">
                  <c:v>7.3811333524167004</c:v>
                </c:pt>
                <c:pt idx="64">
                  <c:v>7.4395361162243949</c:v>
                </c:pt>
                <c:pt idx="65">
                  <c:v>7.4974851840393972</c:v>
                </c:pt>
                <c:pt idx="66">
                  <c:v>7.5549909864206866</c:v>
                </c:pt>
                <c:pt idx="67">
                  <c:v>7.6120635602813023</c:v>
                </c:pt>
                <c:pt idx="68">
                  <c:v>7.6687125693781164</c:v>
                </c:pt>
                <c:pt idx="69">
                  <c:v>7.7249473234504098</c:v>
                </c:pt>
                <c:pt idx="70">
                  <c:v>7.7807767961146173</c:v>
                </c:pt>
                <c:pt idx="71">
                  <c:v>7.8362096416126148</c:v>
                </c:pt>
                <c:pt idx="72">
                  <c:v>7.8912542105020789</c:v>
                </c:pt>
                <c:pt idx="73">
                  <c:v>7.9459185643694532</c:v>
                </c:pt>
                <c:pt idx="74">
                  <c:v>8.0002104896389348</c:v>
                </c:pt>
                <c:pt idx="75">
                  <c:v>8.0541375105444359</c:v>
                </c:pt>
                <c:pt idx="76">
                  <c:v>8.1077069013257219</c:v>
                </c:pt>
                <c:pt idx="77">
                  <c:v>8.1609256977046893</c:v>
                </c:pt>
                <c:pt idx="78">
                  <c:v>8.2138007076930375</c:v>
                </c:pt>
                <c:pt idx="79">
                  <c:v>8.2663385217783567</c:v>
                </c:pt>
                <c:pt idx="80">
                  <c:v>8.3185455225317373</c:v>
                </c:pt>
                <c:pt idx="81">
                  <c:v>8.3704278936765988</c:v>
                </c:pt>
                <c:pt idx="82">
                  <c:v>8.4220372409180477</c:v>
                </c:pt>
                <c:pt idx="83">
                  <c:v>8.4733970842082211</c:v>
                </c:pt>
                <c:pt idx="84">
                  <c:v>8.5244530438405395</c:v>
                </c:pt>
                <c:pt idx="85">
                  <c:v>8.5876747727419112</c:v>
                </c:pt>
                <c:pt idx="86">
                  <c:v>8.6889288280449506</c:v>
                </c:pt>
                <c:pt idx="87">
                  <c:v>8.7903904710628868</c:v>
                </c:pt>
                <c:pt idx="88">
                  <c:v>8.8917513473168466</c:v>
                </c:pt>
                <c:pt idx="89">
                  <c:v>8.9931195765831173</c:v>
                </c:pt>
                <c:pt idx="90">
                  <c:v>9.094495159890144</c:v>
                </c:pt>
                <c:pt idx="91">
                  <c:v>9.1958780982668973</c:v>
                </c:pt>
                <c:pt idx="92">
                  <c:v>9.2972683927428736</c:v>
                </c:pt>
                <c:pt idx="93">
                  <c:v>9.3986660443480563</c:v>
                </c:pt>
                <c:pt idx="94">
                  <c:v>9.5000710541129312</c:v>
                </c:pt>
                <c:pt idx="95">
                  <c:v>9.6014834230684336</c:v>
                </c:pt>
                <c:pt idx="96">
                  <c:v>9.702903152245959</c:v>
                </c:pt>
                <c:pt idx="97">
                  <c:v>9.8043302426773433</c:v>
                </c:pt>
                <c:pt idx="98">
                  <c:v>9.9057646953948453</c:v>
                </c:pt>
                <c:pt idx="99">
                  <c:v>10.007206511431139</c:v>
                </c:pt>
                <c:pt idx="100">
                  <c:v>10.108655691819306</c:v>
                </c:pt>
              </c:numCache>
            </c:numRef>
          </c:val>
          <c:smooth val="1"/>
          <c:extLst>
            <c:ext xmlns:c16="http://schemas.microsoft.com/office/drawing/2014/chart" uri="{C3380CC4-5D6E-409C-BE32-E72D297353CC}">
              <c16:uniqueId val="{00000001-B744-4C18-B26C-E1D454627484}"/>
            </c:ext>
          </c:extLst>
        </c:ser>
        <c:ser>
          <c:idx val="2"/>
          <c:order val="2"/>
          <c:tx>
            <c:v>VIN = 36V</c:v>
          </c:tx>
          <c:spPr>
            <a:ln>
              <a:solidFill>
                <a:srgbClr val="FF0000"/>
              </a:solidFill>
              <a:prstDash val="solid"/>
            </a:ln>
          </c:spPr>
          <c:marker>
            <c:symbol val="none"/>
          </c:marker>
          <c:val>
            <c:numRef>
              <c:f>'Calculations - Single'!$AJ$216:$AJ$316</c:f>
              <c:numCache>
                <c:formatCode>0.000</c:formatCode>
                <c:ptCount val="101"/>
                <c:pt idx="0">
                  <c:v>3.3333333333333335</c:v>
                </c:pt>
                <c:pt idx="1">
                  <c:v>3.3333333333333335</c:v>
                </c:pt>
                <c:pt idx="2">
                  <c:v>3.3333333333333335</c:v>
                </c:pt>
                <c:pt idx="3">
                  <c:v>3.3333333333333335</c:v>
                </c:pt>
                <c:pt idx="4">
                  <c:v>3.3333333333333335</c:v>
                </c:pt>
                <c:pt idx="5">
                  <c:v>3.3333333333333335</c:v>
                </c:pt>
                <c:pt idx="6">
                  <c:v>3.3333333333333335</c:v>
                </c:pt>
                <c:pt idx="7">
                  <c:v>3.3333333333333335</c:v>
                </c:pt>
                <c:pt idx="8">
                  <c:v>3.3333333333333335</c:v>
                </c:pt>
                <c:pt idx="9">
                  <c:v>3.3333333333333335</c:v>
                </c:pt>
                <c:pt idx="10">
                  <c:v>3.3333333333333335</c:v>
                </c:pt>
                <c:pt idx="11">
                  <c:v>3.3333333333333335</c:v>
                </c:pt>
                <c:pt idx="12">
                  <c:v>3.3333333333333335</c:v>
                </c:pt>
                <c:pt idx="13">
                  <c:v>3.3512810564026738</c:v>
                </c:pt>
                <c:pt idx="14">
                  <c:v>3.4778424817182247</c:v>
                </c:pt>
                <c:pt idx="15">
                  <c:v>3.599962679393391</c:v>
                </c:pt>
                <c:pt idx="16">
                  <c:v>3.7180791114584606</c:v>
                </c:pt>
                <c:pt idx="17">
                  <c:v>3.8325618164883295</c:v>
                </c:pt>
                <c:pt idx="18">
                  <c:v>3.9437271187712986</c:v>
                </c:pt>
                <c:pt idx="19">
                  <c:v>4.0518479490796731</c:v>
                </c:pt>
                <c:pt idx="20">
                  <c:v>4.1571617476697851</c:v>
                </c:pt>
                <c:pt idx="21">
                  <c:v>4.2598766077156682</c:v>
                </c:pt>
                <c:pt idx="22">
                  <c:v>4.3601761155460643</c:v>
                </c:pt>
                <c:pt idx="23">
                  <c:v>4.4582232104330322</c:v>
                </c:pt>
                <c:pt idx="24">
                  <c:v>4.5541632962653873</c:v>
                </c:pt>
                <c:pt idx="25">
                  <c:v>4.64812677504937</c:v>
                </c:pt>
                <c:pt idx="26">
                  <c:v>4.7402311283567053</c:v>
                </c:pt>
                <c:pt idx="27">
                  <c:v>4.8305826415615245</c:v>
                </c:pt>
                <c:pt idx="28">
                  <c:v>4.9192778430521491</c:v>
                </c:pt>
                <c:pt idx="29">
                  <c:v>5.0064047139723336</c:v>
                </c:pt>
                <c:pt idx="30">
                  <c:v>5.0920437116857755</c:v>
                </c:pt>
                <c:pt idx="31">
                  <c:v>5.1762686408656338</c:v>
                </c:pt>
                <c:pt idx="32">
                  <c:v>5.2591473990516491</c:v>
                </c:pt>
                <c:pt idx="33">
                  <c:v>5.3407426181018707</c:v>
                </c:pt>
                <c:pt idx="34">
                  <c:v>5.4211122187732723</c:v>
                </c:pt>
                <c:pt idx="35">
                  <c:v>5.5003098923919147</c:v>
                </c:pt>
                <c:pt idx="36">
                  <c:v>5.5783855209968651</c:v>
                </c:pt>
                <c:pt idx="37">
                  <c:v>5.6553855452991488</c:v>
                </c:pt>
                <c:pt idx="38">
                  <c:v>5.7313532881657752</c:v>
                </c:pt>
                <c:pt idx="39">
                  <c:v>5.8063292400277886</c:v>
                </c:pt>
                <c:pt idx="40">
                  <c:v>5.8803513115508368</c:v>
                </c:pt>
                <c:pt idx="41">
                  <c:v>5.9534550580441472</c:v>
                </c:pt>
                <c:pt idx="42">
                  <c:v>6.0256738793780311</c:v>
                </c:pt>
                <c:pt idx="43">
                  <c:v>6.0970391985997177</c:v>
                </c:pt>
                <c:pt idx="44">
                  <c:v>6.1675806219576819</c:v>
                </c:pt>
                <c:pt idx="45">
                  <c:v>6.237326082646252</c:v>
                </c:pt>
                <c:pt idx="46">
                  <c:v>6.306301970250149</c:v>
                </c:pt>
                <c:pt idx="47">
                  <c:v>6.3745332475901266</c:v>
                </c:pt>
                <c:pt idx="48">
                  <c:v>6.442043556436885</c:v>
                </c:pt>
                <c:pt idx="49">
                  <c:v>6.5088553133625631</c:v>
                </c:pt>
                <c:pt idx="50">
                  <c:v>6.5749897968316526</c:v>
                </c:pt>
                <c:pt idx="51">
                  <c:v>6.6404672264904816</c:v>
                </c:pt>
                <c:pt idx="52">
                  <c:v>6.7053068354927934</c:v>
                </c:pt>
                <c:pt idx="53">
                  <c:v>6.7695269365946835</c:v>
                </c:pt>
                <c:pt idx="54">
                  <c:v>6.8331449826626356</c:v>
                </c:pt>
                <c:pt idx="55">
                  <c:v>6.8961776221612343</c:v>
                </c:pt>
                <c:pt idx="56">
                  <c:v>6.9586407501204537</c:v>
                </c:pt>
                <c:pt idx="57">
                  <c:v>7.0205495550246368</c:v>
                </c:pt>
                <c:pt idx="58">
                  <c:v>7.081918562015078</c:v>
                </c:pt>
                <c:pt idx="59">
                  <c:v>7.1427616727543546</c:v>
                </c:pt>
                <c:pt idx="60">
                  <c:v>7.2030922022623818</c:v>
                </c:pt>
                <c:pt idx="61">
                  <c:v>7.2629229130006765</c:v>
                </c:pt>
                <c:pt idx="62">
                  <c:v>7.3222660464519969</c:v>
                </c:pt>
                <c:pt idx="63">
                  <c:v>7.3811333524167004</c:v>
                </c:pt>
                <c:pt idx="64">
                  <c:v>7.4395361162243949</c:v>
                </c:pt>
                <c:pt idx="65">
                  <c:v>7.4974851840393972</c:v>
                </c:pt>
                <c:pt idx="66">
                  <c:v>7.5549909864206866</c:v>
                </c:pt>
                <c:pt idx="67">
                  <c:v>7.6120635602813023</c:v>
                </c:pt>
                <c:pt idx="68">
                  <c:v>7.6687125693781164</c:v>
                </c:pt>
                <c:pt idx="69">
                  <c:v>7.7249473234504098</c:v>
                </c:pt>
                <c:pt idx="70">
                  <c:v>7.7807767961146173</c:v>
                </c:pt>
                <c:pt idx="71">
                  <c:v>7.8362096416126148</c:v>
                </c:pt>
                <c:pt idx="72">
                  <c:v>7.8912542105020789</c:v>
                </c:pt>
                <c:pt idx="73">
                  <c:v>7.9459185643694532</c:v>
                </c:pt>
                <c:pt idx="74">
                  <c:v>8.0002104896389348</c:v>
                </c:pt>
                <c:pt idx="75">
                  <c:v>8.0541375105444359</c:v>
                </c:pt>
                <c:pt idx="76">
                  <c:v>8.1077069013257219</c:v>
                </c:pt>
                <c:pt idx="77">
                  <c:v>8.1609256977046893</c:v>
                </c:pt>
                <c:pt idx="78">
                  <c:v>8.2138007076930375</c:v>
                </c:pt>
                <c:pt idx="79">
                  <c:v>8.2663385217783567</c:v>
                </c:pt>
                <c:pt idx="80">
                  <c:v>8.3185455225317373</c:v>
                </c:pt>
                <c:pt idx="81">
                  <c:v>8.3704278936765988</c:v>
                </c:pt>
                <c:pt idx="82">
                  <c:v>8.4219916286551744</c:v>
                </c:pt>
                <c:pt idx="83">
                  <c:v>8.4732425387262733</c:v>
                </c:pt>
                <c:pt idx="84">
                  <c:v>8.5241862606252816</c:v>
                </c:pt>
                <c:pt idx="85">
                  <c:v>8.57482826381497</c:v>
                </c:pt>
                <c:pt idx="86">
                  <c:v>8.6251738573535395</c:v>
                </c:pt>
                <c:pt idx="87">
                  <c:v>8.6752281964043032</c:v>
                </c:pt>
                <c:pt idx="88">
                  <c:v>8.7249962884095673</c:v>
                </c:pt>
                <c:pt idx="89">
                  <c:v>8.7744829989496953</c:v>
                </c:pt>
                <c:pt idx="90">
                  <c:v>8.8236930573067269</c:v>
                </c:pt>
                <c:pt idx="91">
                  <c:v>8.8726310617505479</c:v>
                </c:pt>
                <c:pt idx="92">
                  <c:v>8.9213014845643634</c:v>
                </c:pt>
                <c:pt idx="93">
                  <c:v>8.9697086768250056</c:v>
                </c:pt>
                <c:pt idx="94">
                  <c:v>9.0178568729525264</c:v>
                </c:pt>
                <c:pt idx="95">
                  <c:v>9.0657501950425665</c:v>
                </c:pt>
                <c:pt idx="96">
                  <c:v>9.1133926569940158</c:v>
                </c:pt>
                <c:pt idx="97">
                  <c:v>9.1607881684436876</c:v>
                </c:pt>
                <c:pt idx="98">
                  <c:v>9.2079405385189066</c:v>
                </c:pt>
                <c:pt idx="99">
                  <c:v>9.2548534794182107</c:v>
                </c:pt>
                <c:pt idx="100">
                  <c:v>9.3015306098296993</c:v>
                </c:pt>
              </c:numCache>
            </c:numRef>
          </c:val>
          <c:smooth val="1"/>
          <c:extLst>
            <c:ext xmlns:c16="http://schemas.microsoft.com/office/drawing/2014/chart" uri="{C3380CC4-5D6E-409C-BE32-E72D297353CC}">
              <c16:uniqueId val="{00000002-B744-4C18-B26C-E1D454627484}"/>
            </c:ext>
          </c:extLst>
        </c:ser>
        <c:dLbls>
          <c:showLegendKey val="0"/>
          <c:showVal val="0"/>
          <c:showCatName val="0"/>
          <c:showSerName val="0"/>
          <c:showPercent val="0"/>
          <c:showBubbleSize val="0"/>
        </c:dLbls>
        <c:smooth val="0"/>
        <c:axId val="449487616"/>
        <c:axId val="449489536"/>
      </c:lineChart>
      <c:catAx>
        <c:axId val="44948761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3000893709351745"/>
              <c:y val="0.94367744859545111"/>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489536"/>
        <c:crosses val="autoZero"/>
        <c:auto val="1"/>
        <c:lblAlgn val="ctr"/>
        <c:lblOffset val="100"/>
        <c:tickLblSkip val="20"/>
        <c:tickMarkSkip val="10"/>
        <c:noMultiLvlLbl val="0"/>
      </c:catAx>
      <c:valAx>
        <c:axId val="449489536"/>
        <c:scaling>
          <c:orientation val="minMax"/>
          <c:max val="1.4"/>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Peak Primary Current (A)</a:t>
                </a:r>
              </a:p>
            </c:rich>
          </c:tx>
          <c:layout>
            <c:manualLayout>
              <c:xMode val="edge"/>
              <c:yMode val="edge"/>
              <c:x val="1.5889339002412163E-2"/>
              <c:y val="0.26208107274429915"/>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487616"/>
        <c:crossesAt val="0"/>
        <c:crossBetween val="between"/>
        <c:majorUnit val="0.2"/>
        <c:minorUnit val="0.1"/>
      </c:valAx>
      <c:spPr>
        <a:solidFill>
          <a:srgbClr val="FFFFFF"/>
        </a:solidFill>
        <a:ln w="25400">
          <a:noFill/>
        </a:ln>
      </c:spPr>
    </c:plotArea>
    <c:legend>
      <c:legendPos val="tr"/>
      <c:layout>
        <c:manualLayout>
          <c:xMode val="edge"/>
          <c:yMode val="edge"/>
          <c:x val="0.73589084038576502"/>
          <c:y val="0.66865627288406981"/>
          <c:w val="0.19764373891878054"/>
          <c:h val="0.17556628247792619"/>
        </c:manualLayout>
      </c:layout>
      <c:overlay val="0"/>
      <c:spPr>
        <a:solidFill>
          <a:srgbClr val="FFFFFF"/>
        </a:solidFill>
        <a:ln w="25400">
          <a:noFill/>
        </a:ln>
      </c:spPr>
      <c:txPr>
        <a:bodyPr/>
        <a:lstStyle/>
        <a:p>
          <a:pPr>
            <a:defRPr lang="ja-JP" sz="1400" b="1"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93009796772281"/>
          <c:y val="9.6043598935517463E-2"/>
          <c:w val="0.79387547420256122"/>
          <c:h val="0.75083975467433728"/>
        </c:manualLayout>
      </c:layout>
      <c:lineChart>
        <c:grouping val="standard"/>
        <c:varyColors val="0"/>
        <c:ser>
          <c:idx val="9"/>
          <c:order val="9"/>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Dual'!$AM$110:$AM$210</c:f>
              <c:numCache>
                <c:formatCode>0.0</c:formatCode>
                <c:ptCount val="101"/>
                <c:pt idx="0">
                  <c:v>10</c:v>
                </c:pt>
                <c:pt idx="1">
                  <c:v>27.500946761249416</c:v>
                </c:pt>
                <c:pt idx="2">
                  <c:v>82.502840283748242</c:v>
                </c:pt>
                <c:pt idx="3">
                  <c:v>82.502840283748242</c:v>
                </c:pt>
                <c:pt idx="4">
                  <c:v>110.00378704499767</c:v>
                </c:pt>
                <c:pt idx="5">
                  <c:v>137.50473380624706</c:v>
                </c:pt>
                <c:pt idx="6">
                  <c:v>165.00568056749648</c:v>
                </c:pt>
                <c:pt idx="7">
                  <c:v>192.50662732874591</c:v>
                </c:pt>
                <c:pt idx="8">
                  <c:v>220.00757408999533</c:v>
                </c:pt>
                <c:pt idx="9">
                  <c:v>247.50852085124473</c:v>
                </c:pt>
                <c:pt idx="10">
                  <c:v>275.00946761249412</c:v>
                </c:pt>
                <c:pt idx="11">
                  <c:v>302.51041437374357</c:v>
                </c:pt>
                <c:pt idx="12">
                  <c:v>330.01136113499297</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345.86340160719345</c:v>
                </c:pt>
                <c:pt idx="49">
                  <c:v>339.26473502668671</c:v>
                </c:pt>
                <c:pt idx="50">
                  <c:v>332.91257786125936</c:v>
                </c:pt>
                <c:pt idx="51">
                  <c:v>326.79337537641322</c:v>
                </c:pt>
                <c:pt idx="52">
                  <c:v>320.87741203412884</c:v>
                </c:pt>
                <c:pt idx="53">
                  <c:v>315.16982570998761</c:v>
                </c:pt>
                <c:pt idx="54">
                  <c:v>309.6604515374637</c:v>
                </c:pt>
                <c:pt idx="55">
                  <c:v>304.33914029431946</c:v>
                </c:pt>
                <c:pt idx="56">
                  <c:v>299.19642403581486</c:v>
                </c:pt>
                <c:pt idx="57">
                  <c:v>294.22345987382101</c:v>
                </c:pt>
                <c:pt idx="58">
                  <c:v>289.4119792329389</c:v>
                </c:pt>
                <c:pt idx="59">
                  <c:v>284.75424197107662</c:v>
                </c:pt>
                <c:pt idx="60">
                  <c:v>280.24299482899738</c:v>
                </c:pt>
                <c:pt idx="61">
                  <c:v>275.87143373968053</c:v>
                </c:pt>
                <c:pt idx="62">
                  <c:v>271.63316958555379</c:v>
                </c:pt>
                <c:pt idx="63">
                  <c:v>267.52219704115402</c:v>
                </c:pt>
                <c:pt idx="64">
                  <c:v>263.53286618166868</c:v>
                </c:pt>
                <c:pt idx="65">
                  <c:v>259.65985657507753</c:v>
                </c:pt>
                <c:pt idx="66">
                  <c:v>255.89815360807506</c:v>
                </c:pt>
                <c:pt idx="67">
                  <c:v>252.24302682425559</c:v>
                </c:pt>
                <c:pt idx="68">
                  <c:v>248.69001007780486</c:v>
                </c:pt>
                <c:pt idx="69">
                  <c:v>245.23488332762261</c:v>
                </c:pt>
                <c:pt idx="70">
                  <c:v>241.87365591583423</c:v>
                </c:pt>
                <c:pt idx="71">
                  <c:v>238.60255119138742</c:v>
                </c:pt>
                <c:pt idx="72">
                  <c:v>235.41799235416812</c:v>
                </c:pt>
                <c:pt idx="73">
                  <c:v>232.3165894080883</c:v>
                </c:pt>
                <c:pt idx="74">
                  <c:v>229.2951271230931</c:v>
                </c:pt>
                <c:pt idx="75">
                  <c:v>226.35055391622313</c:v>
                </c:pt>
                <c:pt idx="76">
                  <c:v>223.47997157089981</c:v>
                </c:pt>
                <c:pt idx="77">
                  <c:v>220.68062572162594</c:v>
                </c:pt>
                <c:pt idx="78">
                  <c:v>217.94989703843129</c:v>
                </c:pt>
                <c:pt idx="79">
                  <c:v>215.28529305175613</c:v>
                </c:pt>
                <c:pt idx="80">
                  <c:v>212.6844405641402</c:v>
                </c:pt>
                <c:pt idx="81">
                  <c:v>210.14507860015701</c:v>
                </c:pt>
                <c:pt idx="82">
                  <c:v>207.66505185057423</c:v>
                </c:pt>
                <c:pt idx="83">
                  <c:v>205.2423045707836</c:v>
                </c:pt>
                <c:pt idx="84">
                  <c:v>202.87487489719871</c:v>
                </c:pt>
                <c:pt idx="85">
                  <c:v>200.56088954859257</c:v>
                </c:pt>
                <c:pt idx="86">
                  <c:v>198.29855888229784</c:v>
                </c:pt>
                <c:pt idx="87">
                  <c:v>196.08617227785052</c:v>
                </c:pt>
                <c:pt idx="88">
                  <c:v>193.92209382304969</c:v>
                </c:pt>
                <c:pt idx="89">
                  <c:v>191.80475827957036</c:v>
                </c:pt>
                <c:pt idx="90">
                  <c:v>189.73266730722025</c:v>
                </c:pt>
                <c:pt idx="91">
                  <c:v>187.70438592769966</c:v>
                </c:pt>
                <c:pt idx="92">
                  <c:v>185.71853921032664</c:v>
                </c:pt>
                <c:pt idx="93">
                  <c:v>183.77380916363907</c:v>
                </c:pt>
                <c:pt idx="94">
                  <c:v>181.86893181810922</c:v>
                </c:pt>
                <c:pt idx="95">
                  <c:v>180.00269448639793</c:v>
                </c:pt>
                <c:pt idx="96">
                  <c:v>178.17393318867354</c:v>
                </c:pt>
                <c:pt idx="97">
                  <c:v>176.38153023150494</c:v>
                </c:pt>
                <c:pt idx="98">
                  <c:v>174.62441192974907</c:v>
                </c:pt>
                <c:pt idx="99">
                  <c:v>172.90154646167491</c:v>
                </c:pt>
                <c:pt idx="100">
                  <c:v>171.21194184832109</c:v>
                </c:pt>
              </c:numCache>
            </c:numRef>
          </c:val>
          <c:smooth val="0"/>
          <c:extLst>
            <c:ext xmlns:c16="http://schemas.microsoft.com/office/drawing/2014/chart" uri="{C3380CC4-5D6E-409C-BE32-E72D297353CC}">
              <c16:uniqueId val="{00000000-CEA8-405E-B5B3-AF38AAF3801C}"/>
            </c:ext>
          </c:extLst>
        </c:ser>
        <c:ser>
          <c:idx val="10"/>
          <c:order val="10"/>
          <c:tx>
            <c:v>VIN-nom</c:v>
          </c:tx>
          <c:spPr>
            <a:ln w="28575">
              <a:solidFill>
                <a:srgbClr val="0000FF"/>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Dual'!$AM$5:$AM$105</c:f>
              <c:numCache>
                <c:formatCode>0.0</c:formatCode>
                <c:ptCount val="101"/>
                <c:pt idx="0">
                  <c:v>10</c:v>
                </c:pt>
                <c:pt idx="1">
                  <c:v>27.500946761249416</c:v>
                </c:pt>
                <c:pt idx="2">
                  <c:v>55.001893522498833</c:v>
                </c:pt>
                <c:pt idx="3">
                  <c:v>82.502840283748242</c:v>
                </c:pt>
                <c:pt idx="4">
                  <c:v>110.00378704499767</c:v>
                </c:pt>
                <c:pt idx="5">
                  <c:v>137.50473380624706</c:v>
                </c:pt>
                <c:pt idx="6">
                  <c:v>165.00568056749648</c:v>
                </c:pt>
                <c:pt idx="7">
                  <c:v>192.50662732874591</c:v>
                </c:pt>
                <c:pt idx="8">
                  <c:v>220.00757408999533</c:v>
                </c:pt>
                <c:pt idx="9">
                  <c:v>247.50852085124473</c:v>
                </c:pt>
                <c:pt idx="10">
                  <c:v>275.00946761249412</c:v>
                </c:pt>
                <c:pt idx="11">
                  <c:v>302.51041437374357</c:v>
                </c:pt>
                <c:pt idx="12">
                  <c:v>330.01136113499297</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345.77127327623862</c:v>
                </c:pt>
                <c:pt idx="75">
                  <c:v>341.46917662343873</c:v>
                </c:pt>
                <c:pt idx="76">
                  <c:v>337.27268736584324</c:v>
                </c:pt>
                <c:pt idx="77">
                  <c:v>333.17796482095775</c:v>
                </c:pt>
                <c:pt idx="78">
                  <c:v>329.18135229491418</c:v>
                </c:pt>
                <c:pt idx="79">
                  <c:v>325.27544571815162</c:v>
                </c:pt>
                <c:pt idx="80">
                  <c:v>321.45860819807336</c:v>
                </c:pt>
                <c:pt idx="81">
                  <c:v>317.73000277407016</c:v>
                </c:pt>
                <c:pt idx="82">
                  <c:v>314.08660489271443</c:v>
                </c:pt>
                <c:pt idx="83">
                  <c:v>310.5255266791188</c:v>
                </c:pt>
                <c:pt idx="84">
                  <c:v>307.04400930261346</c:v>
                </c:pt>
                <c:pt idx="85">
                  <c:v>303.63941584847828</c:v>
                </c:pt>
                <c:pt idx="86">
                  <c:v>300.30922465702025</c:v>
                </c:pt>
                <c:pt idx="87">
                  <c:v>297.05102309463831</c:v>
                </c:pt>
                <c:pt idx="88">
                  <c:v>293.8625017245372</c:v>
                </c:pt>
                <c:pt idx="89">
                  <c:v>290.7414488474937</c:v>
                </c:pt>
                <c:pt idx="90">
                  <c:v>287.68574538555328</c:v>
                </c:pt>
                <c:pt idx="91">
                  <c:v>284.69336008378821</c:v>
                </c:pt>
                <c:pt idx="92">
                  <c:v>281.76234500728293</c:v>
                </c:pt>
                <c:pt idx="93">
                  <c:v>278.89083131237174</c:v>
                </c:pt>
                <c:pt idx="94">
                  <c:v>276.0770252728355</c:v>
                </c:pt>
                <c:pt idx="95">
                  <c:v>273.3192045433039</c:v>
                </c:pt>
                <c:pt idx="96">
                  <c:v>270.61571464350584</c:v>
                </c:pt>
                <c:pt idx="97">
                  <c:v>267.96496564828726</c:v>
                </c:pt>
                <c:pt idx="98">
                  <c:v>265.36542906948381</c:v>
                </c:pt>
                <c:pt idx="99">
                  <c:v>262.81563491679674</c:v>
                </c:pt>
                <c:pt idx="100">
                  <c:v>260.31416892579756</c:v>
                </c:pt>
              </c:numCache>
            </c:numRef>
          </c:val>
          <c:smooth val="0"/>
          <c:extLst>
            <c:ext xmlns:c16="http://schemas.microsoft.com/office/drawing/2014/chart" uri="{C3380CC4-5D6E-409C-BE32-E72D297353CC}">
              <c16:uniqueId val="{00000001-CEA8-405E-B5B3-AF38AAF3801C}"/>
            </c:ext>
          </c:extLst>
        </c:ser>
        <c:ser>
          <c:idx val="11"/>
          <c:order val="11"/>
          <c:tx>
            <c:v>VIN-max</c:v>
          </c:tx>
          <c:spPr>
            <a:ln>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Dual'!$AM$216:$AM$316</c:f>
              <c:numCache>
                <c:formatCode>0.0</c:formatCode>
                <c:ptCount val="101"/>
                <c:pt idx="0">
                  <c:v>10</c:v>
                </c:pt>
                <c:pt idx="1">
                  <c:v>27.500789703754936</c:v>
                </c:pt>
                <c:pt idx="2">
                  <c:v>55.001579407509873</c:v>
                </c:pt>
                <c:pt idx="3">
                  <c:v>82.502369111264812</c:v>
                </c:pt>
                <c:pt idx="4">
                  <c:v>110.00315881501975</c:v>
                </c:pt>
                <c:pt idx="5">
                  <c:v>137.50394851877468</c:v>
                </c:pt>
                <c:pt idx="6">
                  <c:v>165.00473822252962</c:v>
                </c:pt>
                <c:pt idx="7">
                  <c:v>192.50552792628457</c:v>
                </c:pt>
                <c:pt idx="8">
                  <c:v>220.00631763003949</c:v>
                </c:pt>
                <c:pt idx="9">
                  <c:v>247.50710733379441</c:v>
                </c:pt>
                <c:pt idx="10">
                  <c:v>275.00789703754936</c:v>
                </c:pt>
                <c:pt idx="11">
                  <c:v>302.5086867413043</c:v>
                </c:pt>
                <c:pt idx="12">
                  <c:v>330.00947644505925</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2-CEA8-405E-B5B3-AF38AAF3801C}"/>
            </c:ext>
          </c:extLst>
        </c:ser>
        <c:ser>
          <c:idx val="12"/>
          <c:order val="12"/>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CEA8-405E-B5B3-AF38AAF3801C}"/>
            </c:ext>
          </c:extLst>
        </c:ser>
        <c:ser>
          <c:idx val="13"/>
          <c:order val="13"/>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CEA8-405E-B5B3-AF38AAF3801C}"/>
            </c:ext>
          </c:extLst>
        </c:ser>
        <c:ser>
          <c:idx val="14"/>
          <c:order val="14"/>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CEA8-405E-B5B3-AF38AAF3801C}"/>
            </c:ext>
          </c:extLst>
        </c:ser>
        <c:ser>
          <c:idx val="15"/>
          <c:order val="15"/>
          <c:tx>
            <c:v>D1</c:v>
          </c:tx>
          <c:spPr>
            <a:ln w="25400">
              <a:solidFill>
                <a:srgbClr val="0000FF"/>
              </a:solidFill>
              <a:prstDash val="lgDash"/>
            </a:ln>
          </c:spPr>
          <c:marker>
            <c:symbol val="none"/>
          </c:marker>
          <c:val>
            <c:numRef>
              <c:f>'Calculations - Dual'!$AU$5:$AU$105</c:f>
              <c:numCache>
                <c:formatCode>0.000</c:formatCode>
                <c:ptCount val="101"/>
                <c:pt idx="0">
                  <c:v>5.5952439105634412E-3</c:v>
                </c:pt>
                <c:pt idx="1">
                  <c:v>1.5418951187970441E-2</c:v>
                </c:pt>
                <c:pt idx="2">
                  <c:v>3.0837902375940883E-2</c:v>
                </c:pt>
                <c:pt idx="3">
                  <c:v>4.6256853563911314E-2</c:v>
                </c:pt>
                <c:pt idx="4">
                  <c:v>6.1675804751881766E-2</c:v>
                </c:pt>
                <c:pt idx="5">
                  <c:v>7.7094755939852183E-2</c:v>
                </c:pt>
                <c:pt idx="6">
                  <c:v>9.2513707127822628E-2</c:v>
                </c:pt>
                <c:pt idx="7">
                  <c:v>0.10793265831579306</c:v>
                </c:pt>
                <c:pt idx="8">
                  <c:v>0.12335160950376353</c:v>
                </c:pt>
                <c:pt idx="9">
                  <c:v>0.13877056069173394</c:v>
                </c:pt>
                <c:pt idx="10">
                  <c:v>0.15418951187970437</c:v>
                </c:pt>
                <c:pt idx="11">
                  <c:v>0.16960846306767483</c:v>
                </c:pt>
                <c:pt idx="12">
                  <c:v>0.18665122962252334</c:v>
                </c:pt>
                <c:pt idx="13">
                  <c:v>0.20604410504253551</c:v>
                </c:pt>
                <c:pt idx="14">
                  <c:v>0.21383877655934039</c:v>
                </c:pt>
                <c:pt idx="15">
                  <c:v>0.22136084769772479</c:v>
                </c:pt>
                <c:pt idx="16">
                  <c:v>0.22863716991196237</c:v>
                </c:pt>
                <c:pt idx="17">
                  <c:v>0.23569045619164497</c:v>
                </c:pt>
                <c:pt idx="18">
                  <c:v>0.24254012253376908</c:v>
                </c:pt>
                <c:pt idx="19">
                  <c:v>0.24920292143403344</c:v>
                </c:pt>
                <c:pt idx="20">
                  <c:v>0.25569342697474562</c:v>
                </c:pt>
                <c:pt idx="21">
                  <c:v>0.26202441191009945</c:v>
                </c:pt>
                <c:pt idx="22">
                  <c:v>0.26820714476091939</c:v>
                </c:pt>
                <c:pt idx="23">
                  <c:v>0.27425162672924341</c:v>
                </c:pt>
                <c:pt idx="24">
                  <c:v>0.28016678269342565</c:v>
                </c:pt>
                <c:pt idx="25">
                  <c:v>0.28596061671486073</c:v>
                </c:pt>
                <c:pt idx="26">
                  <c:v>0.29164033979762044</c:v>
                </c:pt>
                <c:pt idx="27">
                  <c:v>0.29721247572239495</c:v>
                </c:pt>
                <c:pt idx="28">
                  <c:v>0.30268294938553114</c:v>
                </c:pt>
                <c:pt idx="29">
                  <c:v>0.30805716105312553</c:v>
                </c:pt>
                <c:pt idx="30">
                  <c:v>0.31334004918141251</c:v>
                </c:pt>
                <c:pt idx="31">
                  <c:v>0.31853614388435048</c:v>
                </c:pt>
                <c:pt idx="32">
                  <c:v>0.32364961269600467</c:v>
                </c:pt>
                <c:pt idx="33">
                  <c:v>0.32868429994292403</c:v>
                </c:pt>
                <c:pt idx="34">
                  <c:v>0.3336437607843547</c:v>
                </c:pt>
                <c:pt idx="35">
                  <c:v>0.33853129077719868</c:v>
                </c:pt>
                <c:pt idx="36">
                  <c:v>0.34334995166448201</c:v>
                </c:pt>
                <c:pt idx="37">
                  <c:v>0.34810259396070203</c:v>
                </c:pt>
                <c:pt idx="38">
                  <c:v>0.35279187680729829</c:v>
                </c:pt>
                <c:pt idx="39">
                  <c:v>0.35742028549101368</c:v>
                </c:pt>
                <c:pt idx="40">
                  <c:v>0.36199014695282716</c:v>
                </c:pt>
                <c:pt idx="41">
                  <c:v>0.36650364356218412</c:v>
                </c:pt>
                <c:pt idx="42">
                  <c:v>0.37096282538793918</c:v>
                </c:pt>
                <c:pt idx="43">
                  <c:v>0.37536962116179967</c:v>
                </c:pt>
                <c:pt idx="44">
                  <c:v>0.37972584810062043</c:v>
                </c:pt>
                <c:pt idx="45">
                  <c:v>0.38403322072944918</c:v>
                </c:pt>
                <c:pt idx="46">
                  <c:v>0.3882933588268303</c:v>
                </c:pt>
                <c:pt idx="47">
                  <c:v>0.39250779459678947</c:v>
                </c:pt>
                <c:pt idx="48">
                  <c:v>0.39667797915755082</c:v>
                </c:pt>
                <c:pt idx="49">
                  <c:v>0.40080528842489815</c:v>
                </c:pt>
                <c:pt idx="50">
                  <c:v>0.40489102845781283</c:v>
                </c:pt>
                <c:pt idx="51">
                  <c:v>0.40893644032525672</c:v>
                </c:pt>
                <c:pt idx="52">
                  <c:v>0.41294270454551296</c:v>
                </c:pt>
                <c:pt idx="53">
                  <c:v>0.41691094514308857</c:v>
                </c:pt>
                <c:pt idx="54">
                  <c:v>0.42084223336269322</c:v>
                </c:pt>
                <c:pt idx="55">
                  <c:v>0.42473759107506959</c:v>
                </c:pt>
                <c:pt idx="56">
                  <c:v>0.4285979939053618</c:v>
                </c:pt>
                <c:pt idx="57">
                  <c:v>0.43242437411115525</c:v>
                </c:pt>
                <c:pt idx="58">
                  <c:v>0.43621762323424718</c:v>
                </c:pt>
                <c:pt idx="59">
                  <c:v>0.43997859454751348</c:v>
                </c:pt>
                <c:pt idx="60">
                  <c:v>0.44370810531590205</c:v>
                </c:pt>
                <c:pt idx="61">
                  <c:v>0.4474069388885194</c:v>
                </c:pt>
                <c:pt idx="62">
                  <c:v>0.45107584663698463</c:v>
                </c:pt>
                <c:pt idx="63">
                  <c:v>0.45471554975363565</c:v>
                </c:pt>
                <c:pt idx="64">
                  <c:v>0.45832674092177494</c:v>
                </c:pt>
                <c:pt idx="65">
                  <c:v>0.46191008586891552</c:v>
                </c:pt>
                <c:pt idx="66">
                  <c:v>0.46546622481288502</c:v>
                </c:pt>
                <c:pt idx="67">
                  <c:v>0.4689957738096911</c:v>
                </c:pt>
                <c:pt idx="68">
                  <c:v>0.47249932601117772</c:v>
                </c:pt>
                <c:pt idx="69">
                  <c:v>0.47597745283974868</c:v>
                </c:pt>
                <c:pt idx="70">
                  <c:v>0.47943070508674207</c:v>
                </c:pt>
                <c:pt idx="71">
                  <c:v>0.48285961394043675</c:v>
                </c:pt>
                <c:pt idx="72">
                  <c:v>0.48626469194912292</c:v>
                </c:pt>
                <c:pt idx="73">
                  <c:v>0.4896464339241805</c:v>
                </c:pt>
                <c:pt idx="74">
                  <c:v>0.4870487898954271</c:v>
                </c:pt>
                <c:pt idx="75">
                  <c:v>0.48424407886568749</c:v>
                </c:pt>
                <c:pt idx="76">
                  <c:v>0.48148696461148932</c:v>
                </c:pt>
                <c:pt idx="77">
                  <c:v>0.47877612904497296</c:v>
                </c:pt>
                <c:pt idx="78">
                  <c:v>0.47611030402059518</c:v>
                </c:pt>
                <c:pt idx="79">
                  <c:v>0.47349226158949426</c:v>
                </c:pt>
                <c:pt idx="80">
                  <c:v>0.47091915368263138</c:v>
                </c:pt>
                <c:pt idx="81">
                  <c:v>0.46838748354773369</c:v>
                </c:pt>
                <c:pt idx="82">
                  <c:v>0.46589616127297506</c:v>
                </c:pt>
                <c:pt idx="83">
                  <c:v>0.46344413625652159</c:v>
                </c:pt>
                <c:pt idx="84">
                  <c:v>0.46103039542435004</c:v>
                </c:pt>
                <c:pt idx="85">
                  <c:v>0.47723887426770861</c:v>
                </c:pt>
                <c:pt idx="86">
                  <c:v>0.47759856777404031</c:v>
                </c:pt>
                <c:pt idx="87">
                  <c:v>0.47795097609609644</c:v>
                </c:pt>
                <c:pt idx="88">
                  <c:v>0.47829633297126756</c:v>
                </c:pt>
                <c:pt idx="89">
                  <c:v>0.47863486224495683</c:v>
                </c:pt>
                <c:pt idx="90">
                  <c:v>0.4789667783883988</c:v>
                </c:pt>
                <c:pt idx="91">
                  <c:v>0.47929228698428833</c:v>
                </c:pt>
                <c:pt idx="92">
                  <c:v>0.47961158518252939</c:v>
                </c:pt>
                <c:pt idx="93">
                  <c:v>0.47992486212822616</c:v>
                </c:pt>
                <c:pt idx="94">
                  <c:v>0.48023229936387085</c:v>
                </c:pt>
                <c:pt idx="95">
                  <c:v>0.48053407120752345</c:v>
                </c:pt>
                <c:pt idx="96">
                  <c:v>0.48083034510863926</c:v>
                </c:pt>
                <c:pt idx="97">
                  <c:v>0.48112128198307136</c:v>
                </c:pt>
                <c:pt idx="98">
                  <c:v>0.48140703652865557</c:v>
                </c:pt>
                <c:pt idx="99">
                  <c:v>0.48168775752267734</c:v>
                </c:pt>
                <c:pt idx="100">
                  <c:v>0.48196358810242568</c:v>
                </c:pt>
              </c:numCache>
            </c:numRef>
          </c:val>
          <c:smooth val="0"/>
          <c:extLst>
            <c:ext xmlns:c16="http://schemas.microsoft.com/office/drawing/2014/chart" uri="{C3380CC4-5D6E-409C-BE32-E72D297353CC}">
              <c16:uniqueId val="{00000006-CEA8-405E-B5B3-AF38AAF3801C}"/>
            </c:ext>
          </c:extLst>
        </c:ser>
        <c:ser>
          <c:idx val="16"/>
          <c:order val="16"/>
          <c:spPr>
            <a:ln w="25400">
              <a:solidFill>
                <a:srgbClr val="00B050"/>
              </a:solidFill>
              <a:prstDash val="dash"/>
            </a:ln>
          </c:spPr>
          <c:marker>
            <c:symbol val="none"/>
          </c:marker>
          <c:val>
            <c:numRef>
              <c:f>'Calculations - Dual'!$AU$110:$AU$210</c:f>
              <c:numCache>
                <c:formatCode>0.000</c:formatCode>
                <c:ptCount val="101"/>
                <c:pt idx="0">
                  <c:v>8.2488351462606177E-3</c:v>
                </c:pt>
                <c:pt idx="1">
                  <c:v>2.27447319506386E-2</c:v>
                </c:pt>
                <c:pt idx="2">
                  <c:v>6.8234195851915785E-2</c:v>
                </c:pt>
                <c:pt idx="3">
                  <c:v>6.8234195851915785E-2</c:v>
                </c:pt>
                <c:pt idx="4">
                  <c:v>9.0978927802554399E-2</c:v>
                </c:pt>
                <c:pt idx="5">
                  <c:v>0.11372365975319297</c:v>
                </c:pt>
                <c:pt idx="6">
                  <c:v>0.13646839170383157</c:v>
                </c:pt>
                <c:pt idx="7">
                  <c:v>0.15921312365447016</c:v>
                </c:pt>
                <c:pt idx="8">
                  <c:v>0.1819578556051088</c:v>
                </c:pt>
                <c:pt idx="9">
                  <c:v>0.20470258755574736</c:v>
                </c:pt>
                <c:pt idx="10">
                  <c:v>0.22744731950638594</c:v>
                </c:pt>
                <c:pt idx="11">
                  <c:v>0.25019205145702456</c:v>
                </c:pt>
                <c:pt idx="12">
                  <c:v>0.27533209842012546</c:v>
                </c:pt>
                <c:pt idx="13">
                  <c:v>0.30394186374166549</c:v>
                </c:pt>
                <c:pt idx="14">
                  <c:v>0.31545172700426155</c:v>
                </c:pt>
                <c:pt idx="15">
                  <c:v>0.32655986994021219</c:v>
                </c:pt>
                <c:pt idx="16">
                  <c:v>0.33730586289385056</c:v>
                </c:pt>
                <c:pt idx="17">
                  <c:v>0.34772317744043862</c:v>
                </c:pt>
                <c:pt idx="18">
                  <c:v>0.35784042644715391</c:v>
                </c:pt>
                <c:pt idx="19">
                  <c:v>0.36768229763669213</c:v>
                </c:pt>
                <c:pt idx="20">
                  <c:v>0.37727026845160805</c:v>
                </c:pt>
                <c:pt idx="21">
                  <c:v>0.38662316175725092</c:v>
                </c:pt>
                <c:pt idx="22">
                  <c:v>0.39575758366419783</c:v>
                </c:pt>
                <c:pt idx="23">
                  <c:v>0.40468827266436219</c:v>
                </c:pt>
                <c:pt idx="24">
                  <c:v>0.4134283810964659</c:v>
                </c:pt>
                <c:pt idx="25">
                  <c:v>0.42198970431299859</c:v>
                </c:pt>
                <c:pt idx="26">
                  <c:v>0.4303828689568503</c:v>
                </c:pt>
                <c:pt idx="27">
                  <c:v>0.43861748892649238</c:v>
                </c:pt>
                <c:pt idx="28">
                  <c:v>0.44670229555927765</c:v>
                </c:pt>
                <c:pt idx="29">
                  <c:v>0.45464524705804893</c:v>
                </c:pt>
                <c:pt idx="30">
                  <c:v>0.4624536210681347</c:v>
                </c:pt>
                <c:pt idx="31">
                  <c:v>0.47013409347131757</c:v>
                </c:pt>
                <c:pt idx="32">
                  <c:v>0.47769280582480805</c:v>
                </c:pt>
                <c:pt idx="33">
                  <c:v>0.48513542338340432</c:v>
                </c:pt>
                <c:pt idx="34">
                  <c:v>0.49246718526375693</c:v>
                </c:pt>
                <c:pt idx="35">
                  <c:v>0.49969294801354935</c:v>
                </c:pt>
                <c:pt idx="36">
                  <c:v>0.50681722361534653</c:v>
                </c:pt>
                <c:pt idx="37">
                  <c:v>0.51384421277007564</c:v>
                </c:pt>
                <c:pt idx="38">
                  <c:v>0.52077783415754964</c:v>
                </c:pt>
                <c:pt idx="39">
                  <c:v>0.52762175025284452</c:v>
                </c:pt>
                <c:pt idx="40">
                  <c:v>0.53437939018142655</c:v>
                </c:pt>
                <c:pt idx="41">
                  <c:v>0.54105397001789124</c:v>
                </c:pt>
                <c:pt idx="42">
                  <c:v>0.54764851086933874</c:v>
                </c:pt>
                <c:pt idx="43">
                  <c:v>0.55416585503192084</c:v>
                </c:pt>
                <c:pt idx="44">
                  <c:v>0.56060868046570256</c:v>
                </c:pt>
                <c:pt idx="45">
                  <c:v>0.56697951379695366</c:v>
                </c:pt>
                <c:pt idx="46">
                  <c:v>0.57328074202693413</c:v>
                </c:pt>
                <c:pt idx="47">
                  <c:v>0.57951462310105661</c:v>
                </c:pt>
                <c:pt idx="48">
                  <c:v>0.57876119096045098</c:v>
                </c:pt>
                <c:pt idx="49">
                  <c:v>0.57363733123935445</c:v>
                </c:pt>
                <c:pt idx="50">
                  <c:v>0.56331192534896346</c:v>
                </c:pt>
                <c:pt idx="51">
                  <c:v>0.56406742770617102</c:v>
                </c:pt>
                <c:pt idx="52">
                  <c:v>0.56481452774790941</c:v>
                </c:pt>
                <c:pt idx="53">
                  <c:v>0.56553723832969705</c:v>
                </c:pt>
                <c:pt idx="54">
                  <c:v>0.56623610409782899</c:v>
                </c:pt>
                <c:pt idx="55">
                  <c:v>0.56691234610184604</c:v>
                </c:pt>
                <c:pt idx="56">
                  <c:v>0.5675671034270322</c:v>
                </c:pt>
                <c:pt idx="57">
                  <c:v>0.56820143995832884</c:v>
                </c:pt>
                <c:pt idx="58">
                  <c:v>0.56881635048531498</c:v>
                </c:pt>
                <c:pt idx="59">
                  <c:v>0.56941276622194315</c:v>
                </c:pt>
                <c:pt idx="60">
                  <c:v>0.56999155980546001</c:v>
                </c:pt>
                <c:pt idx="61">
                  <c:v>0.57055354983095441</c:v>
                </c:pt>
                <c:pt idx="62">
                  <c:v>0.57109950497109274</c:v>
                </c:pt>
                <c:pt idx="63">
                  <c:v>0.5716301477246466</c:v>
                </c:pt>
                <c:pt idx="64">
                  <c:v>0.57214615783226053</c:v>
                </c:pt>
                <c:pt idx="65">
                  <c:v>0.57264817539341595</c:v>
                </c:pt>
                <c:pt idx="66">
                  <c:v>0.5731368037146527</c:v>
                </c:pt>
                <c:pt idx="67">
                  <c:v>0.57361261191569279</c:v>
                </c:pt>
                <c:pt idx="68">
                  <c:v>0.57407613731714435</c:v>
                </c:pt>
                <c:pt idx="69">
                  <c:v>0.57452788763084317</c:v>
                </c:pt>
                <c:pt idx="70">
                  <c:v>0.57496834297160992</c:v>
                </c:pt>
                <c:pt idx="71">
                  <c:v>0.57539795770717883</c:v>
                </c:pt>
                <c:pt idx="72">
                  <c:v>0.57581716216128853</c:v>
                </c:pt>
                <c:pt idx="73">
                  <c:v>0.57622636418335049</c:v>
                </c:pt>
                <c:pt idx="74">
                  <c:v>0.57662595059673583</c:v>
                </c:pt>
                <c:pt idx="75">
                  <c:v>0.57701628853649123</c:v>
                </c:pt>
                <c:pt idx="76">
                  <c:v>0.57739772668620715</c:v>
                </c:pt>
                <c:pt idx="77">
                  <c:v>0.57777059642280215</c:v>
                </c:pt>
                <c:pt idx="78">
                  <c:v>0.57813521287711633</c:v>
                </c:pt>
                <c:pt idx="79">
                  <c:v>0.57849187591745999</c:v>
                </c:pt>
                <c:pt idx="80">
                  <c:v>0.57884087106255744</c:v>
                </c:pt>
                <c:pt idx="81">
                  <c:v>0.57918247032974068</c:v>
                </c:pt>
                <c:pt idx="82">
                  <c:v>0.57951693302367779</c:v>
                </c:pt>
                <c:pt idx="83">
                  <c:v>0.57984450647045238</c:v>
                </c:pt>
                <c:pt idx="84">
                  <c:v>0.5801654267013554</c:v>
                </c:pt>
                <c:pt idx="85">
                  <c:v>0.58047991909036534</c:v>
                </c:pt>
                <c:pt idx="86">
                  <c:v>0.58078819894893419</c:v>
                </c:pt>
                <c:pt idx="87">
                  <c:v>0.58109047208138054</c:v>
                </c:pt>
                <c:pt idx="88">
                  <c:v>0.58138693530389873</c:v>
                </c:pt>
                <c:pt idx="89">
                  <c:v>0.58167777692993328</c:v>
                </c:pt>
                <c:pt idx="90">
                  <c:v>0.58196317722443791</c:v>
                </c:pt>
                <c:pt idx="91">
                  <c:v>0.58224330882931941</c:v>
                </c:pt>
                <c:pt idx="92">
                  <c:v>0.58251833716217638</c:v>
                </c:pt>
                <c:pt idx="93">
                  <c:v>0.58278842079027049</c:v>
                </c:pt>
                <c:pt idx="94">
                  <c:v>0.58305371178150267</c:v>
                </c:pt>
                <c:pt idx="95">
                  <c:v>0.58331435603403248</c:v>
                </c:pt>
                <c:pt idx="96">
                  <c:v>0.58357049358603585</c:v>
                </c:pt>
                <c:pt idx="97">
                  <c:v>0.58382225890698791</c:v>
                </c:pt>
                <c:pt idx="98">
                  <c:v>0.58406978117174302</c:v>
                </c:pt>
                <c:pt idx="99">
                  <c:v>0.58431318451858172</c:v>
                </c:pt>
                <c:pt idx="100">
                  <c:v>0.58455258829231649</c:v>
                </c:pt>
              </c:numCache>
            </c:numRef>
          </c:val>
          <c:smooth val="0"/>
          <c:extLst>
            <c:ext xmlns:c16="http://schemas.microsoft.com/office/drawing/2014/chart" uri="{C3380CC4-5D6E-409C-BE32-E72D297353CC}">
              <c16:uniqueId val="{00000007-CEA8-405E-B5B3-AF38AAF3801C}"/>
            </c:ext>
          </c:extLst>
        </c:ser>
        <c:ser>
          <c:idx val="17"/>
          <c:order val="17"/>
          <c:spPr>
            <a:ln w="25400">
              <a:solidFill>
                <a:srgbClr val="FF0000"/>
              </a:solidFill>
            </a:ln>
          </c:spPr>
          <c:marker>
            <c:symbol val="none"/>
          </c:marker>
          <c:val>
            <c:numRef>
              <c:f>'Calculations - Dual'!$AU$216:$AU$316</c:f>
              <c:numCache>
                <c:formatCode>0.000</c:formatCode>
                <c:ptCount val="101"/>
                <c:pt idx="0">
                  <c:v>3.9173873009174069E-3</c:v>
                </c:pt>
                <c:pt idx="1">
                  <c:v>1.0786462574852565E-2</c:v>
                </c:pt>
                <c:pt idx="2">
                  <c:v>2.157292514970513E-2</c:v>
                </c:pt>
                <c:pt idx="3">
                  <c:v>3.2359387724557695E-2</c:v>
                </c:pt>
                <c:pt idx="4">
                  <c:v>4.314585029941026E-2</c:v>
                </c:pt>
                <c:pt idx="5">
                  <c:v>5.3932312874262818E-2</c:v>
                </c:pt>
                <c:pt idx="6">
                  <c:v>6.471877544911539E-2</c:v>
                </c:pt>
                <c:pt idx="7">
                  <c:v>7.5505238023967969E-2</c:v>
                </c:pt>
                <c:pt idx="8">
                  <c:v>8.629170059882052E-2</c:v>
                </c:pt>
                <c:pt idx="9">
                  <c:v>9.7078163173673085E-2</c:v>
                </c:pt>
                <c:pt idx="10">
                  <c:v>0.10786462574852564</c:v>
                </c:pt>
                <c:pt idx="11">
                  <c:v>0.1186510883233782</c:v>
                </c:pt>
                <c:pt idx="12">
                  <c:v>0.13057350518395197</c:v>
                </c:pt>
                <c:pt idx="13">
                  <c:v>0.14413985828125195</c:v>
                </c:pt>
                <c:pt idx="14">
                  <c:v>0.14958911419565396</c:v>
                </c:pt>
                <c:pt idx="15">
                  <c:v>0.15484754847725002</c:v>
                </c:pt>
                <c:pt idx="16">
                  <c:v>0.15993395719012807</c:v>
                </c:pt>
                <c:pt idx="17">
                  <c:v>0.16486423946869866</c:v>
                </c:pt>
                <c:pt idx="18">
                  <c:v>0.16965198654881439</c:v>
                </c:pt>
                <c:pt idx="19">
                  <c:v>0.17430892521220612</c:v>
                </c:pt>
                <c:pt idx="20">
                  <c:v>0.17884525734844725</c:v>
                </c:pt>
                <c:pt idx="21">
                  <c:v>0.18326992391500108</c:v>
                </c:pt>
                <c:pt idx="22">
                  <c:v>0.18759081290383475</c:v>
                </c:pt>
                <c:pt idx="23">
                  <c:v>0.19181492518187393</c:v>
                </c:pt>
                <c:pt idx="24">
                  <c:v>0.19594850818778237</c:v>
                </c:pt>
                <c:pt idx="25">
                  <c:v>0.19999716478684662</c:v>
                </c:pt>
                <c:pt idx="26">
                  <c:v>0.20396594270287388</c:v>
                </c:pt>
                <c:pt idx="27">
                  <c:v>0.20785940860208213</c:v>
                </c:pt>
                <c:pt idx="28">
                  <c:v>0.21168170993054194</c:v>
                </c:pt>
                <c:pt idx="29">
                  <c:v>0.21543662689214063</c:v>
                </c:pt>
                <c:pt idx="30">
                  <c:v>0.21912761642294229</c:v>
                </c:pt>
                <c:pt idx="31">
                  <c:v>0.22275784961857531</c:v>
                </c:pt>
                <c:pt idx="32">
                  <c:v>0.22633024376796851</c:v>
                </c:pt>
                <c:pt idx="33">
                  <c:v>0.22984748991407672</c:v>
                </c:pt>
                <c:pt idx="34">
                  <c:v>0.23331207668208406</c:v>
                </c:pt>
                <c:pt idx="35">
                  <c:v>0.23672631097492403</c:v>
                </c:pt>
                <c:pt idx="36">
                  <c:v>0.2400923360252511</c:v>
                </c:pt>
                <c:pt idx="37">
                  <c:v>0.24341214720522339</c:v>
                </c:pt>
                <c:pt idx="38">
                  <c:v>0.24668760592536809</c:v>
                </c:pt>
                <c:pt idx="39">
                  <c:v>0.2499204518974672</c:v>
                </c:pt>
                <c:pt idx="40">
                  <c:v>0.253112313990839</c:v>
                </c:pt>
                <c:pt idx="41">
                  <c:v>0.25626471987432731</c:v>
                </c:pt>
                <c:pt idx="42">
                  <c:v>0.25937910460598529</c:v>
                </c:pt>
                <c:pt idx="43">
                  <c:v>0.26245681830750894</c:v>
                </c:pt>
                <c:pt idx="44">
                  <c:v>0.26549913303986439</c:v>
                </c:pt>
                <c:pt idx="45">
                  <c:v>0.26850724897943767</c:v>
                </c:pt>
                <c:pt idx="46">
                  <c:v>0.27148229997976608</c:v>
                </c:pt>
                <c:pt idx="47">
                  <c:v>0.27442535859194317</c:v>
                </c:pt>
                <c:pt idx="48">
                  <c:v>0.2773374406067356</c:v>
                </c:pt>
                <c:pt idx="49">
                  <c:v>0.28021950917295058</c:v>
                </c:pt>
                <c:pt idx="50">
                  <c:v>0.28307247853939405</c:v>
                </c:pt>
                <c:pt idx="51">
                  <c:v>0.28589721746163227</c:v>
                </c:pt>
                <c:pt idx="52">
                  <c:v>0.28869455230954028</c:v>
                </c:pt>
                <c:pt idx="53">
                  <c:v>0.29146526990714494</c:v>
                </c:pt>
                <c:pt idx="54">
                  <c:v>0.29421012013241932</c:v>
                </c:pt>
                <c:pt idx="55">
                  <c:v>0.29692981830137349</c:v>
                </c:pt>
                <c:pt idx="56">
                  <c:v>0.29962504735792034</c:v>
                </c:pt>
                <c:pt idx="57">
                  <c:v>0.30229645988851195</c:v>
                </c:pt>
                <c:pt idx="58">
                  <c:v>0.30494467997838626</c:v>
                </c:pt>
                <c:pt idx="59">
                  <c:v>0.30757030492438098</c:v>
                </c:pt>
                <c:pt idx="60">
                  <c:v>0.31017390681763535</c:v>
                </c:pt>
                <c:pt idx="61">
                  <c:v>0.31275603400805718</c:v>
                </c:pt>
                <c:pt idx="62">
                  <c:v>0.31531721246117667</c:v>
                </c:pt>
                <c:pt idx="63">
                  <c:v>0.31785794701689546</c:v>
                </c:pt>
                <c:pt idx="64">
                  <c:v>0.32037872255866512</c:v>
                </c:pt>
                <c:pt idx="65">
                  <c:v>0.3228800051007632</c:v>
                </c:pt>
                <c:pt idx="66">
                  <c:v>0.32536224280057163</c:v>
                </c:pt>
                <c:pt idx="67">
                  <c:v>0.32782586690208604</c:v>
                </c:pt>
                <c:pt idx="68">
                  <c:v>0.33027129261628002</c:v>
                </c:pt>
                <c:pt idx="69">
                  <c:v>0.33269891994341527</c:v>
                </c:pt>
                <c:pt idx="70">
                  <c:v>0.33510913444190787</c:v>
                </c:pt>
                <c:pt idx="71">
                  <c:v>0.33750230794793551</c:v>
                </c:pt>
                <c:pt idx="72">
                  <c:v>0.33987879924959136</c:v>
                </c:pt>
                <c:pt idx="73">
                  <c:v>0.34223895471904153</c:v>
                </c:pt>
                <c:pt idx="74">
                  <c:v>0.34458310890584226</c:v>
                </c:pt>
                <c:pt idx="75">
                  <c:v>0.34691158509429487</c:v>
                </c:pt>
                <c:pt idx="76">
                  <c:v>0.34922469582746457</c:v>
                </c:pt>
                <c:pt idx="77">
                  <c:v>0.35152274340027068</c:v>
                </c:pt>
                <c:pt idx="78">
                  <c:v>0.35380602032385045</c:v>
                </c:pt>
                <c:pt idx="79">
                  <c:v>0.35607480976321321</c:v>
                </c:pt>
                <c:pt idx="80">
                  <c:v>0.35832938595004277</c:v>
                </c:pt>
                <c:pt idx="81">
                  <c:v>0.36057001457234777</c:v>
                </c:pt>
                <c:pt idx="82">
                  <c:v>0.3627969531425303</c:v>
                </c:pt>
                <c:pt idx="83">
                  <c:v>0.36501045134531401</c:v>
                </c:pt>
                <c:pt idx="84">
                  <c:v>0.36721075136686376</c:v>
                </c:pt>
                <c:pt idx="85">
                  <c:v>0.36939808820632425</c:v>
                </c:pt>
                <c:pt idx="86">
                  <c:v>0.3715726899709127</c:v>
                </c:pt>
                <c:pt idx="87">
                  <c:v>0.37373477815561307</c:v>
                </c:pt>
                <c:pt idx="88">
                  <c:v>0.37588456790844399</c:v>
                </c:pt>
                <c:pt idx="89">
                  <c:v>0.37802226828219893</c:v>
                </c:pt>
                <c:pt idx="90">
                  <c:v>0.38014808247349219</c:v>
                </c:pt>
                <c:pt idx="91">
                  <c:v>0.38226220804988525</c:v>
                </c:pt>
                <c:pt idx="92">
                  <c:v>0.38436483716581099</c:v>
                </c:pt>
                <c:pt idx="93">
                  <c:v>0.38645615676796358</c:v>
                </c:pt>
                <c:pt idx="94">
                  <c:v>0.38853634879077747</c:v>
                </c:pt>
                <c:pt idx="95">
                  <c:v>0.39060559034257092</c:v>
                </c:pt>
                <c:pt idx="96">
                  <c:v>0.39266405388289533</c:v>
                </c:pt>
                <c:pt idx="97">
                  <c:v>0.39471190739159223</c:v>
                </c:pt>
                <c:pt idx="98">
                  <c:v>0.39674931453002721</c:v>
                </c:pt>
                <c:pt idx="99">
                  <c:v>0.39877643479493802</c:v>
                </c:pt>
                <c:pt idx="100">
                  <c:v>0.40079342366530674</c:v>
                </c:pt>
              </c:numCache>
            </c:numRef>
          </c:val>
          <c:smooth val="0"/>
          <c:extLst>
            <c:ext xmlns:c16="http://schemas.microsoft.com/office/drawing/2014/chart" uri="{C3380CC4-5D6E-409C-BE32-E72D297353CC}">
              <c16:uniqueId val="{00000008-CEA8-405E-B5B3-AF38AAF3801C}"/>
            </c:ext>
          </c:extLst>
        </c:ser>
        <c:ser>
          <c:idx val="1"/>
          <c:order val="0"/>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Dual'!$AM$110:$AM$210</c:f>
              <c:numCache>
                <c:formatCode>0.0</c:formatCode>
                <c:ptCount val="101"/>
                <c:pt idx="0">
                  <c:v>10</c:v>
                </c:pt>
                <c:pt idx="1">
                  <c:v>27.500946761249416</c:v>
                </c:pt>
                <c:pt idx="2">
                  <c:v>82.502840283748242</c:v>
                </c:pt>
                <c:pt idx="3">
                  <c:v>82.502840283748242</c:v>
                </c:pt>
                <c:pt idx="4">
                  <c:v>110.00378704499767</c:v>
                </c:pt>
                <c:pt idx="5">
                  <c:v>137.50473380624706</c:v>
                </c:pt>
                <c:pt idx="6">
                  <c:v>165.00568056749648</c:v>
                </c:pt>
                <c:pt idx="7">
                  <c:v>192.50662732874591</c:v>
                </c:pt>
                <c:pt idx="8">
                  <c:v>220.00757408999533</c:v>
                </c:pt>
                <c:pt idx="9">
                  <c:v>247.50852085124473</c:v>
                </c:pt>
                <c:pt idx="10">
                  <c:v>275.00946761249412</c:v>
                </c:pt>
                <c:pt idx="11">
                  <c:v>302.51041437374357</c:v>
                </c:pt>
                <c:pt idx="12">
                  <c:v>330.01136113499297</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345.86340160719345</c:v>
                </c:pt>
                <c:pt idx="49">
                  <c:v>339.26473502668671</c:v>
                </c:pt>
                <c:pt idx="50">
                  <c:v>332.91257786125936</c:v>
                </c:pt>
                <c:pt idx="51">
                  <c:v>326.79337537641322</c:v>
                </c:pt>
                <c:pt idx="52">
                  <c:v>320.87741203412884</c:v>
                </c:pt>
                <c:pt idx="53">
                  <c:v>315.16982570998761</c:v>
                </c:pt>
                <c:pt idx="54">
                  <c:v>309.6604515374637</c:v>
                </c:pt>
                <c:pt idx="55">
                  <c:v>304.33914029431946</c:v>
                </c:pt>
                <c:pt idx="56">
                  <c:v>299.19642403581486</c:v>
                </c:pt>
                <c:pt idx="57">
                  <c:v>294.22345987382101</c:v>
                </c:pt>
                <c:pt idx="58">
                  <c:v>289.4119792329389</c:v>
                </c:pt>
                <c:pt idx="59">
                  <c:v>284.75424197107662</c:v>
                </c:pt>
                <c:pt idx="60">
                  <c:v>280.24299482899738</c:v>
                </c:pt>
                <c:pt idx="61">
                  <c:v>275.87143373968053</c:v>
                </c:pt>
                <c:pt idx="62">
                  <c:v>271.63316958555379</c:v>
                </c:pt>
                <c:pt idx="63">
                  <c:v>267.52219704115402</c:v>
                </c:pt>
                <c:pt idx="64">
                  <c:v>263.53286618166868</c:v>
                </c:pt>
                <c:pt idx="65">
                  <c:v>259.65985657507753</c:v>
                </c:pt>
                <c:pt idx="66">
                  <c:v>255.89815360807506</c:v>
                </c:pt>
                <c:pt idx="67">
                  <c:v>252.24302682425559</c:v>
                </c:pt>
                <c:pt idx="68">
                  <c:v>248.69001007780486</c:v>
                </c:pt>
                <c:pt idx="69">
                  <c:v>245.23488332762261</c:v>
                </c:pt>
                <c:pt idx="70">
                  <c:v>241.87365591583423</c:v>
                </c:pt>
                <c:pt idx="71">
                  <c:v>238.60255119138742</c:v>
                </c:pt>
                <c:pt idx="72">
                  <c:v>235.41799235416812</c:v>
                </c:pt>
                <c:pt idx="73">
                  <c:v>232.3165894080883</c:v>
                </c:pt>
                <c:pt idx="74">
                  <c:v>229.2951271230931</c:v>
                </c:pt>
                <c:pt idx="75">
                  <c:v>226.35055391622313</c:v>
                </c:pt>
                <c:pt idx="76">
                  <c:v>223.47997157089981</c:v>
                </c:pt>
                <c:pt idx="77">
                  <c:v>220.68062572162594</c:v>
                </c:pt>
                <c:pt idx="78">
                  <c:v>217.94989703843129</c:v>
                </c:pt>
                <c:pt idx="79">
                  <c:v>215.28529305175613</c:v>
                </c:pt>
                <c:pt idx="80">
                  <c:v>212.6844405641402</c:v>
                </c:pt>
                <c:pt idx="81">
                  <c:v>210.14507860015701</c:v>
                </c:pt>
                <c:pt idx="82">
                  <c:v>207.66505185057423</c:v>
                </c:pt>
                <c:pt idx="83">
                  <c:v>205.2423045707836</c:v>
                </c:pt>
                <c:pt idx="84">
                  <c:v>202.87487489719871</c:v>
                </c:pt>
                <c:pt idx="85">
                  <c:v>200.56088954859257</c:v>
                </c:pt>
                <c:pt idx="86">
                  <c:v>198.29855888229784</c:v>
                </c:pt>
                <c:pt idx="87">
                  <c:v>196.08617227785052</c:v>
                </c:pt>
                <c:pt idx="88">
                  <c:v>193.92209382304969</c:v>
                </c:pt>
                <c:pt idx="89">
                  <c:v>191.80475827957036</c:v>
                </c:pt>
                <c:pt idx="90">
                  <c:v>189.73266730722025</c:v>
                </c:pt>
                <c:pt idx="91">
                  <c:v>187.70438592769966</c:v>
                </c:pt>
                <c:pt idx="92">
                  <c:v>185.71853921032664</c:v>
                </c:pt>
                <c:pt idx="93">
                  <c:v>183.77380916363907</c:v>
                </c:pt>
                <c:pt idx="94">
                  <c:v>181.86893181810922</c:v>
                </c:pt>
                <c:pt idx="95">
                  <c:v>180.00269448639793</c:v>
                </c:pt>
                <c:pt idx="96">
                  <c:v>178.17393318867354</c:v>
                </c:pt>
                <c:pt idx="97">
                  <c:v>176.38153023150494</c:v>
                </c:pt>
                <c:pt idx="98">
                  <c:v>174.62441192974907</c:v>
                </c:pt>
                <c:pt idx="99">
                  <c:v>172.90154646167491</c:v>
                </c:pt>
                <c:pt idx="100">
                  <c:v>171.21194184832109</c:v>
                </c:pt>
              </c:numCache>
            </c:numRef>
          </c:val>
          <c:smooth val="0"/>
          <c:extLst>
            <c:ext xmlns:c16="http://schemas.microsoft.com/office/drawing/2014/chart" uri="{C3380CC4-5D6E-409C-BE32-E72D297353CC}">
              <c16:uniqueId val="{00000009-CEA8-405E-B5B3-AF38AAF3801C}"/>
            </c:ext>
          </c:extLst>
        </c:ser>
        <c:ser>
          <c:idx val="0"/>
          <c:order val="1"/>
          <c:tx>
            <c:v>VIN-nom</c:v>
          </c:tx>
          <c:spPr>
            <a:ln w="28575">
              <a:solidFill>
                <a:srgbClr val="0000FF"/>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Dual'!$AM$5:$AM$105</c:f>
              <c:numCache>
                <c:formatCode>0.0</c:formatCode>
                <c:ptCount val="101"/>
                <c:pt idx="0">
                  <c:v>10</c:v>
                </c:pt>
                <c:pt idx="1">
                  <c:v>27.500946761249416</c:v>
                </c:pt>
                <c:pt idx="2">
                  <c:v>55.001893522498833</c:v>
                </c:pt>
                <c:pt idx="3">
                  <c:v>82.502840283748242</c:v>
                </c:pt>
                <c:pt idx="4">
                  <c:v>110.00378704499767</c:v>
                </c:pt>
                <c:pt idx="5">
                  <c:v>137.50473380624706</c:v>
                </c:pt>
                <c:pt idx="6">
                  <c:v>165.00568056749648</c:v>
                </c:pt>
                <c:pt idx="7">
                  <c:v>192.50662732874591</c:v>
                </c:pt>
                <c:pt idx="8">
                  <c:v>220.00757408999533</c:v>
                </c:pt>
                <c:pt idx="9">
                  <c:v>247.50852085124473</c:v>
                </c:pt>
                <c:pt idx="10">
                  <c:v>275.00946761249412</c:v>
                </c:pt>
                <c:pt idx="11">
                  <c:v>302.51041437374357</c:v>
                </c:pt>
                <c:pt idx="12">
                  <c:v>330.01136113499297</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345.77127327623862</c:v>
                </c:pt>
                <c:pt idx="75">
                  <c:v>341.46917662343873</c:v>
                </c:pt>
                <c:pt idx="76">
                  <c:v>337.27268736584324</c:v>
                </c:pt>
                <c:pt idx="77">
                  <c:v>333.17796482095775</c:v>
                </c:pt>
                <c:pt idx="78">
                  <c:v>329.18135229491418</c:v>
                </c:pt>
                <c:pt idx="79">
                  <c:v>325.27544571815162</c:v>
                </c:pt>
                <c:pt idx="80">
                  <c:v>321.45860819807336</c:v>
                </c:pt>
                <c:pt idx="81">
                  <c:v>317.73000277407016</c:v>
                </c:pt>
                <c:pt idx="82">
                  <c:v>314.08660489271443</c:v>
                </c:pt>
                <c:pt idx="83">
                  <c:v>310.5255266791188</c:v>
                </c:pt>
                <c:pt idx="84">
                  <c:v>307.04400930261346</c:v>
                </c:pt>
                <c:pt idx="85">
                  <c:v>303.63941584847828</c:v>
                </c:pt>
                <c:pt idx="86">
                  <c:v>300.30922465702025</c:v>
                </c:pt>
                <c:pt idx="87">
                  <c:v>297.05102309463831</c:v>
                </c:pt>
                <c:pt idx="88">
                  <c:v>293.8625017245372</c:v>
                </c:pt>
                <c:pt idx="89">
                  <c:v>290.7414488474937</c:v>
                </c:pt>
                <c:pt idx="90">
                  <c:v>287.68574538555328</c:v>
                </c:pt>
                <c:pt idx="91">
                  <c:v>284.69336008378821</c:v>
                </c:pt>
                <c:pt idx="92">
                  <c:v>281.76234500728293</c:v>
                </c:pt>
                <c:pt idx="93">
                  <c:v>278.89083131237174</c:v>
                </c:pt>
                <c:pt idx="94">
                  <c:v>276.0770252728355</c:v>
                </c:pt>
                <c:pt idx="95">
                  <c:v>273.3192045433039</c:v>
                </c:pt>
                <c:pt idx="96">
                  <c:v>270.61571464350584</c:v>
                </c:pt>
                <c:pt idx="97">
                  <c:v>267.96496564828726</c:v>
                </c:pt>
                <c:pt idx="98">
                  <c:v>265.36542906948381</c:v>
                </c:pt>
                <c:pt idx="99">
                  <c:v>262.81563491679674</c:v>
                </c:pt>
                <c:pt idx="100">
                  <c:v>260.31416892579756</c:v>
                </c:pt>
              </c:numCache>
            </c:numRef>
          </c:val>
          <c:smooth val="0"/>
          <c:extLst>
            <c:ext xmlns:c16="http://schemas.microsoft.com/office/drawing/2014/chart" uri="{C3380CC4-5D6E-409C-BE32-E72D297353CC}">
              <c16:uniqueId val="{0000000A-CEA8-405E-B5B3-AF38AAF3801C}"/>
            </c:ext>
          </c:extLst>
        </c:ser>
        <c:ser>
          <c:idx val="2"/>
          <c:order val="2"/>
          <c:tx>
            <c:v>VIN-max</c:v>
          </c:tx>
          <c:spPr>
            <a:ln>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Dual'!$AM$216:$AM$316</c:f>
              <c:numCache>
                <c:formatCode>0.0</c:formatCode>
                <c:ptCount val="101"/>
                <c:pt idx="0">
                  <c:v>10</c:v>
                </c:pt>
                <c:pt idx="1">
                  <c:v>27.500789703754936</c:v>
                </c:pt>
                <c:pt idx="2">
                  <c:v>55.001579407509873</c:v>
                </c:pt>
                <c:pt idx="3">
                  <c:v>82.502369111264812</c:v>
                </c:pt>
                <c:pt idx="4">
                  <c:v>110.00315881501975</c:v>
                </c:pt>
                <c:pt idx="5">
                  <c:v>137.50394851877468</c:v>
                </c:pt>
                <c:pt idx="6">
                  <c:v>165.00473822252962</c:v>
                </c:pt>
                <c:pt idx="7">
                  <c:v>192.50552792628457</c:v>
                </c:pt>
                <c:pt idx="8">
                  <c:v>220.00631763003949</c:v>
                </c:pt>
                <c:pt idx="9">
                  <c:v>247.50710733379441</c:v>
                </c:pt>
                <c:pt idx="10">
                  <c:v>275.00789703754936</c:v>
                </c:pt>
                <c:pt idx="11">
                  <c:v>302.5086867413043</c:v>
                </c:pt>
                <c:pt idx="12">
                  <c:v>330.00947644505925</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B-CEA8-405E-B5B3-AF38AAF3801C}"/>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C-CEA8-405E-B5B3-AF38AAF3801C}"/>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D-CEA8-405E-B5B3-AF38AAF3801C}"/>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E-CEA8-405E-B5B3-AF38AAF3801C}"/>
            </c:ext>
          </c:extLst>
        </c:ser>
        <c:dLbls>
          <c:showLegendKey val="0"/>
          <c:showVal val="0"/>
          <c:showCatName val="0"/>
          <c:showSerName val="0"/>
          <c:showPercent val="0"/>
          <c:showBubbleSize val="0"/>
        </c:dLbls>
        <c:marker val="1"/>
        <c:smooth val="0"/>
        <c:axId val="450325504"/>
        <c:axId val="450344064"/>
      </c:lineChart>
      <c:lineChart>
        <c:grouping val="standard"/>
        <c:varyColors val="0"/>
        <c:ser>
          <c:idx val="6"/>
          <c:order val="6"/>
          <c:tx>
            <c:v>D1</c:v>
          </c:tx>
          <c:spPr>
            <a:ln w="25400">
              <a:solidFill>
                <a:srgbClr val="0000FF"/>
              </a:solidFill>
              <a:prstDash val="lgDash"/>
            </a:ln>
          </c:spPr>
          <c:marker>
            <c:symbol val="none"/>
          </c:marker>
          <c:val>
            <c:numRef>
              <c:f>'Calculations - Dual'!$AU$5:$AU$105</c:f>
              <c:numCache>
                <c:formatCode>0.000</c:formatCode>
                <c:ptCount val="101"/>
                <c:pt idx="0">
                  <c:v>5.5952439105634412E-3</c:v>
                </c:pt>
                <c:pt idx="1">
                  <c:v>1.5418951187970441E-2</c:v>
                </c:pt>
                <c:pt idx="2">
                  <c:v>3.0837902375940883E-2</c:v>
                </c:pt>
                <c:pt idx="3">
                  <c:v>4.6256853563911314E-2</c:v>
                </c:pt>
                <c:pt idx="4">
                  <c:v>6.1675804751881766E-2</c:v>
                </c:pt>
                <c:pt idx="5">
                  <c:v>7.7094755939852183E-2</c:v>
                </c:pt>
                <c:pt idx="6">
                  <c:v>9.2513707127822628E-2</c:v>
                </c:pt>
                <c:pt idx="7">
                  <c:v>0.10793265831579306</c:v>
                </c:pt>
                <c:pt idx="8">
                  <c:v>0.12335160950376353</c:v>
                </c:pt>
                <c:pt idx="9">
                  <c:v>0.13877056069173394</c:v>
                </c:pt>
                <c:pt idx="10">
                  <c:v>0.15418951187970437</c:v>
                </c:pt>
                <c:pt idx="11">
                  <c:v>0.16960846306767483</c:v>
                </c:pt>
                <c:pt idx="12">
                  <c:v>0.18665122962252334</c:v>
                </c:pt>
                <c:pt idx="13">
                  <c:v>0.20604410504253551</c:v>
                </c:pt>
                <c:pt idx="14">
                  <c:v>0.21383877655934039</c:v>
                </c:pt>
                <c:pt idx="15">
                  <c:v>0.22136084769772479</c:v>
                </c:pt>
                <c:pt idx="16">
                  <c:v>0.22863716991196237</c:v>
                </c:pt>
                <c:pt idx="17">
                  <c:v>0.23569045619164497</c:v>
                </c:pt>
                <c:pt idx="18">
                  <c:v>0.24254012253376908</c:v>
                </c:pt>
                <c:pt idx="19">
                  <c:v>0.24920292143403344</c:v>
                </c:pt>
                <c:pt idx="20">
                  <c:v>0.25569342697474562</c:v>
                </c:pt>
                <c:pt idx="21">
                  <c:v>0.26202441191009945</c:v>
                </c:pt>
                <c:pt idx="22">
                  <c:v>0.26820714476091939</c:v>
                </c:pt>
                <c:pt idx="23">
                  <c:v>0.27425162672924341</c:v>
                </c:pt>
                <c:pt idx="24">
                  <c:v>0.28016678269342565</c:v>
                </c:pt>
                <c:pt idx="25">
                  <c:v>0.28596061671486073</c:v>
                </c:pt>
                <c:pt idx="26">
                  <c:v>0.29164033979762044</c:v>
                </c:pt>
                <c:pt idx="27">
                  <c:v>0.29721247572239495</c:v>
                </c:pt>
                <c:pt idx="28">
                  <c:v>0.30268294938553114</c:v>
                </c:pt>
                <c:pt idx="29">
                  <c:v>0.30805716105312553</c:v>
                </c:pt>
                <c:pt idx="30">
                  <c:v>0.31334004918141251</c:v>
                </c:pt>
                <c:pt idx="31">
                  <c:v>0.31853614388435048</c:v>
                </c:pt>
                <c:pt idx="32">
                  <c:v>0.32364961269600467</c:v>
                </c:pt>
                <c:pt idx="33">
                  <c:v>0.32868429994292403</c:v>
                </c:pt>
                <c:pt idx="34">
                  <c:v>0.3336437607843547</c:v>
                </c:pt>
                <c:pt idx="35">
                  <c:v>0.33853129077719868</c:v>
                </c:pt>
                <c:pt idx="36">
                  <c:v>0.34334995166448201</c:v>
                </c:pt>
                <c:pt idx="37">
                  <c:v>0.34810259396070203</c:v>
                </c:pt>
                <c:pt idx="38">
                  <c:v>0.35279187680729829</c:v>
                </c:pt>
                <c:pt idx="39">
                  <c:v>0.35742028549101368</c:v>
                </c:pt>
                <c:pt idx="40">
                  <c:v>0.36199014695282716</c:v>
                </c:pt>
                <c:pt idx="41">
                  <c:v>0.36650364356218412</c:v>
                </c:pt>
                <c:pt idx="42">
                  <c:v>0.37096282538793918</c:v>
                </c:pt>
                <c:pt idx="43">
                  <c:v>0.37536962116179967</c:v>
                </c:pt>
                <c:pt idx="44">
                  <c:v>0.37972584810062043</c:v>
                </c:pt>
                <c:pt idx="45">
                  <c:v>0.38403322072944918</c:v>
                </c:pt>
                <c:pt idx="46">
                  <c:v>0.3882933588268303</c:v>
                </c:pt>
                <c:pt idx="47">
                  <c:v>0.39250779459678947</c:v>
                </c:pt>
                <c:pt idx="48">
                  <c:v>0.39667797915755082</c:v>
                </c:pt>
                <c:pt idx="49">
                  <c:v>0.40080528842489815</c:v>
                </c:pt>
                <c:pt idx="50">
                  <c:v>0.40489102845781283</c:v>
                </c:pt>
                <c:pt idx="51">
                  <c:v>0.40893644032525672</c:v>
                </c:pt>
                <c:pt idx="52">
                  <c:v>0.41294270454551296</c:v>
                </c:pt>
                <c:pt idx="53">
                  <c:v>0.41691094514308857</c:v>
                </c:pt>
                <c:pt idx="54">
                  <c:v>0.42084223336269322</c:v>
                </c:pt>
                <c:pt idx="55">
                  <c:v>0.42473759107506959</c:v>
                </c:pt>
                <c:pt idx="56">
                  <c:v>0.4285979939053618</c:v>
                </c:pt>
                <c:pt idx="57">
                  <c:v>0.43242437411115525</c:v>
                </c:pt>
                <c:pt idx="58">
                  <c:v>0.43621762323424718</c:v>
                </c:pt>
                <c:pt idx="59">
                  <c:v>0.43997859454751348</c:v>
                </c:pt>
                <c:pt idx="60">
                  <c:v>0.44370810531590205</c:v>
                </c:pt>
                <c:pt idx="61">
                  <c:v>0.4474069388885194</c:v>
                </c:pt>
                <c:pt idx="62">
                  <c:v>0.45107584663698463</c:v>
                </c:pt>
                <c:pt idx="63">
                  <c:v>0.45471554975363565</c:v>
                </c:pt>
                <c:pt idx="64">
                  <c:v>0.45832674092177494</c:v>
                </c:pt>
                <c:pt idx="65">
                  <c:v>0.46191008586891552</c:v>
                </c:pt>
                <c:pt idx="66">
                  <c:v>0.46546622481288502</c:v>
                </c:pt>
                <c:pt idx="67">
                  <c:v>0.4689957738096911</c:v>
                </c:pt>
                <c:pt idx="68">
                  <c:v>0.47249932601117772</c:v>
                </c:pt>
                <c:pt idx="69">
                  <c:v>0.47597745283974868</c:v>
                </c:pt>
                <c:pt idx="70">
                  <c:v>0.47943070508674207</c:v>
                </c:pt>
                <c:pt idx="71">
                  <c:v>0.48285961394043675</c:v>
                </c:pt>
                <c:pt idx="72">
                  <c:v>0.48626469194912292</c:v>
                </c:pt>
                <c:pt idx="73">
                  <c:v>0.4896464339241805</c:v>
                </c:pt>
                <c:pt idx="74">
                  <c:v>0.4870487898954271</c:v>
                </c:pt>
                <c:pt idx="75">
                  <c:v>0.48424407886568749</c:v>
                </c:pt>
                <c:pt idx="76">
                  <c:v>0.48148696461148932</c:v>
                </c:pt>
                <c:pt idx="77">
                  <c:v>0.47877612904497296</c:v>
                </c:pt>
                <c:pt idx="78">
                  <c:v>0.47611030402059518</c:v>
                </c:pt>
                <c:pt idx="79">
                  <c:v>0.47349226158949426</c:v>
                </c:pt>
                <c:pt idx="80">
                  <c:v>0.47091915368263138</c:v>
                </c:pt>
                <c:pt idx="81">
                  <c:v>0.46838748354773369</c:v>
                </c:pt>
                <c:pt idx="82">
                  <c:v>0.46589616127297506</c:v>
                </c:pt>
                <c:pt idx="83">
                  <c:v>0.46344413625652159</c:v>
                </c:pt>
                <c:pt idx="84">
                  <c:v>0.46103039542435004</c:v>
                </c:pt>
                <c:pt idx="85">
                  <c:v>0.47723887426770861</c:v>
                </c:pt>
                <c:pt idx="86">
                  <c:v>0.47759856777404031</c:v>
                </c:pt>
                <c:pt idx="87">
                  <c:v>0.47795097609609644</c:v>
                </c:pt>
                <c:pt idx="88">
                  <c:v>0.47829633297126756</c:v>
                </c:pt>
                <c:pt idx="89">
                  <c:v>0.47863486224495683</c:v>
                </c:pt>
                <c:pt idx="90">
                  <c:v>0.4789667783883988</c:v>
                </c:pt>
                <c:pt idx="91">
                  <c:v>0.47929228698428833</c:v>
                </c:pt>
                <c:pt idx="92">
                  <c:v>0.47961158518252939</c:v>
                </c:pt>
                <c:pt idx="93">
                  <c:v>0.47992486212822616</c:v>
                </c:pt>
                <c:pt idx="94">
                  <c:v>0.48023229936387085</c:v>
                </c:pt>
                <c:pt idx="95">
                  <c:v>0.48053407120752345</c:v>
                </c:pt>
                <c:pt idx="96">
                  <c:v>0.48083034510863926</c:v>
                </c:pt>
                <c:pt idx="97">
                  <c:v>0.48112128198307136</c:v>
                </c:pt>
                <c:pt idx="98">
                  <c:v>0.48140703652865557</c:v>
                </c:pt>
                <c:pt idx="99">
                  <c:v>0.48168775752267734</c:v>
                </c:pt>
                <c:pt idx="100">
                  <c:v>0.48196358810242568</c:v>
                </c:pt>
              </c:numCache>
            </c:numRef>
          </c:val>
          <c:smooth val="0"/>
          <c:extLst>
            <c:ext xmlns:c16="http://schemas.microsoft.com/office/drawing/2014/chart" uri="{C3380CC4-5D6E-409C-BE32-E72D297353CC}">
              <c16:uniqueId val="{0000000F-CEA8-405E-B5B3-AF38AAF3801C}"/>
            </c:ext>
          </c:extLst>
        </c:ser>
        <c:ser>
          <c:idx val="7"/>
          <c:order val="7"/>
          <c:spPr>
            <a:ln w="25400">
              <a:solidFill>
                <a:srgbClr val="00B050"/>
              </a:solidFill>
              <a:prstDash val="dash"/>
            </a:ln>
          </c:spPr>
          <c:marker>
            <c:symbol val="none"/>
          </c:marker>
          <c:val>
            <c:numRef>
              <c:f>'Calculations - Dual'!$AU$110:$AU$210</c:f>
              <c:numCache>
                <c:formatCode>0.000</c:formatCode>
                <c:ptCount val="101"/>
                <c:pt idx="0">
                  <c:v>8.2488351462606177E-3</c:v>
                </c:pt>
                <c:pt idx="1">
                  <c:v>2.27447319506386E-2</c:v>
                </c:pt>
                <c:pt idx="2">
                  <c:v>6.8234195851915785E-2</c:v>
                </c:pt>
                <c:pt idx="3">
                  <c:v>6.8234195851915785E-2</c:v>
                </c:pt>
                <c:pt idx="4">
                  <c:v>9.0978927802554399E-2</c:v>
                </c:pt>
                <c:pt idx="5">
                  <c:v>0.11372365975319297</c:v>
                </c:pt>
                <c:pt idx="6">
                  <c:v>0.13646839170383157</c:v>
                </c:pt>
                <c:pt idx="7">
                  <c:v>0.15921312365447016</c:v>
                </c:pt>
                <c:pt idx="8">
                  <c:v>0.1819578556051088</c:v>
                </c:pt>
                <c:pt idx="9">
                  <c:v>0.20470258755574736</c:v>
                </c:pt>
                <c:pt idx="10">
                  <c:v>0.22744731950638594</c:v>
                </c:pt>
                <c:pt idx="11">
                  <c:v>0.25019205145702456</c:v>
                </c:pt>
                <c:pt idx="12">
                  <c:v>0.27533209842012546</c:v>
                </c:pt>
                <c:pt idx="13">
                  <c:v>0.30394186374166549</c:v>
                </c:pt>
                <c:pt idx="14">
                  <c:v>0.31545172700426155</c:v>
                </c:pt>
                <c:pt idx="15">
                  <c:v>0.32655986994021219</c:v>
                </c:pt>
                <c:pt idx="16">
                  <c:v>0.33730586289385056</c:v>
                </c:pt>
                <c:pt idx="17">
                  <c:v>0.34772317744043862</c:v>
                </c:pt>
                <c:pt idx="18">
                  <c:v>0.35784042644715391</c:v>
                </c:pt>
                <c:pt idx="19">
                  <c:v>0.36768229763669213</c:v>
                </c:pt>
                <c:pt idx="20">
                  <c:v>0.37727026845160805</c:v>
                </c:pt>
                <c:pt idx="21">
                  <c:v>0.38662316175725092</c:v>
                </c:pt>
                <c:pt idx="22">
                  <c:v>0.39575758366419783</c:v>
                </c:pt>
                <c:pt idx="23">
                  <c:v>0.40468827266436219</c:v>
                </c:pt>
                <c:pt idx="24">
                  <c:v>0.4134283810964659</c:v>
                </c:pt>
                <c:pt idx="25">
                  <c:v>0.42198970431299859</c:v>
                </c:pt>
                <c:pt idx="26">
                  <c:v>0.4303828689568503</c:v>
                </c:pt>
                <c:pt idx="27">
                  <c:v>0.43861748892649238</c:v>
                </c:pt>
                <c:pt idx="28">
                  <c:v>0.44670229555927765</c:v>
                </c:pt>
                <c:pt idx="29">
                  <c:v>0.45464524705804893</c:v>
                </c:pt>
                <c:pt idx="30">
                  <c:v>0.4624536210681347</c:v>
                </c:pt>
                <c:pt idx="31">
                  <c:v>0.47013409347131757</c:v>
                </c:pt>
                <c:pt idx="32">
                  <c:v>0.47769280582480805</c:v>
                </c:pt>
                <c:pt idx="33">
                  <c:v>0.48513542338340432</c:v>
                </c:pt>
                <c:pt idx="34">
                  <c:v>0.49246718526375693</c:v>
                </c:pt>
                <c:pt idx="35">
                  <c:v>0.49969294801354935</c:v>
                </c:pt>
                <c:pt idx="36">
                  <c:v>0.50681722361534653</c:v>
                </c:pt>
                <c:pt idx="37">
                  <c:v>0.51384421277007564</c:v>
                </c:pt>
                <c:pt idx="38">
                  <c:v>0.52077783415754964</c:v>
                </c:pt>
                <c:pt idx="39">
                  <c:v>0.52762175025284452</c:v>
                </c:pt>
                <c:pt idx="40">
                  <c:v>0.53437939018142655</c:v>
                </c:pt>
                <c:pt idx="41">
                  <c:v>0.54105397001789124</c:v>
                </c:pt>
                <c:pt idx="42">
                  <c:v>0.54764851086933874</c:v>
                </c:pt>
                <c:pt idx="43">
                  <c:v>0.55416585503192084</c:v>
                </c:pt>
                <c:pt idx="44">
                  <c:v>0.56060868046570256</c:v>
                </c:pt>
                <c:pt idx="45">
                  <c:v>0.56697951379695366</c:v>
                </c:pt>
                <c:pt idx="46">
                  <c:v>0.57328074202693413</c:v>
                </c:pt>
                <c:pt idx="47">
                  <c:v>0.57951462310105661</c:v>
                </c:pt>
                <c:pt idx="48">
                  <c:v>0.57876119096045098</c:v>
                </c:pt>
                <c:pt idx="49">
                  <c:v>0.57363733123935445</c:v>
                </c:pt>
                <c:pt idx="50">
                  <c:v>0.56331192534896346</c:v>
                </c:pt>
                <c:pt idx="51">
                  <c:v>0.56406742770617102</c:v>
                </c:pt>
                <c:pt idx="52">
                  <c:v>0.56481452774790941</c:v>
                </c:pt>
                <c:pt idx="53">
                  <c:v>0.56553723832969705</c:v>
                </c:pt>
                <c:pt idx="54">
                  <c:v>0.56623610409782899</c:v>
                </c:pt>
                <c:pt idx="55">
                  <c:v>0.56691234610184604</c:v>
                </c:pt>
                <c:pt idx="56">
                  <c:v>0.5675671034270322</c:v>
                </c:pt>
                <c:pt idx="57">
                  <c:v>0.56820143995832884</c:v>
                </c:pt>
                <c:pt idx="58">
                  <c:v>0.56881635048531498</c:v>
                </c:pt>
                <c:pt idx="59">
                  <c:v>0.56941276622194315</c:v>
                </c:pt>
                <c:pt idx="60">
                  <c:v>0.56999155980546001</c:v>
                </c:pt>
                <c:pt idx="61">
                  <c:v>0.57055354983095441</c:v>
                </c:pt>
                <c:pt idx="62">
                  <c:v>0.57109950497109274</c:v>
                </c:pt>
                <c:pt idx="63">
                  <c:v>0.5716301477246466</c:v>
                </c:pt>
                <c:pt idx="64">
                  <c:v>0.57214615783226053</c:v>
                </c:pt>
                <c:pt idx="65">
                  <c:v>0.57264817539341595</c:v>
                </c:pt>
                <c:pt idx="66">
                  <c:v>0.5731368037146527</c:v>
                </c:pt>
                <c:pt idx="67">
                  <c:v>0.57361261191569279</c:v>
                </c:pt>
                <c:pt idx="68">
                  <c:v>0.57407613731714435</c:v>
                </c:pt>
                <c:pt idx="69">
                  <c:v>0.57452788763084317</c:v>
                </c:pt>
                <c:pt idx="70">
                  <c:v>0.57496834297160992</c:v>
                </c:pt>
                <c:pt idx="71">
                  <c:v>0.57539795770717883</c:v>
                </c:pt>
                <c:pt idx="72">
                  <c:v>0.57581716216128853</c:v>
                </c:pt>
                <c:pt idx="73">
                  <c:v>0.57622636418335049</c:v>
                </c:pt>
                <c:pt idx="74">
                  <c:v>0.57662595059673583</c:v>
                </c:pt>
                <c:pt idx="75">
                  <c:v>0.57701628853649123</c:v>
                </c:pt>
                <c:pt idx="76">
                  <c:v>0.57739772668620715</c:v>
                </c:pt>
                <c:pt idx="77">
                  <c:v>0.57777059642280215</c:v>
                </c:pt>
                <c:pt idx="78">
                  <c:v>0.57813521287711633</c:v>
                </c:pt>
                <c:pt idx="79">
                  <c:v>0.57849187591745999</c:v>
                </c:pt>
                <c:pt idx="80">
                  <c:v>0.57884087106255744</c:v>
                </c:pt>
                <c:pt idx="81">
                  <c:v>0.57918247032974068</c:v>
                </c:pt>
                <c:pt idx="82">
                  <c:v>0.57951693302367779</c:v>
                </c:pt>
                <c:pt idx="83">
                  <c:v>0.57984450647045238</c:v>
                </c:pt>
                <c:pt idx="84">
                  <c:v>0.5801654267013554</c:v>
                </c:pt>
                <c:pt idx="85">
                  <c:v>0.58047991909036534</c:v>
                </c:pt>
                <c:pt idx="86">
                  <c:v>0.58078819894893419</c:v>
                </c:pt>
                <c:pt idx="87">
                  <c:v>0.58109047208138054</c:v>
                </c:pt>
                <c:pt idx="88">
                  <c:v>0.58138693530389873</c:v>
                </c:pt>
                <c:pt idx="89">
                  <c:v>0.58167777692993328</c:v>
                </c:pt>
                <c:pt idx="90">
                  <c:v>0.58196317722443791</c:v>
                </c:pt>
                <c:pt idx="91">
                  <c:v>0.58224330882931941</c:v>
                </c:pt>
                <c:pt idx="92">
                  <c:v>0.58251833716217638</c:v>
                </c:pt>
                <c:pt idx="93">
                  <c:v>0.58278842079027049</c:v>
                </c:pt>
                <c:pt idx="94">
                  <c:v>0.58305371178150267</c:v>
                </c:pt>
                <c:pt idx="95">
                  <c:v>0.58331435603403248</c:v>
                </c:pt>
                <c:pt idx="96">
                  <c:v>0.58357049358603585</c:v>
                </c:pt>
                <c:pt idx="97">
                  <c:v>0.58382225890698791</c:v>
                </c:pt>
                <c:pt idx="98">
                  <c:v>0.58406978117174302</c:v>
                </c:pt>
                <c:pt idx="99">
                  <c:v>0.58431318451858172</c:v>
                </c:pt>
                <c:pt idx="100">
                  <c:v>0.58455258829231649</c:v>
                </c:pt>
              </c:numCache>
            </c:numRef>
          </c:val>
          <c:smooth val="0"/>
          <c:extLst>
            <c:ext xmlns:c16="http://schemas.microsoft.com/office/drawing/2014/chart" uri="{C3380CC4-5D6E-409C-BE32-E72D297353CC}">
              <c16:uniqueId val="{00000010-CEA8-405E-B5B3-AF38AAF3801C}"/>
            </c:ext>
          </c:extLst>
        </c:ser>
        <c:ser>
          <c:idx val="8"/>
          <c:order val="8"/>
          <c:spPr>
            <a:ln w="25400">
              <a:solidFill>
                <a:srgbClr val="FF0000"/>
              </a:solidFill>
            </a:ln>
          </c:spPr>
          <c:marker>
            <c:symbol val="none"/>
          </c:marker>
          <c:val>
            <c:numRef>
              <c:f>'Calculations - Dual'!$AU$216:$AU$316</c:f>
              <c:numCache>
                <c:formatCode>0.000</c:formatCode>
                <c:ptCount val="101"/>
                <c:pt idx="0">
                  <c:v>3.9173873009174069E-3</c:v>
                </c:pt>
                <c:pt idx="1">
                  <c:v>1.0786462574852565E-2</c:v>
                </c:pt>
                <c:pt idx="2">
                  <c:v>2.157292514970513E-2</c:v>
                </c:pt>
                <c:pt idx="3">
                  <c:v>3.2359387724557695E-2</c:v>
                </c:pt>
                <c:pt idx="4">
                  <c:v>4.314585029941026E-2</c:v>
                </c:pt>
                <c:pt idx="5">
                  <c:v>5.3932312874262818E-2</c:v>
                </c:pt>
                <c:pt idx="6">
                  <c:v>6.471877544911539E-2</c:v>
                </c:pt>
                <c:pt idx="7">
                  <c:v>7.5505238023967969E-2</c:v>
                </c:pt>
                <c:pt idx="8">
                  <c:v>8.629170059882052E-2</c:v>
                </c:pt>
                <c:pt idx="9">
                  <c:v>9.7078163173673085E-2</c:v>
                </c:pt>
                <c:pt idx="10">
                  <c:v>0.10786462574852564</c:v>
                </c:pt>
                <c:pt idx="11">
                  <c:v>0.1186510883233782</c:v>
                </c:pt>
                <c:pt idx="12">
                  <c:v>0.13057350518395197</c:v>
                </c:pt>
                <c:pt idx="13">
                  <c:v>0.14413985828125195</c:v>
                </c:pt>
                <c:pt idx="14">
                  <c:v>0.14958911419565396</c:v>
                </c:pt>
                <c:pt idx="15">
                  <c:v>0.15484754847725002</c:v>
                </c:pt>
                <c:pt idx="16">
                  <c:v>0.15993395719012807</c:v>
                </c:pt>
                <c:pt idx="17">
                  <c:v>0.16486423946869866</c:v>
                </c:pt>
                <c:pt idx="18">
                  <c:v>0.16965198654881439</c:v>
                </c:pt>
                <c:pt idx="19">
                  <c:v>0.17430892521220612</c:v>
                </c:pt>
                <c:pt idx="20">
                  <c:v>0.17884525734844725</c:v>
                </c:pt>
                <c:pt idx="21">
                  <c:v>0.18326992391500108</c:v>
                </c:pt>
                <c:pt idx="22">
                  <c:v>0.18759081290383475</c:v>
                </c:pt>
                <c:pt idx="23">
                  <c:v>0.19181492518187393</c:v>
                </c:pt>
                <c:pt idx="24">
                  <c:v>0.19594850818778237</c:v>
                </c:pt>
                <c:pt idx="25">
                  <c:v>0.19999716478684662</c:v>
                </c:pt>
                <c:pt idx="26">
                  <c:v>0.20396594270287388</c:v>
                </c:pt>
                <c:pt idx="27">
                  <c:v>0.20785940860208213</c:v>
                </c:pt>
                <c:pt idx="28">
                  <c:v>0.21168170993054194</c:v>
                </c:pt>
                <c:pt idx="29">
                  <c:v>0.21543662689214063</c:v>
                </c:pt>
                <c:pt idx="30">
                  <c:v>0.21912761642294229</c:v>
                </c:pt>
                <c:pt idx="31">
                  <c:v>0.22275784961857531</c:v>
                </c:pt>
                <c:pt idx="32">
                  <c:v>0.22633024376796851</c:v>
                </c:pt>
                <c:pt idx="33">
                  <c:v>0.22984748991407672</c:v>
                </c:pt>
                <c:pt idx="34">
                  <c:v>0.23331207668208406</c:v>
                </c:pt>
                <c:pt idx="35">
                  <c:v>0.23672631097492403</c:v>
                </c:pt>
                <c:pt idx="36">
                  <c:v>0.2400923360252511</c:v>
                </c:pt>
                <c:pt idx="37">
                  <c:v>0.24341214720522339</c:v>
                </c:pt>
                <c:pt idx="38">
                  <c:v>0.24668760592536809</c:v>
                </c:pt>
                <c:pt idx="39">
                  <c:v>0.2499204518974672</c:v>
                </c:pt>
                <c:pt idx="40">
                  <c:v>0.253112313990839</c:v>
                </c:pt>
                <c:pt idx="41">
                  <c:v>0.25626471987432731</c:v>
                </c:pt>
                <c:pt idx="42">
                  <c:v>0.25937910460598529</c:v>
                </c:pt>
                <c:pt idx="43">
                  <c:v>0.26245681830750894</c:v>
                </c:pt>
                <c:pt idx="44">
                  <c:v>0.26549913303986439</c:v>
                </c:pt>
                <c:pt idx="45">
                  <c:v>0.26850724897943767</c:v>
                </c:pt>
                <c:pt idx="46">
                  <c:v>0.27148229997976608</c:v>
                </c:pt>
                <c:pt idx="47">
                  <c:v>0.27442535859194317</c:v>
                </c:pt>
                <c:pt idx="48">
                  <c:v>0.2773374406067356</c:v>
                </c:pt>
                <c:pt idx="49">
                  <c:v>0.28021950917295058</c:v>
                </c:pt>
                <c:pt idx="50">
                  <c:v>0.28307247853939405</c:v>
                </c:pt>
                <c:pt idx="51">
                  <c:v>0.28589721746163227</c:v>
                </c:pt>
                <c:pt idx="52">
                  <c:v>0.28869455230954028</c:v>
                </c:pt>
                <c:pt idx="53">
                  <c:v>0.29146526990714494</c:v>
                </c:pt>
                <c:pt idx="54">
                  <c:v>0.29421012013241932</c:v>
                </c:pt>
                <c:pt idx="55">
                  <c:v>0.29692981830137349</c:v>
                </c:pt>
                <c:pt idx="56">
                  <c:v>0.29962504735792034</c:v>
                </c:pt>
                <c:pt idx="57">
                  <c:v>0.30229645988851195</c:v>
                </c:pt>
                <c:pt idx="58">
                  <c:v>0.30494467997838626</c:v>
                </c:pt>
                <c:pt idx="59">
                  <c:v>0.30757030492438098</c:v>
                </c:pt>
                <c:pt idx="60">
                  <c:v>0.31017390681763535</c:v>
                </c:pt>
                <c:pt idx="61">
                  <c:v>0.31275603400805718</c:v>
                </c:pt>
                <c:pt idx="62">
                  <c:v>0.31531721246117667</c:v>
                </c:pt>
                <c:pt idx="63">
                  <c:v>0.31785794701689546</c:v>
                </c:pt>
                <c:pt idx="64">
                  <c:v>0.32037872255866512</c:v>
                </c:pt>
                <c:pt idx="65">
                  <c:v>0.3228800051007632</c:v>
                </c:pt>
                <c:pt idx="66">
                  <c:v>0.32536224280057163</c:v>
                </c:pt>
                <c:pt idx="67">
                  <c:v>0.32782586690208604</c:v>
                </c:pt>
                <c:pt idx="68">
                  <c:v>0.33027129261628002</c:v>
                </c:pt>
                <c:pt idx="69">
                  <c:v>0.33269891994341527</c:v>
                </c:pt>
                <c:pt idx="70">
                  <c:v>0.33510913444190787</c:v>
                </c:pt>
                <c:pt idx="71">
                  <c:v>0.33750230794793551</c:v>
                </c:pt>
                <c:pt idx="72">
                  <c:v>0.33987879924959136</c:v>
                </c:pt>
                <c:pt idx="73">
                  <c:v>0.34223895471904153</c:v>
                </c:pt>
                <c:pt idx="74">
                  <c:v>0.34458310890584226</c:v>
                </c:pt>
                <c:pt idx="75">
                  <c:v>0.34691158509429487</c:v>
                </c:pt>
                <c:pt idx="76">
                  <c:v>0.34922469582746457</c:v>
                </c:pt>
                <c:pt idx="77">
                  <c:v>0.35152274340027068</c:v>
                </c:pt>
                <c:pt idx="78">
                  <c:v>0.35380602032385045</c:v>
                </c:pt>
                <c:pt idx="79">
                  <c:v>0.35607480976321321</c:v>
                </c:pt>
                <c:pt idx="80">
                  <c:v>0.35832938595004277</c:v>
                </c:pt>
                <c:pt idx="81">
                  <c:v>0.36057001457234777</c:v>
                </c:pt>
                <c:pt idx="82">
                  <c:v>0.3627969531425303</c:v>
                </c:pt>
                <c:pt idx="83">
                  <c:v>0.36501045134531401</c:v>
                </c:pt>
                <c:pt idx="84">
                  <c:v>0.36721075136686376</c:v>
                </c:pt>
                <c:pt idx="85">
                  <c:v>0.36939808820632425</c:v>
                </c:pt>
                <c:pt idx="86">
                  <c:v>0.3715726899709127</c:v>
                </c:pt>
                <c:pt idx="87">
                  <c:v>0.37373477815561307</c:v>
                </c:pt>
                <c:pt idx="88">
                  <c:v>0.37588456790844399</c:v>
                </c:pt>
                <c:pt idx="89">
                  <c:v>0.37802226828219893</c:v>
                </c:pt>
                <c:pt idx="90">
                  <c:v>0.38014808247349219</c:v>
                </c:pt>
                <c:pt idx="91">
                  <c:v>0.38226220804988525</c:v>
                </c:pt>
                <c:pt idx="92">
                  <c:v>0.38436483716581099</c:v>
                </c:pt>
                <c:pt idx="93">
                  <c:v>0.38645615676796358</c:v>
                </c:pt>
                <c:pt idx="94">
                  <c:v>0.38853634879077747</c:v>
                </c:pt>
                <c:pt idx="95">
                  <c:v>0.39060559034257092</c:v>
                </c:pt>
                <c:pt idx="96">
                  <c:v>0.39266405388289533</c:v>
                </c:pt>
                <c:pt idx="97">
                  <c:v>0.39471190739159223</c:v>
                </c:pt>
                <c:pt idx="98">
                  <c:v>0.39674931453002721</c:v>
                </c:pt>
                <c:pt idx="99">
                  <c:v>0.39877643479493802</c:v>
                </c:pt>
                <c:pt idx="100">
                  <c:v>0.40079342366530674</c:v>
                </c:pt>
              </c:numCache>
            </c:numRef>
          </c:val>
          <c:smooth val="0"/>
          <c:extLst>
            <c:ext xmlns:c16="http://schemas.microsoft.com/office/drawing/2014/chart" uri="{C3380CC4-5D6E-409C-BE32-E72D297353CC}">
              <c16:uniqueId val="{00000011-CEA8-405E-B5B3-AF38AAF3801C}"/>
            </c:ext>
          </c:extLst>
        </c:ser>
        <c:dLbls>
          <c:showLegendKey val="0"/>
          <c:showVal val="0"/>
          <c:showCatName val="0"/>
          <c:showSerName val="0"/>
          <c:showPercent val="0"/>
          <c:showBubbleSize val="0"/>
        </c:dLbls>
        <c:marker val="1"/>
        <c:smooth val="0"/>
        <c:axId val="450348160"/>
        <c:axId val="450345984"/>
      </c:lineChart>
      <c:catAx>
        <c:axId val="450325504"/>
        <c:scaling>
          <c:orientation val="minMax"/>
        </c:scaling>
        <c:delete val="0"/>
        <c:axPos val="b"/>
        <c:majorGridlines>
          <c:spPr>
            <a:ln w="15875">
              <a:solidFill>
                <a:srgbClr val="969696"/>
              </a:solidFill>
              <a:prstDash val="sysDash"/>
            </a:ln>
          </c:spPr>
        </c:majorGridlines>
        <c:title>
          <c:tx>
            <c:rich>
              <a:bodyPr/>
              <a:lstStyle/>
              <a:p>
                <a:pPr>
                  <a:defRPr lang="ja-JP" sz="1100" b="1" i="0" u="none" strike="noStrike" baseline="0">
                    <a:solidFill>
                      <a:schemeClr val="tx1"/>
                    </a:solidFill>
                    <a:latin typeface="Arial" pitchFamily="34" charset="0"/>
                    <a:ea typeface="Calibri"/>
                    <a:cs typeface="Arial" pitchFamily="34" charset="0"/>
                  </a:defRPr>
                </a:pPr>
                <a:r>
                  <a:rPr lang="en-US" sz="1600" b="1" i="0" baseline="0">
                    <a:effectLst/>
                  </a:rPr>
                  <a:t>% Total Rated Output Power</a:t>
                </a:r>
                <a:endParaRPr lang="en-US" sz="1100">
                  <a:effectLst/>
                </a:endParaRPr>
              </a:p>
            </c:rich>
          </c:tx>
          <c:layout>
            <c:manualLayout>
              <c:xMode val="edge"/>
              <c:yMode val="edge"/>
              <c:x val="0.38070688614495507"/>
              <c:y val="0.93853774450069472"/>
            </c:manualLayout>
          </c:layout>
          <c:overlay val="0"/>
          <c:spPr>
            <a:noFill/>
            <a:ln w="25400">
              <a:noFill/>
            </a:ln>
          </c:spPr>
        </c:title>
        <c:numFmt formatCode="General" sourceLinked="1"/>
        <c:majorTickMark val="in"/>
        <c:minorTickMark val="in"/>
        <c:tickLblPos val="nextTo"/>
        <c:spPr>
          <a:ln w="3175">
            <a:solidFill>
              <a:schemeClr val="tx1"/>
            </a:solidFill>
            <a:prstDash val="solid"/>
          </a:ln>
        </c:spPr>
        <c:txPr>
          <a:bodyPr rot="0" vert="horz"/>
          <a:lstStyle/>
          <a:p>
            <a:pPr>
              <a:defRPr lang="ja-JP" sz="1400" b="1" i="0" u="none" strike="noStrike" baseline="0">
                <a:solidFill>
                  <a:schemeClr val="tx1"/>
                </a:solidFill>
                <a:latin typeface="Arial" pitchFamily="34" charset="0"/>
                <a:ea typeface="Calibri"/>
                <a:cs typeface="Arial" pitchFamily="34" charset="0"/>
              </a:defRPr>
            </a:pPr>
            <a:endParaRPr lang="en-US"/>
          </a:p>
        </c:txPr>
        <c:crossAx val="450344064"/>
        <c:crosses val="autoZero"/>
        <c:auto val="1"/>
        <c:lblAlgn val="ctr"/>
        <c:lblOffset val="100"/>
        <c:tickLblSkip val="20"/>
        <c:tickMarkSkip val="10"/>
        <c:noMultiLvlLbl val="0"/>
      </c:catAx>
      <c:valAx>
        <c:axId val="450344064"/>
        <c:scaling>
          <c:orientation val="minMax"/>
          <c:max val="400"/>
          <c:min val="0"/>
        </c:scaling>
        <c:delete val="0"/>
        <c:axPos val="l"/>
        <c:majorGridlines>
          <c:spPr>
            <a:ln w="15875">
              <a:solidFill>
                <a:srgbClr val="808080"/>
              </a:solidFill>
              <a:prstDash val="solid"/>
            </a:ln>
          </c:spPr>
        </c:majorGridlines>
        <c:title>
          <c:tx>
            <c:rich>
              <a:bodyPr/>
              <a:lstStyle/>
              <a:p>
                <a:pPr>
                  <a:defRPr lang="ja-JP" sz="1600" b="1" i="0" u="none" strike="noStrike" baseline="0">
                    <a:solidFill>
                      <a:schemeClr val="tx1"/>
                    </a:solidFill>
                    <a:latin typeface="Arial" pitchFamily="34" charset="0"/>
                    <a:ea typeface="Calibri"/>
                    <a:cs typeface="Arial" pitchFamily="34" charset="0"/>
                  </a:defRPr>
                </a:pPr>
                <a:r>
                  <a:rPr lang="en-US" sz="1600" b="1">
                    <a:solidFill>
                      <a:schemeClr val="tx1"/>
                    </a:solidFill>
                    <a:latin typeface="Arial" pitchFamily="34" charset="0"/>
                    <a:cs typeface="Arial" pitchFamily="34" charset="0"/>
                  </a:rPr>
                  <a:t>Switching</a:t>
                </a:r>
                <a:r>
                  <a:rPr lang="en-US" sz="1600" b="1" baseline="0">
                    <a:solidFill>
                      <a:schemeClr val="tx1"/>
                    </a:solidFill>
                    <a:latin typeface="Arial" pitchFamily="34" charset="0"/>
                    <a:cs typeface="Arial" pitchFamily="34" charset="0"/>
                  </a:rPr>
                  <a:t> Frquency (kHz)</a:t>
                </a:r>
                <a:endParaRPr lang="en-US" sz="1600" b="1">
                  <a:solidFill>
                    <a:schemeClr val="tx1"/>
                  </a:solidFill>
                  <a:latin typeface="Arial" pitchFamily="34" charset="0"/>
                  <a:cs typeface="Arial" pitchFamily="34" charset="0"/>
                </a:endParaRPr>
              </a:p>
            </c:rich>
          </c:tx>
          <c:layout>
            <c:manualLayout>
              <c:xMode val="edge"/>
              <c:yMode val="edge"/>
              <c:x val="8.5568128125503556E-3"/>
              <c:y val="0.22463146285493288"/>
            </c:manualLayout>
          </c:layout>
          <c:overlay val="0"/>
          <c:spPr>
            <a:noFill/>
            <a:ln w="25400">
              <a:noFill/>
            </a:ln>
          </c:spPr>
        </c:title>
        <c:numFmt formatCode="#,##0" sourceLinked="0"/>
        <c:majorTickMark val="in"/>
        <c:minorTickMark val="in"/>
        <c:tickLblPos val="nextTo"/>
        <c:spPr>
          <a:ln w="3175">
            <a:solidFill>
              <a:srgbClr val="000000"/>
            </a:solidFill>
            <a:prstDash val="solid"/>
          </a:ln>
        </c:spPr>
        <c:txPr>
          <a:bodyPr rot="0" vert="horz"/>
          <a:lstStyle/>
          <a:p>
            <a:pPr>
              <a:defRPr lang="ja-JP" sz="1600" b="1" i="0" u="none" strike="noStrike" baseline="0">
                <a:solidFill>
                  <a:schemeClr val="tx1"/>
                </a:solidFill>
                <a:latin typeface="Arial" pitchFamily="34" charset="0"/>
                <a:ea typeface="Calibri"/>
                <a:cs typeface="Arial" pitchFamily="34" charset="0"/>
              </a:defRPr>
            </a:pPr>
            <a:endParaRPr lang="en-US"/>
          </a:p>
        </c:txPr>
        <c:crossAx val="450325504"/>
        <c:crossesAt val="0"/>
        <c:crossBetween val="between"/>
        <c:majorUnit val="50"/>
        <c:minorUnit val="25"/>
      </c:valAx>
      <c:valAx>
        <c:axId val="450345984"/>
        <c:scaling>
          <c:orientation val="minMax"/>
          <c:max val="0.60000000000000009"/>
        </c:scaling>
        <c:delete val="0"/>
        <c:axPos val="r"/>
        <c:title>
          <c:tx>
            <c:rich>
              <a:bodyPr rot="-5400000" vert="horz"/>
              <a:lstStyle/>
              <a:p>
                <a:pPr>
                  <a:defRPr lang="ja-JP" sz="1600" b="1"/>
                </a:pPr>
                <a:r>
                  <a:rPr lang="en-US" sz="1600" b="1"/>
                  <a:t>Duty Cycle</a:t>
                </a:r>
              </a:p>
            </c:rich>
          </c:tx>
          <c:layout>
            <c:manualLayout>
              <c:xMode val="edge"/>
              <c:yMode val="edge"/>
              <c:x val="0.96331030941631779"/>
              <c:y val="0.35675917128406437"/>
            </c:manualLayout>
          </c:layout>
          <c:overlay val="0"/>
        </c:title>
        <c:numFmt formatCode="General" sourceLinked="0"/>
        <c:majorTickMark val="out"/>
        <c:minorTickMark val="none"/>
        <c:tickLblPos val="nextTo"/>
        <c:txPr>
          <a:bodyPr/>
          <a:lstStyle/>
          <a:p>
            <a:pPr>
              <a:defRPr lang="ja-JP" sz="1400" b="1"/>
            </a:pPr>
            <a:endParaRPr lang="en-US"/>
          </a:p>
        </c:txPr>
        <c:crossAx val="450348160"/>
        <c:crosses val="max"/>
        <c:crossBetween val="between"/>
        <c:majorUnit val="0.1"/>
        <c:minorUnit val="5.000000000000001E-2"/>
      </c:valAx>
      <c:catAx>
        <c:axId val="450348160"/>
        <c:scaling>
          <c:orientation val="minMax"/>
        </c:scaling>
        <c:delete val="1"/>
        <c:axPos val="b"/>
        <c:majorTickMark val="out"/>
        <c:minorTickMark val="none"/>
        <c:tickLblPos val="nextTo"/>
        <c:crossAx val="450345984"/>
        <c:crosses val="autoZero"/>
        <c:auto val="1"/>
        <c:lblAlgn val="ctr"/>
        <c:lblOffset val="100"/>
        <c:noMultiLvlLbl val="0"/>
      </c:catAx>
      <c:spPr>
        <a:noFill/>
        <a:ln w="25400">
          <a:noFill/>
        </a:ln>
      </c:spPr>
    </c:plotArea>
    <c:legend>
      <c:legendPos val="t"/>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ayout>
        <c:manualLayout>
          <c:xMode val="edge"/>
          <c:yMode val="edge"/>
          <c:x val="0.31430722044239789"/>
          <c:y val="1.5175029628150039E-2"/>
          <c:w val="0.42410841724909248"/>
          <c:h val="5.433576684781775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Dual'!$AI$110:$AI$210</c:f>
              <c:numCache>
                <c:formatCode>0.000</c:formatCode>
                <c:ptCount val="101"/>
                <c:pt idx="0">
                  <c:v>3.3333333333333335</c:v>
                </c:pt>
                <c:pt idx="1">
                  <c:v>3.3333333333333335</c:v>
                </c:pt>
                <c:pt idx="2">
                  <c:v>3.3333333333333335</c:v>
                </c:pt>
                <c:pt idx="3">
                  <c:v>3.3333333333333335</c:v>
                </c:pt>
                <c:pt idx="4">
                  <c:v>3.3333333333333335</c:v>
                </c:pt>
                <c:pt idx="5">
                  <c:v>3.3333333333333335</c:v>
                </c:pt>
                <c:pt idx="6">
                  <c:v>3.3333333333333335</c:v>
                </c:pt>
                <c:pt idx="7">
                  <c:v>3.3333333333333335</c:v>
                </c:pt>
                <c:pt idx="8">
                  <c:v>3.3333333333333335</c:v>
                </c:pt>
                <c:pt idx="9">
                  <c:v>3.3333333333333335</c:v>
                </c:pt>
                <c:pt idx="10">
                  <c:v>3.3333333333333335</c:v>
                </c:pt>
                <c:pt idx="11">
                  <c:v>3.3333333333333335</c:v>
                </c:pt>
                <c:pt idx="12">
                  <c:v>3.3625869329221763</c:v>
                </c:pt>
                <c:pt idx="13">
                  <c:v>3.4998914442565998</c:v>
                </c:pt>
                <c:pt idx="14">
                  <c:v>3.6320089980205346</c:v>
                </c:pt>
                <c:pt idx="15">
                  <c:v>3.7594864811332553</c:v>
                </c:pt>
                <c:pt idx="16">
                  <c:v>3.8827809417922725</c:v>
                </c:pt>
                <c:pt idx="17">
                  <c:v>4.00227898603619</c:v>
                </c:pt>
                <c:pt idx="18">
                  <c:v>4.1183111007048083</c:v>
                </c:pt>
                <c:pt idx="19">
                  <c:v>4.2311624362945501</c:v>
                </c:pt>
                <c:pt idx="20">
                  <c:v>4.3410810637940882</c:v>
                </c:pt>
                <c:pt idx="21">
                  <c:v>4.4482843931737541</c:v>
                </c:pt>
                <c:pt idx="22">
                  <c:v>4.552964230331134</c:v>
                </c:pt>
                <c:pt idx="23">
                  <c:v>4.6552908096913077</c:v>
                </c:pt>
                <c:pt idx="24">
                  <c:v>4.7554160451970899</c:v>
                </c:pt>
                <c:pt idx="25">
                  <c:v>4.8534761772403412</c:v>
                </c:pt>
                <c:pt idx="26">
                  <c:v>4.949593947301242</c:v>
                </c:pt>
                <c:pt idx="27">
                  <c:v>5.0438803993832648</c:v>
                </c:pt>
                <c:pt idx="28">
                  <c:v>5.1364363836617555</c:v>
                </c:pt>
                <c:pt idx="29">
                  <c:v>5.2273538203880783</c:v>
                </c:pt>
                <c:pt idx="30">
                  <c:v>5.3167167691769528</c:v>
                </c:pt>
                <c:pt idx="31">
                  <c:v>5.4046023390966518</c:v>
                </c:pt>
                <c:pt idx="32">
                  <c:v>5.4910814676064108</c:v>
                </c:pt>
                <c:pt idx="33">
                  <c:v>5.5762195907274092</c:v>
                </c:pt>
                <c:pt idx="34">
                  <c:v>5.6600772224532188</c:v>
                </c:pt>
                <c:pt idx="35">
                  <c:v>5.7427104579854378</c:v>
                </c:pt>
                <c:pt idx="36">
                  <c:v>5.8241714126884085</c:v>
                </c:pt>
                <c:pt idx="37">
                  <c:v>5.9045086065225174</c:v>
                </c:pt>
                <c:pt idx="38">
                  <c:v>5.9837673020113389</c:v>
                </c:pt>
                <c:pt idx="39">
                  <c:v>6.0619898024280481</c:v>
                </c:pt>
                <c:pt idx="40">
                  <c:v>6.1392157157786222</c:v>
                </c:pt>
                <c:pt idx="41">
                  <c:v>6.2154821892581111</c:v>
                </c:pt>
                <c:pt idx="42">
                  <c:v>6.2908241181188966</c:v>
                </c:pt>
                <c:pt idx="43">
                  <c:v>6.3652743322835628</c:v>
                </c:pt>
                <c:pt idx="44">
                  <c:v>6.4388637635338695</c:v>
                </c:pt>
                <c:pt idx="45">
                  <c:v>6.5116215956911319</c:v>
                </c:pt>
                <c:pt idx="46">
                  <c:v>6.5835753998562749</c:v>
                </c:pt>
                <c:pt idx="47">
                  <c:v>6.6547512564869225</c:v>
                </c:pt>
                <c:pt idx="48">
                  <c:v>6.7251738658443525</c:v>
                </c:pt>
                <c:pt idx="49">
                  <c:v>6.7948666481364777</c:v>
                </c:pt>
                <c:pt idx="50">
                  <c:v>6.7994656838897267</c:v>
                </c:pt>
                <c:pt idx="51">
                  <c:v>6.935661290007813</c:v>
                </c:pt>
                <c:pt idx="52">
                  <c:v>7.072064750140683</c:v>
                </c:pt>
                <c:pt idx="53">
                  <c:v>7.2084927021392167</c:v>
                </c:pt>
                <c:pt idx="54">
                  <c:v>7.3449368874288181</c:v>
                </c:pt>
                <c:pt idx="55">
                  <c:v>7.4813973133404277</c:v>
                </c:pt>
                <c:pt idx="56">
                  <c:v>7.6178739872082843</c:v>
                </c:pt>
                <c:pt idx="57">
                  <c:v>7.754366916369908</c:v>
                </c:pt>
                <c:pt idx="58">
                  <c:v>7.8908761081661281</c:v>
                </c:pt>
                <c:pt idx="59">
                  <c:v>8.0274015699410572</c:v>
                </c:pt>
                <c:pt idx="60">
                  <c:v>8.1639433090421267</c:v>
                </c:pt>
                <c:pt idx="61">
                  <c:v>8.300501332820053</c:v>
                </c:pt>
                <c:pt idx="62">
                  <c:v>8.4370756486288645</c:v>
                </c:pt>
                <c:pt idx="63">
                  <c:v>8.5736662638259045</c:v>
                </c:pt>
                <c:pt idx="64">
                  <c:v>8.7102731857718023</c:v>
                </c:pt>
                <c:pt idx="65">
                  <c:v>8.8468964218305199</c:v>
                </c:pt>
                <c:pt idx="66">
                  <c:v>8.9835359793693215</c:v>
                </c:pt>
                <c:pt idx="67">
                  <c:v>9.1201918657587822</c:v>
                </c:pt>
                <c:pt idx="68">
                  <c:v>9.2568640883728044</c:v>
                </c:pt>
                <c:pt idx="69">
                  <c:v>9.3935526545885946</c:v>
                </c:pt>
                <c:pt idx="70">
                  <c:v>9.5302575717866951</c:v>
                </c:pt>
                <c:pt idx="71">
                  <c:v>9.6669788473509577</c:v>
                </c:pt>
                <c:pt idx="72">
                  <c:v>9.803716488668563</c:v>
                </c:pt>
                <c:pt idx="73">
                  <c:v>9.9404705031300242</c:v>
                </c:pt>
                <c:pt idx="74">
                  <c:v>10.077240898129171</c:v>
                </c:pt>
                <c:pt idx="75">
                  <c:v>10.214027681063168</c:v>
                </c:pt>
                <c:pt idx="76">
                  <c:v>10.350830859332522</c:v>
                </c:pt>
                <c:pt idx="77">
                  <c:v>10.487650440341058</c:v>
                </c:pt>
                <c:pt idx="78">
                  <c:v>10.624486431495953</c:v>
                </c:pt>
                <c:pt idx="79">
                  <c:v>10.76133884020771</c:v>
                </c:pt>
                <c:pt idx="80">
                  <c:v>10.898207673890171</c:v>
                </c:pt>
                <c:pt idx="81">
                  <c:v>11.035092939960542</c:v>
                </c:pt>
                <c:pt idx="82">
                  <c:v>11.171994645839341</c:v>
                </c:pt>
                <c:pt idx="83">
                  <c:v>11.308912798950461</c:v>
                </c:pt>
                <c:pt idx="84">
                  <c:v>11.445847406721136</c:v>
                </c:pt>
                <c:pt idx="85">
                  <c:v>11.582798476581933</c:v>
                </c:pt>
                <c:pt idx="86">
                  <c:v>11.719766015966794</c:v>
                </c:pt>
                <c:pt idx="87">
                  <c:v>11.856750032313009</c:v>
                </c:pt>
                <c:pt idx="88">
                  <c:v>11.99375053306122</c:v>
                </c:pt>
                <c:pt idx="89">
                  <c:v>12.130767525655433</c:v>
                </c:pt>
                <c:pt idx="90">
                  <c:v>12.267801017543004</c:v>
                </c:pt>
                <c:pt idx="91">
                  <c:v>12.404851016174671</c:v>
                </c:pt>
                <c:pt idx="92">
                  <c:v>12.541917529004518</c:v>
                </c:pt>
                <c:pt idx="93">
                  <c:v>12.679000563490012</c:v>
                </c:pt>
                <c:pt idx="94">
                  <c:v>12.816100127091968</c:v>
                </c:pt>
                <c:pt idx="95">
                  <c:v>12.9532162272746</c:v>
                </c:pt>
                <c:pt idx="96">
                  <c:v>13.090348871505469</c:v>
                </c:pt>
                <c:pt idx="97">
                  <c:v>13.227498067255528</c:v>
                </c:pt>
                <c:pt idx="98">
                  <c:v>13.364663821999097</c:v>
                </c:pt>
                <c:pt idx="99">
                  <c:v>13.501846143213877</c:v>
                </c:pt>
                <c:pt idx="100">
                  <c:v>13.639045038380956</c:v>
                </c:pt>
              </c:numCache>
            </c:numRef>
          </c:val>
          <c:smooth val="0"/>
          <c:extLst>
            <c:ext xmlns:c16="http://schemas.microsoft.com/office/drawing/2014/chart" uri="{C3380CC4-5D6E-409C-BE32-E72D297353CC}">
              <c16:uniqueId val="{00000000-E5BE-46CE-908E-4F68425D4B37}"/>
            </c:ext>
          </c:extLst>
        </c:ser>
        <c:ser>
          <c:idx val="0"/>
          <c:order val="1"/>
          <c:tx>
            <c:v>VIN-nom</c:v>
          </c:tx>
          <c:spPr>
            <a:ln w="28575">
              <a:solidFill>
                <a:srgbClr val="0000FF"/>
              </a:solidFill>
              <a:prstDash val="lgDash"/>
            </a:ln>
          </c:spPr>
          <c:marker>
            <c:symbol val="none"/>
          </c:marker>
          <c:cat>
            <c:numRef>
              <c:f>'Calculations - Dual'!$AL$5:$AL$105</c:f>
              <c:numCache>
                <c:formatCode>0</c:formatCode>
                <c:ptCount val="101"/>
                <c:pt idx="0">
                  <c:v>1.0000000000000002E-6</c:v>
                </c:pt>
                <c:pt idx="1">
                  <c:v>25</c:v>
                </c:pt>
                <c:pt idx="2">
                  <c:v>50</c:v>
                </c:pt>
                <c:pt idx="3">
                  <c:v>75</c:v>
                </c:pt>
                <c:pt idx="4">
                  <c:v>100</c:v>
                </c:pt>
                <c:pt idx="5">
                  <c:v>125</c:v>
                </c:pt>
                <c:pt idx="6">
                  <c:v>150</c:v>
                </c:pt>
                <c:pt idx="7">
                  <c:v>175.00000000000003</c:v>
                </c:pt>
                <c:pt idx="8">
                  <c:v>200</c:v>
                </c:pt>
                <c:pt idx="9">
                  <c:v>224.99999999999997</c:v>
                </c:pt>
                <c:pt idx="10">
                  <c:v>250</c:v>
                </c:pt>
                <c:pt idx="11">
                  <c:v>275</c:v>
                </c:pt>
                <c:pt idx="12">
                  <c:v>300</c:v>
                </c:pt>
                <c:pt idx="13">
                  <c:v>325</c:v>
                </c:pt>
                <c:pt idx="14">
                  <c:v>350.00000000000006</c:v>
                </c:pt>
                <c:pt idx="15">
                  <c:v>375</c:v>
                </c:pt>
                <c:pt idx="16">
                  <c:v>400</c:v>
                </c:pt>
                <c:pt idx="17">
                  <c:v>425.00000000000006</c:v>
                </c:pt>
                <c:pt idx="18">
                  <c:v>449.99999999999994</c:v>
                </c:pt>
                <c:pt idx="19">
                  <c:v>475</c:v>
                </c:pt>
                <c:pt idx="20">
                  <c:v>500</c:v>
                </c:pt>
                <c:pt idx="21">
                  <c:v>525</c:v>
                </c:pt>
                <c:pt idx="22">
                  <c:v>550</c:v>
                </c:pt>
                <c:pt idx="23">
                  <c:v>575.00000000000011</c:v>
                </c:pt>
                <c:pt idx="24">
                  <c:v>600</c:v>
                </c:pt>
                <c:pt idx="25">
                  <c:v>625</c:v>
                </c:pt>
                <c:pt idx="26">
                  <c:v>650</c:v>
                </c:pt>
                <c:pt idx="27">
                  <c:v>675</c:v>
                </c:pt>
                <c:pt idx="28">
                  <c:v>700.00000000000011</c:v>
                </c:pt>
                <c:pt idx="29">
                  <c:v>725</c:v>
                </c:pt>
                <c:pt idx="30">
                  <c:v>750</c:v>
                </c:pt>
                <c:pt idx="31">
                  <c:v>775</c:v>
                </c:pt>
                <c:pt idx="32">
                  <c:v>800</c:v>
                </c:pt>
                <c:pt idx="33">
                  <c:v>825.00000000000011</c:v>
                </c:pt>
                <c:pt idx="34">
                  <c:v>850.00000000000011</c:v>
                </c:pt>
                <c:pt idx="35">
                  <c:v>875</c:v>
                </c:pt>
                <c:pt idx="36">
                  <c:v>899.99999999999989</c:v>
                </c:pt>
                <c:pt idx="37">
                  <c:v>925</c:v>
                </c:pt>
                <c:pt idx="38">
                  <c:v>950</c:v>
                </c:pt>
                <c:pt idx="39">
                  <c:v>975.00000000000011</c:v>
                </c:pt>
                <c:pt idx="40">
                  <c:v>1000</c:v>
                </c:pt>
                <c:pt idx="41">
                  <c:v>1025</c:v>
                </c:pt>
                <c:pt idx="42">
                  <c:v>1050</c:v>
                </c:pt>
                <c:pt idx="43">
                  <c:v>1075</c:v>
                </c:pt>
                <c:pt idx="44">
                  <c:v>1100</c:v>
                </c:pt>
                <c:pt idx="45">
                  <c:v>1125</c:v>
                </c:pt>
                <c:pt idx="46">
                  <c:v>1150.0000000000002</c:v>
                </c:pt>
                <c:pt idx="47">
                  <c:v>1174.9999999999998</c:v>
                </c:pt>
                <c:pt idx="48">
                  <c:v>1200</c:v>
                </c:pt>
                <c:pt idx="49">
                  <c:v>1225</c:v>
                </c:pt>
                <c:pt idx="50">
                  <c:v>1250</c:v>
                </c:pt>
                <c:pt idx="51">
                  <c:v>1275</c:v>
                </c:pt>
                <c:pt idx="52">
                  <c:v>1300</c:v>
                </c:pt>
                <c:pt idx="53">
                  <c:v>1325.0000000000002</c:v>
                </c:pt>
                <c:pt idx="54">
                  <c:v>1350</c:v>
                </c:pt>
                <c:pt idx="55">
                  <c:v>1375</c:v>
                </c:pt>
                <c:pt idx="56">
                  <c:v>1400.0000000000002</c:v>
                </c:pt>
                <c:pt idx="57">
                  <c:v>1424.9999999999998</c:v>
                </c:pt>
                <c:pt idx="58">
                  <c:v>1450</c:v>
                </c:pt>
                <c:pt idx="59">
                  <c:v>1474.9999999999998</c:v>
                </c:pt>
                <c:pt idx="60">
                  <c:v>1500</c:v>
                </c:pt>
                <c:pt idx="61">
                  <c:v>1525</c:v>
                </c:pt>
                <c:pt idx="62">
                  <c:v>1550</c:v>
                </c:pt>
                <c:pt idx="63">
                  <c:v>1575</c:v>
                </c:pt>
                <c:pt idx="64">
                  <c:v>1600</c:v>
                </c:pt>
                <c:pt idx="65">
                  <c:v>1625</c:v>
                </c:pt>
                <c:pt idx="66">
                  <c:v>1650.0000000000002</c:v>
                </c:pt>
                <c:pt idx="67">
                  <c:v>1675</c:v>
                </c:pt>
                <c:pt idx="68">
                  <c:v>1700.0000000000002</c:v>
                </c:pt>
                <c:pt idx="69">
                  <c:v>1724.9999999999998</c:v>
                </c:pt>
                <c:pt idx="70">
                  <c:v>1750</c:v>
                </c:pt>
                <c:pt idx="71">
                  <c:v>1775</c:v>
                </c:pt>
                <c:pt idx="72">
                  <c:v>1799.9999999999998</c:v>
                </c:pt>
                <c:pt idx="73">
                  <c:v>1825</c:v>
                </c:pt>
                <c:pt idx="74">
                  <c:v>1850</c:v>
                </c:pt>
                <c:pt idx="75">
                  <c:v>1875</c:v>
                </c:pt>
                <c:pt idx="76">
                  <c:v>1900</c:v>
                </c:pt>
                <c:pt idx="77">
                  <c:v>1925</c:v>
                </c:pt>
                <c:pt idx="78">
                  <c:v>1950.0000000000002</c:v>
                </c:pt>
                <c:pt idx="79">
                  <c:v>1975</c:v>
                </c:pt>
                <c:pt idx="80">
                  <c:v>2000</c:v>
                </c:pt>
                <c:pt idx="81">
                  <c:v>2025.0000000000005</c:v>
                </c:pt>
                <c:pt idx="82">
                  <c:v>2050</c:v>
                </c:pt>
                <c:pt idx="83">
                  <c:v>2074.9999999999995</c:v>
                </c:pt>
                <c:pt idx="84">
                  <c:v>2100</c:v>
                </c:pt>
                <c:pt idx="85">
                  <c:v>2125</c:v>
                </c:pt>
                <c:pt idx="86">
                  <c:v>2150</c:v>
                </c:pt>
                <c:pt idx="87">
                  <c:v>2175</c:v>
                </c:pt>
                <c:pt idx="88">
                  <c:v>2200</c:v>
                </c:pt>
                <c:pt idx="89">
                  <c:v>2225</c:v>
                </c:pt>
                <c:pt idx="90">
                  <c:v>2250</c:v>
                </c:pt>
                <c:pt idx="91">
                  <c:v>2275</c:v>
                </c:pt>
                <c:pt idx="92">
                  <c:v>2300.0000000000005</c:v>
                </c:pt>
                <c:pt idx="93">
                  <c:v>2325</c:v>
                </c:pt>
                <c:pt idx="94">
                  <c:v>2349.9999999999995</c:v>
                </c:pt>
                <c:pt idx="95">
                  <c:v>2375</c:v>
                </c:pt>
                <c:pt idx="96">
                  <c:v>2400</c:v>
                </c:pt>
                <c:pt idx="97">
                  <c:v>2425</c:v>
                </c:pt>
                <c:pt idx="98">
                  <c:v>2450</c:v>
                </c:pt>
                <c:pt idx="99">
                  <c:v>2475</c:v>
                </c:pt>
                <c:pt idx="100">
                  <c:v>2500</c:v>
                </c:pt>
              </c:numCache>
            </c:numRef>
          </c:cat>
          <c:val>
            <c:numRef>
              <c:f>'Calculations - Dual'!$AI$5:$AI$105</c:f>
              <c:numCache>
                <c:formatCode>0.000</c:formatCode>
                <c:ptCount val="101"/>
                <c:pt idx="0">
                  <c:v>3.3333333333333335</c:v>
                </c:pt>
                <c:pt idx="1">
                  <c:v>3.3333333333333335</c:v>
                </c:pt>
                <c:pt idx="2">
                  <c:v>3.3333333333333335</c:v>
                </c:pt>
                <c:pt idx="3">
                  <c:v>3.3333333333333335</c:v>
                </c:pt>
                <c:pt idx="4">
                  <c:v>3.3333333333333335</c:v>
                </c:pt>
                <c:pt idx="5">
                  <c:v>3.3333333333333335</c:v>
                </c:pt>
                <c:pt idx="6">
                  <c:v>3.3333333333333335</c:v>
                </c:pt>
                <c:pt idx="7">
                  <c:v>3.3333333333333335</c:v>
                </c:pt>
                <c:pt idx="8">
                  <c:v>3.3333333333333335</c:v>
                </c:pt>
                <c:pt idx="9">
                  <c:v>3.3333333333333335</c:v>
                </c:pt>
                <c:pt idx="10">
                  <c:v>3.3333333333333335</c:v>
                </c:pt>
                <c:pt idx="11">
                  <c:v>3.3333333333333335</c:v>
                </c:pt>
                <c:pt idx="12">
                  <c:v>3.3625869329221763</c:v>
                </c:pt>
                <c:pt idx="13">
                  <c:v>3.4998914442565998</c:v>
                </c:pt>
                <c:pt idx="14">
                  <c:v>3.6320089980205346</c:v>
                </c:pt>
                <c:pt idx="15">
                  <c:v>3.7594864811332553</c:v>
                </c:pt>
                <c:pt idx="16">
                  <c:v>3.8827809417922725</c:v>
                </c:pt>
                <c:pt idx="17">
                  <c:v>4.00227898603619</c:v>
                </c:pt>
                <c:pt idx="18">
                  <c:v>4.1183111007048083</c:v>
                </c:pt>
                <c:pt idx="19">
                  <c:v>4.2311624362945501</c:v>
                </c:pt>
                <c:pt idx="20">
                  <c:v>4.3410810637940882</c:v>
                </c:pt>
                <c:pt idx="21">
                  <c:v>4.4482843931737541</c:v>
                </c:pt>
                <c:pt idx="22">
                  <c:v>4.552964230331134</c:v>
                </c:pt>
                <c:pt idx="23">
                  <c:v>4.6552908096913077</c:v>
                </c:pt>
                <c:pt idx="24">
                  <c:v>4.7554160451970899</c:v>
                </c:pt>
                <c:pt idx="25">
                  <c:v>4.8534761772403412</c:v>
                </c:pt>
                <c:pt idx="26">
                  <c:v>4.949593947301242</c:v>
                </c:pt>
                <c:pt idx="27">
                  <c:v>5.0438803993832648</c:v>
                </c:pt>
                <c:pt idx="28">
                  <c:v>5.1364363836617555</c:v>
                </c:pt>
                <c:pt idx="29">
                  <c:v>5.2273538203880783</c:v>
                </c:pt>
                <c:pt idx="30">
                  <c:v>5.3167167691769528</c:v>
                </c:pt>
                <c:pt idx="31">
                  <c:v>5.4046023390966518</c:v>
                </c:pt>
                <c:pt idx="32">
                  <c:v>5.4910814676064108</c:v>
                </c:pt>
                <c:pt idx="33">
                  <c:v>5.5762195907274092</c:v>
                </c:pt>
                <c:pt idx="34">
                  <c:v>5.6600772224532188</c:v>
                </c:pt>
                <c:pt idx="35">
                  <c:v>5.7427104579854378</c:v>
                </c:pt>
                <c:pt idx="36">
                  <c:v>5.8241714126884085</c:v>
                </c:pt>
                <c:pt idx="37">
                  <c:v>5.9045086065225174</c:v>
                </c:pt>
                <c:pt idx="38">
                  <c:v>5.9837673020113389</c:v>
                </c:pt>
                <c:pt idx="39">
                  <c:v>6.0619898024280481</c:v>
                </c:pt>
                <c:pt idx="40">
                  <c:v>6.1392157157786222</c:v>
                </c:pt>
                <c:pt idx="41">
                  <c:v>6.2154821892581111</c:v>
                </c:pt>
                <c:pt idx="42">
                  <c:v>6.2908241181188966</c:v>
                </c:pt>
                <c:pt idx="43">
                  <c:v>6.3652743322835628</c:v>
                </c:pt>
                <c:pt idx="44">
                  <c:v>6.4388637635338695</c:v>
                </c:pt>
                <c:pt idx="45">
                  <c:v>6.5116215956911319</c:v>
                </c:pt>
                <c:pt idx="46">
                  <c:v>6.5835753998562749</c:v>
                </c:pt>
                <c:pt idx="47">
                  <c:v>6.6547512564869225</c:v>
                </c:pt>
                <c:pt idx="48">
                  <c:v>6.7251738658443525</c:v>
                </c:pt>
                <c:pt idx="49">
                  <c:v>6.7948666481364777</c:v>
                </c:pt>
                <c:pt idx="50">
                  <c:v>6.8638518345080142</c:v>
                </c:pt>
                <c:pt idx="51">
                  <c:v>6.9321505498799292</c:v>
                </c:pt>
                <c:pt idx="52">
                  <c:v>6.9997828885131996</c:v>
                </c:pt>
                <c:pt idx="53">
                  <c:v>7.0667679830629631</c:v>
                </c:pt>
                <c:pt idx="54">
                  <c:v>7.1331240677956362</c:v>
                </c:pt>
                <c:pt idx="55">
                  <c:v>7.1988685365609317</c:v>
                </c:pt>
                <c:pt idx="56">
                  <c:v>7.2640179960410691</c:v>
                </c:pt>
                <c:pt idx="57">
                  <c:v>7.328588314739072</c:v>
                </c:pt>
                <c:pt idx="58">
                  <c:v>7.392594668115632</c:v>
                </c:pt>
                <c:pt idx="59">
                  <c:v>7.4560515802382454</c:v>
                </c:pt>
                <c:pt idx="60">
                  <c:v>7.5189729622665107</c:v>
                </c:pt>
                <c:pt idx="61">
                  <c:v>7.5813721480624077</c:v>
                </c:pt>
                <c:pt idx="62">
                  <c:v>7.643261927183838</c:v>
                </c:pt>
                <c:pt idx="63">
                  <c:v>7.7046545754926337</c:v>
                </c:pt>
                <c:pt idx="64">
                  <c:v>7.765561883584545</c:v>
                </c:pt>
                <c:pt idx="65">
                  <c:v>7.8259951832276728</c:v>
                </c:pt>
                <c:pt idx="66">
                  <c:v>7.8859653719772522</c:v>
                </c:pt>
                <c:pt idx="67">
                  <c:v>7.9454829361182258</c:v>
                </c:pt>
                <c:pt idx="68">
                  <c:v>8.0045579720723801</c:v>
                </c:pt>
                <c:pt idx="69">
                  <c:v>8.0632002063938017</c:v>
                </c:pt>
                <c:pt idx="70">
                  <c:v>8.1214190144648146</c:v>
                </c:pt>
                <c:pt idx="71">
                  <c:v>8.1792234379941107</c:v>
                </c:pt>
                <c:pt idx="72">
                  <c:v>8.2366222014096167</c:v>
                </c:pt>
                <c:pt idx="73">
                  <c:v>8.2936237272301785</c:v>
                </c:pt>
                <c:pt idx="74">
                  <c:v>8.3502361504928082</c:v>
                </c:pt>
                <c:pt idx="75">
                  <c:v>8.4064673323054393</c:v>
                </c:pt>
                <c:pt idx="76">
                  <c:v>8.4623248725891003</c:v>
                </c:pt>
                <c:pt idx="77">
                  <c:v>8.5178161220680089</c:v>
                </c:pt>
                <c:pt idx="78">
                  <c:v>8.5729481935611442</c:v>
                </c:pt>
                <c:pt idx="79">
                  <c:v>8.6277279726243616</c:v>
                </c:pt>
                <c:pt idx="80">
                  <c:v>8.6821621275881764</c:v>
                </c:pt>
                <c:pt idx="81">
                  <c:v>8.736257119032615</c:v>
                </c:pt>
                <c:pt idx="82">
                  <c:v>8.7900192087372364</c:v>
                </c:pt>
                <c:pt idx="83">
                  <c:v>8.8434544681414611</c:v>
                </c:pt>
                <c:pt idx="84">
                  <c:v>8.8965687863475083</c:v>
                </c:pt>
                <c:pt idx="85">
                  <c:v>9.3120012241432164</c:v>
                </c:pt>
                <c:pt idx="86">
                  <c:v>9.4217472388135715</c:v>
                </c:pt>
                <c:pt idx="87">
                  <c:v>9.5314977903426144</c:v>
                </c:pt>
                <c:pt idx="88">
                  <c:v>9.6412528803625381</c:v>
                </c:pt>
                <c:pt idx="89">
                  <c:v>9.7510125105058645</c:v>
                </c:pt>
                <c:pt idx="90">
                  <c:v>9.860776682405481</c:v>
                </c:pt>
                <c:pt idx="91">
                  <c:v>9.9705453976946163</c:v>
                </c:pt>
                <c:pt idx="92">
                  <c:v>10.080318658006854</c:v>
                </c:pt>
                <c:pt idx="93">
                  <c:v>10.190096464976115</c:v>
                </c:pt>
                <c:pt idx="94">
                  <c:v>10.299878820236678</c:v>
                </c:pt>
                <c:pt idx="95">
                  <c:v>10.409665725423178</c:v>
                </c:pt>
                <c:pt idx="96">
                  <c:v>10.519457182170582</c:v>
                </c:pt>
                <c:pt idx="97">
                  <c:v>10.629253192114218</c:v>
                </c:pt>
                <c:pt idx="98">
                  <c:v>10.739053756889763</c:v>
                </c:pt>
                <c:pt idx="99">
                  <c:v>10.848858878133235</c:v>
                </c:pt>
                <c:pt idx="100">
                  <c:v>10.958668557481021</c:v>
                </c:pt>
              </c:numCache>
            </c:numRef>
          </c:val>
          <c:smooth val="0"/>
          <c:extLst>
            <c:ext xmlns:c16="http://schemas.microsoft.com/office/drawing/2014/chart" uri="{C3380CC4-5D6E-409C-BE32-E72D297353CC}">
              <c16:uniqueId val="{00000001-E5BE-46CE-908E-4F68425D4B37}"/>
            </c:ext>
          </c:extLst>
        </c:ser>
        <c:ser>
          <c:idx val="2"/>
          <c:order val="2"/>
          <c:tx>
            <c:v>VIN-max</c:v>
          </c:tx>
          <c:spPr>
            <a:ln>
              <a:solidFill>
                <a:srgbClr val="FF0000"/>
              </a:solidFill>
              <a:prstDash val="solid"/>
            </a:ln>
          </c:spPr>
          <c:marker>
            <c:symbol val="none"/>
          </c:marker>
          <c:val>
            <c:numRef>
              <c:f>'Calculations - Dual'!$AI$216:$AI$316</c:f>
              <c:numCache>
                <c:formatCode>0.000</c:formatCode>
                <c:ptCount val="101"/>
                <c:pt idx="0">
                  <c:v>3.3333333333333335</c:v>
                </c:pt>
                <c:pt idx="1">
                  <c:v>3.3333333333333335</c:v>
                </c:pt>
                <c:pt idx="2">
                  <c:v>3.3333333333333335</c:v>
                </c:pt>
                <c:pt idx="3">
                  <c:v>3.3333333333333335</c:v>
                </c:pt>
                <c:pt idx="4">
                  <c:v>3.3333333333333335</c:v>
                </c:pt>
                <c:pt idx="5">
                  <c:v>3.3333333333333335</c:v>
                </c:pt>
                <c:pt idx="6">
                  <c:v>3.3333333333333335</c:v>
                </c:pt>
                <c:pt idx="7">
                  <c:v>3.3333333333333335</c:v>
                </c:pt>
                <c:pt idx="8">
                  <c:v>3.3333333333333335</c:v>
                </c:pt>
                <c:pt idx="9">
                  <c:v>3.3333333333333335</c:v>
                </c:pt>
                <c:pt idx="10">
                  <c:v>3.3333333333333335</c:v>
                </c:pt>
                <c:pt idx="11">
                  <c:v>3.3333333333333335</c:v>
                </c:pt>
                <c:pt idx="12">
                  <c:v>3.3625869329221763</c:v>
                </c:pt>
                <c:pt idx="13">
                  <c:v>3.4998914442565998</c:v>
                </c:pt>
                <c:pt idx="14">
                  <c:v>3.6320089980205346</c:v>
                </c:pt>
                <c:pt idx="15">
                  <c:v>3.7594864811332553</c:v>
                </c:pt>
                <c:pt idx="16">
                  <c:v>3.8827809417922725</c:v>
                </c:pt>
                <c:pt idx="17">
                  <c:v>4.00227898603619</c:v>
                </c:pt>
                <c:pt idx="18">
                  <c:v>4.1183111007048083</c:v>
                </c:pt>
                <c:pt idx="19">
                  <c:v>4.2311624362945501</c:v>
                </c:pt>
                <c:pt idx="20">
                  <c:v>4.3410810637940882</c:v>
                </c:pt>
                <c:pt idx="21">
                  <c:v>4.4482843931737541</c:v>
                </c:pt>
                <c:pt idx="22">
                  <c:v>4.552964230331134</c:v>
                </c:pt>
                <c:pt idx="23">
                  <c:v>4.6552908096913077</c:v>
                </c:pt>
                <c:pt idx="24">
                  <c:v>4.7554160451970899</c:v>
                </c:pt>
                <c:pt idx="25">
                  <c:v>4.8534761772403412</c:v>
                </c:pt>
                <c:pt idx="26">
                  <c:v>4.949593947301242</c:v>
                </c:pt>
                <c:pt idx="27">
                  <c:v>5.0438803993832648</c:v>
                </c:pt>
                <c:pt idx="28">
                  <c:v>5.1364363836617555</c:v>
                </c:pt>
                <c:pt idx="29">
                  <c:v>5.2273538203880783</c:v>
                </c:pt>
                <c:pt idx="30">
                  <c:v>5.3167167691769528</c:v>
                </c:pt>
                <c:pt idx="31">
                  <c:v>5.4046023390966518</c:v>
                </c:pt>
                <c:pt idx="32">
                  <c:v>5.4910814676064108</c:v>
                </c:pt>
                <c:pt idx="33">
                  <c:v>5.5762195907274092</c:v>
                </c:pt>
                <c:pt idx="34">
                  <c:v>5.6600772224532188</c:v>
                </c:pt>
                <c:pt idx="35">
                  <c:v>5.7427104579854378</c:v>
                </c:pt>
                <c:pt idx="36">
                  <c:v>5.8241714126884085</c:v>
                </c:pt>
                <c:pt idx="37">
                  <c:v>5.9045086065225174</c:v>
                </c:pt>
                <c:pt idx="38">
                  <c:v>5.9837673020113389</c:v>
                </c:pt>
                <c:pt idx="39">
                  <c:v>6.0619898024280481</c:v>
                </c:pt>
                <c:pt idx="40">
                  <c:v>6.1392157157786222</c:v>
                </c:pt>
                <c:pt idx="41">
                  <c:v>6.2154821892581111</c:v>
                </c:pt>
                <c:pt idx="42">
                  <c:v>6.2908241181188966</c:v>
                </c:pt>
                <c:pt idx="43">
                  <c:v>6.3652743322835628</c:v>
                </c:pt>
                <c:pt idx="44">
                  <c:v>6.4388637635338695</c:v>
                </c:pt>
                <c:pt idx="45">
                  <c:v>6.5116215956911319</c:v>
                </c:pt>
                <c:pt idx="46">
                  <c:v>6.5835753998562749</c:v>
                </c:pt>
                <c:pt idx="47">
                  <c:v>6.6547512564869225</c:v>
                </c:pt>
                <c:pt idx="48">
                  <c:v>6.7251738658443525</c:v>
                </c:pt>
                <c:pt idx="49">
                  <c:v>6.7948666481364777</c:v>
                </c:pt>
                <c:pt idx="50">
                  <c:v>6.8638518345080142</c:v>
                </c:pt>
                <c:pt idx="51">
                  <c:v>6.9321505498799292</c:v>
                </c:pt>
                <c:pt idx="52">
                  <c:v>6.9997828885131996</c:v>
                </c:pt>
                <c:pt idx="53">
                  <c:v>7.0667679830629631</c:v>
                </c:pt>
                <c:pt idx="54">
                  <c:v>7.1331240677956362</c:v>
                </c:pt>
                <c:pt idx="55">
                  <c:v>7.1988685365609317</c:v>
                </c:pt>
                <c:pt idx="56">
                  <c:v>7.2640179960410691</c:v>
                </c:pt>
                <c:pt idx="57">
                  <c:v>7.328588314739072</c:v>
                </c:pt>
                <c:pt idx="58">
                  <c:v>7.392594668115632</c:v>
                </c:pt>
                <c:pt idx="59">
                  <c:v>7.4560515802382454</c:v>
                </c:pt>
                <c:pt idx="60">
                  <c:v>7.5189729622665107</c:v>
                </c:pt>
                <c:pt idx="61">
                  <c:v>7.5813721480624077</c:v>
                </c:pt>
                <c:pt idx="62">
                  <c:v>7.643261927183838</c:v>
                </c:pt>
                <c:pt idx="63">
                  <c:v>7.7046545754926337</c:v>
                </c:pt>
                <c:pt idx="64">
                  <c:v>7.765561883584545</c:v>
                </c:pt>
                <c:pt idx="65">
                  <c:v>7.8259951832276728</c:v>
                </c:pt>
                <c:pt idx="66">
                  <c:v>7.8859653719772522</c:v>
                </c:pt>
                <c:pt idx="67">
                  <c:v>7.9454829361182258</c:v>
                </c:pt>
                <c:pt idx="68">
                  <c:v>8.0045579720723801</c:v>
                </c:pt>
                <c:pt idx="69">
                  <c:v>8.0632002063938017</c:v>
                </c:pt>
                <c:pt idx="70">
                  <c:v>8.1214190144648146</c:v>
                </c:pt>
                <c:pt idx="71">
                  <c:v>8.1792234379941107</c:v>
                </c:pt>
                <c:pt idx="72">
                  <c:v>8.2366222014096167</c:v>
                </c:pt>
                <c:pt idx="73">
                  <c:v>8.2936237272301785</c:v>
                </c:pt>
                <c:pt idx="74">
                  <c:v>8.3502361504928082</c:v>
                </c:pt>
                <c:pt idx="75">
                  <c:v>8.4064673323054393</c:v>
                </c:pt>
                <c:pt idx="76">
                  <c:v>8.4623248725891003</c:v>
                </c:pt>
                <c:pt idx="77">
                  <c:v>8.5178161220680089</c:v>
                </c:pt>
                <c:pt idx="78">
                  <c:v>8.5729481935611442</c:v>
                </c:pt>
                <c:pt idx="79">
                  <c:v>8.6277279726243616</c:v>
                </c:pt>
                <c:pt idx="80">
                  <c:v>8.6821621275881764</c:v>
                </c:pt>
                <c:pt idx="81">
                  <c:v>8.736257119032615</c:v>
                </c:pt>
                <c:pt idx="82">
                  <c:v>8.7900192087372364</c:v>
                </c:pt>
                <c:pt idx="83">
                  <c:v>8.8434544681414611</c:v>
                </c:pt>
                <c:pt idx="84">
                  <c:v>8.8965687863475083</c:v>
                </c:pt>
                <c:pt idx="85">
                  <c:v>8.9493678776958507</c:v>
                </c:pt>
                <c:pt idx="86">
                  <c:v>9.0018572889407622</c:v>
                </c:pt>
                <c:pt idx="87">
                  <c:v>9.0540424060514262</c:v>
                </c:pt>
                <c:pt idx="88">
                  <c:v>9.1059284606622679</c:v>
                </c:pt>
                <c:pt idx="89">
                  <c:v>9.157520536194319</c:v>
                </c:pt>
                <c:pt idx="90">
                  <c:v>9.2088235736679334</c:v>
                </c:pt>
                <c:pt idx="91">
                  <c:v>9.2598423772256417</c:v>
                </c:pt>
                <c:pt idx="92">
                  <c:v>9.3105816193826154</c:v>
                </c:pt>
                <c:pt idx="93">
                  <c:v>9.3610458460209998</c:v>
                </c:pt>
                <c:pt idx="94">
                  <c:v>9.4112394811432001</c:v>
                </c:pt>
                <c:pt idx="95">
                  <c:v>9.461166831398236</c:v>
                </c:pt>
                <c:pt idx="96">
                  <c:v>9.5108320903941799</c:v>
                </c:pt>
                <c:pt idx="97">
                  <c:v>9.5602393428090124</c:v>
                </c:pt>
                <c:pt idx="98">
                  <c:v>9.60939256831122</c:v>
                </c:pt>
                <c:pt idx="99">
                  <c:v>9.6582956453008038</c:v>
                </c:pt>
                <c:pt idx="100">
                  <c:v>9.7069523544806824</c:v>
                </c:pt>
              </c:numCache>
            </c:numRef>
          </c:val>
          <c:smooth val="0"/>
          <c:extLst>
            <c:ext xmlns:c16="http://schemas.microsoft.com/office/drawing/2014/chart" uri="{C3380CC4-5D6E-409C-BE32-E72D297353CC}">
              <c16:uniqueId val="{00000002-E5BE-46CE-908E-4F68425D4B37}"/>
            </c:ext>
          </c:extLst>
        </c:ser>
        <c:dLbls>
          <c:showLegendKey val="0"/>
          <c:showVal val="0"/>
          <c:showCatName val="0"/>
          <c:showSerName val="0"/>
          <c:showPercent val="0"/>
          <c:showBubbleSize val="0"/>
        </c:dLbls>
        <c:smooth val="0"/>
        <c:axId val="450384640"/>
        <c:axId val="450386560"/>
      </c:lineChart>
      <c:catAx>
        <c:axId val="450384640"/>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0386560"/>
        <c:crosses val="autoZero"/>
        <c:auto val="1"/>
        <c:lblAlgn val="ctr"/>
        <c:lblOffset val="100"/>
        <c:tickLblSkip val="20"/>
        <c:tickMarkSkip val="10"/>
        <c:noMultiLvlLbl val="0"/>
      </c:catAx>
      <c:valAx>
        <c:axId val="450386560"/>
        <c:scaling>
          <c:orientation val="minMax"/>
          <c:max val="1.4"/>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Peak</a:t>
                </a:r>
                <a:r>
                  <a:rPr lang="en-US" sz="1200" b="1" baseline="0">
                    <a:solidFill>
                      <a:schemeClr val="tx1"/>
                    </a:solidFill>
                    <a:latin typeface="Arial" pitchFamily="34" charset="0"/>
                    <a:cs typeface="Arial" pitchFamily="34" charset="0"/>
                  </a:rPr>
                  <a:t> Primary Current (A)</a:t>
                </a:r>
                <a:endParaRPr lang="en-US" sz="1200" b="1">
                  <a:solidFill>
                    <a:schemeClr val="tx1"/>
                  </a:solidFill>
                  <a:latin typeface="Arial" pitchFamily="34" charset="0"/>
                  <a:cs typeface="Arial" pitchFamily="34" charset="0"/>
                </a:endParaRPr>
              </a:p>
            </c:rich>
          </c:tx>
          <c:layout>
            <c:manualLayout>
              <c:xMode val="edge"/>
              <c:yMode val="edge"/>
              <c:x val="1.8892754684734177E-2"/>
              <c:y val="0.30303578260037478"/>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0384640"/>
        <c:crossesAt val="0"/>
        <c:crossBetween val="between"/>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Dual'!$AJ$110:$AJ$210</c:f>
              <c:numCache>
                <c:formatCode>0.000</c:formatCode>
                <c:ptCount val="101"/>
                <c:pt idx="0">
                  <c:v>1.0057142857142858</c:v>
                </c:pt>
                <c:pt idx="1">
                  <c:v>1.0157148267207139</c:v>
                </c:pt>
                <c:pt idx="2">
                  <c:v>1.0471444801621419</c:v>
                </c:pt>
                <c:pt idx="3">
                  <c:v>1.0471444801621419</c:v>
                </c:pt>
                <c:pt idx="4">
                  <c:v>1.0628593068828558</c:v>
                </c:pt>
                <c:pt idx="5">
                  <c:v>1.0785741336035697</c:v>
                </c:pt>
                <c:pt idx="6">
                  <c:v>1.0942889603242838</c:v>
                </c:pt>
                <c:pt idx="7">
                  <c:v>1.1100037870449977</c:v>
                </c:pt>
                <c:pt idx="8">
                  <c:v>1.1257186137657116</c:v>
                </c:pt>
                <c:pt idx="9">
                  <c:v>1.1414334404864255</c:v>
                </c:pt>
                <c:pt idx="10">
                  <c:v>1.1571482672071396</c:v>
                </c:pt>
                <c:pt idx="11">
                  <c:v>1.1728630939278535</c:v>
                </c:pt>
                <c:pt idx="12">
                  <c:v>1.1885779206485674</c:v>
                </c:pt>
                <c:pt idx="13">
                  <c:v>1.3233763784616788</c:v>
                </c:pt>
                <c:pt idx="14">
                  <c:v>1.4212412331016304</c:v>
                </c:pt>
                <c:pt idx="15">
                  <c:v>1.5156689983703124</c:v>
                </c:pt>
                <c:pt idx="16">
                  <c:v>1.606998228488103</c:v>
                </c:pt>
                <c:pt idx="17">
                  <c:v>1.6955152982984123</c:v>
                </c:pt>
                <c:pt idx="18">
                  <c:v>1.7814650128677592</c:v>
                </c:pt>
                <c:pt idx="19">
                  <c:v>1.8650585947860865</c:v>
                </c:pt>
                <c:pt idx="20">
                  <c:v>1.9464798003412997</c:v>
                </c:pt>
                <c:pt idx="21">
                  <c:v>2.0258896739558669</c:v>
                </c:pt>
                <c:pt idx="22">
                  <c:v>2.103430294072445</c:v>
                </c:pt>
                <c:pt idx="23">
                  <c:v>2.179227760265166</c:v>
                </c:pt>
                <c:pt idx="24">
                  <c:v>2.2533946013805601</c:v>
                </c:pt>
                <c:pt idx="25">
                  <c:v>2.3260317362274132</c:v>
                </c:pt>
                <c:pt idx="26">
                  <c:v>2.3972300844206731</c:v>
                </c:pt>
                <c:pt idx="27">
                  <c:v>2.4670719007777269</c:v>
                </c:pt>
                <c:pt idx="28">
                  <c:v>2.5356318891321648</c:v>
                </c:pt>
                <c:pt idx="29">
                  <c:v>2.6029781385590702</c:v>
                </c:pt>
                <c:pt idx="30">
                  <c:v>2.6691729154397184</c:v>
                </c:pt>
                <c:pt idx="31">
                  <c:v>2.7342733376024579</c:v>
                </c:pt>
                <c:pt idx="32">
                  <c:v>2.7983319513133909</c:v>
                </c:pt>
                <c:pt idx="33">
                  <c:v>2.8613972276993156</c:v>
                </c:pt>
                <c:pt idx="34">
                  <c:v>2.9235139919406556</c:v>
                </c:pt>
                <c:pt idx="35">
                  <c:v>2.9847237960385957</c:v>
                </c:pt>
                <c:pt idx="36">
                  <c:v>3.0450652439667221</c:v>
                </c:pt>
                <c:pt idx="37">
                  <c:v>3.1045742764364324</c:v>
                </c:pt>
                <c:pt idx="38">
                  <c:v>3.1632844212429667</c:v>
                </c:pt>
                <c:pt idx="39">
                  <c:v>3.2212270141442332</c:v>
                </c:pt>
                <c:pt idx="40">
                  <c:v>3.278431394403917</c:v>
                </c:pt>
                <c:pt idx="41">
                  <c:v>3.3349250784627982</c:v>
                </c:pt>
                <c:pt idx="42">
                  <c:v>3.3907339146559723</c:v>
                </c:pt>
                <c:pt idx="43">
                  <c:v>3.4458822214446139</c:v>
                </c:pt>
                <c:pt idx="44">
                  <c:v>3.5003929112596559</c:v>
                </c:pt>
                <c:pt idx="45">
                  <c:v>3.554287601746517</c:v>
                </c:pt>
                <c:pt idx="46">
                  <c:v>3.6075867159429196</c:v>
                </c:pt>
                <c:pt idx="47">
                  <c:v>3.6603095727063621</c:v>
                </c:pt>
                <c:pt idx="48">
                  <c:v>3.7124744685266808</c:v>
                </c:pt>
                <c:pt idx="49">
                  <c:v>3.7640987517060323</c:v>
                </c:pt>
                <c:pt idx="50">
                  <c:v>3.7675054448565879</c:v>
                </c:pt>
                <c:pt idx="51">
                  <c:v>3.8683910790181333</c:v>
                </c:pt>
                <c:pt idx="52">
                  <c:v>3.969430679116555</c:v>
                </c:pt>
                <c:pt idx="53">
                  <c:v>4.0704884213376911</c:v>
                </c:pt>
                <c:pt idx="54">
                  <c:v>4.1715581882188779</c:v>
                </c:pt>
                <c:pt idx="55">
                  <c:v>4.2726399851904402</c:v>
                </c:pt>
                <c:pt idx="56">
                  <c:v>4.3737338176851486</c:v>
                </c:pt>
                <c:pt idx="57">
                  <c:v>4.4748396911382038</c:v>
                </c:pt>
                <c:pt idx="58">
                  <c:v>4.5759576109872553</c:v>
                </c:pt>
                <c:pt idx="59">
                  <c:v>4.6770875826723879</c:v>
                </c:pt>
                <c:pt idx="60">
                  <c:v>4.7782296116361422</c:v>
                </c:pt>
                <c:pt idx="61">
                  <c:v>4.8793837033234952</c:v>
                </c:pt>
                <c:pt idx="62">
                  <c:v>4.9805498631818743</c:v>
                </c:pt>
                <c:pt idx="63">
                  <c:v>5.0817280966611635</c:v>
                </c:pt>
                <c:pt idx="64">
                  <c:v>5.1829184092136797</c:v>
                </c:pt>
                <c:pt idx="65">
                  <c:v>5.2841208062942115</c:v>
                </c:pt>
                <c:pt idx="66">
                  <c:v>5.3853352933599909</c:v>
                </c:pt>
                <c:pt idx="67">
                  <c:v>5.4865618758707022</c:v>
                </c:pt>
                <c:pt idx="68">
                  <c:v>5.5878005592884961</c:v>
                </c:pt>
                <c:pt idx="69">
                  <c:v>5.6890513490779711</c:v>
                </c:pt>
                <c:pt idx="70">
                  <c:v>5.7903142507061931</c:v>
                </c:pt>
                <c:pt idx="71">
                  <c:v>5.8915892696426839</c:v>
                </c:pt>
                <c:pt idx="72">
                  <c:v>5.9928764113594291</c:v>
                </c:pt>
                <c:pt idx="73">
                  <c:v>6.0941756813308823</c:v>
                </c:pt>
                <c:pt idx="74">
                  <c:v>6.1954870850339541</c:v>
                </c:pt>
                <c:pt idx="75">
                  <c:v>6.2968106279480258</c:v>
                </c:pt>
                <c:pt idx="76">
                  <c:v>6.3981463155549543</c:v>
                </c:pt>
                <c:pt idx="77">
                  <c:v>6.4994941533390547</c:v>
                </c:pt>
                <c:pt idx="78">
                  <c:v>6.6008541467871256</c:v>
                </c:pt>
                <c:pt idx="79">
                  <c:v>6.7022263013884267</c:v>
                </c:pt>
                <c:pt idx="80">
                  <c:v>6.803610622634694</c:v>
                </c:pt>
                <c:pt idx="81">
                  <c:v>6.9050071160201547</c:v>
                </c:pt>
                <c:pt idx="82">
                  <c:v>7.0064157870414867</c:v>
                </c:pt>
                <c:pt idx="83">
                  <c:v>7.1078366411978715</c:v>
                </c:pt>
                <c:pt idx="84">
                  <c:v>7.2092696839909642</c:v>
                </c:pt>
                <c:pt idx="85">
                  <c:v>7.3107149209248883</c:v>
                </c:pt>
                <c:pt idx="86">
                  <c:v>7.4121723575062664</c:v>
                </c:pt>
                <c:pt idx="87">
                  <c:v>7.5136419992442045</c:v>
                </c:pt>
                <c:pt idx="88">
                  <c:v>7.6151238516502859</c:v>
                </c:pt>
                <c:pt idx="89">
                  <c:v>7.7166179202385914</c:v>
                </c:pt>
                <c:pt idx="90">
                  <c:v>7.8181242105256823</c:v>
                </c:pt>
                <c:pt idx="91">
                  <c:v>7.9196427280306203</c:v>
                </c:pt>
                <c:pt idx="92">
                  <c:v>8.0211734782749495</c:v>
                </c:pt>
                <c:pt idx="93">
                  <c:v>8.1227164667827232</c:v>
                </c:pt>
                <c:pt idx="94">
                  <c:v>8.2242716990804698</c:v>
                </c:pt>
                <c:pt idx="95">
                  <c:v>8.3258391806972334</c:v>
                </c:pt>
                <c:pt idx="96">
                  <c:v>8.4274189171645446</c:v>
                </c:pt>
                <c:pt idx="97">
                  <c:v>8.529010914016439</c:v>
                </c:pt>
                <c:pt idx="98">
                  <c:v>8.630615176789453</c:v>
                </c:pt>
                <c:pt idx="99">
                  <c:v>8.7322317110226244</c:v>
                </c:pt>
                <c:pt idx="100">
                  <c:v>8.8338605222574991</c:v>
                </c:pt>
              </c:numCache>
            </c:numRef>
          </c:val>
          <c:smooth val="0"/>
          <c:extLst>
            <c:ext xmlns:c16="http://schemas.microsoft.com/office/drawing/2014/chart" uri="{C3380CC4-5D6E-409C-BE32-E72D297353CC}">
              <c16:uniqueId val="{00000000-DC32-4242-87FA-45A0737872EA}"/>
            </c:ext>
          </c:extLst>
        </c:ser>
        <c:ser>
          <c:idx val="0"/>
          <c:order val="1"/>
          <c:tx>
            <c:v>VIN-nom</c:v>
          </c:tx>
          <c:spPr>
            <a:ln w="28575">
              <a:solidFill>
                <a:srgbClr val="0000FF"/>
              </a:solidFill>
              <a:prstDash val="lgDash"/>
            </a:ln>
          </c:spPr>
          <c:marker>
            <c:symbol val="none"/>
          </c:marker>
          <c:cat>
            <c:numRef>
              <c:f>'Calculations - Dual'!$AL$5:$AL$105</c:f>
              <c:numCache>
                <c:formatCode>0</c:formatCode>
                <c:ptCount val="101"/>
                <c:pt idx="0">
                  <c:v>1.0000000000000002E-6</c:v>
                </c:pt>
                <c:pt idx="1">
                  <c:v>25</c:v>
                </c:pt>
                <c:pt idx="2">
                  <c:v>50</c:v>
                </c:pt>
                <c:pt idx="3">
                  <c:v>75</c:v>
                </c:pt>
                <c:pt idx="4">
                  <c:v>100</c:v>
                </c:pt>
                <c:pt idx="5">
                  <c:v>125</c:v>
                </c:pt>
                <c:pt idx="6">
                  <c:v>150</c:v>
                </c:pt>
                <c:pt idx="7">
                  <c:v>175.00000000000003</c:v>
                </c:pt>
                <c:pt idx="8">
                  <c:v>200</c:v>
                </c:pt>
                <c:pt idx="9">
                  <c:v>224.99999999999997</c:v>
                </c:pt>
                <c:pt idx="10">
                  <c:v>250</c:v>
                </c:pt>
                <c:pt idx="11">
                  <c:v>275</c:v>
                </c:pt>
                <c:pt idx="12">
                  <c:v>300</c:v>
                </c:pt>
                <c:pt idx="13">
                  <c:v>325</c:v>
                </c:pt>
                <c:pt idx="14">
                  <c:v>350.00000000000006</c:v>
                </c:pt>
                <c:pt idx="15">
                  <c:v>375</c:v>
                </c:pt>
                <c:pt idx="16">
                  <c:v>400</c:v>
                </c:pt>
                <c:pt idx="17">
                  <c:v>425.00000000000006</c:v>
                </c:pt>
                <c:pt idx="18">
                  <c:v>449.99999999999994</c:v>
                </c:pt>
                <c:pt idx="19">
                  <c:v>475</c:v>
                </c:pt>
                <c:pt idx="20">
                  <c:v>500</c:v>
                </c:pt>
                <c:pt idx="21">
                  <c:v>525</c:v>
                </c:pt>
                <c:pt idx="22">
                  <c:v>550</c:v>
                </c:pt>
                <c:pt idx="23">
                  <c:v>575.00000000000011</c:v>
                </c:pt>
                <c:pt idx="24">
                  <c:v>600</c:v>
                </c:pt>
                <c:pt idx="25">
                  <c:v>625</c:v>
                </c:pt>
                <c:pt idx="26">
                  <c:v>650</c:v>
                </c:pt>
                <c:pt idx="27">
                  <c:v>675</c:v>
                </c:pt>
                <c:pt idx="28">
                  <c:v>700.00000000000011</c:v>
                </c:pt>
                <c:pt idx="29">
                  <c:v>725</c:v>
                </c:pt>
                <c:pt idx="30">
                  <c:v>750</c:v>
                </c:pt>
                <c:pt idx="31">
                  <c:v>775</c:v>
                </c:pt>
                <c:pt idx="32">
                  <c:v>800</c:v>
                </c:pt>
                <c:pt idx="33">
                  <c:v>825.00000000000011</c:v>
                </c:pt>
                <c:pt idx="34">
                  <c:v>850.00000000000011</c:v>
                </c:pt>
                <c:pt idx="35">
                  <c:v>875</c:v>
                </c:pt>
                <c:pt idx="36">
                  <c:v>899.99999999999989</c:v>
                </c:pt>
                <c:pt idx="37">
                  <c:v>925</c:v>
                </c:pt>
                <c:pt idx="38">
                  <c:v>950</c:v>
                </c:pt>
                <c:pt idx="39">
                  <c:v>975.00000000000011</c:v>
                </c:pt>
                <c:pt idx="40">
                  <c:v>1000</c:v>
                </c:pt>
                <c:pt idx="41">
                  <c:v>1025</c:v>
                </c:pt>
                <c:pt idx="42">
                  <c:v>1050</c:v>
                </c:pt>
                <c:pt idx="43">
                  <c:v>1075</c:v>
                </c:pt>
                <c:pt idx="44">
                  <c:v>1100</c:v>
                </c:pt>
                <c:pt idx="45">
                  <c:v>1125</c:v>
                </c:pt>
                <c:pt idx="46">
                  <c:v>1150.0000000000002</c:v>
                </c:pt>
                <c:pt idx="47">
                  <c:v>1174.9999999999998</c:v>
                </c:pt>
                <c:pt idx="48">
                  <c:v>1200</c:v>
                </c:pt>
                <c:pt idx="49">
                  <c:v>1225</c:v>
                </c:pt>
                <c:pt idx="50">
                  <c:v>1250</c:v>
                </c:pt>
                <c:pt idx="51">
                  <c:v>1275</c:v>
                </c:pt>
                <c:pt idx="52">
                  <c:v>1300</c:v>
                </c:pt>
                <c:pt idx="53">
                  <c:v>1325.0000000000002</c:v>
                </c:pt>
                <c:pt idx="54">
                  <c:v>1350</c:v>
                </c:pt>
                <c:pt idx="55">
                  <c:v>1375</c:v>
                </c:pt>
                <c:pt idx="56">
                  <c:v>1400.0000000000002</c:v>
                </c:pt>
                <c:pt idx="57">
                  <c:v>1424.9999999999998</c:v>
                </c:pt>
                <c:pt idx="58">
                  <c:v>1450</c:v>
                </c:pt>
                <c:pt idx="59">
                  <c:v>1474.9999999999998</c:v>
                </c:pt>
                <c:pt idx="60">
                  <c:v>1500</c:v>
                </c:pt>
                <c:pt idx="61">
                  <c:v>1525</c:v>
                </c:pt>
                <c:pt idx="62">
                  <c:v>1550</c:v>
                </c:pt>
                <c:pt idx="63">
                  <c:v>1575</c:v>
                </c:pt>
                <c:pt idx="64">
                  <c:v>1600</c:v>
                </c:pt>
                <c:pt idx="65">
                  <c:v>1625</c:v>
                </c:pt>
                <c:pt idx="66">
                  <c:v>1650.0000000000002</c:v>
                </c:pt>
                <c:pt idx="67">
                  <c:v>1675</c:v>
                </c:pt>
                <c:pt idx="68">
                  <c:v>1700.0000000000002</c:v>
                </c:pt>
                <c:pt idx="69">
                  <c:v>1724.9999999999998</c:v>
                </c:pt>
                <c:pt idx="70">
                  <c:v>1750</c:v>
                </c:pt>
                <c:pt idx="71">
                  <c:v>1775</c:v>
                </c:pt>
                <c:pt idx="72">
                  <c:v>1799.9999999999998</c:v>
                </c:pt>
                <c:pt idx="73">
                  <c:v>1825</c:v>
                </c:pt>
                <c:pt idx="74">
                  <c:v>1850</c:v>
                </c:pt>
                <c:pt idx="75">
                  <c:v>1875</c:v>
                </c:pt>
                <c:pt idx="76">
                  <c:v>1900</c:v>
                </c:pt>
                <c:pt idx="77">
                  <c:v>1925</c:v>
                </c:pt>
                <c:pt idx="78">
                  <c:v>1950.0000000000002</c:v>
                </c:pt>
                <c:pt idx="79">
                  <c:v>1975</c:v>
                </c:pt>
                <c:pt idx="80">
                  <c:v>2000</c:v>
                </c:pt>
                <c:pt idx="81">
                  <c:v>2025.0000000000005</c:v>
                </c:pt>
                <c:pt idx="82">
                  <c:v>2050</c:v>
                </c:pt>
                <c:pt idx="83">
                  <c:v>2074.9999999999995</c:v>
                </c:pt>
                <c:pt idx="84">
                  <c:v>2100</c:v>
                </c:pt>
                <c:pt idx="85">
                  <c:v>2125</c:v>
                </c:pt>
                <c:pt idx="86">
                  <c:v>2150</c:v>
                </c:pt>
                <c:pt idx="87">
                  <c:v>2175</c:v>
                </c:pt>
                <c:pt idx="88">
                  <c:v>2200</c:v>
                </c:pt>
                <c:pt idx="89">
                  <c:v>2225</c:v>
                </c:pt>
                <c:pt idx="90">
                  <c:v>2250</c:v>
                </c:pt>
                <c:pt idx="91">
                  <c:v>2275</c:v>
                </c:pt>
                <c:pt idx="92">
                  <c:v>2300.0000000000005</c:v>
                </c:pt>
                <c:pt idx="93">
                  <c:v>2325</c:v>
                </c:pt>
                <c:pt idx="94">
                  <c:v>2349.9999999999995</c:v>
                </c:pt>
                <c:pt idx="95">
                  <c:v>2375</c:v>
                </c:pt>
                <c:pt idx="96">
                  <c:v>2400</c:v>
                </c:pt>
                <c:pt idx="97">
                  <c:v>2425</c:v>
                </c:pt>
                <c:pt idx="98">
                  <c:v>2450</c:v>
                </c:pt>
                <c:pt idx="99">
                  <c:v>2475</c:v>
                </c:pt>
                <c:pt idx="100">
                  <c:v>2500</c:v>
                </c:pt>
              </c:numCache>
            </c:numRef>
          </c:cat>
          <c:val>
            <c:numRef>
              <c:f>'Calculations - Dual'!$AJ$5:$AJ$105</c:f>
              <c:numCache>
                <c:formatCode>0.000</c:formatCode>
                <c:ptCount val="101"/>
                <c:pt idx="0">
                  <c:v>1.0057142857142858</c:v>
                </c:pt>
                <c:pt idx="1">
                  <c:v>1.0157148267207139</c:v>
                </c:pt>
                <c:pt idx="2">
                  <c:v>1.031429653441428</c:v>
                </c:pt>
                <c:pt idx="3">
                  <c:v>1.0471444801621419</c:v>
                </c:pt>
                <c:pt idx="4">
                  <c:v>1.0628593068828558</c:v>
                </c:pt>
                <c:pt idx="5">
                  <c:v>1.0785741336035697</c:v>
                </c:pt>
                <c:pt idx="6">
                  <c:v>1.0942889603242838</c:v>
                </c:pt>
                <c:pt idx="7">
                  <c:v>1.1100037870449977</c:v>
                </c:pt>
                <c:pt idx="8">
                  <c:v>1.1257186137657116</c:v>
                </c:pt>
                <c:pt idx="9">
                  <c:v>1.1414334404864255</c:v>
                </c:pt>
                <c:pt idx="10">
                  <c:v>1.1571482672071396</c:v>
                </c:pt>
                <c:pt idx="11">
                  <c:v>1.1728630939278535</c:v>
                </c:pt>
                <c:pt idx="12">
                  <c:v>1.1885779206485674</c:v>
                </c:pt>
                <c:pt idx="13">
                  <c:v>1.3233763784616788</c:v>
                </c:pt>
                <c:pt idx="14">
                  <c:v>1.4212412331016304</c:v>
                </c:pt>
                <c:pt idx="15">
                  <c:v>1.5156689983703124</c:v>
                </c:pt>
                <c:pt idx="16">
                  <c:v>1.606998228488103</c:v>
                </c:pt>
                <c:pt idx="17">
                  <c:v>1.6955152982984123</c:v>
                </c:pt>
                <c:pt idx="18">
                  <c:v>1.7814650128677592</c:v>
                </c:pt>
                <c:pt idx="19">
                  <c:v>1.8650585947860865</c:v>
                </c:pt>
                <c:pt idx="20">
                  <c:v>1.9464798003412997</c:v>
                </c:pt>
                <c:pt idx="21">
                  <c:v>2.0258896739558669</c:v>
                </c:pt>
                <c:pt idx="22">
                  <c:v>2.103430294072445</c:v>
                </c:pt>
                <c:pt idx="23">
                  <c:v>2.179227760265166</c:v>
                </c:pt>
                <c:pt idx="24">
                  <c:v>2.2533946013805601</c:v>
                </c:pt>
                <c:pt idx="25">
                  <c:v>2.3260317362274132</c:v>
                </c:pt>
                <c:pt idx="26">
                  <c:v>2.3972300844206731</c:v>
                </c:pt>
                <c:pt idx="27">
                  <c:v>2.4670719007777269</c:v>
                </c:pt>
                <c:pt idx="28">
                  <c:v>2.5356318891321648</c:v>
                </c:pt>
                <c:pt idx="29">
                  <c:v>2.6029781385590702</c:v>
                </c:pt>
                <c:pt idx="30">
                  <c:v>2.6691729154397184</c:v>
                </c:pt>
                <c:pt idx="31">
                  <c:v>2.7342733376024579</c:v>
                </c:pt>
                <c:pt idx="32">
                  <c:v>2.7983319513133909</c:v>
                </c:pt>
                <c:pt idx="33">
                  <c:v>2.8613972276993156</c:v>
                </c:pt>
                <c:pt idx="34">
                  <c:v>2.9235139919406556</c:v>
                </c:pt>
                <c:pt idx="35">
                  <c:v>2.9847237960385957</c:v>
                </c:pt>
                <c:pt idx="36">
                  <c:v>3.0450652439667221</c:v>
                </c:pt>
                <c:pt idx="37">
                  <c:v>3.1045742764364324</c:v>
                </c:pt>
                <c:pt idx="38">
                  <c:v>3.1632844212429667</c:v>
                </c:pt>
                <c:pt idx="39">
                  <c:v>3.2212270141442332</c:v>
                </c:pt>
                <c:pt idx="40">
                  <c:v>3.278431394403917</c:v>
                </c:pt>
                <c:pt idx="41">
                  <c:v>3.3349250784627982</c:v>
                </c:pt>
                <c:pt idx="42">
                  <c:v>3.3907339146559723</c:v>
                </c:pt>
                <c:pt idx="43">
                  <c:v>3.4458822214446139</c:v>
                </c:pt>
                <c:pt idx="44">
                  <c:v>3.5003929112596559</c:v>
                </c:pt>
                <c:pt idx="45">
                  <c:v>3.554287601746517</c:v>
                </c:pt>
                <c:pt idx="46">
                  <c:v>3.6075867159429196</c:v>
                </c:pt>
                <c:pt idx="47">
                  <c:v>3.6603095727063621</c:v>
                </c:pt>
                <c:pt idx="48">
                  <c:v>3.7124744685266808</c:v>
                </c:pt>
                <c:pt idx="49">
                  <c:v>3.7640987517060323</c:v>
                </c:pt>
                <c:pt idx="50">
                  <c:v>3.8151988897590225</c:v>
                </c:pt>
                <c:pt idx="51">
                  <c:v>3.8657905307752563</c:v>
                </c:pt>
                <c:pt idx="52">
                  <c:v>3.915888559392493</c:v>
                </c:pt>
                <c:pt idx="53">
                  <c:v>3.9655071479478741</c:v>
                </c:pt>
                <c:pt idx="54">
                  <c:v>4.0146598033054097</c:v>
                </c:pt>
                <c:pt idx="55">
                  <c:v>4.0633594097982213</c:v>
                </c:pt>
                <c:pt idx="56">
                  <c:v>4.1116182686723972</c:v>
                </c:pt>
                <c:pt idx="57">
                  <c:v>4.159448134374621</c:v>
                </c:pt>
                <c:pt idx="58">
                  <c:v>4.2068602479868877</c:v>
                </c:pt>
                <c:pt idx="59">
                  <c:v>4.2538653680777125</c:v>
                </c:pt>
                <c:pt idx="60">
                  <c:v>4.3004737992097608</c:v>
                </c:pt>
                <c:pt idx="61">
                  <c:v>4.3466954183178332</c:v>
                </c:pt>
                <c:pt idx="62">
                  <c:v>4.3925396991485215</c:v>
                </c:pt>
                <c:pt idx="63">
                  <c:v>4.4380157349328151</c:v>
                </c:pt>
                <c:pt idx="64">
                  <c:v>4.483132259445342</c:v>
                </c:pt>
                <c:pt idx="65">
                  <c:v>4.5278976665883999</c:v>
                </c:pt>
                <c:pt idx="66">
                  <c:v>4.5723200286251249</c:v>
                </c:pt>
                <c:pt idx="67">
                  <c:v>4.6164071131739943</c:v>
                </c:pt>
                <c:pt idx="68">
                  <c:v>4.6601663990659601</c:v>
                </c:pt>
                <c:pt idx="69">
                  <c:v>4.703605091155902</c:v>
                </c:pt>
                <c:pt idx="70">
                  <c:v>4.7467301341714672</c:v>
                </c:pt>
                <c:pt idx="71">
                  <c:v>4.7895482256746496</c:v>
                </c:pt>
                <c:pt idx="72">
                  <c:v>4.8320658282046542</c:v>
                </c:pt>
                <c:pt idx="73">
                  <c:v>4.8742891806643298</c:v>
                </c:pt>
                <c:pt idx="74">
                  <c:v>4.9162243090070179</c:v>
                </c:pt>
                <c:pt idx="75">
                  <c:v>4.957877036275633</c:v>
                </c:pt>
                <c:pt idx="76">
                  <c:v>4.9992529920413089</c:v>
                </c:pt>
                <c:pt idx="77">
                  <c:v>5.0403576212849446</c:v>
                </c:pt>
                <c:pt idx="78">
                  <c:v>5.0811961927613414</c:v>
                </c:pt>
                <c:pt idx="79">
                  <c:v>5.1217738068822429</c:v>
                </c:pt>
                <c:pt idx="80">
                  <c:v>5.162095403151735</c:v>
                </c:pt>
                <c:pt idx="81">
                  <c:v>5.2021657671846526</c:v>
                </c:pt>
                <c:pt idx="82">
                  <c:v>5.2419895373362237</c:v>
                </c:pt>
                <c:pt idx="83">
                  <c:v>5.2815712109689832</c:v>
                </c:pt>
                <c:pt idx="84">
                  <c:v>5.3209151503808698</c:v>
                </c:pt>
                <c:pt idx="85">
                  <c:v>5.6286428820813939</c:v>
                </c:pt>
                <c:pt idx="86">
                  <c:v>5.7099362262816573</c:v>
                </c:pt>
                <c:pt idx="87">
                  <c:v>5.7912329311179853</c:v>
                </c:pt>
                <c:pt idx="88">
                  <c:v>5.8725329977994107</c:v>
                </c:pt>
                <c:pt idx="89">
                  <c:v>5.953836427535208</c:v>
                </c:pt>
                <c:pt idx="90">
                  <c:v>6.0351432215349243</c:v>
                </c:pt>
                <c:pt idx="91">
                  <c:v>6.1164533810083572</c:v>
                </c:pt>
                <c:pt idx="92">
                  <c:v>6.1977669071655708</c:v>
                </c:pt>
                <c:pt idx="93">
                  <c:v>6.279083801216875</c:v>
                </c:pt>
                <c:pt idx="94">
                  <c:v>6.3604040643728483</c:v>
                </c:pt>
                <c:pt idx="95">
                  <c:v>6.4417276978443292</c:v>
                </c:pt>
                <c:pt idx="96">
                  <c:v>6.5230547028424057</c:v>
                </c:pt>
                <c:pt idx="97">
                  <c:v>6.6043850805784325</c:v>
                </c:pt>
                <c:pt idx="98">
                  <c:v>6.6857188322640217</c:v>
                </c:pt>
                <c:pt idx="99">
                  <c:v>6.7670559591110377</c:v>
                </c:pt>
                <c:pt idx="100">
                  <c:v>6.8483964623316202</c:v>
                </c:pt>
              </c:numCache>
            </c:numRef>
          </c:val>
          <c:smooth val="0"/>
          <c:extLst>
            <c:ext xmlns:c16="http://schemas.microsoft.com/office/drawing/2014/chart" uri="{C3380CC4-5D6E-409C-BE32-E72D297353CC}">
              <c16:uniqueId val="{00000001-DC32-4242-87FA-45A0737872EA}"/>
            </c:ext>
          </c:extLst>
        </c:ser>
        <c:ser>
          <c:idx val="2"/>
          <c:order val="2"/>
          <c:tx>
            <c:v>VIN-max</c:v>
          </c:tx>
          <c:spPr>
            <a:ln>
              <a:solidFill>
                <a:srgbClr val="FF0000"/>
              </a:solidFill>
              <a:prstDash val="solid"/>
            </a:ln>
          </c:spPr>
          <c:marker>
            <c:symbol val="none"/>
          </c:marker>
          <c:val>
            <c:numRef>
              <c:f>'Calculations - Dual'!$AJ$216:$AJ$316</c:f>
              <c:numCache>
                <c:formatCode>0.000</c:formatCode>
                <c:ptCount val="101"/>
                <c:pt idx="0">
                  <c:v>1.0057142857142858</c:v>
                </c:pt>
                <c:pt idx="1">
                  <c:v>1.0157147369735742</c:v>
                </c:pt>
                <c:pt idx="2">
                  <c:v>1.0314294739471486</c:v>
                </c:pt>
                <c:pt idx="3">
                  <c:v>1.0471442109207227</c:v>
                </c:pt>
                <c:pt idx="4">
                  <c:v>1.0628589478942969</c:v>
                </c:pt>
                <c:pt idx="5">
                  <c:v>1.0785736848678713</c:v>
                </c:pt>
                <c:pt idx="6">
                  <c:v>1.0942884218414455</c:v>
                </c:pt>
                <c:pt idx="7">
                  <c:v>1.1100031588150197</c:v>
                </c:pt>
                <c:pt idx="8">
                  <c:v>1.125717895788594</c:v>
                </c:pt>
                <c:pt idx="9">
                  <c:v>1.1414326327621682</c:v>
                </c:pt>
                <c:pt idx="10">
                  <c:v>1.1571473697357426</c:v>
                </c:pt>
                <c:pt idx="11">
                  <c:v>1.1728621067093168</c:v>
                </c:pt>
                <c:pt idx="12">
                  <c:v>1.188576843682891</c:v>
                </c:pt>
                <c:pt idx="13">
                  <c:v>1.3233763784616788</c:v>
                </c:pt>
                <c:pt idx="14">
                  <c:v>1.4212412331016304</c:v>
                </c:pt>
                <c:pt idx="15">
                  <c:v>1.5156689983703124</c:v>
                </c:pt>
                <c:pt idx="16">
                  <c:v>1.606998228488103</c:v>
                </c:pt>
                <c:pt idx="17">
                  <c:v>1.6955152982984123</c:v>
                </c:pt>
                <c:pt idx="18">
                  <c:v>1.7814650128677592</c:v>
                </c:pt>
                <c:pt idx="19">
                  <c:v>1.8650585947860865</c:v>
                </c:pt>
                <c:pt idx="20">
                  <c:v>1.9464798003412997</c:v>
                </c:pt>
                <c:pt idx="21">
                  <c:v>2.0258896739558669</c:v>
                </c:pt>
                <c:pt idx="22">
                  <c:v>2.103430294072445</c:v>
                </c:pt>
                <c:pt idx="23">
                  <c:v>2.179227760265166</c:v>
                </c:pt>
                <c:pt idx="24">
                  <c:v>2.2533946013805601</c:v>
                </c:pt>
                <c:pt idx="25">
                  <c:v>2.3260317362274132</c:v>
                </c:pt>
                <c:pt idx="26">
                  <c:v>2.3972300844206731</c:v>
                </c:pt>
                <c:pt idx="27">
                  <c:v>2.4670719007777269</c:v>
                </c:pt>
                <c:pt idx="28">
                  <c:v>2.5356318891321648</c:v>
                </c:pt>
                <c:pt idx="29">
                  <c:v>2.6029781385590702</c:v>
                </c:pt>
                <c:pt idx="30">
                  <c:v>2.6691729154397184</c:v>
                </c:pt>
                <c:pt idx="31">
                  <c:v>2.7342733376024579</c:v>
                </c:pt>
                <c:pt idx="32">
                  <c:v>2.7983319513133909</c:v>
                </c:pt>
                <c:pt idx="33">
                  <c:v>2.8613972276993156</c:v>
                </c:pt>
                <c:pt idx="34">
                  <c:v>2.9235139919406556</c:v>
                </c:pt>
                <c:pt idx="35">
                  <c:v>2.9847237960385957</c:v>
                </c:pt>
                <c:pt idx="36">
                  <c:v>3.0450652439667221</c:v>
                </c:pt>
                <c:pt idx="37">
                  <c:v>3.1045742764364324</c:v>
                </c:pt>
                <c:pt idx="38">
                  <c:v>3.1632844212429667</c:v>
                </c:pt>
                <c:pt idx="39">
                  <c:v>3.2212270141442332</c:v>
                </c:pt>
                <c:pt idx="40">
                  <c:v>3.278431394403917</c:v>
                </c:pt>
                <c:pt idx="41">
                  <c:v>3.3349250784627982</c:v>
                </c:pt>
                <c:pt idx="42">
                  <c:v>3.3907339146559723</c:v>
                </c:pt>
                <c:pt idx="43">
                  <c:v>3.4458822214446139</c:v>
                </c:pt>
                <c:pt idx="44">
                  <c:v>3.5003929112596559</c:v>
                </c:pt>
                <c:pt idx="45">
                  <c:v>3.554287601746517</c:v>
                </c:pt>
                <c:pt idx="46">
                  <c:v>3.6075867159429196</c:v>
                </c:pt>
                <c:pt idx="47">
                  <c:v>3.6603095727063621</c:v>
                </c:pt>
                <c:pt idx="48">
                  <c:v>3.7124744685266808</c:v>
                </c:pt>
                <c:pt idx="49">
                  <c:v>3.7640987517060323</c:v>
                </c:pt>
                <c:pt idx="50">
                  <c:v>3.8151988897590225</c:v>
                </c:pt>
                <c:pt idx="51">
                  <c:v>3.8657905307752563</c:v>
                </c:pt>
                <c:pt idx="52">
                  <c:v>3.915888559392493</c:v>
                </c:pt>
                <c:pt idx="53">
                  <c:v>3.9655071479478741</c:v>
                </c:pt>
                <c:pt idx="54">
                  <c:v>4.0146598033054097</c:v>
                </c:pt>
                <c:pt idx="55">
                  <c:v>4.0633594097982213</c:v>
                </c:pt>
                <c:pt idx="56">
                  <c:v>4.1116182686723972</c:v>
                </c:pt>
                <c:pt idx="57">
                  <c:v>4.159448134374621</c:v>
                </c:pt>
                <c:pt idx="58">
                  <c:v>4.2068602479868877</c:v>
                </c:pt>
                <c:pt idx="59">
                  <c:v>4.2538653680777125</c:v>
                </c:pt>
                <c:pt idx="60">
                  <c:v>4.3004737992097608</c:v>
                </c:pt>
                <c:pt idx="61">
                  <c:v>4.3466954183178332</c:v>
                </c:pt>
                <c:pt idx="62">
                  <c:v>4.3925396991485215</c:v>
                </c:pt>
                <c:pt idx="63">
                  <c:v>4.4380157349328151</c:v>
                </c:pt>
                <c:pt idx="64">
                  <c:v>4.483132259445342</c:v>
                </c:pt>
                <c:pt idx="65">
                  <c:v>4.5278976665883999</c:v>
                </c:pt>
                <c:pt idx="66">
                  <c:v>4.5723200286251249</c:v>
                </c:pt>
                <c:pt idx="67">
                  <c:v>4.6164071131739943</c:v>
                </c:pt>
                <c:pt idx="68">
                  <c:v>4.6601663990659601</c:v>
                </c:pt>
                <c:pt idx="69">
                  <c:v>4.703605091155902</c:v>
                </c:pt>
                <c:pt idx="70">
                  <c:v>4.7467301341714672</c:v>
                </c:pt>
                <c:pt idx="71">
                  <c:v>4.7895482256746496</c:v>
                </c:pt>
                <c:pt idx="72">
                  <c:v>4.8320658282046542</c:v>
                </c:pt>
                <c:pt idx="73">
                  <c:v>4.8742891806643298</c:v>
                </c:pt>
                <c:pt idx="74">
                  <c:v>4.9162243090070179</c:v>
                </c:pt>
                <c:pt idx="75">
                  <c:v>4.957877036275633</c:v>
                </c:pt>
                <c:pt idx="76">
                  <c:v>4.9992529920413089</c:v>
                </c:pt>
                <c:pt idx="77">
                  <c:v>5.0403576212849446</c:v>
                </c:pt>
                <c:pt idx="78">
                  <c:v>5.0811961927613414</c:v>
                </c:pt>
                <c:pt idx="79">
                  <c:v>5.1217738068822429</c:v>
                </c:pt>
                <c:pt idx="80">
                  <c:v>5.162095403151735</c:v>
                </c:pt>
                <c:pt idx="81">
                  <c:v>5.2021657671846526</c:v>
                </c:pt>
                <c:pt idx="82">
                  <c:v>5.2419895373362237</c:v>
                </c:pt>
                <c:pt idx="83">
                  <c:v>5.2815712109689832</c:v>
                </c:pt>
                <c:pt idx="84">
                  <c:v>5.3209151503808698</c:v>
                </c:pt>
                <c:pt idx="85">
                  <c:v>5.3600255884166792</c:v>
                </c:pt>
                <c:pt idx="86">
                  <c:v>5.3989066337832803</c:v>
                </c:pt>
                <c:pt idx="87">
                  <c:v>5.4375622760874762</c:v>
                </c:pt>
                <c:pt idx="88">
                  <c:v>5.475996390614025</c:v>
                </c:pt>
                <c:pt idx="89">
                  <c:v>5.5142127428599892</c:v>
                </c:pt>
                <c:pt idx="90">
                  <c:v>5.5522149928404438</c:v>
                </c:pt>
                <c:pt idx="91">
                  <c:v>5.5900066991794874</c:v>
                </c:pt>
                <c:pt idx="92">
                  <c:v>5.6275913229994678</c:v>
                </c:pt>
                <c:pt idx="93">
                  <c:v>5.6649722316204931</c:v>
                </c:pt>
                <c:pt idx="94">
                  <c:v>5.7021527020813823</c:v>
                </c:pt>
                <c:pt idx="95">
                  <c:v>5.73913592449252</c:v>
                </c:pt>
                <c:pt idx="96">
                  <c:v>5.7759250052302562</c:v>
                </c:pt>
                <c:pt idx="97">
                  <c:v>5.812522969981984</c:v>
                </c:pt>
                <c:pt idx="98">
                  <c:v>5.8489327666502859</c:v>
                </c:pt>
                <c:pt idx="99">
                  <c:v>5.8851572681240514</c:v>
                </c:pt>
                <c:pt idx="100">
                  <c:v>5.9211992749239615</c:v>
                </c:pt>
              </c:numCache>
            </c:numRef>
          </c:val>
          <c:smooth val="0"/>
          <c:extLst>
            <c:ext xmlns:c16="http://schemas.microsoft.com/office/drawing/2014/chart" uri="{C3380CC4-5D6E-409C-BE32-E72D297353CC}">
              <c16:uniqueId val="{00000002-DC32-4242-87FA-45A0737872EA}"/>
            </c:ext>
          </c:extLst>
        </c:ser>
        <c:dLbls>
          <c:showLegendKey val="0"/>
          <c:showVal val="0"/>
          <c:showCatName val="0"/>
          <c:showSerName val="0"/>
          <c:showPercent val="0"/>
          <c:showBubbleSize val="0"/>
        </c:dLbls>
        <c:smooth val="0"/>
        <c:axId val="450433408"/>
        <c:axId val="450435328"/>
      </c:lineChart>
      <c:catAx>
        <c:axId val="450433408"/>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0435328"/>
        <c:crosses val="autoZero"/>
        <c:auto val="1"/>
        <c:lblAlgn val="ctr"/>
        <c:lblOffset val="100"/>
        <c:tickLblSkip val="20"/>
        <c:tickMarkSkip val="10"/>
        <c:noMultiLvlLbl val="0"/>
      </c:catAx>
      <c:valAx>
        <c:axId val="450435328"/>
        <c:scaling>
          <c:orientation val="minMax"/>
          <c:max val="2.2000000000000002"/>
          <c:min val="1"/>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COMP</a:t>
                </a:r>
                <a:r>
                  <a:rPr lang="en-US" sz="1200" b="1" baseline="0">
                    <a:solidFill>
                      <a:schemeClr val="tx1"/>
                    </a:solidFill>
                    <a:latin typeface="Arial" pitchFamily="34" charset="0"/>
                    <a:cs typeface="Arial" pitchFamily="34" charset="0"/>
                  </a:rPr>
                  <a:t> Voltage (V)</a:t>
                </a:r>
                <a:endParaRPr lang="en-US" sz="1200" b="1">
                  <a:solidFill>
                    <a:schemeClr val="tx1"/>
                  </a:solidFill>
                  <a:latin typeface="Arial" pitchFamily="34" charset="0"/>
                  <a:cs typeface="Arial" pitchFamily="34" charset="0"/>
                </a:endParaRPr>
              </a:p>
            </c:rich>
          </c:tx>
          <c:layout>
            <c:manualLayout>
              <c:xMode val="edge"/>
              <c:yMode val="edge"/>
              <c:x val="1.5939635452545176E-2"/>
              <c:y val="0.34603169988013316"/>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0433408"/>
        <c:crossesAt val="0"/>
        <c:crossBetween val="between"/>
        <c:majorUnit val="0.2"/>
        <c:minorUnit val="0.1"/>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lang="ja-JP"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Dual'!$CB$5:$CB$105</c:f>
              <c:numCache>
                <c:formatCode>0.00</c:formatCode>
                <c:ptCount val="101"/>
                <c:pt idx="0">
                  <c:v>4.5713909236334194E-5</c:v>
                </c:pt>
                <c:pt idx="1">
                  <c:v>75.130440609473808</c:v>
                </c:pt>
                <c:pt idx="2">
                  <c:v>76.995795139376781</c:v>
                </c:pt>
                <c:pt idx="3">
                  <c:v>77.088647369678029</c:v>
                </c:pt>
                <c:pt idx="4">
                  <c:v>76.635135670652261</c:v>
                </c:pt>
                <c:pt idx="5">
                  <c:v>75.912238095555708</c:v>
                </c:pt>
                <c:pt idx="6">
                  <c:v>75.025334077858588</c:v>
                </c:pt>
                <c:pt idx="7">
                  <c:v>74.027428869671979</c:v>
                </c:pt>
                <c:pt idx="8">
                  <c:v>72.950348122498468</c:v>
                </c:pt>
                <c:pt idx="9">
                  <c:v>71.815584030584489</c:v>
                </c:pt>
                <c:pt idx="10">
                  <c:v>70.638835784578731</c:v>
                </c:pt>
                <c:pt idx="11">
                  <c:v>69.432185484391212</c:v>
                </c:pt>
                <c:pt idx="12">
                  <c:v>67.893387424678096</c:v>
                </c:pt>
                <c:pt idx="13">
                  <c:v>65.917942606371724</c:v>
                </c:pt>
                <c:pt idx="14">
                  <c:v>66.06744542241772</c:v>
                </c:pt>
                <c:pt idx="15">
                  <c:v>66.185410111269476</c:v>
                </c:pt>
                <c:pt idx="16">
                  <c:v>66.277778607841924</c:v>
                </c:pt>
                <c:pt idx="17">
                  <c:v>66.349149723756739</c:v>
                </c:pt>
                <c:pt idx="18">
                  <c:v>66.403134418396363</c:v>
                </c:pt>
                <c:pt idx="19">
                  <c:v>66.442604304554848</c:v>
                </c:pt>
                <c:pt idx="20">
                  <c:v>66.469869010107303</c:v>
                </c:pt>
                <c:pt idx="21">
                  <c:v>66.486805050707829</c:v>
                </c:pt>
                <c:pt idx="22">
                  <c:v>66.494950983070936</c:v>
                </c:pt>
                <c:pt idx="23">
                  <c:v>66.495578682853164</c:v>
                </c:pt>
                <c:pt idx="24">
                  <c:v>66.489747439932884</c:v>
                </c:pt>
                <c:pt idx="25">
                  <c:v>66.478345503888605</c:v>
                </c:pt>
                <c:pt idx="26">
                  <c:v>66.462122339286836</c:v>
                </c:pt>
                <c:pt idx="27">
                  <c:v>66.44171391862632</c:v>
                </c:pt>
                <c:pt idx="28">
                  <c:v>66.417662738203148</c:v>
                </c:pt>
                <c:pt idx="29">
                  <c:v>66.390433792363055</c:v>
                </c:pt>
                <c:pt idx="30">
                  <c:v>66.360427422411533</c:v>
                </c:pt>
                <c:pt idx="31">
                  <c:v>66.327989727045718</c:v>
                </c:pt>
                <c:pt idx="32">
                  <c:v>66.293421054355335</c:v>
                </c:pt>
                <c:pt idx="33">
                  <c:v>66.256982972800543</c:v>
                </c:pt>
                <c:pt idx="34">
                  <c:v>66.218904027496876</c:v>
                </c:pt>
                <c:pt idx="35">
                  <c:v>66.179384519847289</c:v>
                </c:pt>
                <c:pt idx="36">
                  <c:v>66.138600496907458</c:v>
                </c:pt>
                <c:pt idx="37">
                  <c:v>66.096707097464474</c:v>
                </c:pt>
                <c:pt idx="38">
                  <c:v>66.05384137151789</c:v>
                </c:pt>
                <c:pt idx="39">
                  <c:v>66.010124666387426</c:v>
                </c:pt>
                <c:pt idx="40">
                  <c:v>65.965664654374805</c:v>
                </c:pt>
                <c:pt idx="41">
                  <c:v>65.920557062539743</c:v>
                </c:pt>
                <c:pt idx="42">
                  <c:v>65.874887153801197</c:v>
                </c:pt>
                <c:pt idx="43">
                  <c:v>65.828730999556981</c:v>
                </c:pt>
                <c:pt idx="44">
                  <c:v>65.7821565768064</c:v>
                </c:pt>
                <c:pt idx="45">
                  <c:v>65.735224716970549</c:v>
                </c:pt>
                <c:pt idx="46">
                  <c:v>65.687989928928985</c:v>
                </c:pt>
                <c:pt idx="47">
                  <c:v>65.640501114996908</c:v>
                </c:pt>
                <c:pt idx="48">
                  <c:v>65.592802195474306</c:v>
                </c:pt>
                <c:pt idx="49">
                  <c:v>65.544932654865946</c:v>
                </c:pt>
                <c:pt idx="50">
                  <c:v>65.496928020788872</c:v>
                </c:pt>
                <c:pt idx="51">
                  <c:v>65.448820284864766</c:v>
                </c:pt>
                <c:pt idx="52">
                  <c:v>65.400638273470307</c:v>
                </c:pt>
                <c:pt idx="53">
                  <c:v>65.352407975032946</c:v>
                </c:pt>
                <c:pt idx="54">
                  <c:v>65.304152829571152</c:v>
                </c:pt>
                <c:pt idx="55">
                  <c:v>65.255893985348379</c:v>
                </c:pt>
                <c:pt idx="56">
                  <c:v>65.207650526814732</c:v>
                </c:pt>
                <c:pt idx="57">
                  <c:v>65.159439677422483</c:v>
                </c:pt>
                <c:pt idx="58">
                  <c:v>65.111276980405378</c:v>
                </c:pt>
                <c:pt idx="59">
                  <c:v>65.063176460191016</c:v>
                </c:pt>
                <c:pt idx="60">
                  <c:v>65.015150766756904</c:v>
                </c:pt>
                <c:pt idx="61">
                  <c:v>64.967211304935972</c:v>
                </c:pt>
                <c:pt idx="62">
                  <c:v>64.919368350416178</c:v>
                </c:pt>
                <c:pt idx="63">
                  <c:v>64.871631153954894</c:v>
                </c:pt>
                <c:pt idx="64">
                  <c:v>64.824008035136544</c:v>
                </c:pt>
                <c:pt idx="65">
                  <c:v>64.776506466836821</c:v>
                </c:pt>
                <c:pt idx="66">
                  <c:v>64.729133151413052</c:v>
                </c:pt>
                <c:pt idx="67">
                  <c:v>64.68189408951703</c:v>
                </c:pt>
                <c:pt idx="68">
                  <c:v>64.634794642319889</c:v>
                </c:pt>
                <c:pt idx="69">
                  <c:v>64.587839587844371</c:v>
                </c:pt>
                <c:pt idx="70">
                  <c:v>64.541033172019425</c:v>
                </c:pt>
                <c:pt idx="71">
                  <c:v>64.494379155001695</c:v>
                </c:pt>
                <c:pt idx="72">
                  <c:v>64.447880853245437</c:v>
                </c:pt>
                <c:pt idx="73">
                  <c:v>64.401541177749536</c:v>
                </c:pt>
                <c:pt idx="74">
                  <c:v>64.929065426395923</c:v>
                </c:pt>
                <c:pt idx="75">
                  <c:v>65.469223868662795</c:v>
                </c:pt>
                <c:pt idx="76">
                  <c:v>65.997506692342981</c:v>
                </c:pt>
                <c:pt idx="77">
                  <c:v>66.514174332672127</c:v>
                </c:pt>
                <c:pt idx="78">
                  <c:v>67.019484814826058</c:v>
                </c:pt>
                <c:pt idx="79">
                  <c:v>67.514244362712617</c:v>
                </c:pt>
                <c:pt idx="80">
                  <c:v>67.998470240170761</c:v>
                </c:pt>
                <c:pt idx="81">
                  <c:v>68.472083619356667</c:v>
                </c:pt>
                <c:pt idx="82">
                  <c:v>68.935329454976653</c:v>
                </c:pt>
                <c:pt idx="83">
                  <c:v>69.388448968373865</c:v>
                </c:pt>
                <c:pt idx="84">
                  <c:v>69.831679475898653</c:v>
                </c:pt>
                <c:pt idx="85">
                  <c:v>68.419658780943465</c:v>
                </c:pt>
                <c:pt idx="86">
                  <c:v>68.583793301762142</c:v>
                </c:pt>
                <c:pt idx="87">
                  <c:v>68.745018272067924</c:v>
                </c:pt>
                <c:pt idx="88">
                  <c:v>68.903396857988028</c:v>
                </c:pt>
                <c:pt idx="89">
                  <c:v>69.058990338778457</c:v>
                </c:pt>
                <c:pt idx="90">
                  <c:v>69.211858175184545</c:v>
                </c:pt>
                <c:pt idx="91">
                  <c:v>69.362058074842665</c:v>
                </c:pt>
                <c:pt idx="92">
                  <c:v>69.509646054870402</c:v>
                </c:pt>
                <c:pt idx="93">
                  <c:v>69.654676501785218</c:v>
                </c:pt>
                <c:pt idx="94">
                  <c:v>69.79720222888281</c:v>
                </c:pt>
                <c:pt idx="95">
                  <c:v>69.937274531199236</c:v>
                </c:pt>
                <c:pt idx="96">
                  <c:v>70.0749432381741</c:v>
                </c:pt>
                <c:pt idx="97">
                  <c:v>70.210256764125887</c:v>
                </c:pt>
                <c:pt idx="98">
                  <c:v>70.343262156643604</c:v>
                </c:pt>
                <c:pt idx="99">
                  <c:v>70.474005142994443</c:v>
                </c:pt>
                <c:pt idx="100">
                  <c:v>70.575234377399028</c:v>
                </c:pt>
              </c:numCache>
            </c:numRef>
          </c:val>
          <c:smooth val="0"/>
          <c:extLst>
            <c:ext xmlns:c16="http://schemas.microsoft.com/office/drawing/2014/chart" uri="{C3380CC4-5D6E-409C-BE32-E72D297353CC}">
              <c16:uniqueId val="{00000000-AC8A-4551-AD17-C0E237FEA675}"/>
            </c:ext>
          </c:extLst>
        </c:ser>
        <c:dLbls>
          <c:showLegendKey val="0"/>
          <c:showVal val="0"/>
          <c:showCatName val="0"/>
          <c:showSerName val="0"/>
          <c:showPercent val="0"/>
          <c:showBubbleSize val="0"/>
        </c:dLbls>
        <c:marker val="1"/>
        <c:smooth val="0"/>
        <c:axId val="450484096"/>
        <c:axId val="450498560"/>
      </c:lineChart>
      <c:lineChart>
        <c:grouping val="standard"/>
        <c:varyColors val="0"/>
        <c:ser>
          <c:idx val="2"/>
          <c:order val="1"/>
          <c:tx>
            <c:strRef>
              <c:f>'Calculations - Dual'!$BM$3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Dual'!$BQ$5:$BQ$105</c:f>
              <c:numCache>
                <c:formatCode>0.0</c:formatCode>
                <c:ptCount val="101"/>
                <c:pt idx="0">
                  <c:v>1.1495999999999998E-6</c:v>
                </c:pt>
                <c:pt idx="1">
                  <c:v>17.962499999999999</c:v>
                </c:pt>
                <c:pt idx="2">
                  <c:v>35.924999999999997</c:v>
                </c:pt>
                <c:pt idx="3">
                  <c:v>53.887499999999996</c:v>
                </c:pt>
                <c:pt idx="4">
                  <c:v>71.849999999999994</c:v>
                </c:pt>
                <c:pt idx="5">
                  <c:v>89.812499999999986</c:v>
                </c:pt>
                <c:pt idx="6">
                  <c:v>107.77499999999999</c:v>
                </c:pt>
                <c:pt idx="7">
                  <c:v>125.7375</c:v>
                </c:pt>
                <c:pt idx="8">
                  <c:v>143.69999999999999</c:v>
                </c:pt>
                <c:pt idx="9">
                  <c:v>161.66249999999997</c:v>
                </c:pt>
                <c:pt idx="10">
                  <c:v>179.62499999999997</c:v>
                </c:pt>
                <c:pt idx="11">
                  <c:v>197.58750000000001</c:v>
                </c:pt>
                <c:pt idx="12">
                  <c:v>215.54999999999998</c:v>
                </c:pt>
                <c:pt idx="13">
                  <c:v>233.51249999999999</c:v>
                </c:pt>
                <c:pt idx="14">
                  <c:v>251.47499999999999</c:v>
                </c:pt>
                <c:pt idx="15">
                  <c:v>269.43749999999994</c:v>
                </c:pt>
                <c:pt idx="16">
                  <c:v>287.39999999999998</c:v>
                </c:pt>
                <c:pt idx="17">
                  <c:v>305.36249999999995</c:v>
                </c:pt>
                <c:pt idx="18">
                  <c:v>323.32499999999993</c:v>
                </c:pt>
                <c:pt idx="19">
                  <c:v>341.28749999999997</c:v>
                </c:pt>
                <c:pt idx="20">
                  <c:v>359.24999999999994</c:v>
                </c:pt>
                <c:pt idx="21">
                  <c:v>377.21249999999998</c:v>
                </c:pt>
                <c:pt idx="22">
                  <c:v>395.17500000000001</c:v>
                </c:pt>
                <c:pt idx="23">
                  <c:v>413.13750000000005</c:v>
                </c:pt>
                <c:pt idx="24">
                  <c:v>431.09999999999997</c:v>
                </c:pt>
                <c:pt idx="25">
                  <c:v>449.0625</c:v>
                </c:pt>
                <c:pt idx="26">
                  <c:v>467.02499999999998</c:v>
                </c:pt>
                <c:pt idx="27">
                  <c:v>484.98749999999995</c:v>
                </c:pt>
                <c:pt idx="28">
                  <c:v>502.95</c:v>
                </c:pt>
                <c:pt idx="29">
                  <c:v>520.91249999999991</c:v>
                </c:pt>
                <c:pt idx="30">
                  <c:v>538.87499999999989</c:v>
                </c:pt>
                <c:pt idx="31">
                  <c:v>556.83749999999986</c:v>
                </c:pt>
                <c:pt idx="32">
                  <c:v>574.79999999999995</c:v>
                </c:pt>
                <c:pt idx="33">
                  <c:v>592.76249999999993</c:v>
                </c:pt>
                <c:pt idx="34">
                  <c:v>610.72499999999991</c:v>
                </c:pt>
                <c:pt idx="35">
                  <c:v>628.6875</c:v>
                </c:pt>
                <c:pt idx="36">
                  <c:v>646.64999999999986</c:v>
                </c:pt>
                <c:pt idx="37">
                  <c:v>664.61250000000007</c:v>
                </c:pt>
                <c:pt idx="38">
                  <c:v>682.57499999999993</c:v>
                </c:pt>
                <c:pt idx="39">
                  <c:v>700.53749999999991</c:v>
                </c:pt>
                <c:pt idx="40">
                  <c:v>718.49999999999989</c:v>
                </c:pt>
                <c:pt idx="41">
                  <c:v>736.46249999999986</c:v>
                </c:pt>
                <c:pt idx="42">
                  <c:v>754.42499999999995</c:v>
                </c:pt>
                <c:pt idx="43">
                  <c:v>772.38750000000005</c:v>
                </c:pt>
                <c:pt idx="44">
                  <c:v>790.35</c:v>
                </c:pt>
                <c:pt idx="45">
                  <c:v>808.31249999999989</c:v>
                </c:pt>
                <c:pt idx="46">
                  <c:v>826.27500000000009</c:v>
                </c:pt>
                <c:pt idx="47">
                  <c:v>844.23749999999973</c:v>
                </c:pt>
                <c:pt idx="48">
                  <c:v>862.19999999999993</c:v>
                </c:pt>
                <c:pt idx="49">
                  <c:v>880.16249999999991</c:v>
                </c:pt>
                <c:pt idx="50">
                  <c:v>898.125</c:v>
                </c:pt>
                <c:pt idx="51">
                  <c:v>916.08749999999986</c:v>
                </c:pt>
                <c:pt idx="52">
                  <c:v>934.05</c:v>
                </c:pt>
                <c:pt idx="53">
                  <c:v>952.01250000000005</c:v>
                </c:pt>
                <c:pt idx="54">
                  <c:v>969.97499999999991</c:v>
                </c:pt>
                <c:pt idx="55">
                  <c:v>987.93749999999989</c:v>
                </c:pt>
                <c:pt idx="56">
                  <c:v>1005.9</c:v>
                </c:pt>
                <c:pt idx="57">
                  <c:v>1023.8625</c:v>
                </c:pt>
                <c:pt idx="58">
                  <c:v>1041.8249999999998</c:v>
                </c:pt>
                <c:pt idx="59">
                  <c:v>1059.7874999999997</c:v>
                </c:pt>
                <c:pt idx="60">
                  <c:v>1077.7499999999998</c:v>
                </c:pt>
                <c:pt idx="61">
                  <c:v>1095.7124999999999</c:v>
                </c:pt>
                <c:pt idx="62">
                  <c:v>1113.6749999999997</c:v>
                </c:pt>
                <c:pt idx="63">
                  <c:v>1131.6374999999998</c:v>
                </c:pt>
                <c:pt idx="64">
                  <c:v>1149.5999999999999</c:v>
                </c:pt>
                <c:pt idx="65">
                  <c:v>1167.5624999999998</c:v>
                </c:pt>
                <c:pt idx="66">
                  <c:v>1185.5249999999999</c:v>
                </c:pt>
                <c:pt idx="67">
                  <c:v>1203.4874999999997</c:v>
                </c:pt>
                <c:pt idx="68">
                  <c:v>1221.4499999999998</c:v>
                </c:pt>
                <c:pt idx="69">
                  <c:v>1239.4124999999999</c:v>
                </c:pt>
                <c:pt idx="70">
                  <c:v>1257.375</c:v>
                </c:pt>
                <c:pt idx="71">
                  <c:v>1275.3374999999999</c:v>
                </c:pt>
                <c:pt idx="72">
                  <c:v>1293.2999999999997</c:v>
                </c:pt>
                <c:pt idx="73">
                  <c:v>1311.2624999999998</c:v>
                </c:pt>
                <c:pt idx="74">
                  <c:v>1329.2250000000001</c:v>
                </c:pt>
                <c:pt idx="75">
                  <c:v>1347.1875</c:v>
                </c:pt>
                <c:pt idx="76">
                  <c:v>1365.1499999999999</c:v>
                </c:pt>
                <c:pt idx="77">
                  <c:v>1383.1125</c:v>
                </c:pt>
                <c:pt idx="78">
                  <c:v>1401.0749999999998</c:v>
                </c:pt>
                <c:pt idx="79">
                  <c:v>1419.0374999999999</c:v>
                </c:pt>
                <c:pt idx="80">
                  <c:v>1436.9999999999998</c:v>
                </c:pt>
                <c:pt idx="81">
                  <c:v>1454.9625000000001</c:v>
                </c:pt>
                <c:pt idx="82">
                  <c:v>1472.9249999999997</c:v>
                </c:pt>
                <c:pt idx="83">
                  <c:v>1490.8874999999996</c:v>
                </c:pt>
                <c:pt idx="84">
                  <c:v>1508.85</c:v>
                </c:pt>
                <c:pt idx="85">
                  <c:v>1526.8124999999998</c:v>
                </c:pt>
                <c:pt idx="86">
                  <c:v>1544.7750000000001</c:v>
                </c:pt>
                <c:pt idx="87">
                  <c:v>1562.7374999999997</c:v>
                </c:pt>
                <c:pt idx="88">
                  <c:v>1580.7</c:v>
                </c:pt>
                <c:pt idx="89">
                  <c:v>1598.6624999999999</c:v>
                </c:pt>
                <c:pt idx="90">
                  <c:v>1616.6249999999998</c:v>
                </c:pt>
                <c:pt idx="91">
                  <c:v>1634.5874999999996</c:v>
                </c:pt>
                <c:pt idx="92">
                  <c:v>1652.5500000000002</c:v>
                </c:pt>
                <c:pt idx="93">
                  <c:v>1670.5124999999998</c:v>
                </c:pt>
                <c:pt idx="94">
                  <c:v>1688.4749999999995</c:v>
                </c:pt>
                <c:pt idx="95">
                  <c:v>1706.4374999999998</c:v>
                </c:pt>
                <c:pt idx="96">
                  <c:v>1724.3999999999999</c:v>
                </c:pt>
                <c:pt idx="97">
                  <c:v>1742.3624999999995</c:v>
                </c:pt>
                <c:pt idx="98">
                  <c:v>1760.3249999999998</c:v>
                </c:pt>
                <c:pt idx="99">
                  <c:v>1778.2874999999999</c:v>
                </c:pt>
                <c:pt idx="100">
                  <c:v>1796.25</c:v>
                </c:pt>
              </c:numCache>
            </c:numRef>
          </c:val>
          <c:smooth val="0"/>
          <c:extLst>
            <c:ext xmlns:c16="http://schemas.microsoft.com/office/drawing/2014/chart" uri="{C3380CC4-5D6E-409C-BE32-E72D297353CC}">
              <c16:uniqueId val="{00000001-AC8A-4551-AD17-C0E237FEA675}"/>
            </c:ext>
          </c:extLst>
        </c:ser>
        <c:ser>
          <c:idx val="3"/>
          <c:order val="2"/>
          <c:tx>
            <c:strRef>
              <c:f>'Calculations - Dual'!$BE$3</c:f>
              <c:strCache>
                <c:ptCount val="1"/>
                <c:pt idx="0">
                  <c:v>MOSFET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Dual'!$BL$5:$BL$105</c:f>
              <c:numCache>
                <c:formatCode>0.0</c:formatCode>
                <c:ptCount val="101"/>
                <c:pt idx="0">
                  <c:v>50.644621083562676</c:v>
                </c:pt>
                <c:pt idx="1">
                  <c:v>139.18462705945075</c:v>
                </c:pt>
                <c:pt idx="2">
                  <c:v>278.41459411389366</c:v>
                </c:pt>
                <c:pt idx="3">
                  <c:v>417.68992332148719</c:v>
                </c:pt>
                <c:pt idx="4">
                  <c:v>557.0106368548312</c:v>
                </c:pt>
                <c:pt idx="5">
                  <c:v>696.37675690097751</c:v>
                </c:pt>
                <c:pt idx="6">
                  <c:v>835.78830566144347</c:v>
                </c:pt>
                <c:pt idx="7">
                  <c:v>975.24530535222164</c:v>
                </c:pt>
                <c:pt idx="8">
                  <c:v>1114.7477782037934</c:v>
                </c:pt>
                <c:pt idx="9">
                  <c:v>1254.2957464611388</c:v>
                </c:pt>
                <c:pt idx="10">
                  <c:v>1393.889232383752</c:v>
                </c:pt>
                <c:pt idx="11">
                  <c:v>1533.5282582456482</c:v>
                </c:pt>
                <c:pt idx="12">
                  <c:v>1683.5816065451743</c:v>
                </c:pt>
                <c:pt idx="13">
                  <c:v>1837.5156648650293</c:v>
                </c:pt>
                <c:pt idx="14">
                  <c:v>1887.4414563634339</c:v>
                </c:pt>
                <c:pt idx="15">
                  <c:v>1935.786119129802</c:v>
                </c:pt>
                <c:pt idx="16">
                  <c:v>1982.7131896953497</c:v>
                </c:pt>
                <c:pt idx="17">
                  <c:v>2028.3609034901708</c:v>
                </c:pt>
                <c:pt idx="18">
                  <c:v>2072.8473501330395</c:v>
                </c:pt>
                <c:pt idx="19">
                  <c:v>2116.2743530758498</c:v>
                </c:pt>
                <c:pt idx="20">
                  <c:v>2158.7304392837282</c:v>
                </c:pt>
                <c:pt idx="21">
                  <c:v>2200.293146868235</c:v>
                </c:pt>
                <c:pt idx="22">
                  <c:v>2241.0308425277181</c:v>
                </c:pt>
                <c:pt idx="23">
                  <c:v>2281.0041703024908</c:v>
                </c:pt>
                <c:pt idx="24">
                  <c:v>2320.2672190924704</c:v>
                </c:pt>
                <c:pt idx="25">
                  <c:v>2358.8684728864559</c:v>
                </c:pt>
                <c:pt idx="26">
                  <c:v>2396.8515911507629</c:v>
                </c:pt>
                <c:pt idx="27">
                  <c:v>2434.2560550490534</c:v>
                </c:pt>
                <c:pt idx="28">
                  <c:v>2471.1177066375549</c:v>
                </c:pt>
                <c:pt idx="29">
                  <c:v>2507.4692019210606</c:v>
                </c:pt>
                <c:pt idx="30">
                  <c:v>2543.3403940041626</c:v>
                </c:pt>
                <c:pt idx="31">
                  <c:v>2578.7586590768519</c:v>
                </c:pt>
                <c:pt idx="32">
                  <c:v>2613.7491753185204</c:v>
                </c:pt>
                <c:pt idx="33">
                  <c:v>2648.3351627680859</c:v>
                </c:pt>
                <c:pt idx="34">
                  <c:v>2682.5380906316195</c:v>
                </c:pt>
                <c:pt idx="35">
                  <c:v>2716.3778572684446</c:v>
                </c:pt>
                <c:pt idx="36">
                  <c:v>2749.8729471283946</c:v>
                </c:pt>
                <c:pt idx="37">
                  <c:v>2783.0405681453558</c:v>
                </c:pt>
                <c:pt idx="38">
                  <c:v>2815.8967724794416</c:v>
                </c:pt>
                <c:pt idx="39">
                  <c:v>2848.456563007735</c:v>
                </c:pt>
                <c:pt idx="40">
                  <c:v>2880.7339875653215</c:v>
                </c:pt>
                <c:pt idx="41">
                  <c:v>2912.7422226145227</c:v>
                </c:pt>
                <c:pt idx="42">
                  <c:v>2944.4936477552806</c:v>
                </c:pt>
                <c:pt idx="43">
                  <c:v>2975.9999122719264</c:v>
                </c:pt>
                <c:pt idx="44">
                  <c:v>3007.2719947315509</c:v>
                </c:pt>
                <c:pt idx="45">
                  <c:v>3038.3202564997882</c:v>
                </c:pt>
                <c:pt idx="46">
                  <c:v>3069.1544899152514</c:v>
                </c:pt>
                <c:pt idx="47">
                  <c:v>3099.7839617594227</c:v>
                </c:pt>
                <c:pt idx="48">
                  <c:v>3130.2174525710907</c:v>
                </c:pt>
                <c:pt idx="49">
                  <c:v>3160.4632922802621</c:v>
                </c:pt>
                <c:pt idx="50">
                  <c:v>3190.5293925737024</c:v>
                </c:pt>
                <c:pt idx="51">
                  <c:v>3220.4232763508198</c:v>
                </c:pt>
                <c:pt idx="52">
                  <c:v>3250.1521045830305</c:v>
                </c:pt>
                <c:pt idx="53">
                  <c:v>3279.7227008507016</c:v>
                </c:pt>
                <c:pt idx="54">
                  <c:v>3309.1415737982429</c:v>
                </c:pt>
                <c:pt idx="55">
                  <c:v>3338.414937719047</c:v>
                </c:pt>
                <c:pt idx="56">
                  <c:v>3367.5487314569918</c:v>
                </c:pt>
                <c:pt idx="57">
                  <c:v>3396.5486357896148</c:v>
                </c:pt>
                <c:pt idx="58">
                  <c:v>3425.4200894392907</c:v>
                </c:pt>
                <c:pt idx="59">
                  <c:v>3454.1683038423548</c:v>
                </c:pt>
                <c:pt idx="60">
                  <c:v>3482.7982767918529</c:v>
                </c:pt>
                <c:pt idx="61">
                  <c:v>3511.3148050570639</c:v>
                </c:pt>
                <c:pt idx="62">
                  <c:v>3539.7224960719955</c:v>
                </c:pt>
                <c:pt idx="63">
                  <c:v>3568.0257787753922</c:v>
                </c:pt>
                <c:pt idx="64">
                  <c:v>3596.2289136762884</c:v>
                </c:pt>
                <c:pt idx="65">
                  <c:v>3624.3360022116321</c:v>
                </c:pt>
                <c:pt idx="66">
                  <c:v>3652.3509954558899</c:v>
                </c:pt>
                <c:pt idx="67">
                  <c:v>3680.2777022365945</c:v>
                </c:pt>
                <c:pt idx="68">
                  <c:v>3708.119796704626</c:v>
                </c:pt>
                <c:pt idx="69">
                  <c:v>3735.8808254033324</c:v>
                </c:pt>
                <c:pt idx="70">
                  <c:v>3763.5642138764383</c:v>
                </c:pt>
                <c:pt idx="71">
                  <c:v>3791.1732728509919</c:v>
                </c:pt>
                <c:pt idx="72">
                  <c:v>3818.7112040283127</c:v>
                </c:pt>
                <c:pt idx="73">
                  <c:v>3846.1811055128665</c:v>
                </c:pt>
                <c:pt idx="74">
                  <c:v>3825.2240992502893</c:v>
                </c:pt>
                <c:pt idx="75">
                  <c:v>3802.6520355985481</c:v>
                </c:pt>
                <c:pt idx="76">
                  <c:v>3780.5280982136505</c:v>
                </c:pt>
                <c:pt idx="77">
                  <c:v>3758.8383962640678</c:v>
                </c:pt>
                <c:pt idx="78">
                  <c:v>3737.5696255996263</c:v>
                </c:pt>
                <c:pt idx="79">
                  <c:v>3716.644779961377</c:v>
                </c:pt>
                <c:pt idx="80">
                  <c:v>3696.0784767344339</c:v>
                </c:pt>
                <c:pt idx="81">
                  <c:v>3675.8970372951717</c:v>
                </c:pt>
                <c:pt idx="82">
                  <c:v>3656.0892032236602</c:v>
                </c:pt>
                <c:pt idx="83">
                  <c:v>3636.6441653922197</c:v>
                </c:pt>
                <c:pt idx="84">
                  <c:v>3617.5515413653202</c:v>
                </c:pt>
                <c:pt idx="85">
                  <c:v>3758.3479244808254</c:v>
                </c:pt>
                <c:pt idx="86">
                  <c:v>3764.0240255918393</c:v>
                </c:pt>
                <c:pt idx="87">
                  <c:v>3769.8953473535739</c:v>
                </c:pt>
                <c:pt idx="88">
                  <c:v>3775.960417990827</c:v>
                </c:pt>
                <c:pt idx="89">
                  <c:v>3782.2178720556817</c:v>
                </c:pt>
                <c:pt idx="90">
                  <c:v>3788.6664456798421</c:v>
                </c:pt>
                <c:pt idx="91">
                  <c:v>3795.3049721355646</c:v>
                </c:pt>
                <c:pt idx="92">
                  <c:v>3802.1323776833733</c:v>
                </c:pt>
                <c:pt idx="93">
                  <c:v>3809.1476776865002</c:v>
                </c:pt>
                <c:pt idx="94">
                  <c:v>3816.3499729735968</c:v>
                </c:pt>
                <c:pt idx="95">
                  <c:v>3823.7384464327733</c:v>
                </c:pt>
                <c:pt idx="96">
                  <c:v>3831.3123598213301</c:v>
                </c:pt>
                <c:pt idx="97">
                  <c:v>3839.0710507767963</c:v>
                </c:pt>
                <c:pt idx="98">
                  <c:v>3847.0139300160163</c:v>
                </c:pt>
                <c:pt idx="99">
                  <c:v>3855.1404787100005</c:v>
                </c:pt>
                <c:pt idx="100">
                  <c:v>3863.4502460232857</c:v>
                </c:pt>
              </c:numCache>
            </c:numRef>
          </c:val>
          <c:smooth val="0"/>
          <c:extLst>
            <c:ext xmlns:c16="http://schemas.microsoft.com/office/drawing/2014/chart" uri="{C3380CC4-5D6E-409C-BE32-E72D297353CC}">
              <c16:uniqueId val="{00000002-AC8A-4551-AD17-C0E237FEA675}"/>
            </c:ext>
          </c:extLst>
        </c:ser>
        <c:ser>
          <c:idx val="1"/>
          <c:order val="3"/>
          <c:tx>
            <c:strRef>
              <c:f>'Calculations - Dual'!$BR$3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Dual'!$BX$5:$BX$105</c:f>
              <c:numCache>
                <c:formatCode>0.0</c:formatCode>
                <c:ptCount val="101"/>
                <c:pt idx="0">
                  <c:v>76.231364648819593</c:v>
                </c:pt>
                <c:pt idx="1">
                  <c:v>99.392144789667213</c:v>
                </c:pt>
                <c:pt idx="2">
                  <c:v>148.75735123774615</c:v>
                </c:pt>
                <c:pt idx="3">
                  <c:v>219.43087275157768</c:v>
                </c:pt>
                <c:pt idx="4">
                  <c:v>316.28128515152309</c:v>
                </c:pt>
                <c:pt idx="5">
                  <c:v>443.38952672319067</c:v>
                </c:pt>
                <c:pt idx="6">
                  <c:v>604.34311775334311</c:v>
                </c:pt>
                <c:pt idx="7">
                  <c:v>802.38194111346138</c:v>
                </c:pt>
                <c:pt idx="8">
                  <c:v>1040.4835628625167</c:v>
                </c:pt>
                <c:pt idx="9">
                  <c:v>1321.4183834211965</c:v>
                </c:pt>
                <c:pt idx="10">
                  <c:v>1647.7877630717194</c:v>
                </c:pt>
                <c:pt idx="11">
                  <c:v>2022.0516946807359</c:v>
                </c:pt>
                <c:pt idx="12">
                  <c:v>2498.8150606726822</c:v>
                </c:pt>
                <c:pt idx="13">
                  <c:v>3138.1260451089556</c:v>
                </c:pt>
                <c:pt idx="14">
                  <c:v>3433.6952105899031</c:v>
                </c:pt>
                <c:pt idx="15">
                  <c:v>3734.0703551105967</c:v>
                </c:pt>
                <c:pt idx="16">
                  <c:v>4039.0232063347426</c:v>
                </c:pt>
                <c:pt idx="17">
                  <c:v>4348.3509597139246</c:v>
                </c:pt>
                <c:pt idx="18">
                  <c:v>4661.8721076829206</c:v>
                </c:pt>
                <c:pt idx="19">
                  <c:v>4979.4231475490478</c:v>
                </c:pt>
                <c:pt idx="20">
                  <c:v>5300.8559460310935</c:v>
                </c:pt>
                <c:pt idx="21">
                  <c:v>5626.0356029142768</c:v>
                </c:pt>
                <c:pt idx="22">
                  <c:v>5954.8386998478218</c:v>
                </c:pt>
                <c:pt idx="23">
                  <c:v>6287.151850377003</c:v>
                </c:pt>
                <c:pt idx="24">
                  <c:v>6622.8704884628496</c:v>
                </c:pt>
                <c:pt idx="25">
                  <c:v>6961.8978479010193</c:v>
                </c:pt>
                <c:pt idx="26">
                  <c:v>7304.1440960836098</c:v>
                </c:pt>
                <c:pt idx="27">
                  <c:v>7649.5255936933127</c:v>
                </c:pt>
                <c:pt idx="28">
                  <c:v>7997.9642580137033</c:v>
                </c:pt>
                <c:pt idx="29">
                  <c:v>8349.3870121543077</c:v>
                </c:pt>
                <c:pt idx="30">
                  <c:v>8703.72530602199</c:v>
                </c:pt>
                <c:pt idx="31">
                  <c:v>9060.9146976039592</c:v>
                </c:pt>
                <c:pt idx="32">
                  <c:v>9420.8944852612785</c:v>
                </c:pt>
                <c:pt idx="33">
                  <c:v>9783.6073834138515</c:v>
                </c:pt>
                <c:pt idx="34">
                  <c:v>10148.999235332543</c:v>
                </c:pt>
                <c:pt idx="35">
                  <c:v>10517.01875782358</c:v>
                </c:pt>
                <c:pt idx="36">
                  <c:v>10887.617313451448</c:v>
                </c:pt>
                <c:pt idx="37">
                  <c:v>11260.748706645922</c:v>
                </c:pt>
                <c:pt idx="38">
                  <c:v>11636.369000609495</c:v>
                </c:pt>
                <c:pt idx="39">
                  <c:v>12014.436352411056</c:v>
                </c:pt>
                <c:pt idx="40">
                  <c:v>12394.910864038313</c:v>
                </c:pt>
                <c:pt idx="41">
                  <c:v>12777.754447503859</c:v>
                </c:pt>
                <c:pt idx="42">
                  <c:v>13162.930702368063</c:v>
                </c:pt>
                <c:pt idx="43">
                  <c:v>13550.404804266876</c:v>
                </c:pt>
                <c:pt idx="44">
                  <c:v>13940.143403222957</c:v>
                </c:pt>
                <c:pt idx="45">
                  <c:v>14332.11453067802</c:v>
                </c:pt>
                <c:pt idx="46">
                  <c:v>14726.287514321686</c:v>
                </c:pt>
                <c:pt idx="47">
                  <c:v>15122.632899907176</c:v>
                </c:pt>
                <c:pt idx="48">
                  <c:v>15521.122379344619</c:v>
                </c:pt>
                <c:pt idx="49">
                  <c:v>15921.728724447279</c:v>
                </c:pt>
                <c:pt idx="50">
                  <c:v>16324.425725780337</c:v>
                </c:pt>
                <c:pt idx="51">
                  <c:v>16729.188136124863</c:v>
                </c:pt>
                <c:pt idx="52">
                  <c:v>17135.991618125103</c:v>
                </c:pt>
                <c:pt idx="53">
                  <c:v>17544.81269573512</c:v>
                </c:pt>
                <c:pt idx="54">
                  <c:v>17955.628709122582</c:v>
                </c:pt>
                <c:pt idx="55">
                  <c:v>18368.417772724177</c:v>
                </c:pt>
                <c:pt idx="56">
                  <c:v>18783.158736179066</c:v>
                </c:pt>
                <c:pt idx="57">
                  <c:v>19199.831147895162</c:v>
                </c:pt>
                <c:pt idx="58">
                  <c:v>19618.415221027797</c:v>
                </c:pt>
                <c:pt idx="59">
                  <c:v>20038.891801672107</c:v>
                </c:pt>
                <c:pt idx="60">
                  <c:v>20461.242339090335</c:v>
                </c:pt>
                <c:pt idx="61">
                  <c:v>20885.448857811894</c:v>
                </c:pt>
                <c:pt idx="62">
                  <c:v>21311.493931459827</c:v>
                </c:pt>
                <c:pt idx="63">
                  <c:v>21739.360658170721</c:v>
                </c:pt>
                <c:pt idx="64">
                  <c:v>22169.032637487482</c:v>
                </c:pt>
                <c:pt idx="65">
                  <c:v>22600.493948614872</c:v>
                </c:pt>
                <c:pt idx="66">
                  <c:v>23033.729129937932</c:v>
                </c:pt>
                <c:pt idx="67">
                  <c:v>23468.723159712081</c:v>
                </c:pt>
                <c:pt idx="68">
                  <c:v>23905.461437841088</c:v>
                </c:pt>
                <c:pt idx="69">
                  <c:v>24343.929768666774</c:v>
                </c:pt>
                <c:pt idx="70">
                  <c:v>24784.114344700756</c:v>
                </c:pt>
                <c:pt idx="71">
                  <c:v>25226.001731233133</c:v>
                </c:pt>
                <c:pt idx="72">
                  <c:v>25669.578851760234</c:v>
                </c:pt>
                <c:pt idx="73">
                  <c:v>26114.832974176243</c:v>
                </c:pt>
                <c:pt idx="74">
                  <c:v>25822.711662076825</c:v>
                </c:pt>
                <c:pt idx="75">
                  <c:v>25507.334080212171</c:v>
                </c:pt>
                <c:pt idx="76">
                  <c:v>25200.117617328986</c:v>
                </c:pt>
                <c:pt idx="77">
                  <c:v>24900.768069221627</c:v>
                </c:pt>
                <c:pt idx="78">
                  <c:v>24609.004859505414</c:v>
                </c:pt>
                <c:pt idx="79">
                  <c:v>24323.884477648531</c:v>
                </c:pt>
                <c:pt idx="80">
                  <c:v>24045.44330620547</c:v>
                </c:pt>
                <c:pt idx="81">
                  <c:v>23773.839227200817</c:v>
                </c:pt>
                <c:pt idx="82">
                  <c:v>23508.838531281748</c:v>
                </c:pt>
                <c:pt idx="83">
                  <c:v>23250.21779268876</c:v>
                </c:pt>
                <c:pt idx="84">
                  <c:v>22997.763319896938</c:v>
                </c:pt>
                <c:pt idx="85">
                  <c:v>25120.647129543089</c:v>
                </c:pt>
                <c:pt idx="86">
                  <c:v>25221.594171305813</c:v>
                </c:pt>
                <c:pt idx="87">
                  <c:v>25322.201437010463</c:v>
                </c:pt>
                <c:pt idx="88">
                  <c:v>25422.494616357119</c:v>
                </c:pt>
                <c:pt idx="89">
                  <c:v>25522.498477147841</c:v>
                </c:pt>
                <c:pt idx="90">
                  <c:v>25622.236912904795</c:v>
                </c:pt>
                <c:pt idx="91">
                  <c:v>25721.732987712367</c:v>
                </c:pt>
                <c:pt idx="92">
                  <c:v>25821.00897847216</c:v>
                </c:pt>
                <c:pt idx="93">
                  <c:v>25920.08641474475</c:v>
                </c:pt>
                <c:pt idx="94">
                  <c:v>26018.986116339522</c:v>
                </c:pt>
                <c:pt idx="95">
                  <c:v>26117.728228801661</c:v>
                </c:pt>
                <c:pt idx="96">
                  <c:v>26216.332256933732</c:v>
                </c:pt>
                <c:pt idx="97">
                  <c:v>26314.817096480285</c:v>
                </c:pt>
                <c:pt idx="98">
                  <c:v>26413.201064093246</c:v>
                </c:pt>
                <c:pt idx="99">
                  <c:v>26511.501925688157</c:v>
                </c:pt>
                <c:pt idx="100">
                  <c:v>26609.736923293058</c:v>
                </c:pt>
              </c:numCache>
            </c:numRef>
          </c:val>
          <c:smooth val="0"/>
          <c:extLst>
            <c:ext xmlns:c16="http://schemas.microsoft.com/office/drawing/2014/chart" uri="{C3380CC4-5D6E-409C-BE32-E72D297353CC}">
              <c16:uniqueId val="{00000003-AC8A-4551-AD17-C0E237FEA675}"/>
            </c:ext>
          </c:extLst>
        </c:ser>
        <c:dLbls>
          <c:showLegendKey val="0"/>
          <c:showVal val="0"/>
          <c:showCatName val="0"/>
          <c:showSerName val="0"/>
          <c:showPercent val="0"/>
          <c:showBubbleSize val="0"/>
        </c:dLbls>
        <c:marker val="1"/>
        <c:smooth val="0"/>
        <c:axId val="450510848"/>
        <c:axId val="450500480"/>
      </c:lineChart>
      <c:catAx>
        <c:axId val="450484096"/>
        <c:scaling>
          <c:orientation val="minMax"/>
        </c:scaling>
        <c:delete val="0"/>
        <c:axPos val="b"/>
        <c:majorGridlines>
          <c:spPr>
            <a:ln w="15875">
              <a:solidFill>
                <a:srgbClr val="969696"/>
              </a:solidFill>
              <a:prstDash val="sysDash"/>
            </a:ln>
          </c:spPr>
        </c:majorGridlines>
        <c:minorGridlines/>
        <c:title>
          <c:tx>
            <c:rich>
              <a:bodyPr/>
              <a:lstStyle/>
              <a:p>
                <a:pPr>
                  <a:defRPr lang="ja-JP"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a:t>
                </a:r>
                <a:r>
                  <a:rPr lang="en-US" sz="1200" baseline="0">
                    <a:solidFill>
                      <a:srgbClr val="0000FF"/>
                    </a:solidFill>
                    <a:latin typeface="Arial" pitchFamily="34" charset="0"/>
                    <a:cs typeface="Arial" pitchFamily="34" charset="0"/>
                  </a:rPr>
                  <a:t> Total Rated Output Power</a:t>
                </a:r>
                <a:endParaRPr lang="en-US" sz="1200">
                  <a:solidFill>
                    <a:srgbClr val="0000FF"/>
                  </a:solidFill>
                  <a:latin typeface="Arial" pitchFamily="34" charset="0"/>
                  <a:cs typeface="Arial" pitchFamily="34" charset="0"/>
                </a:endParaRPr>
              </a:p>
            </c:rich>
          </c:tx>
          <c:layout>
            <c:manualLayout>
              <c:xMode val="edge"/>
              <c:yMode val="edge"/>
              <c:x val="0.42471011396394504"/>
              <c:y val="0.93853771636955563"/>
            </c:manualLayout>
          </c:layout>
          <c:overlay val="0"/>
          <c:spPr>
            <a:noFill/>
            <a:ln w="25400">
              <a:noFill/>
            </a:ln>
          </c:spPr>
        </c:title>
        <c:numFmt formatCode="General" sourceLinked="1"/>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0000FF"/>
                </a:solidFill>
                <a:latin typeface="Arial" pitchFamily="34" charset="0"/>
                <a:ea typeface="Calibri"/>
                <a:cs typeface="Arial" pitchFamily="34" charset="0"/>
              </a:defRPr>
            </a:pPr>
            <a:endParaRPr lang="en-US"/>
          </a:p>
        </c:txPr>
        <c:crossAx val="450498560"/>
        <c:crosses val="autoZero"/>
        <c:auto val="1"/>
        <c:lblAlgn val="ctr"/>
        <c:lblOffset val="100"/>
        <c:tickLblSkip val="20"/>
        <c:tickMarkSkip val="20"/>
        <c:noMultiLvlLbl val="0"/>
      </c:catAx>
      <c:valAx>
        <c:axId val="450498560"/>
        <c:scaling>
          <c:orientation val="minMax"/>
          <c:max val="100"/>
          <c:min val="55"/>
        </c:scaling>
        <c:delete val="0"/>
        <c:axPos val="l"/>
        <c:majorGridlines>
          <c:spPr>
            <a:ln w="15875">
              <a:solidFill>
                <a:srgbClr val="808080"/>
              </a:solidFill>
              <a:prstDash val="solid"/>
            </a:ln>
          </c:spPr>
        </c:majorGridlines>
        <c:title>
          <c:tx>
            <c:rich>
              <a:bodyPr/>
              <a:lstStyle/>
              <a:p>
                <a:pPr>
                  <a:defRPr lang="ja-JP"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FF0000"/>
                </a:solidFill>
                <a:latin typeface="Arial" pitchFamily="34" charset="0"/>
                <a:ea typeface="Calibri"/>
                <a:cs typeface="Arial" pitchFamily="34" charset="0"/>
              </a:defRPr>
            </a:pPr>
            <a:endParaRPr lang="en-US"/>
          </a:p>
        </c:txPr>
        <c:crossAx val="450484096"/>
        <c:crossesAt val="0"/>
        <c:crossBetween val="between"/>
        <c:majorUnit val="5"/>
        <c:minorUnit val="2.5"/>
      </c:valAx>
      <c:valAx>
        <c:axId val="450500480"/>
        <c:scaling>
          <c:orientation val="minMax"/>
        </c:scaling>
        <c:delete val="0"/>
        <c:axPos val="r"/>
        <c:title>
          <c:tx>
            <c:rich>
              <a:bodyPr rot="-5400000" vert="horz"/>
              <a:lstStyle/>
              <a:p>
                <a:pPr>
                  <a:defRPr lang="ja-JP"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lang="ja-JP" sz="1100" b="1">
                <a:solidFill>
                  <a:sysClr val="windowText" lastClr="000000"/>
                </a:solidFill>
              </a:defRPr>
            </a:pPr>
            <a:endParaRPr lang="en-US"/>
          </a:p>
        </c:txPr>
        <c:crossAx val="450510848"/>
        <c:crosses val="max"/>
        <c:crossBetween val="between"/>
      </c:valAx>
      <c:catAx>
        <c:axId val="450510848"/>
        <c:scaling>
          <c:orientation val="minMax"/>
        </c:scaling>
        <c:delete val="1"/>
        <c:axPos val="b"/>
        <c:numFmt formatCode="General" sourceLinked="1"/>
        <c:majorTickMark val="out"/>
        <c:minorTickMark val="none"/>
        <c:tickLblPos val="nextTo"/>
        <c:crossAx val="450500480"/>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0550962619267337"/>
          <c:h val="8.9795049320617604E-2"/>
        </c:manualLayout>
      </c:layout>
      <c:overlay val="0"/>
      <c:spPr>
        <a:solidFill>
          <a:srgbClr val="FFFFFF"/>
        </a:solidFill>
        <a:ln w="25400">
          <a:noFill/>
        </a:ln>
      </c:spPr>
      <c:txPr>
        <a:bodyPr/>
        <a:lstStyle/>
        <a:p>
          <a:pPr>
            <a:defRPr lang="ja-JP" sz="11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93009796772281"/>
          <c:y val="9.6043598935517463E-2"/>
          <c:w val="0.79387547420256122"/>
          <c:h val="0.75083975467433728"/>
        </c:manualLayout>
      </c:layout>
      <c:lineChart>
        <c:grouping val="standard"/>
        <c:varyColors val="0"/>
        <c:ser>
          <c:idx val="9"/>
          <c:order val="6"/>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Dual'!$AM$110:$AM$210</c:f>
              <c:numCache>
                <c:formatCode>0.0</c:formatCode>
                <c:ptCount val="101"/>
                <c:pt idx="0">
                  <c:v>10</c:v>
                </c:pt>
                <c:pt idx="1">
                  <c:v>27.500946761249416</c:v>
                </c:pt>
                <c:pt idx="2">
                  <c:v>82.502840283748242</c:v>
                </c:pt>
                <c:pt idx="3">
                  <c:v>82.502840283748242</c:v>
                </c:pt>
                <c:pt idx="4">
                  <c:v>110.00378704499767</c:v>
                </c:pt>
                <c:pt idx="5">
                  <c:v>137.50473380624706</c:v>
                </c:pt>
                <c:pt idx="6">
                  <c:v>165.00568056749648</c:v>
                </c:pt>
                <c:pt idx="7">
                  <c:v>192.50662732874591</c:v>
                </c:pt>
                <c:pt idx="8">
                  <c:v>220.00757408999533</c:v>
                </c:pt>
                <c:pt idx="9">
                  <c:v>247.50852085124473</c:v>
                </c:pt>
                <c:pt idx="10">
                  <c:v>275.00946761249412</c:v>
                </c:pt>
                <c:pt idx="11">
                  <c:v>302.51041437374357</c:v>
                </c:pt>
                <c:pt idx="12">
                  <c:v>330.01136113499297</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345.86340160719345</c:v>
                </c:pt>
                <c:pt idx="49">
                  <c:v>339.26473502668671</c:v>
                </c:pt>
                <c:pt idx="50">
                  <c:v>332.91257786125936</c:v>
                </c:pt>
                <c:pt idx="51">
                  <c:v>326.79337537641322</c:v>
                </c:pt>
                <c:pt idx="52">
                  <c:v>320.87741203412884</c:v>
                </c:pt>
                <c:pt idx="53">
                  <c:v>315.16982570998761</c:v>
                </c:pt>
                <c:pt idx="54">
                  <c:v>309.6604515374637</c:v>
                </c:pt>
                <c:pt idx="55">
                  <c:v>304.33914029431946</c:v>
                </c:pt>
                <c:pt idx="56">
                  <c:v>299.19642403581486</c:v>
                </c:pt>
                <c:pt idx="57">
                  <c:v>294.22345987382101</c:v>
                </c:pt>
                <c:pt idx="58">
                  <c:v>289.4119792329389</c:v>
                </c:pt>
                <c:pt idx="59">
                  <c:v>284.75424197107662</c:v>
                </c:pt>
                <c:pt idx="60">
                  <c:v>280.24299482899738</c:v>
                </c:pt>
                <c:pt idx="61">
                  <c:v>275.87143373968053</c:v>
                </c:pt>
                <c:pt idx="62">
                  <c:v>271.63316958555379</c:v>
                </c:pt>
                <c:pt idx="63">
                  <c:v>267.52219704115402</c:v>
                </c:pt>
                <c:pt idx="64">
                  <c:v>263.53286618166868</c:v>
                </c:pt>
                <c:pt idx="65">
                  <c:v>259.65985657507753</c:v>
                </c:pt>
                <c:pt idx="66">
                  <c:v>255.89815360807506</c:v>
                </c:pt>
                <c:pt idx="67">
                  <c:v>252.24302682425559</c:v>
                </c:pt>
                <c:pt idx="68">
                  <c:v>248.69001007780486</c:v>
                </c:pt>
                <c:pt idx="69">
                  <c:v>245.23488332762261</c:v>
                </c:pt>
                <c:pt idx="70">
                  <c:v>241.87365591583423</c:v>
                </c:pt>
                <c:pt idx="71">
                  <c:v>238.60255119138742</c:v>
                </c:pt>
                <c:pt idx="72">
                  <c:v>235.41799235416812</c:v>
                </c:pt>
                <c:pt idx="73">
                  <c:v>232.3165894080883</c:v>
                </c:pt>
                <c:pt idx="74">
                  <c:v>229.2951271230931</c:v>
                </c:pt>
                <c:pt idx="75">
                  <c:v>226.35055391622313</c:v>
                </c:pt>
                <c:pt idx="76">
                  <c:v>223.47997157089981</c:v>
                </c:pt>
                <c:pt idx="77">
                  <c:v>220.68062572162594</c:v>
                </c:pt>
                <c:pt idx="78">
                  <c:v>217.94989703843129</c:v>
                </c:pt>
                <c:pt idx="79">
                  <c:v>215.28529305175613</c:v>
                </c:pt>
                <c:pt idx="80">
                  <c:v>212.6844405641402</c:v>
                </c:pt>
                <c:pt idx="81">
                  <c:v>210.14507860015701</c:v>
                </c:pt>
                <c:pt idx="82">
                  <c:v>207.66505185057423</c:v>
                </c:pt>
                <c:pt idx="83">
                  <c:v>205.2423045707836</c:v>
                </c:pt>
                <c:pt idx="84">
                  <c:v>202.87487489719871</c:v>
                </c:pt>
                <c:pt idx="85">
                  <c:v>200.56088954859257</c:v>
                </c:pt>
                <c:pt idx="86">
                  <c:v>198.29855888229784</c:v>
                </c:pt>
                <c:pt idx="87">
                  <c:v>196.08617227785052</c:v>
                </c:pt>
                <c:pt idx="88">
                  <c:v>193.92209382304969</c:v>
                </c:pt>
                <c:pt idx="89">
                  <c:v>191.80475827957036</c:v>
                </c:pt>
                <c:pt idx="90">
                  <c:v>189.73266730722025</c:v>
                </c:pt>
                <c:pt idx="91">
                  <c:v>187.70438592769966</c:v>
                </c:pt>
                <c:pt idx="92">
                  <c:v>185.71853921032664</c:v>
                </c:pt>
                <c:pt idx="93">
                  <c:v>183.77380916363907</c:v>
                </c:pt>
                <c:pt idx="94">
                  <c:v>181.86893181810922</c:v>
                </c:pt>
                <c:pt idx="95">
                  <c:v>180.00269448639793</c:v>
                </c:pt>
                <c:pt idx="96">
                  <c:v>178.17393318867354</c:v>
                </c:pt>
                <c:pt idx="97">
                  <c:v>176.38153023150494</c:v>
                </c:pt>
                <c:pt idx="98">
                  <c:v>174.62441192974907</c:v>
                </c:pt>
                <c:pt idx="99">
                  <c:v>172.90154646167491</c:v>
                </c:pt>
                <c:pt idx="100">
                  <c:v>171.21194184832109</c:v>
                </c:pt>
              </c:numCache>
            </c:numRef>
          </c:val>
          <c:smooth val="0"/>
          <c:extLst>
            <c:ext xmlns:c16="http://schemas.microsoft.com/office/drawing/2014/chart" uri="{C3380CC4-5D6E-409C-BE32-E72D297353CC}">
              <c16:uniqueId val="{00000000-14B5-4C6D-ADBB-33FE896DCEBE}"/>
            </c:ext>
          </c:extLst>
        </c:ser>
        <c:ser>
          <c:idx val="10"/>
          <c:order val="7"/>
          <c:tx>
            <c:v>VIN-nom</c:v>
          </c:tx>
          <c:spPr>
            <a:ln w="28575">
              <a:solidFill>
                <a:srgbClr val="0000FF"/>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Dual'!$AM$5:$AM$105</c:f>
              <c:numCache>
                <c:formatCode>0.0</c:formatCode>
                <c:ptCount val="101"/>
                <c:pt idx="0">
                  <c:v>10</c:v>
                </c:pt>
                <c:pt idx="1">
                  <c:v>27.500946761249416</c:v>
                </c:pt>
                <c:pt idx="2">
                  <c:v>55.001893522498833</c:v>
                </c:pt>
                <c:pt idx="3">
                  <c:v>82.502840283748242</c:v>
                </c:pt>
                <c:pt idx="4">
                  <c:v>110.00378704499767</c:v>
                </c:pt>
                <c:pt idx="5">
                  <c:v>137.50473380624706</c:v>
                </c:pt>
                <c:pt idx="6">
                  <c:v>165.00568056749648</c:v>
                </c:pt>
                <c:pt idx="7">
                  <c:v>192.50662732874591</c:v>
                </c:pt>
                <c:pt idx="8">
                  <c:v>220.00757408999533</c:v>
                </c:pt>
                <c:pt idx="9">
                  <c:v>247.50852085124473</c:v>
                </c:pt>
                <c:pt idx="10">
                  <c:v>275.00946761249412</c:v>
                </c:pt>
                <c:pt idx="11">
                  <c:v>302.51041437374357</c:v>
                </c:pt>
                <c:pt idx="12">
                  <c:v>330.01136113499297</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345.77127327623862</c:v>
                </c:pt>
                <c:pt idx="75">
                  <c:v>341.46917662343873</c:v>
                </c:pt>
                <c:pt idx="76">
                  <c:v>337.27268736584324</c:v>
                </c:pt>
                <c:pt idx="77">
                  <c:v>333.17796482095775</c:v>
                </c:pt>
                <c:pt idx="78">
                  <c:v>329.18135229491418</c:v>
                </c:pt>
                <c:pt idx="79">
                  <c:v>325.27544571815162</c:v>
                </c:pt>
                <c:pt idx="80">
                  <c:v>321.45860819807336</c:v>
                </c:pt>
                <c:pt idx="81">
                  <c:v>317.73000277407016</c:v>
                </c:pt>
                <c:pt idx="82">
                  <c:v>314.08660489271443</c:v>
                </c:pt>
                <c:pt idx="83">
                  <c:v>310.5255266791188</c:v>
                </c:pt>
                <c:pt idx="84">
                  <c:v>307.04400930261346</c:v>
                </c:pt>
                <c:pt idx="85">
                  <c:v>303.63941584847828</c:v>
                </c:pt>
                <c:pt idx="86">
                  <c:v>300.30922465702025</c:v>
                </c:pt>
                <c:pt idx="87">
                  <c:v>297.05102309463831</c:v>
                </c:pt>
                <c:pt idx="88">
                  <c:v>293.8625017245372</c:v>
                </c:pt>
                <c:pt idx="89">
                  <c:v>290.7414488474937</c:v>
                </c:pt>
                <c:pt idx="90">
                  <c:v>287.68574538555328</c:v>
                </c:pt>
                <c:pt idx="91">
                  <c:v>284.69336008378821</c:v>
                </c:pt>
                <c:pt idx="92">
                  <c:v>281.76234500728293</c:v>
                </c:pt>
                <c:pt idx="93">
                  <c:v>278.89083131237174</c:v>
                </c:pt>
                <c:pt idx="94">
                  <c:v>276.0770252728355</c:v>
                </c:pt>
                <c:pt idx="95">
                  <c:v>273.3192045433039</c:v>
                </c:pt>
                <c:pt idx="96">
                  <c:v>270.61571464350584</c:v>
                </c:pt>
                <c:pt idx="97">
                  <c:v>267.96496564828726</c:v>
                </c:pt>
                <c:pt idx="98">
                  <c:v>265.36542906948381</c:v>
                </c:pt>
                <c:pt idx="99">
                  <c:v>262.81563491679674</c:v>
                </c:pt>
                <c:pt idx="100">
                  <c:v>260.31416892579756</c:v>
                </c:pt>
              </c:numCache>
            </c:numRef>
          </c:val>
          <c:smooth val="0"/>
          <c:extLst>
            <c:ext xmlns:c16="http://schemas.microsoft.com/office/drawing/2014/chart" uri="{C3380CC4-5D6E-409C-BE32-E72D297353CC}">
              <c16:uniqueId val="{00000001-14B5-4C6D-ADBB-33FE896DCEBE}"/>
            </c:ext>
          </c:extLst>
        </c:ser>
        <c:ser>
          <c:idx val="11"/>
          <c:order val="8"/>
          <c:tx>
            <c:v>VIN-max</c:v>
          </c:tx>
          <c:spPr>
            <a:ln>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Dual'!$AM$216:$AM$316</c:f>
              <c:numCache>
                <c:formatCode>0.0</c:formatCode>
                <c:ptCount val="101"/>
                <c:pt idx="0">
                  <c:v>10</c:v>
                </c:pt>
                <c:pt idx="1">
                  <c:v>27.500789703754936</c:v>
                </c:pt>
                <c:pt idx="2">
                  <c:v>55.001579407509873</c:v>
                </c:pt>
                <c:pt idx="3">
                  <c:v>82.502369111264812</c:v>
                </c:pt>
                <c:pt idx="4">
                  <c:v>110.00315881501975</c:v>
                </c:pt>
                <c:pt idx="5">
                  <c:v>137.50394851877468</c:v>
                </c:pt>
                <c:pt idx="6">
                  <c:v>165.00473822252962</c:v>
                </c:pt>
                <c:pt idx="7">
                  <c:v>192.50552792628457</c:v>
                </c:pt>
                <c:pt idx="8">
                  <c:v>220.00631763003949</c:v>
                </c:pt>
                <c:pt idx="9">
                  <c:v>247.50710733379441</c:v>
                </c:pt>
                <c:pt idx="10">
                  <c:v>275.00789703754936</c:v>
                </c:pt>
                <c:pt idx="11">
                  <c:v>302.5086867413043</c:v>
                </c:pt>
                <c:pt idx="12">
                  <c:v>330.00947644505925</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2-14B5-4C6D-ADBB-33FE896DCEBE}"/>
            </c:ext>
          </c:extLst>
        </c:ser>
        <c:ser>
          <c:idx val="12"/>
          <c:order val="9"/>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14B5-4C6D-ADBB-33FE896DCEBE}"/>
            </c:ext>
          </c:extLst>
        </c:ser>
        <c:ser>
          <c:idx val="13"/>
          <c:order val="10"/>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14B5-4C6D-ADBB-33FE896DCEBE}"/>
            </c:ext>
          </c:extLst>
        </c:ser>
        <c:ser>
          <c:idx val="14"/>
          <c:order val="11"/>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14B5-4C6D-ADBB-33FE896DCEBE}"/>
            </c:ext>
          </c:extLst>
        </c:ser>
        <c:ser>
          <c:idx val="1"/>
          <c:order val="0"/>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Dual'!$AM$110:$AM$210</c:f>
              <c:numCache>
                <c:formatCode>0.0</c:formatCode>
                <c:ptCount val="101"/>
                <c:pt idx="0">
                  <c:v>10</c:v>
                </c:pt>
                <c:pt idx="1">
                  <c:v>27.500946761249416</c:v>
                </c:pt>
                <c:pt idx="2">
                  <c:v>82.502840283748242</c:v>
                </c:pt>
                <c:pt idx="3">
                  <c:v>82.502840283748242</c:v>
                </c:pt>
                <c:pt idx="4">
                  <c:v>110.00378704499767</c:v>
                </c:pt>
                <c:pt idx="5">
                  <c:v>137.50473380624706</c:v>
                </c:pt>
                <c:pt idx="6">
                  <c:v>165.00568056749648</c:v>
                </c:pt>
                <c:pt idx="7">
                  <c:v>192.50662732874591</c:v>
                </c:pt>
                <c:pt idx="8">
                  <c:v>220.00757408999533</c:v>
                </c:pt>
                <c:pt idx="9">
                  <c:v>247.50852085124473</c:v>
                </c:pt>
                <c:pt idx="10">
                  <c:v>275.00946761249412</c:v>
                </c:pt>
                <c:pt idx="11">
                  <c:v>302.51041437374357</c:v>
                </c:pt>
                <c:pt idx="12">
                  <c:v>330.01136113499297</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345.86340160719345</c:v>
                </c:pt>
                <c:pt idx="49">
                  <c:v>339.26473502668671</c:v>
                </c:pt>
                <c:pt idx="50">
                  <c:v>332.91257786125936</c:v>
                </c:pt>
                <c:pt idx="51">
                  <c:v>326.79337537641322</c:v>
                </c:pt>
                <c:pt idx="52">
                  <c:v>320.87741203412884</c:v>
                </c:pt>
                <c:pt idx="53">
                  <c:v>315.16982570998761</c:v>
                </c:pt>
                <c:pt idx="54">
                  <c:v>309.6604515374637</c:v>
                </c:pt>
                <c:pt idx="55">
                  <c:v>304.33914029431946</c:v>
                </c:pt>
                <c:pt idx="56">
                  <c:v>299.19642403581486</c:v>
                </c:pt>
                <c:pt idx="57">
                  <c:v>294.22345987382101</c:v>
                </c:pt>
                <c:pt idx="58">
                  <c:v>289.4119792329389</c:v>
                </c:pt>
                <c:pt idx="59">
                  <c:v>284.75424197107662</c:v>
                </c:pt>
                <c:pt idx="60">
                  <c:v>280.24299482899738</c:v>
                </c:pt>
                <c:pt idx="61">
                  <c:v>275.87143373968053</c:v>
                </c:pt>
                <c:pt idx="62">
                  <c:v>271.63316958555379</c:v>
                </c:pt>
                <c:pt idx="63">
                  <c:v>267.52219704115402</c:v>
                </c:pt>
                <c:pt idx="64">
                  <c:v>263.53286618166868</c:v>
                </c:pt>
                <c:pt idx="65">
                  <c:v>259.65985657507753</c:v>
                </c:pt>
                <c:pt idx="66">
                  <c:v>255.89815360807506</c:v>
                </c:pt>
                <c:pt idx="67">
                  <c:v>252.24302682425559</c:v>
                </c:pt>
                <c:pt idx="68">
                  <c:v>248.69001007780486</c:v>
                </c:pt>
                <c:pt idx="69">
                  <c:v>245.23488332762261</c:v>
                </c:pt>
                <c:pt idx="70">
                  <c:v>241.87365591583423</c:v>
                </c:pt>
                <c:pt idx="71">
                  <c:v>238.60255119138742</c:v>
                </c:pt>
                <c:pt idx="72">
                  <c:v>235.41799235416812</c:v>
                </c:pt>
                <c:pt idx="73">
                  <c:v>232.3165894080883</c:v>
                </c:pt>
                <c:pt idx="74">
                  <c:v>229.2951271230931</c:v>
                </c:pt>
                <c:pt idx="75">
                  <c:v>226.35055391622313</c:v>
                </c:pt>
                <c:pt idx="76">
                  <c:v>223.47997157089981</c:v>
                </c:pt>
                <c:pt idx="77">
                  <c:v>220.68062572162594</c:v>
                </c:pt>
                <c:pt idx="78">
                  <c:v>217.94989703843129</c:v>
                </c:pt>
                <c:pt idx="79">
                  <c:v>215.28529305175613</c:v>
                </c:pt>
                <c:pt idx="80">
                  <c:v>212.6844405641402</c:v>
                </c:pt>
                <c:pt idx="81">
                  <c:v>210.14507860015701</c:v>
                </c:pt>
                <c:pt idx="82">
                  <c:v>207.66505185057423</c:v>
                </c:pt>
                <c:pt idx="83">
                  <c:v>205.2423045707836</c:v>
                </c:pt>
                <c:pt idx="84">
                  <c:v>202.87487489719871</c:v>
                </c:pt>
                <c:pt idx="85">
                  <c:v>200.56088954859257</c:v>
                </c:pt>
                <c:pt idx="86">
                  <c:v>198.29855888229784</c:v>
                </c:pt>
                <c:pt idx="87">
                  <c:v>196.08617227785052</c:v>
                </c:pt>
                <c:pt idx="88">
                  <c:v>193.92209382304969</c:v>
                </c:pt>
                <c:pt idx="89">
                  <c:v>191.80475827957036</c:v>
                </c:pt>
                <c:pt idx="90">
                  <c:v>189.73266730722025</c:v>
                </c:pt>
                <c:pt idx="91">
                  <c:v>187.70438592769966</c:v>
                </c:pt>
                <c:pt idx="92">
                  <c:v>185.71853921032664</c:v>
                </c:pt>
                <c:pt idx="93">
                  <c:v>183.77380916363907</c:v>
                </c:pt>
                <c:pt idx="94">
                  <c:v>181.86893181810922</c:v>
                </c:pt>
                <c:pt idx="95">
                  <c:v>180.00269448639793</c:v>
                </c:pt>
                <c:pt idx="96">
                  <c:v>178.17393318867354</c:v>
                </c:pt>
                <c:pt idx="97">
                  <c:v>176.38153023150494</c:v>
                </c:pt>
                <c:pt idx="98">
                  <c:v>174.62441192974907</c:v>
                </c:pt>
                <c:pt idx="99">
                  <c:v>172.90154646167491</c:v>
                </c:pt>
                <c:pt idx="100">
                  <c:v>171.21194184832109</c:v>
                </c:pt>
              </c:numCache>
            </c:numRef>
          </c:val>
          <c:smooth val="0"/>
          <c:extLst>
            <c:ext xmlns:c16="http://schemas.microsoft.com/office/drawing/2014/chart" uri="{C3380CC4-5D6E-409C-BE32-E72D297353CC}">
              <c16:uniqueId val="{00000006-14B5-4C6D-ADBB-33FE896DCEBE}"/>
            </c:ext>
          </c:extLst>
        </c:ser>
        <c:ser>
          <c:idx val="0"/>
          <c:order val="1"/>
          <c:tx>
            <c:v>VIN-nom</c:v>
          </c:tx>
          <c:spPr>
            <a:ln w="28575">
              <a:solidFill>
                <a:srgbClr val="0000FF"/>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Dual'!$AM$5:$AM$105</c:f>
              <c:numCache>
                <c:formatCode>0.0</c:formatCode>
                <c:ptCount val="101"/>
                <c:pt idx="0">
                  <c:v>10</c:v>
                </c:pt>
                <c:pt idx="1">
                  <c:v>27.500946761249416</c:v>
                </c:pt>
                <c:pt idx="2">
                  <c:v>55.001893522498833</c:v>
                </c:pt>
                <c:pt idx="3">
                  <c:v>82.502840283748242</c:v>
                </c:pt>
                <c:pt idx="4">
                  <c:v>110.00378704499767</c:v>
                </c:pt>
                <c:pt idx="5">
                  <c:v>137.50473380624706</c:v>
                </c:pt>
                <c:pt idx="6">
                  <c:v>165.00568056749648</c:v>
                </c:pt>
                <c:pt idx="7">
                  <c:v>192.50662732874591</c:v>
                </c:pt>
                <c:pt idx="8">
                  <c:v>220.00757408999533</c:v>
                </c:pt>
                <c:pt idx="9">
                  <c:v>247.50852085124473</c:v>
                </c:pt>
                <c:pt idx="10">
                  <c:v>275.00946761249412</c:v>
                </c:pt>
                <c:pt idx="11">
                  <c:v>302.51041437374357</c:v>
                </c:pt>
                <c:pt idx="12">
                  <c:v>330.01136113499297</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345.77127327623862</c:v>
                </c:pt>
                <c:pt idx="75">
                  <c:v>341.46917662343873</c:v>
                </c:pt>
                <c:pt idx="76">
                  <c:v>337.27268736584324</c:v>
                </c:pt>
                <c:pt idx="77">
                  <c:v>333.17796482095775</c:v>
                </c:pt>
                <c:pt idx="78">
                  <c:v>329.18135229491418</c:v>
                </c:pt>
                <c:pt idx="79">
                  <c:v>325.27544571815162</c:v>
                </c:pt>
                <c:pt idx="80">
                  <c:v>321.45860819807336</c:v>
                </c:pt>
                <c:pt idx="81">
                  <c:v>317.73000277407016</c:v>
                </c:pt>
                <c:pt idx="82">
                  <c:v>314.08660489271443</c:v>
                </c:pt>
                <c:pt idx="83">
                  <c:v>310.5255266791188</c:v>
                </c:pt>
                <c:pt idx="84">
                  <c:v>307.04400930261346</c:v>
                </c:pt>
                <c:pt idx="85">
                  <c:v>303.63941584847828</c:v>
                </c:pt>
                <c:pt idx="86">
                  <c:v>300.30922465702025</c:v>
                </c:pt>
                <c:pt idx="87">
                  <c:v>297.05102309463831</c:v>
                </c:pt>
                <c:pt idx="88">
                  <c:v>293.8625017245372</c:v>
                </c:pt>
                <c:pt idx="89">
                  <c:v>290.7414488474937</c:v>
                </c:pt>
                <c:pt idx="90">
                  <c:v>287.68574538555328</c:v>
                </c:pt>
                <c:pt idx="91">
                  <c:v>284.69336008378821</c:v>
                </c:pt>
                <c:pt idx="92">
                  <c:v>281.76234500728293</c:v>
                </c:pt>
                <c:pt idx="93">
                  <c:v>278.89083131237174</c:v>
                </c:pt>
                <c:pt idx="94">
                  <c:v>276.0770252728355</c:v>
                </c:pt>
                <c:pt idx="95">
                  <c:v>273.3192045433039</c:v>
                </c:pt>
                <c:pt idx="96">
                  <c:v>270.61571464350584</c:v>
                </c:pt>
                <c:pt idx="97">
                  <c:v>267.96496564828726</c:v>
                </c:pt>
                <c:pt idx="98">
                  <c:v>265.36542906948381</c:v>
                </c:pt>
                <c:pt idx="99">
                  <c:v>262.81563491679674</c:v>
                </c:pt>
                <c:pt idx="100">
                  <c:v>260.31416892579756</c:v>
                </c:pt>
              </c:numCache>
            </c:numRef>
          </c:val>
          <c:smooth val="0"/>
          <c:extLst>
            <c:ext xmlns:c16="http://schemas.microsoft.com/office/drawing/2014/chart" uri="{C3380CC4-5D6E-409C-BE32-E72D297353CC}">
              <c16:uniqueId val="{00000007-14B5-4C6D-ADBB-33FE896DCEBE}"/>
            </c:ext>
          </c:extLst>
        </c:ser>
        <c:ser>
          <c:idx val="2"/>
          <c:order val="2"/>
          <c:tx>
            <c:v>VIN-max</c:v>
          </c:tx>
          <c:spPr>
            <a:ln>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Dual'!$AM$216:$AM$316</c:f>
              <c:numCache>
                <c:formatCode>0.0</c:formatCode>
                <c:ptCount val="101"/>
                <c:pt idx="0">
                  <c:v>10</c:v>
                </c:pt>
                <c:pt idx="1">
                  <c:v>27.500789703754936</c:v>
                </c:pt>
                <c:pt idx="2">
                  <c:v>55.001579407509873</c:v>
                </c:pt>
                <c:pt idx="3">
                  <c:v>82.502369111264812</c:v>
                </c:pt>
                <c:pt idx="4">
                  <c:v>110.00315881501975</c:v>
                </c:pt>
                <c:pt idx="5">
                  <c:v>137.50394851877468</c:v>
                </c:pt>
                <c:pt idx="6">
                  <c:v>165.00473822252962</c:v>
                </c:pt>
                <c:pt idx="7">
                  <c:v>192.50552792628457</c:v>
                </c:pt>
                <c:pt idx="8">
                  <c:v>220.00631763003949</c:v>
                </c:pt>
                <c:pt idx="9">
                  <c:v>247.50710733379441</c:v>
                </c:pt>
                <c:pt idx="10">
                  <c:v>275.00789703754936</c:v>
                </c:pt>
                <c:pt idx="11">
                  <c:v>302.5086867413043</c:v>
                </c:pt>
                <c:pt idx="12">
                  <c:v>330.00947644505925</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8-14B5-4C6D-ADBB-33FE896DCEBE}"/>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9-14B5-4C6D-ADBB-33FE896DCEBE}"/>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A-14B5-4C6D-ADBB-33FE896DCEBE}"/>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B-14B5-4C6D-ADBB-33FE896DCEBE}"/>
            </c:ext>
          </c:extLst>
        </c:ser>
        <c:dLbls>
          <c:showLegendKey val="0"/>
          <c:showVal val="0"/>
          <c:showCatName val="0"/>
          <c:showSerName val="0"/>
          <c:showPercent val="0"/>
          <c:showBubbleSize val="0"/>
        </c:dLbls>
        <c:smooth val="0"/>
        <c:axId val="450786048"/>
        <c:axId val="450788352"/>
      </c:lineChart>
      <c:catAx>
        <c:axId val="450786048"/>
        <c:scaling>
          <c:orientation val="minMax"/>
        </c:scaling>
        <c:delete val="0"/>
        <c:axPos val="b"/>
        <c:majorGridlines>
          <c:spPr>
            <a:ln w="15875">
              <a:solidFill>
                <a:srgbClr val="969696"/>
              </a:solidFill>
              <a:prstDash val="sysDash"/>
            </a:ln>
          </c:spPr>
        </c:majorGridlines>
        <c:title>
          <c:tx>
            <c:rich>
              <a:bodyPr/>
              <a:lstStyle/>
              <a:p>
                <a:pPr>
                  <a:defRPr lang="ja-JP" sz="1100" b="1" i="0" u="none" strike="noStrike" baseline="0">
                    <a:solidFill>
                      <a:schemeClr val="tx1"/>
                    </a:solidFill>
                    <a:latin typeface="Arial" pitchFamily="34" charset="0"/>
                    <a:ea typeface="Calibri"/>
                    <a:cs typeface="Arial" pitchFamily="34" charset="0"/>
                  </a:defRPr>
                </a:pPr>
                <a:r>
                  <a:rPr lang="en-US" sz="1600" b="1" i="0" baseline="0">
                    <a:effectLst/>
                  </a:rPr>
                  <a:t>% Total Rated Output Power</a:t>
                </a:r>
                <a:endParaRPr lang="en-US" sz="1100">
                  <a:effectLst/>
                </a:endParaRPr>
              </a:p>
            </c:rich>
          </c:tx>
          <c:layout>
            <c:manualLayout>
              <c:xMode val="edge"/>
              <c:yMode val="edge"/>
              <c:x val="0.38070688614495507"/>
              <c:y val="0.93853774450069472"/>
            </c:manualLayout>
          </c:layout>
          <c:overlay val="0"/>
          <c:spPr>
            <a:noFill/>
            <a:ln w="25400">
              <a:noFill/>
            </a:ln>
          </c:spPr>
        </c:title>
        <c:numFmt formatCode="General" sourceLinked="1"/>
        <c:majorTickMark val="in"/>
        <c:minorTickMark val="in"/>
        <c:tickLblPos val="nextTo"/>
        <c:spPr>
          <a:ln w="3175">
            <a:solidFill>
              <a:schemeClr val="tx1"/>
            </a:solidFill>
            <a:prstDash val="solid"/>
          </a:ln>
        </c:spPr>
        <c:txPr>
          <a:bodyPr rot="0" vert="horz"/>
          <a:lstStyle/>
          <a:p>
            <a:pPr>
              <a:defRPr lang="ja-JP" sz="1400" b="1" i="0" u="none" strike="noStrike" baseline="0">
                <a:solidFill>
                  <a:schemeClr val="tx1"/>
                </a:solidFill>
                <a:latin typeface="Arial" pitchFamily="34" charset="0"/>
                <a:ea typeface="Calibri"/>
                <a:cs typeface="Arial" pitchFamily="34" charset="0"/>
              </a:defRPr>
            </a:pPr>
            <a:endParaRPr lang="en-US"/>
          </a:p>
        </c:txPr>
        <c:crossAx val="450788352"/>
        <c:crosses val="autoZero"/>
        <c:auto val="1"/>
        <c:lblAlgn val="ctr"/>
        <c:lblOffset val="100"/>
        <c:tickLblSkip val="20"/>
        <c:tickMarkSkip val="10"/>
        <c:noMultiLvlLbl val="0"/>
      </c:catAx>
      <c:valAx>
        <c:axId val="450788352"/>
        <c:scaling>
          <c:orientation val="minMax"/>
          <c:max val="400"/>
          <c:min val="0"/>
        </c:scaling>
        <c:delete val="0"/>
        <c:axPos val="l"/>
        <c:majorGridlines>
          <c:spPr>
            <a:ln w="15875">
              <a:solidFill>
                <a:srgbClr val="808080"/>
              </a:solidFill>
              <a:prstDash val="solid"/>
            </a:ln>
          </c:spPr>
        </c:majorGridlines>
        <c:title>
          <c:tx>
            <c:rich>
              <a:bodyPr/>
              <a:lstStyle/>
              <a:p>
                <a:pPr>
                  <a:defRPr lang="ja-JP" sz="1600" b="1" i="0" u="none" strike="noStrike" baseline="0">
                    <a:solidFill>
                      <a:schemeClr val="tx1"/>
                    </a:solidFill>
                    <a:latin typeface="Arial" pitchFamily="34" charset="0"/>
                    <a:ea typeface="Calibri"/>
                    <a:cs typeface="Arial" pitchFamily="34" charset="0"/>
                  </a:defRPr>
                </a:pPr>
                <a:r>
                  <a:rPr lang="en-US" sz="1600" b="1">
                    <a:solidFill>
                      <a:schemeClr val="tx1"/>
                    </a:solidFill>
                    <a:latin typeface="Arial" pitchFamily="34" charset="0"/>
                    <a:cs typeface="Arial" pitchFamily="34" charset="0"/>
                  </a:rPr>
                  <a:t>Switching</a:t>
                </a:r>
                <a:r>
                  <a:rPr lang="en-US" sz="1600" b="1" baseline="0">
                    <a:solidFill>
                      <a:schemeClr val="tx1"/>
                    </a:solidFill>
                    <a:latin typeface="Arial" pitchFamily="34" charset="0"/>
                    <a:cs typeface="Arial" pitchFamily="34" charset="0"/>
                  </a:rPr>
                  <a:t> Frquency (kHz)</a:t>
                </a:r>
                <a:endParaRPr lang="en-US" sz="1600" b="1">
                  <a:solidFill>
                    <a:schemeClr val="tx1"/>
                  </a:solidFill>
                  <a:latin typeface="Arial" pitchFamily="34" charset="0"/>
                  <a:cs typeface="Arial" pitchFamily="34" charset="0"/>
                </a:endParaRPr>
              </a:p>
            </c:rich>
          </c:tx>
          <c:layout>
            <c:manualLayout>
              <c:xMode val="edge"/>
              <c:yMode val="edge"/>
              <c:x val="8.5568128125503556E-3"/>
              <c:y val="0.22463146285493288"/>
            </c:manualLayout>
          </c:layout>
          <c:overlay val="0"/>
          <c:spPr>
            <a:noFill/>
            <a:ln w="25400">
              <a:noFill/>
            </a:ln>
          </c:spPr>
        </c:title>
        <c:numFmt formatCode="#,##0" sourceLinked="0"/>
        <c:majorTickMark val="in"/>
        <c:minorTickMark val="in"/>
        <c:tickLblPos val="nextTo"/>
        <c:spPr>
          <a:ln w="3175">
            <a:solidFill>
              <a:srgbClr val="000000"/>
            </a:solidFill>
            <a:prstDash val="solid"/>
          </a:ln>
        </c:spPr>
        <c:txPr>
          <a:bodyPr rot="0" vert="horz"/>
          <a:lstStyle/>
          <a:p>
            <a:pPr>
              <a:defRPr lang="ja-JP" sz="1600" b="1" i="0" u="none" strike="noStrike" baseline="0">
                <a:solidFill>
                  <a:schemeClr val="tx1"/>
                </a:solidFill>
                <a:latin typeface="Arial" pitchFamily="34" charset="0"/>
                <a:ea typeface="Calibri"/>
                <a:cs typeface="Arial" pitchFamily="34" charset="0"/>
              </a:defRPr>
            </a:pPr>
            <a:endParaRPr lang="en-US"/>
          </a:p>
        </c:txPr>
        <c:crossAx val="450786048"/>
        <c:crossesAt val="0"/>
        <c:crossBetween val="between"/>
        <c:majorUnit val="50"/>
        <c:minorUnit val="25"/>
      </c:valAx>
      <c:spPr>
        <a:noFill/>
        <a:ln w="25400">
          <a:noFill/>
        </a:ln>
      </c:spPr>
    </c:plotArea>
    <c:legend>
      <c:legendPos val="t"/>
      <c:legendEntry>
        <c:idx val="9"/>
        <c:delete val="1"/>
      </c:legendEntry>
      <c:legendEntry>
        <c:idx val="10"/>
        <c:delete val="1"/>
      </c:legendEntry>
      <c:legendEntry>
        <c:idx val="11"/>
        <c:delete val="1"/>
      </c:legendEntry>
      <c:layout>
        <c:manualLayout>
          <c:xMode val="edge"/>
          <c:yMode val="edge"/>
          <c:x val="0.31430722044239789"/>
          <c:y val="1.5175029628150039E-2"/>
          <c:w val="0.42410841724909248"/>
          <c:h val="5.433576684781775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93009796772281"/>
          <c:y val="9.6043598935517463E-2"/>
          <c:w val="0.79387547420256122"/>
          <c:h val="0.75083975467433728"/>
        </c:manualLayout>
      </c:layout>
      <c:lineChart>
        <c:grouping val="standard"/>
        <c:varyColors val="0"/>
        <c:ser>
          <c:idx val="9"/>
          <c:order val="9"/>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Dual'!$AM$110:$AM$210</c:f>
              <c:numCache>
                <c:formatCode>0.0</c:formatCode>
                <c:ptCount val="101"/>
                <c:pt idx="0">
                  <c:v>10</c:v>
                </c:pt>
                <c:pt idx="1">
                  <c:v>27.500946761249416</c:v>
                </c:pt>
                <c:pt idx="2">
                  <c:v>82.502840283748242</c:v>
                </c:pt>
                <c:pt idx="3">
                  <c:v>82.502840283748242</c:v>
                </c:pt>
                <c:pt idx="4">
                  <c:v>110.00378704499767</c:v>
                </c:pt>
                <c:pt idx="5">
                  <c:v>137.50473380624706</c:v>
                </c:pt>
                <c:pt idx="6">
                  <c:v>165.00568056749648</c:v>
                </c:pt>
                <c:pt idx="7">
                  <c:v>192.50662732874591</c:v>
                </c:pt>
                <c:pt idx="8">
                  <c:v>220.00757408999533</c:v>
                </c:pt>
                <c:pt idx="9">
                  <c:v>247.50852085124473</c:v>
                </c:pt>
                <c:pt idx="10">
                  <c:v>275.00946761249412</c:v>
                </c:pt>
                <c:pt idx="11">
                  <c:v>302.51041437374357</c:v>
                </c:pt>
                <c:pt idx="12">
                  <c:v>330.01136113499297</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345.86340160719345</c:v>
                </c:pt>
                <c:pt idx="49">
                  <c:v>339.26473502668671</c:v>
                </c:pt>
                <c:pt idx="50">
                  <c:v>332.91257786125936</c:v>
                </c:pt>
                <c:pt idx="51">
                  <c:v>326.79337537641322</c:v>
                </c:pt>
                <c:pt idx="52">
                  <c:v>320.87741203412884</c:v>
                </c:pt>
                <c:pt idx="53">
                  <c:v>315.16982570998761</c:v>
                </c:pt>
                <c:pt idx="54">
                  <c:v>309.6604515374637</c:v>
                </c:pt>
                <c:pt idx="55">
                  <c:v>304.33914029431946</c:v>
                </c:pt>
                <c:pt idx="56">
                  <c:v>299.19642403581486</c:v>
                </c:pt>
                <c:pt idx="57">
                  <c:v>294.22345987382101</c:v>
                </c:pt>
                <c:pt idx="58">
                  <c:v>289.4119792329389</c:v>
                </c:pt>
                <c:pt idx="59">
                  <c:v>284.75424197107662</c:v>
                </c:pt>
                <c:pt idx="60">
                  <c:v>280.24299482899738</c:v>
                </c:pt>
                <c:pt idx="61">
                  <c:v>275.87143373968053</c:v>
                </c:pt>
                <c:pt idx="62">
                  <c:v>271.63316958555379</c:v>
                </c:pt>
                <c:pt idx="63">
                  <c:v>267.52219704115402</c:v>
                </c:pt>
                <c:pt idx="64">
                  <c:v>263.53286618166868</c:v>
                </c:pt>
                <c:pt idx="65">
                  <c:v>259.65985657507753</c:v>
                </c:pt>
                <c:pt idx="66">
                  <c:v>255.89815360807506</c:v>
                </c:pt>
                <c:pt idx="67">
                  <c:v>252.24302682425559</c:v>
                </c:pt>
                <c:pt idx="68">
                  <c:v>248.69001007780486</c:v>
                </c:pt>
                <c:pt idx="69">
                  <c:v>245.23488332762261</c:v>
                </c:pt>
                <c:pt idx="70">
                  <c:v>241.87365591583423</c:v>
                </c:pt>
                <c:pt idx="71">
                  <c:v>238.60255119138742</c:v>
                </c:pt>
                <c:pt idx="72">
                  <c:v>235.41799235416812</c:v>
                </c:pt>
                <c:pt idx="73">
                  <c:v>232.3165894080883</c:v>
                </c:pt>
                <c:pt idx="74">
                  <c:v>229.2951271230931</c:v>
                </c:pt>
                <c:pt idx="75">
                  <c:v>226.35055391622313</c:v>
                </c:pt>
                <c:pt idx="76">
                  <c:v>223.47997157089981</c:v>
                </c:pt>
                <c:pt idx="77">
                  <c:v>220.68062572162594</c:v>
                </c:pt>
                <c:pt idx="78">
                  <c:v>217.94989703843129</c:v>
                </c:pt>
                <c:pt idx="79">
                  <c:v>215.28529305175613</c:v>
                </c:pt>
                <c:pt idx="80">
                  <c:v>212.6844405641402</c:v>
                </c:pt>
                <c:pt idx="81">
                  <c:v>210.14507860015701</c:v>
                </c:pt>
                <c:pt idx="82">
                  <c:v>207.66505185057423</c:v>
                </c:pt>
                <c:pt idx="83">
                  <c:v>205.2423045707836</c:v>
                </c:pt>
                <c:pt idx="84">
                  <c:v>202.87487489719871</c:v>
                </c:pt>
                <c:pt idx="85">
                  <c:v>200.56088954859257</c:v>
                </c:pt>
                <c:pt idx="86">
                  <c:v>198.29855888229784</c:v>
                </c:pt>
                <c:pt idx="87">
                  <c:v>196.08617227785052</c:v>
                </c:pt>
                <c:pt idx="88">
                  <c:v>193.92209382304969</c:v>
                </c:pt>
                <c:pt idx="89">
                  <c:v>191.80475827957036</c:v>
                </c:pt>
                <c:pt idx="90">
                  <c:v>189.73266730722025</c:v>
                </c:pt>
                <c:pt idx="91">
                  <c:v>187.70438592769966</c:v>
                </c:pt>
                <c:pt idx="92">
                  <c:v>185.71853921032664</c:v>
                </c:pt>
                <c:pt idx="93">
                  <c:v>183.77380916363907</c:v>
                </c:pt>
                <c:pt idx="94">
                  <c:v>181.86893181810922</c:v>
                </c:pt>
                <c:pt idx="95">
                  <c:v>180.00269448639793</c:v>
                </c:pt>
                <c:pt idx="96">
                  <c:v>178.17393318867354</c:v>
                </c:pt>
                <c:pt idx="97">
                  <c:v>176.38153023150494</c:v>
                </c:pt>
                <c:pt idx="98">
                  <c:v>174.62441192974907</c:v>
                </c:pt>
                <c:pt idx="99">
                  <c:v>172.90154646167491</c:v>
                </c:pt>
                <c:pt idx="100">
                  <c:v>171.21194184832109</c:v>
                </c:pt>
              </c:numCache>
            </c:numRef>
          </c:val>
          <c:smooth val="0"/>
          <c:extLst>
            <c:ext xmlns:c16="http://schemas.microsoft.com/office/drawing/2014/chart" uri="{C3380CC4-5D6E-409C-BE32-E72D297353CC}">
              <c16:uniqueId val="{00000000-DE77-4B43-A489-D4421C0BE99A}"/>
            </c:ext>
          </c:extLst>
        </c:ser>
        <c:ser>
          <c:idx val="10"/>
          <c:order val="10"/>
          <c:tx>
            <c:v>VIN-nom</c:v>
          </c:tx>
          <c:spPr>
            <a:ln w="28575">
              <a:solidFill>
                <a:srgbClr val="0000FF"/>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Dual'!$AM$5:$AM$105</c:f>
              <c:numCache>
                <c:formatCode>0.0</c:formatCode>
                <c:ptCount val="101"/>
                <c:pt idx="0">
                  <c:v>10</c:v>
                </c:pt>
                <c:pt idx="1">
                  <c:v>27.500946761249416</c:v>
                </c:pt>
                <c:pt idx="2">
                  <c:v>55.001893522498833</c:v>
                </c:pt>
                <c:pt idx="3">
                  <c:v>82.502840283748242</c:v>
                </c:pt>
                <c:pt idx="4">
                  <c:v>110.00378704499767</c:v>
                </c:pt>
                <c:pt idx="5">
                  <c:v>137.50473380624706</c:v>
                </c:pt>
                <c:pt idx="6">
                  <c:v>165.00568056749648</c:v>
                </c:pt>
                <c:pt idx="7">
                  <c:v>192.50662732874591</c:v>
                </c:pt>
                <c:pt idx="8">
                  <c:v>220.00757408999533</c:v>
                </c:pt>
                <c:pt idx="9">
                  <c:v>247.50852085124473</c:v>
                </c:pt>
                <c:pt idx="10">
                  <c:v>275.00946761249412</c:v>
                </c:pt>
                <c:pt idx="11">
                  <c:v>302.51041437374357</c:v>
                </c:pt>
                <c:pt idx="12">
                  <c:v>330.01136113499297</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345.77127327623862</c:v>
                </c:pt>
                <c:pt idx="75">
                  <c:v>341.46917662343873</c:v>
                </c:pt>
                <c:pt idx="76">
                  <c:v>337.27268736584324</c:v>
                </c:pt>
                <c:pt idx="77">
                  <c:v>333.17796482095775</c:v>
                </c:pt>
                <c:pt idx="78">
                  <c:v>329.18135229491418</c:v>
                </c:pt>
                <c:pt idx="79">
                  <c:v>325.27544571815162</c:v>
                </c:pt>
                <c:pt idx="80">
                  <c:v>321.45860819807336</c:v>
                </c:pt>
                <c:pt idx="81">
                  <c:v>317.73000277407016</c:v>
                </c:pt>
                <c:pt idx="82">
                  <c:v>314.08660489271443</c:v>
                </c:pt>
                <c:pt idx="83">
                  <c:v>310.5255266791188</c:v>
                </c:pt>
                <c:pt idx="84">
                  <c:v>307.04400930261346</c:v>
                </c:pt>
                <c:pt idx="85">
                  <c:v>303.63941584847828</c:v>
                </c:pt>
                <c:pt idx="86">
                  <c:v>300.30922465702025</c:v>
                </c:pt>
                <c:pt idx="87">
                  <c:v>297.05102309463831</c:v>
                </c:pt>
                <c:pt idx="88">
                  <c:v>293.8625017245372</c:v>
                </c:pt>
                <c:pt idx="89">
                  <c:v>290.7414488474937</c:v>
                </c:pt>
                <c:pt idx="90">
                  <c:v>287.68574538555328</c:v>
                </c:pt>
                <c:pt idx="91">
                  <c:v>284.69336008378821</c:v>
                </c:pt>
                <c:pt idx="92">
                  <c:v>281.76234500728293</c:v>
                </c:pt>
                <c:pt idx="93">
                  <c:v>278.89083131237174</c:v>
                </c:pt>
                <c:pt idx="94">
                  <c:v>276.0770252728355</c:v>
                </c:pt>
                <c:pt idx="95">
                  <c:v>273.3192045433039</c:v>
                </c:pt>
                <c:pt idx="96">
                  <c:v>270.61571464350584</c:v>
                </c:pt>
                <c:pt idx="97">
                  <c:v>267.96496564828726</c:v>
                </c:pt>
                <c:pt idx="98">
                  <c:v>265.36542906948381</c:v>
                </c:pt>
                <c:pt idx="99">
                  <c:v>262.81563491679674</c:v>
                </c:pt>
                <c:pt idx="100">
                  <c:v>260.31416892579756</c:v>
                </c:pt>
              </c:numCache>
            </c:numRef>
          </c:val>
          <c:smooth val="0"/>
          <c:extLst>
            <c:ext xmlns:c16="http://schemas.microsoft.com/office/drawing/2014/chart" uri="{C3380CC4-5D6E-409C-BE32-E72D297353CC}">
              <c16:uniqueId val="{00000001-DE77-4B43-A489-D4421C0BE99A}"/>
            </c:ext>
          </c:extLst>
        </c:ser>
        <c:ser>
          <c:idx val="11"/>
          <c:order val="11"/>
          <c:tx>
            <c:v>VIN-max</c:v>
          </c:tx>
          <c:spPr>
            <a:ln>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Dual'!$AM$216:$AM$316</c:f>
              <c:numCache>
                <c:formatCode>0.0</c:formatCode>
                <c:ptCount val="101"/>
                <c:pt idx="0">
                  <c:v>10</c:v>
                </c:pt>
                <c:pt idx="1">
                  <c:v>27.500789703754936</c:v>
                </c:pt>
                <c:pt idx="2">
                  <c:v>55.001579407509873</c:v>
                </c:pt>
                <c:pt idx="3">
                  <c:v>82.502369111264812</c:v>
                </c:pt>
                <c:pt idx="4">
                  <c:v>110.00315881501975</c:v>
                </c:pt>
                <c:pt idx="5">
                  <c:v>137.50394851877468</c:v>
                </c:pt>
                <c:pt idx="6">
                  <c:v>165.00473822252962</c:v>
                </c:pt>
                <c:pt idx="7">
                  <c:v>192.50552792628457</c:v>
                </c:pt>
                <c:pt idx="8">
                  <c:v>220.00631763003949</c:v>
                </c:pt>
                <c:pt idx="9">
                  <c:v>247.50710733379441</c:v>
                </c:pt>
                <c:pt idx="10">
                  <c:v>275.00789703754936</c:v>
                </c:pt>
                <c:pt idx="11">
                  <c:v>302.5086867413043</c:v>
                </c:pt>
                <c:pt idx="12">
                  <c:v>330.00947644505925</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2-DE77-4B43-A489-D4421C0BE99A}"/>
            </c:ext>
          </c:extLst>
        </c:ser>
        <c:ser>
          <c:idx val="12"/>
          <c:order val="12"/>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DE77-4B43-A489-D4421C0BE99A}"/>
            </c:ext>
          </c:extLst>
        </c:ser>
        <c:ser>
          <c:idx val="13"/>
          <c:order val="13"/>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DE77-4B43-A489-D4421C0BE99A}"/>
            </c:ext>
          </c:extLst>
        </c:ser>
        <c:ser>
          <c:idx val="14"/>
          <c:order val="14"/>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DE77-4B43-A489-D4421C0BE99A}"/>
            </c:ext>
          </c:extLst>
        </c:ser>
        <c:ser>
          <c:idx val="15"/>
          <c:order val="15"/>
          <c:tx>
            <c:v>D1</c:v>
          </c:tx>
          <c:spPr>
            <a:ln w="25400">
              <a:solidFill>
                <a:srgbClr val="0000FF"/>
              </a:solidFill>
              <a:prstDash val="lgDash"/>
            </a:ln>
          </c:spPr>
          <c:marker>
            <c:symbol val="none"/>
          </c:marker>
          <c:val>
            <c:numRef>
              <c:f>'Calculations - Dual'!$AU$5:$AU$105</c:f>
              <c:numCache>
                <c:formatCode>0.000</c:formatCode>
                <c:ptCount val="101"/>
                <c:pt idx="0">
                  <c:v>5.5952439105634412E-3</c:v>
                </c:pt>
                <c:pt idx="1">
                  <c:v>1.5418951187970441E-2</c:v>
                </c:pt>
                <c:pt idx="2">
                  <c:v>3.0837902375940883E-2</c:v>
                </c:pt>
                <c:pt idx="3">
                  <c:v>4.6256853563911314E-2</c:v>
                </c:pt>
                <c:pt idx="4">
                  <c:v>6.1675804751881766E-2</c:v>
                </c:pt>
                <c:pt idx="5">
                  <c:v>7.7094755939852183E-2</c:v>
                </c:pt>
                <c:pt idx="6">
                  <c:v>9.2513707127822628E-2</c:v>
                </c:pt>
                <c:pt idx="7">
                  <c:v>0.10793265831579306</c:v>
                </c:pt>
                <c:pt idx="8">
                  <c:v>0.12335160950376353</c:v>
                </c:pt>
                <c:pt idx="9">
                  <c:v>0.13877056069173394</c:v>
                </c:pt>
                <c:pt idx="10">
                  <c:v>0.15418951187970437</c:v>
                </c:pt>
                <c:pt idx="11">
                  <c:v>0.16960846306767483</c:v>
                </c:pt>
                <c:pt idx="12">
                  <c:v>0.18665122962252334</c:v>
                </c:pt>
                <c:pt idx="13">
                  <c:v>0.20604410504253551</c:v>
                </c:pt>
                <c:pt idx="14">
                  <c:v>0.21383877655934039</c:v>
                </c:pt>
                <c:pt idx="15">
                  <c:v>0.22136084769772479</c:v>
                </c:pt>
                <c:pt idx="16">
                  <c:v>0.22863716991196237</c:v>
                </c:pt>
                <c:pt idx="17">
                  <c:v>0.23569045619164497</c:v>
                </c:pt>
                <c:pt idx="18">
                  <c:v>0.24254012253376908</c:v>
                </c:pt>
                <c:pt idx="19">
                  <c:v>0.24920292143403344</c:v>
                </c:pt>
                <c:pt idx="20">
                  <c:v>0.25569342697474562</c:v>
                </c:pt>
                <c:pt idx="21">
                  <c:v>0.26202441191009945</c:v>
                </c:pt>
                <c:pt idx="22">
                  <c:v>0.26820714476091939</c:v>
                </c:pt>
                <c:pt idx="23">
                  <c:v>0.27425162672924341</c:v>
                </c:pt>
                <c:pt idx="24">
                  <c:v>0.28016678269342565</c:v>
                </c:pt>
                <c:pt idx="25">
                  <c:v>0.28596061671486073</c:v>
                </c:pt>
                <c:pt idx="26">
                  <c:v>0.29164033979762044</c:v>
                </c:pt>
                <c:pt idx="27">
                  <c:v>0.29721247572239495</c:v>
                </c:pt>
                <c:pt idx="28">
                  <c:v>0.30268294938553114</c:v>
                </c:pt>
                <c:pt idx="29">
                  <c:v>0.30805716105312553</c:v>
                </c:pt>
                <c:pt idx="30">
                  <c:v>0.31334004918141251</c:v>
                </c:pt>
                <c:pt idx="31">
                  <c:v>0.31853614388435048</c:v>
                </c:pt>
                <c:pt idx="32">
                  <c:v>0.32364961269600467</c:v>
                </c:pt>
                <c:pt idx="33">
                  <c:v>0.32868429994292403</c:v>
                </c:pt>
                <c:pt idx="34">
                  <c:v>0.3336437607843547</c:v>
                </c:pt>
                <c:pt idx="35">
                  <c:v>0.33853129077719868</c:v>
                </c:pt>
                <c:pt idx="36">
                  <c:v>0.34334995166448201</c:v>
                </c:pt>
                <c:pt idx="37">
                  <c:v>0.34810259396070203</c:v>
                </c:pt>
                <c:pt idx="38">
                  <c:v>0.35279187680729829</c:v>
                </c:pt>
                <c:pt idx="39">
                  <c:v>0.35742028549101368</c:v>
                </c:pt>
                <c:pt idx="40">
                  <c:v>0.36199014695282716</c:v>
                </c:pt>
                <c:pt idx="41">
                  <c:v>0.36650364356218412</c:v>
                </c:pt>
                <c:pt idx="42">
                  <c:v>0.37096282538793918</c:v>
                </c:pt>
                <c:pt idx="43">
                  <c:v>0.37536962116179967</c:v>
                </c:pt>
                <c:pt idx="44">
                  <c:v>0.37972584810062043</c:v>
                </c:pt>
                <c:pt idx="45">
                  <c:v>0.38403322072944918</c:v>
                </c:pt>
                <c:pt idx="46">
                  <c:v>0.3882933588268303</c:v>
                </c:pt>
                <c:pt idx="47">
                  <c:v>0.39250779459678947</c:v>
                </c:pt>
                <c:pt idx="48">
                  <c:v>0.39667797915755082</c:v>
                </c:pt>
                <c:pt idx="49">
                  <c:v>0.40080528842489815</c:v>
                </c:pt>
                <c:pt idx="50">
                  <c:v>0.40489102845781283</c:v>
                </c:pt>
                <c:pt idx="51">
                  <c:v>0.40893644032525672</c:v>
                </c:pt>
                <c:pt idx="52">
                  <c:v>0.41294270454551296</c:v>
                </c:pt>
                <c:pt idx="53">
                  <c:v>0.41691094514308857</c:v>
                </c:pt>
                <c:pt idx="54">
                  <c:v>0.42084223336269322</c:v>
                </c:pt>
                <c:pt idx="55">
                  <c:v>0.42473759107506959</c:v>
                </c:pt>
                <c:pt idx="56">
                  <c:v>0.4285979939053618</c:v>
                </c:pt>
                <c:pt idx="57">
                  <c:v>0.43242437411115525</c:v>
                </c:pt>
                <c:pt idx="58">
                  <c:v>0.43621762323424718</c:v>
                </c:pt>
                <c:pt idx="59">
                  <c:v>0.43997859454751348</c:v>
                </c:pt>
                <c:pt idx="60">
                  <c:v>0.44370810531590205</c:v>
                </c:pt>
                <c:pt idx="61">
                  <c:v>0.4474069388885194</c:v>
                </c:pt>
                <c:pt idx="62">
                  <c:v>0.45107584663698463</c:v>
                </c:pt>
                <c:pt idx="63">
                  <c:v>0.45471554975363565</c:v>
                </c:pt>
                <c:pt idx="64">
                  <c:v>0.45832674092177494</c:v>
                </c:pt>
                <c:pt idx="65">
                  <c:v>0.46191008586891552</c:v>
                </c:pt>
                <c:pt idx="66">
                  <c:v>0.46546622481288502</c:v>
                </c:pt>
                <c:pt idx="67">
                  <c:v>0.4689957738096911</c:v>
                </c:pt>
                <c:pt idx="68">
                  <c:v>0.47249932601117772</c:v>
                </c:pt>
                <c:pt idx="69">
                  <c:v>0.47597745283974868</c:v>
                </c:pt>
                <c:pt idx="70">
                  <c:v>0.47943070508674207</c:v>
                </c:pt>
                <c:pt idx="71">
                  <c:v>0.48285961394043675</c:v>
                </c:pt>
                <c:pt idx="72">
                  <c:v>0.48626469194912292</c:v>
                </c:pt>
                <c:pt idx="73">
                  <c:v>0.4896464339241805</c:v>
                </c:pt>
                <c:pt idx="74">
                  <c:v>0.4870487898954271</c:v>
                </c:pt>
                <c:pt idx="75">
                  <c:v>0.48424407886568749</c:v>
                </c:pt>
                <c:pt idx="76">
                  <c:v>0.48148696461148932</c:v>
                </c:pt>
                <c:pt idx="77">
                  <c:v>0.47877612904497296</c:v>
                </c:pt>
                <c:pt idx="78">
                  <c:v>0.47611030402059518</c:v>
                </c:pt>
                <c:pt idx="79">
                  <c:v>0.47349226158949426</c:v>
                </c:pt>
                <c:pt idx="80">
                  <c:v>0.47091915368263138</c:v>
                </c:pt>
                <c:pt idx="81">
                  <c:v>0.46838748354773369</c:v>
                </c:pt>
                <c:pt idx="82">
                  <c:v>0.46589616127297506</c:v>
                </c:pt>
                <c:pt idx="83">
                  <c:v>0.46344413625652159</c:v>
                </c:pt>
                <c:pt idx="84">
                  <c:v>0.46103039542435004</c:v>
                </c:pt>
                <c:pt idx="85">
                  <c:v>0.47723887426770861</c:v>
                </c:pt>
                <c:pt idx="86">
                  <c:v>0.47759856777404031</c:v>
                </c:pt>
                <c:pt idx="87">
                  <c:v>0.47795097609609644</c:v>
                </c:pt>
                <c:pt idx="88">
                  <c:v>0.47829633297126756</c:v>
                </c:pt>
                <c:pt idx="89">
                  <c:v>0.47863486224495683</c:v>
                </c:pt>
                <c:pt idx="90">
                  <c:v>0.4789667783883988</c:v>
                </c:pt>
                <c:pt idx="91">
                  <c:v>0.47929228698428833</c:v>
                </c:pt>
                <c:pt idx="92">
                  <c:v>0.47961158518252939</c:v>
                </c:pt>
                <c:pt idx="93">
                  <c:v>0.47992486212822616</c:v>
                </c:pt>
                <c:pt idx="94">
                  <c:v>0.48023229936387085</c:v>
                </c:pt>
                <c:pt idx="95">
                  <c:v>0.48053407120752345</c:v>
                </c:pt>
                <c:pt idx="96">
                  <c:v>0.48083034510863926</c:v>
                </c:pt>
                <c:pt idx="97">
                  <c:v>0.48112128198307136</c:v>
                </c:pt>
                <c:pt idx="98">
                  <c:v>0.48140703652865557</c:v>
                </c:pt>
                <c:pt idx="99">
                  <c:v>0.48168775752267734</c:v>
                </c:pt>
                <c:pt idx="100">
                  <c:v>0.48196358810242568</c:v>
                </c:pt>
              </c:numCache>
            </c:numRef>
          </c:val>
          <c:smooth val="0"/>
          <c:extLst>
            <c:ext xmlns:c16="http://schemas.microsoft.com/office/drawing/2014/chart" uri="{C3380CC4-5D6E-409C-BE32-E72D297353CC}">
              <c16:uniqueId val="{00000006-DE77-4B43-A489-D4421C0BE99A}"/>
            </c:ext>
          </c:extLst>
        </c:ser>
        <c:ser>
          <c:idx val="16"/>
          <c:order val="16"/>
          <c:spPr>
            <a:ln w="25400">
              <a:solidFill>
                <a:srgbClr val="00B050"/>
              </a:solidFill>
              <a:prstDash val="dash"/>
            </a:ln>
          </c:spPr>
          <c:marker>
            <c:symbol val="none"/>
          </c:marker>
          <c:val>
            <c:numRef>
              <c:f>'Calculations - Dual'!$AU$110:$AU$210</c:f>
              <c:numCache>
                <c:formatCode>0.000</c:formatCode>
                <c:ptCount val="101"/>
                <c:pt idx="0">
                  <c:v>8.2488351462606177E-3</c:v>
                </c:pt>
                <c:pt idx="1">
                  <c:v>2.27447319506386E-2</c:v>
                </c:pt>
                <c:pt idx="2">
                  <c:v>6.8234195851915785E-2</c:v>
                </c:pt>
                <c:pt idx="3">
                  <c:v>6.8234195851915785E-2</c:v>
                </c:pt>
                <c:pt idx="4">
                  <c:v>9.0978927802554399E-2</c:v>
                </c:pt>
                <c:pt idx="5">
                  <c:v>0.11372365975319297</c:v>
                </c:pt>
                <c:pt idx="6">
                  <c:v>0.13646839170383157</c:v>
                </c:pt>
                <c:pt idx="7">
                  <c:v>0.15921312365447016</c:v>
                </c:pt>
                <c:pt idx="8">
                  <c:v>0.1819578556051088</c:v>
                </c:pt>
                <c:pt idx="9">
                  <c:v>0.20470258755574736</c:v>
                </c:pt>
                <c:pt idx="10">
                  <c:v>0.22744731950638594</c:v>
                </c:pt>
                <c:pt idx="11">
                  <c:v>0.25019205145702456</c:v>
                </c:pt>
                <c:pt idx="12">
                  <c:v>0.27533209842012546</c:v>
                </c:pt>
                <c:pt idx="13">
                  <c:v>0.30394186374166549</c:v>
                </c:pt>
                <c:pt idx="14">
                  <c:v>0.31545172700426155</c:v>
                </c:pt>
                <c:pt idx="15">
                  <c:v>0.32655986994021219</c:v>
                </c:pt>
                <c:pt idx="16">
                  <c:v>0.33730586289385056</c:v>
                </c:pt>
                <c:pt idx="17">
                  <c:v>0.34772317744043862</c:v>
                </c:pt>
                <c:pt idx="18">
                  <c:v>0.35784042644715391</c:v>
                </c:pt>
                <c:pt idx="19">
                  <c:v>0.36768229763669213</c:v>
                </c:pt>
                <c:pt idx="20">
                  <c:v>0.37727026845160805</c:v>
                </c:pt>
                <c:pt idx="21">
                  <c:v>0.38662316175725092</c:v>
                </c:pt>
                <c:pt idx="22">
                  <c:v>0.39575758366419783</c:v>
                </c:pt>
                <c:pt idx="23">
                  <c:v>0.40468827266436219</c:v>
                </c:pt>
                <c:pt idx="24">
                  <c:v>0.4134283810964659</c:v>
                </c:pt>
                <c:pt idx="25">
                  <c:v>0.42198970431299859</c:v>
                </c:pt>
                <c:pt idx="26">
                  <c:v>0.4303828689568503</c:v>
                </c:pt>
                <c:pt idx="27">
                  <c:v>0.43861748892649238</c:v>
                </c:pt>
                <c:pt idx="28">
                  <c:v>0.44670229555927765</c:v>
                </c:pt>
                <c:pt idx="29">
                  <c:v>0.45464524705804893</c:v>
                </c:pt>
                <c:pt idx="30">
                  <c:v>0.4624536210681347</c:v>
                </c:pt>
                <c:pt idx="31">
                  <c:v>0.47013409347131757</c:v>
                </c:pt>
                <c:pt idx="32">
                  <c:v>0.47769280582480805</c:v>
                </c:pt>
                <c:pt idx="33">
                  <c:v>0.48513542338340432</c:v>
                </c:pt>
                <c:pt idx="34">
                  <c:v>0.49246718526375693</c:v>
                </c:pt>
                <c:pt idx="35">
                  <c:v>0.49969294801354935</c:v>
                </c:pt>
                <c:pt idx="36">
                  <c:v>0.50681722361534653</c:v>
                </c:pt>
                <c:pt idx="37">
                  <c:v>0.51384421277007564</c:v>
                </c:pt>
                <c:pt idx="38">
                  <c:v>0.52077783415754964</c:v>
                </c:pt>
                <c:pt idx="39">
                  <c:v>0.52762175025284452</c:v>
                </c:pt>
                <c:pt idx="40">
                  <c:v>0.53437939018142655</c:v>
                </c:pt>
                <c:pt idx="41">
                  <c:v>0.54105397001789124</c:v>
                </c:pt>
                <c:pt idx="42">
                  <c:v>0.54764851086933874</c:v>
                </c:pt>
                <c:pt idx="43">
                  <c:v>0.55416585503192084</c:v>
                </c:pt>
                <c:pt idx="44">
                  <c:v>0.56060868046570256</c:v>
                </c:pt>
                <c:pt idx="45">
                  <c:v>0.56697951379695366</c:v>
                </c:pt>
                <c:pt idx="46">
                  <c:v>0.57328074202693413</c:v>
                </c:pt>
                <c:pt idx="47">
                  <c:v>0.57951462310105661</c:v>
                </c:pt>
                <c:pt idx="48">
                  <c:v>0.57876119096045098</c:v>
                </c:pt>
                <c:pt idx="49">
                  <c:v>0.57363733123935445</c:v>
                </c:pt>
                <c:pt idx="50">
                  <c:v>0.56331192534896346</c:v>
                </c:pt>
                <c:pt idx="51">
                  <c:v>0.56406742770617102</c:v>
                </c:pt>
                <c:pt idx="52">
                  <c:v>0.56481452774790941</c:v>
                </c:pt>
                <c:pt idx="53">
                  <c:v>0.56553723832969705</c:v>
                </c:pt>
                <c:pt idx="54">
                  <c:v>0.56623610409782899</c:v>
                </c:pt>
                <c:pt idx="55">
                  <c:v>0.56691234610184604</c:v>
                </c:pt>
                <c:pt idx="56">
                  <c:v>0.5675671034270322</c:v>
                </c:pt>
                <c:pt idx="57">
                  <c:v>0.56820143995832884</c:v>
                </c:pt>
                <c:pt idx="58">
                  <c:v>0.56881635048531498</c:v>
                </c:pt>
                <c:pt idx="59">
                  <c:v>0.56941276622194315</c:v>
                </c:pt>
                <c:pt idx="60">
                  <c:v>0.56999155980546001</c:v>
                </c:pt>
                <c:pt idx="61">
                  <c:v>0.57055354983095441</c:v>
                </c:pt>
                <c:pt idx="62">
                  <c:v>0.57109950497109274</c:v>
                </c:pt>
                <c:pt idx="63">
                  <c:v>0.5716301477246466</c:v>
                </c:pt>
                <c:pt idx="64">
                  <c:v>0.57214615783226053</c:v>
                </c:pt>
                <c:pt idx="65">
                  <c:v>0.57264817539341595</c:v>
                </c:pt>
                <c:pt idx="66">
                  <c:v>0.5731368037146527</c:v>
                </c:pt>
                <c:pt idx="67">
                  <c:v>0.57361261191569279</c:v>
                </c:pt>
                <c:pt idx="68">
                  <c:v>0.57407613731714435</c:v>
                </c:pt>
                <c:pt idx="69">
                  <c:v>0.57452788763084317</c:v>
                </c:pt>
                <c:pt idx="70">
                  <c:v>0.57496834297160992</c:v>
                </c:pt>
                <c:pt idx="71">
                  <c:v>0.57539795770717883</c:v>
                </c:pt>
                <c:pt idx="72">
                  <c:v>0.57581716216128853</c:v>
                </c:pt>
                <c:pt idx="73">
                  <c:v>0.57622636418335049</c:v>
                </c:pt>
                <c:pt idx="74">
                  <c:v>0.57662595059673583</c:v>
                </c:pt>
                <c:pt idx="75">
                  <c:v>0.57701628853649123</c:v>
                </c:pt>
                <c:pt idx="76">
                  <c:v>0.57739772668620715</c:v>
                </c:pt>
                <c:pt idx="77">
                  <c:v>0.57777059642280215</c:v>
                </c:pt>
                <c:pt idx="78">
                  <c:v>0.57813521287711633</c:v>
                </c:pt>
                <c:pt idx="79">
                  <c:v>0.57849187591745999</c:v>
                </c:pt>
                <c:pt idx="80">
                  <c:v>0.57884087106255744</c:v>
                </c:pt>
                <c:pt idx="81">
                  <c:v>0.57918247032974068</c:v>
                </c:pt>
                <c:pt idx="82">
                  <c:v>0.57951693302367779</c:v>
                </c:pt>
                <c:pt idx="83">
                  <c:v>0.57984450647045238</c:v>
                </c:pt>
                <c:pt idx="84">
                  <c:v>0.5801654267013554</c:v>
                </c:pt>
                <c:pt idx="85">
                  <c:v>0.58047991909036534</c:v>
                </c:pt>
                <c:pt idx="86">
                  <c:v>0.58078819894893419</c:v>
                </c:pt>
                <c:pt idx="87">
                  <c:v>0.58109047208138054</c:v>
                </c:pt>
                <c:pt idx="88">
                  <c:v>0.58138693530389873</c:v>
                </c:pt>
                <c:pt idx="89">
                  <c:v>0.58167777692993328</c:v>
                </c:pt>
                <c:pt idx="90">
                  <c:v>0.58196317722443791</c:v>
                </c:pt>
                <c:pt idx="91">
                  <c:v>0.58224330882931941</c:v>
                </c:pt>
                <c:pt idx="92">
                  <c:v>0.58251833716217638</c:v>
                </c:pt>
                <c:pt idx="93">
                  <c:v>0.58278842079027049</c:v>
                </c:pt>
                <c:pt idx="94">
                  <c:v>0.58305371178150267</c:v>
                </c:pt>
                <c:pt idx="95">
                  <c:v>0.58331435603403248</c:v>
                </c:pt>
                <c:pt idx="96">
                  <c:v>0.58357049358603585</c:v>
                </c:pt>
                <c:pt idx="97">
                  <c:v>0.58382225890698791</c:v>
                </c:pt>
                <c:pt idx="98">
                  <c:v>0.58406978117174302</c:v>
                </c:pt>
                <c:pt idx="99">
                  <c:v>0.58431318451858172</c:v>
                </c:pt>
                <c:pt idx="100">
                  <c:v>0.58455258829231649</c:v>
                </c:pt>
              </c:numCache>
            </c:numRef>
          </c:val>
          <c:smooth val="0"/>
          <c:extLst>
            <c:ext xmlns:c16="http://schemas.microsoft.com/office/drawing/2014/chart" uri="{C3380CC4-5D6E-409C-BE32-E72D297353CC}">
              <c16:uniqueId val="{00000007-DE77-4B43-A489-D4421C0BE99A}"/>
            </c:ext>
          </c:extLst>
        </c:ser>
        <c:ser>
          <c:idx val="17"/>
          <c:order val="17"/>
          <c:spPr>
            <a:ln w="25400">
              <a:solidFill>
                <a:srgbClr val="FF0000"/>
              </a:solidFill>
            </a:ln>
          </c:spPr>
          <c:marker>
            <c:symbol val="none"/>
          </c:marker>
          <c:val>
            <c:numRef>
              <c:f>'Calculations - Dual'!$AU$216:$AU$316</c:f>
              <c:numCache>
                <c:formatCode>0.000</c:formatCode>
                <c:ptCount val="101"/>
                <c:pt idx="0">
                  <c:v>3.9173873009174069E-3</c:v>
                </c:pt>
                <c:pt idx="1">
                  <c:v>1.0786462574852565E-2</c:v>
                </c:pt>
                <c:pt idx="2">
                  <c:v>2.157292514970513E-2</c:v>
                </c:pt>
                <c:pt idx="3">
                  <c:v>3.2359387724557695E-2</c:v>
                </c:pt>
                <c:pt idx="4">
                  <c:v>4.314585029941026E-2</c:v>
                </c:pt>
                <c:pt idx="5">
                  <c:v>5.3932312874262818E-2</c:v>
                </c:pt>
                <c:pt idx="6">
                  <c:v>6.471877544911539E-2</c:v>
                </c:pt>
                <c:pt idx="7">
                  <c:v>7.5505238023967969E-2</c:v>
                </c:pt>
                <c:pt idx="8">
                  <c:v>8.629170059882052E-2</c:v>
                </c:pt>
                <c:pt idx="9">
                  <c:v>9.7078163173673085E-2</c:v>
                </c:pt>
                <c:pt idx="10">
                  <c:v>0.10786462574852564</c:v>
                </c:pt>
                <c:pt idx="11">
                  <c:v>0.1186510883233782</c:v>
                </c:pt>
                <c:pt idx="12">
                  <c:v>0.13057350518395197</c:v>
                </c:pt>
                <c:pt idx="13">
                  <c:v>0.14413985828125195</c:v>
                </c:pt>
                <c:pt idx="14">
                  <c:v>0.14958911419565396</c:v>
                </c:pt>
                <c:pt idx="15">
                  <c:v>0.15484754847725002</c:v>
                </c:pt>
                <c:pt idx="16">
                  <c:v>0.15993395719012807</c:v>
                </c:pt>
                <c:pt idx="17">
                  <c:v>0.16486423946869866</c:v>
                </c:pt>
                <c:pt idx="18">
                  <c:v>0.16965198654881439</c:v>
                </c:pt>
                <c:pt idx="19">
                  <c:v>0.17430892521220612</c:v>
                </c:pt>
                <c:pt idx="20">
                  <c:v>0.17884525734844725</c:v>
                </c:pt>
                <c:pt idx="21">
                  <c:v>0.18326992391500108</c:v>
                </c:pt>
                <c:pt idx="22">
                  <c:v>0.18759081290383475</c:v>
                </c:pt>
                <c:pt idx="23">
                  <c:v>0.19181492518187393</c:v>
                </c:pt>
                <c:pt idx="24">
                  <c:v>0.19594850818778237</c:v>
                </c:pt>
                <c:pt idx="25">
                  <c:v>0.19999716478684662</c:v>
                </c:pt>
                <c:pt idx="26">
                  <c:v>0.20396594270287388</c:v>
                </c:pt>
                <c:pt idx="27">
                  <c:v>0.20785940860208213</c:v>
                </c:pt>
                <c:pt idx="28">
                  <c:v>0.21168170993054194</c:v>
                </c:pt>
                <c:pt idx="29">
                  <c:v>0.21543662689214063</c:v>
                </c:pt>
                <c:pt idx="30">
                  <c:v>0.21912761642294229</c:v>
                </c:pt>
                <c:pt idx="31">
                  <c:v>0.22275784961857531</c:v>
                </c:pt>
                <c:pt idx="32">
                  <c:v>0.22633024376796851</c:v>
                </c:pt>
                <c:pt idx="33">
                  <c:v>0.22984748991407672</c:v>
                </c:pt>
                <c:pt idx="34">
                  <c:v>0.23331207668208406</c:v>
                </c:pt>
                <c:pt idx="35">
                  <c:v>0.23672631097492403</c:v>
                </c:pt>
                <c:pt idx="36">
                  <c:v>0.2400923360252511</c:v>
                </c:pt>
                <c:pt idx="37">
                  <c:v>0.24341214720522339</c:v>
                </c:pt>
                <c:pt idx="38">
                  <c:v>0.24668760592536809</c:v>
                </c:pt>
                <c:pt idx="39">
                  <c:v>0.2499204518974672</c:v>
                </c:pt>
                <c:pt idx="40">
                  <c:v>0.253112313990839</c:v>
                </c:pt>
                <c:pt idx="41">
                  <c:v>0.25626471987432731</c:v>
                </c:pt>
                <c:pt idx="42">
                  <c:v>0.25937910460598529</c:v>
                </c:pt>
                <c:pt idx="43">
                  <c:v>0.26245681830750894</c:v>
                </c:pt>
                <c:pt idx="44">
                  <c:v>0.26549913303986439</c:v>
                </c:pt>
                <c:pt idx="45">
                  <c:v>0.26850724897943767</c:v>
                </c:pt>
                <c:pt idx="46">
                  <c:v>0.27148229997976608</c:v>
                </c:pt>
                <c:pt idx="47">
                  <c:v>0.27442535859194317</c:v>
                </c:pt>
                <c:pt idx="48">
                  <c:v>0.2773374406067356</c:v>
                </c:pt>
                <c:pt idx="49">
                  <c:v>0.28021950917295058</c:v>
                </c:pt>
                <c:pt idx="50">
                  <c:v>0.28307247853939405</c:v>
                </c:pt>
                <c:pt idx="51">
                  <c:v>0.28589721746163227</c:v>
                </c:pt>
                <c:pt idx="52">
                  <c:v>0.28869455230954028</c:v>
                </c:pt>
                <c:pt idx="53">
                  <c:v>0.29146526990714494</c:v>
                </c:pt>
                <c:pt idx="54">
                  <c:v>0.29421012013241932</c:v>
                </c:pt>
                <c:pt idx="55">
                  <c:v>0.29692981830137349</c:v>
                </c:pt>
                <c:pt idx="56">
                  <c:v>0.29962504735792034</c:v>
                </c:pt>
                <c:pt idx="57">
                  <c:v>0.30229645988851195</c:v>
                </c:pt>
                <c:pt idx="58">
                  <c:v>0.30494467997838626</c:v>
                </c:pt>
                <c:pt idx="59">
                  <c:v>0.30757030492438098</c:v>
                </c:pt>
                <c:pt idx="60">
                  <c:v>0.31017390681763535</c:v>
                </c:pt>
                <c:pt idx="61">
                  <c:v>0.31275603400805718</c:v>
                </c:pt>
                <c:pt idx="62">
                  <c:v>0.31531721246117667</c:v>
                </c:pt>
                <c:pt idx="63">
                  <c:v>0.31785794701689546</c:v>
                </c:pt>
                <c:pt idx="64">
                  <c:v>0.32037872255866512</c:v>
                </c:pt>
                <c:pt idx="65">
                  <c:v>0.3228800051007632</c:v>
                </c:pt>
                <c:pt idx="66">
                  <c:v>0.32536224280057163</c:v>
                </c:pt>
                <c:pt idx="67">
                  <c:v>0.32782586690208604</c:v>
                </c:pt>
                <c:pt idx="68">
                  <c:v>0.33027129261628002</c:v>
                </c:pt>
                <c:pt idx="69">
                  <c:v>0.33269891994341527</c:v>
                </c:pt>
                <c:pt idx="70">
                  <c:v>0.33510913444190787</c:v>
                </c:pt>
                <c:pt idx="71">
                  <c:v>0.33750230794793551</c:v>
                </c:pt>
                <c:pt idx="72">
                  <c:v>0.33987879924959136</c:v>
                </c:pt>
                <c:pt idx="73">
                  <c:v>0.34223895471904153</c:v>
                </c:pt>
                <c:pt idx="74">
                  <c:v>0.34458310890584226</c:v>
                </c:pt>
                <c:pt idx="75">
                  <c:v>0.34691158509429487</c:v>
                </c:pt>
                <c:pt idx="76">
                  <c:v>0.34922469582746457</c:v>
                </c:pt>
                <c:pt idx="77">
                  <c:v>0.35152274340027068</c:v>
                </c:pt>
                <c:pt idx="78">
                  <c:v>0.35380602032385045</c:v>
                </c:pt>
                <c:pt idx="79">
                  <c:v>0.35607480976321321</c:v>
                </c:pt>
                <c:pt idx="80">
                  <c:v>0.35832938595004277</c:v>
                </c:pt>
                <c:pt idx="81">
                  <c:v>0.36057001457234777</c:v>
                </c:pt>
                <c:pt idx="82">
                  <c:v>0.3627969531425303</c:v>
                </c:pt>
                <c:pt idx="83">
                  <c:v>0.36501045134531401</c:v>
                </c:pt>
                <c:pt idx="84">
                  <c:v>0.36721075136686376</c:v>
                </c:pt>
                <c:pt idx="85">
                  <c:v>0.36939808820632425</c:v>
                </c:pt>
                <c:pt idx="86">
                  <c:v>0.3715726899709127</c:v>
                </c:pt>
                <c:pt idx="87">
                  <c:v>0.37373477815561307</c:v>
                </c:pt>
                <c:pt idx="88">
                  <c:v>0.37588456790844399</c:v>
                </c:pt>
                <c:pt idx="89">
                  <c:v>0.37802226828219893</c:v>
                </c:pt>
                <c:pt idx="90">
                  <c:v>0.38014808247349219</c:v>
                </c:pt>
                <c:pt idx="91">
                  <c:v>0.38226220804988525</c:v>
                </c:pt>
                <c:pt idx="92">
                  <c:v>0.38436483716581099</c:v>
                </c:pt>
                <c:pt idx="93">
                  <c:v>0.38645615676796358</c:v>
                </c:pt>
                <c:pt idx="94">
                  <c:v>0.38853634879077747</c:v>
                </c:pt>
                <c:pt idx="95">
                  <c:v>0.39060559034257092</c:v>
                </c:pt>
                <c:pt idx="96">
                  <c:v>0.39266405388289533</c:v>
                </c:pt>
                <c:pt idx="97">
                  <c:v>0.39471190739159223</c:v>
                </c:pt>
                <c:pt idx="98">
                  <c:v>0.39674931453002721</c:v>
                </c:pt>
                <c:pt idx="99">
                  <c:v>0.39877643479493802</c:v>
                </c:pt>
                <c:pt idx="100">
                  <c:v>0.40079342366530674</c:v>
                </c:pt>
              </c:numCache>
            </c:numRef>
          </c:val>
          <c:smooth val="0"/>
          <c:extLst>
            <c:ext xmlns:c16="http://schemas.microsoft.com/office/drawing/2014/chart" uri="{C3380CC4-5D6E-409C-BE32-E72D297353CC}">
              <c16:uniqueId val="{00000008-DE77-4B43-A489-D4421C0BE99A}"/>
            </c:ext>
          </c:extLst>
        </c:ser>
        <c:ser>
          <c:idx val="1"/>
          <c:order val="0"/>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Dual'!$AM$110:$AM$210</c:f>
              <c:numCache>
                <c:formatCode>0.0</c:formatCode>
                <c:ptCount val="101"/>
                <c:pt idx="0">
                  <c:v>10</c:v>
                </c:pt>
                <c:pt idx="1">
                  <c:v>27.500946761249416</c:v>
                </c:pt>
                <c:pt idx="2">
                  <c:v>82.502840283748242</c:v>
                </c:pt>
                <c:pt idx="3">
                  <c:v>82.502840283748242</c:v>
                </c:pt>
                <c:pt idx="4">
                  <c:v>110.00378704499767</c:v>
                </c:pt>
                <c:pt idx="5">
                  <c:v>137.50473380624706</c:v>
                </c:pt>
                <c:pt idx="6">
                  <c:v>165.00568056749648</c:v>
                </c:pt>
                <c:pt idx="7">
                  <c:v>192.50662732874591</c:v>
                </c:pt>
                <c:pt idx="8">
                  <c:v>220.00757408999533</c:v>
                </c:pt>
                <c:pt idx="9">
                  <c:v>247.50852085124473</c:v>
                </c:pt>
                <c:pt idx="10">
                  <c:v>275.00946761249412</c:v>
                </c:pt>
                <c:pt idx="11">
                  <c:v>302.51041437374357</c:v>
                </c:pt>
                <c:pt idx="12">
                  <c:v>330.01136113499297</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345.86340160719345</c:v>
                </c:pt>
                <c:pt idx="49">
                  <c:v>339.26473502668671</c:v>
                </c:pt>
                <c:pt idx="50">
                  <c:v>332.91257786125936</c:v>
                </c:pt>
                <c:pt idx="51">
                  <c:v>326.79337537641322</c:v>
                </c:pt>
                <c:pt idx="52">
                  <c:v>320.87741203412884</c:v>
                </c:pt>
                <c:pt idx="53">
                  <c:v>315.16982570998761</c:v>
                </c:pt>
                <c:pt idx="54">
                  <c:v>309.6604515374637</c:v>
                </c:pt>
                <c:pt idx="55">
                  <c:v>304.33914029431946</c:v>
                </c:pt>
                <c:pt idx="56">
                  <c:v>299.19642403581486</c:v>
                </c:pt>
                <c:pt idx="57">
                  <c:v>294.22345987382101</c:v>
                </c:pt>
                <c:pt idx="58">
                  <c:v>289.4119792329389</c:v>
                </c:pt>
                <c:pt idx="59">
                  <c:v>284.75424197107662</c:v>
                </c:pt>
                <c:pt idx="60">
                  <c:v>280.24299482899738</c:v>
                </c:pt>
                <c:pt idx="61">
                  <c:v>275.87143373968053</c:v>
                </c:pt>
                <c:pt idx="62">
                  <c:v>271.63316958555379</c:v>
                </c:pt>
                <c:pt idx="63">
                  <c:v>267.52219704115402</c:v>
                </c:pt>
                <c:pt idx="64">
                  <c:v>263.53286618166868</c:v>
                </c:pt>
                <c:pt idx="65">
                  <c:v>259.65985657507753</c:v>
                </c:pt>
                <c:pt idx="66">
                  <c:v>255.89815360807506</c:v>
                </c:pt>
                <c:pt idx="67">
                  <c:v>252.24302682425559</c:v>
                </c:pt>
                <c:pt idx="68">
                  <c:v>248.69001007780486</c:v>
                </c:pt>
                <c:pt idx="69">
                  <c:v>245.23488332762261</c:v>
                </c:pt>
                <c:pt idx="70">
                  <c:v>241.87365591583423</c:v>
                </c:pt>
                <c:pt idx="71">
                  <c:v>238.60255119138742</c:v>
                </c:pt>
                <c:pt idx="72">
                  <c:v>235.41799235416812</c:v>
                </c:pt>
                <c:pt idx="73">
                  <c:v>232.3165894080883</c:v>
                </c:pt>
                <c:pt idx="74">
                  <c:v>229.2951271230931</c:v>
                </c:pt>
                <c:pt idx="75">
                  <c:v>226.35055391622313</c:v>
                </c:pt>
                <c:pt idx="76">
                  <c:v>223.47997157089981</c:v>
                </c:pt>
                <c:pt idx="77">
                  <c:v>220.68062572162594</c:v>
                </c:pt>
                <c:pt idx="78">
                  <c:v>217.94989703843129</c:v>
                </c:pt>
                <c:pt idx="79">
                  <c:v>215.28529305175613</c:v>
                </c:pt>
                <c:pt idx="80">
                  <c:v>212.6844405641402</c:v>
                </c:pt>
                <c:pt idx="81">
                  <c:v>210.14507860015701</c:v>
                </c:pt>
                <c:pt idx="82">
                  <c:v>207.66505185057423</c:v>
                </c:pt>
                <c:pt idx="83">
                  <c:v>205.2423045707836</c:v>
                </c:pt>
                <c:pt idx="84">
                  <c:v>202.87487489719871</c:v>
                </c:pt>
                <c:pt idx="85">
                  <c:v>200.56088954859257</c:v>
                </c:pt>
                <c:pt idx="86">
                  <c:v>198.29855888229784</c:v>
                </c:pt>
                <c:pt idx="87">
                  <c:v>196.08617227785052</c:v>
                </c:pt>
                <c:pt idx="88">
                  <c:v>193.92209382304969</c:v>
                </c:pt>
                <c:pt idx="89">
                  <c:v>191.80475827957036</c:v>
                </c:pt>
                <c:pt idx="90">
                  <c:v>189.73266730722025</c:v>
                </c:pt>
                <c:pt idx="91">
                  <c:v>187.70438592769966</c:v>
                </c:pt>
                <c:pt idx="92">
                  <c:v>185.71853921032664</c:v>
                </c:pt>
                <c:pt idx="93">
                  <c:v>183.77380916363907</c:v>
                </c:pt>
                <c:pt idx="94">
                  <c:v>181.86893181810922</c:v>
                </c:pt>
                <c:pt idx="95">
                  <c:v>180.00269448639793</c:v>
                </c:pt>
                <c:pt idx="96">
                  <c:v>178.17393318867354</c:v>
                </c:pt>
                <c:pt idx="97">
                  <c:v>176.38153023150494</c:v>
                </c:pt>
                <c:pt idx="98">
                  <c:v>174.62441192974907</c:v>
                </c:pt>
                <c:pt idx="99">
                  <c:v>172.90154646167491</c:v>
                </c:pt>
                <c:pt idx="100">
                  <c:v>171.21194184832109</c:v>
                </c:pt>
              </c:numCache>
            </c:numRef>
          </c:val>
          <c:smooth val="0"/>
          <c:extLst>
            <c:ext xmlns:c16="http://schemas.microsoft.com/office/drawing/2014/chart" uri="{C3380CC4-5D6E-409C-BE32-E72D297353CC}">
              <c16:uniqueId val="{00000009-DE77-4B43-A489-D4421C0BE99A}"/>
            </c:ext>
          </c:extLst>
        </c:ser>
        <c:ser>
          <c:idx val="0"/>
          <c:order val="1"/>
          <c:tx>
            <c:v>VIN-nom</c:v>
          </c:tx>
          <c:spPr>
            <a:ln w="28575">
              <a:solidFill>
                <a:srgbClr val="0000FF"/>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Dual'!$AM$5:$AM$105</c:f>
              <c:numCache>
                <c:formatCode>0.0</c:formatCode>
                <c:ptCount val="101"/>
                <c:pt idx="0">
                  <c:v>10</c:v>
                </c:pt>
                <c:pt idx="1">
                  <c:v>27.500946761249416</c:v>
                </c:pt>
                <c:pt idx="2">
                  <c:v>55.001893522498833</c:v>
                </c:pt>
                <c:pt idx="3">
                  <c:v>82.502840283748242</c:v>
                </c:pt>
                <c:pt idx="4">
                  <c:v>110.00378704499767</c:v>
                </c:pt>
                <c:pt idx="5">
                  <c:v>137.50473380624706</c:v>
                </c:pt>
                <c:pt idx="6">
                  <c:v>165.00568056749648</c:v>
                </c:pt>
                <c:pt idx="7">
                  <c:v>192.50662732874591</c:v>
                </c:pt>
                <c:pt idx="8">
                  <c:v>220.00757408999533</c:v>
                </c:pt>
                <c:pt idx="9">
                  <c:v>247.50852085124473</c:v>
                </c:pt>
                <c:pt idx="10">
                  <c:v>275.00946761249412</c:v>
                </c:pt>
                <c:pt idx="11">
                  <c:v>302.51041437374357</c:v>
                </c:pt>
                <c:pt idx="12">
                  <c:v>330.01136113499297</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345.77127327623862</c:v>
                </c:pt>
                <c:pt idx="75">
                  <c:v>341.46917662343873</c:v>
                </c:pt>
                <c:pt idx="76">
                  <c:v>337.27268736584324</c:v>
                </c:pt>
                <c:pt idx="77">
                  <c:v>333.17796482095775</c:v>
                </c:pt>
                <c:pt idx="78">
                  <c:v>329.18135229491418</c:v>
                </c:pt>
                <c:pt idx="79">
                  <c:v>325.27544571815162</c:v>
                </c:pt>
                <c:pt idx="80">
                  <c:v>321.45860819807336</c:v>
                </c:pt>
                <c:pt idx="81">
                  <c:v>317.73000277407016</c:v>
                </c:pt>
                <c:pt idx="82">
                  <c:v>314.08660489271443</c:v>
                </c:pt>
                <c:pt idx="83">
                  <c:v>310.5255266791188</c:v>
                </c:pt>
                <c:pt idx="84">
                  <c:v>307.04400930261346</c:v>
                </c:pt>
                <c:pt idx="85">
                  <c:v>303.63941584847828</c:v>
                </c:pt>
                <c:pt idx="86">
                  <c:v>300.30922465702025</c:v>
                </c:pt>
                <c:pt idx="87">
                  <c:v>297.05102309463831</c:v>
                </c:pt>
                <c:pt idx="88">
                  <c:v>293.8625017245372</c:v>
                </c:pt>
                <c:pt idx="89">
                  <c:v>290.7414488474937</c:v>
                </c:pt>
                <c:pt idx="90">
                  <c:v>287.68574538555328</c:v>
                </c:pt>
                <c:pt idx="91">
                  <c:v>284.69336008378821</c:v>
                </c:pt>
                <c:pt idx="92">
                  <c:v>281.76234500728293</c:v>
                </c:pt>
                <c:pt idx="93">
                  <c:v>278.89083131237174</c:v>
                </c:pt>
                <c:pt idx="94">
                  <c:v>276.0770252728355</c:v>
                </c:pt>
                <c:pt idx="95">
                  <c:v>273.3192045433039</c:v>
                </c:pt>
                <c:pt idx="96">
                  <c:v>270.61571464350584</c:v>
                </c:pt>
                <c:pt idx="97">
                  <c:v>267.96496564828726</c:v>
                </c:pt>
                <c:pt idx="98">
                  <c:v>265.36542906948381</c:v>
                </c:pt>
                <c:pt idx="99">
                  <c:v>262.81563491679674</c:v>
                </c:pt>
                <c:pt idx="100">
                  <c:v>260.31416892579756</c:v>
                </c:pt>
              </c:numCache>
            </c:numRef>
          </c:val>
          <c:smooth val="0"/>
          <c:extLst>
            <c:ext xmlns:c16="http://schemas.microsoft.com/office/drawing/2014/chart" uri="{C3380CC4-5D6E-409C-BE32-E72D297353CC}">
              <c16:uniqueId val="{0000000A-DE77-4B43-A489-D4421C0BE99A}"/>
            </c:ext>
          </c:extLst>
        </c:ser>
        <c:ser>
          <c:idx val="2"/>
          <c:order val="2"/>
          <c:tx>
            <c:v>VIN-max</c:v>
          </c:tx>
          <c:spPr>
            <a:ln>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Dual'!$AM$216:$AM$316</c:f>
              <c:numCache>
                <c:formatCode>0.0</c:formatCode>
                <c:ptCount val="101"/>
                <c:pt idx="0">
                  <c:v>10</c:v>
                </c:pt>
                <c:pt idx="1">
                  <c:v>27.500789703754936</c:v>
                </c:pt>
                <c:pt idx="2">
                  <c:v>55.001579407509873</c:v>
                </c:pt>
                <c:pt idx="3">
                  <c:v>82.502369111264812</c:v>
                </c:pt>
                <c:pt idx="4">
                  <c:v>110.00315881501975</c:v>
                </c:pt>
                <c:pt idx="5">
                  <c:v>137.50394851877468</c:v>
                </c:pt>
                <c:pt idx="6">
                  <c:v>165.00473822252962</c:v>
                </c:pt>
                <c:pt idx="7">
                  <c:v>192.50552792628457</c:v>
                </c:pt>
                <c:pt idx="8">
                  <c:v>220.00631763003949</c:v>
                </c:pt>
                <c:pt idx="9">
                  <c:v>247.50710733379441</c:v>
                </c:pt>
                <c:pt idx="10">
                  <c:v>275.00789703754936</c:v>
                </c:pt>
                <c:pt idx="11">
                  <c:v>302.5086867413043</c:v>
                </c:pt>
                <c:pt idx="12">
                  <c:v>330.00947644505925</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B-DE77-4B43-A489-D4421C0BE99A}"/>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C-DE77-4B43-A489-D4421C0BE99A}"/>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D-DE77-4B43-A489-D4421C0BE99A}"/>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E-DE77-4B43-A489-D4421C0BE99A}"/>
            </c:ext>
          </c:extLst>
        </c:ser>
        <c:dLbls>
          <c:showLegendKey val="0"/>
          <c:showVal val="0"/>
          <c:showCatName val="0"/>
          <c:showSerName val="0"/>
          <c:showPercent val="0"/>
          <c:showBubbleSize val="0"/>
        </c:dLbls>
        <c:marker val="1"/>
        <c:smooth val="0"/>
        <c:axId val="450325504"/>
        <c:axId val="450344064"/>
      </c:lineChart>
      <c:lineChart>
        <c:grouping val="standard"/>
        <c:varyColors val="0"/>
        <c:ser>
          <c:idx val="6"/>
          <c:order val="6"/>
          <c:tx>
            <c:v>D1</c:v>
          </c:tx>
          <c:spPr>
            <a:ln w="25400">
              <a:solidFill>
                <a:srgbClr val="0000FF"/>
              </a:solidFill>
              <a:prstDash val="lgDash"/>
            </a:ln>
          </c:spPr>
          <c:marker>
            <c:symbol val="none"/>
          </c:marker>
          <c:val>
            <c:numRef>
              <c:f>'Calculations - Dual'!$AU$5:$AU$105</c:f>
              <c:numCache>
                <c:formatCode>0.000</c:formatCode>
                <c:ptCount val="101"/>
                <c:pt idx="0">
                  <c:v>5.5952439105634412E-3</c:v>
                </c:pt>
                <c:pt idx="1">
                  <c:v>1.5418951187970441E-2</c:v>
                </c:pt>
                <c:pt idx="2">
                  <c:v>3.0837902375940883E-2</c:v>
                </c:pt>
                <c:pt idx="3">
                  <c:v>4.6256853563911314E-2</c:v>
                </c:pt>
                <c:pt idx="4">
                  <c:v>6.1675804751881766E-2</c:v>
                </c:pt>
                <c:pt idx="5">
                  <c:v>7.7094755939852183E-2</c:v>
                </c:pt>
                <c:pt idx="6">
                  <c:v>9.2513707127822628E-2</c:v>
                </c:pt>
                <c:pt idx="7">
                  <c:v>0.10793265831579306</c:v>
                </c:pt>
                <c:pt idx="8">
                  <c:v>0.12335160950376353</c:v>
                </c:pt>
                <c:pt idx="9">
                  <c:v>0.13877056069173394</c:v>
                </c:pt>
                <c:pt idx="10">
                  <c:v>0.15418951187970437</c:v>
                </c:pt>
                <c:pt idx="11">
                  <c:v>0.16960846306767483</c:v>
                </c:pt>
                <c:pt idx="12">
                  <c:v>0.18665122962252334</c:v>
                </c:pt>
                <c:pt idx="13">
                  <c:v>0.20604410504253551</c:v>
                </c:pt>
                <c:pt idx="14">
                  <c:v>0.21383877655934039</c:v>
                </c:pt>
                <c:pt idx="15">
                  <c:v>0.22136084769772479</c:v>
                </c:pt>
                <c:pt idx="16">
                  <c:v>0.22863716991196237</c:v>
                </c:pt>
                <c:pt idx="17">
                  <c:v>0.23569045619164497</c:v>
                </c:pt>
                <c:pt idx="18">
                  <c:v>0.24254012253376908</c:v>
                </c:pt>
                <c:pt idx="19">
                  <c:v>0.24920292143403344</c:v>
                </c:pt>
                <c:pt idx="20">
                  <c:v>0.25569342697474562</c:v>
                </c:pt>
                <c:pt idx="21">
                  <c:v>0.26202441191009945</c:v>
                </c:pt>
                <c:pt idx="22">
                  <c:v>0.26820714476091939</c:v>
                </c:pt>
                <c:pt idx="23">
                  <c:v>0.27425162672924341</c:v>
                </c:pt>
                <c:pt idx="24">
                  <c:v>0.28016678269342565</c:v>
                </c:pt>
                <c:pt idx="25">
                  <c:v>0.28596061671486073</c:v>
                </c:pt>
                <c:pt idx="26">
                  <c:v>0.29164033979762044</c:v>
                </c:pt>
                <c:pt idx="27">
                  <c:v>0.29721247572239495</c:v>
                </c:pt>
                <c:pt idx="28">
                  <c:v>0.30268294938553114</c:v>
                </c:pt>
                <c:pt idx="29">
                  <c:v>0.30805716105312553</c:v>
                </c:pt>
                <c:pt idx="30">
                  <c:v>0.31334004918141251</c:v>
                </c:pt>
                <c:pt idx="31">
                  <c:v>0.31853614388435048</c:v>
                </c:pt>
                <c:pt idx="32">
                  <c:v>0.32364961269600467</c:v>
                </c:pt>
                <c:pt idx="33">
                  <c:v>0.32868429994292403</c:v>
                </c:pt>
                <c:pt idx="34">
                  <c:v>0.3336437607843547</c:v>
                </c:pt>
                <c:pt idx="35">
                  <c:v>0.33853129077719868</c:v>
                </c:pt>
                <c:pt idx="36">
                  <c:v>0.34334995166448201</c:v>
                </c:pt>
                <c:pt idx="37">
                  <c:v>0.34810259396070203</c:v>
                </c:pt>
                <c:pt idx="38">
                  <c:v>0.35279187680729829</c:v>
                </c:pt>
                <c:pt idx="39">
                  <c:v>0.35742028549101368</c:v>
                </c:pt>
                <c:pt idx="40">
                  <c:v>0.36199014695282716</c:v>
                </c:pt>
                <c:pt idx="41">
                  <c:v>0.36650364356218412</c:v>
                </c:pt>
                <c:pt idx="42">
                  <c:v>0.37096282538793918</c:v>
                </c:pt>
                <c:pt idx="43">
                  <c:v>0.37536962116179967</c:v>
                </c:pt>
                <c:pt idx="44">
                  <c:v>0.37972584810062043</c:v>
                </c:pt>
                <c:pt idx="45">
                  <c:v>0.38403322072944918</c:v>
                </c:pt>
                <c:pt idx="46">
                  <c:v>0.3882933588268303</c:v>
                </c:pt>
                <c:pt idx="47">
                  <c:v>0.39250779459678947</c:v>
                </c:pt>
                <c:pt idx="48">
                  <c:v>0.39667797915755082</c:v>
                </c:pt>
                <c:pt idx="49">
                  <c:v>0.40080528842489815</c:v>
                </c:pt>
                <c:pt idx="50">
                  <c:v>0.40489102845781283</c:v>
                </c:pt>
                <c:pt idx="51">
                  <c:v>0.40893644032525672</c:v>
                </c:pt>
                <c:pt idx="52">
                  <c:v>0.41294270454551296</c:v>
                </c:pt>
                <c:pt idx="53">
                  <c:v>0.41691094514308857</c:v>
                </c:pt>
                <c:pt idx="54">
                  <c:v>0.42084223336269322</c:v>
                </c:pt>
                <c:pt idx="55">
                  <c:v>0.42473759107506959</c:v>
                </c:pt>
                <c:pt idx="56">
                  <c:v>0.4285979939053618</c:v>
                </c:pt>
                <c:pt idx="57">
                  <c:v>0.43242437411115525</c:v>
                </c:pt>
                <c:pt idx="58">
                  <c:v>0.43621762323424718</c:v>
                </c:pt>
                <c:pt idx="59">
                  <c:v>0.43997859454751348</c:v>
                </c:pt>
                <c:pt idx="60">
                  <c:v>0.44370810531590205</c:v>
                </c:pt>
                <c:pt idx="61">
                  <c:v>0.4474069388885194</c:v>
                </c:pt>
                <c:pt idx="62">
                  <c:v>0.45107584663698463</c:v>
                </c:pt>
                <c:pt idx="63">
                  <c:v>0.45471554975363565</c:v>
                </c:pt>
                <c:pt idx="64">
                  <c:v>0.45832674092177494</c:v>
                </c:pt>
                <c:pt idx="65">
                  <c:v>0.46191008586891552</c:v>
                </c:pt>
                <c:pt idx="66">
                  <c:v>0.46546622481288502</c:v>
                </c:pt>
                <c:pt idx="67">
                  <c:v>0.4689957738096911</c:v>
                </c:pt>
                <c:pt idx="68">
                  <c:v>0.47249932601117772</c:v>
                </c:pt>
                <c:pt idx="69">
                  <c:v>0.47597745283974868</c:v>
                </c:pt>
                <c:pt idx="70">
                  <c:v>0.47943070508674207</c:v>
                </c:pt>
                <c:pt idx="71">
                  <c:v>0.48285961394043675</c:v>
                </c:pt>
                <c:pt idx="72">
                  <c:v>0.48626469194912292</c:v>
                </c:pt>
                <c:pt idx="73">
                  <c:v>0.4896464339241805</c:v>
                </c:pt>
                <c:pt idx="74">
                  <c:v>0.4870487898954271</c:v>
                </c:pt>
                <c:pt idx="75">
                  <c:v>0.48424407886568749</c:v>
                </c:pt>
                <c:pt idx="76">
                  <c:v>0.48148696461148932</c:v>
                </c:pt>
                <c:pt idx="77">
                  <c:v>0.47877612904497296</c:v>
                </c:pt>
                <c:pt idx="78">
                  <c:v>0.47611030402059518</c:v>
                </c:pt>
                <c:pt idx="79">
                  <c:v>0.47349226158949426</c:v>
                </c:pt>
                <c:pt idx="80">
                  <c:v>0.47091915368263138</c:v>
                </c:pt>
                <c:pt idx="81">
                  <c:v>0.46838748354773369</c:v>
                </c:pt>
                <c:pt idx="82">
                  <c:v>0.46589616127297506</c:v>
                </c:pt>
                <c:pt idx="83">
                  <c:v>0.46344413625652159</c:v>
                </c:pt>
                <c:pt idx="84">
                  <c:v>0.46103039542435004</c:v>
                </c:pt>
                <c:pt idx="85">
                  <c:v>0.47723887426770861</c:v>
                </c:pt>
                <c:pt idx="86">
                  <c:v>0.47759856777404031</c:v>
                </c:pt>
                <c:pt idx="87">
                  <c:v>0.47795097609609644</c:v>
                </c:pt>
                <c:pt idx="88">
                  <c:v>0.47829633297126756</c:v>
                </c:pt>
                <c:pt idx="89">
                  <c:v>0.47863486224495683</c:v>
                </c:pt>
                <c:pt idx="90">
                  <c:v>0.4789667783883988</c:v>
                </c:pt>
                <c:pt idx="91">
                  <c:v>0.47929228698428833</c:v>
                </c:pt>
                <c:pt idx="92">
                  <c:v>0.47961158518252939</c:v>
                </c:pt>
                <c:pt idx="93">
                  <c:v>0.47992486212822616</c:v>
                </c:pt>
                <c:pt idx="94">
                  <c:v>0.48023229936387085</c:v>
                </c:pt>
                <c:pt idx="95">
                  <c:v>0.48053407120752345</c:v>
                </c:pt>
                <c:pt idx="96">
                  <c:v>0.48083034510863926</c:v>
                </c:pt>
                <c:pt idx="97">
                  <c:v>0.48112128198307136</c:v>
                </c:pt>
                <c:pt idx="98">
                  <c:v>0.48140703652865557</c:v>
                </c:pt>
                <c:pt idx="99">
                  <c:v>0.48168775752267734</c:v>
                </c:pt>
                <c:pt idx="100">
                  <c:v>0.48196358810242568</c:v>
                </c:pt>
              </c:numCache>
            </c:numRef>
          </c:val>
          <c:smooth val="0"/>
          <c:extLst>
            <c:ext xmlns:c16="http://schemas.microsoft.com/office/drawing/2014/chart" uri="{C3380CC4-5D6E-409C-BE32-E72D297353CC}">
              <c16:uniqueId val="{0000000F-DE77-4B43-A489-D4421C0BE99A}"/>
            </c:ext>
          </c:extLst>
        </c:ser>
        <c:ser>
          <c:idx val="7"/>
          <c:order val="7"/>
          <c:spPr>
            <a:ln w="25400">
              <a:solidFill>
                <a:srgbClr val="00B050"/>
              </a:solidFill>
              <a:prstDash val="dash"/>
            </a:ln>
          </c:spPr>
          <c:marker>
            <c:symbol val="none"/>
          </c:marker>
          <c:val>
            <c:numRef>
              <c:f>'Calculations - Dual'!$AU$110:$AU$210</c:f>
              <c:numCache>
                <c:formatCode>0.000</c:formatCode>
                <c:ptCount val="101"/>
                <c:pt idx="0">
                  <c:v>8.2488351462606177E-3</c:v>
                </c:pt>
                <c:pt idx="1">
                  <c:v>2.27447319506386E-2</c:v>
                </c:pt>
                <c:pt idx="2">
                  <c:v>6.8234195851915785E-2</c:v>
                </c:pt>
                <c:pt idx="3">
                  <c:v>6.8234195851915785E-2</c:v>
                </c:pt>
                <c:pt idx="4">
                  <c:v>9.0978927802554399E-2</c:v>
                </c:pt>
                <c:pt idx="5">
                  <c:v>0.11372365975319297</c:v>
                </c:pt>
                <c:pt idx="6">
                  <c:v>0.13646839170383157</c:v>
                </c:pt>
                <c:pt idx="7">
                  <c:v>0.15921312365447016</c:v>
                </c:pt>
                <c:pt idx="8">
                  <c:v>0.1819578556051088</c:v>
                </c:pt>
                <c:pt idx="9">
                  <c:v>0.20470258755574736</c:v>
                </c:pt>
                <c:pt idx="10">
                  <c:v>0.22744731950638594</c:v>
                </c:pt>
                <c:pt idx="11">
                  <c:v>0.25019205145702456</c:v>
                </c:pt>
                <c:pt idx="12">
                  <c:v>0.27533209842012546</c:v>
                </c:pt>
                <c:pt idx="13">
                  <c:v>0.30394186374166549</c:v>
                </c:pt>
                <c:pt idx="14">
                  <c:v>0.31545172700426155</c:v>
                </c:pt>
                <c:pt idx="15">
                  <c:v>0.32655986994021219</c:v>
                </c:pt>
                <c:pt idx="16">
                  <c:v>0.33730586289385056</c:v>
                </c:pt>
                <c:pt idx="17">
                  <c:v>0.34772317744043862</c:v>
                </c:pt>
                <c:pt idx="18">
                  <c:v>0.35784042644715391</c:v>
                </c:pt>
                <c:pt idx="19">
                  <c:v>0.36768229763669213</c:v>
                </c:pt>
                <c:pt idx="20">
                  <c:v>0.37727026845160805</c:v>
                </c:pt>
                <c:pt idx="21">
                  <c:v>0.38662316175725092</c:v>
                </c:pt>
                <c:pt idx="22">
                  <c:v>0.39575758366419783</c:v>
                </c:pt>
                <c:pt idx="23">
                  <c:v>0.40468827266436219</c:v>
                </c:pt>
                <c:pt idx="24">
                  <c:v>0.4134283810964659</c:v>
                </c:pt>
                <c:pt idx="25">
                  <c:v>0.42198970431299859</c:v>
                </c:pt>
                <c:pt idx="26">
                  <c:v>0.4303828689568503</c:v>
                </c:pt>
                <c:pt idx="27">
                  <c:v>0.43861748892649238</c:v>
                </c:pt>
                <c:pt idx="28">
                  <c:v>0.44670229555927765</c:v>
                </c:pt>
                <c:pt idx="29">
                  <c:v>0.45464524705804893</c:v>
                </c:pt>
                <c:pt idx="30">
                  <c:v>0.4624536210681347</c:v>
                </c:pt>
                <c:pt idx="31">
                  <c:v>0.47013409347131757</c:v>
                </c:pt>
                <c:pt idx="32">
                  <c:v>0.47769280582480805</c:v>
                </c:pt>
                <c:pt idx="33">
                  <c:v>0.48513542338340432</c:v>
                </c:pt>
                <c:pt idx="34">
                  <c:v>0.49246718526375693</c:v>
                </c:pt>
                <c:pt idx="35">
                  <c:v>0.49969294801354935</c:v>
                </c:pt>
                <c:pt idx="36">
                  <c:v>0.50681722361534653</c:v>
                </c:pt>
                <c:pt idx="37">
                  <c:v>0.51384421277007564</c:v>
                </c:pt>
                <c:pt idx="38">
                  <c:v>0.52077783415754964</c:v>
                </c:pt>
                <c:pt idx="39">
                  <c:v>0.52762175025284452</c:v>
                </c:pt>
                <c:pt idx="40">
                  <c:v>0.53437939018142655</c:v>
                </c:pt>
                <c:pt idx="41">
                  <c:v>0.54105397001789124</c:v>
                </c:pt>
                <c:pt idx="42">
                  <c:v>0.54764851086933874</c:v>
                </c:pt>
                <c:pt idx="43">
                  <c:v>0.55416585503192084</c:v>
                </c:pt>
                <c:pt idx="44">
                  <c:v>0.56060868046570256</c:v>
                </c:pt>
                <c:pt idx="45">
                  <c:v>0.56697951379695366</c:v>
                </c:pt>
                <c:pt idx="46">
                  <c:v>0.57328074202693413</c:v>
                </c:pt>
                <c:pt idx="47">
                  <c:v>0.57951462310105661</c:v>
                </c:pt>
                <c:pt idx="48">
                  <c:v>0.57876119096045098</c:v>
                </c:pt>
                <c:pt idx="49">
                  <c:v>0.57363733123935445</c:v>
                </c:pt>
                <c:pt idx="50">
                  <c:v>0.56331192534896346</c:v>
                </c:pt>
                <c:pt idx="51">
                  <c:v>0.56406742770617102</c:v>
                </c:pt>
                <c:pt idx="52">
                  <c:v>0.56481452774790941</c:v>
                </c:pt>
                <c:pt idx="53">
                  <c:v>0.56553723832969705</c:v>
                </c:pt>
                <c:pt idx="54">
                  <c:v>0.56623610409782899</c:v>
                </c:pt>
                <c:pt idx="55">
                  <c:v>0.56691234610184604</c:v>
                </c:pt>
                <c:pt idx="56">
                  <c:v>0.5675671034270322</c:v>
                </c:pt>
                <c:pt idx="57">
                  <c:v>0.56820143995832884</c:v>
                </c:pt>
                <c:pt idx="58">
                  <c:v>0.56881635048531498</c:v>
                </c:pt>
                <c:pt idx="59">
                  <c:v>0.56941276622194315</c:v>
                </c:pt>
                <c:pt idx="60">
                  <c:v>0.56999155980546001</c:v>
                </c:pt>
                <c:pt idx="61">
                  <c:v>0.57055354983095441</c:v>
                </c:pt>
                <c:pt idx="62">
                  <c:v>0.57109950497109274</c:v>
                </c:pt>
                <c:pt idx="63">
                  <c:v>0.5716301477246466</c:v>
                </c:pt>
                <c:pt idx="64">
                  <c:v>0.57214615783226053</c:v>
                </c:pt>
                <c:pt idx="65">
                  <c:v>0.57264817539341595</c:v>
                </c:pt>
                <c:pt idx="66">
                  <c:v>0.5731368037146527</c:v>
                </c:pt>
                <c:pt idx="67">
                  <c:v>0.57361261191569279</c:v>
                </c:pt>
                <c:pt idx="68">
                  <c:v>0.57407613731714435</c:v>
                </c:pt>
                <c:pt idx="69">
                  <c:v>0.57452788763084317</c:v>
                </c:pt>
                <c:pt idx="70">
                  <c:v>0.57496834297160992</c:v>
                </c:pt>
                <c:pt idx="71">
                  <c:v>0.57539795770717883</c:v>
                </c:pt>
                <c:pt idx="72">
                  <c:v>0.57581716216128853</c:v>
                </c:pt>
                <c:pt idx="73">
                  <c:v>0.57622636418335049</c:v>
                </c:pt>
                <c:pt idx="74">
                  <c:v>0.57662595059673583</c:v>
                </c:pt>
                <c:pt idx="75">
                  <c:v>0.57701628853649123</c:v>
                </c:pt>
                <c:pt idx="76">
                  <c:v>0.57739772668620715</c:v>
                </c:pt>
                <c:pt idx="77">
                  <c:v>0.57777059642280215</c:v>
                </c:pt>
                <c:pt idx="78">
                  <c:v>0.57813521287711633</c:v>
                </c:pt>
                <c:pt idx="79">
                  <c:v>0.57849187591745999</c:v>
                </c:pt>
                <c:pt idx="80">
                  <c:v>0.57884087106255744</c:v>
                </c:pt>
                <c:pt idx="81">
                  <c:v>0.57918247032974068</c:v>
                </c:pt>
                <c:pt idx="82">
                  <c:v>0.57951693302367779</c:v>
                </c:pt>
                <c:pt idx="83">
                  <c:v>0.57984450647045238</c:v>
                </c:pt>
                <c:pt idx="84">
                  <c:v>0.5801654267013554</c:v>
                </c:pt>
                <c:pt idx="85">
                  <c:v>0.58047991909036534</c:v>
                </c:pt>
                <c:pt idx="86">
                  <c:v>0.58078819894893419</c:v>
                </c:pt>
                <c:pt idx="87">
                  <c:v>0.58109047208138054</c:v>
                </c:pt>
                <c:pt idx="88">
                  <c:v>0.58138693530389873</c:v>
                </c:pt>
                <c:pt idx="89">
                  <c:v>0.58167777692993328</c:v>
                </c:pt>
                <c:pt idx="90">
                  <c:v>0.58196317722443791</c:v>
                </c:pt>
                <c:pt idx="91">
                  <c:v>0.58224330882931941</c:v>
                </c:pt>
                <c:pt idx="92">
                  <c:v>0.58251833716217638</c:v>
                </c:pt>
                <c:pt idx="93">
                  <c:v>0.58278842079027049</c:v>
                </c:pt>
                <c:pt idx="94">
                  <c:v>0.58305371178150267</c:v>
                </c:pt>
                <c:pt idx="95">
                  <c:v>0.58331435603403248</c:v>
                </c:pt>
                <c:pt idx="96">
                  <c:v>0.58357049358603585</c:v>
                </c:pt>
                <c:pt idx="97">
                  <c:v>0.58382225890698791</c:v>
                </c:pt>
                <c:pt idx="98">
                  <c:v>0.58406978117174302</c:v>
                </c:pt>
                <c:pt idx="99">
                  <c:v>0.58431318451858172</c:v>
                </c:pt>
                <c:pt idx="100">
                  <c:v>0.58455258829231649</c:v>
                </c:pt>
              </c:numCache>
            </c:numRef>
          </c:val>
          <c:smooth val="0"/>
          <c:extLst>
            <c:ext xmlns:c16="http://schemas.microsoft.com/office/drawing/2014/chart" uri="{C3380CC4-5D6E-409C-BE32-E72D297353CC}">
              <c16:uniqueId val="{00000010-DE77-4B43-A489-D4421C0BE99A}"/>
            </c:ext>
          </c:extLst>
        </c:ser>
        <c:ser>
          <c:idx val="8"/>
          <c:order val="8"/>
          <c:spPr>
            <a:ln w="25400">
              <a:solidFill>
                <a:srgbClr val="FF0000"/>
              </a:solidFill>
            </a:ln>
          </c:spPr>
          <c:marker>
            <c:symbol val="none"/>
          </c:marker>
          <c:val>
            <c:numRef>
              <c:f>'Calculations - Dual'!$AU$216:$AU$316</c:f>
              <c:numCache>
                <c:formatCode>0.000</c:formatCode>
                <c:ptCount val="101"/>
                <c:pt idx="0">
                  <c:v>3.9173873009174069E-3</c:v>
                </c:pt>
                <c:pt idx="1">
                  <c:v>1.0786462574852565E-2</c:v>
                </c:pt>
                <c:pt idx="2">
                  <c:v>2.157292514970513E-2</c:v>
                </c:pt>
                <c:pt idx="3">
                  <c:v>3.2359387724557695E-2</c:v>
                </c:pt>
                <c:pt idx="4">
                  <c:v>4.314585029941026E-2</c:v>
                </c:pt>
                <c:pt idx="5">
                  <c:v>5.3932312874262818E-2</c:v>
                </c:pt>
                <c:pt idx="6">
                  <c:v>6.471877544911539E-2</c:v>
                </c:pt>
                <c:pt idx="7">
                  <c:v>7.5505238023967969E-2</c:v>
                </c:pt>
                <c:pt idx="8">
                  <c:v>8.629170059882052E-2</c:v>
                </c:pt>
                <c:pt idx="9">
                  <c:v>9.7078163173673085E-2</c:v>
                </c:pt>
                <c:pt idx="10">
                  <c:v>0.10786462574852564</c:v>
                </c:pt>
                <c:pt idx="11">
                  <c:v>0.1186510883233782</c:v>
                </c:pt>
                <c:pt idx="12">
                  <c:v>0.13057350518395197</c:v>
                </c:pt>
                <c:pt idx="13">
                  <c:v>0.14413985828125195</c:v>
                </c:pt>
                <c:pt idx="14">
                  <c:v>0.14958911419565396</c:v>
                </c:pt>
                <c:pt idx="15">
                  <c:v>0.15484754847725002</c:v>
                </c:pt>
                <c:pt idx="16">
                  <c:v>0.15993395719012807</c:v>
                </c:pt>
                <c:pt idx="17">
                  <c:v>0.16486423946869866</c:v>
                </c:pt>
                <c:pt idx="18">
                  <c:v>0.16965198654881439</c:v>
                </c:pt>
                <c:pt idx="19">
                  <c:v>0.17430892521220612</c:v>
                </c:pt>
                <c:pt idx="20">
                  <c:v>0.17884525734844725</c:v>
                </c:pt>
                <c:pt idx="21">
                  <c:v>0.18326992391500108</c:v>
                </c:pt>
                <c:pt idx="22">
                  <c:v>0.18759081290383475</c:v>
                </c:pt>
                <c:pt idx="23">
                  <c:v>0.19181492518187393</c:v>
                </c:pt>
                <c:pt idx="24">
                  <c:v>0.19594850818778237</c:v>
                </c:pt>
                <c:pt idx="25">
                  <c:v>0.19999716478684662</c:v>
                </c:pt>
                <c:pt idx="26">
                  <c:v>0.20396594270287388</c:v>
                </c:pt>
                <c:pt idx="27">
                  <c:v>0.20785940860208213</c:v>
                </c:pt>
                <c:pt idx="28">
                  <c:v>0.21168170993054194</c:v>
                </c:pt>
                <c:pt idx="29">
                  <c:v>0.21543662689214063</c:v>
                </c:pt>
                <c:pt idx="30">
                  <c:v>0.21912761642294229</c:v>
                </c:pt>
                <c:pt idx="31">
                  <c:v>0.22275784961857531</c:v>
                </c:pt>
                <c:pt idx="32">
                  <c:v>0.22633024376796851</c:v>
                </c:pt>
                <c:pt idx="33">
                  <c:v>0.22984748991407672</c:v>
                </c:pt>
                <c:pt idx="34">
                  <c:v>0.23331207668208406</c:v>
                </c:pt>
                <c:pt idx="35">
                  <c:v>0.23672631097492403</c:v>
                </c:pt>
                <c:pt idx="36">
                  <c:v>0.2400923360252511</c:v>
                </c:pt>
                <c:pt idx="37">
                  <c:v>0.24341214720522339</c:v>
                </c:pt>
                <c:pt idx="38">
                  <c:v>0.24668760592536809</c:v>
                </c:pt>
                <c:pt idx="39">
                  <c:v>0.2499204518974672</c:v>
                </c:pt>
                <c:pt idx="40">
                  <c:v>0.253112313990839</c:v>
                </c:pt>
                <c:pt idx="41">
                  <c:v>0.25626471987432731</c:v>
                </c:pt>
                <c:pt idx="42">
                  <c:v>0.25937910460598529</c:v>
                </c:pt>
                <c:pt idx="43">
                  <c:v>0.26245681830750894</c:v>
                </c:pt>
                <c:pt idx="44">
                  <c:v>0.26549913303986439</c:v>
                </c:pt>
                <c:pt idx="45">
                  <c:v>0.26850724897943767</c:v>
                </c:pt>
                <c:pt idx="46">
                  <c:v>0.27148229997976608</c:v>
                </c:pt>
                <c:pt idx="47">
                  <c:v>0.27442535859194317</c:v>
                </c:pt>
                <c:pt idx="48">
                  <c:v>0.2773374406067356</c:v>
                </c:pt>
                <c:pt idx="49">
                  <c:v>0.28021950917295058</c:v>
                </c:pt>
                <c:pt idx="50">
                  <c:v>0.28307247853939405</c:v>
                </c:pt>
                <c:pt idx="51">
                  <c:v>0.28589721746163227</c:v>
                </c:pt>
                <c:pt idx="52">
                  <c:v>0.28869455230954028</c:v>
                </c:pt>
                <c:pt idx="53">
                  <c:v>0.29146526990714494</c:v>
                </c:pt>
                <c:pt idx="54">
                  <c:v>0.29421012013241932</c:v>
                </c:pt>
                <c:pt idx="55">
                  <c:v>0.29692981830137349</c:v>
                </c:pt>
                <c:pt idx="56">
                  <c:v>0.29962504735792034</c:v>
                </c:pt>
                <c:pt idx="57">
                  <c:v>0.30229645988851195</c:v>
                </c:pt>
                <c:pt idx="58">
                  <c:v>0.30494467997838626</c:v>
                </c:pt>
                <c:pt idx="59">
                  <c:v>0.30757030492438098</c:v>
                </c:pt>
                <c:pt idx="60">
                  <c:v>0.31017390681763535</c:v>
                </c:pt>
                <c:pt idx="61">
                  <c:v>0.31275603400805718</c:v>
                </c:pt>
                <c:pt idx="62">
                  <c:v>0.31531721246117667</c:v>
                </c:pt>
                <c:pt idx="63">
                  <c:v>0.31785794701689546</c:v>
                </c:pt>
                <c:pt idx="64">
                  <c:v>0.32037872255866512</c:v>
                </c:pt>
                <c:pt idx="65">
                  <c:v>0.3228800051007632</c:v>
                </c:pt>
                <c:pt idx="66">
                  <c:v>0.32536224280057163</c:v>
                </c:pt>
                <c:pt idx="67">
                  <c:v>0.32782586690208604</c:v>
                </c:pt>
                <c:pt idx="68">
                  <c:v>0.33027129261628002</c:v>
                </c:pt>
                <c:pt idx="69">
                  <c:v>0.33269891994341527</c:v>
                </c:pt>
                <c:pt idx="70">
                  <c:v>0.33510913444190787</c:v>
                </c:pt>
                <c:pt idx="71">
                  <c:v>0.33750230794793551</c:v>
                </c:pt>
                <c:pt idx="72">
                  <c:v>0.33987879924959136</c:v>
                </c:pt>
                <c:pt idx="73">
                  <c:v>0.34223895471904153</c:v>
                </c:pt>
                <c:pt idx="74">
                  <c:v>0.34458310890584226</c:v>
                </c:pt>
                <c:pt idx="75">
                  <c:v>0.34691158509429487</c:v>
                </c:pt>
                <c:pt idx="76">
                  <c:v>0.34922469582746457</c:v>
                </c:pt>
                <c:pt idx="77">
                  <c:v>0.35152274340027068</c:v>
                </c:pt>
                <c:pt idx="78">
                  <c:v>0.35380602032385045</c:v>
                </c:pt>
                <c:pt idx="79">
                  <c:v>0.35607480976321321</c:v>
                </c:pt>
                <c:pt idx="80">
                  <c:v>0.35832938595004277</c:v>
                </c:pt>
                <c:pt idx="81">
                  <c:v>0.36057001457234777</c:v>
                </c:pt>
                <c:pt idx="82">
                  <c:v>0.3627969531425303</c:v>
                </c:pt>
                <c:pt idx="83">
                  <c:v>0.36501045134531401</c:v>
                </c:pt>
                <c:pt idx="84">
                  <c:v>0.36721075136686376</c:v>
                </c:pt>
                <c:pt idx="85">
                  <c:v>0.36939808820632425</c:v>
                </c:pt>
                <c:pt idx="86">
                  <c:v>0.3715726899709127</c:v>
                </c:pt>
                <c:pt idx="87">
                  <c:v>0.37373477815561307</c:v>
                </c:pt>
                <c:pt idx="88">
                  <c:v>0.37588456790844399</c:v>
                </c:pt>
                <c:pt idx="89">
                  <c:v>0.37802226828219893</c:v>
                </c:pt>
                <c:pt idx="90">
                  <c:v>0.38014808247349219</c:v>
                </c:pt>
                <c:pt idx="91">
                  <c:v>0.38226220804988525</c:v>
                </c:pt>
                <c:pt idx="92">
                  <c:v>0.38436483716581099</c:v>
                </c:pt>
                <c:pt idx="93">
                  <c:v>0.38645615676796358</c:v>
                </c:pt>
                <c:pt idx="94">
                  <c:v>0.38853634879077747</c:v>
                </c:pt>
                <c:pt idx="95">
                  <c:v>0.39060559034257092</c:v>
                </c:pt>
                <c:pt idx="96">
                  <c:v>0.39266405388289533</c:v>
                </c:pt>
                <c:pt idx="97">
                  <c:v>0.39471190739159223</c:v>
                </c:pt>
                <c:pt idx="98">
                  <c:v>0.39674931453002721</c:v>
                </c:pt>
                <c:pt idx="99">
                  <c:v>0.39877643479493802</c:v>
                </c:pt>
                <c:pt idx="100">
                  <c:v>0.40079342366530674</c:v>
                </c:pt>
              </c:numCache>
            </c:numRef>
          </c:val>
          <c:smooth val="0"/>
          <c:extLst>
            <c:ext xmlns:c16="http://schemas.microsoft.com/office/drawing/2014/chart" uri="{C3380CC4-5D6E-409C-BE32-E72D297353CC}">
              <c16:uniqueId val="{00000011-DE77-4B43-A489-D4421C0BE99A}"/>
            </c:ext>
          </c:extLst>
        </c:ser>
        <c:dLbls>
          <c:showLegendKey val="0"/>
          <c:showVal val="0"/>
          <c:showCatName val="0"/>
          <c:showSerName val="0"/>
          <c:showPercent val="0"/>
          <c:showBubbleSize val="0"/>
        </c:dLbls>
        <c:marker val="1"/>
        <c:smooth val="0"/>
        <c:axId val="450348160"/>
        <c:axId val="450345984"/>
      </c:lineChart>
      <c:catAx>
        <c:axId val="450325504"/>
        <c:scaling>
          <c:orientation val="minMax"/>
        </c:scaling>
        <c:delete val="0"/>
        <c:axPos val="b"/>
        <c:majorGridlines>
          <c:spPr>
            <a:ln w="15875">
              <a:solidFill>
                <a:srgbClr val="969696"/>
              </a:solidFill>
              <a:prstDash val="sysDash"/>
            </a:ln>
          </c:spPr>
        </c:majorGridlines>
        <c:title>
          <c:tx>
            <c:rich>
              <a:bodyPr/>
              <a:lstStyle/>
              <a:p>
                <a:pPr>
                  <a:defRPr lang="ja-JP" sz="1100" b="1" i="0" u="none" strike="noStrike" baseline="0">
                    <a:solidFill>
                      <a:schemeClr val="tx1"/>
                    </a:solidFill>
                    <a:latin typeface="Arial" pitchFamily="34" charset="0"/>
                    <a:ea typeface="Calibri"/>
                    <a:cs typeface="Arial" pitchFamily="34" charset="0"/>
                  </a:defRPr>
                </a:pPr>
                <a:r>
                  <a:rPr lang="en-US" sz="1600" b="1" i="0" baseline="0">
                    <a:effectLst/>
                  </a:rPr>
                  <a:t>% Total Rated Output Power</a:t>
                </a:r>
                <a:endParaRPr lang="en-US" sz="1100">
                  <a:effectLst/>
                </a:endParaRPr>
              </a:p>
            </c:rich>
          </c:tx>
          <c:layout>
            <c:manualLayout>
              <c:xMode val="edge"/>
              <c:yMode val="edge"/>
              <c:x val="0.38070688614495507"/>
              <c:y val="0.93853774450069472"/>
            </c:manualLayout>
          </c:layout>
          <c:overlay val="0"/>
          <c:spPr>
            <a:noFill/>
            <a:ln w="25400">
              <a:noFill/>
            </a:ln>
          </c:spPr>
        </c:title>
        <c:numFmt formatCode="General" sourceLinked="1"/>
        <c:majorTickMark val="in"/>
        <c:minorTickMark val="in"/>
        <c:tickLblPos val="nextTo"/>
        <c:spPr>
          <a:ln w="3175">
            <a:solidFill>
              <a:schemeClr val="tx1"/>
            </a:solidFill>
            <a:prstDash val="solid"/>
          </a:ln>
        </c:spPr>
        <c:txPr>
          <a:bodyPr rot="0" vert="horz"/>
          <a:lstStyle/>
          <a:p>
            <a:pPr>
              <a:defRPr lang="ja-JP" sz="1400" b="1" i="0" u="none" strike="noStrike" baseline="0">
                <a:solidFill>
                  <a:schemeClr val="tx1"/>
                </a:solidFill>
                <a:latin typeface="Arial" pitchFamily="34" charset="0"/>
                <a:ea typeface="Calibri"/>
                <a:cs typeface="Arial" pitchFamily="34" charset="0"/>
              </a:defRPr>
            </a:pPr>
            <a:endParaRPr lang="en-US"/>
          </a:p>
        </c:txPr>
        <c:crossAx val="450344064"/>
        <c:crosses val="autoZero"/>
        <c:auto val="1"/>
        <c:lblAlgn val="ctr"/>
        <c:lblOffset val="100"/>
        <c:tickLblSkip val="20"/>
        <c:tickMarkSkip val="10"/>
        <c:noMultiLvlLbl val="0"/>
      </c:catAx>
      <c:valAx>
        <c:axId val="450344064"/>
        <c:scaling>
          <c:orientation val="minMax"/>
          <c:max val="400"/>
          <c:min val="0"/>
        </c:scaling>
        <c:delete val="0"/>
        <c:axPos val="l"/>
        <c:majorGridlines>
          <c:spPr>
            <a:ln w="15875">
              <a:solidFill>
                <a:srgbClr val="808080"/>
              </a:solidFill>
              <a:prstDash val="solid"/>
            </a:ln>
          </c:spPr>
        </c:majorGridlines>
        <c:title>
          <c:tx>
            <c:rich>
              <a:bodyPr/>
              <a:lstStyle/>
              <a:p>
                <a:pPr>
                  <a:defRPr lang="ja-JP" sz="1600" b="1" i="0" u="none" strike="noStrike" baseline="0">
                    <a:solidFill>
                      <a:schemeClr val="tx1"/>
                    </a:solidFill>
                    <a:latin typeface="Arial" pitchFamily="34" charset="0"/>
                    <a:ea typeface="Calibri"/>
                    <a:cs typeface="Arial" pitchFamily="34" charset="0"/>
                  </a:defRPr>
                </a:pPr>
                <a:r>
                  <a:rPr lang="en-US" sz="1600" b="1">
                    <a:solidFill>
                      <a:schemeClr val="tx1"/>
                    </a:solidFill>
                    <a:latin typeface="Arial" pitchFamily="34" charset="0"/>
                    <a:cs typeface="Arial" pitchFamily="34" charset="0"/>
                  </a:rPr>
                  <a:t>Switching</a:t>
                </a:r>
                <a:r>
                  <a:rPr lang="en-US" sz="1600" b="1" baseline="0">
                    <a:solidFill>
                      <a:schemeClr val="tx1"/>
                    </a:solidFill>
                    <a:latin typeface="Arial" pitchFamily="34" charset="0"/>
                    <a:cs typeface="Arial" pitchFamily="34" charset="0"/>
                  </a:rPr>
                  <a:t> Frquency (kHz)</a:t>
                </a:r>
                <a:endParaRPr lang="en-US" sz="1600" b="1">
                  <a:solidFill>
                    <a:schemeClr val="tx1"/>
                  </a:solidFill>
                  <a:latin typeface="Arial" pitchFamily="34" charset="0"/>
                  <a:cs typeface="Arial" pitchFamily="34" charset="0"/>
                </a:endParaRPr>
              </a:p>
            </c:rich>
          </c:tx>
          <c:layout>
            <c:manualLayout>
              <c:xMode val="edge"/>
              <c:yMode val="edge"/>
              <c:x val="8.5568128125503556E-3"/>
              <c:y val="0.22463146285493288"/>
            </c:manualLayout>
          </c:layout>
          <c:overlay val="0"/>
          <c:spPr>
            <a:noFill/>
            <a:ln w="25400">
              <a:noFill/>
            </a:ln>
          </c:spPr>
        </c:title>
        <c:numFmt formatCode="#,##0" sourceLinked="0"/>
        <c:majorTickMark val="in"/>
        <c:minorTickMark val="in"/>
        <c:tickLblPos val="nextTo"/>
        <c:spPr>
          <a:ln w="3175">
            <a:solidFill>
              <a:srgbClr val="000000"/>
            </a:solidFill>
            <a:prstDash val="solid"/>
          </a:ln>
        </c:spPr>
        <c:txPr>
          <a:bodyPr rot="0" vert="horz"/>
          <a:lstStyle/>
          <a:p>
            <a:pPr>
              <a:defRPr lang="ja-JP" sz="1600" b="1" i="0" u="none" strike="noStrike" baseline="0">
                <a:solidFill>
                  <a:schemeClr val="tx1"/>
                </a:solidFill>
                <a:latin typeface="Arial" pitchFamily="34" charset="0"/>
                <a:ea typeface="Calibri"/>
                <a:cs typeface="Arial" pitchFamily="34" charset="0"/>
              </a:defRPr>
            </a:pPr>
            <a:endParaRPr lang="en-US"/>
          </a:p>
        </c:txPr>
        <c:crossAx val="450325504"/>
        <c:crossesAt val="0"/>
        <c:crossBetween val="between"/>
        <c:majorUnit val="50"/>
        <c:minorUnit val="25"/>
      </c:valAx>
      <c:valAx>
        <c:axId val="450345984"/>
        <c:scaling>
          <c:orientation val="minMax"/>
          <c:max val="0.60000000000000009"/>
        </c:scaling>
        <c:delete val="0"/>
        <c:axPos val="r"/>
        <c:title>
          <c:tx>
            <c:rich>
              <a:bodyPr rot="-5400000" vert="horz"/>
              <a:lstStyle/>
              <a:p>
                <a:pPr>
                  <a:defRPr lang="ja-JP" sz="1600" b="1"/>
                </a:pPr>
                <a:r>
                  <a:rPr lang="en-US" sz="1600" b="1"/>
                  <a:t>Duty Cycle</a:t>
                </a:r>
              </a:p>
            </c:rich>
          </c:tx>
          <c:layout>
            <c:manualLayout>
              <c:xMode val="edge"/>
              <c:yMode val="edge"/>
              <c:x val="0.96331030941631779"/>
              <c:y val="0.35675917128406437"/>
            </c:manualLayout>
          </c:layout>
          <c:overlay val="0"/>
        </c:title>
        <c:numFmt formatCode="General" sourceLinked="0"/>
        <c:majorTickMark val="out"/>
        <c:minorTickMark val="none"/>
        <c:tickLblPos val="nextTo"/>
        <c:txPr>
          <a:bodyPr/>
          <a:lstStyle/>
          <a:p>
            <a:pPr>
              <a:defRPr lang="ja-JP" sz="1400" b="1"/>
            </a:pPr>
            <a:endParaRPr lang="en-US"/>
          </a:p>
        </c:txPr>
        <c:crossAx val="450348160"/>
        <c:crosses val="max"/>
        <c:crossBetween val="between"/>
        <c:majorUnit val="0.1"/>
        <c:minorUnit val="5.000000000000001E-2"/>
      </c:valAx>
      <c:catAx>
        <c:axId val="450348160"/>
        <c:scaling>
          <c:orientation val="minMax"/>
        </c:scaling>
        <c:delete val="1"/>
        <c:axPos val="b"/>
        <c:majorTickMark val="out"/>
        <c:minorTickMark val="none"/>
        <c:tickLblPos val="nextTo"/>
        <c:crossAx val="450345984"/>
        <c:crosses val="autoZero"/>
        <c:auto val="1"/>
        <c:lblAlgn val="ctr"/>
        <c:lblOffset val="100"/>
        <c:noMultiLvlLbl val="0"/>
      </c:catAx>
      <c:spPr>
        <a:noFill/>
        <a:ln w="25400">
          <a:noFill/>
        </a:ln>
      </c:spPr>
    </c:plotArea>
    <c:legend>
      <c:legendPos val="t"/>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ayout>
        <c:manualLayout>
          <c:xMode val="edge"/>
          <c:yMode val="edge"/>
          <c:x val="0.31430722044239789"/>
          <c:y val="1.5175029628150039E-2"/>
          <c:w val="0.42410841724909248"/>
          <c:h val="5.433576684781775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Dual'!$AI$110:$AI$210</c:f>
              <c:numCache>
                <c:formatCode>0.000</c:formatCode>
                <c:ptCount val="101"/>
                <c:pt idx="0">
                  <c:v>3.3333333333333335</c:v>
                </c:pt>
                <c:pt idx="1">
                  <c:v>3.3333333333333335</c:v>
                </c:pt>
                <c:pt idx="2">
                  <c:v>3.3333333333333335</c:v>
                </c:pt>
                <c:pt idx="3">
                  <c:v>3.3333333333333335</c:v>
                </c:pt>
                <c:pt idx="4">
                  <c:v>3.3333333333333335</c:v>
                </c:pt>
                <c:pt idx="5">
                  <c:v>3.3333333333333335</c:v>
                </c:pt>
                <c:pt idx="6">
                  <c:v>3.3333333333333335</c:v>
                </c:pt>
                <c:pt idx="7">
                  <c:v>3.3333333333333335</c:v>
                </c:pt>
                <c:pt idx="8">
                  <c:v>3.3333333333333335</c:v>
                </c:pt>
                <c:pt idx="9">
                  <c:v>3.3333333333333335</c:v>
                </c:pt>
                <c:pt idx="10">
                  <c:v>3.3333333333333335</c:v>
                </c:pt>
                <c:pt idx="11">
                  <c:v>3.3333333333333335</c:v>
                </c:pt>
                <c:pt idx="12">
                  <c:v>3.3625869329221763</c:v>
                </c:pt>
                <c:pt idx="13">
                  <c:v>3.4998914442565998</c:v>
                </c:pt>
                <c:pt idx="14">
                  <c:v>3.6320089980205346</c:v>
                </c:pt>
                <c:pt idx="15">
                  <c:v>3.7594864811332553</c:v>
                </c:pt>
                <c:pt idx="16">
                  <c:v>3.8827809417922725</c:v>
                </c:pt>
                <c:pt idx="17">
                  <c:v>4.00227898603619</c:v>
                </c:pt>
                <c:pt idx="18">
                  <c:v>4.1183111007048083</c:v>
                </c:pt>
                <c:pt idx="19">
                  <c:v>4.2311624362945501</c:v>
                </c:pt>
                <c:pt idx="20">
                  <c:v>4.3410810637940882</c:v>
                </c:pt>
                <c:pt idx="21">
                  <c:v>4.4482843931737541</c:v>
                </c:pt>
                <c:pt idx="22">
                  <c:v>4.552964230331134</c:v>
                </c:pt>
                <c:pt idx="23">
                  <c:v>4.6552908096913077</c:v>
                </c:pt>
                <c:pt idx="24">
                  <c:v>4.7554160451970899</c:v>
                </c:pt>
                <c:pt idx="25">
                  <c:v>4.8534761772403412</c:v>
                </c:pt>
                <c:pt idx="26">
                  <c:v>4.949593947301242</c:v>
                </c:pt>
                <c:pt idx="27">
                  <c:v>5.0438803993832648</c:v>
                </c:pt>
                <c:pt idx="28">
                  <c:v>5.1364363836617555</c:v>
                </c:pt>
                <c:pt idx="29">
                  <c:v>5.2273538203880783</c:v>
                </c:pt>
                <c:pt idx="30">
                  <c:v>5.3167167691769528</c:v>
                </c:pt>
                <c:pt idx="31">
                  <c:v>5.4046023390966518</c:v>
                </c:pt>
                <c:pt idx="32">
                  <c:v>5.4910814676064108</c:v>
                </c:pt>
                <c:pt idx="33">
                  <c:v>5.5762195907274092</c:v>
                </c:pt>
                <c:pt idx="34">
                  <c:v>5.6600772224532188</c:v>
                </c:pt>
                <c:pt idx="35">
                  <c:v>5.7427104579854378</c:v>
                </c:pt>
                <c:pt idx="36">
                  <c:v>5.8241714126884085</c:v>
                </c:pt>
                <c:pt idx="37">
                  <c:v>5.9045086065225174</c:v>
                </c:pt>
                <c:pt idx="38">
                  <c:v>5.9837673020113389</c:v>
                </c:pt>
                <c:pt idx="39">
                  <c:v>6.0619898024280481</c:v>
                </c:pt>
                <c:pt idx="40">
                  <c:v>6.1392157157786222</c:v>
                </c:pt>
                <c:pt idx="41">
                  <c:v>6.2154821892581111</c:v>
                </c:pt>
                <c:pt idx="42">
                  <c:v>6.2908241181188966</c:v>
                </c:pt>
                <c:pt idx="43">
                  <c:v>6.3652743322835628</c:v>
                </c:pt>
                <c:pt idx="44">
                  <c:v>6.4388637635338695</c:v>
                </c:pt>
                <c:pt idx="45">
                  <c:v>6.5116215956911319</c:v>
                </c:pt>
                <c:pt idx="46">
                  <c:v>6.5835753998562749</c:v>
                </c:pt>
                <c:pt idx="47">
                  <c:v>6.6547512564869225</c:v>
                </c:pt>
                <c:pt idx="48">
                  <c:v>6.7251738658443525</c:v>
                </c:pt>
                <c:pt idx="49">
                  <c:v>6.7948666481364777</c:v>
                </c:pt>
                <c:pt idx="50">
                  <c:v>6.7994656838897267</c:v>
                </c:pt>
                <c:pt idx="51">
                  <c:v>6.935661290007813</c:v>
                </c:pt>
                <c:pt idx="52">
                  <c:v>7.072064750140683</c:v>
                </c:pt>
                <c:pt idx="53">
                  <c:v>7.2084927021392167</c:v>
                </c:pt>
                <c:pt idx="54">
                  <c:v>7.3449368874288181</c:v>
                </c:pt>
                <c:pt idx="55">
                  <c:v>7.4813973133404277</c:v>
                </c:pt>
                <c:pt idx="56">
                  <c:v>7.6178739872082843</c:v>
                </c:pt>
                <c:pt idx="57">
                  <c:v>7.754366916369908</c:v>
                </c:pt>
                <c:pt idx="58">
                  <c:v>7.8908761081661281</c:v>
                </c:pt>
                <c:pt idx="59">
                  <c:v>8.0274015699410572</c:v>
                </c:pt>
                <c:pt idx="60">
                  <c:v>8.1639433090421267</c:v>
                </c:pt>
                <c:pt idx="61">
                  <c:v>8.300501332820053</c:v>
                </c:pt>
                <c:pt idx="62">
                  <c:v>8.4370756486288645</c:v>
                </c:pt>
                <c:pt idx="63">
                  <c:v>8.5736662638259045</c:v>
                </c:pt>
                <c:pt idx="64">
                  <c:v>8.7102731857718023</c:v>
                </c:pt>
                <c:pt idx="65">
                  <c:v>8.8468964218305199</c:v>
                </c:pt>
                <c:pt idx="66">
                  <c:v>8.9835359793693215</c:v>
                </c:pt>
                <c:pt idx="67">
                  <c:v>9.1201918657587822</c:v>
                </c:pt>
                <c:pt idx="68">
                  <c:v>9.2568640883728044</c:v>
                </c:pt>
                <c:pt idx="69">
                  <c:v>9.3935526545885946</c:v>
                </c:pt>
                <c:pt idx="70">
                  <c:v>9.5302575717866951</c:v>
                </c:pt>
                <c:pt idx="71">
                  <c:v>9.6669788473509577</c:v>
                </c:pt>
                <c:pt idx="72">
                  <c:v>9.803716488668563</c:v>
                </c:pt>
                <c:pt idx="73">
                  <c:v>9.9404705031300242</c:v>
                </c:pt>
                <c:pt idx="74">
                  <c:v>10.077240898129171</c:v>
                </c:pt>
                <c:pt idx="75">
                  <c:v>10.214027681063168</c:v>
                </c:pt>
                <c:pt idx="76">
                  <c:v>10.350830859332522</c:v>
                </c:pt>
                <c:pt idx="77">
                  <c:v>10.487650440341058</c:v>
                </c:pt>
                <c:pt idx="78">
                  <c:v>10.624486431495953</c:v>
                </c:pt>
                <c:pt idx="79">
                  <c:v>10.76133884020771</c:v>
                </c:pt>
                <c:pt idx="80">
                  <c:v>10.898207673890171</c:v>
                </c:pt>
                <c:pt idx="81">
                  <c:v>11.035092939960542</c:v>
                </c:pt>
                <c:pt idx="82">
                  <c:v>11.171994645839341</c:v>
                </c:pt>
                <c:pt idx="83">
                  <c:v>11.308912798950461</c:v>
                </c:pt>
                <c:pt idx="84">
                  <c:v>11.445847406721136</c:v>
                </c:pt>
                <c:pt idx="85">
                  <c:v>11.582798476581933</c:v>
                </c:pt>
                <c:pt idx="86">
                  <c:v>11.719766015966794</c:v>
                </c:pt>
                <c:pt idx="87">
                  <c:v>11.856750032313009</c:v>
                </c:pt>
                <c:pt idx="88">
                  <c:v>11.99375053306122</c:v>
                </c:pt>
                <c:pt idx="89">
                  <c:v>12.130767525655433</c:v>
                </c:pt>
                <c:pt idx="90">
                  <c:v>12.267801017543004</c:v>
                </c:pt>
                <c:pt idx="91">
                  <c:v>12.404851016174671</c:v>
                </c:pt>
                <c:pt idx="92">
                  <c:v>12.541917529004518</c:v>
                </c:pt>
                <c:pt idx="93">
                  <c:v>12.679000563490012</c:v>
                </c:pt>
                <c:pt idx="94">
                  <c:v>12.816100127091968</c:v>
                </c:pt>
                <c:pt idx="95">
                  <c:v>12.9532162272746</c:v>
                </c:pt>
                <c:pt idx="96">
                  <c:v>13.090348871505469</c:v>
                </c:pt>
                <c:pt idx="97">
                  <c:v>13.227498067255528</c:v>
                </c:pt>
                <c:pt idx="98">
                  <c:v>13.364663821999097</c:v>
                </c:pt>
                <c:pt idx="99">
                  <c:v>13.501846143213877</c:v>
                </c:pt>
                <c:pt idx="100">
                  <c:v>13.639045038380956</c:v>
                </c:pt>
              </c:numCache>
            </c:numRef>
          </c:val>
          <c:smooth val="0"/>
          <c:extLst>
            <c:ext xmlns:c16="http://schemas.microsoft.com/office/drawing/2014/chart" uri="{C3380CC4-5D6E-409C-BE32-E72D297353CC}">
              <c16:uniqueId val="{00000000-FDDF-4115-9ADD-DED190BC6BDF}"/>
            </c:ext>
          </c:extLst>
        </c:ser>
        <c:ser>
          <c:idx val="0"/>
          <c:order val="1"/>
          <c:tx>
            <c:v>VIN-nom</c:v>
          </c:tx>
          <c:spPr>
            <a:ln w="28575">
              <a:solidFill>
                <a:srgbClr val="0000FF"/>
              </a:solidFill>
              <a:prstDash val="lgDash"/>
            </a:ln>
          </c:spPr>
          <c:marker>
            <c:symbol val="none"/>
          </c:marker>
          <c:cat>
            <c:numRef>
              <c:f>'Calculations - Dual'!$AL$5:$AL$105</c:f>
              <c:numCache>
                <c:formatCode>0</c:formatCode>
                <c:ptCount val="101"/>
                <c:pt idx="0">
                  <c:v>1.0000000000000002E-6</c:v>
                </c:pt>
                <c:pt idx="1">
                  <c:v>25</c:v>
                </c:pt>
                <c:pt idx="2">
                  <c:v>50</c:v>
                </c:pt>
                <c:pt idx="3">
                  <c:v>75</c:v>
                </c:pt>
                <c:pt idx="4">
                  <c:v>100</c:v>
                </c:pt>
                <c:pt idx="5">
                  <c:v>125</c:v>
                </c:pt>
                <c:pt idx="6">
                  <c:v>150</c:v>
                </c:pt>
                <c:pt idx="7">
                  <c:v>175.00000000000003</c:v>
                </c:pt>
                <c:pt idx="8">
                  <c:v>200</c:v>
                </c:pt>
                <c:pt idx="9">
                  <c:v>224.99999999999997</c:v>
                </c:pt>
                <c:pt idx="10">
                  <c:v>250</c:v>
                </c:pt>
                <c:pt idx="11">
                  <c:v>275</c:v>
                </c:pt>
                <c:pt idx="12">
                  <c:v>300</c:v>
                </c:pt>
                <c:pt idx="13">
                  <c:v>325</c:v>
                </c:pt>
                <c:pt idx="14">
                  <c:v>350.00000000000006</c:v>
                </c:pt>
                <c:pt idx="15">
                  <c:v>375</c:v>
                </c:pt>
                <c:pt idx="16">
                  <c:v>400</c:v>
                </c:pt>
                <c:pt idx="17">
                  <c:v>425.00000000000006</c:v>
                </c:pt>
                <c:pt idx="18">
                  <c:v>449.99999999999994</c:v>
                </c:pt>
                <c:pt idx="19">
                  <c:v>475</c:v>
                </c:pt>
                <c:pt idx="20">
                  <c:v>500</c:v>
                </c:pt>
                <c:pt idx="21">
                  <c:v>525</c:v>
                </c:pt>
                <c:pt idx="22">
                  <c:v>550</c:v>
                </c:pt>
                <c:pt idx="23">
                  <c:v>575.00000000000011</c:v>
                </c:pt>
                <c:pt idx="24">
                  <c:v>600</c:v>
                </c:pt>
                <c:pt idx="25">
                  <c:v>625</c:v>
                </c:pt>
                <c:pt idx="26">
                  <c:v>650</c:v>
                </c:pt>
                <c:pt idx="27">
                  <c:v>675</c:v>
                </c:pt>
                <c:pt idx="28">
                  <c:v>700.00000000000011</c:v>
                </c:pt>
                <c:pt idx="29">
                  <c:v>725</c:v>
                </c:pt>
                <c:pt idx="30">
                  <c:v>750</c:v>
                </c:pt>
                <c:pt idx="31">
                  <c:v>775</c:v>
                </c:pt>
                <c:pt idx="32">
                  <c:v>800</c:v>
                </c:pt>
                <c:pt idx="33">
                  <c:v>825.00000000000011</c:v>
                </c:pt>
                <c:pt idx="34">
                  <c:v>850.00000000000011</c:v>
                </c:pt>
                <c:pt idx="35">
                  <c:v>875</c:v>
                </c:pt>
                <c:pt idx="36">
                  <c:v>899.99999999999989</c:v>
                </c:pt>
                <c:pt idx="37">
                  <c:v>925</c:v>
                </c:pt>
                <c:pt idx="38">
                  <c:v>950</c:v>
                </c:pt>
                <c:pt idx="39">
                  <c:v>975.00000000000011</c:v>
                </c:pt>
                <c:pt idx="40">
                  <c:v>1000</c:v>
                </c:pt>
                <c:pt idx="41">
                  <c:v>1025</c:v>
                </c:pt>
                <c:pt idx="42">
                  <c:v>1050</c:v>
                </c:pt>
                <c:pt idx="43">
                  <c:v>1075</c:v>
                </c:pt>
                <c:pt idx="44">
                  <c:v>1100</c:v>
                </c:pt>
                <c:pt idx="45">
                  <c:v>1125</c:v>
                </c:pt>
                <c:pt idx="46">
                  <c:v>1150.0000000000002</c:v>
                </c:pt>
                <c:pt idx="47">
                  <c:v>1174.9999999999998</c:v>
                </c:pt>
                <c:pt idx="48">
                  <c:v>1200</c:v>
                </c:pt>
                <c:pt idx="49">
                  <c:v>1225</c:v>
                </c:pt>
                <c:pt idx="50">
                  <c:v>1250</c:v>
                </c:pt>
                <c:pt idx="51">
                  <c:v>1275</c:v>
                </c:pt>
                <c:pt idx="52">
                  <c:v>1300</c:v>
                </c:pt>
                <c:pt idx="53">
                  <c:v>1325.0000000000002</c:v>
                </c:pt>
                <c:pt idx="54">
                  <c:v>1350</c:v>
                </c:pt>
                <c:pt idx="55">
                  <c:v>1375</c:v>
                </c:pt>
                <c:pt idx="56">
                  <c:v>1400.0000000000002</c:v>
                </c:pt>
                <c:pt idx="57">
                  <c:v>1424.9999999999998</c:v>
                </c:pt>
                <c:pt idx="58">
                  <c:v>1450</c:v>
                </c:pt>
                <c:pt idx="59">
                  <c:v>1474.9999999999998</c:v>
                </c:pt>
                <c:pt idx="60">
                  <c:v>1500</c:v>
                </c:pt>
                <c:pt idx="61">
                  <c:v>1525</c:v>
                </c:pt>
                <c:pt idx="62">
                  <c:v>1550</c:v>
                </c:pt>
                <c:pt idx="63">
                  <c:v>1575</c:v>
                </c:pt>
                <c:pt idx="64">
                  <c:v>1600</c:v>
                </c:pt>
                <c:pt idx="65">
                  <c:v>1625</c:v>
                </c:pt>
                <c:pt idx="66">
                  <c:v>1650.0000000000002</c:v>
                </c:pt>
                <c:pt idx="67">
                  <c:v>1675</c:v>
                </c:pt>
                <c:pt idx="68">
                  <c:v>1700.0000000000002</c:v>
                </c:pt>
                <c:pt idx="69">
                  <c:v>1724.9999999999998</c:v>
                </c:pt>
                <c:pt idx="70">
                  <c:v>1750</c:v>
                </c:pt>
                <c:pt idx="71">
                  <c:v>1775</c:v>
                </c:pt>
                <c:pt idx="72">
                  <c:v>1799.9999999999998</c:v>
                </c:pt>
                <c:pt idx="73">
                  <c:v>1825</c:v>
                </c:pt>
                <c:pt idx="74">
                  <c:v>1850</c:v>
                </c:pt>
                <c:pt idx="75">
                  <c:v>1875</c:v>
                </c:pt>
                <c:pt idx="76">
                  <c:v>1900</c:v>
                </c:pt>
                <c:pt idx="77">
                  <c:v>1925</c:v>
                </c:pt>
                <c:pt idx="78">
                  <c:v>1950.0000000000002</c:v>
                </c:pt>
                <c:pt idx="79">
                  <c:v>1975</c:v>
                </c:pt>
                <c:pt idx="80">
                  <c:v>2000</c:v>
                </c:pt>
                <c:pt idx="81">
                  <c:v>2025.0000000000005</c:v>
                </c:pt>
                <c:pt idx="82">
                  <c:v>2050</c:v>
                </c:pt>
                <c:pt idx="83">
                  <c:v>2074.9999999999995</c:v>
                </c:pt>
                <c:pt idx="84">
                  <c:v>2100</c:v>
                </c:pt>
                <c:pt idx="85">
                  <c:v>2125</c:v>
                </c:pt>
                <c:pt idx="86">
                  <c:v>2150</c:v>
                </c:pt>
                <c:pt idx="87">
                  <c:v>2175</c:v>
                </c:pt>
                <c:pt idx="88">
                  <c:v>2200</c:v>
                </c:pt>
                <c:pt idx="89">
                  <c:v>2225</c:v>
                </c:pt>
                <c:pt idx="90">
                  <c:v>2250</c:v>
                </c:pt>
                <c:pt idx="91">
                  <c:v>2275</c:v>
                </c:pt>
                <c:pt idx="92">
                  <c:v>2300.0000000000005</c:v>
                </c:pt>
                <c:pt idx="93">
                  <c:v>2325</c:v>
                </c:pt>
                <c:pt idx="94">
                  <c:v>2349.9999999999995</c:v>
                </c:pt>
                <c:pt idx="95">
                  <c:v>2375</c:v>
                </c:pt>
                <c:pt idx="96">
                  <c:v>2400</c:v>
                </c:pt>
                <c:pt idx="97">
                  <c:v>2425</c:v>
                </c:pt>
                <c:pt idx="98">
                  <c:v>2450</c:v>
                </c:pt>
                <c:pt idx="99">
                  <c:v>2475</c:v>
                </c:pt>
                <c:pt idx="100">
                  <c:v>2500</c:v>
                </c:pt>
              </c:numCache>
            </c:numRef>
          </c:cat>
          <c:val>
            <c:numRef>
              <c:f>'Calculations - Dual'!$AI$5:$AI$105</c:f>
              <c:numCache>
                <c:formatCode>0.000</c:formatCode>
                <c:ptCount val="101"/>
                <c:pt idx="0">
                  <c:v>3.3333333333333335</c:v>
                </c:pt>
                <c:pt idx="1">
                  <c:v>3.3333333333333335</c:v>
                </c:pt>
                <c:pt idx="2">
                  <c:v>3.3333333333333335</c:v>
                </c:pt>
                <c:pt idx="3">
                  <c:v>3.3333333333333335</c:v>
                </c:pt>
                <c:pt idx="4">
                  <c:v>3.3333333333333335</c:v>
                </c:pt>
                <c:pt idx="5">
                  <c:v>3.3333333333333335</c:v>
                </c:pt>
                <c:pt idx="6">
                  <c:v>3.3333333333333335</c:v>
                </c:pt>
                <c:pt idx="7">
                  <c:v>3.3333333333333335</c:v>
                </c:pt>
                <c:pt idx="8">
                  <c:v>3.3333333333333335</c:v>
                </c:pt>
                <c:pt idx="9">
                  <c:v>3.3333333333333335</c:v>
                </c:pt>
                <c:pt idx="10">
                  <c:v>3.3333333333333335</c:v>
                </c:pt>
                <c:pt idx="11">
                  <c:v>3.3333333333333335</c:v>
                </c:pt>
                <c:pt idx="12">
                  <c:v>3.3625869329221763</c:v>
                </c:pt>
                <c:pt idx="13">
                  <c:v>3.4998914442565998</c:v>
                </c:pt>
                <c:pt idx="14">
                  <c:v>3.6320089980205346</c:v>
                </c:pt>
                <c:pt idx="15">
                  <c:v>3.7594864811332553</c:v>
                </c:pt>
                <c:pt idx="16">
                  <c:v>3.8827809417922725</c:v>
                </c:pt>
                <c:pt idx="17">
                  <c:v>4.00227898603619</c:v>
                </c:pt>
                <c:pt idx="18">
                  <c:v>4.1183111007048083</c:v>
                </c:pt>
                <c:pt idx="19">
                  <c:v>4.2311624362945501</c:v>
                </c:pt>
                <c:pt idx="20">
                  <c:v>4.3410810637940882</c:v>
                </c:pt>
                <c:pt idx="21">
                  <c:v>4.4482843931737541</c:v>
                </c:pt>
                <c:pt idx="22">
                  <c:v>4.552964230331134</c:v>
                </c:pt>
                <c:pt idx="23">
                  <c:v>4.6552908096913077</c:v>
                </c:pt>
                <c:pt idx="24">
                  <c:v>4.7554160451970899</c:v>
                </c:pt>
                <c:pt idx="25">
                  <c:v>4.8534761772403412</c:v>
                </c:pt>
                <c:pt idx="26">
                  <c:v>4.949593947301242</c:v>
                </c:pt>
                <c:pt idx="27">
                  <c:v>5.0438803993832648</c:v>
                </c:pt>
                <c:pt idx="28">
                  <c:v>5.1364363836617555</c:v>
                </c:pt>
                <c:pt idx="29">
                  <c:v>5.2273538203880783</c:v>
                </c:pt>
                <c:pt idx="30">
                  <c:v>5.3167167691769528</c:v>
                </c:pt>
                <c:pt idx="31">
                  <c:v>5.4046023390966518</c:v>
                </c:pt>
                <c:pt idx="32">
                  <c:v>5.4910814676064108</c:v>
                </c:pt>
                <c:pt idx="33">
                  <c:v>5.5762195907274092</c:v>
                </c:pt>
                <c:pt idx="34">
                  <c:v>5.6600772224532188</c:v>
                </c:pt>
                <c:pt idx="35">
                  <c:v>5.7427104579854378</c:v>
                </c:pt>
                <c:pt idx="36">
                  <c:v>5.8241714126884085</c:v>
                </c:pt>
                <c:pt idx="37">
                  <c:v>5.9045086065225174</c:v>
                </c:pt>
                <c:pt idx="38">
                  <c:v>5.9837673020113389</c:v>
                </c:pt>
                <c:pt idx="39">
                  <c:v>6.0619898024280481</c:v>
                </c:pt>
                <c:pt idx="40">
                  <c:v>6.1392157157786222</c:v>
                </c:pt>
                <c:pt idx="41">
                  <c:v>6.2154821892581111</c:v>
                </c:pt>
                <c:pt idx="42">
                  <c:v>6.2908241181188966</c:v>
                </c:pt>
                <c:pt idx="43">
                  <c:v>6.3652743322835628</c:v>
                </c:pt>
                <c:pt idx="44">
                  <c:v>6.4388637635338695</c:v>
                </c:pt>
                <c:pt idx="45">
                  <c:v>6.5116215956911319</c:v>
                </c:pt>
                <c:pt idx="46">
                  <c:v>6.5835753998562749</c:v>
                </c:pt>
                <c:pt idx="47">
                  <c:v>6.6547512564869225</c:v>
                </c:pt>
                <c:pt idx="48">
                  <c:v>6.7251738658443525</c:v>
                </c:pt>
                <c:pt idx="49">
                  <c:v>6.7948666481364777</c:v>
                </c:pt>
                <c:pt idx="50">
                  <c:v>6.8638518345080142</c:v>
                </c:pt>
                <c:pt idx="51">
                  <c:v>6.9321505498799292</c:v>
                </c:pt>
                <c:pt idx="52">
                  <c:v>6.9997828885131996</c:v>
                </c:pt>
                <c:pt idx="53">
                  <c:v>7.0667679830629631</c:v>
                </c:pt>
                <c:pt idx="54">
                  <c:v>7.1331240677956362</c:v>
                </c:pt>
                <c:pt idx="55">
                  <c:v>7.1988685365609317</c:v>
                </c:pt>
                <c:pt idx="56">
                  <c:v>7.2640179960410691</c:v>
                </c:pt>
                <c:pt idx="57">
                  <c:v>7.328588314739072</c:v>
                </c:pt>
                <c:pt idx="58">
                  <c:v>7.392594668115632</c:v>
                </c:pt>
                <c:pt idx="59">
                  <c:v>7.4560515802382454</c:v>
                </c:pt>
                <c:pt idx="60">
                  <c:v>7.5189729622665107</c:v>
                </c:pt>
                <c:pt idx="61">
                  <c:v>7.5813721480624077</c:v>
                </c:pt>
                <c:pt idx="62">
                  <c:v>7.643261927183838</c:v>
                </c:pt>
                <c:pt idx="63">
                  <c:v>7.7046545754926337</c:v>
                </c:pt>
                <c:pt idx="64">
                  <c:v>7.765561883584545</c:v>
                </c:pt>
                <c:pt idx="65">
                  <c:v>7.8259951832276728</c:v>
                </c:pt>
                <c:pt idx="66">
                  <c:v>7.8859653719772522</c:v>
                </c:pt>
                <c:pt idx="67">
                  <c:v>7.9454829361182258</c:v>
                </c:pt>
                <c:pt idx="68">
                  <c:v>8.0045579720723801</c:v>
                </c:pt>
                <c:pt idx="69">
                  <c:v>8.0632002063938017</c:v>
                </c:pt>
                <c:pt idx="70">
                  <c:v>8.1214190144648146</c:v>
                </c:pt>
                <c:pt idx="71">
                  <c:v>8.1792234379941107</c:v>
                </c:pt>
                <c:pt idx="72">
                  <c:v>8.2366222014096167</c:v>
                </c:pt>
                <c:pt idx="73">
                  <c:v>8.2936237272301785</c:v>
                </c:pt>
                <c:pt idx="74">
                  <c:v>8.3502361504928082</c:v>
                </c:pt>
                <c:pt idx="75">
                  <c:v>8.4064673323054393</c:v>
                </c:pt>
                <c:pt idx="76">
                  <c:v>8.4623248725891003</c:v>
                </c:pt>
                <c:pt idx="77">
                  <c:v>8.5178161220680089</c:v>
                </c:pt>
                <c:pt idx="78">
                  <c:v>8.5729481935611442</c:v>
                </c:pt>
                <c:pt idx="79">
                  <c:v>8.6277279726243616</c:v>
                </c:pt>
                <c:pt idx="80">
                  <c:v>8.6821621275881764</c:v>
                </c:pt>
                <c:pt idx="81">
                  <c:v>8.736257119032615</c:v>
                </c:pt>
                <c:pt idx="82">
                  <c:v>8.7900192087372364</c:v>
                </c:pt>
                <c:pt idx="83">
                  <c:v>8.8434544681414611</c:v>
                </c:pt>
                <c:pt idx="84">
                  <c:v>8.8965687863475083</c:v>
                </c:pt>
                <c:pt idx="85">
                  <c:v>9.3120012241432164</c:v>
                </c:pt>
                <c:pt idx="86">
                  <c:v>9.4217472388135715</c:v>
                </c:pt>
                <c:pt idx="87">
                  <c:v>9.5314977903426144</c:v>
                </c:pt>
                <c:pt idx="88">
                  <c:v>9.6412528803625381</c:v>
                </c:pt>
                <c:pt idx="89">
                  <c:v>9.7510125105058645</c:v>
                </c:pt>
                <c:pt idx="90">
                  <c:v>9.860776682405481</c:v>
                </c:pt>
                <c:pt idx="91">
                  <c:v>9.9705453976946163</c:v>
                </c:pt>
                <c:pt idx="92">
                  <c:v>10.080318658006854</c:v>
                </c:pt>
                <c:pt idx="93">
                  <c:v>10.190096464976115</c:v>
                </c:pt>
                <c:pt idx="94">
                  <c:v>10.299878820236678</c:v>
                </c:pt>
                <c:pt idx="95">
                  <c:v>10.409665725423178</c:v>
                </c:pt>
                <c:pt idx="96">
                  <c:v>10.519457182170582</c:v>
                </c:pt>
                <c:pt idx="97">
                  <c:v>10.629253192114218</c:v>
                </c:pt>
                <c:pt idx="98">
                  <c:v>10.739053756889763</c:v>
                </c:pt>
                <c:pt idx="99">
                  <c:v>10.848858878133235</c:v>
                </c:pt>
                <c:pt idx="100">
                  <c:v>10.958668557481021</c:v>
                </c:pt>
              </c:numCache>
            </c:numRef>
          </c:val>
          <c:smooth val="0"/>
          <c:extLst>
            <c:ext xmlns:c16="http://schemas.microsoft.com/office/drawing/2014/chart" uri="{C3380CC4-5D6E-409C-BE32-E72D297353CC}">
              <c16:uniqueId val="{00000001-FDDF-4115-9ADD-DED190BC6BDF}"/>
            </c:ext>
          </c:extLst>
        </c:ser>
        <c:ser>
          <c:idx val="2"/>
          <c:order val="2"/>
          <c:tx>
            <c:v>VIN-max</c:v>
          </c:tx>
          <c:spPr>
            <a:ln>
              <a:solidFill>
                <a:srgbClr val="FF0000"/>
              </a:solidFill>
              <a:prstDash val="solid"/>
            </a:ln>
          </c:spPr>
          <c:marker>
            <c:symbol val="none"/>
          </c:marker>
          <c:val>
            <c:numRef>
              <c:f>'Calculations - Dual'!$AI$216:$AI$316</c:f>
              <c:numCache>
                <c:formatCode>0.000</c:formatCode>
                <c:ptCount val="101"/>
                <c:pt idx="0">
                  <c:v>3.3333333333333335</c:v>
                </c:pt>
                <c:pt idx="1">
                  <c:v>3.3333333333333335</c:v>
                </c:pt>
                <c:pt idx="2">
                  <c:v>3.3333333333333335</c:v>
                </c:pt>
                <c:pt idx="3">
                  <c:v>3.3333333333333335</c:v>
                </c:pt>
                <c:pt idx="4">
                  <c:v>3.3333333333333335</c:v>
                </c:pt>
                <c:pt idx="5">
                  <c:v>3.3333333333333335</c:v>
                </c:pt>
                <c:pt idx="6">
                  <c:v>3.3333333333333335</c:v>
                </c:pt>
                <c:pt idx="7">
                  <c:v>3.3333333333333335</c:v>
                </c:pt>
                <c:pt idx="8">
                  <c:v>3.3333333333333335</c:v>
                </c:pt>
                <c:pt idx="9">
                  <c:v>3.3333333333333335</c:v>
                </c:pt>
                <c:pt idx="10">
                  <c:v>3.3333333333333335</c:v>
                </c:pt>
                <c:pt idx="11">
                  <c:v>3.3333333333333335</c:v>
                </c:pt>
                <c:pt idx="12">
                  <c:v>3.3625869329221763</c:v>
                </c:pt>
                <c:pt idx="13">
                  <c:v>3.4998914442565998</c:v>
                </c:pt>
                <c:pt idx="14">
                  <c:v>3.6320089980205346</c:v>
                </c:pt>
                <c:pt idx="15">
                  <c:v>3.7594864811332553</c:v>
                </c:pt>
                <c:pt idx="16">
                  <c:v>3.8827809417922725</c:v>
                </c:pt>
                <c:pt idx="17">
                  <c:v>4.00227898603619</c:v>
                </c:pt>
                <c:pt idx="18">
                  <c:v>4.1183111007048083</c:v>
                </c:pt>
                <c:pt idx="19">
                  <c:v>4.2311624362945501</c:v>
                </c:pt>
                <c:pt idx="20">
                  <c:v>4.3410810637940882</c:v>
                </c:pt>
                <c:pt idx="21">
                  <c:v>4.4482843931737541</c:v>
                </c:pt>
                <c:pt idx="22">
                  <c:v>4.552964230331134</c:v>
                </c:pt>
                <c:pt idx="23">
                  <c:v>4.6552908096913077</c:v>
                </c:pt>
                <c:pt idx="24">
                  <c:v>4.7554160451970899</c:v>
                </c:pt>
                <c:pt idx="25">
                  <c:v>4.8534761772403412</c:v>
                </c:pt>
                <c:pt idx="26">
                  <c:v>4.949593947301242</c:v>
                </c:pt>
                <c:pt idx="27">
                  <c:v>5.0438803993832648</c:v>
                </c:pt>
                <c:pt idx="28">
                  <c:v>5.1364363836617555</c:v>
                </c:pt>
                <c:pt idx="29">
                  <c:v>5.2273538203880783</c:v>
                </c:pt>
                <c:pt idx="30">
                  <c:v>5.3167167691769528</c:v>
                </c:pt>
                <c:pt idx="31">
                  <c:v>5.4046023390966518</c:v>
                </c:pt>
                <c:pt idx="32">
                  <c:v>5.4910814676064108</c:v>
                </c:pt>
                <c:pt idx="33">
                  <c:v>5.5762195907274092</c:v>
                </c:pt>
                <c:pt idx="34">
                  <c:v>5.6600772224532188</c:v>
                </c:pt>
                <c:pt idx="35">
                  <c:v>5.7427104579854378</c:v>
                </c:pt>
                <c:pt idx="36">
                  <c:v>5.8241714126884085</c:v>
                </c:pt>
                <c:pt idx="37">
                  <c:v>5.9045086065225174</c:v>
                </c:pt>
                <c:pt idx="38">
                  <c:v>5.9837673020113389</c:v>
                </c:pt>
                <c:pt idx="39">
                  <c:v>6.0619898024280481</c:v>
                </c:pt>
                <c:pt idx="40">
                  <c:v>6.1392157157786222</c:v>
                </c:pt>
                <c:pt idx="41">
                  <c:v>6.2154821892581111</c:v>
                </c:pt>
                <c:pt idx="42">
                  <c:v>6.2908241181188966</c:v>
                </c:pt>
                <c:pt idx="43">
                  <c:v>6.3652743322835628</c:v>
                </c:pt>
                <c:pt idx="44">
                  <c:v>6.4388637635338695</c:v>
                </c:pt>
                <c:pt idx="45">
                  <c:v>6.5116215956911319</c:v>
                </c:pt>
                <c:pt idx="46">
                  <c:v>6.5835753998562749</c:v>
                </c:pt>
                <c:pt idx="47">
                  <c:v>6.6547512564869225</c:v>
                </c:pt>
                <c:pt idx="48">
                  <c:v>6.7251738658443525</c:v>
                </c:pt>
                <c:pt idx="49">
                  <c:v>6.7948666481364777</c:v>
                </c:pt>
                <c:pt idx="50">
                  <c:v>6.8638518345080142</c:v>
                </c:pt>
                <c:pt idx="51">
                  <c:v>6.9321505498799292</c:v>
                </c:pt>
                <c:pt idx="52">
                  <c:v>6.9997828885131996</c:v>
                </c:pt>
                <c:pt idx="53">
                  <c:v>7.0667679830629631</c:v>
                </c:pt>
                <c:pt idx="54">
                  <c:v>7.1331240677956362</c:v>
                </c:pt>
                <c:pt idx="55">
                  <c:v>7.1988685365609317</c:v>
                </c:pt>
                <c:pt idx="56">
                  <c:v>7.2640179960410691</c:v>
                </c:pt>
                <c:pt idx="57">
                  <c:v>7.328588314739072</c:v>
                </c:pt>
                <c:pt idx="58">
                  <c:v>7.392594668115632</c:v>
                </c:pt>
                <c:pt idx="59">
                  <c:v>7.4560515802382454</c:v>
                </c:pt>
                <c:pt idx="60">
                  <c:v>7.5189729622665107</c:v>
                </c:pt>
                <c:pt idx="61">
                  <c:v>7.5813721480624077</c:v>
                </c:pt>
                <c:pt idx="62">
                  <c:v>7.643261927183838</c:v>
                </c:pt>
                <c:pt idx="63">
                  <c:v>7.7046545754926337</c:v>
                </c:pt>
                <c:pt idx="64">
                  <c:v>7.765561883584545</c:v>
                </c:pt>
                <c:pt idx="65">
                  <c:v>7.8259951832276728</c:v>
                </c:pt>
                <c:pt idx="66">
                  <c:v>7.8859653719772522</c:v>
                </c:pt>
                <c:pt idx="67">
                  <c:v>7.9454829361182258</c:v>
                </c:pt>
                <c:pt idx="68">
                  <c:v>8.0045579720723801</c:v>
                </c:pt>
                <c:pt idx="69">
                  <c:v>8.0632002063938017</c:v>
                </c:pt>
                <c:pt idx="70">
                  <c:v>8.1214190144648146</c:v>
                </c:pt>
                <c:pt idx="71">
                  <c:v>8.1792234379941107</c:v>
                </c:pt>
                <c:pt idx="72">
                  <c:v>8.2366222014096167</c:v>
                </c:pt>
                <c:pt idx="73">
                  <c:v>8.2936237272301785</c:v>
                </c:pt>
                <c:pt idx="74">
                  <c:v>8.3502361504928082</c:v>
                </c:pt>
                <c:pt idx="75">
                  <c:v>8.4064673323054393</c:v>
                </c:pt>
                <c:pt idx="76">
                  <c:v>8.4623248725891003</c:v>
                </c:pt>
                <c:pt idx="77">
                  <c:v>8.5178161220680089</c:v>
                </c:pt>
                <c:pt idx="78">
                  <c:v>8.5729481935611442</c:v>
                </c:pt>
                <c:pt idx="79">
                  <c:v>8.6277279726243616</c:v>
                </c:pt>
                <c:pt idx="80">
                  <c:v>8.6821621275881764</c:v>
                </c:pt>
                <c:pt idx="81">
                  <c:v>8.736257119032615</c:v>
                </c:pt>
                <c:pt idx="82">
                  <c:v>8.7900192087372364</c:v>
                </c:pt>
                <c:pt idx="83">
                  <c:v>8.8434544681414611</c:v>
                </c:pt>
                <c:pt idx="84">
                  <c:v>8.8965687863475083</c:v>
                </c:pt>
                <c:pt idx="85">
                  <c:v>8.9493678776958507</c:v>
                </c:pt>
                <c:pt idx="86">
                  <c:v>9.0018572889407622</c:v>
                </c:pt>
                <c:pt idx="87">
                  <c:v>9.0540424060514262</c:v>
                </c:pt>
                <c:pt idx="88">
                  <c:v>9.1059284606622679</c:v>
                </c:pt>
                <c:pt idx="89">
                  <c:v>9.157520536194319</c:v>
                </c:pt>
                <c:pt idx="90">
                  <c:v>9.2088235736679334</c:v>
                </c:pt>
                <c:pt idx="91">
                  <c:v>9.2598423772256417</c:v>
                </c:pt>
                <c:pt idx="92">
                  <c:v>9.3105816193826154</c:v>
                </c:pt>
                <c:pt idx="93">
                  <c:v>9.3610458460209998</c:v>
                </c:pt>
                <c:pt idx="94">
                  <c:v>9.4112394811432001</c:v>
                </c:pt>
                <c:pt idx="95">
                  <c:v>9.461166831398236</c:v>
                </c:pt>
                <c:pt idx="96">
                  <c:v>9.5108320903941799</c:v>
                </c:pt>
                <c:pt idx="97">
                  <c:v>9.5602393428090124</c:v>
                </c:pt>
                <c:pt idx="98">
                  <c:v>9.60939256831122</c:v>
                </c:pt>
                <c:pt idx="99">
                  <c:v>9.6582956453008038</c:v>
                </c:pt>
                <c:pt idx="100">
                  <c:v>9.7069523544806824</c:v>
                </c:pt>
              </c:numCache>
            </c:numRef>
          </c:val>
          <c:smooth val="0"/>
          <c:extLst>
            <c:ext xmlns:c16="http://schemas.microsoft.com/office/drawing/2014/chart" uri="{C3380CC4-5D6E-409C-BE32-E72D297353CC}">
              <c16:uniqueId val="{00000002-FDDF-4115-9ADD-DED190BC6BDF}"/>
            </c:ext>
          </c:extLst>
        </c:ser>
        <c:dLbls>
          <c:showLegendKey val="0"/>
          <c:showVal val="0"/>
          <c:showCatName val="0"/>
          <c:showSerName val="0"/>
          <c:showPercent val="0"/>
          <c:showBubbleSize val="0"/>
        </c:dLbls>
        <c:smooth val="0"/>
        <c:axId val="450384640"/>
        <c:axId val="450386560"/>
      </c:lineChart>
      <c:catAx>
        <c:axId val="450384640"/>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0386560"/>
        <c:crosses val="autoZero"/>
        <c:auto val="1"/>
        <c:lblAlgn val="ctr"/>
        <c:lblOffset val="100"/>
        <c:tickLblSkip val="20"/>
        <c:tickMarkSkip val="10"/>
        <c:noMultiLvlLbl val="0"/>
      </c:catAx>
      <c:valAx>
        <c:axId val="450386560"/>
        <c:scaling>
          <c:orientation val="minMax"/>
          <c:max val="1.4"/>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Peak</a:t>
                </a:r>
                <a:r>
                  <a:rPr lang="en-US" sz="1200" b="1" baseline="0">
                    <a:solidFill>
                      <a:schemeClr val="tx1"/>
                    </a:solidFill>
                    <a:latin typeface="Arial" pitchFamily="34" charset="0"/>
                    <a:cs typeface="Arial" pitchFamily="34" charset="0"/>
                  </a:rPr>
                  <a:t> Primary Current (A)</a:t>
                </a:r>
                <a:endParaRPr lang="en-US" sz="1200" b="1">
                  <a:solidFill>
                    <a:schemeClr val="tx1"/>
                  </a:solidFill>
                  <a:latin typeface="Arial" pitchFamily="34" charset="0"/>
                  <a:cs typeface="Arial" pitchFamily="34" charset="0"/>
                </a:endParaRPr>
              </a:p>
            </c:rich>
          </c:tx>
          <c:layout>
            <c:manualLayout>
              <c:xMode val="edge"/>
              <c:yMode val="edge"/>
              <c:x val="1.8892754684734177E-2"/>
              <c:y val="0.30303578260037478"/>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0384640"/>
        <c:crossesAt val="0"/>
        <c:crossBetween val="between"/>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Dual'!$AJ$110:$AJ$210</c:f>
              <c:numCache>
                <c:formatCode>0.000</c:formatCode>
                <c:ptCount val="101"/>
                <c:pt idx="0">
                  <c:v>1.0057142857142858</c:v>
                </c:pt>
                <c:pt idx="1">
                  <c:v>1.0157148267207139</c:v>
                </c:pt>
                <c:pt idx="2">
                  <c:v>1.0471444801621419</c:v>
                </c:pt>
                <c:pt idx="3">
                  <c:v>1.0471444801621419</c:v>
                </c:pt>
                <c:pt idx="4">
                  <c:v>1.0628593068828558</c:v>
                </c:pt>
                <c:pt idx="5">
                  <c:v>1.0785741336035697</c:v>
                </c:pt>
                <c:pt idx="6">
                  <c:v>1.0942889603242838</c:v>
                </c:pt>
                <c:pt idx="7">
                  <c:v>1.1100037870449977</c:v>
                </c:pt>
                <c:pt idx="8">
                  <c:v>1.1257186137657116</c:v>
                </c:pt>
                <c:pt idx="9">
                  <c:v>1.1414334404864255</c:v>
                </c:pt>
                <c:pt idx="10">
                  <c:v>1.1571482672071396</c:v>
                </c:pt>
                <c:pt idx="11">
                  <c:v>1.1728630939278535</c:v>
                </c:pt>
                <c:pt idx="12">
                  <c:v>1.1885779206485674</c:v>
                </c:pt>
                <c:pt idx="13">
                  <c:v>1.3233763784616788</c:v>
                </c:pt>
                <c:pt idx="14">
                  <c:v>1.4212412331016304</c:v>
                </c:pt>
                <c:pt idx="15">
                  <c:v>1.5156689983703124</c:v>
                </c:pt>
                <c:pt idx="16">
                  <c:v>1.606998228488103</c:v>
                </c:pt>
                <c:pt idx="17">
                  <c:v>1.6955152982984123</c:v>
                </c:pt>
                <c:pt idx="18">
                  <c:v>1.7814650128677592</c:v>
                </c:pt>
                <c:pt idx="19">
                  <c:v>1.8650585947860865</c:v>
                </c:pt>
                <c:pt idx="20">
                  <c:v>1.9464798003412997</c:v>
                </c:pt>
                <c:pt idx="21">
                  <c:v>2.0258896739558669</c:v>
                </c:pt>
                <c:pt idx="22">
                  <c:v>2.103430294072445</c:v>
                </c:pt>
                <c:pt idx="23">
                  <c:v>2.179227760265166</c:v>
                </c:pt>
                <c:pt idx="24">
                  <c:v>2.2533946013805601</c:v>
                </c:pt>
                <c:pt idx="25">
                  <c:v>2.3260317362274132</c:v>
                </c:pt>
                <c:pt idx="26">
                  <c:v>2.3972300844206731</c:v>
                </c:pt>
                <c:pt idx="27">
                  <c:v>2.4670719007777269</c:v>
                </c:pt>
                <c:pt idx="28">
                  <c:v>2.5356318891321648</c:v>
                </c:pt>
                <c:pt idx="29">
                  <c:v>2.6029781385590702</c:v>
                </c:pt>
                <c:pt idx="30">
                  <c:v>2.6691729154397184</c:v>
                </c:pt>
                <c:pt idx="31">
                  <c:v>2.7342733376024579</c:v>
                </c:pt>
                <c:pt idx="32">
                  <c:v>2.7983319513133909</c:v>
                </c:pt>
                <c:pt idx="33">
                  <c:v>2.8613972276993156</c:v>
                </c:pt>
                <c:pt idx="34">
                  <c:v>2.9235139919406556</c:v>
                </c:pt>
                <c:pt idx="35">
                  <c:v>2.9847237960385957</c:v>
                </c:pt>
                <c:pt idx="36">
                  <c:v>3.0450652439667221</c:v>
                </c:pt>
                <c:pt idx="37">
                  <c:v>3.1045742764364324</c:v>
                </c:pt>
                <c:pt idx="38">
                  <c:v>3.1632844212429667</c:v>
                </c:pt>
                <c:pt idx="39">
                  <c:v>3.2212270141442332</c:v>
                </c:pt>
                <c:pt idx="40">
                  <c:v>3.278431394403917</c:v>
                </c:pt>
                <c:pt idx="41">
                  <c:v>3.3349250784627982</c:v>
                </c:pt>
                <c:pt idx="42">
                  <c:v>3.3907339146559723</c:v>
                </c:pt>
                <c:pt idx="43">
                  <c:v>3.4458822214446139</c:v>
                </c:pt>
                <c:pt idx="44">
                  <c:v>3.5003929112596559</c:v>
                </c:pt>
                <c:pt idx="45">
                  <c:v>3.554287601746517</c:v>
                </c:pt>
                <c:pt idx="46">
                  <c:v>3.6075867159429196</c:v>
                </c:pt>
                <c:pt idx="47">
                  <c:v>3.6603095727063621</c:v>
                </c:pt>
                <c:pt idx="48">
                  <c:v>3.7124744685266808</c:v>
                </c:pt>
                <c:pt idx="49">
                  <c:v>3.7640987517060323</c:v>
                </c:pt>
                <c:pt idx="50">
                  <c:v>3.7675054448565879</c:v>
                </c:pt>
                <c:pt idx="51">
                  <c:v>3.8683910790181333</c:v>
                </c:pt>
                <c:pt idx="52">
                  <c:v>3.969430679116555</c:v>
                </c:pt>
                <c:pt idx="53">
                  <c:v>4.0704884213376911</c:v>
                </c:pt>
                <c:pt idx="54">
                  <c:v>4.1715581882188779</c:v>
                </c:pt>
                <c:pt idx="55">
                  <c:v>4.2726399851904402</c:v>
                </c:pt>
                <c:pt idx="56">
                  <c:v>4.3737338176851486</c:v>
                </c:pt>
                <c:pt idx="57">
                  <c:v>4.4748396911382038</c:v>
                </c:pt>
                <c:pt idx="58">
                  <c:v>4.5759576109872553</c:v>
                </c:pt>
                <c:pt idx="59">
                  <c:v>4.6770875826723879</c:v>
                </c:pt>
                <c:pt idx="60">
                  <c:v>4.7782296116361422</c:v>
                </c:pt>
                <c:pt idx="61">
                  <c:v>4.8793837033234952</c:v>
                </c:pt>
                <c:pt idx="62">
                  <c:v>4.9805498631818743</c:v>
                </c:pt>
                <c:pt idx="63">
                  <c:v>5.0817280966611635</c:v>
                </c:pt>
                <c:pt idx="64">
                  <c:v>5.1829184092136797</c:v>
                </c:pt>
                <c:pt idx="65">
                  <c:v>5.2841208062942115</c:v>
                </c:pt>
                <c:pt idx="66">
                  <c:v>5.3853352933599909</c:v>
                </c:pt>
                <c:pt idx="67">
                  <c:v>5.4865618758707022</c:v>
                </c:pt>
                <c:pt idx="68">
                  <c:v>5.5878005592884961</c:v>
                </c:pt>
                <c:pt idx="69">
                  <c:v>5.6890513490779711</c:v>
                </c:pt>
                <c:pt idx="70">
                  <c:v>5.7903142507061931</c:v>
                </c:pt>
                <c:pt idx="71">
                  <c:v>5.8915892696426839</c:v>
                </c:pt>
                <c:pt idx="72">
                  <c:v>5.9928764113594291</c:v>
                </c:pt>
                <c:pt idx="73">
                  <c:v>6.0941756813308823</c:v>
                </c:pt>
                <c:pt idx="74">
                  <c:v>6.1954870850339541</c:v>
                </c:pt>
                <c:pt idx="75">
                  <c:v>6.2968106279480258</c:v>
                </c:pt>
                <c:pt idx="76">
                  <c:v>6.3981463155549543</c:v>
                </c:pt>
                <c:pt idx="77">
                  <c:v>6.4994941533390547</c:v>
                </c:pt>
                <c:pt idx="78">
                  <c:v>6.6008541467871256</c:v>
                </c:pt>
                <c:pt idx="79">
                  <c:v>6.7022263013884267</c:v>
                </c:pt>
                <c:pt idx="80">
                  <c:v>6.803610622634694</c:v>
                </c:pt>
                <c:pt idx="81">
                  <c:v>6.9050071160201547</c:v>
                </c:pt>
                <c:pt idx="82">
                  <c:v>7.0064157870414867</c:v>
                </c:pt>
                <c:pt idx="83">
                  <c:v>7.1078366411978715</c:v>
                </c:pt>
                <c:pt idx="84">
                  <c:v>7.2092696839909642</c:v>
                </c:pt>
                <c:pt idx="85">
                  <c:v>7.3107149209248883</c:v>
                </c:pt>
                <c:pt idx="86">
                  <c:v>7.4121723575062664</c:v>
                </c:pt>
                <c:pt idx="87">
                  <c:v>7.5136419992442045</c:v>
                </c:pt>
                <c:pt idx="88">
                  <c:v>7.6151238516502859</c:v>
                </c:pt>
                <c:pt idx="89">
                  <c:v>7.7166179202385914</c:v>
                </c:pt>
                <c:pt idx="90">
                  <c:v>7.8181242105256823</c:v>
                </c:pt>
                <c:pt idx="91">
                  <c:v>7.9196427280306203</c:v>
                </c:pt>
                <c:pt idx="92">
                  <c:v>8.0211734782749495</c:v>
                </c:pt>
                <c:pt idx="93">
                  <c:v>8.1227164667827232</c:v>
                </c:pt>
                <c:pt idx="94">
                  <c:v>8.2242716990804698</c:v>
                </c:pt>
                <c:pt idx="95">
                  <c:v>8.3258391806972334</c:v>
                </c:pt>
                <c:pt idx="96">
                  <c:v>8.4274189171645446</c:v>
                </c:pt>
                <c:pt idx="97">
                  <c:v>8.529010914016439</c:v>
                </c:pt>
                <c:pt idx="98">
                  <c:v>8.630615176789453</c:v>
                </c:pt>
                <c:pt idx="99">
                  <c:v>8.7322317110226244</c:v>
                </c:pt>
                <c:pt idx="100">
                  <c:v>8.8338605222574991</c:v>
                </c:pt>
              </c:numCache>
            </c:numRef>
          </c:val>
          <c:smooth val="0"/>
          <c:extLst>
            <c:ext xmlns:c16="http://schemas.microsoft.com/office/drawing/2014/chart" uri="{C3380CC4-5D6E-409C-BE32-E72D297353CC}">
              <c16:uniqueId val="{00000000-3C9D-44D2-AF55-BD525814CC37}"/>
            </c:ext>
          </c:extLst>
        </c:ser>
        <c:ser>
          <c:idx val="0"/>
          <c:order val="1"/>
          <c:tx>
            <c:v>VIN-nom</c:v>
          </c:tx>
          <c:spPr>
            <a:ln w="28575">
              <a:solidFill>
                <a:srgbClr val="0000FF"/>
              </a:solidFill>
              <a:prstDash val="lgDash"/>
            </a:ln>
          </c:spPr>
          <c:marker>
            <c:symbol val="none"/>
          </c:marker>
          <c:cat>
            <c:numRef>
              <c:f>'Calculations - Dual'!$AL$5:$AL$105</c:f>
              <c:numCache>
                <c:formatCode>0</c:formatCode>
                <c:ptCount val="101"/>
                <c:pt idx="0">
                  <c:v>1.0000000000000002E-6</c:v>
                </c:pt>
                <c:pt idx="1">
                  <c:v>25</c:v>
                </c:pt>
                <c:pt idx="2">
                  <c:v>50</c:v>
                </c:pt>
                <c:pt idx="3">
                  <c:v>75</c:v>
                </c:pt>
                <c:pt idx="4">
                  <c:v>100</c:v>
                </c:pt>
                <c:pt idx="5">
                  <c:v>125</c:v>
                </c:pt>
                <c:pt idx="6">
                  <c:v>150</c:v>
                </c:pt>
                <c:pt idx="7">
                  <c:v>175.00000000000003</c:v>
                </c:pt>
                <c:pt idx="8">
                  <c:v>200</c:v>
                </c:pt>
                <c:pt idx="9">
                  <c:v>224.99999999999997</c:v>
                </c:pt>
                <c:pt idx="10">
                  <c:v>250</c:v>
                </c:pt>
                <c:pt idx="11">
                  <c:v>275</c:v>
                </c:pt>
                <c:pt idx="12">
                  <c:v>300</c:v>
                </c:pt>
                <c:pt idx="13">
                  <c:v>325</c:v>
                </c:pt>
                <c:pt idx="14">
                  <c:v>350.00000000000006</c:v>
                </c:pt>
                <c:pt idx="15">
                  <c:v>375</c:v>
                </c:pt>
                <c:pt idx="16">
                  <c:v>400</c:v>
                </c:pt>
                <c:pt idx="17">
                  <c:v>425.00000000000006</c:v>
                </c:pt>
                <c:pt idx="18">
                  <c:v>449.99999999999994</c:v>
                </c:pt>
                <c:pt idx="19">
                  <c:v>475</c:v>
                </c:pt>
                <c:pt idx="20">
                  <c:v>500</c:v>
                </c:pt>
                <c:pt idx="21">
                  <c:v>525</c:v>
                </c:pt>
                <c:pt idx="22">
                  <c:v>550</c:v>
                </c:pt>
                <c:pt idx="23">
                  <c:v>575.00000000000011</c:v>
                </c:pt>
                <c:pt idx="24">
                  <c:v>600</c:v>
                </c:pt>
                <c:pt idx="25">
                  <c:v>625</c:v>
                </c:pt>
                <c:pt idx="26">
                  <c:v>650</c:v>
                </c:pt>
                <c:pt idx="27">
                  <c:v>675</c:v>
                </c:pt>
                <c:pt idx="28">
                  <c:v>700.00000000000011</c:v>
                </c:pt>
                <c:pt idx="29">
                  <c:v>725</c:v>
                </c:pt>
                <c:pt idx="30">
                  <c:v>750</c:v>
                </c:pt>
                <c:pt idx="31">
                  <c:v>775</c:v>
                </c:pt>
                <c:pt idx="32">
                  <c:v>800</c:v>
                </c:pt>
                <c:pt idx="33">
                  <c:v>825.00000000000011</c:v>
                </c:pt>
                <c:pt idx="34">
                  <c:v>850.00000000000011</c:v>
                </c:pt>
                <c:pt idx="35">
                  <c:v>875</c:v>
                </c:pt>
                <c:pt idx="36">
                  <c:v>899.99999999999989</c:v>
                </c:pt>
                <c:pt idx="37">
                  <c:v>925</c:v>
                </c:pt>
                <c:pt idx="38">
                  <c:v>950</c:v>
                </c:pt>
                <c:pt idx="39">
                  <c:v>975.00000000000011</c:v>
                </c:pt>
                <c:pt idx="40">
                  <c:v>1000</c:v>
                </c:pt>
                <c:pt idx="41">
                  <c:v>1025</c:v>
                </c:pt>
                <c:pt idx="42">
                  <c:v>1050</c:v>
                </c:pt>
                <c:pt idx="43">
                  <c:v>1075</c:v>
                </c:pt>
                <c:pt idx="44">
                  <c:v>1100</c:v>
                </c:pt>
                <c:pt idx="45">
                  <c:v>1125</c:v>
                </c:pt>
                <c:pt idx="46">
                  <c:v>1150.0000000000002</c:v>
                </c:pt>
                <c:pt idx="47">
                  <c:v>1174.9999999999998</c:v>
                </c:pt>
                <c:pt idx="48">
                  <c:v>1200</c:v>
                </c:pt>
                <c:pt idx="49">
                  <c:v>1225</c:v>
                </c:pt>
                <c:pt idx="50">
                  <c:v>1250</c:v>
                </c:pt>
                <c:pt idx="51">
                  <c:v>1275</c:v>
                </c:pt>
                <c:pt idx="52">
                  <c:v>1300</c:v>
                </c:pt>
                <c:pt idx="53">
                  <c:v>1325.0000000000002</c:v>
                </c:pt>
                <c:pt idx="54">
                  <c:v>1350</c:v>
                </c:pt>
                <c:pt idx="55">
                  <c:v>1375</c:v>
                </c:pt>
                <c:pt idx="56">
                  <c:v>1400.0000000000002</c:v>
                </c:pt>
                <c:pt idx="57">
                  <c:v>1424.9999999999998</c:v>
                </c:pt>
                <c:pt idx="58">
                  <c:v>1450</c:v>
                </c:pt>
                <c:pt idx="59">
                  <c:v>1474.9999999999998</c:v>
                </c:pt>
                <c:pt idx="60">
                  <c:v>1500</c:v>
                </c:pt>
                <c:pt idx="61">
                  <c:v>1525</c:v>
                </c:pt>
                <c:pt idx="62">
                  <c:v>1550</c:v>
                </c:pt>
                <c:pt idx="63">
                  <c:v>1575</c:v>
                </c:pt>
                <c:pt idx="64">
                  <c:v>1600</c:v>
                </c:pt>
                <c:pt idx="65">
                  <c:v>1625</c:v>
                </c:pt>
                <c:pt idx="66">
                  <c:v>1650.0000000000002</c:v>
                </c:pt>
                <c:pt idx="67">
                  <c:v>1675</c:v>
                </c:pt>
                <c:pt idx="68">
                  <c:v>1700.0000000000002</c:v>
                </c:pt>
                <c:pt idx="69">
                  <c:v>1724.9999999999998</c:v>
                </c:pt>
                <c:pt idx="70">
                  <c:v>1750</c:v>
                </c:pt>
                <c:pt idx="71">
                  <c:v>1775</c:v>
                </c:pt>
                <c:pt idx="72">
                  <c:v>1799.9999999999998</c:v>
                </c:pt>
                <c:pt idx="73">
                  <c:v>1825</c:v>
                </c:pt>
                <c:pt idx="74">
                  <c:v>1850</c:v>
                </c:pt>
                <c:pt idx="75">
                  <c:v>1875</c:v>
                </c:pt>
                <c:pt idx="76">
                  <c:v>1900</c:v>
                </c:pt>
                <c:pt idx="77">
                  <c:v>1925</c:v>
                </c:pt>
                <c:pt idx="78">
                  <c:v>1950.0000000000002</c:v>
                </c:pt>
                <c:pt idx="79">
                  <c:v>1975</c:v>
                </c:pt>
                <c:pt idx="80">
                  <c:v>2000</c:v>
                </c:pt>
                <c:pt idx="81">
                  <c:v>2025.0000000000005</c:v>
                </c:pt>
                <c:pt idx="82">
                  <c:v>2050</c:v>
                </c:pt>
                <c:pt idx="83">
                  <c:v>2074.9999999999995</c:v>
                </c:pt>
                <c:pt idx="84">
                  <c:v>2100</c:v>
                </c:pt>
                <c:pt idx="85">
                  <c:v>2125</c:v>
                </c:pt>
                <c:pt idx="86">
                  <c:v>2150</c:v>
                </c:pt>
                <c:pt idx="87">
                  <c:v>2175</c:v>
                </c:pt>
                <c:pt idx="88">
                  <c:v>2200</c:v>
                </c:pt>
                <c:pt idx="89">
                  <c:v>2225</c:v>
                </c:pt>
                <c:pt idx="90">
                  <c:v>2250</c:v>
                </c:pt>
                <c:pt idx="91">
                  <c:v>2275</c:v>
                </c:pt>
                <c:pt idx="92">
                  <c:v>2300.0000000000005</c:v>
                </c:pt>
                <c:pt idx="93">
                  <c:v>2325</c:v>
                </c:pt>
                <c:pt idx="94">
                  <c:v>2349.9999999999995</c:v>
                </c:pt>
                <c:pt idx="95">
                  <c:v>2375</c:v>
                </c:pt>
                <c:pt idx="96">
                  <c:v>2400</c:v>
                </c:pt>
                <c:pt idx="97">
                  <c:v>2425</c:v>
                </c:pt>
                <c:pt idx="98">
                  <c:v>2450</c:v>
                </c:pt>
                <c:pt idx="99">
                  <c:v>2475</c:v>
                </c:pt>
                <c:pt idx="100">
                  <c:v>2500</c:v>
                </c:pt>
              </c:numCache>
            </c:numRef>
          </c:cat>
          <c:val>
            <c:numRef>
              <c:f>'Calculations - Dual'!$AJ$5:$AJ$105</c:f>
              <c:numCache>
                <c:formatCode>0.000</c:formatCode>
                <c:ptCount val="101"/>
                <c:pt idx="0">
                  <c:v>1.0057142857142858</c:v>
                </c:pt>
                <c:pt idx="1">
                  <c:v>1.0157148267207139</c:v>
                </c:pt>
                <c:pt idx="2">
                  <c:v>1.031429653441428</c:v>
                </c:pt>
                <c:pt idx="3">
                  <c:v>1.0471444801621419</c:v>
                </c:pt>
                <c:pt idx="4">
                  <c:v>1.0628593068828558</c:v>
                </c:pt>
                <c:pt idx="5">
                  <c:v>1.0785741336035697</c:v>
                </c:pt>
                <c:pt idx="6">
                  <c:v>1.0942889603242838</c:v>
                </c:pt>
                <c:pt idx="7">
                  <c:v>1.1100037870449977</c:v>
                </c:pt>
                <c:pt idx="8">
                  <c:v>1.1257186137657116</c:v>
                </c:pt>
                <c:pt idx="9">
                  <c:v>1.1414334404864255</c:v>
                </c:pt>
                <c:pt idx="10">
                  <c:v>1.1571482672071396</c:v>
                </c:pt>
                <c:pt idx="11">
                  <c:v>1.1728630939278535</c:v>
                </c:pt>
                <c:pt idx="12">
                  <c:v>1.1885779206485674</c:v>
                </c:pt>
                <c:pt idx="13">
                  <c:v>1.3233763784616788</c:v>
                </c:pt>
                <c:pt idx="14">
                  <c:v>1.4212412331016304</c:v>
                </c:pt>
                <c:pt idx="15">
                  <c:v>1.5156689983703124</c:v>
                </c:pt>
                <c:pt idx="16">
                  <c:v>1.606998228488103</c:v>
                </c:pt>
                <c:pt idx="17">
                  <c:v>1.6955152982984123</c:v>
                </c:pt>
                <c:pt idx="18">
                  <c:v>1.7814650128677592</c:v>
                </c:pt>
                <c:pt idx="19">
                  <c:v>1.8650585947860865</c:v>
                </c:pt>
                <c:pt idx="20">
                  <c:v>1.9464798003412997</c:v>
                </c:pt>
                <c:pt idx="21">
                  <c:v>2.0258896739558669</c:v>
                </c:pt>
                <c:pt idx="22">
                  <c:v>2.103430294072445</c:v>
                </c:pt>
                <c:pt idx="23">
                  <c:v>2.179227760265166</c:v>
                </c:pt>
                <c:pt idx="24">
                  <c:v>2.2533946013805601</c:v>
                </c:pt>
                <c:pt idx="25">
                  <c:v>2.3260317362274132</c:v>
                </c:pt>
                <c:pt idx="26">
                  <c:v>2.3972300844206731</c:v>
                </c:pt>
                <c:pt idx="27">
                  <c:v>2.4670719007777269</c:v>
                </c:pt>
                <c:pt idx="28">
                  <c:v>2.5356318891321648</c:v>
                </c:pt>
                <c:pt idx="29">
                  <c:v>2.6029781385590702</c:v>
                </c:pt>
                <c:pt idx="30">
                  <c:v>2.6691729154397184</c:v>
                </c:pt>
                <c:pt idx="31">
                  <c:v>2.7342733376024579</c:v>
                </c:pt>
                <c:pt idx="32">
                  <c:v>2.7983319513133909</c:v>
                </c:pt>
                <c:pt idx="33">
                  <c:v>2.8613972276993156</c:v>
                </c:pt>
                <c:pt idx="34">
                  <c:v>2.9235139919406556</c:v>
                </c:pt>
                <c:pt idx="35">
                  <c:v>2.9847237960385957</c:v>
                </c:pt>
                <c:pt idx="36">
                  <c:v>3.0450652439667221</c:v>
                </c:pt>
                <c:pt idx="37">
                  <c:v>3.1045742764364324</c:v>
                </c:pt>
                <c:pt idx="38">
                  <c:v>3.1632844212429667</c:v>
                </c:pt>
                <c:pt idx="39">
                  <c:v>3.2212270141442332</c:v>
                </c:pt>
                <c:pt idx="40">
                  <c:v>3.278431394403917</c:v>
                </c:pt>
                <c:pt idx="41">
                  <c:v>3.3349250784627982</c:v>
                </c:pt>
                <c:pt idx="42">
                  <c:v>3.3907339146559723</c:v>
                </c:pt>
                <c:pt idx="43">
                  <c:v>3.4458822214446139</c:v>
                </c:pt>
                <c:pt idx="44">
                  <c:v>3.5003929112596559</c:v>
                </c:pt>
                <c:pt idx="45">
                  <c:v>3.554287601746517</c:v>
                </c:pt>
                <c:pt idx="46">
                  <c:v>3.6075867159429196</c:v>
                </c:pt>
                <c:pt idx="47">
                  <c:v>3.6603095727063621</c:v>
                </c:pt>
                <c:pt idx="48">
                  <c:v>3.7124744685266808</c:v>
                </c:pt>
                <c:pt idx="49">
                  <c:v>3.7640987517060323</c:v>
                </c:pt>
                <c:pt idx="50">
                  <c:v>3.8151988897590225</c:v>
                </c:pt>
                <c:pt idx="51">
                  <c:v>3.8657905307752563</c:v>
                </c:pt>
                <c:pt idx="52">
                  <c:v>3.915888559392493</c:v>
                </c:pt>
                <c:pt idx="53">
                  <c:v>3.9655071479478741</c:v>
                </c:pt>
                <c:pt idx="54">
                  <c:v>4.0146598033054097</c:v>
                </c:pt>
                <c:pt idx="55">
                  <c:v>4.0633594097982213</c:v>
                </c:pt>
                <c:pt idx="56">
                  <c:v>4.1116182686723972</c:v>
                </c:pt>
                <c:pt idx="57">
                  <c:v>4.159448134374621</c:v>
                </c:pt>
                <c:pt idx="58">
                  <c:v>4.2068602479868877</c:v>
                </c:pt>
                <c:pt idx="59">
                  <c:v>4.2538653680777125</c:v>
                </c:pt>
                <c:pt idx="60">
                  <c:v>4.3004737992097608</c:v>
                </c:pt>
                <c:pt idx="61">
                  <c:v>4.3466954183178332</c:v>
                </c:pt>
                <c:pt idx="62">
                  <c:v>4.3925396991485215</c:v>
                </c:pt>
                <c:pt idx="63">
                  <c:v>4.4380157349328151</c:v>
                </c:pt>
                <c:pt idx="64">
                  <c:v>4.483132259445342</c:v>
                </c:pt>
                <c:pt idx="65">
                  <c:v>4.5278976665883999</c:v>
                </c:pt>
                <c:pt idx="66">
                  <c:v>4.5723200286251249</c:v>
                </c:pt>
                <c:pt idx="67">
                  <c:v>4.6164071131739943</c:v>
                </c:pt>
                <c:pt idx="68">
                  <c:v>4.6601663990659601</c:v>
                </c:pt>
                <c:pt idx="69">
                  <c:v>4.703605091155902</c:v>
                </c:pt>
                <c:pt idx="70">
                  <c:v>4.7467301341714672</c:v>
                </c:pt>
                <c:pt idx="71">
                  <c:v>4.7895482256746496</c:v>
                </c:pt>
                <c:pt idx="72">
                  <c:v>4.8320658282046542</c:v>
                </c:pt>
                <c:pt idx="73">
                  <c:v>4.8742891806643298</c:v>
                </c:pt>
                <c:pt idx="74">
                  <c:v>4.9162243090070179</c:v>
                </c:pt>
                <c:pt idx="75">
                  <c:v>4.957877036275633</c:v>
                </c:pt>
                <c:pt idx="76">
                  <c:v>4.9992529920413089</c:v>
                </c:pt>
                <c:pt idx="77">
                  <c:v>5.0403576212849446</c:v>
                </c:pt>
                <c:pt idx="78">
                  <c:v>5.0811961927613414</c:v>
                </c:pt>
                <c:pt idx="79">
                  <c:v>5.1217738068822429</c:v>
                </c:pt>
                <c:pt idx="80">
                  <c:v>5.162095403151735</c:v>
                </c:pt>
                <c:pt idx="81">
                  <c:v>5.2021657671846526</c:v>
                </c:pt>
                <c:pt idx="82">
                  <c:v>5.2419895373362237</c:v>
                </c:pt>
                <c:pt idx="83">
                  <c:v>5.2815712109689832</c:v>
                </c:pt>
                <c:pt idx="84">
                  <c:v>5.3209151503808698</c:v>
                </c:pt>
                <c:pt idx="85">
                  <c:v>5.6286428820813939</c:v>
                </c:pt>
                <c:pt idx="86">
                  <c:v>5.7099362262816573</c:v>
                </c:pt>
                <c:pt idx="87">
                  <c:v>5.7912329311179853</c:v>
                </c:pt>
                <c:pt idx="88">
                  <c:v>5.8725329977994107</c:v>
                </c:pt>
                <c:pt idx="89">
                  <c:v>5.953836427535208</c:v>
                </c:pt>
                <c:pt idx="90">
                  <c:v>6.0351432215349243</c:v>
                </c:pt>
                <c:pt idx="91">
                  <c:v>6.1164533810083572</c:v>
                </c:pt>
                <c:pt idx="92">
                  <c:v>6.1977669071655708</c:v>
                </c:pt>
                <c:pt idx="93">
                  <c:v>6.279083801216875</c:v>
                </c:pt>
                <c:pt idx="94">
                  <c:v>6.3604040643728483</c:v>
                </c:pt>
                <c:pt idx="95">
                  <c:v>6.4417276978443292</c:v>
                </c:pt>
                <c:pt idx="96">
                  <c:v>6.5230547028424057</c:v>
                </c:pt>
                <c:pt idx="97">
                  <c:v>6.6043850805784325</c:v>
                </c:pt>
                <c:pt idx="98">
                  <c:v>6.6857188322640217</c:v>
                </c:pt>
                <c:pt idx="99">
                  <c:v>6.7670559591110377</c:v>
                </c:pt>
                <c:pt idx="100">
                  <c:v>6.8483964623316202</c:v>
                </c:pt>
              </c:numCache>
            </c:numRef>
          </c:val>
          <c:smooth val="0"/>
          <c:extLst>
            <c:ext xmlns:c16="http://schemas.microsoft.com/office/drawing/2014/chart" uri="{C3380CC4-5D6E-409C-BE32-E72D297353CC}">
              <c16:uniqueId val="{00000001-3C9D-44D2-AF55-BD525814CC37}"/>
            </c:ext>
          </c:extLst>
        </c:ser>
        <c:ser>
          <c:idx val="2"/>
          <c:order val="2"/>
          <c:tx>
            <c:v>VIN-max</c:v>
          </c:tx>
          <c:spPr>
            <a:ln>
              <a:solidFill>
                <a:srgbClr val="FF0000"/>
              </a:solidFill>
              <a:prstDash val="solid"/>
            </a:ln>
          </c:spPr>
          <c:marker>
            <c:symbol val="none"/>
          </c:marker>
          <c:val>
            <c:numRef>
              <c:f>'Calculations - Dual'!$AJ$216:$AJ$316</c:f>
              <c:numCache>
                <c:formatCode>0.000</c:formatCode>
                <c:ptCount val="101"/>
                <c:pt idx="0">
                  <c:v>1.0057142857142858</c:v>
                </c:pt>
                <c:pt idx="1">
                  <c:v>1.0157147369735742</c:v>
                </c:pt>
                <c:pt idx="2">
                  <c:v>1.0314294739471486</c:v>
                </c:pt>
                <c:pt idx="3">
                  <c:v>1.0471442109207227</c:v>
                </c:pt>
                <c:pt idx="4">
                  <c:v>1.0628589478942969</c:v>
                </c:pt>
                <c:pt idx="5">
                  <c:v>1.0785736848678713</c:v>
                </c:pt>
                <c:pt idx="6">
                  <c:v>1.0942884218414455</c:v>
                </c:pt>
                <c:pt idx="7">
                  <c:v>1.1100031588150197</c:v>
                </c:pt>
                <c:pt idx="8">
                  <c:v>1.125717895788594</c:v>
                </c:pt>
                <c:pt idx="9">
                  <c:v>1.1414326327621682</c:v>
                </c:pt>
                <c:pt idx="10">
                  <c:v>1.1571473697357426</c:v>
                </c:pt>
                <c:pt idx="11">
                  <c:v>1.1728621067093168</c:v>
                </c:pt>
                <c:pt idx="12">
                  <c:v>1.188576843682891</c:v>
                </c:pt>
                <c:pt idx="13">
                  <c:v>1.3233763784616788</c:v>
                </c:pt>
                <c:pt idx="14">
                  <c:v>1.4212412331016304</c:v>
                </c:pt>
                <c:pt idx="15">
                  <c:v>1.5156689983703124</c:v>
                </c:pt>
                <c:pt idx="16">
                  <c:v>1.606998228488103</c:v>
                </c:pt>
                <c:pt idx="17">
                  <c:v>1.6955152982984123</c:v>
                </c:pt>
                <c:pt idx="18">
                  <c:v>1.7814650128677592</c:v>
                </c:pt>
                <c:pt idx="19">
                  <c:v>1.8650585947860865</c:v>
                </c:pt>
                <c:pt idx="20">
                  <c:v>1.9464798003412997</c:v>
                </c:pt>
                <c:pt idx="21">
                  <c:v>2.0258896739558669</c:v>
                </c:pt>
                <c:pt idx="22">
                  <c:v>2.103430294072445</c:v>
                </c:pt>
                <c:pt idx="23">
                  <c:v>2.179227760265166</c:v>
                </c:pt>
                <c:pt idx="24">
                  <c:v>2.2533946013805601</c:v>
                </c:pt>
                <c:pt idx="25">
                  <c:v>2.3260317362274132</c:v>
                </c:pt>
                <c:pt idx="26">
                  <c:v>2.3972300844206731</c:v>
                </c:pt>
                <c:pt idx="27">
                  <c:v>2.4670719007777269</c:v>
                </c:pt>
                <c:pt idx="28">
                  <c:v>2.5356318891321648</c:v>
                </c:pt>
                <c:pt idx="29">
                  <c:v>2.6029781385590702</c:v>
                </c:pt>
                <c:pt idx="30">
                  <c:v>2.6691729154397184</c:v>
                </c:pt>
                <c:pt idx="31">
                  <c:v>2.7342733376024579</c:v>
                </c:pt>
                <c:pt idx="32">
                  <c:v>2.7983319513133909</c:v>
                </c:pt>
                <c:pt idx="33">
                  <c:v>2.8613972276993156</c:v>
                </c:pt>
                <c:pt idx="34">
                  <c:v>2.9235139919406556</c:v>
                </c:pt>
                <c:pt idx="35">
                  <c:v>2.9847237960385957</c:v>
                </c:pt>
                <c:pt idx="36">
                  <c:v>3.0450652439667221</c:v>
                </c:pt>
                <c:pt idx="37">
                  <c:v>3.1045742764364324</c:v>
                </c:pt>
                <c:pt idx="38">
                  <c:v>3.1632844212429667</c:v>
                </c:pt>
                <c:pt idx="39">
                  <c:v>3.2212270141442332</c:v>
                </c:pt>
                <c:pt idx="40">
                  <c:v>3.278431394403917</c:v>
                </c:pt>
                <c:pt idx="41">
                  <c:v>3.3349250784627982</c:v>
                </c:pt>
                <c:pt idx="42">
                  <c:v>3.3907339146559723</c:v>
                </c:pt>
                <c:pt idx="43">
                  <c:v>3.4458822214446139</c:v>
                </c:pt>
                <c:pt idx="44">
                  <c:v>3.5003929112596559</c:v>
                </c:pt>
                <c:pt idx="45">
                  <c:v>3.554287601746517</c:v>
                </c:pt>
                <c:pt idx="46">
                  <c:v>3.6075867159429196</c:v>
                </c:pt>
                <c:pt idx="47">
                  <c:v>3.6603095727063621</c:v>
                </c:pt>
                <c:pt idx="48">
                  <c:v>3.7124744685266808</c:v>
                </c:pt>
                <c:pt idx="49">
                  <c:v>3.7640987517060323</c:v>
                </c:pt>
                <c:pt idx="50">
                  <c:v>3.8151988897590225</c:v>
                </c:pt>
                <c:pt idx="51">
                  <c:v>3.8657905307752563</c:v>
                </c:pt>
                <c:pt idx="52">
                  <c:v>3.915888559392493</c:v>
                </c:pt>
                <c:pt idx="53">
                  <c:v>3.9655071479478741</c:v>
                </c:pt>
                <c:pt idx="54">
                  <c:v>4.0146598033054097</c:v>
                </c:pt>
                <c:pt idx="55">
                  <c:v>4.0633594097982213</c:v>
                </c:pt>
                <c:pt idx="56">
                  <c:v>4.1116182686723972</c:v>
                </c:pt>
                <c:pt idx="57">
                  <c:v>4.159448134374621</c:v>
                </c:pt>
                <c:pt idx="58">
                  <c:v>4.2068602479868877</c:v>
                </c:pt>
                <c:pt idx="59">
                  <c:v>4.2538653680777125</c:v>
                </c:pt>
                <c:pt idx="60">
                  <c:v>4.3004737992097608</c:v>
                </c:pt>
                <c:pt idx="61">
                  <c:v>4.3466954183178332</c:v>
                </c:pt>
                <c:pt idx="62">
                  <c:v>4.3925396991485215</c:v>
                </c:pt>
                <c:pt idx="63">
                  <c:v>4.4380157349328151</c:v>
                </c:pt>
                <c:pt idx="64">
                  <c:v>4.483132259445342</c:v>
                </c:pt>
                <c:pt idx="65">
                  <c:v>4.5278976665883999</c:v>
                </c:pt>
                <c:pt idx="66">
                  <c:v>4.5723200286251249</c:v>
                </c:pt>
                <c:pt idx="67">
                  <c:v>4.6164071131739943</c:v>
                </c:pt>
                <c:pt idx="68">
                  <c:v>4.6601663990659601</c:v>
                </c:pt>
                <c:pt idx="69">
                  <c:v>4.703605091155902</c:v>
                </c:pt>
                <c:pt idx="70">
                  <c:v>4.7467301341714672</c:v>
                </c:pt>
                <c:pt idx="71">
                  <c:v>4.7895482256746496</c:v>
                </c:pt>
                <c:pt idx="72">
                  <c:v>4.8320658282046542</c:v>
                </c:pt>
                <c:pt idx="73">
                  <c:v>4.8742891806643298</c:v>
                </c:pt>
                <c:pt idx="74">
                  <c:v>4.9162243090070179</c:v>
                </c:pt>
                <c:pt idx="75">
                  <c:v>4.957877036275633</c:v>
                </c:pt>
                <c:pt idx="76">
                  <c:v>4.9992529920413089</c:v>
                </c:pt>
                <c:pt idx="77">
                  <c:v>5.0403576212849446</c:v>
                </c:pt>
                <c:pt idx="78">
                  <c:v>5.0811961927613414</c:v>
                </c:pt>
                <c:pt idx="79">
                  <c:v>5.1217738068822429</c:v>
                </c:pt>
                <c:pt idx="80">
                  <c:v>5.162095403151735</c:v>
                </c:pt>
                <c:pt idx="81">
                  <c:v>5.2021657671846526</c:v>
                </c:pt>
                <c:pt idx="82">
                  <c:v>5.2419895373362237</c:v>
                </c:pt>
                <c:pt idx="83">
                  <c:v>5.2815712109689832</c:v>
                </c:pt>
                <c:pt idx="84">
                  <c:v>5.3209151503808698</c:v>
                </c:pt>
                <c:pt idx="85">
                  <c:v>5.3600255884166792</c:v>
                </c:pt>
                <c:pt idx="86">
                  <c:v>5.3989066337832803</c:v>
                </c:pt>
                <c:pt idx="87">
                  <c:v>5.4375622760874762</c:v>
                </c:pt>
                <c:pt idx="88">
                  <c:v>5.475996390614025</c:v>
                </c:pt>
                <c:pt idx="89">
                  <c:v>5.5142127428599892</c:v>
                </c:pt>
                <c:pt idx="90">
                  <c:v>5.5522149928404438</c:v>
                </c:pt>
                <c:pt idx="91">
                  <c:v>5.5900066991794874</c:v>
                </c:pt>
                <c:pt idx="92">
                  <c:v>5.6275913229994678</c:v>
                </c:pt>
                <c:pt idx="93">
                  <c:v>5.6649722316204931</c:v>
                </c:pt>
                <c:pt idx="94">
                  <c:v>5.7021527020813823</c:v>
                </c:pt>
                <c:pt idx="95">
                  <c:v>5.73913592449252</c:v>
                </c:pt>
                <c:pt idx="96">
                  <c:v>5.7759250052302562</c:v>
                </c:pt>
                <c:pt idx="97">
                  <c:v>5.812522969981984</c:v>
                </c:pt>
                <c:pt idx="98">
                  <c:v>5.8489327666502859</c:v>
                </c:pt>
                <c:pt idx="99">
                  <c:v>5.8851572681240514</c:v>
                </c:pt>
                <c:pt idx="100">
                  <c:v>5.9211992749239615</c:v>
                </c:pt>
              </c:numCache>
            </c:numRef>
          </c:val>
          <c:smooth val="0"/>
          <c:extLst>
            <c:ext xmlns:c16="http://schemas.microsoft.com/office/drawing/2014/chart" uri="{C3380CC4-5D6E-409C-BE32-E72D297353CC}">
              <c16:uniqueId val="{00000002-3C9D-44D2-AF55-BD525814CC37}"/>
            </c:ext>
          </c:extLst>
        </c:ser>
        <c:dLbls>
          <c:showLegendKey val="0"/>
          <c:showVal val="0"/>
          <c:showCatName val="0"/>
          <c:showSerName val="0"/>
          <c:showPercent val="0"/>
          <c:showBubbleSize val="0"/>
        </c:dLbls>
        <c:smooth val="0"/>
        <c:axId val="450433408"/>
        <c:axId val="450435328"/>
      </c:lineChart>
      <c:catAx>
        <c:axId val="450433408"/>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0435328"/>
        <c:crosses val="autoZero"/>
        <c:auto val="1"/>
        <c:lblAlgn val="ctr"/>
        <c:lblOffset val="100"/>
        <c:tickLblSkip val="20"/>
        <c:tickMarkSkip val="10"/>
        <c:noMultiLvlLbl val="0"/>
      </c:catAx>
      <c:valAx>
        <c:axId val="450435328"/>
        <c:scaling>
          <c:orientation val="minMax"/>
          <c:max val="2.2000000000000002"/>
          <c:min val="1"/>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COMP</a:t>
                </a:r>
                <a:r>
                  <a:rPr lang="en-US" sz="1200" b="1" baseline="0">
                    <a:solidFill>
                      <a:schemeClr val="tx1"/>
                    </a:solidFill>
                    <a:latin typeface="Arial" pitchFamily="34" charset="0"/>
                    <a:cs typeface="Arial" pitchFamily="34" charset="0"/>
                  </a:rPr>
                  <a:t> Voltage (V)</a:t>
                </a:r>
                <a:endParaRPr lang="en-US" sz="1200" b="1">
                  <a:solidFill>
                    <a:schemeClr val="tx1"/>
                  </a:solidFill>
                  <a:latin typeface="Arial" pitchFamily="34" charset="0"/>
                  <a:cs typeface="Arial" pitchFamily="34" charset="0"/>
                </a:endParaRPr>
              </a:p>
            </c:rich>
          </c:tx>
          <c:layout>
            <c:manualLayout>
              <c:xMode val="edge"/>
              <c:yMode val="edge"/>
              <c:x val="1.5939635452545176E-2"/>
              <c:y val="0.34603169988013316"/>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0433408"/>
        <c:crossesAt val="0"/>
        <c:crossBetween val="between"/>
        <c:majorUnit val="0.2"/>
        <c:minorUnit val="0.1"/>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sz="1200" b="1" i="0" u="none" strike="noStrike" baseline="0">
                <a:solidFill>
                  <a:srgbClr val="000000"/>
                </a:solidFill>
                <a:latin typeface="Arial"/>
                <a:ea typeface="Arial"/>
                <a:cs typeface="Arial"/>
              </a:defRPr>
            </a:pPr>
            <a:r>
              <a:rPr lang="en-US"/>
              <a:t>LM5185-Q1 Bode Plot</a:t>
            </a:r>
          </a:p>
        </c:rich>
      </c:tx>
      <c:layout>
        <c:manualLayout>
          <c:xMode val="edge"/>
          <c:yMode val="edge"/>
          <c:x val="0.38532555879494657"/>
          <c:y val="2.4449846994932085E-2"/>
        </c:manualLayout>
      </c:layout>
      <c:overlay val="0"/>
      <c:spPr>
        <a:noFill/>
        <a:ln w="25400">
          <a:noFill/>
        </a:ln>
      </c:spPr>
    </c:title>
    <c:autoTitleDeleted val="0"/>
    <c:plotArea>
      <c:layout>
        <c:manualLayout>
          <c:layoutTarget val="inner"/>
          <c:xMode val="edge"/>
          <c:yMode val="edge"/>
          <c:x val="0.10349854227405264"/>
          <c:y val="9.5803642121931945E-2"/>
          <c:w val="0.80272108843537593"/>
          <c:h val="0.71734049943922984"/>
        </c:manualLayout>
      </c:layout>
      <c:scatterChart>
        <c:scatterStyle val="smoothMarker"/>
        <c:varyColors val="0"/>
        <c:ser>
          <c:idx val="0"/>
          <c:order val="0"/>
          <c:tx>
            <c:strRef>
              <c:f>'Stability Calculations'!$W$12</c:f>
              <c:strCache>
                <c:ptCount val="1"/>
                <c:pt idx="0">
                  <c:v>Gain (dB)</c:v>
                </c:pt>
              </c:strCache>
            </c:strRef>
          </c:tx>
          <c:spPr>
            <a:ln w="25400">
              <a:solidFill>
                <a:srgbClr val="FF0000"/>
              </a:solidFill>
              <a:prstDash val="solid"/>
            </a:ln>
          </c:spPr>
          <c:marker>
            <c:symbol val="none"/>
          </c:marker>
          <c:xVal>
            <c:numRef>
              <c:f>'Stability Calculations'!$G$13:$G$613</c:f>
              <c:numCache>
                <c:formatCode>General</c:formatCode>
                <c:ptCount val="601"/>
                <c:pt idx="0">
                  <c:v>1</c:v>
                </c:pt>
                <c:pt idx="1">
                  <c:v>1.0965</c:v>
                </c:pt>
                <c:pt idx="2">
                  <c:v>1.2022999999999999</c:v>
                </c:pt>
                <c:pt idx="3">
                  <c:v>1.3183</c:v>
                </c:pt>
                <c:pt idx="4">
                  <c:v>1.4454</c:v>
                </c:pt>
                <c:pt idx="5">
                  <c:v>1.5849</c:v>
                </c:pt>
                <c:pt idx="6">
                  <c:v>1.7378</c:v>
                </c:pt>
                <c:pt idx="7">
                  <c:v>1.9055</c:v>
                </c:pt>
                <c:pt idx="8">
                  <c:v>2.0893000000000002</c:v>
                </c:pt>
                <c:pt idx="9">
                  <c:v>2.2909000000000002</c:v>
                </c:pt>
                <c:pt idx="10">
                  <c:v>2.5118999999999998</c:v>
                </c:pt>
                <c:pt idx="11">
                  <c:v>2.7542</c:v>
                </c:pt>
                <c:pt idx="12">
                  <c:v>3.02</c:v>
                </c:pt>
                <c:pt idx="13">
                  <c:v>3.3113000000000001</c:v>
                </c:pt>
                <c:pt idx="14">
                  <c:v>3.6307999999999998</c:v>
                </c:pt>
                <c:pt idx="15">
                  <c:v>3.9811000000000001</c:v>
                </c:pt>
                <c:pt idx="16">
                  <c:v>4.3651999999999997</c:v>
                </c:pt>
                <c:pt idx="17">
                  <c:v>4.7862999999999998</c:v>
                </c:pt>
                <c:pt idx="18">
                  <c:v>5.2481</c:v>
                </c:pt>
                <c:pt idx="19">
                  <c:v>5.7544000000000004</c:v>
                </c:pt>
                <c:pt idx="20">
                  <c:v>6.3095999999999997</c:v>
                </c:pt>
                <c:pt idx="21">
                  <c:v>6.9183000000000003</c:v>
                </c:pt>
                <c:pt idx="22">
                  <c:v>7.5857999999999999</c:v>
                </c:pt>
                <c:pt idx="23">
                  <c:v>8.3176000000000005</c:v>
                </c:pt>
                <c:pt idx="24">
                  <c:v>9.1201000000000008</c:v>
                </c:pt>
                <c:pt idx="25">
                  <c:v>10</c:v>
                </c:pt>
                <c:pt idx="26">
                  <c:v>10.965</c:v>
                </c:pt>
                <c:pt idx="27">
                  <c:v>12.023</c:v>
                </c:pt>
                <c:pt idx="28">
                  <c:v>13.183</c:v>
                </c:pt>
                <c:pt idx="29">
                  <c:v>14.454000000000001</c:v>
                </c:pt>
                <c:pt idx="30">
                  <c:v>15.849</c:v>
                </c:pt>
                <c:pt idx="31">
                  <c:v>17.378</c:v>
                </c:pt>
                <c:pt idx="32">
                  <c:v>19.055</c:v>
                </c:pt>
                <c:pt idx="33">
                  <c:v>20.893000000000001</c:v>
                </c:pt>
                <c:pt idx="34">
                  <c:v>22.909000000000002</c:v>
                </c:pt>
                <c:pt idx="35">
                  <c:v>25.119</c:v>
                </c:pt>
                <c:pt idx="36">
                  <c:v>27.542000000000002</c:v>
                </c:pt>
                <c:pt idx="37">
                  <c:v>30.2</c:v>
                </c:pt>
                <c:pt idx="38">
                  <c:v>33.113</c:v>
                </c:pt>
                <c:pt idx="39">
                  <c:v>36.308</c:v>
                </c:pt>
                <c:pt idx="40">
                  <c:v>39.811</c:v>
                </c:pt>
                <c:pt idx="41">
                  <c:v>43.652000000000001</c:v>
                </c:pt>
                <c:pt idx="42">
                  <c:v>47.863</c:v>
                </c:pt>
                <c:pt idx="43">
                  <c:v>52.481000000000002</c:v>
                </c:pt>
                <c:pt idx="44">
                  <c:v>57.544000000000004</c:v>
                </c:pt>
                <c:pt idx="45">
                  <c:v>63.095999999999997</c:v>
                </c:pt>
                <c:pt idx="46">
                  <c:v>69.183000000000007</c:v>
                </c:pt>
                <c:pt idx="47">
                  <c:v>75.858000000000004</c:v>
                </c:pt>
                <c:pt idx="48">
                  <c:v>83.176000000000002</c:v>
                </c:pt>
                <c:pt idx="49">
                  <c:v>91.201000000000008</c:v>
                </c:pt>
                <c:pt idx="50">
                  <c:v>100</c:v>
                </c:pt>
                <c:pt idx="51">
                  <c:v>109.65</c:v>
                </c:pt>
                <c:pt idx="52">
                  <c:v>120.23</c:v>
                </c:pt>
                <c:pt idx="53">
                  <c:v>131.83000000000001</c:v>
                </c:pt>
                <c:pt idx="54">
                  <c:v>144.54</c:v>
                </c:pt>
                <c:pt idx="55">
                  <c:v>158.49</c:v>
                </c:pt>
                <c:pt idx="56">
                  <c:v>173.78</c:v>
                </c:pt>
                <c:pt idx="57">
                  <c:v>190.55</c:v>
                </c:pt>
                <c:pt idx="58">
                  <c:v>208.93</c:v>
                </c:pt>
                <c:pt idx="59">
                  <c:v>229.09</c:v>
                </c:pt>
                <c:pt idx="60">
                  <c:v>251.19</c:v>
                </c:pt>
                <c:pt idx="61">
                  <c:v>275.42</c:v>
                </c:pt>
                <c:pt idx="62">
                  <c:v>302</c:v>
                </c:pt>
                <c:pt idx="63">
                  <c:v>331.13</c:v>
                </c:pt>
                <c:pt idx="64">
                  <c:v>363.08</c:v>
                </c:pt>
                <c:pt idx="65">
                  <c:v>398.11</c:v>
                </c:pt>
                <c:pt idx="66">
                  <c:v>436.52</c:v>
                </c:pt>
                <c:pt idx="67">
                  <c:v>478.63</c:v>
                </c:pt>
                <c:pt idx="68">
                  <c:v>524.80999999999995</c:v>
                </c:pt>
                <c:pt idx="69">
                  <c:v>575.44000000000005</c:v>
                </c:pt>
                <c:pt idx="70">
                  <c:v>630.96</c:v>
                </c:pt>
                <c:pt idx="71">
                  <c:v>691.83</c:v>
                </c:pt>
                <c:pt idx="72">
                  <c:v>758.58</c:v>
                </c:pt>
                <c:pt idx="73">
                  <c:v>831.76</c:v>
                </c:pt>
                <c:pt idx="74">
                  <c:v>912.01</c:v>
                </c:pt>
                <c:pt idx="75">
                  <c:v>1000</c:v>
                </c:pt>
                <c:pt idx="76">
                  <c:v>1096.5</c:v>
                </c:pt>
                <c:pt idx="77">
                  <c:v>1202.3</c:v>
                </c:pt>
                <c:pt idx="78">
                  <c:v>1318.3</c:v>
                </c:pt>
                <c:pt idx="79">
                  <c:v>1445.4</c:v>
                </c:pt>
                <c:pt idx="80">
                  <c:v>1584.9</c:v>
                </c:pt>
                <c:pt idx="81">
                  <c:v>1737.8</c:v>
                </c:pt>
                <c:pt idx="82">
                  <c:v>1905.5</c:v>
                </c:pt>
                <c:pt idx="83">
                  <c:v>2089.3000000000002</c:v>
                </c:pt>
                <c:pt idx="84">
                  <c:v>2290.9</c:v>
                </c:pt>
                <c:pt idx="85">
                  <c:v>2511.9</c:v>
                </c:pt>
                <c:pt idx="86">
                  <c:v>2754.2</c:v>
                </c:pt>
                <c:pt idx="87">
                  <c:v>3020</c:v>
                </c:pt>
                <c:pt idx="88">
                  <c:v>3311.3</c:v>
                </c:pt>
                <c:pt idx="89">
                  <c:v>3630.8</c:v>
                </c:pt>
                <c:pt idx="90">
                  <c:v>3981.1</c:v>
                </c:pt>
                <c:pt idx="91">
                  <c:v>4365.2</c:v>
                </c:pt>
                <c:pt idx="92">
                  <c:v>4786.3</c:v>
                </c:pt>
                <c:pt idx="93">
                  <c:v>5248.1</c:v>
                </c:pt>
                <c:pt idx="94">
                  <c:v>5370.3</c:v>
                </c:pt>
                <c:pt idx="95">
                  <c:v>5432.85</c:v>
                </c:pt>
                <c:pt idx="96">
                  <c:v>5495.4</c:v>
                </c:pt>
                <c:pt idx="97">
                  <c:v>5559.4</c:v>
                </c:pt>
                <c:pt idx="98">
                  <c:v>5623.4</c:v>
                </c:pt>
                <c:pt idx="99">
                  <c:v>5688.9</c:v>
                </c:pt>
                <c:pt idx="100">
                  <c:v>5754.4</c:v>
                </c:pt>
                <c:pt idx="101">
                  <c:v>5821.4</c:v>
                </c:pt>
                <c:pt idx="102">
                  <c:v>5888.4</c:v>
                </c:pt>
                <c:pt idx="103">
                  <c:v>5957</c:v>
                </c:pt>
                <c:pt idx="104">
                  <c:v>6025.6</c:v>
                </c:pt>
                <c:pt idx="105">
                  <c:v>6095.8</c:v>
                </c:pt>
                <c:pt idx="106">
                  <c:v>6166</c:v>
                </c:pt>
                <c:pt idx="107">
                  <c:v>6237.8</c:v>
                </c:pt>
                <c:pt idx="108">
                  <c:v>6309.6</c:v>
                </c:pt>
                <c:pt idx="109">
                  <c:v>6383.05</c:v>
                </c:pt>
                <c:pt idx="110">
                  <c:v>6456.5</c:v>
                </c:pt>
                <c:pt idx="111">
                  <c:v>6531.7</c:v>
                </c:pt>
                <c:pt idx="112">
                  <c:v>6606.9</c:v>
                </c:pt>
                <c:pt idx="113">
                  <c:v>6683.85</c:v>
                </c:pt>
                <c:pt idx="114">
                  <c:v>6760.8</c:v>
                </c:pt>
                <c:pt idx="115">
                  <c:v>6839.55</c:v>
                </c:pt>
                <c:pt idx="116">
                  <c:v>6918.3</c:v>
                </c:pt>
                <c:pt idx="117">
                  <c:v>6998.9</c:v>
                </c:pt>
                <c:pt idx="118">
                  <c:v>7079.5</c:v>
                </c:pt>
                <c:pt idx="119">
                  <c:v>7161.95</c:v>
                </c:pt>
                <c:pt idx="120">
                  <c:v>7244.4</c:v>
                </c:pt>
                <c:pt idx="121">
                  <c:v>7328.75</c:v>
                </c:pt>
                <c:pt idx="122">
                  <c:v>7413.1</c:v>
                </c:pt>
                <c:pt idx="123">
                  <c:v>7499.45</c:v>
                </c:pt>
                <c:pt idx="124">
                  <c:v>7585.8</c:v>
                </c:pt>
                <c:pt idx="125">
                  <c:v>7674.15</c:v>
                </c:pt>
                <c:pt idx="126">
                  <c:v>7762.5</c:v>
                </c:pt>
                <c:pt idx="127">
                  <c:v>7852.9</c:v>
                </c:pt>
                <c:pt idx="128">
                  <c:v>7943.3</c:v>
                </c:pt>
                <c:pt idx="129">
                  <c:v>8035.8</c:v>
                </c:pt>
                <c:pt idx="130">
                  <c:v>8128.3</c:v>
                </c:pt>
                <c:pt idx="131">
                  <c:v>8222.9500000000007</c:v>
                </c:pt>
                <c:pt idx="132">
                  <c:v>8270.2750000000015</c:v>
                </c:pt>
                <c:pt idx="133">
                  <c:v>8317.6</c:v>
                </c:pt>
                <c:pt idx="134">
                  <c:v>8366.0499999999993</c:v>
                </c:pt>
                <c:pt idx="135">
                  <c:v>8414.5</c:v>
                </c:pt>
                <c:pt idx="136">
                  <c:v>8462.9500000000007</c:v>
                </c:pt>
                <c:pt idx="137">
                  <c:v>8511.4</c:v>
                </c:pt>
                <c:pt idx="138">
                  <c:v>8560.9500000000007</c:v>
                </c:pt>
                <c:pt idx="139">
                  <c:v>8610.5</c:v>
                </c:pt>
                <c:pt idx="140">
                  <c:v>8660.0499999999993</c:v>
                </c:pt>
                <c:pt idx="141">
                  <c:v>8709.6</c:v>
                </c:pt>
                <c:pt idx="142">
                  <c:v>8760.3250000000007</c:v>
                </c:pt>
                <c:pt idx="143">
                  <c:v>8811.0499999999993</c:v>
                </c:pt>
                <c:pt idx="144">
                  <c:v>8861.7749999999996</c:v>
                </c:pt>
                <c:pt idx="145">
                  <c:v>8912.5</c:v>
                </c:pt>
                <c:pt idx="146">
                  <c:v>8964.4</c:v>
                </c:pt>
                <c:pt idx="147">
                  <c:v>9016.2999999999993</c:v>
                </c:pt>
                <c:pt idx="148">
                  <c:v>9068.2000000000007</c:v>
                </c:pt>
                <c:pt idx="149">
                  <c:v>9120.1</c:v>
                </c:pt>
                <c:pt idx="150">
                  <c:v>9173.2000000000007</c:v>
                </c:pt>
                <c:pt idx="151">
                  <c:v>9226.2999999999993</c:v>
                </c:pt>
                <c:pt idx="152">
                  <c:v>9279.4</c:v>
                </c:pt>
                <c:pt idx="153">
                  <c:v>9332.5</c:v>
                </c:pt>
                <c:pt idx="154">
                  <c:v>9386.85</c:v>
                </c:pt>
                <c:pt idx="155">
                  <c:v>9441.2000000000007</c:v>
                </c:pt>
                <c:pt idx="156">
                  <c:v>9495.5499999999993</c:v>
                </c:pt>
                <c:pt idx="157">
                  <c:v>9549.9</c:v>
                </c:pt>
                <c:pt idx="158">
                  <c:v>9605.5249999999996</c:v>
                </c:pt>
                <c:pt idx="159">
                  <c:v>9661.15</c:v>
                </c:pt>
                <c:pt idx="160">
                  <c:v>9716.7749999999996</c:v>
                </c:pt>
                <c:pt idx="161">
                  <c:v>9772.4</c:v>
                </c:pt>
                <c:pt idx="162">
                  <c:v>9829.2999999999993</c:v>
                </c:pt>
                <c:pt idx="163">
                  <c:v>9886.2000000000007</c:v>
                </c:pt>
                <c:pt idx="164">
                  <c:v>9943.1</c:v>
                </c:pt>
                <c:pt idx="165">
                  <c:v>10000</c:v>
                </c:pt>
                <c:pt idx="166">
                  <c:v>10058.25</c:v>
                </c:pt>
                <c:pt idx="167">
                  <c:v>10116.5</c:v>
                </c:pt>
                <c:pt idx="168">
                  <c:v>10174.75</c:v>
                </c:pt>
                <c:pt idx="169">
                  <c:v>10233</c:v>
                </c:pt>
                <c:pt idx="170">
                  <c:v>10292.5</c:v>
                </c:pt>
                <c:pt idx="171">
                  <c:v>10352</c:v>
                </c:pt>
                <c:pt idx="172">
                  <c:v>10411.5</c:v>
                </c:pt>
                <c:pt idx="173">
                  <c:v>10471</c:v>
                </c:pt>
                <c:pt idx="174">
                  <c:v>10532</c:v>
                </c:pt>
                <c:pt idx="175">
                  <c:v>10593</c:v>
                </c:pt>
                <c:pt idx="176">
                  <c:v>10654</c:v>
                </c:pt>
                <c:pt idx="177">
                  <c:v>10715</c:v>
                </c:pt>
                <c:pt idx="178">
                  <c:v>10777.5</c:v>
                </c:pt>
                <c:pt idx="179">
                  <c:v>10840</c:v>
                </c:pt>
                <c:pt idx="180">
                  <c:v>10902.5</c:v>
                </c:pt>
                <c:pt idx="181">
                  <c:v>10965</c:v>
                </c:pt>
                <c:pt idx="182">
                  <c:v>11028.75</c:v>
                </c:pt>
                <c:pt idx="183">
                  <c:v>11092.5</c:v>
                </c:pt>
                <c:pt idx="184">
                  <c:v>11156.25</c:v>
                </c:pt>
                <c:pt idx="185">
                  <c:v>11220</c:v>
                </c:pt>
                <c:pt idx="186">
                  <c:v>11285.5</c:v>
                </c:pt>
                <c:pt idx="187">
                  <c:v>11351</c:v>
                </c:pt>
                <c:pt idx="188">
                  <c:v>11416.5</c:v>
                </c:pt>
                <c:pt idx="189">
                  <c:v>11482</c:v>
                </c:pt>
                <c:pt idx="190">
                  <c:v>11548.75</c:v>
                </c:pt>
                <c:pt idx="191">
                  <c:v>11615.5</c:v>
                </c:pt>
                <c:pt idx="192">
                  <c:v>11682.25</c:v>
                </c:pt>
                <c:pt idx="193">
                  <c:v>11749</c:v>
                </c:pt>
                <c:pt idx="194">
                  <c:v>11817.5</c:v>
                </c:pt>
                <c:pt idx="195">
                  <c:v>11886</c:v>
                </c:pt>
                <c:pt idx="196">
                  <c:v>11954.5</c:v>
                </c:pt>
                <c:pt idx="197">
                  <c:v>12023</c:v>
                </c:pt>
                <c:pt idx="198">
                  <c:v>12093</c:v>
                </c:pt>
                <c:pt idx="199">
                  <c:v>12163</c:v>
                </c:pt>
                <c:pt idx="200">
                  <c:v>12233</c:v>
                </c:pt>
                <c:pt idx="201">
                  <c:v>12303</c:v>
                </c:pt>
                <c:pt idx="202">
                  <c:v>12374.5</c:v>
                </c:pt>
                <c:pt idx="203">
                  <c:v>12446</c:v>
                </c:pt>
                <c:pt idx="204">
                  <c:v>12517.5</c:v>
                </c:pt>
                <c:pt idx="205">
                  <c:v>12589</c:v>
                </c:pt>
                <c:pt idx="206">
                  <c:v>12662.25</c:v>
                </c:pt>
                <c:pt idx="207">
                  <c:v>12735.5</c:v>
                </c:pt>
                <c:pt idx="208">
                  <c:v>12808.75</c:v>
                </c:pt>
                <c:pt idx="209">
                  <c:v>12882</c:v>
                </c:pt>
                <c:pt idx="210">
                  <c:v>12957.25</c:v>
                </c:pt>
                <c:pt idx="211">
                  <c:v>13032.5</c:v>
                </c:pt>
                <c:pt idx="212">
                  <c:v>13107.75</c:v>
                </c:pt>
                <c:pt idx="213">
                  <c:v>13183</c:v>
                </c:pt>
                <c:pt idx="214">
                  <c:v>13259.75</c:v>
                </c:pt>
                <c:pt idx="215">
                  <c:v>13336.5</c:v>
                </c:pt>
                <c:pt idx="216">
                  <c:v>13413.25</c:v>
                </c:pt>
                <c:pt idx="217">
                  <c:v>13490</c:v>
                </c:pt>
                <c:pt idx="218">
                  <c:v>13568.5</c:v>
                </c:pt>
                <c:pt idx="219">
                  <c:v>13647</c:v>
                </c:pt>
                <c:pt idx="220">
                  <c:v>13725.5</c:v>
                </c:pt>
                <c:pt idx="221">
                  <c:v>13804</c:v>
                </c:pt>
                <c:pt idx="222">
                  <c:v>13884.25</c:v>
                </c:pt>
                <c:pt idx="223">
                  <c:v>13964.5</c:v>
                </c:pt>
                <c:pt idx="224">
                  <c:v>14044.75</c:v>
                </c:pt>
                <c:pt idx="225">
                  <c:v>14125</c:v>
                </c:pt>
                <c:pt idx="226">
                  <c:v>14207.25</c:v>
                </c:pt>
                <c:pt idx="227">
                  <c:v>14289.5</c:v>
                </c:pt>
                <c:pt idx="228">
                  <c:v>14371.75</c:v>
                </c:pt>
                <c:pt idx="229">
                  <c:v>14454</c:v>
                </c:pt>
                <c:pt idx="230">
                  <c:v>14622.5</c:v>
                </c:pt>
                <c:pt idx="231">
                  <c:v>14706.75</c:v>
                </c:pt>
                <c:pt idx="232">
                  <c:v>14791</c:v>
                </c:pt>
                <c:pt idx="233">
                  <c:v>14877.25</c:v>
                </c:pt>
                <c:pt idx="234">
                  <c:v>14963.5</c:v>
                </c:pt>
                <c:pt idx="235">
                  <c:v>15049.75</c:v>
                </c:pt>
                <c:pt idx="236">
                  <c:v>15136</c:v>
                </c:pt>
                <c:pt idx="237">
                  <c:v>15224</c:v>
                </c:pt>
                <c:pt idx="238">
                  <c:v>15312</c:v>
                </c:pt>
                <c:pt idx="239">
                  <c:v>15400</c:v>
                </c:pt>
                <c:pt idx="240">
                  <c:v>15488</c:v>
                </c:pt>
                <c:pt idx="241">
                  <c:v>15578.25</c:v>
                </c:pt>
                <c:pt idx="242">
                  <c:v>15668.5</c:v>
                </c:pt>
                <c:pt idx="243">
                  <c:v>15758.75</c:v>
                </c:pt>
                <c:pt idx="244">
                  <c:v>15849</c:v>
                </c:pt>
                <c:pt idx="245">
                  <c:v>15941.25</c:v>
                </c:pt>
                <c:pt idx="246">
                  <c:v>16033.5</c:v>
                </c:pt>
                <c:pt idx="247">
                  <c:v>16125.75</c:v>
                </c:pt>
                <c:pt idx="248">
                  <c:v>16218</c:v>
                </c:pt>
                <c:pt idx="249">
                  <c:v>16312.5</c:v>
                </c:pt>
                <c:pt idx="250">
                  <c:v>16407</c:v>
                </c:pt>
                <c:pt idx="251">
                  <c:v>16501.5</c:v>
                </c:pt>
                <c:pt idx="252">
                  <c:v>16596</c:v>
                </c:pt>
                <c:pt idx="253">
                  <c:v>16692.5</c:v>
                </c:pt>
                <c:pt idx="254">
                  <c:v>16789</c:v>
                </c:pt>
                <c:pt idx="255">
                  <c:v>16885.5</c:v>
                </c:pt>
                <c:pt idx="256">
                  <c:v>16982</c:v>
                </c:pt>
                <c:pt idx="257">
                  <c:v>17081</c:v>
                </c:pt>
                <c:pt idx="258">
                  <c:v>17180</c:v>
                </c:pt>
                <c:pt idx="259">
                  <c:v>17279</c:v>
                </c:pt>
                <c:pt idx="260">
                  <c:v>17378</c:v>
                </c:pt>
                <c:pt idx="261">
                  <c:v>17479.25</c:v>
                </c:pt>
                <c:pt idx="262">
                  <c:v>17580.5</c:v>
                </c:pt>
                <c:pt idx="263">
                  <c:v>17681.75</c:v>
                </c:pt>
                <c:pt idx="264">
                  <c:v>17783</c:v>
                </c:pt>
                <c:pt idx="265">
                  <c:v>17886.5</c:v>
                </c:pt>
                <c:pt idx="266">
                  <c:v>17990</c:v>
                </c:pt>
                <c:pt idx="267">
                  <c:v>18093.5</c:v>
                </c:pt>
                <c:pt idx="268">
                  <c:v>18197</c:v>
                </c:pt>
                <c:pt idx="269">
                  <c:v>18303</c:v>
                </c:pt>
                <c:pt idx="270">
                  <c:v>18409</c:v>
                </c:pt>
                <c:pt idx="271">
                  <c:v>18515</c:v>
                </c:pt>
                <c:pt idx="272">
                  <c:v>18621</c:v>
                </c:pt>
                <c:pt idx="273">
                  <c:v>18729.5</c:v>
                </c:pt>
                <c:pt idx="274">
                  <c:v>18838</c:v>
                </c:pt>
                <c:pt idx="275">
                  <c:v>18946.5</c:v>
                </c:pt>
                <c:pt idx="276">
                  <c:v>19055</c:v>
                </c:pt>
                <c:pt idx="277">
                  <c:v>19165.75</c:v>
                </c:pt>
                <c:pt idx="278">
                  <c:v>19276.5</c:v>
                </c:pt>
                <c:pt idx="279">
                  <c:v>19387.25</c:v>
                </c:pt>
                <c:pt idx="280">
                  <c:v>19498</c:v>
                </c:pt>
                <c:pt idx="281">
                  <c:v>19611.75</c:v>
                </c:pt>
                <c:pt idx="282">
                  <c:v>19725.5</c:v>
                </c:pt>
                <c:pt idx="283">
                  <c:v>19839.25</c:v>
                </c:pt>
                <c:pt idx="284">
                  <c:v>19953</c:v>
                </c:pt>
                <c:pt idx="285">
                  <c:v>20069</c:v>
                </c:pt>
                <c:pt idx="286">
                  <c:v>20185</c:v>
                </c:pt>
                <c:pt idx="287">
                  <c:v>20301</c:v>
                </c:pt>
                <c:pt idx="288">
                  <c:v>20417</c:v>
                </c:pt>
                <c:pt idx="289">
                  <c:v>20536</c:v>
                </c:pt>
                <c:pt idx="290">
                  <c:v>20655</c:v>
                </c:pt>
                <c:pt idx="291">
                  <c:v>20774</c:v>
                </c:pt>
                <c:pt idx="292">
                  <c:v>20893</c:v>
                </c:pt>
                <c:pt idx="293">
                  <c:v>21014.75</c:v>
                </c:pt>
                <c:pt idx="294">
                  <c:v>21136.5</c:v>
                </c:pt>
                <c:pt idx="295">
                  <c:v>21258.25</c:v>
                </c:pt>
                <c:pt idx="296">
                  <c:v>21380</c:v>
                </c:pt>
                <c:pt idx="297">
                  <c:v>21504.5</c:v>
                </c:pt>
                <c:pt idx="298">
                  <c:v>21629</c:v>
                </c:pt>
                <c:pt idx="299">
                  <c:v>21753.5</c:v>
                </c:pt>
                <c:pt idx="300">
                  <c:v>21878</c:v>
                </c:pt>
                <c:pt idx="301">
                  <c:v>22005.25</c:v>
                </c:pt>
                <c:pt idx="302">
                  <c:v>22132.5</c:v>
                </c:pt>
                <c:pt idx="303">
                  <c:v>22259.75</c:v>
                </c:pt>
                <c:pt idx="304">
                  <c:v>22387</c:v>
                </c:pt>
                <c:pt idx="305">
                  <c:v>22517.5</c:v>
                </c:pt>
                <c:pt idx="306">
                  <c:v>22648</c:v>
                </c:pt>
                <c:pt idx="307">
                  <c:v>22778.5</c:v>
                </c:pt>
                <c:pt idx="308">
                  <c:v>22909</c:v>
                </c:pt>
                <c:pt idx="309">
                  <c:v>23042.25</c:v>
                </c:pt>
                <c:pt idx="310">
                  <c:v>23175.5</c:v>
                </c:pt>
                <c:pt idx="311">
                  <c:v>23308.75</c:v>
                </c:pt>
                <c:pt idx="312">
                  <c:v>23442</c:v>
                </c:pt>
                <c:pt idx="313">
                  <c:v>23578.5</c:v>
                </c:pt>
                <c:pt idx="314">
                  <c:v>23715</c:v>
                </c:pt>
                <c:pt idx="315">
                  <c:v>23851.5</c:v>
                </c:pt>
                <c:pt idx="316">
                  <c:v>23988</c:v>
                </c:pt>
                <c:pt idx="317">
                  <c:v>24127.75</c:v>
                </c:pt>
                <c:pt idx="318">
                  <c:v>24267.5</c:v>
                </c:pt>
                <c:pt idx="319">
                  <c:v>24407.25</c:v>
                </c:pt>
                <c:pt idx="320">
                  <c:v>24547</c:v>
                </c:pt>
                <c:pt idx="321">
                  <c:v>24690</c:v>
                </c:pt>
                <c:pt idx="322">
                  <c:v>24833</c:v>
                </c:pt>
                <c:pt idx="323">
                  <c:v>24976</c:v>
                </c:pt>
                <c:pt idx="324">
                  <c:v>25119</c:v>
                </c:pt>
                <c:pt idx="325">
                  <c:v>25265.25</c:v>
                </c:pt>
                <c:pt idx="326">
                  <c:v>25411.5</c:v>
                </c:pt>
                <c:pt idx="327">
                  <c:v>25557.75</c:v>
                </c:pt>
                <c:pt idx="328">
                  <c:v>25704</c:v>
                </c:pt>
                <c:pt idx="329">
                  <c:v>25853.75</c:v>
                </c:pt>
                <c:pt idx="330">
                  <c:v>26003.5</c:v>
                </c:pt>
                <c:pt idx="331">
                  <c:v>26153.25</c:v>
                </c:pt>
                <c:pt idx="332">
                  <c:v>26303</c:v>
                </c:pt>
                <c:pt idx="333">
                  <c:v>26456</c:v>
                </c:pt>
                <c:pt idx="334">
                  <c:v>26609</c:v>
                </c:pt>
                <c:pt idx="335">
                  <c:v>26762</c:v>
                </c:pt>
                <c:pt idx="336">
                  <c:v>26915</c:v>
                </c:pt>
                <c:pt idx="337">
                  <c:v>27071.75</c:v>
                </c:pt>
                <c:pt idx="338">
                  <c:v>27228.5</c:v>
                </c:pt>
                <c:pt idx="339">
                  <c:v>27385.25</c:v>
                </c:pt>
                <c:pt idx="340">
                  <c:v>27542</c:v>
                </c:pt>
                <c:pt idx="341">
                  <c:v>27702.5</c:v>
                </c:pt>
                <c:pt idx="342">
                  <c:v>27863</c:v>
                </c:pt>
                <c:pt idx="343">
                  <c:v>28023.5</c:v>
                </c:pt>
                <c:pt idx="344">
                  <c:v>28184</c:v>
                </c:pt>
                <c:pt idx="345">
                  <c:v>28348</c:v>
                </c:pt>
                <c:pt idx="346">
                  <c:v>28512</c:v>
                </c:pt>
                <c:pt idx="347">
                  <c:v>28676</c:v>
                </c:pt>
                <c:pt idx="348">
                  <c:v>28840</c:v>
                </c:pt>
                <c:pt idx="349">
                  <c:v>29008</c:v>
                </c:pt>
                <c:pt idx="350">
                  <c:v>29176</c:v>
                </c:pt>
                <c:pt idx="351">
                  <c:v>29344</c:v>
                </c:pt>
                <c:pt idx="352">
                  <c:v>29512</c:v>
                </c:pt>
                <c:pt idx="353">
                  <c:v>29684</c:v>
                </c:pt>
                <c:pt idx="354">
                  <c:v>29856</c:v>
                </c:pt>
                <c:pt idx="355">
                  <c:v>30028</c:v>
                </c:pt>
                <c:pt idx="356">
                  <c:v>30200</c:v>
                </c:pt>
                <c:pt idx="357">
                  <c:v>30375.75</c:v>
                </c:pt>
                <c:pt idx="358">
                  <c:v>30551.5</c:v>
                </c:pt>
                <c:pt idx="359">
                  <c:v>30727.25</c:v>
                </c:pt>
                <c:pt idx="360">
                  <c:v>30903</c:v>
                </c:pt>
                <c:pt idx="361">
                  <c:v>31083</c:v>
                </c:pt>
                <c:pt idx="362">
                  <c:v>31263</c:v>
                </c:pt>
                <c:pt idx="363">
                  <c:v>31443</c:v>
                </c:pt>
                <c:pt idx="364">
                  <c:v>31623</c:v>
                </c:pt>
                <c:pt idx="365">
                  <c:v>31807</c:v>
                </c:pt>
                <c:pt idx="366">
                  <c:v>31991</c:v>
                </c:pt>
                <c:pt idx="367">
                  <c:v>32175</c:v>
                </c:pt>
                <c:pt idx="368">
                  <c:v>32359</c:v>
                </c:pt>
                <c:pt idx="369">
                  <c:v>32547.5</c:v>
                </c:pt>
                <c:pt idx="370">
                  <c:v>32736</c:v>
                </c:pt>
                <c:pt idx="371">
                  <c:v>32924.5</c:v>
                </c:pt>
                <c:pt idx="372">
                  <c:v>33113</c:v>
                </c:pt>
                <c:pt idx="373">
                  <c:v>33305.75</c:v>
                </c:pt>
                <c:pt idx="374">
                  <c:v>33498.5</c:v>
                </c:pt>
                <c:pt idx="375">
                  <c:v>33691.25</c:v>
                </c:pt>
                <c:pt idx="376">
                  <c:v>33884</c:v>
                </c:pt>
                <c:pt idx="377">
                  <c:v>34081.5</c:v>
                </c:pt>
                <c:pt idx="378">
                  <c:v>34279</c:v>
                </c:pt>
                <c:pt idx="379">
                  <c:v>34476.5</c:v>
                </c:pt>
                <c:pt idx="380">
                  <c:v>34674</c:v>
                </c:pt>
                <c:pt idx="381">
                  <c:v>34875.75</c:v>
                </c:pt>
                <c:pt idx="382">
                  <c:v>35077.5</c:v>
                </c:pt>
                <c:pt idx="383">
                  <c:v>35279.25</c:v>
                </c:pt>
                <c:pt idx="384">
                  <c:v>35481</c:v>
                </c:pt>
                <c:pt idx="385">
                  <c:v>35687.75</c:v>
                </c:pt>
                <c:pt idx="386">
                  <c:v>35894.5</c:v>
                </c:pt>
                <c:pt idx="387">
                  <c:v>36101.25</c:v>
                </c:pt>
                <c:pt idx="388">
                  <c:v>36308</c:v>
                </c:pt>
                <c:pt idx="389">
                  <c:v>36519.5</c:v>
                </c:pt>
                <c:pt idx="390">
                  <c:v>36731</c:v>
                </c:pt>
                <c:pt idx="391">
                  <c:v>36942.5</c:v>
                </c:pt>
                <c:pt idx="392">
                  <c:v>37154</c:v>
                </c:pt>
                <c:pt idx="393">
                  <c:v>37370.25</c:v>
                </c:pt>
                <c:pt idx="394">
                  <c:v>37586.5</c:v>
                </c:pt>
                <c:pt idx="395">
                  <c:v>37802.75</c:v>
                </c:pt>
                <c:pt idx="396">
                  <c:v>38019</c:v>
                </c:pt>
                <c:pt idx="397">
                  <c:v>38240.5</c:v>
                </c:pt>
                <c:pt idx="398">
                  <c:v>38462</c:v>
                </c:pt>
                <c:pt idx="399">
                  <c:v>38683.5</c:v>
                </c:pt>
                <c:pt idx="400">
                  <c:v>38905</c:v>
                </c:pt>
                <c:pt idx="401">
                  <c:v>39131.5</c:v>
                </c:pt>
                <c:pt idx="402">
                  <c:v>39358</c:v>
                </c:pt>
                <c:pt idx="403">
                  <c:v>39584.5</c:v>
                </c:pt>
                <c:pt idx="404">
                  <c:v>39811</c:v>
                </c:pt>
                <c:pt idx="405">
                  <c:v>40042.75</c:v>
                </c:pt>
                <c:pt idx="406">
                  <c:v>40274.5</c:v>
                </c:pt>
                <c:pt idx="407">
                  <c:v>40506.25</c:v>
                </c:pt>
                <c:pt idx="408">
                  <c:v>40738</c:v>
                </c:pt>
                <c:pt idx="409">
                  <c:v>40975.25</c:v>
                </c:pt>
                <c:pt idx="410">
                  <c:v>41212.5</c:v>
                </c:pt>
                <c:pt idx="411">
                  <c:v>41449.75</c:v>
                </c:pt>
                <c:pt idx="412">
                  <c:v>41687</c:v>
                </c:pt>
                <c:pt idx="413">
                  <c:v>41929.75</c:v>
                </c:pt>
                <c:pt idx="414">
                  <c:v>42172.5</c:v>
                </c:pt>
                <c:pt idx="415">
                  <c:v>42415.25</c:v>
                </c:pt>
                <c:pt idx="416">
                  <c:v>42658</c:v>
                </c:pt>
                <c:pt idx="417">
                  <c:v>42906.5</c:v>
                </c:pt>
                <c:pt idx="418">
                  <c:v>43155</c:v>
                </c:pt>
                <c:pt idx="419">
                  <c:v>43403.5</c:v>
                </c:pt>
                <c:pt idx="420">
                  <c:v>43652</c:v>
                </c:pt>
                <c:pt idx="421">
                  <c:v>43906</c:v>
                </c:pt>
                <c:pt idx="422">
                  <c:v>44160</c:v>
                </c:pt>
                <c:pt idx="423">
                  <c:v>44414</c:v>
                </c:pt>
                <c:pt idx="424">
                  <c:v>44668</c:v>
                </c:pt>
                <c:pt idx="425">
                  <c:v>44928.25</c:v>
                </c:pt>
                <c:pt idx="426">
                  <c:v>45188.5</c:v>
                </c:pt>
                <c:pt idx="427">
                  <c:v>45448.75</c:v>
                </c:pt>
                <c:pt idx="428">
                  <c:v>45709</c:v>
                </c:pt>
                <c:pt idx="429">
                  <c:v>45975.25</c:v>
                </c:pt>
                <c:pt idx="430">
                  <c:v>46241.5</c:v>
                </c:pt>
                <c:pt idx="431">
                  <c:v>46507.75</c:v>
                </c:pt>
                <c:pt idx="432">
                  <c:v>46774</c:v>
                </c:pt>
                <c:pt idx="433">
                  <c:v>47046.25</c:v>
                </c:pt>
                <c:pt idx="434">
                  <c:v>47318.5</c:v>
                </c:pt>
                <c:pt idx="435">
                  <c:v>47590.75</c:v>
                </c:pt>
                <c:pt idx="436">
                  <c:v>47863</c:v>
                </c:pt>
                <c:pt idx="437">
                  <c:v>48141.75</c:v>
                </c:pt>
                <c:pt idx="438">
                  <c:v>48420.5</c:v>
                </c:pt>
                <c:pt idx="439">
                  <c:v>48699.25</c:v>
                </c:pt>
                <c:pt idx="440">
                  <c:v>48978</c:v>
                </c:pt>
                <c:pt idx="441">
                  <c:v>49263.25</c:v>
                </c:pt>
                <c:pt idx="442">
                  <c:v>49548.5</c:v>
                </c:pt>
                <c:pt idx="443">
                  <c:v>49833.75</c:v>
                </c:pt>
                <c:pt idx="444">
                  <c:v>50119</c:v>
                </c:pt>
                <c:pt idx="445">
                  <c:v>50410.75</c:v>
                </c:pt>
                <c:pt idx="446">
                  <c:v>50702.5</c:v>
                </c:pt>
                <c:pt idx="447">
                  <c:v>50994.25</c:v>
                </c:pt>
                <c:pt idx="448">
                  <c:v>51286</c:v>
                </c:pt>
                <c:pt idx="449">
                  <c:v>51584.75</c:v>
                </c:pt>
                <c:pt idx="450">
                  <c:v>51883.5</c:v>
                </c:pt>
                <c:pt idx="451">
                  <c:v>52182.25</c:v>
                </c:pt>
                <c:pt idx="452">
                  <c:v>52481</c:v>
                </c:pt>
                <c:pt idx="453">
                  <c:v>52786.5</c:v>
                </c:pt>
                <c:pt idx="454">
                  <c:v>53092</c:v>
                </c:pt>
                <c:pt idx="455">
                  <c:v>53397.5</c:v>
                </c:pt>
                <c:pt idx="456">
                  <c:v>53703</c:v>
                </c:pt>
                <c:pt idx="457">
                  <c:v>54015.75</c:v>
                </c:pt>
                <c:pt idx="458">
                  <c:v>54328.5</c:v>
                </c:pt>
                <c:pt idx="459">
                  <c:v>54641.25</c:v>
                </c:pt>
                <c:pt idx="460">
                  <c:v>54954</c:v>
                </c:pt>
                <c:pt idx="461">
                  <c:v>55274</c:v>
                </c:pt>
                <c:pt idx="462">
                  <c:v>55594</c:v>
                </c:pt>
                <c:pt idx="463">
                  <c:v>55914</c:v>
                </c:pt>
                <c:pt idx="464">
                  <c:v>56234</c:v>
                </c:pt>
                <c:pt idx="465">
                  <c:v>56561.5</c:v>
                </c:pt>
                <c:pt idx="466">
                  <c:v>56889</c:v>
                </c:pt>
                <c:pt idx="467">
                  <c:v>57216.5</c:v>
                </c:pt>
                <c:pt idx="468">
                  <c:v>57544</c:v>
                </c:pt>
                <c:pt idx="469">
                  <c:v>57879</c:v>
                </c:pt>
                <c:pt idx="470">
                  <c:v>58214</c:v>
                </c:pt>
                <c:pt idx="471">
                  <c:v>58549</c:v>
                </c:pt>
                <c:pt idx="472">
                  <c:v>58884</c:v>
                </c:pt>
                <c:pt idx="473">
                  <c:v>59227</c:v>
                </c:pt>
                <c:pt idx="474">
                  <c:v>59570</c:v>
                </c:pt>
                <c:pt idx="475">
                  <c:v>59913</c:v>
                </c:pt>
                <c:pt idx="476">
                  <c:v>60256</c:v>
                </c:pt>
                <c:pt idx="477">
                  <c:v>60607</c:v>
                </c:pt>
                <c:pt idx="478">
                  <c:v>60958</c:v>
                </c:pt>
                <c:pt idx="479">
                  <c:v>61309</c:v>
                </c:pt>
                <c:pt idx="480">
                  <c:v>61660</c:v>
                </c:pt>
                <c:pt idx="481">
                  <c:v>62019</c:v>
                </c:pt>
                <c:pt idx="482">
                  <c:v>62378</c:v>
                </c:pt>
                <c:pt idx="483">
                  <c:v>62737</c:v>
                </c:pt>
                <c:pt idx="484">
                  <c:v>63096</c:v>
                </c:pt>
                <c:pt idx="485">
                  <c:v>63463.25</c:v>
                </c:pt>
                <c:pt idx="486">
                  <c:v>63830.5</c:v>
                </c:pt>
                <c:pt idx="487">
                  <c:v>64197.75</c:v>
                </c:pt>
                <c:pt idx="488">
                  <c:v>64565</c:v>
                </c:pt>
                <c:pt idx="489">
                  <c:v>64941</c:v>
                </c:pt>
                <c:pt idx="490">
                  <c:v>65317</c:v>
                </c:pt>
                <c:pt idx="491">
                  <c:v>65693</c:v>
                </c:pt>
                <c:pt idx="492">
                  <c:v>66069</c:v>
                </c:pt>
                <c:pt idx="493">
                  <c:v>66453.75</c:v>
                </c:pt>
                <c:pt idx="494">
                  <c:v>66838.5</c:v>
                </c:pt>
                <c:pt idx="495">
                  <c:v>67223.25</c:v>
                </c:pt>
                <c:pt idx="496">
                  <c:v>67608</c:v>
                </c:pt>
                <c:pt idx="497">
                  <c:v>68001.75</c:v>
                </c:pt>
                <c:pt idx="498">
                  <c:v>68395.5</c:v>
                </c:pt>
                <c:pt idx="499">
                  <c:v>68789.25</c:v>
                </c:pt>
                <c:pt idx="500">
                  <c:v>69183</c:v>
                </c:pt>
                <c:pt idx="501">
                  <c:v>69586</c:v>
                </c:pt>
                <c:pt idx="502">
                  <c:v>69989</c:v>
                </c:pt>
                <c:pt idx="503">
                  <c:v>70392</c:v>
                </c:pt>
                <c:pt idx="504">
                  <c:v>70795</c:v>
                </c:pt>
                <c:pt idx="505">
                  <c:v>71207.25</c:v>
                </c:pt>
                <c:pt idx="506">
                  <c:v>71619.5</c:v>
                </c:pt>
                <c:pt idx="507">
                  <c:v>72031.75</c:v>
                </c:pt>
                <c:pt idx="508">
                  <c:v>72444</c:v>
                </c:pt>
                <c:pt idx="509">
                  <c:v>72865.75</c:v>
                </c:pt>
                <c:pt idx="510">
                  <c:v>73287.5</c:v>
                </c:pt>
                <c:pt idx="511">
                  <c:v>73709.25</c:v>
                </c:pt>
                <c:pt idx="512">
                  <c:v>74131</c:v>
                </c:pt>
                <c:pt idx="513">
                  <c:v>74562.75</c:v>
                </c:pt>
                <c:pt idx="514">
                  <c:v>74994.5</c:v>
                </c:pt>
                <c:pt idx="515">
                  <c:v>75426.25</c:v>
                </c:pt>
                <c:pt idx="516">
                  <c:v>75858</c:v>
                </c:pt>
                <c:pt idx="517">
                  <c:v>76299.75</c:v>
                </c:pt>
                <c:pt idx="518">
                  <c:v>76741.5</c:v>
                </c:pt>
                <c:pt idx="519">
                  <c:v>77183.25</c:v>
                </c:pt>
                <c:pt idx="520">
                  <c:v>77625</c:v>
                </c:pt>
                <c:pt idx="521">
                  <c:v>78077</c:v>
                </c:pt>
                <c:pt idx="522">
                  <c:v>78529</c:v>
                </c:pt>
                <c:pt idx="523">
                  <c:v>78981</c:v>
                </c:pt>
                <c:pt idx="524">
                  <c:v>79433</c:v>
                </c:pt>
                <c:pt idx="525">
                  <c:v>79895.5</c:v>
                </c:pt>
                <c:pt idx="526">
                  <c:v>80358</c:v>
                </c:pt>
                <c:pt idx="527">
                  <c:v>80820.5</c:v>
                </c:pt>
                <c:pt idx="528">
                  <c:v>81283</c:v>
                </c:pt>
                <c:pt idx="529">
                  <c:v>81756.25</c:v>
                </c:pt>
                <c:pt idx="530">
                  <c:v>82229.5</c:v>
                </c:pt>
                <c:pt idx="531">
                  <c:v>82702.75</c:v>
                </c:pt>
                <c:pt idx="532">
                  <c:v>83176</c:v>
                </c:pt>
                <c:pt idx="533">
                  <c:v>83660.5</c:v>
                </c:pt>
                <c:pt idx="534">
                  <c:v>84145</c:v>
                </c:pt>
                <c:pt idx="535">
                  <c:v>84629.5</c:v>
                </c:pt>
                <c:pt idx="536">
                  <c:v>85114</c:v>
                </c:pt>
                <c:pt idx="537">
                  <c:v>85609.5</c:v>
                </c:pt>
                <c:pt idx="538">
                  <c:v>86105</c:v>
                </c:pt>
                <c:pt idx="539">
                  <c:v>86600.5</c:v>
                </c:pt>
                <c:pt idx="540">
                  <c:v>87096</c:v>
                </c:pt>
                <c:pt idx="541">
                  <c:v>87603.25</c:v>
                </c:pt>
                <c:pt idx="542">
                  <c:v>88110.5</c:v>
                </c:pt>
                <c:pt idx="543">
                  <c:v>88617.75</c:v>
                </c:pt>
                <c:pt idx="544">
                  <c:v>89125</c:v>
                </c:pt>
                <c:pt idx="545">
                  <c:v>89644</c:v>
                </c:pt>
                <c:pt idx="546">
                  <c:v>90163</c:v>
                </c:pt>
                <c:pt idx="547">
                  <c:v>90682</c:v>
                </c:pt>
                <c:pt idx="548">
                  <c:v>91201</c:v>
                </c:pt>
                <c:pt idx="549">
                  <c:v>91732</c:v>
                </c:pt>
                <c:pt idx="550">
                  <c:v>92263</c:v>
                </c:pt>
                <c:pt idx="551">
                  <c:v>92794</c:v>
                </c:pt>
                <c:pt idx="552">
                  <c:v>93325</c:v>
                </c:pt>
                <c:pt idx="553">
                  <c:v>93868.5</c:v>
                </c:pt>
                <c:pt idx="554">
                  <c:v>94412</c:v>
                </c:pt>
                <c:pt idx="555">
                  <c:v>94955.5</c:v>
                </c:pt>
                <c:pt idx="556">
                  <c:v>95499</c:v>
                </c:pt>
                <c:pt idx="557">
                  <c:v>96611.5</c:v>
                </c:pt>
                <c:pt idx="558">
                  <c:v>97724</c:v>
                </c:pt>
                <c:pt idx="559">
                  <c:v>98862</c:v>
                </c:pt>
                <c:pt idx="560">
                  <c:v>100000</c:v>
                </c:pt>
                <c:pt idx="561">
                  <c:v>101165</c:v>
                </c:pt>
                <c:pt idx="562">
                  <c:v>102330</c:v>
                </c:pt>
                <c:pt idx="563">
                  <c:v>103520</c:v>
                </c:pt>
                <c:pt idx="564">
                  <c:v>104710</c:v>
                </c:pt>
                <c:pt idx="565">
                  <c:v>105930</c:v>
                </c:pt>
                <c:pt idx="566">
                  <c:v>107150</c:v>
                </c:pt>
                <c:pt idx="567">
                  <c:v>108400</c:v>
                </c:pt>
                <c:pt idx="568">
                  <c:v>109650</c:v>
                </c:pt>
                <c:pt idx="569">
                  <c:v>110925</c:v>
                </c:pt>
                <c:pt idx="570">
                  <c:v>112200</c:v>
                </c:pt>
                <c:pt idx="571">
                  <c:v>113510</c:v>
                </c:pt>
                <c:pt idx="572">
                  <c:v>114820</c:v>
                </c:pt>
                <c:pt idx="573">
                  <c:v>116155</c:v>
                </c:pt>
                <c:pt idx="574">
                  <c:v>117490</c:v>
                </c:pt>
                <c:pt idx="575">
                  <c:v>118860</c:v>
                </c:pt>
                <c:pt idx="576">
                  <c:v>120230</c:v>
                </c:pt>
                <c:pt idx="577">
                  <c:v>126030</c:v>
                </c:pt>
                <c:pt idx="578">
                  <c:v>131830</c:v>
                </c:pt>
                <c:pt idx="579">
                  <c:v>144540</c:v>
                </c:pt>
                <c:pt idx="580">
                  <c:v>158490</c:v>
                </c:pt>
                <c:pt idx="581">
                  <c:v>173780</c:v>
                </c:pt>
                <c:pt idx="582">
                  <c:v>190550</c:v>
                </c:pt>
                <c:pt idx="583">
                  <c:v>208930</c:v>
                </c:pt>
                <c:pt idx="584">
                  <c:v>229090</c:v>
                </c:pt>
                <c:pt idx="585">
                  <c:v>251190</c:v>
                </c:pt>
                <c:pt idx="586">
                  <c:v>275420</c:v>
                </c:pt>
                <c:pt idx="587">
                  <c:v>302000</c:v>
                </c:pt>
                <c:pt idx="588">
                  <c:v>331130</c:v>
                </c:pt>
                <c:pt idx="589">
                  <c:v>363080</c:v>
                </c:pt>
                <c:pt idx="590">
                  <c:v>398110</c:v>
                </c:pt>
                <c:pt idx="591">
                  <c:v>436520</c:v>
                </c:pt>
                <c:pt idx="592">
                  <c:v>478630</c:v>
                </c:pt>
                <c:pt idx="593">
                  <c:v>524810</c:v>
                </c:pt>
                <c:pt idx="594">
                  <c:v>575440</c:v>
                </c:pt>
                <c:pt idx="595">
                  <c:v>630960</c:v>
                </c:pt>
                <c:pt idx="596">
                  <c:v>691830</c:v>
                </c:pt>
                <c:pt idx="597">
                  <c:v>758580</c:v>
                </c:pt>
                <c:pt idx="598">
                  <c:v>831760</c:v>
                </c:pt>
                <c:pt idx="599">
                  <c:v>912010</c:v>
                </c:pt>
                <c:pt idx="600">
                  <c:v>1000000</c:v>
                </c:pt>
              </c:numCache>
            </c:numRef>
          </c:xVal>
          <c:yVal>
            <c:numRef>
              <c:f>'Stability Calculations'!$AD$13:$AD$613</c:f>
              <c:numCache>
                <c:formatCode>0.00</c:formatCode>
                <c:ptCount val="601"/>
                <c:pt idx="0">
                  <c:v>79.587249400439802</c:v>
                </c:pt>
                <c:pt idx="1">
                  <c:v>78.789133772270844</c:v>
                </c:pt>
                <c:pt idx="2">
                  <c:v>77.990763139554616</c:v>
                </c:pt>
                <c:pt idx="3">
                  <c:v>77.192163230136387</c:v>
                </c:pt>
                <c:pt idx="4">
                  <c:v>76.393877777716071</c:v>
                </c:pt>
                <c:pt idx="5">
                  <c:v>75.594596578844047</c:v>
                </c:pt>
                <c:pt idx="6">
                  <c:v>74.795469873729431</c:v>
                </c:pt>
                <c:pt idx="7">
                  <c:v>73.99598408431001</c:v>
                </c:pt>
                <c:pt idx="8">
                  <c:v>73.196733241712394</c:v>
                </c:pt>
                <c:pt idx="9">
                  <c:v>72.3971220080237</c:v>
                </c:pt>
                <c:pt idx="10">
                  <c:v>71.597618731869133</c:v>
                </c:pt>
                <c:pt idx="11">
                  <c:v>70.798117241182766</c:v>
                </c:pt>
                <c:pt idx="12">
                  <c:v>69.998201441041303</c:v>
                </c:pt>
                <c:pt idx="13">
                  <c:v>69.198646166611709</c:v>
                </c:pt>
                <c:pt idx="14">
                  <c:v>68.39881916677254</c:v>
                </c:pt>
                <c:pt idx="15">
                  <c:v>67.599033788908628</c:v>
                </c:pt>
                <c:pt idx="16">
                  <c:v>66.799231114273454</c:v>
                </c:pt>
                <c:pt idx="17">
                  <c:v>65.999530350865427</c:v>
                </c:pt>
                <c:pt idx="18">
                  <c:v>65.199704742877529</c:v>
                </c:pt>
                <c:pt idx="19">
                  <c:v>64.399974763945195</c:v>
                </c:pt>
                <c:pt idx="20">
                  <c:v>63.600186750087161</c:v>
                </c:pt>
                <c:pt idx="21">
                  <c:v>62.800510126042575</c:v>
                </c:pt>
                <c:pt idx="22">
                  <c:v>62.000781231769281</c:v>
                </c:pt>
                <c:pt idx="23">
                  <c:v>61.201206369147357</c:v>
                </c:pt>
                <c:pt idx="24">
                  <c:v>60.401592161494392</c:v>
                </c:pt>
                <c:pt idx="25">
                  <c:v>59.602074656484369</c:v>
                </c:pt>
                <c:pt idx="26">
                  <c:v>58.802482538924032</c:v>
                </c:pt>
                <c:pt idx="27">
                  <c:v>58.003088582139</c:v>
                </c:pt>
                <c:pt idx="28">
                  <c:v>57.203883840843645</c:v>
                </c:pt>
                <c:pt idx="29">
                  <c:v>56.405391562574181</c:v>
                </c:pt>
                <c:pt idx="30">
                  <c:v>55.606294395126838</c:v>
                </c:pt>
                <c:pt idx="31">
                  <c:v>54.807748885510065</c:v>
                </c:pt>
                <c:pt idx="32">
                  <c:v>54.009261398999733</c:v>
                </c:pt>
                <c:pt idx="33">
                  <c:v>53.211458806261206</c:v>
                </c:pt>
                <c:pt idx="34">
                  <c:v>52.4137956272304</c:v>
                </c:pt>
                <c:pt idx="35">
                  <c:v>51.616804724622732</c:v>
                </c:pt>
                <c:pt idx="36">
                  <c:v>50.820464426811</c:v>
                </c:pt>
                <c:pt idx="37">
                  <c:v>50.02446674658961</c:v>
                </c:pt>
                <c:pt idx="38">
                  <c:v>49.229713697880236</c:v>
                </c:pt>
                <c:pt idx="39">
                  <c:v>48.435736771767559</c:v>
                </c:pt>
                <c:pt idx="40">
                  <c:v>47.643041723524668</c:v>
                </c:pt>
                <c:pt idx="41">
                  <c:v>46.851804501516156</c:v>
                </c:pt>
                <c:pt idx="42">
                  <c:v>46.062424346403112</c:v>
                </c:pt>
                <c:pt idx="43">
                  <c:v>45.275014600660583</c:v>
                </c:pt>
                <c:pt idx="44">
                  <c:v>44.490194609229164</c:v>
                </c:pt>
                <c:pt idx="45">
                  <c:v>43.708291823094413</c:v>
                </c:pt>
                <c:pt idx="46">
                  <c:v>42.930038673567125</c:v>
                </c:pt>
                <c:pt idx="47">
                  <c:v>42.155945469315057</c:v>
                </c:pt>
                <c:pt idx="48">
                  <c:v>41.386999144743399</c:v>
                </c:pt>
                <c:pt idx="49">
                  <c:v>40.623935556463628</c:v>
                </c:pt>
                <c:pt idx="50">
                  <c:v>39.867958646992044</c:v>
                </c:pt>
                <c:pt idx="51">
                  <c:v>39.120150133570675</c:v>
                </c:pt>
                <c:pt idx="52">
                  <c:v>38.382191480218523</c:v>
                </c:pt>
                <c:pt idx="53">
                  <c:v>37.655692194505697</c:v>
                </c:pt>
                <c:pt idx="54">
                  <c:v>36.942935062317119</c:v>
                </c:pt>
                <c:pt idx="55">
                  <c:v>36.244773251333783</c:v>
                </c:pt>
                <c:pt idx="56">
                  <c:v>35.564441763504384</c:v>
                </c:pt>
                <c:pt idx="57">
                  <c:v>34.903890202857774</c:v>
                </c:pt>
                <c:pt idx="58">
                  <c:v>34.266120891692189</c:v>
                </c:pt>
                <c:pt idx="59">
                  <c:v>33.653236546327179</c:v>
                </c:pt>
                <c:pt idx="60">
                  <c:v>33.06816126391989</c:v>
                </c:pt>
                <c:pt idx="61">
                  <c:v>32.513245303476204</c:v>
                </c:pt>
                <c:pt idx="62">
                  <c:v>31.990427133166985</c:v>
                </c:pt>
                <c:pt idx="63">
                  <c:v>31.502072322718373</c:v>
                </c:pt>
                <c:pt idx="64">
                  <c:v>31.049190799549304</c:v>
                </c:pt>
                <c:pt idx="65">
                  <c:v>30.632834734865835</c:v>
                </c:pt>
                <c:pt idx="66">
                  <c:v>30.253232009439657</c:v>
                </c:pt>
                <c:pt idx="67">
                  <c:v>29.910076067139965</c:v>
                </c:pt>
                <c:pt idx="68">
                  <c:v>29.6023187426578</c:v>
                </c:pt>
                <c:pt idx="69">
                  <c:v>29.328559724091605</c:v>
                </c:pt>
                <c:pt idx="70">
                  <c:v>29.086811779908</c:v>
                </c:pt>
                <c:pt idx="71">
                  <c:v>28.874854418317067</c:v>
                </c:pt>
                <c:pt idx="72">
                  <c:v>28.69015021788509</c:v>
                </c:pt>
                <c:pt idx="73">
                  <c:v>28.530139580434714</c:v>
                </c:pt>
                <c:pt idx="74">
                  <c:v>28.392161558147308</c:v>
                </c:pt>
                <c:pt idx="75">
                  <c:v>28.273685162056672</c:v>
                </c:pt>
                <c:pt idx="76">
                  <c:v>28.172255509700378</c:v>
                </c:pt>
                <c:pt idx="77">
                  <c:v>28.085639185582096</c:v>
                </c:pt>
                <c:pt idx="78">
                  <c:v>28.011748085476242</c:v>
                </c:pt>
                <c:pt idx="79">
                  <c:v>27.948731107405177</c:v>
                </c:pt>
                <c:pt idx="80">
                  <c:v>27.894795091593885</c:v>
                </c:pt>
                <c:pt idx="81">
                  <c:v>27.848514898112313</c:v>
                </c:pt>
                <c:pt idx="82">
                  <c:v>27.808515021126095</c:v>
                </c:pt>
                <c:pt idx="83">
                  <c:v>27.773627982836537</c:v>
                </c:pt>
                <c:pt idx="84">
                  <c:v>27.742757247903775</c:v>
                </c:pt>
                <c:pt idx="85">
                  <c:v>27.714956158126455</c:v>
                </c:pt>
                <c:pt idx="86">
                  <c:v>27.689336140588381</c:v>
                </c:pt>
                <c:pt idx="87">
                  <c:v>27.665060569298245</c:v>
                </c:pt>
                <c:pt idx="88">
                  <c:v>27.641366401322621</c:v>
                </c:pt>
                <c:pt idx="89">
                  <c:v>27.617463970348073</c:v>
                </c:pt>
                <c:pt idx="90">
                  <c:v>27.592586248043183</c:v>
                </c:pt>
                <c:pt idx="91">
                  <c:v>27.56592795628184</c:v>
                </c:pt>
                <c:pt idx="92">
                  <c:v>27.536641121369513</c:v>
                </c:pt>
                <c:pt idx="93">
                  <c:v>27.503793884568417</c:v>
                </c:pt>
                <c:pt idx="94">
                  <c:v>27.494913402575559</c:v>
                </c:pt>
                <c:pt idx="95">
                  <c:v>27.490332602800997</c:v>
                </c:pt>
                <c:pt idx="96">
                  <c:v>27.485726993783956</c:v>
                </c:pt>
                <c:pt idx="97">
                  <c:v>27.480988226465051</c:v>
                </c:pt>
                <c:pt idx="98">
                  <c:v>27.476222083457277</c:v>
                </c:pt>
                <c:pt idx="99">
                  <c:v>27.471315222448656</c:v>
                </c:pt>
                <c:pt idx="100">
                  <c:v>27.466378382077746</c:v>
                </c:pt>
                <c:pt idx="101">
                  <c:v>27.461296850244842</c:v>
                </c:pt>
                <c:pt idx="102">
                  <c:v>27.456182742559552</c:v>
                </c:pt>
                <c:pt idx="103">
                  <c:v>27.450912185558657</c:v>
                </c:pt>
                <c:pt idx="104">
                  <c:v>27.445606364855351</c:v>
                </c:pt>
                <c:pt idx="105">
                  <c:v>27.440139764219147</c:v>
                </c:pt>
                <c:pt idx="106">
                  <c:v>27.434635217123994</c:v>
                </c:pt>
                <c:pt idx="107">
                  <c:v>27.428965482597714</c:v>
                </c:pt>
                <c:pt idx="108">
                  <c:v>27.42325512952123</c:v>
                </c:pt>
                <c:pt idx="109">
                  <c:v>27.417371094131123</c:v>
                </c:pt>
                <c:pt idx="110">
                  <c:v>27.411443724788942</c:v>
                </c:pt>
                <c:pt idx="111">
                  <c:v>27.405329857743546</c:v>
                </c:pt>
                <c:pt idx="112">
                  <c:v>27.399169834213343</c:v>
                </c:pt>
                <c:pt idx="113">
                  <c:v>27.392818347697592</c:v>
                </c:pt>
                <c:pt idx="114">
                  <c:v>27.386417894023118</c:v>
                </c:pt>
                <c:pt idx="115">
                  <c:v>27.37981674049346</c:v>
                </c:pt>
                <c:pt idx="116">
                  <c:v>27.373163761322665</c:v>
                </c:pt>
                <c:pt idx="117">
                  <c:v>27.366300589668448</c:v>
                </c:pt>
                <c:pt idx="118">
                  <c:v>27.359382685831623</c:v>
                </c:pt>
                <c:pt idx="119">
                  <c:v>27.352249181133949</c:v>
                </c:pt>
                <c:pt idx="120">
                  <c:v>27.345058060050619</c:v>
                </c:pt>
                <c:pt idx="121">
                  <c:v>27.337641468181797</c:v>
                </c:pt>
                <c:pt idx="122">
                  <c:v>27.330164333038304</c:v>
                </c:pt>
                <c:pt idx="123">
                  <c:v>27.322447114435636</c:v>
                </c:pt>
                <c:pt idx="124">
                  <c:v>27.314666310683073</c:v>
                </c:pt>
                <c:pt idx="125">
                  <c:v>27.306639451843843</c:v>
                </c:pt>
                <c:pt idx="126">
                  <c:v>27.298545998597916</c:v>
                </c:pt>
                <c:pt idx="127">
                  <c:v>27.290195847990255</c:v>
                </c:pt>
                <c:pt idx="128">
                  <c:v>27.28177605732245</c:v>
                </c:pt>
                <c:pt idx="129">
                  <c:v>27.273088671810918</c:v>
                </c:pt>
                <c:pt idx="130">
                  <c:v>27.264328567625764</c:v>
                </c:pt>
                <c:pt idx="131">
                  <c:v>27.255289718187864</c:v>
                </c:pt>
                <c:pt idx="132">
                  <c:v>27.250741847108589</c:v>
                </c:pt>
                <c:pt idx="133">
                  <c:v>27.246175042662909</c:v>
                </c:pt>
                <c:pt idx="134">
                  <c:v>27.241480089321556</c:v>
                </c:pt>
                <c:pt idx="135">
                  <c:v>27.236765346181517</c:v>
                </c:pt>
                <c:pt idx="136">
                  <c:v>27.232030842980691</c:v>
                </c:pt>
                <c:pt idx="137">
                  <c:v>27.227276610876515</c:v>
                </c:pt>
                <c:pt idx="138">
                  <c:v>27.222394067589782</c:v>
                </c:pt>
                <c:pt idx="139">
                  <c:v>27.217490959652718</c:v>
                </c:pt>
                <c:pt idx="140">
                  <c:v>27.212567324707031</c:v>
                </c:pt>
                <c:pt idx="141">
                  <c:v>27.207623201755091</c:v>
                </c:pt>
                <c:pt idx="142">
                  <c:v>27.202540656309626</c:v>
                </c:pt>
                <c:pt idx="143">
                  <c:v>27.197436726552201</c:v>
                </c:pt>
                <c:pt idx="144">
                  <c:v>27.192311458473203</c:v>
                </c:pt>
                <c:pt idx="145">
                  <c:v>27.18716489937108</c:v>
                </c:pt>
                <c:pt idx="146">
                  <c:v>27.18187713889759</c:v>
                </c:pt>
                <c:pt idx="147">
                  <c:v>27.176567193788138</c:v>
                </c:pt>
                <c:pt idx="148">
                  <c:v>27.171235118681551</c:v>
                </c:pt>
                <c:pt idx="149">
                  <c:v>27.165880969469754</c:v>
                </c:pt>
                <c:pt idx="150">
                  <c:v>27.160380238880656</c:v>
                </c:pt>
                <c:pt idx="151">
                  <c:v>27.154856523821991</c:v>
                </c:pt>
                <c:pt idx="152">
                  <c:v>27.149309887958708</c:v>
                </c:pt>
                <c:pt idx="153">
                  <c:v>27.143740396153781</c:v>
                </c:pt>
                <c:pt idx="154">
                  <c:v>27.138016195363601</c:v>
                </c:pt>
                <c:pt idx="155">
                  <c:v>27.132268191062696</c:v>
                </c:pt>
                <c:pt idx="156">
                  <c:v>27.126496456443054</c:v>
                </c:pt>
                <c:pt idx="157">
                  <c:v>27.120701065841104</c:v>
                </c:pt>
                <c:pt idx="158">
                  <c:v>27.114745304635797</c:v>
                </c:pt>
                <c:pt idx="159">
                  <c:v>27.108764925595324</c:v>
                </c:pt>
                <c:pt idx="160">
                  <c:v>27.102760011882051</c:v>
                </c:pt>
                <c:pt idx="161">
                  <c:v>27.096730647747755</c:v>
                </c:pt>
                <c:pt idx="162">
                  <c:v>27.090537873897471</c:v>
                </c:pt>
                <c:pt idx="163">
                  <c:v>27.084319697569946</c:v>
                </c:pt>
                <c:pt idx="164">
                  <c:v>27.078076212235622</c:v>
                </c:pt>
                <c:pt idx="165">
                  <c:v>27.071807512395605</c:v>
                </c:pt>
                <c:pt idx="166">
                  <c:v>27.065364063171277</c:v>
                </c:pt>
                <c:pt idx="167">
                  <c:v>27.058894392352258</c:v>
                </c:pt>
                <c:pt idx="168">
                  <c:v>27.052398604441521</c:v>
                </c:pt>
                <c:pt idx="169">
                  <c:v>27.045876804914979</c:v>
                </c:pt>
                <c:pt idx="170">
                  <c:v>27.039188308372761</c:v>
                </c:pt>
                <c:pt idx="171">
                  <c:v>27.032472897269258</c:v>
                </c:pt>
                <c:pt idx="172">
                  <c:v>27.02573068692584</c:v>
                </c:pt>
                <c:pt idx="173">
                  <c:v>27.018961793568202</c:v>
                </c:pt>
                <c:pt idx="174">
                  <c:v>27.011994677911446</c:v>
                </c:pt>
                <c:pt idx="175">
                  <c:v>27.00499976707998</c:v>
                </c:pt>
                <c:pt idx="176">
                  <c:v>26.997977189040157</c:v>
                </c:pt>
                <c:pt idx="177">
                  <c:v>26.990927072603785</c:v>
                </c:pt>
                <c:pt idx="178">
                  <c:v>26.98367516571426</c:v>
                </c:pt>
                <c:pt idx="179">
                  <c:v>26.976394625771029</c:v>
                </c:pt>
                <c:pt idx="180">
                  <c:v>26.96908559385416</c:v>
                </c:pt>
                <c:pt idx="181">
                  <c:v>26.961748211822957</c:v>
                </c:pt>
                <c:pt idx="182">
                  <c:v>26.954235023756006</c:v>
                </c:pt>
                <c:pt idx="183">
                  <c:v>26.94669264068775</c:v>
                </c:pt>
                <c:pt idx="184">
                  <c:v>26.939121215439869</c:v>
                </c:pt>
                <c:pt idx="185">
                  <c:v>26.931520901528835</c:v>
                </c:pt>
                <c:pt idx="186">
                  <c:v>26.923682024525743</c:v>
                </c:pt>
                <c:pt idx="187">
                  <c:v>26.915812981719842</c:v>
                </c:pt>
                <c:pt idx="188">
                  <c:v>26.907913941685244</c:v>
                </c:pt>
                <c:pt idx="189">
                  <c:v>26.899985073620492</c:v>
                </c:pt>
                <c:pt idx="190">
                  <c:v>26.891874379755066</c:v>
                </c:pt>
                <c:pt idx="191">
                  <c:v>26.883733065141598</c:v>
                </c:pt>
                <c:pt idx="192">
                  <c:v>26.875561310630349</c:v>
                </c:pt>
                <c:pt idx="193">
                  <c:v>26.867359297598604</c:v>
                </c:pt>
                <c:pt idx="194">
                  <c:v>26.858910982396353</c:v>
                </c:pt>
                <c:pt idx="195">
                  <c:v>26.850431189875216</c:v>
                </c:pt>
                <c:pt idx="196">
                  <c:v>26.841920117563248</c:v>
                </c:pt>
                <c:pt idx="197">
                  <c:v>26.833377963425598</c:v>
                </c:pt>
                <c:pt idx="198">
                  <c:v>26.824616851032953</c:v>
                </c:pt>
                <c:pt idx="199">
                  <c:v>26.815823699898228</c:v>
                </c:pt>
                <c:pt idx="200">
                  <c:v>26.806998722470983</c:v>
                </c:pt>
                <c:pt idx="201">
                  <c:v>26.798142131531083</c:v>
                </c:pt>
                <c:pt idx="202">
                  <c:v>26.789063341126433</c:v>
                </c:pt>
                <c:pt idx="203">
                  <c:v>26.779952017485805</c:v>
                </c:pt>
                <c:pt idx="204">
                  <c:v>26.770808388210355</c:v>
                </c:pt>
                <c:pt idx="205">
                  <c:v>26.76163268111582</c:v>
                </c:pt>
                <c:pt idx="206">
                  <c:v>26.752199367033334</c:v>
                </c:pt>
                <c:pt idx="207">
                  <c:v>26.742732870277123</c:v>
                </c:pt>
                <c:pt idx="208">
                  <c:v>26.733233436283591</c:v>
                </c:pt>
                <c:pt idx="209">
                  <c:v>26.723701310579926</c:v>
                </c:pt>
                <c:pt idx="210">
                  <c:v>26.713875137313835</c:v>
                </c:pt>
                <c:pt idx="211">
                  <c:v>26.704014988209703</c:v>
                </c:pt>
                <c:pt idx="212">
                  <c:v>26.694121129535095</c:v>
                </c:pt>
                <c:pt idx="213">
                  <c:v>26.684193827510207</c:v>
                </c:pt>
                <c:pt idx="214">
                  <c:v>26.674034465073689</c:v>
                </c:pt>
                <c:pt idx="215">
                  <c:v>26.66384087180921</c:v>
                </c:pt>
                <c:pt idx="216">
                  <c:v>26.653613329801587</c:v>
                </c:pt>
                <c:pt idx="217">
                  <c:v>26.643352120937685</c:v>
                </c:pt>
                <c:pt idx="218">
                  <c:v>26.632822409635466</c:v>
                </c:pt>
                <c:pt idx="219">
                  <c:v>26.622258074396253</c:v>
                </c:pt>
                <c:pt idx="220">
                  <c:v>26.611659415967633</c:v>
                </c:pt>
                <c:pt idx="221">
                  <c:v>26.601026734734255</c:v>
                </c:pt>
                <c:pt idx="222">
                  <c:v>26.590122162636675</c:v>
                </c:pt>
                <c:pt idx="223">
                  <c:v>26.579182667430338</c:v>
                </c:pt>
                <c:pt idx="224">
                  <c:v>26.568208568643445</c:v>
                </c:pt>
                <c:pt idx="225">
                  <c:v>26.557200185262225</c:v>
                </c:pt>
                <c:pt idx="226">
                  <c:v>26.545882205891505</c:v>
                </c:pt>
                <c:pt idx="227">
                  <c:v>26.534528888368285</c:v>
                </c:pt>
                <c:pt idx="228">
                  <c:v>26.523140574133453</c:v>
                </c:pt>
                <c:pt idx="229">
                  <c:v>26.511717603883504</c:v>
                </c:pt>
                <c:pt idx="230">
                  <c:v>26.488209348089576</c:v>
                </c:pt>
                <c:pt idx="231">
                  <c:v>26.476402122469089</c:v>
                </c:pt>
                <c:pt idx="232">
                  <c:v>26.464559982077326</c:v>
                </c:pt>
                <c:pt idx="233">
                  <c:v>26.452400932235346</c:v>
                </c:pt>
                <c:pt idx="234">
                  <c:v>26.440206055961191</c:v>
                </c:pt>
                <c:pt idx="235">
                  <c:v>26.427975738866671</c:v>
                </c:pt>
                <c:pt idx="236">
                  <c:v>26.415710365357135</c:v>
                </c:pt>
                <c:pt idx="237">
                  <c:v>26.403160396200867</c:v>
                </c:pt>
                <c:pt idx="238">
                  <c:v>26.390574738083323</c:v>
                </c:pt>
                <c:pt idx="239">
                  <c:v>26.377953795187409</c:v>
                </c:pt>
                <c:pt idx="240">
                  <c:v>26.365297970246914</c:v>
                </c:pt>
                <c:pt idx="241">
                  <c:v>26.352282747935035</c:v>
                </c:pt>
                <c:pt idx="242">
                  <c:v>26.339231690228829</c:v>
                </c:pt>
                <c:pt idx="243">
                  <c:v>26.326145226587599</c:v>
                </c:pt>
                <c:pt idx="244">
                  <c:v>26.313023784727342</c:v>
                </c:pt>
                <c:pt idx="245">
                  <c:v>26.299575856918146</c:v>
                </c:pt>
                <c:pt idx="246">
                  <c:v>26.286092281389667</c:v>
                </c:pt>
                <c:pt idx="247">
                  <c:v>26.272573509073457</c:v>
                </c:pt>
                <c:pt idx="248">
                  <c:v>26.259019988862132</c:v>
                </c:pt>
                <c:pt idx="249">
                  <c:v>26.245100332547963</c:v>
                </c:pt>
                <c:pt idx="250">
                  <c:v>26.231145159558984</c:v>
                </c:pt>
                <c:pt idx="251">
                  <c:v>26.217154945584994</c:v>
                </c:pt>
                <c:pt idx="252">
                  <c:v>26.203130163939171</c:v>
                </c:pt>
                <c:pt idx="253">
                  <c:v>26.188773378094208</c:v>
                </c:pt>
                <c:pt idx="254">
                  <c:v>26.174381535774675</c:v>
                </c:pt>
                <c:pt idx="255">
                  <c:v>26.159955133123351</c:v>
                </c:pt>
                <c:pt idx="256">
                  <c:v>26.145494663574965</c:v>
                </c:pt>
                <c:pt idx="257">
                  <c:v>26.13062468260766</c:v>
                </c:pt>
                <c:pt idx="258">
                  <c:v>26.115719890005508</c:v>
                </c:pt>
                <c:pt idx="259">
                  <c:v>26.100780809489926</c:v>
                </c:pt>
                <c:pt idx="260">
                  <c:v>26.085807961665743</c:v>
                </c:pt>
                <c:pt idx="261">
                  <c:v>26.070460433930464</c:v>
                </c:pt>
                <c:pt idx="262">
                  <c:v>26.055078677929401</c:v>
                </c:pt>
                <c:pt idx="263">
                  <c:v>26.039663240295525</c:v>
                </c:pt>
                <c:pt idx="264">
                  <c:v>26.0242146641456</c:v>
                </c:pt>
                <c:pt idx="265">
                  <c:v>26.008389096794716</c:v>
                </c:pt>
                <c:pt idx="266">
                  <c:v>25.9925300380587</c:v>
                </c:pt>
                <c:pt idx="267">
                  <c:v>25.976638056533506</c:v>
                </c:pt>
                <c:pt idx="268">
                  <c:v>25.960713716882019</c:v>
                </c:pt>
                <c:pt idx="269">
                  <c:v>25.944371777226898</c:v>
                </c:pt>
                <c:pt idx="270">
                  <c:v>25.927997083491551</c:v>
                </c:pt>
                <c:pt idx="271">
                  <c:v>25.911590229299591</c:v>
                </c:pt>
                <c:pt idx="272">
                  <c:v>25.895151803868309</c:v>
                </c:pt>
                <c:pt idx="273">
                  <c:v>25.878293593176931</c:v>
                </c:pt>
                <c:pt idx="274">
                  <c:v>25.861403539502071</c:v>
                </c:pt>
                <c:pt idx="275">
                  <c:v>25.844482260298495</c:v>
                </c:pt>
                <c:pt idx="276">
                  <c:v>25.827530368122069</c:v>
                </c:pt>
                <c:pt idx="277">
                  <c:v>25.810195998191826</c:v>
                </c:pt>
                <c:pt idx="278">
                  <c:v>25.792831006502126</c:v>
                </c:pt>
                <c:pt idx="279">
                  <c:v>25.775436028651701</c:v>
                </c:pt>
                <c:pt idx="280">
                  <c:v>25.758011694880153</c:v>
                </c:pt>
                <c:pt idx="281">
                  <c:v>25.740085466972143</c:v>
                </c:pt>
                <c:pt idx="282">
                  <c:v>25.722129601518851</c:v>
                </c:pt>
                <c:pt idx="283">
                  <c:v>25.704144763685079</c:v>
                </c:pt>
                <c:pt idx="284">
                  <c:v>25.686131612653838</c:v>
                </c:pt>
                <c:pt idx="285">
                  <c:v>25.667733675852187</c:v>
                </c:pt>
                <c:pt idx="286">
                  <c:v>25.649307660298064</c:v>
                </c:pt>
                <c:pt idx="287">
                  <c:v>25.63085424585498</c:v>
                </c:pt>
                <c:pt idx="288">
                  <c:v>25.612374105926278</c:v>
                </c:pt>
                <c:pt idx="289">
                  <c:v>25.593388959133083</c:v>
                </c:pt>
                <c:pt idx="290">
                  <c:v>25.574377101486924</c:v>
                </c:pt>
                <c:pt idx="291">
                  <c:v>25.555339238857243</c:v>
                </c:pt>
                <c:pt idx="292">
                  <c:v>25.536276069998621</c:v>
                </c:pt>
                <c:pt idx="293">
                  <c:v>25.516746896812819</c:v>
                </c:pt>
                <c:pt idx="294">
                  <c:v>25.497192691277032</c:v>
                </c:pt>
                <c:pt idx="295">
                  <c:v>25.477614178695976</c:v>
                </c:pt>
                <c:pt idx="296">
                  <c:v>25.458012076653389</c:v>
                </c:pt>
                <c:pt idx="297">
                  <c:v>25.437943561548554</c:v>
                </c:pt>
                <c:pt idx="298">
                  <c:v>25.417851872377298</c:v>
                </c:pt>
                <c:pt idx="299">
                  <c:v>25.397737751565828</c:v>
                </c:pt>
                <c:pt idx="300">
                  <c:v>25.377601933210983</c:v>
                </c:pt>
                <c:pt idx="301">
                  <c:v>25.356999681552818</c:v>
                </c:pt>
                <c:pt idx="302">
                  <c:v>25.336376287471868</c:v>
                </c:pt>
                <c:pt idx="303">
                  <c:v>25.315732508038554</c:v>
                </c:pt>
                <c:pt idx="304">
                  <c:v>25.295069091388534</c:v>
                </c:pt>
                <c:pt idx="305">
                  <c:v>25.273858303746039</c:v>
                </c:pt>
                <c:pt idx="306">
                  <c:v>25.252628428126485</c:v>
                </c:pt>
                <c:pt idx="307">
                  <c:v>25.231380242478441</c:v>
                </c:pt>
                <c:pt idx="308">
                  <c:v>25.210114515071581</c:v>
                </c:pt>
                <c:pt idx="309">
                  <c:v>25.188383347416092</c:v>
                </c:pt>
                <c:pt idx="310">
                  <c:v>25.16663547916011</c:v>
                </c:pt>
                <c:pt idx="311">
                  <c:v>25.144871697304573</c:v>
                </c:pt>
                <c:pt idx="312">
                  <c:v>25.123092778583519</c:v>
                </c:pt>
                <c:pt idx="313">
                  <c:v>25.100767772771484</c:v>
                </c:pt>
                <c:pt idx="314">
                  <c:v>25.078428500025684</c:v>
                </c:pt>
                <c:pt idx="315">
                  <c:v>25.056075762251616</c:v>
                </c:pt>
                <c:pt idx="316">
                  <c:v>25.03371035036022</c:v>
                </c:pt>
                <c:pt idx="317">
                  <c:v>25.010800112727658</c:v>
                </c:pt>
                <c:pt idx="318">
                  <c:v>24.987878233092722</c:v>
                </c:pt>
                <c:pt idx="319">
                  <c:v>24.964945524943943</c:v>
                </c:pt>
                <c:pt idx="320">
                  <c:v>24.942002790063256</c:v>
                </c:pt>
                <c:pt idx="321">
                  <c:v>24.918516948216904</c:v>
                </c:pt>
                <c:pt idx="322">
                  <c:v>24.895022269279412</c:v>
                </c:pt>
                <c:pt idx="323">
                  <c:v>24.871519574860862</c:v>
                </c:pt>
                <c:pt idx="324">
                  <c:v>24.848009674175753</c:v>
                </c:pt>
                <c:pt idx="325">
                  <c:v>24.823958834248959</c:v>
                </c:pt>
                <c:pt idx="326">
                  <c:v>24.799902129644934</c:v>
                </c:pt>
                <c:pt idx="327">
                  <c:v>24.77584038652968</c:v>
                </c:pt>
                <c:pt idx="328">
                  <c:v>24.751774418014843</c:v>
                </c:pt>
                <c:pt idx="329">
                  <c:v>24.727128969176697</c:v>
                </c:pt>
                <c:pt idx="330">
                  <c:v>24.70248077429439</c:v>
                </c:pt>
                <c:pt idx="331">
                  <c:v>24.677830664578309</c:v>
                </c:pt>
                <c:pt idx="332">
                  <c:v>24.653179457471673</c:v>
                </c:pt>
                <c:pt idx="333">
                  <c:v>24.627992951946773</c:v>
                </c:pt>
                <c:pt idx="334">
                  <c:v>24.602806982708092</c:v>
                </c:pt>
                <c:pt idx="335">
                  <c:v>24.577622378028089</c:v>
                </c:pt>
                <c:pt idx="336">
                  <c:v>24.552439951833435</c:v>
                </c:pt>
                <c:pt idx="337">
                  <c:v>24.526643404617332</c:v>
                </c:pt>
                <c:pt idx="338">
                  <c:v>24.500850828106813</c:v>
                </c:pt>
                <c:pt idx="339">
                  <c:v>24.47506305180362</c:v>
                </c:pt>
                <c:pt idx="340">
                  <c:v>24.449280890145172</c:v>
                </c:pt>
                <c:pt idx="341">
                  <c:v>24.422888583090653</c:v>
                </c:pt>
                <c:pt idx="342">
                  <c:v>24.396503843120758</c:v>
                </c:pt>
                <c:pt idx="343">
                  <c:v>24.370127496667841</c:v>
                </c:pt>
                <c:pt idx="344">
                  <c:v>24.343760354433883</c:v>
                </c:pt>
                <c:pt idx="345">
                  <c:v>24.316828562532443</c:v>
                </c:pt>
                <c:pt idx="346">
                  <c:v>24.289908042664742</c:v>
                </c:pt>
                <c:pt idx="347">
                  <c:v>24.262999610192736</c:v>
                </c:pt>
                <c:pt idx="348">
                  <c:v>24.236104064240692</c:v>
                </c:pt>
                <c:pt idx="349">
                  <c:v>24.20856670967202</c:v>
                </c:pt>
                <c:pt idx="350">
                  <c:v>24.181044524264458</c:v>
                </c:pt>
                <c:pt idx="351">
                  <c:v>24.153538315541955</c:v>
                </c:pt>
                <c:pt idx="352">
                  <c:v>24.126048874152033</c:v>
                </c:pt>
                <c:pt idx="353">
                  <c:v>24.097923101317519</c:v>
                </c:pt>
                <c:pt idx="354">
                  <c:v>24.069816527867339</c:v>
                </c:pt>
                <c:pt idx="355">
                  <c:v>24.04172994893699</c:v>
                </c:pt>
                <c:pt idx="356">
                  <c:v>24.013664142219355</c:v>
                </c:pt>
                <c:pt idx="357">
                  <c:v>23.985008683307822</c:v>
                </c:pt>
                <c:pt idx="358">
                  <c:v>23.956376499366002</c:v>
                </c:pt>
                <c:pt idx="359">
                  <c:v>23.927768365405825</c:v>
                </c:pt>
                <c:pt idx="360">
                  <c:v>23.899185038610607</c:v>
                </c:pt>
                <c:pt idx="361">
                  <c:v>23.869936994626272</c:v>
                </c:pt>
                <c:pt idx="362">
                  <c:v>23.840716523735217</c:v>
                </c:pt>
                <c:pt idx="363">
                  <c:v>23.811524383150335</c:v>
                </c:pt>
                <c:pt idx="364">
                  <c:v>23.782361311751163</c:v>
                </c:pt>
                <c:pt idx="365">
                  <c:v>23.752580967920135</c:v>
                </c:pt>
                <c:pt idx="366">
                  <c:v>23.722832503658896</c:v>
                </c:pt>
                <c:pt idx="367">
                  <c:v>23.693116650858187</c:v>
                </c:pt>
                <c:pt idx="368">
                  <c:v>23.663434122762261</c:v>
                </c:pt>
                <c:pt idx="369">
                  <c:v>23.633060946848083</c:v>
                </c:pt>
                <c:pt idx="370">
                  <c:v>23.602724202463847</c:v>
                </c:pt>
                <c:pt idx="371">
                  <c:v>23.572424597794157</c:v>
                </c:pt>
                <c:pt idx="372">
                  <c:v>23.542162821956381</c:v>
                </c:pt>
                <c:pt idx="373">
                  <c:v>23.511258567597473</c:v>
                </c:pt>
                <c:pt idx="374">
                  <c:v>23.48039526496666</c:v>
                </c:pt>
                <c:pt idx="375">
                  <c:v>23.449573591339462</c:v>
                </c:pt>
                <c:pt idx="376">
                  <c:v>23.418794204704724</c:v>
                </c:pt>
                <c:pt idx="377">
                  <c:v>23.387300842980608</c:v>
                </c:pt>
                <c:pt idx="378">
                  <c:v>23.355853216327517</c:v>
                </c:pt>
                <c:pt idx="379">
                  <c:v>23.324451972060718</c:v>
                </c:pt>
                <c:pt idx="380">
                  <c:v>23.293097737894243</c:v>
                </c:pt>
                <c:pt idx="381">
                  <c:v>23.261117963459231</c:v>
                </c:pt>
                <c:pt idx="382">
                  <c:v>23.229188507428571</c:v>
                </c:pt>
                <c:pt idx="383">
                  <c:v>23.197309978163908</c:v>
                </c:pt>
                <c:pt idx="384">
                  <c:v>23.165482964416025</c:v>
                </c:pt>
                <c:pt idx="385">
                  <c:v>23.132921219172673</c:v>
                </c:pt>
                <c:pt idx="386">
                  <c:v>23.100414765088445</c:v>
                </c:pt>
                <c:pt idx="387">
                  <c:v>23.067964174421117</c:v>
                </c:pt>
                <c:pt idx="388">
                  <c:v>23.035569999626379</c:v>
                </c:pt>
                <c:pt idx="389">
                  <c:v>23.002490512074804</c:v>
                </c:pt>
                <c:pt idx="390">
                  <c:v>22.969471170435245</c:v>
                </c:pt>
                <c:pt idx="391">
                  <c:v>22.936512504659099</c:v>
                </c:pt>
                <c:pt idx="392">
                  <c:v>22.903615024916419</c:v>
                </c:pt>
                <c:pt idx="393">
                  <c:v>22.870042486778068</c:v>
                </c:pt>
                <c:pt idx="394">
                  <c:v>22.836534931186272</c:v>
                </c:pt>
                <c:pt idx="395">
                  <c:v>22.803092842283451</c:v>
                </c:pt>
                <c:pt idx="396">
                  <c:v>22.769716684563789</c:v>
                </c:pt>
                <c:pt idx="397">
                  <c:v>22.735599055481703</c:v>
                </c:pt>
                <c:pt idx="398">
                  <c:v>22.701551523052423</c:v>
                </c:pt>
                <c:pt idx="399">
                  <c:v>22.66757452539721</c:v>
                </c:pt>
                <c:pt idx="400">
                  <c:v>22.633668481057537</c:v>
                </c:pt>
                <c:pt idx="401">
                  <c:v>22.599070853210421</c:v>
                </c:pt>
                <c:pt idx="402">
                  <c:v>22.564548242764289</c:v>
                </c:pt>
                <c:pt idx="403">
                  <c:v>22.530101036903982</c:v>
                </c:pt>
                <c:pt idx="404">
                  <c:v>22.495729603509528</c:v>
                </c:pt>
                <c:pt idx="405">
                  <c:v>22.46064027254463</c:v>
                </c:pt>
                <c:pt idx="406">
                  <c:v>22.425630986844766</c:v>
                </c:pt>
                <c:pt idx="407">
                  <c:v>22.390702080967632</c:v>
                </c:pt>
                <c:pt idx="408">
                  <c:v>22.355853870470163</c:v>
                </c:pt>
                <c:pt idx="409">
                  <c:v>22.320262526658997</c:v>
                </c:pt>
                <c:pt idx="410">
                  <c:v>22.284756364353392</c:v>
                </c:pt>
                <c:pt idx="411">
                  <c:v>22.249335663564661</c:v>
                </c:pt>
                <c:pt idx="412">
                  <c:v>22.214000685643406</c:v>
                </c:pt>
                <c:pt idx="413">
                  <c:v>22.177935542122427</c:v>
                </c:pt>
                <c:pt idx="414">
                  <c:v>22.14196063803324</c:v>
                </c:pt>
                <c:pt idx="415">
                  <c:v>22.106076196062453</c:v>
                </c:pt>
                <c:pt idx="416">
                  <c:v>22.070282420692841</c:v>
                </c:pt>
                <c:pt idx="417">
                  <c:v>22.033734909383714</c:v>
                </c:pt>
                <c:pt idx="418">
                  <c:v>21.997282788263746</c:v>
                </c:pt>
                <c:pt idx="419">
                  <c:v>21.960926220866849</c:v>
                </c:pt>
                <c:pt idx="420">
                  <c:v>21.924665353019943</c:v>
                </c:pt>
                <c:pt idx="421">
                  <c:v>21.887700964740212</c:v>
                </c:pt>
                <c:pt idx="422">
                  <c:v>21.850836812877684</c:v>
                </c:pt>
                <c:pt idx="423">
                  <c:v>21.814072999279198</c:v>
                </c:pt>
                <c:pt idx="424">
                  <c:v>21.777409608759811</c:v>
                </c:pt>
                <c:pt idx="425">
                  <c:v>21.739948299270289</c:v>
                </c:pt>
                <c:pt idx="426">
                  <c:v>21.70259254352397</c:v>
                </c:pt>
                <c:pt idx="427">
                  <c:v>21.665342380628793</c:v>
                </c:pt>
                <c:pt idx="428">
                  <c:v>21.628197833243501</c:v>
                </c:pt>
                <c:pt idx="429">
                  <c:v>21.590306230358443</c:v>
                </c:pt>
                <c:pt idx="430">
                  <c:v>21.552525166605001</c:v>
                </c:pt>
                <c:pt idx="431">
                  <c:v>21.514854616322062</c:v>
                </c:pt>
                <c:pt idx="432">
                  <c:v>21.477294538155014</c:v>
                </c:pt>
                <c:pt idx="433">
                  <c:v>21.439002211175922</c:v>
                </c:pt>
                <c:pt idx="434">
                  <c:v>21.400825256101108</c:v>
                </c:pt>
                <c:pt idx="435">
                  <c:v>21.362763581324678</c:v>
                </c:pt>
                <c:pt idx="436">
                  <c:v>21.324817080397661</c:v>
                </c:pt>
                <c:pt idx="437">
                  <c:v>21.286083807573327</c:v>
                </c:pt>
                <c:pt idx="438">
                  <c:v>21.247471002624287</c:v>
                </c:pt>
                <c:pt idx="439">
                  <c:v>21.208978506425922</c:v>
                </c:pt>
                <c:pt idx="440">
                  <c:v>21.170606145846541</c:v>
                </c:pt>
                <c:pt idx="441">
                  <c:v>21.131463179340876</c:v>
                </c:pt>
                <c:pt idx="442">
                  <c:v>21.092445607071831</c:v>
                </c:pt>
                <c:pt idx="443">
                  <c:v>21.053553201425661</c:v>
                </c:pt>
                <c:pt idx="444">
                  <c:v>21.014785721711743</c:v>
                </c:pt>
                <c:pt idx="445">
                  <c:v>20.975263810700678</c:v>
                </c:pt>
                <c:pt idx="446">
                  <c:v>20.935872034961875</c:v>
                </c:pt>
                <c:pt idx="447">
                  <c:v>20.896610097937099</c:v>
                </c:pt>
                <c:pt idx="448">
                  <c:v>20.857477691003837</c:v>
                </c:pt>
                <c:pt idx="449">
                  <c:v>20.817540269187941</c:v>
                </c:pt>
                <c:pt idx="450">
                  <c:v>20.777737976186927</c:v>
                </c:pt>
                <c:pt idx="451">
                  <c:v>20.738070444663109</c:v>
                </c:pt>
                <c:pt idx="452">
                  <c:v>20.69853729622519</c:v>
                </c:pt>
                <c:pt idx="453">
                  <c:v>20.658249496698915</c:v>
                </c:pt>
                <c:pt idx="454">
                  <c:v>20.618101387904883</c:v>
                </c:pt>
                <c:pt idx="455">
                  <c:v>20.578092532643019</c:v>
                </c:pt>
                <c:pt idx="456">
                  <c:v>20.538222483780796</c:v>
                </c:pt>
                <c:pt idx="457">
                  <c:v>20.497549565248832</c:v>
                </c:pt>
                <c:pt idx="458">
                  <c:v>20.457021141388193</c:v>
                </c:pt>
                <c:pt idx="459">
                  <c:v>20.416636703322474</c:v>
                </c:pt>
                <c:pt idx="460">
                  <c:v>20.376395733364774</c:v>
                </c:pt>
                <c:pt idx="461">
                  <c:v>20.335369865834785</c:v>
                </c:pt>
                <c:pt idx="462">
                  <c:v>20.294493072432815</c:v>
                </c:pt>
                <c:pt idx="463">
                  <c:v>20.253764773088022</c:v>
                </c:pt>
                <c:pt idx="464">
                  <c:v>20.213184380103954</c:v>
                </c:pt>
                <c:pt idx="465">
                  <c:v>20.171805410191666</c:v>
                </c:pt>
                <c:pt idx="466">
                  <c:v>20.130580092964152</c:v>
                </c:pt>
                <c:pt idx="467">
                  <c:v>20.089507776604904</c:v>
                </c:pt>
                <c:pt idx="468">
                  <c:v>20.048587802887493</c:v>
                </c:pt>
                <c:pt idx="469">
                  <c:v>20.006887653811852</c:v>
                </c:pt>
                <c:pt idx="470">
                  <c:v>19.965345492964182</c:v>
                </c:pt>
                <c:pt idx="471">
                  <c:v>19.923960597896887</c:v>
                </c:pt>
                <c:pt idx="472">
                  <c:v>19.88273224101431</c:v>
                </c:pt>
                <c:pt idx="473">
                  <c:v>19.840680751688147</c:v>
                </c:pt>
                <c:pt idx="474">
                  <c:v>19.798791807815672</c:v>
                </c:pt>
                <c:pt idx="475">
                  <c:v>19.757064614375761</c:v>
                </c:pt>
                <c:pt idx="476">
                  <c:v>19.715498372472577</c:v>
                </c:pt>
                <c:pt idx="477">
                  <c:v>19.673128444680231</c:v>
                </c:pt>
                <c:pt idx="478">
                  <c:v>19.630925360518969</c:v>
                </c:pt>
                <c:pt idx="479">
                  <c:v>19.588888253863988</c:v>
                </c:pt>
                <c:pt idx="480">
                  <c:v>19.547016256027142</c:v>
                </c:pt>
                <c:pt idx="481">
                  <c:v>19.504359799385234</c:v>
                </c:pt>
                <c:pt idx="482">
                  <c:v>19.461874218884972</c:v>
                </c:pt>
                <c:pt idx="483">
                  <c:v>19.419558579180098</c:v>
                </c:pt>
                <c:pt idx="484">
                  <c:v>19.377411943696895</c:v>
                </c:pt>
                <c:pt idx="485">
                  <c:v>19.334470654506191</c:v>
                </c:pt>
                <c:pt idx="486">
                  <c:v>19.29170424121704</c:v>
                </c:pt>
                <c:pt idx="487">
                  <c:v>19.249111699460148</c:v>
                </c:pt>
                <c:pt idx="488">
                  <c:v>19.206692024987014</c:v>
                </c:pt>
                <c:pt idx="489">
                  <c:v>19.163439716896512</c:v>
                </c:pt>
                <c:pt idx="490">
                  <c:v>19.120366482958133</c:v>
                </c:pt>
                <c:pt idx="491">
                  <c:v>19.07747124789811</c:v>
                </c:pt>
                <c:pt idx="492">
                  <c:v>19.034752937927863</c:v>
                </c:pt>
                <c:pt idx="493">
                  <c:v>18.991222548947071</c:v>
                </c:pt>
                <c:pt idx="494">
                  <c:v>18.947875146596111</c:v>
                </c:pt>
                <c:pt idx="495">
                  <c:v>18.904709587097326</c:v>
                </c:pt>
                <c:pt idx="496">
                  <c:v>18.861724729533083</c:v>
                </c:pt>
                <c:pt idx="497">
                  <c:v>18.817920282830936</c:v>
                </c:pt>
                <c:pt idx="498">
                  <c:v>18.774302683369459</c:v>
                </c:pt>
                <c:pt idx="499">
                  <c:v>18.730870719299464</c:v>
                </c:pt>
                <c:pt idx="500">
                  <c:v>18.687623183015429</c:v>
                </c:pt>
                <c:pt idx="501">
                  <c:v>18.643549394848208</c:v>
                </c:pt>
                <c:pt idx="502">
                  <c:v>18.599666256328725</c:v>
                </c:pt>
                <c:pt idx="503">
                  <c:v>18.555972488061261</c:v>
                </c:pt>
                <c:pt idx="504">
                  <c:v>18.512466816284523</c:v>
                </c:pt>
                <c:pt idx="505">
                  <c:v>18.468155865352806</c:v>
                </c:pt>
                <c:pt idx="506">
                  <c:v>18.424039067246248</c:v>
                </c:pt>
                <c:pt idx="507">
                  <c:v>18.380115078087229</c:v>
                </c:pt>
                <c:pt idx="508">
                  <c:v>18.336382561011085</c:v>
                </c:pt>
                <c:pt idx="509">
                  <c:v>18.291839014945843</c:v>
                </c:pt>
                <c:pt idx="510">
                  <c:v>18.247493059915914</c:v>
                </c:pt>
                <c:pt idx="511">
                  <c:v>18.203343288388499</c:v>
                </c:pt>
                <c:pt idx="512">
                  <c:v>18.159388301218794</c:v>
                </c:pt>
                <c:pt idx="513">
                  <c:v>18.114591424293604</c:v>
                </c:pt>
                <c:pt idx="514">
                  <c:v>18.069995738408117</c:v>
                </c:pt>
                <c:pt idx="515">
                  <c:v>18.025599770735905</c:v>
                </c:pt>
                <c:pt idx="516">
                  <c:v>17.981402058230994</c:v>
                </c:pt>
                <c:pt idx="517">
                  <c:v>17.936384338728445</c:v>
                </c:pt>
                <c:pt idx="518">
                  <c:v>17.891571097686871</c:v>
                </c:pt>
                <c:pt idx="519">
                  <c:v>17.84696080051096</c:v>
                </c:pt>
                <c:pt idx="520">
                  <c:v>17.802551923750837</c:v>
                </c:pt>
                <c:pt idx="521">
                  <c:v>17.757319528030546</c:v>
                </c:pt>
                <c:pt idx="522">
                  <c:v>17.71229481746974</c:v>
                </c:pt>
                <c:pt idx="523">
                  <c:v>17.667476196800777</c:v>
                </c:pt>
                <c:pt idx="524">
                  <c:v>17.622862083256418</c:v>
                </c:pt>
                <c:pt idx="525">
                  <c:v>17.577421630419366</c:v>
                </c:pt>
                <c:pt idx="526">
                  <c:v>17.532191983957624</c:v>
                </c:pt>
                <c:pt idx="527">
                  <c:v>17.487171489117394</c:v>
                </c:pt>
                <c:pt idx="528">
                  <c:v>17.442358504987805</c:v>
                </c:pt>
                <c:pt idx="529">
                  <c:v>17.39671702617677</c:v>
                </c:pt>
                <c:pt idx="530">
                  <c:v>17.351289384963135</c:v>
                </c:pt>
                <c:pt idx="531">
                  <c:v>17.306073868382459</c:v>
                </c:pt>
                <c:pt idx="532">
                  <c:v>17.26106877864089</c:v>
                </c:pt>
                <c:pt idx="533">
                  <c:v>17.215210070110668</c:v>
                </c:pt>
                <c:pt idx="534">
                  <c:v>17.16956835913863</c:v>
                </c:pt>
                <c:pt idx="535">
                  <c:v>17.124141873183579</c:v>
                </c:pt>
                <c:pt idx="536">
                  <c:v>17.07892885621909</c:v>
                </c:pt>
                <c:pt idx="537">
                  <c:v>17.032908312200657</c:v>
                </c:pt>
                <c:pt idx="538">
                  <c:v>16.987107377911872</c:v>
                </c:pt>
                <c:pt idx="539">
                  <c:v>16.941524228179293</c:v>
                </c:pt>
                <c:pt idx="540">
                  <c:v>16.896157055600348</c:v>
                </c:pt>
                <c:pt idx="541">
                  <c:v>16.84993592395055</c:v>
                </c:pt>
                <c:pt idx="542">
                  <c:v>16.803937357480795</c:v>
                </c:pt>
                <c:pt idx="543">
                  <c:v>16.758159474386314</c:v>
                </c:pt>
                <c:pt idx="544">
                  <c:v>16.712600411938332</c:v>
                </c:pt>
                <c:pt idx="545">
                  <c:v>16.666210573465946</c:v>
                </c:pt>
                <c:pt idx="546">
                  <c:v>16.620045926013113</c:v>
                </c:pt>
                <c:pt idx="547">
                  <c:v>16.574104535547988</c:v>
                </c:pt>
                <c:pt idx="548">
                  <c:v>16.528384488358533</c:v>
                </c:pt>
                <c:pt idx="549">
                  <c:v>16.481834434624304</c:v>
                </c:pt>
                <c:pt idx="550">
                  <c:v>16.435512089683684</c:v>
                </c:pt>
                <c:pt idx="551">
                  <c:v>16.389415468968597</c:v>
                </c:pt>
                <c:pt idx="552">
                  <c:v>16.343542609446899</c:v>
                </c:pt>
                <c:pt idx="553">
                  <c:v>16.296819578277699</c:v>
                </c:pt>
                <c:pt idx="554">
                  <c:v>16.250326873976235</c:v>
                </c:pt>
                <c:pt idx="555">
                  <c:v>16.204062460404224</c:v>
                </c:pt>
                <c:pt idx="556">
                  <c:v>16.158024324186997</c:v>
                </c:pt>
                <c:pt idx="557">
                  <c:v>16.064485301032651</c:v>
                </c:pt>
                <c:pt idx="558">
                  <c:v>15.971869250763138</c:v>
                </c:pt>
                <c:pt idx="559">
                  <c:v>15.878068168362544</c:v>
                </c:pt>
                <c:pt idx="560">
                  <c:v>15.785198546870514</c:v>
                </c:pt>
                <c:pt idx="561">
                  <c:v>15.691072905785655</c:v>
                </c:pt>
                <c:pt idx="562">
                  <c:v>15.597888356882436</c:v>
                </c:pt>
                <c:pt idx="563">
                  <c:v>15.503657939351198</c:v>
                </c:pt>
                <c:pt idx="564">
                  <c:v>15.410373766506089</c:v>
                </c:pt>
                <c:pt idx="565">
                  <c:v>15.315702035560117</c:v>
                </c:pt>
                <c:pt idx="566">
                  <c:v>15.221988344325116</c:v>
                </c:pt>
                <c:pt idx="567">
                  <c:v>15.126945271219331</c:v>
                </c:pt>
                <c:pt idx="568">
                  <c:v>15.032870579096398</c:v>
                </c:pt>
                <c:pt idx="569">
                  <c:v>14.937893154377797</c:v>
                </c:pt>
                <c:pt idx="570">
                  <c:v>14.843885494406097</c:v>
                </c:pt>
                <c:pt idx="571">
                  <c:v>14.748288032601804</c:v>
                </c:pt>
                <c:pt idx="572">
                  <c:v>14.653675599912109</c:v>
                </c:pt>
                <c:pt idx="573">
                  <c:v>14.558251474116215</c:v>
                </c:pt>
                <c:pt idx="574">
                  <c:v>14.463811326049488</c:v>
                </c:pt>
                <c:pt idx="575">
                  <c:v>14.367898399706</c:v>
                </c:pt>
                <c:pt idx="576">
                  <c:v>14.272981914450886</c:v>
                </c:pt>
                <c:pt idx="577">
                  <c:v>13.881748603809292</c:v>
                </c:pt>
                <c:pt idx="578">
                  <c:v>13.506670097465713</c:v>
                </c:pt>
                <c:pt idx="579">
                  <c:v>12.735421002427483</c:v>
                </c:pt>
                <c:pt idx="580">
                  <c:v>11.958787878973725</c:v>
                </c:pt>
                <c:pt idx="581">
                  <c:v>11.178585021162444</c:v>
                </c:pt>
                <c:pt idx="582">
                  <c:v>10.394907041408025</c:v>
                </c:pt>
                <c:pt idx="583">
                  <c:v>9.6088404172948305</c:v>
                </c:pt>
                <c:pt idx="584">
                  <c:v>8.8202249100728753</c:v>
                </c:pt>
                <c:pt idx="585">
                  <c:v>8.0298794785437568</c:v>
                </c:pt>
                <c:pt idx="586">
                  <c:v>7.2379999635880621</c:v>
                </c:pt>
                <c:pt idx="587">
                  <c:v>6.4444247844463467</c:v>
                </c:pt>
                <c:pt idx="588">
                  <c:v>5.6501327626982984</c:v>
                </c:pt>
                <c:pt idx="589">
                  <c:v>4.8546713866264151</c:v>
                </c:pt>
                <c:pt idx="590">
                  <c:v>4.0584978349485175</c:v>
                </c:pt>
                <c:pt idx="591">
                  <c:v>3.261674580969645</c:v>
                </c:pt>
                <c:pt idx="592">
                  <c:v>2.4644205832334021</c:v>
                </c:pt>
                <c:pt idx="593">
                  <c:v>1.6665921369347068</c:v>
                </c:pt>
                <c:pt idx="594">
                  <c:v>0.86847646635883469</c:v>
                </c:pt>
                <c:pt idx="595">
                  <c:v>6.9974741804486262E-2</c:v>
                </c:pt>
                <c:pt idx="596">
                  <c:v>-0.72870040126186808</c:v>
                </c:pt>
                <c:pt idx="597">
                  <c:v>-1.5276785298378401</c:v>
                </c:pt>
                <c:pt idx="598">
                  <c:v>-2.3267281108200768</c:v>
                </c:pt>
                <c:pt idx="599">
                  <c:v>-3.1260245933305586</c:v>
                </c:pt>
                <c:pt idx="600">
                  <c:v>-3.9254212464232618</c:v>
                </c:pt>
              </c:numCache>
            </c:numRef>
          </c:yVal>
          <c:smooth val="0"/>
          <c:extLst>
            <c:ext xmlns:c16="http://schemas.microsoft.com/office/drawing/2014/chart" uri="{C3380CC4-5D6E-409C-BE32-E72D297353CC}">
              <c16:uniqueId val="{00000000-C943-44AE-BE69-B37F145E1EAF}"/>
            </c:ext>
          </c:extLst>
        </c:ser>
        <c:dLbls>
          <c:showLegendKey val="0"/>
          <c:showVal val="0"/>
          <c:showCatName val="0"/>
          <c:showSerName val="0"/>
          <c:showPercent val="0"/>
          <c:showBubbleSize val="0"/>
        </c:dLbls>
        <c:axId val="446572416"/>
        <c:axId val="446582784"/>
      </c:scatterChart>
      <c:scatterChart>
        <c:scatterStyle val="lineMarker"/>
        <c:varyColors val="0"/>
        <c:ser>
          <c:idx val="1"/>
          <c:order val="1"/>
          <c:tx>
            <c:strRef>
              <c:f>'Stability Calculations'!$Y$12</c:f>
              <c:strCache>
                <c:ptCount val="1"/>
                <c:pt idx="0">
                  <c:v>Phase Margin (°)</c:v>
                </c:pt>
              </c:strCache>
            </c:strRef>
          </c:tx>
          <c:spPr>
            <a:ln w="25400">
              <a:solidFill>
                <a:srgbClr val="0000FF"/>
              </a:solidFill>
              <a:prstDash val="solid"/>
            </a:ln>
          </c:spPr>
          <c:marker>
            <c:symbol val="none"/>
          </c:marker>
          <c:xVal>
            <c:numRef>
              <c:f>'Stability Calculations'!$G$13:$G$613</c:f>
              <c:numCache>
                <c:formatCode>General</c:formatCode>
                <c:ptCount val="601"/>
                <c:pt idx="0">
                  <c:v>1</c:v>
                </c:pt>
                <c:pt idx="1">
                  <c:v>1.0965</c:v>
                </c:pt>
                <c:pt idx="2">
                  <c:v>1.2022999999999999</c:v>
                </c:pt>
                <c:pt idx="3">
                  <c:v>1.3183</c:v>
                </c:pt>
                <c:pt idx="4">
                  <c:v>1.4454</c:v>
                </c:pt>
                <c:pt idx="5">
                  <c:v>1.5849</c:v>
                </c:pt>
                <c:pt idx="6">
                  <c:v>1.7378</c:v>
                </c:pt>
                <c:pt idx="7">
                  <c:v>1.9055</c:v>
                </c:pt>
                <c:pt idx="8">
                  <c:v>2.0893000000000002</c:v>
                </c:pt>
                <c:pt idx="9">
                  <c:v>2.2909000000000002</c:v>
                </c:pt>
                <c:pt idx="10">
                  <c:v>2.5118999999999998</c:v>
                </c:pt>
                <c:pt idx="11">
                  <c:v>2.7542</c:v>
                </c:pt>
                <c:pt idx="12">
                  <c:v>3.02</c:v>
                </c:pt>
                <c:pt idx="13">
                  <c:v>3.3113000000000001</c:v>
                </c:pt>
                <c:pt idx="14">
                  <c:v>3.6307999999999998</c:v>
                </c:pt>
                <c:pt idx="15">
                  <c:v>3.9811000000000001</c:v>
                </c:pt>
                <c:pt idx="16">
                  <c:v>4.3651999999999997</c:v>
                </c:pt>
                <c:pt idx="17">
                  <c:v>4.7862999999999998</c:v>
                </c:pt>
                <c:pt idx="18">
                  <c:v>5.2481</c:v>
                </c:pt>
                <c:pt idx="19">
                  <c:v>5.7544000000000004</c:v>
                </c:pt>
                <c:pt idx="20">
                  <c:v>6.3095999999999997</c:v>
                </c:pt>
                <c:pt idx="21">
                  <c:v>6.9183000000000003</c:v>
                </c:pt>
                <c:pt idx="22">
                  <c:v>7.5857999999999999</c:v>
                </c:pt>
                <c:pt idx="23">
                  <c:v>8.3176000000000005</c:v>
                </c:pt>
                <c:pt idx="24">
                  <c:v>9.1201000000000008</c:v>
                </c:pt>
                <c:pt idx="25">
                  <c:v>10</c:v>
                </c:pt>
                <c:pt idx="26">
                  <c:v>10.965</c:v>
                </c:pt>
                <c:pt idx="27">
                  <c:v>12.023</c:v>
                </c:pt>
                <c:pt idx="28">
                  <c:v>13.183</c:v>
                </c:pt>
                <c:pt idx="29">
                  <c:v>14.454000000000001</c:v>
                </c:pt>
                <c:pt idx="30">
                  <c:v>15.849</c:v>
                </c:pt>
                <c:pt idx="31">
                  <c:v>17.378</c:v>
                </c:pt>
                <c:pt idx="32">
                  <c:v>19.055</c:v>
                </c:pt>
                <c:pt idx="33">
                  <c:v>20.893000000000001</c:v>
                </c:pt>
                <c:pt idx="34">
                  <c:v>22.909000000000002</c:v>
                </c:pt>
                <c:pt idx="35">
                  <c:v>25.119</c:v>
                </c:pt>
                <c:pt idx="36">
                  <c:v>27.542000000000002</c:v>
                </c:pt>
                <c:pt idx="37">
                  <c:v>30.2</c:v>
                </c:pt>
                <c:pt idx="38">
                  <c:v>33.113</c:v>
                </c:pt>
                <c:pt idx="39">
                  <c:v>36.308</c:v>
                </c:pt>
                <c:pt idx="40">
                  <c:v>39.811</c:v>
                </c:pt>
                <c:pt idx="41">
                  <c:v>43.652000000000001</c:v>
                </c:pt>
                <c:pt idx="42">
                  <c:v>47.863</c:v>
                </c:pt>
                <c:pt idx="43">
                  <c:v>52.481000000000002</c:v>
                </c:pt>
                <c:pt idx="44">
                  <c:v>57.544000000000004</c:v>
                </c:pt>
                <c:pt idx="45">
                  <c:v>63.095999999999997</c:v>
                </c:pt>
                <c:pt idx="46">
                  <c:v>69.183000000000007</c:v>
                </c:pt>
                <c:pt idx="47">
                  <c:v>75.858000000000004</c:v>
                </c:pt>
                <c:pt idx="48">
                  <c:v>83.176000000000002</c:v>
                </c:pt>
                <c:pt idx="49">
                  <c:v>91.201000000000008</c:v>
                </c:pt>
                <c:pt idx="50">
                  <c:v>100</c:v>
                </c:pt>
                <c:pt idx="51">
                  <c:v>109.65</c:v>
                </c:pt>
                <c:pt idx="52">
                  <c:v>120.23</c:v>
                </c:pt>
                <c:pt idx="53">
                  <c:v>131.83000000000001</c:v>
                </c:pt>
                <c:pt idx="54">
                  <c:v>144.54</c:v>
                </c:pt>
                <c:pt idx="55">
                  <c:v>158.49</c:v>
                </c:pt>
                <c:pt idx="56">
                  <c:v>173.78</c:v>
                </c:pt>
                <c:pt idx="57">
                  <c:v>190.55</c:v>
                </c:pt>
                <c:pt idx="58">
                  <c:v>208.93</c:v>
                </c:pt>
                <c:pt idx="59">
                  <c:v>229.09</c:v>
                </c:pt>
                <c:pt idx="60">
                  <c:v>251.19</c:v>
                </c:pt>
                <c:pt idx="61">
                  <c:v>275.42</c:v>
                </c:pt>
                <c:pt idx="62">
                  <c:v>302</c:v>
                </c:pt>
                <c:pt idx="63">
                  <c:v>331.13</c:v>
                </c:pt>
                <c:pt idx="64">
                  <c:v>363.08</c:v>
                </c:pt>
                <c:pt idx="65">
                  <c:v>398.11</c:v>
                </c:pt>
                <c:pt idx="66">
                  <c:v>436.52</c:v>
                </c:pt>
                <c:pt idx="67">
                  <c:v>478.63</c:v>
                </c:pt>
                <c:pt idx="68">
                  <c:v>524.80999999999995</c:v>
                </c:pt>
                <c:pt idx="69">
                  <c:v>575.44000000000005</c:v>
                </c:pt>
                <c:pt idx="70">
                  <c:v>630.96</c:v>
                </c:pt>
                <c:pt idx="71">
                  <c:v>691.83</c:v>
                </c:pt>
                <c:pt idx="72">
                  <c:v>758.58</c:v>
                </c:pt>
                <c:pt idx="73">
                  <c:v>831.76</c:v>
                </c:pt>
                <c:pt idx="74">
                  <c:v>912.01</c:v>
                </c:pt>
                <c:pt idx="75">
                  <c:v>1000</c:v>
                </c:pt>
                <c:pt idx="76">
                  <c:v>1096.5</c:v>
                </c:pt>
                <c:pt idx="77">
                  <c:v>1202.3</c:v>
                </c:pt>
                <c:pt idx="78">
                  <c:v>1318.3</c:v>
                </c:pt>
                <c:pt idx="79">
                  <c:v>1445.4</c:v>
                </c:pt>
                <c:pt idx="80">
                  <c:v>1584.9</c:v>
                </c:pt>
                <c:pt idx="81">
                  <c:v>1737.8</c:v>
                </c:pt>
                <c:pt idx="82">
                  <c:v>1905.5</c:v>
                </c:pt>
                <c:pt idx="83">
                  <c:v>2089.3000000000002</c:v>
                </c:pt>
                <c:pt idx="84">
                  <c:v>2290.9</c:v>
                </c:pt>
                <c:pt idx="85">
                  <c:v>2511.9</c:v>
                </c:pt>
                <c:pt idx="86">
                  <c:v>2754.2</c:v>
                </c:pt>
                <c:pt idx="87">
                  <c:v>3020</c:v>
                </c:pt>
                <c:pt idx="88">
                  <c:v>3311.3</c:v>
                </c:pt>
                <c:pt idx="89">
                  <c:v>3630.8</c:v>
                </c:pt>
                <c:pt idx="90">
                  <c:v>3981.1</c:v>
                </c:pt>
                <c:pt idx="91">
                  <c:v>4365.2</c:v>
                </c:pt>
                <c:pt idx="92">
                  <c:v>4786.3</c:v>
                </c:pt>
                <c:pt idx="93">
                  <c:v>5248.1</c:v>
                </c:pt>
                <c:pt idx="94">
                  <c:v>5370.3</c:v>
                </c:pt>
                <c:pt idx="95">
                  <c:v>5432.85</c:v>
                </c:pt>
                <c:pt idx="96">
                  <c:v>5495.4</c:v>
                </c:pt>
                <c:pt idx="97">
                  <c:v>5559.4</c:v>
                </c:pt>
                <c:pt idx="98">
                  <c:v>5623.4</c:v>
                </c:pt>
                <c:pt idx="99">
                  <c:v>5688.9</c:v>
                </c:pt>
                <c:pt idx="100">
                  <c:v>5754.4</c:v>
                </c:pt>
                <c:pt idx="101">
                  <c:v>5821.4</c:v>
                </c:pt>
                <c:pt idx="102">
                  <c:v>5888.4</c:v>
                </c:pt>
                <c:pt idx="103">
                  <c:v>5957</c:v>
                </c:pt>
                <c:pt idx="104">
                  <c:v>6025.6</c:v>
                </c:pt>
                <c:pt idx="105">
                  <c:v>6095.8</c:v>
                </c:pt>
                <c:pt idx="106">
                  <c:v>6166</c:v>
                </c:pt>
                <c:pt idx="107">
                  <c:v>6237.8</c:v>
                </c:pt>
                <c:pt idx="108">
                  <c:v>6309.6</c:v>
                </c:pt>
                <c:pt idx="109">
                  <c:v>6383.05</c:v>
                </c:pt>
                <c:pt idx="110">
                  <c:v>6456.5</c:v>
                </c:pt>
                <c:pt idx="111">
                  <c:v>6531.7</c:v>
                </c:pt>
                <c:pt idx="112">
                  <c:v>6606.9</c:v>
                </c:pt>
                <c:pt idx="113">
                  <c:v>6683.85</c:v>
                </c:pt>
                <c:pt idx="114">
                  <c:v>6760.8</c:v>
                </c:pt>
                <c:pt idx="115">
                  <c:v>6839.55</c:v>
                </c:pt>
                <c:pt idx="116">
                  <c:v>6918.3</c:v>
                </c:pt>
                <c:pt idx="117">
                  <c:v>6998.9</c:v>
                </c:pt>
                <c:pt idx="118">
                  <c:v>7079.5</c:v>
                </c:pt>
                <c:pt idx="119">
                  <c:v>7161.95</c:v>
                </c:pt>
                <c:pt idx="120">
                  <c:v>7244.4</c:v>
                </c:pt>
                <c:pt idx="121">
                  <c:v>7328.75</c:v>
                </c:pt>
                <c:pt idx="122">
                  <c:v>7413.1</c:v>
                </c:pt>
                <c:pt idx="123">
                  <c:v>7499.45</c:v>
                </c:pt>
                <c:pt idx="124">
                  <c:v>7585.8</c:v>
                </c:pt>
                <c:pt idx="125">
                  <c:v>7674.15</c:v>
                </c:pt>
                <c:pt idx="126">
                  <c:v>7762.5</c:v>
                </c:pt>
                <c:pt idx="127">
                  <c:v>7852.9</c:v>
                </c:pt>
                <c:pt idx="128">
                  <c:v>7943.3</c:v>
                </c:pt>
                <c:pt idx="129">
                  <c:v>8035.8</c:v>
                </c:pt>
                <c:pt idx="130">
                  <c:v>8128.3</c:v>
                </c:pt>
                <c:pt idx="131">
                  <c:v>8222.9500000000007</c:v>
                </c:pt>
                <c:pt idx="132">
                  <c:v>8270.2750000000015</c:v>
                </c:pt>
                <c:pt idx="133">
                  <c:v>8317.6</c:v>
                </c:pt>
                <c:pt idx="134">
                  <c:v>8366.0499999999993</c:v>
                </c:pt>
                <c:pt idx="135">
                  <c:v>8414.5</c:v>
                </c:pt>
                <c:pt idx="136">
                  <c:v>8462.9500000000007</c:v>
                </c:pt>
                <c:pt idx="137">
                  <c:v>8511.4</c:v>
                </c:pt>
                <c:pt idx="138">
                  <c:v>8560.9500000000007</c:v>
                </c:pt>
                <c:pt idx="139">
                  <c:v>8610.5</c:v>
                </c:pt>
                <c:pt idx="140">
                  <c:v>8660.0499999999993</c:v>
                </c:pt>
                <c:pt idx="141">
                  <c:v>8709.6</c:v>
                </c:pt>
                <c:pt idx="142">
                  <c:v>8760.3250000000007</c:v>
                </c:pt>
                <c:pt idx="143">
                  <c:v>8811.0499999999993</c:v>
                </c:pt>
                <c:pt idx="144">
                  <c:v>8861.7749999999996</c:v>
                </c:pt>
                <c:pt idx="145">
                  <c:v>8912.5</c:v>
                </c:pt>
                <c:pt idx="146">
                  <c:v>8964.4</c:v>
                </c:pt>
                <c:pt idx="147">
                  <c:v>9016.2999999999993</c:v>
                </c:pt>
                <c:pt idx="148">
                  <c:v>9068.2000000000007</c:v>
                </c:pt>
                <c:pt idx="149">
                  <c:v>9120.1</c:v>
                </c:pt>
                <c:pt idx="150">
                  <c:v>9173.2000000000007</c:v>
                </c:pt>
                <c:pt idx="151">
                  <c:v>9226.2999999999993</c:v>
                </c:pt>
                <c:pt idx="152">
                  <c:v>9279.4</c:v>
                </c:pt>
                <c:pt idx="153">
                  <c:v>9332.5</c:v>
                </c:pt>
                <c:pt idx="154">
                  <c:v>9386.85</c:v>
                </c:pt>
                <c:pt idx="155">
                  <c:v>9441.2000000000007</c:v>
                </c:pt>
                <c:pt idx="156">
                  <c:v>9495.5499999999993</c:v>
                </c:pt>
                <c:pt idx="157">
                  <c:v>9549.9</c:v>
                </c:pt>
                <c:pt idx="158">
                  <c:v>9605.5249999999996</c:v>
                </c:pt>
                <c:pt idx="159">
                  <c:v>9661.15</c:v>
                </c:pt>
                <c:pt idx="160">
                  <c:v>9716.7749999999996</c:v>
                </c:pt>
                <c:pt idx="161">
                  <c:v>9772.4</c:v>
                </c:pt>
                <c:pt idx="162">
                  <c:v>9829.2999999999993</c:v>
                </c:pt>
                <c:pt idx="163">
                  <c:v>9886.2000000000007</c:v>
                </c:pt>
                <c:pt idx="164">
                  <c:v>9943.1</c:v>
                </c:pt>
                <c:pt idx="165">
                  <c:v>10000</c:v>
                </c:pt>
                <c:pt idx="166">
                  <c:v>10058.25</c:v>
                </c:pt>
                <c:pt idx="167">
                  <c:v>10116.5</c:v>
                </c:pt>
                <c:pt idx="168">
                  <c:v>10174.75</c:v>
                </c:pt>
                <c:pt idx="169">
                  <c:v>10233</c:v>
                </c:pt>
                <c:pt idx="170">
                  <c:v>10292.5</c:v>
                </c:pt>
                <c:pt idx="171">
                  <c:v>10352</c:v>
                </c:pt>
                <c:pt idx="172">
                  <c:v>10411.5</c:v>
                </c:pt>
                <c:pt idx="173">
                  <c:v>10471</c:v>
                </c:pt>
                <c:pt idx="174">
                  <c:v>10532</c:v>
                </c:pt>
                <c:pt idx="175">
                  <c:v>10593</c:v>
                </c:pt>
                <c:pt idx="176">
                  <c:v>10654</c:v>
                </c:pt>
                <c:pt idx="177">
                  <c:v>10715</c:v>
                </c:pt>
                <c:pt idx="178">
                  <c:v>10777.5</c:v>
                </c:pt>
                <c:pt idx="179">
                  <c:v>10840</c:v>
                </c:pt>
                <c:pt idx="180">
                  <c:v>10902.5</c:v>
                </c:pt>
                <c:pt idx="181">
                  <c:v>10965</c:v>
                </c:pt>
                <c:pt idx="182">
                  <c:v>11028.75</c:v>
                </c:pt>
                <c:pt idx="183">
                  <c:v>11092.5</c:v>
                </c:pt>
                <c:pt idx="184">
                  <c:v>11156.25</c:v>
                </c:pt>
                <c:pt idx="185">
                  <c:v>11220</c:v>
                </c:pt>
                <c:pt idx="186">
                  <c:v>11285.5</c:v>
                </c:pt>
                <c:pt idx="187">
                  <c:v>11351</c:v>
                </c:pt>
                <c:pt idx="188">
                  <c:v>11416.5</c:v>
                </c:pt>
                <c:pt idx="189">
                  <c:v>11482</c:v>
                </c:pt>
                <c:pt idx="190">
                  <c:v>11548.75</c:v>
                </c:pt>
                <c:pt idx="191">
                  <c:v>11615.5</c:v>
                </c:pt>
                <c:pt idx="192">
                  <c:v>11682.25</c:v>
                </c:pt>
                <c:pt idx="193">
                  <c:v>11749</c:v>
                </c:pt>
                <c:pt idx="194">
                  <c:v>11817.5</c:v>
                </c:pt>
                <c:pt idx="195">
                  <c:v>11886</c:v>
                </c:pt>
                <c:pt idx="196">
                  <c:v>11954.5</c:v>
                </c:pt>
                <c:pt idx="197">
                  <c:v>12023</c:v>
                </c:pt>
                <c:pt idx="198">
                  <c:v>12093</c:v>
                </c:pt>
                <c:pt idx="199">
                  <c:v>12163</c:v>
                </c:pt>
                <c:pt idx="200">
                  <c:v>12233</c:v>
                </c:pt>
                <c:pt idx="201">
                  <c:v>12303</c:v>
                </c:pt>
                <c:pt idx="202">
                  <c:v>12374.5</c:v>
                </c:pt>
                <c:pt idx="203">
                  <c:v>12446</c:v>
                </c:pt>
                <c:pt idx="204">
                  <c:v>12517.5</c:v>
                </c:pt>
                <c:pt idx="205">
                  <c:v>12589</c:v>
                </c:pt>
                <c:pt idx="206">
                  <c:v>12662.25</c:v>
                </c:pt>
                <c:pt idx="207">
                  <c:v>12735.5</c:v>
                </c:pt>
                <c:pt idx="208">
                  <c:v>12808.75</c:v>
                </c:pt>
                <c:pt idx="209">
                  <c:v>12882</c:v>
                </c:pt>
                <c:pt idx="210">
                  <c:v>12957.25</c:v>
                </c:pt>
                <c:pt idx="211">
                  <c:v>13032.5</c:v>
                </c:pt>
                <c:pt idx="212">
                  <c:v>13107.75</c:v>
                </c:pt>
                <c:pt idx="213">
                  <c:v>13183</c:v>
                </c:pt>
                <c:pt idx="214">
                  <c:v>13259.75</c:v>
                </c:pt>
                <c:pt idx="215">
                  <c:v>13336.5</c:v>
                </c:pt>
                <c:pt idx="216">
                  <c:v>13413.25</c:v>
                </c:pt>
                <c:pt idx="217">
                  <c:v>13490</c:v>
                </c:pt>
                <c:pt idx="218">
                  <c:v>13568.5</c:v>
                </c:pt>
                <c:pt idx="219">
                  <c:v>13647</c:v>
                </c:pt>
                <c:pt idx="220">
                  <c:v>13725.5</c:v>
                </c:pt>
                <c:pt idx="221">
                  <c:v>13804</c:v>
                </c:pt>
                <c:pt idx="222">
                  <c:v>13884.25</c:v>
                </c:pt>
                <c:pt idx="223">
                  <c:v>13964.5</c:v>
                </c:pt>
                <c:pt idx="224">
                  <c:v>14044.75</c:v>
                </c:pt>
                <c:pt idx="225">
                  <c:v>14125</c:v>
                </c:pt>
                <c:pt idx="226">
                  <c:v>14207.25</c:v>
                </c:pt>
                <c:pt idx="227">
                  <c:v>14289.5</c:v>
                </c:pt>
                <c:pt idx="228">
                  <c:v>14371.75</c:v>
                </c:pt>
                <c:pt idx="229">
                  <c:v>14454</c:v>
                </c:pt>
                <c:pt idx="230">
                  <c:v>14622.5</c:v>
                </c:pt>
                <c:pt idx="231">
                  <c:v>14706.75</c:v>
                </c:pt>
                <c:pt idx="232">
                  <c:v>14791</c:v>
                </c:pt>
                <c:pt idx="233">
                  <c:v>14877.25</c:v>
                </c:pt>
                <c:pt idx="234">
                  <c:v>14963.5</c:v>
                </c:pt>
                <c:pt idx="235">
                  <c:v>15049.75</c:v>
                </c:pt>
                <c:pt idx="236">
                  <c:v>15136</c:v>
                </c:pt>
                <c:pt idx="237">
                  <c:v>15224</c:v>
                </c:pt>
                <c:pt idx="238">
                  <c:v>15312</c:v>
                </c:pt>
                <c:pt idx="239">
                  <c:v>15400</c:v>
                </c:pt>
                <c:pt idx="240">
                  <c:v>15488</c:v>
                </c:pt>
                <c:pt idx="241">
                  <c:v>15578.25</c:v>
                </c:pt>
                <c:pt idx="242">
                  <c:v>15668.5</c:v>
                </c:pt>
                <c:pt idx="243">
                  <c:v>15758.75</c:v>
                </c:pt>
                <c:pt idx="244">
                  <c:v>15849</c:v>
                </c:pt>
                <c:pt idx="245">
                  <c:v>15941.25</c:v>
                </c:pt>
                <c:pt idx="246">
                  <c:v>16033.5</c:v>
                </c:pt>
                <c:pt idx="247">
                  <c:v>16125.75</c:v>
                </c:pt>
                <c:pt idx="248">
                  <c:v>16218</c:v>
                </c:pt>
                <c:pt idx="249">
                  <c:v>16312.5</c:v>
                </c:pt>
                <c:pt idx="250">
                  <c:v>16407</c:v>
                </c:pt>
                <c:pt idx="251">
                  <c:v>16501.5</c:v>
                </c:pt>
                <c:pt idx="252">
                  <c:v>16596</c:v>
                </c:pt>
                <c:pt idx="253">
                  <c:v>16692.5</c:v>
                </c:pt>
                <c:pt idx="254">
                  <c:v>16789</c:v>
                </c:pt>
                <c:pt idx="255">
                  <c:v>16885.5</c:v>
                </c:pt>
                <c:pt idx="256">
                  <c:v>16982</c:v>
                </c:pt>
                <c:pt idx="257">
                  <c:v>17081</c:v>
                </c:pt>
                <c:pt idx="258">
                  <c:v>17180</c:v>
                </c:pt>
                <c:pt idx="259">
                  <c:v>17279</c:v>
                </c:pt>
                <c:pt idx="260">
                  <c:v>17378</c:v>
                </c:pt>
                <c:pt idx="261">
                  <c:v>17479.25</c:v>
                </c:pt>
                <c:pt idx="262">
                  <c:v>17580.5</c:v>
                </c:pt>
                <c:pt idx="263">
                  <c:v>17681.75</c:v>
                </c:pt>
                <c:pt idx="264">
                  <c:v>17783</c:v>
                </c:pt>
                <c:pt idx="265">
                  <c:v>17886.5</c:v>
                </c:pt>
                <c:pt idx="266">
                  <c:v>17990</c:v>
                </c:pt>
                <c:pt idx="267">
                  <c:v>18093.5</c:v>
                </c:pt>
                <c:pt idx="268">
                  <c:v>18197</c:v>
                </c:pt>
                <c:pt idx="269">
                  <c:v>18303</c:v>
                </c:pt>
                <c:pt idx="270">
                  <c:v>18409</c:v>
                </c:pt>
                <c:pt idx="271">
                  <c:v>18515</c:v>
                </c:pt>
                <c:pt idx="272">
                  <c:v>18621</c:v>
                </c:pt>
                <c:pt idx="273">
                  <c:v>18729.5</c:v>
                </c:pt>
                <c:pt idx="274">
                  <c:v>18838</c:v>
                </c:pt>
                <c:pt idx="275">
                  <c:v>18946.5</c:v>
                </c:pt>
                <c:pt idx="276">
                  <c:v>19055</c:v>
                </c:pt>
                <c:pt idx="277">
                  <c:v>19165.75</c:v>
                </c:pt>
                <c:pt idx="278">
                  <c:v>19276.5</c:v>
                </c:pt>
                <c:pt idx="279">
                  <c:v>19387.25</c:v>
                </c:pt>
                <c:pt idx="280">
                  <c:v>19498</c:v>
                </c:pt>
                <c:pt idx="281">
                  <c:v>19611.75</c:v>
                </c:pt>
                <c:pt idx="282">
                  <c:v>19725.5</c:v>
                </c:pt>
                <c:pt idx="283">
                  <c:v>19839.25</c:v>
                </c:pt>
                <c:pt idx="284">
                  <c:v>19953</c:v>
                </c:pt>
                <c:pt idx="285">
                  <c:v>20069</c:v>
                </c:pt>
                <c:pt idx="286">
                  <c:v>20185</c:v>
                </c:pt>
                <c:pt idx="287">
                  <c:v>20301</c:v>
                </c:pt>
                <c:pt idx="288">
                  <c:v>20417</c:v>
                </c:pt>
                <c:pt idx="289">
                  <c:v>20536</c:v>
                </c:pt>
                <c:pt idx="290">
                  <c:v>20655</c:v>
                </c:pt>
                <c:pt idx="291">
                  <c:v>20774</c:v>
                </c:pt>
                <c:pt idx="292">
                  <c:v>20893</c:v>
                </c:pt>
                <c:pt idx="293">
                  <c:v>21014.75</c:v>
                </c:pt>
                <c:pt idx="294">
                  <c:v>21136.5</c:v>
                </c:pt>
                <c:pt idx="295">
                  <c:v>21258.25</c:v>
                </c:pt>
                <c:pt idx="296">
                  <c:v>21380</c:v>
                </c:pt>
                <c:pt idx="297">
                  <c:v>21504.5</c:v>
                </c:pt>
                <c:pt idx="298">
                  <c:v>21629</c:v>
                </c:pt>
                <c:pt idx="299">
                  <c:v>21753.5</c:v>
                </c:pt>
                <c:pt idx="300">
                  <c:v>21878</c:v>
                </c:pt>
                <c:pt idx="301">
                  <c:v>22005.25</c:v>
                </c:pt>
                <c:pt idx="302">
                  <c:v>22132.5</c:v>
                </c:pt>
                <c:pt idx="303">
                  <c:v>22259.75</c:v>
                </c:pt>
                <c:pt idx="304">
                  <c:v>22387</c:v>
                </c:pt>
                <c:pt idx="305">
                  <c:v>22517.5</c:v>
                </c:pt>
                <c:pt idx="306">
                  <c:v>22648</c:v>
                </c:pt>
                <c:pt idx="307">
                  <c:v>22778.5</c:v>
                </c:pt>
                <c:pt idx="308">
                  <c:v>22909</c:v>
                </c:pt>
                <c:pt idx="309">
                  <c:v>23042.25</c:v>
                </c:pt>
                <c:pt idx="310">
                  <c:v>23175.5</c:v>
                </c:pt>
                <c:pt idx="311">
                  <c:v>23308.75</c:v>
                </c:pt>
                <c:pt idx="312">
                  <c:v>23442</c:v>
                </c:pt>
                <c:pt idx="313">
                  <c:v>23578.5</c:v>
                </c:pt>
                <c:pt idx="314">
                  <c:v>23715</c:v>
                </c:pt>
                <c:pt idx="315">
                  <c:v>23851.5</c:v>
                </c:pt>
                <c:pt idx="316">
                  <c:v>23988</c:v>
                </c:pt>
                <c:pt idx="317">
                  <c:v>24127.75</c:v>
                </c:pt>
                <c:pt idx="318">
                  <c:v>24267.5</c:v>
                </c:pt>
                <c:pt idx="319">
                  <c:v>24407.25</c:v>
                </c:pt>
                <c:pt idx="320">
                  <c:v>24547</c:v>
                </c:pt>
                <c:pt idx="321">
                  <c:v>24690</c:v>
                </c:pt>
                <c:pt idx="322">
                  <c:v>24833</c:v>
                </c:pt>
                <c:pt idx="323">
                  <c:v>24976</c:v>
                </c:pt>
                <c:pt idx="324">
                  <c:v>25119</c:v>
                </c:pt>
                <c:pt idx="325">
                  <c:v>25265.25</c:v>
                </c:pt>
                <c:pt idx="326">
                  <c:v>25411.5</c:v>
                </c:pt>
                <c:pt idx="327">
                  <c:v>25557.75</c:v>
                </c:pt>
                <c:pt idx="328">
                  <c:v>25704</c:v>
                </c:pt>
                <c:pt idx="329">
                  <c:v>25853.75</c:v>
                </c:pt>
                <c:pt idx="330">
                  <c:v>26003.5</c:v>
                </c:pt>
                <c:pt idx="331">
                  <c:v>26153.25</c:v>
                </c:pt>
                <c:pt idx="332">
                  <c:v>26303</c:v>
                </c:pt>
                <c:pt idx="333">
                  <c:v>26456</c:v>
                </c:pt>
                <c:pt idx="334">
                  <c:v>26609</c:v>
                </c:pt>
                <c:pt idx="335">
                  <c:v>26762</c:v>
                </c:pt>
                <c:pt idx="336">
                  <c:v>26915</c:v>
                </c:pt>
                <c:pt idx="337">
                  <c:v>27071.75</c:v>
                </c:pt>
                <c:pt idx="338">
                  <c:v>27228.5</c:v>
                </c:pt>
                <c:pt idx="339">
                  <c:v>27385.25</c:v>
                </c:pt>
                <c:pt idx="340">
                  <c:v>27542</c:v>
                </c:pt>
                <c:pt idx="341">
                  <c:v>27702.5</c:v>
                </c:pt>
                <c:pt idx="342">
                  <c:v>27863</c:v>
                </c:pt>
                <c:pt idx="343">
                  <c:v>28023.5</c:v>
                </c:pt>
                <c:pt idx="344">
                  <c:v>28184</c:v>
                </c:pt>
                <c:pt idx="345">
                  <c:v>28348</c:v>
                </c:pt>
                <c:pt idx="346">
                  <c:v>28512</c:v>
                </c:pt>
                <c:pt idx="347">
                  <c:v>28676</c:v>
                </c:pt>
                <c:pt idx="348">
                  <c:v>28840</c:v>
                </c:pt>
                <c:pt idx="349">
                  <c:v>29008</c:v>
                </c:pt>
                <c:pt idx="350">
                  <c:v>29176</c:v>
                </c:pt>
                <c:pt idx="351">
                  <c:v>29344</c:v>
                </c:pt>
                <c:pt idx="352">
                  <c:v>29512</c:v>
                </c:pt>
                <c:pt idx="353">
                  <c:v>29684</c:v>
                </c:pt>
                <c:pt idx="354">
                  <c:v>29856</c:v>
                </c:pt>
                <c:pt idx="355">
                  <c:v>30028</c:v>
                </c:pt>
                <c:pt idx="356">
                  <c:v>30200</c:v>
                </c:pt>
                <c:pt idx="357">
                  <c:v>30375.75</c:v>
                </c:pt>
                <c:pt idx="358">
                  <c:v>30551.5</c:v>
                </c:pt>
                <c:pt idx="359">
                  <c:v>30727.25</c:v>
                </c:pt>
                <c:pt idx="360">
                  <c:v>30903</c:v>
                </c:pt>
                <c:pt idx="361">
                  <c:v>31083</c:v>
                </c:pt>
                <c:pt idx="362">
                  <c:v>31263</c:v>
                </c:pt>
                <c:pt idx="363">
                  <c:v>31443</c:v>
                </c:pt>
                <c:pt idx="364">
                  <c:v>31623</c:v>
                </c:pt>
                <c:pt idx="365">
                  <c:v>31807</c:v>
                </c:pt>
                <c:pt idx="366">
                  <c:v>31991</c:v>
                </c:pt>
                <c:pt idx="367">
                  <c:v>32175</c:v>
                </c:pt>
                <c:pt idx="368">
                  <c:v>32359</c:v>
                </c:pt>
                <c:pt idx="369">
                  <c:v>32547.5</c:v>
                </c:pt>
                <c:pt idx="370">
                  <c:v>32736</c:v>
                </c:pt>
                <c:pt idx="371">
                  <c:v>32924.5</c:v>
                </c:pt>
                <c:pt idx="372">
                  <c:v>33113</c:v>
                </c:pt>
                <c:pt idx="373">
                  <c:v>33305.75</c:v>
                </c:pt>
                <c:pt idx="374">
                  <c:v>33498.5</c:v>
                </c:pt>
                <c:pt idx="375">
                  <c:v>33691.25</c:v>
                </c:pt>
                <c:pt idx="376">
                  <c:v>33884</c:v>
                </c:pt>
                <c:pt idx="377">
                  <c:v>34081.5</c:v>
                </c:pt>
                <c:pt idx="378">
                  <c:v>34279</c:v>
                </c:pt>
                <c:pt idx="379">
                  <c:v>34476.5</c:v>
                </c:pt>
                <c:pt idx="380">
                  <c:v>34674</c:v>
                </c:pt>
                <c:pt idx="381">
                  <c:v>34875.75</c:v>
                </c:pt>
                <c:pt idx="382">
                  <c:v>35077.5</c:v>
                </c:pt>
                <c:pt idx="383">
                  <c:v>35279.25</c:v>
                </c:pt>
                <c:pt idx="384">
                  <c:v>35481</c:v>
                </c:pt>
                <c:pt idx="385">
                  <c:v>35687.75</c:v>
                </c:pt>
                <c:pt idx="386">
                  <c:v>35894.5</c:v>
                </c:pt>
                <c:pt idx="387">
                  <c:v>36101.25</c:v>
                </c:pt>
                <c:pt idx="388">
                  <c:v>36308</c:v>
                </c:pt>
                <c:pt idx="389">
                  <c:v>36519.5</c:v>
                </c:pt>
                <c:pt idx="390">
                  <c:v>36731</c:v>
                </c:pt>
                <c:pt idx="391">
                  <c:v>36942.5</c:v>
                </c:pt>
                <c:pt idx="392">
                  <c:v>37154</c:v>
                </c:pt>
                <c:pt idx="393">
                  <c:v>37370.25</c:v>
                </c:pt>
                <c:pt idx="394">
                  <c:v>37586.5</c:v>
                </c:pt>
                <c:pt idx="395">
                  <c:v>37802.75</c:v>
                </c:pt>
                <c:pt idx="396">
                  <c:v>38019</c:v>
                </c:pt>
                <c:pt idx="397">
                  <c:v>38240.5</c:v>
                </c:pt>
                <c:pt idx="398">
                  <c:v>38462</c:v>
                </c:pt>
                <c:pt idx="399">
                  <c:v>38683.5</c:v>
                </c:pt>
                <c:pt idx="400">
                  <c:v>38905</c:v>
                </c:pt>
                <c:pt idx="401">
                  <c:v>39131.5</c:v>
                </c:pt>
                <c:pt idx="402">
                  <c:v>39358</c:v>
                </c:pt>
                <c:pt idx="403">
                  <c:v>39584.5</c:v>
                </c:pt>
                <c:pt idx="404">
                  <c:v>39811</c:v>
                </c:pt>
                <c:pt idx="405">
                  <c:v>40042.75</c:v>
                </c:pt>
                <c:pt idx="406">
                  <c:v>40274.5</c:v>
                </c:pt>
                <c:pt idx="407">
                  <c:v>40506.25</c:v>
                </c:pt>
                <c:pt idx="408">
                  <c:v>40738</c:v>
                </c:pt>
                <c:pt idx="409">
                  <c:v>40975.25</c:v>
                </c:pt>
                <c:pt idx="410">
                  <c:v>41212.5</c:v>
                </c:pt>
                <c:pt idx="411">
                  <c:v>41449.75</c:v>
                </c:pt>
                <c:pt idx="412">
                  <c:v>41687</c:v>
                </c:pt>
                <c:pt idx="413">
                  <c:v>41929.75</c:v>
                </c:pt>
                <c:pt idx="414">
                  <c:v>42172.5</c:v>
                </c:pt>
                <c:pt idx="415">
                  <c:v>42415.25</c:v>
                </c:pt>
                <c:pt idx="416">
                  <c:v>42658</c:v>
                </c:pt>
                <c:pt idx="417">
                  <c:v>42906.5</c:v>
                </c:pt>
                <c:pt idx="418">
                  <c:v>43155</c:v>
                </c:pt>
                <c:pt idx="419">
                  <c:v>43403.5</c:v>
                </c:pt>
                <c:pt idx="420">
                  <c:v>43652</c:v>
                </c:pt>
                <c:pt idx="421">
                  <c:v>43906</c:v>
                </c:pt>
                <c:pt idx="422">
                  <c:v>44160</c:v>
                </c:pt>
                <c:pt idx="423">
                  <c:v>44414</c:v>
                </c:pt>
                <c:pt idx="424">
                  <c:v>44668</c:v>
                </c:pt>
                <c:pt idx="425">
                  <c:v>44928.25</c:v>
                </c:pt>
                <c:pt idx="426">
                  <c:v>45188.5</c:v>
                </c:pt>
                <c:pt idx="427">
                  <c:v>45448.75</c:v>
                </c:pt>
                <c:pt idx="428">
                  <c:v>45709</c:v>
                </c:pt>
                <c:pt idx="429">
                  <c:v>45975.25</c:v>
                </c:pt>
                <c:pt idx="430">
                  <c:v>46241.5</c:v>
                </c:pt>
                <c:pt idx="431">
                  <c:v>46507.75</c:v>
                </c:pt>
                <c:pt idx="432">
                  <c:v>46774</c:v>
                </c:pt>
                <c:pt idx="433">
                  <c:v>47046.25</c:v>
                </c:pt>
                <c:pt idx="434">
                  <c:v>47318.5</c:v>
                </c:pt>
                <c:pt idx="435">
                  <c:v>47590.75</c:v>
                </c:pt>
                <c:pt idx="436">
                  <c:v>47863</c:v>
                </c:pt>
                <c:pt idx="437">
                  <c:v>48141.75</c:v>
                </c:pt>
                <c:pt idx="438">
                  <c:v>48420.5</c:v>
                </c:pt>
                <c:pt idx="439">
                  <c:v>48699.25</c:v>
                </c:pt>
                <c:pt idx="440">
                  <c:v>48978</c:v>
                </c:pt>
                <c:pt idx="441">
                  <c:v>49263.25</c:v>
                </c:pt>
                <c:pt idx="442">
                  <c:v>49548.5</c:v>
                </c:pt>
                <c:pt idx="443">
                  <c:v>49833.75</c:v>
                </c:pt>
                <c:pt idx="444">
                  <c:v>50119</c:v>
                </c:pt>
                <c:pt idx="445">
                  <c:v>50410.75</c:v>
                </c:pt>
                <c:pt idx="446">
                  <c:v>50702.5</c:v>
                </c:pt>
                <c:pt idx="447">
                  <c:v>50994.25</c:v>
                </c:pt>
                <c:pt idx="448">
                  <c:v>51286</c:v>
                </c:pt>
                <c:pt idx="449">
                  <c:v>51584.75</c:v>
                </c:pt>
                <c:pt idx="450">
                  <c:v>51883.5</c:v>
                </c:pt>
                <c:pt idx="451">
                  <c:v>52182.25</c:v>
                </c:pt>
                <c:pt idx="452">
                  <c:v>52481</c:v>
                </c:pt>
                <c:pt idx="453">
                  <c:v>52786.5</c:v>
                </c:pt>
                <c:pt idx="454">
                  <c:v>53092</c:v>
                </c:pt>
                <c:pt idx="455">
                  <c:v>53397.5</c:v>
                </c:pt>
                <c:pt idx="456">
                  <c:v>53703</c:v>
                </c:pt>
                <c:pt idx="457">
                  <c:v>54015.75</c:v>
                </c:pt>
                <c:pt idx="458">
                  <c:v>54328.5</c:v>
                </c:pt>
                <c:pt idx="459">
                  <c:v>54641.25</c:v>
                </c:pt>
                <c:pt idx="460">
                  <c:v>54954</c:v>
                </c:pt>
                <c:pt idx="461">
                  <c:v>55274</c:v>
                </c:pt>
                <c:pt idx="462">
                  <c:v>55594</c:v>
                </c:pt>
                <c:pt idx="463">
                  <c:v>55914</c:v>
                </c:pt>
                <c:pt idx="464">
                  <c:v>56234</c:v>
                </c:pt>
                <c:pt idx="465">
                  <c:v>56561.5</c:v>
                </c:pt>
                <c:pt idx="466">
                  <c:v>56889</c:v>
                </c:pt>
                <c:pt idx="467">
                  <c:v>57216.5</c:v>
                </c:pt>
                <c:pt idx="468">
                  <c:v>57544</c:v>
                </c:pt>
                <c:pt idx="469">
                  <c:v>57879</c:v>
                </c:pt>
                <c:pt idx="470">
                  <c:v>58214</c:v>
                </c:pt>
                <c:pt idx="471">
                  <c:v>58549</c:v>
                </c:pt>
                <c:pt idx="472">
                  <c:v>58884</c:v>
                </c:pt>
                <c:pt idx="473">
                  <c:v>59227</c:v>
                </c:pt>
                <c:pt idx="474">
                  <c:v>59570</c:v>
                </c:pt>
                <c:pt idx="475">
                  <c:v>59913</c:v>
                </c:pt>
                <c:pt idx="476">
                  <c:v>60256</c:v>
                </c:pt>
                <c:pt idx="477">
                  <c:v>60607</c:v>
                </c:pt>
                <c:pt idx="478">
                  <c:v>60958</c:v>
                </c:pt>
                <c:pt idx="479">
                  <c:v>61309</c:v>
                </c:pt>
                <c:pt idx="480">
                  <c:v>61660</c:v>
                </c:pt>
                <c:pt idx="481">
                  <c:v>62019</c:v>
                </c:pt>
                <c:pt idx="482">
                  <c:v>62378</c:v>
                </c:pt>
                <c:pt idx="483">
                  <c:v>62737</c:v>
                </c:pt>
                <c:pt idx="484">
                  <c:v>63096</c:v>
                </c:pt>
                <c:pt idx="485">
                  <c:v>63463.25</c:v>
                </c:pt>
                <c:pt idx="486">
                  <c:v>63830.5</c:v>
                </c:pt>
                <c:pt idx="487">
                  <c:v>64197.75</c:v>
                </c:pt>
                <c:pt idx="488">
                  <c:v>64565</c:v>
                </c:pt>
                <c:pt idx="489">
                  <c:v>64941</c:v>
                </c:pt>
                <c:pt idx="490">
                  <c:v>65317</c:v>
                </c:pt>
                <c:pt idx="491">
                  <c:v>65693</c:v>
                </c:pt>
                <c:pt idx="492">
                  <c:v>66069</c:v>
                </c:pt>
                <c:pt idx="493">
                  <c:v>66453.75</c:v>
                </c:pt>
                <c:pt idx="494">
                  <c:v>66838.5</c:v>
                </c:pt>
                <c:pt idx="495">
                  <c:v>67223.25</c:v>
                </c:pt>
                <c:pt idx="496">
                  <c:v>67608</c:v>
                </c:pt>
                <c:pt idx="497">
                  <c:v>68001.75</c:v>
                </c:pt>
                <c:pt idx="498">
                  <c:v>68395.5</c:v>
                </c:pt>
                <c:pt idx="499">
                  <c:v>68789.25</c:v>
                </c:pt>
                <c:pt idx="500">
                  <c:v>69183</c:v>
                </c:pt>
                <c:pt idx="501">
                  <c:v>69586</c:v>
                </c:pt>
                <c:pt idx="502">
                  <c:v>69989</c:v>
                </c:pt>
                <c:pt idx="503">
                  <c:v>70392</c:v>
                </c:pt>
                <c:pt idx="504">
                  <c:v>70795</c:v>
                </c:pt>
                <c:pt idx="505">
                  <c:v>71207.25</c:v>
                </c:pt>
                <c:pt idx="506">
                  <c:v>71619.5</c:v>
                </c:pt>
                <c:pt idx="507">
                  <c:v>72031.75</c:v>
                </c:pt>
                <c:pt idx="508">
                  <c:v>72444</c:v>
                </c:pt>
                <c:pt idx="509">
                  <c:v>72865.75</c:v>
                </c:pt>
                <c:pt idx="510">
                  <c:v>73287.5</c:v>
                </c:pt>
                <c:pt idx="511">
                  <c:v>73709.25</c:v>
                </c:pt>
                <c:pt idx="512">
                  <c:v>74131</c:v>
                </c:pt>
                <c:pt idx="513">
                  <c:v>74562.75</c:v>
                </c:pt>
                <c:pt idx="514">
                  <c:v>74994.5</c:v>
                </c:pt>
                <c:pt idx="515">
                  <c:v>75426.25</c:v>
                </c:pt>
                <c:pt idx="516">
                  <c:v>75858</c:v>
                </c:pt>
                <c:pt idx="517">
                  <c:v>76299.75</c:v>
                </c:pt>
                <c:pt idx="518">
                  <c:v>76741.5</c:v>
                </c:pt>
                <c:pt idx="519">
                  <c:v>77183.25</c:v>
                </c:pt>
                <c:pt idx="520">
                  <c:v>77625</c:v>
                </c:pt>
                <c:pt idx="521">
                  <c:v>78077</c:v>
                </c:pt>
                <c:pt idx="522">
                  <c:v>78529</c:v>
                </c:pt>
                <c:pt idx="523">
                  <c:v>78981</c:v>
                </c:pt>
                <c:pt idx="524">
                  <c:v>79433</c:v>
                </c:pt>
                <c:pt idx="525">
                  <c:v>79895.5</c:v>
                </c:pt>
                <c:pt idx="526">
                  <c:v>80358</c:v>
                </c:pt>
                <c:pt idx="527">
                  <c:v>80820.5</c:v>
                </c:pt>
                <c:pt idx="528">
                  <c:v>81283</c:v>
                </c:pt>
                <c:pt idx="529">
                  <c:v>81756.25</c:v>
                </c:pt>
                <c:pt idx="530">
                  <c:v>82229.5</c:v>
                </c:pt>
                <c:pt idx="531">
                  <c:v>82702.75</c:v>
                </c:pt>
                <c:pt idx="532">
                  <c:v>83176</c:v>
                </c:pt>
                <c:pt idx="533">
                  <c:v>83660.5</c:v>
                </c:pt>
                <c:pt idx="534">
                  <c:v>84145</c:v>
                </c:pt>
                <c:pt idx="535">
                  <c:v>84629.5</c:v>
                </c:pt>
                <c:pt idx="536">
                  <c:v>85114</c:v>
                </c:pt>
                <c:pt idx="537">
                  <c:v>85609.5</c:v>
                </c:pt>
                <c:pt idx="538">
                  <c:v>86105</c:v>
                </c:pt>
                <c:pt idx="539">
                  <c:v>86600.5</c:v>
                </c:pt>
                <c:pt idx="540">
                  <c:v>87096</c:v>
                </c:pt>
                <c:pt idx="541">
                  <c:v>87603.25</c:v>
                </c:pt>
                <c:pt idx="542">
                  <c:v>88110.5</c:v>
                </c:pt>
                <c:pt idx="543">
                  <c:v>88617.75</c:v>
                </c:pt>
                <c:pt idx="544">
                  <c:v>89125</c:v>
                </c:pt>
                <c:pt idx="545">
                  <c:v>89644</c:v>
                </c:pt>
                <c:pt idx="546">
                  <c:v>90163</c:v>
                </c:pt>
                <c:pt idx="547">
                  <c:v>90682</c:v>
                </c:pt>
                <c:pt idx="548">
                  <c:v>91201</c:v>
                </c:pt>
                <c:pt idx="549">
                  <c:v>91732</c:v>
                </c:pt>
                <c:pt idx="550">
                  <c:v>92263</c:v>
                </c:pt>
                <c:pt idx="551">
                  <c:v>92794</c:v>
                </c:pt>
                <c:pt idx="552">
                  <c:v>93325</c:v>
                </c:pt>
                <c:pt idx="553">
                  <c:v>93868.5</c:v>
                </c:pt>
                <c:pt idx="554">
                  <c:v>94412</c:v>
                </c:pt>
                <c:pt idx="555">
                  <c:v>94955.5</c:v>
                </c:pt>
                <c:pt idx="556">
                  <c:v>95499</c:v>
                </c:pt>
                <c:pt idx="557">
                  <c:v>96611.5</c:v>
                </c:pt>
                <c:pt idx="558">
                  <c:v>97724</c:v>
                </c:pt>
                <c:pt idx="559">
                  <c:v>98862</c:v>
                </c:pt>
                <c:pt idx="560">
                  <c:v>100000</c:v>
                </c:pt>
                <c:pt idx="561">
                  <c:v>101165</c:v>
                </c:pt>
                <c:pt idx="562">
                  <c:v>102330</c:v>
                </c:pt>
                <c:pt idx="563">
                  <c:v>103520</c:v>
                </c:pt>
                <c:pt idx="564">
                  <c:v>104710</c:v>
                </c:pt>
                <c:pt idx="565">
                  <c:v>105930</c:v>
                </c:pt>
                <c:pt idx="566">
                  <c:v>107150</c:v>
                </c:pt>
                <c:pt idx="567">
                  <c:v>108400</c:v>
                </c:pt>
                <c:pt idx="568">
                  <c:v>109650</c:v>
                </c:pt>
                <c:pt idx="569">
                  <c:v>110925</c:v>
                </c:pt>
                <c:pt idx="570">
                  <c:v>112200</c:v>
                </c:pt>
                <c:pt idx="571">
                  <c:v>113510</c:v>
                </c:pt>
                <c:pt idx="572">
                  <c:v>114820</c:v>
                </c:pt>
                <c:pt idx="573">
                  <c:v>116155</c:v>
                </c:pt>
                <c:pt idx="574">
                  <c:v>117490</c:v>
                </c:pt>
                <c:pt idx="575">
                  <c:v>118860</c:v>
                </c:pt>
                <c:pt idx="576">
                  <c:v>120230</c:v>
                </c:pt>
                <c:pt idx="577">
                  <c:v>126030</c:v>
                </c:pt>
                <c:pt idx="578">
                  <c:v>131830</c:v>
                </c:pt>
                <c:pt idx="579">
                  <c:v>144540</c:v>
                </c:pt>
                <c:pt idx="580">
                  <c:v>158490</c:v>
                </c:pt>
                <c:pt idx="581">
                  <c:v>173780</c:v>
                </c:pt>
                <c:pt idx="582">
                  <c:v>190550</c:v>
                </c:pt>
                <c:pt idx="583">
                  <c:v>208930</c:v>
                </c:pt>
                <c:pt idx="584">
                  <c:v>229090</c:v>
                </c:pt>
                <c:pt idx="585">
                  <c:v>251190</c:v>
                </c:pt>
                <c:pt idx="586">
                  <c:v>275420</c:v>
                </c:pt>
                <c:pt idx="587">
                  <c:v>302000</c:v>
                </c:pt>
                <c:pt idx="588">
                  <c:v>331130</c:v>
                </c:pt>
                <c:pt idx="589">
                  <c:v>363080</c:v>
                </c:pt>
                <c:pt idx="590">
                  <c:v>398110</c:v>
                </c:pt>
                <c:pt idx="591">
                  <c:v>436520</c:v>
                </c:pt>
                <c:pt idx="592">
                  <c:v>478630</c:v>
                </c:pt>
                <c:pt idx="593">
                  <c:v>524810</c:v>
                </c:pt>
                <c:pt idx="594">
                  <c:v>575440</c:v>
                </c:pt>
                <c:pt idx="595">
                  <c:v>630960</c:v>
                </c:pt>
                <c:pt idx="596">
                  <c:v>691830</c:v>
                </c:pt>
                <c:pt idx="597">
                  <c:v>758580</c:v>
                </c:pt>
                <c:pt idx="598">
                  <c:v>831760</c:v>
                </c:pt>
                <c:pt idx="599">
                  <c:v>912010</c:v>
                </c:pt>
                <c:pt idx="600">
                  <c:v>1000000</c:v>
                </c:pt>
              </c:numCache>
            </c:numRef>
          </c:xVal>
          <c:yVal>
            <c:numRef>
              <c:f>'Stability Calculations'!$AE$13:$AE$613</c:f>
              <c:numCache>
                <c:formatCode>0.00</c:formatCode>
                <c:ptCount val="601"/>
                <c:pt idx="0">
                  <c:v>-86.820662550233806</c:v>
                </c:pt>
                <c:pt idx="1">
                  <c:v>-87.073729941558327</c:v>
                </c:pt>
                <c:pt idx="2">
                  <c:v>-87.302068723813392</c:v>
                </c:pt>
                <c:pt idx="3">
                  <c:v>-87.507597990971163</c:v>
                </c:pt>
                <c:pt idx="4">
                  <c:v>-87.691932154899106</c:v>
                </c:pt>
                <c:pt idx="5">
                  <c:v>-87.856918799921402</c:v>
                </c:pt>
                <c:pt idx="6">
                  <c:v>-88.00369428317785</c:v>
                </c:pt>
                <c:pt idx="7">
                  <c:v>-88.133596195310801</c:v>
                </c:pt>
                <c:pt idx="8">
                  <c:v>-88.247629088423409</c:v>
                </c:pt>
                <c:pt idx="9">
                  <c:v>-88.346844653217772</c:v>
                </c:pt>
                <c:pt idx="10">
                  <c:v>-88.432021363394924</c:v>
                </c:pt>
                <c:pt idx="11">
                  <c:v>-88.503897536870923</c:v>
                </c:pt>
                <c:pt idx="12">
                  <c:v>-88.563111682359619</c:v>
                </c:pt>
                <c:pt idx="13">
                  <c:v>-88.610108280897478</c:v>
                </c:pt>
                <c:pt idx="14">
                  <c:v>-88.64532611519077</c:v>
                </c:pt>
                <c:pt idx="15">
                  <c:v>-88.669045596069097</c:v>
                </c:pt>
                <c:pt idx="16">
                  <c:v>-88.681470593461356</c:v>
                </c:pt>
                <c:pt idx="17">
                  <c:v>-88.682706620282332</c:v>
                </c:pt>
                <c:pt idx="18">
                  <c:v>-88.672764050487885</c:v>
                </c:pt>
                <c:pt idx="19">
                  <c:v>-88.651560532718435</c:v>
                </c:pt>
                <c:pt idx="20">
                  <c:v>-88.618912582375771</c:v>
                </c:pt>
                <c:pt idx="21">
                  <c:v>-88.57455085222837</c:v>
                </c:pt>
                <c:pt idx="22">
                  <c:v>-88.518090510255774</c:v>
                </c:pt>
                <c:pt idx="23">
                  <c:v>-88.449068658413623</c:v>
                </c:pt>
                <c:pt idx="24">
                  <c:v>-88.3668845774056</c:v>
                </c:pt>
                <c:pt idx="25">
                  <c:v>-88.270855048974511</c:v>
                </c:pt>
                <c:pt idx="26">
                  <c:v>-88.160143295913315</c:v>
                </c:pt>
                <c:pt idx="27">
                  <c:v>-88.033848904983472</c:v>
                </c:pt>
                <c:pt idx="28">
                  <c:v>-87.89090752380497</c:v>
                </c:pt>
                <c:pt idx="29">
                  <c:v>-87.730226337969299</c:v>
                </c:pt>
                <c:pt idx="30">
                  <c:v>-87.550175405917926</c:v>
                </c:pt>
                <c:pt idx="31">
                  <c:v>-87.349481099095726</c:v>
                </c:pt>
                <c:pt idx="32">
                  <c:v>-87.126332841020243</c:v>
                </c:pt>
                <c:pt idx="33">
                  <c:v>-86.879036321440765</c:v>
                </c:pt>
                <c:pt idx="34">
                  <c:v>-86.605350564547138</c:v>
                </c:pt>
                <c:pt idx="35">
                  <c:v>-86.303163572712506</c:v>
                </c:pt>
                <c:pt idx="36">
                  <c:v>-85.96995781957105</c:v>
                </c:pt>
                <c:pt idx="37">
                  <c:v>-85.602811639449769</c:v>
                </c:pt>
                <c:pt idx="38">
                  <c:v>-85.199100136918631</c:v>
                </c:pt>
                <c:pt idx="39">
                  <c:v>-84.755262595154633</c:v>
                </c:pt>
                <c:pt idx="40">
                  <c:v>-84.267924330742005</c:v>
                </c:pt>
                <c:pt idx="41">
                  <c:v>-83.73322339714997</c:v>
                </c:pt>
                <c:pt idx="42">
                  <c:v>-83.147113520242712</c:v>
                </c:pt>
                <c:pt idx="43">
                  <c:v>-82.504979626752004</c:v>
                </c:pt>
                <c:pt idx="44">
                  <c:v>-81.802237072887792</c:v>
                </c:pt>
                <c:pt idx="45">
                  <c:v>-81.033691624673239</c:v>
                </c:pt>
                <c:pt idx="46">
                  <c:v>-80.194165053003786</c:v>
                </c:pt>
                <c:pt idx="47">
                  <c:v>-79.27789407668152</c:v>
                </c:pt>
                <c:pt idx="48">
                  <c:v>-78.279333422286896</c:v>
                </c:pt>
                <c:pt idx="49">
                  <c:v>-77.192341022131018</c:v>
                </c:pt>
                <c:pt idx="50">
                  <c:v>-76.011178193068204</c:v>
                </c:pt>
                <c:pt idx="51">
                  <c:v>-74.729787299601057</c:v>
                </c:pt>
                <c:pt idx="52">
                  <c:v>-73.34313044783373</c:v>
                </c:pt>
                <c:pt idx="53">
                  <c:v>-71.846310155203582</c:v>
                </c:pt>
                <c:pt idx="54">
                  <c:v>-70.236355818173507</c:v>
                </c:pt>
                <c:pt idx="55">
                  <c:v>-68.507631156117924</c:v>
                </c:pt>
                <c:pt idx="56">
                  <c:v>-66.661126069828455</c:v>
                </c:pt>
                <c:pt idx="57">
                  <c:v>-64.696225894733331</c:v>
                </c:pt>
                <c:pt idx="58">
                  <c:v>-62.617307434558356</c:v>
                </c:pt>
                <c:pt idx="59">
                  <c:v>-60.428430754508234</c:v>
                </c:pt>
                <c:pt idx="60">
                  <c:v>-58.139433069078379</c:v>
                </c:pt>
                <c:pt idx="61">
                  <c:v>-55.761762601616361</c:v>
                </c:pt>
                <c:pt idx="62">
                  <c:v>-53.308961194718115</c:v>
                </c:pt>
                <c:pt idx="63">
                  <c:v>-50.801110578891318</c:v>
                </c:pt>
                <c:pt idx="64">
                  <c:v>-48.256371935764278</c:v>
                </c:pt>
                <c:pt idx="65">
                  <c:v>-45.697609092006992</c:v>
                </c:pt>
                <c:pt idx="66">
                  <c:v>-43.147437299754316</c:v>
                </c:pt>
                <c:pt idx="67">
                  <c:v>-40.629037853727631</c:v>
                </c:pt>
                <c:pt idx="68">
                  <c:v>-38.163602296062415</c:v>
                </c:pt>
                <c:pt idx="69">
                  <c:v>-35.772001297146538</c:v>
                </c:pt>
                <c:pt idx="70">
                  <c:v>-33.471605072035025</c:v>
                </c:pt>
                <c:pt idx="71">
                  <c:v>-31.277940665531808</c:v>
                </c:pt>
                <c:pt idx="72">
                  <c:v>-29.202613259115846</c:v>
                </c:pt>
                <c:pt idx="73">
                  <c:v>-27.255222739280693</c:v>
                </c:pt>
                <c:pt idx="74">
                  <c:v>-25.441561983912639</c:v>
                </c:pt>
                <c:pt idx="75">
                  <c:v>-23.765722546720134</c:v>
                </c:pt>
                <c:pt idx="76">
                  <c:v>-22.229021439864471</c:v>
                </c:pt>
                <c:pt idx="77">
                  <c:v>-20.831924307044858</c:v>
                </c:pt>
                <c:pt idx="78">
                  <c:v>-19.572986312306838</c:v>
                </c:pt>
                <c:pt idx="79">
                  <c:v>-18.450551500049695</c:v>
                </c:pt>
                <c:pt idx="80">
                  <c:v>-17.459907804371774</c:v>
                </c:pt>
                <c:pt idx="81">
                  <c:v>-16.599378593282381</c:v>
                </c:pt>
                <c:pt idx="82">
                  <c:v>-15.865111601647278</c:v>
                </c:pt>
                <c:pt idx="83">
                  <c:v>-15.254490027601902</c:v>
                </c:pt>
                <c:pt idx="84">
                  <c:v>-14.764200047546819</c:v>
                </c:pt>
                <c:pt idx="85">
                  <c:v>-14.392118784527236</c:v>
                </c:pt>
                <c:pt idx="86">
                  <c:v>-14.136211484615325</c:v>
                </c:pt>
                <c:pt idx="87">
                  <c:v>-13.995039257768788</c:v>
                </c:pt>
                <c:pt idx="88">
                  <c:v>-13.967961325633366</c:v>
                </c:pt>
                <c:pt idx="89">
                  <c:v>-14.054774492947443</c:v>
                </c:pt>
                <c:pt idx="90">
                  <c:v>-14.255960928263315</c:v>
                </c:pt>
                <c:pt idx="91">
                  <c:v>-14.572613207875349</c:v>
                </c:pt>
                <c:pt idx="92">
                  <c:v>-15.006332345081143</c:v>
                </c:pt>
                <c:pt idx="93">
                  <c:v>-15.559444987736557</c:v>
                </c:pt>
                <c:pt idx="94">
                  <c:v>-15.716604551423805</c:v>
                </c:pt>
                <c:pt idx="95">
                  <c:v>-15.798564551125178</c:v>
                </c:pt>
                <c:pt idx="96">
                  <c:v>-15.881497885021691</c:v>
                </c:pt>
                <c:pt idx="97">
                  <c:v>-15.967321656689467</c:v>
                </c:pt>
                <c:pt idx="98">
                  <c:v>-16.054085913452464</c:v>
                </c:pt>
                <c:pt idx="99">
                  <c:v>-16.143818763037991</c:v>
                </c:pt>
                <c:pt idx="100">
                  <c:v>-16.234459708027838</c:v>
                </c:pt>
                <c:pt idx="101">
                  <c:v>-16.328077947609515</c:v>
                </c:pt>
                <c:pt idx="102">
                  <c:v>-16.422570916108665</c:v>
                </c:pt>
                <c:pt idx="103">
                  <c:v>-16.520189472589021</c:v>
                </c:pt>
                <c:pt idx="104">
                  <c:v>-16.618650955778907</c:v>
                </c:pt>
                <c:pt idx="105">
                  <c:v>-16.720244975466258</c:v>
                </c:pt>
                <c:pt idx="106">
                  <c:v>-16.822649006487001</c:v>
                </c:pt>
                <c:pt idx="107">
                  <c:v>-16.928189083350595</c:v>
                </c:pt>
                <c:pt idx="108">
                  <c:v>-17.03450528075053</c:v>
                </c:pt>
                <c:pt idx="109">
                  <c:v>-17.144032604462943</c:v>
                </c:pt>
                <c:pt idx="110">
                  <c:v>-17.254302295559604</c:v>
                </c:pt>
                <c:pt idx="111">
                  <c:v>-17.367933830004578</c:v>
                </c:pt>
                <c:pt idx="112">
                  <c:v>-17.482274905325728</c:v>
                </c:pt>
                <c:pt idx="113">
                  <c:v>-17.599977436481932</c:v>
                </c:pt>
                <c:pt idx="114">
                  <c:v>-17.718355535672767</c:v>
                </c:pt>
                <c:pt idx="115">
                  <c:v>-17.840168873053525</c:v>
                </c:pt>
                <c:pt idx="116">
                  <c:v>-17.962623577818725</c:v>
                </c:pt>
                <c:pt idx="117">
                  <c:v>-18.088586426779454</c:v>
                </c:pt>
                <c:pt idx="118">
                  <c:v>-18.215156106124141</c:v>
                </c:pt>
                <c:pt idx="119">
                  <c:v>-18.345226682920082</c:v>
                </c:pt>
                <c:pt idx="120">
                  <c:v>-18.47586844030803</c:v>
                </c:pt>
                <c:pt idx="121">
                  <c:v>-18.610080286403747</c:v>
                </c:pt>
                <c:pt idx="122">
                  <c:v>-18.744827279470776</c:v>
                </c:pt>
                <c:pt idx="123">
                  <c:v>-18.883292552945615</c:v>
                </c:pt>
                <c:pt idx="124">
                  <c:v>-19.022257016693054</c:v>
                </c:pt>
                <c:pt idx="125">
                  <c:v>-19.164926304435863</c:v>
                </c:pt>
                <c:pt idx="126">
                  <c:v>-19.308057599061137</c:v>
                </c:pt>
                <c:pt idx="127">
                  <c:v>-19.454958254128002</c:v>
                </c:pt>
                <c:pt idx="128">
                  <c:v>-19.6022830692519</c:v>
                </c:pt>
                <c:pt idx="129">
                  <c:v>-19.75343986436571</c:v>
                </c:pt>
                <c:pt idx="130">
                  <c:v>-19.904982224607057</c:v>
                </c:pt>
                <c:pt idx="131">
                  <c:v>-20.060417081907069</c:v>
                </c:pt>
                <c:pt idx="132">
                  <c:v>-20.138266047303429</c:v>
                </c:pt>
                <c:pt idx="133">
                  <c:v>-20.216198081172944</c:v>
                </c:pt>
                <c:pt idx="134">
                  <c:v>-20.296065228586446</c:v>
                </c:pt>
                <c:pt idx="135">
                  <c:v>-20.37601235710477</c:v>
                </c:pt>
                <c:pt idx="136">
                  <c:v>-20.456035996413515</c:v>
                </c:pt>
                <c:pt idx="137">
                  <c:v>-20.536132749569173</c:v>
                </c:pt>
                <c:pt idx="138">
                  <c:v>-20.618120162213067</c:v>
                </c:pt>
                <c:pt idx="139">
                  <c:v>-20.700177086214424</c:v>
                </c:pt>
                <c:pt idx="140">
                  <c:v>-20.782300113397206</c:v>
                </c:pt>
                <c:pt idx="141">
                  <c:v>-20.864485907517544</c:v>
                </c:pt>
                <c:pt idx="142">
                  <c:v>-20.948682215506683</c:v>
                </c:pt>
                <c:pt idx="143">
                  <c:v>-21.032937449640396</c:v>
                </c:pt>
                <c:pt idx="144">
                  <c:v>-21.117248252494186</c:v>
                </c:pt>
                <c:pt idx="145">
                  <c:v>-21.201611337480589</c:v>
                </c:pt>
                <c:pt idx="146">
                  <c:v>-21.287979376259987</c:v>
                </c:pt>
                <c:pt idx="147">
                  <c:v>-21.374395405426046</c:v>
                </c:pt>
                <c:pt idx="148">
                  <c:v>-21.460856122769709</c:v>
                </c:pt>
                <c:pt idx="149">
                  <c:v>-21.547358295728486</c:v>
                </c:pt>
                <c:pt idx="150">
                  <c:v>-21.63590012317287</c:v>
                </c:pt>
                <c:pt idx="151">
                  <c:v>-21.724478714955531</c:v>
                </c:pt>
                <c:pt idx="152">
                  <c:v>-21.813090823535788</c:v>
                </c:pt>
                <c:pt idx="153">
                  <c:v>-21.90173326987982</c:v>
                </c:pt>
                <c:pt idx="154">
                  <c:v>-21.992490572241763</c:v>
                </c:pt>
                <c:pt idx="155">
                  <c:v>-22.083273130270037</c:v>
                </c:pt>
                <c:pt idx="156">
                  <c:v>-22.174077746426288</c:v>
                </c:pt>
                <c:pt idx="157">
                  <c:v>-22.264901290711581</c:v>
                </c:pt>
                <c:pt idx="158">
                  <c:v>-22.357871872190383</c:v>
                </c:pt>
                <c:pt idx="159">
                  <c:v>-22.450855855322128</c:v>
                </c:pt>
                <c:pt idx="160">
                  <c:v>-22.543850092975482</c:v>
                </c:pt>
                <c:pt idx="161">
                  <c:v>-22.636851504628392</c:v>
                </c:pt>
                <c:pt idx="162">
                  <c:v>-22.731988912983294</c:v>
                </c:pt>
                <c:pt idx="163">
                  <c:v>-22.827127513331828</c:v>
                </c:pt>
                <c:pt idx="164">
                  <c:v>-22.922264213613335</c:v>
                </c:pt>
                <c:pt idx="165">
                  <c:v>-23.017395987370215</c:v>
                </c:pt>
                <c:pt idx="166">
                  <c:v>-23.114776645929641</c:v>
                </c:pt>
                <c:pt idx="167">
                  <c:v>-23.212145925980881</c:v>
                </c:pt>
                <c:pt idx="168">
                  <c:v>-23.309500783218915</c:v>
                </c:pt>
                <c:pt idx="169">
                  <c:v>-23.406838238204724</c:v>
                </c:pt>
                <c:pt idx="170">
                  <c:v>-23.506243481385265</c:v>
                </c:pt>
                <c:pt idx="171">
                  <c:v>-23.605624483185551</c:v>
                </c:pt>
                <c:pt idx="172">
                  <c:v>-23.704978267188693</c:v>
                </c:pt>
                <c:pt idx="173">
                  <c:v>-23.80430192060598</c:v>
                </c:pt>
                <c:pt idx="174">
                  <c:v>-23.90609526816035</c:v>
                </c:pt>
                <c:pt idx="175">
                  <c:v>-24.007850944786288</c:v>
                </c:pt>
                <c:pt idx="176">
                  <c:v>-24.109566009590921</c:v>
                </c:pt>
                <c:pt idx="177">
                  <c:v>-24.211237585071611</c:v>
                </c:pt>
                <c:pt idx="178">
                  <c:v>-24.315361230698119</c:v>
                </c:pt>
                <c:pt idx="179">
                  <c:v>-24.419433303228232</c:v>
                </c:pt>
                <c:pt idx="180">
                  <c:v>-24.523450904326751</c:v>
                </c:pt>
                <c:pt idx="181">
                  <c:v>-24.627411198705783</c:v>
                </c:pt>
                <c:pt idx="182">
                  <c:v>-24.733388785257336</c:v>
                </c:pt>
                <c:pt idx="183">
                  <c:v>-24.839300984834761</c:v>
                </c:pt>
                <c:pt idx="184">
                  <c:v>-24.94514498128791</c:v>
                </c:pt>
                <c:pt idx="185">
                  <c:v>-25.050918020120307</c:v>
                </c:pt>
                <c:pt idx="186">
                  <c:v>-25.159517894840683</c:v>
                </c:pt>
                <c:pt idx="187">
                  <c:v>-25.268037160763424</c:v>
                </c:pt>
                <c:pt idx="188">
                  <c:v>-25.376473023650991</c:v>
                </c:pt>
                <c:pt idx="189">
                  <c:v>-25.484822751394358</c:v>
                </c:pt>
                <c:pt idx="190">
                  <c:v>-25.595148839838</c:v>
                </c:pt>
                <c:pt idx="191">
                  <c:v>-25.705379935652765</c:v>
                </c:pt>
                <c:pt idx="192">
                  <c:v>-25.815513336758681</c:v>
                </c:pt>
                <c:pt idx="193">
                  <c:v>-25.925546401727409</c:v>
                </c:pt>
                <c:pt idx="194">
                  <c:v>-26.038357204523265</c:v>
                </c:pt>
                <c:pt idx="195">
                  <c:v>-26.15105689447104</c:v>
                </c:pt>
                <c:pt idx="196">
                  <c:v>-26.263642806524963</c:v>
                </c:pt>
                <c:pt idx="197">
                  <c:v>-26.3761123365876</c:v>
                </c:pt>
                <c:pt idx="198">
                  <c:v>-26.490921822742774</c:v>
                </c:pt>
                <c:pt idx="199">
                  <c:v>-26.605604464149245</c:v>
                </c:pt>
                <c:pt idx="200">
                  <c:v>-26.720157669705074</c:v>
                </c:pt>
                <c:pt idx="201">
                  <c:v>-26.834578908584405</c:v>
                </c:pt>
                <c:pt idx="202">
                  <c:v>-26.95131322247056</c:v>
                </c:pt>
                <c:pt idx="203">
                  <c:v>-27.067904702034504</c:v>
                </c:pt>
                <c:pt idx="204">
                  <c:v>-27.184350835816073</c:v>
                </c:pt>
                <c:pt idx="205">
                  <c:v>-27.300649171923087</c:v>
                </c:pt>
                <c:pt idx="206">
                  <c:v>-27.419638200501524</c:v>
                </c:pt>
                <c:pt idx="207">
                  <c:v>-27.538467083885713</c:v>
                </c:pt>
                <c:pt idx="208">
                  <c:v>-27.657133371115297</c:v>
                </c:pt>
                <c:pt idx="209">
                  <c:v>-27.775634670860196</c:v>
                </c:pt>
                <c:pt idx="210">
                  <c:v>-27.897197243600669</c:v>
                </c:pt>
                <c:pt idx="211">
                  <c:v>-28.01858076735526</c:v>
                </c:pt>
                <c:pt idx="212">
                  <c:v>-28.139782836988111</c:v>
                </c:pt>
                <c:pt idx="213">
                  <c:v>-28.260801107756734</c:v>
                </c:pt>
                <c:pt idx="214">
                  <c:v>-28.384040001929478</c:v>
                </c:pt>
                <c:pt idx="215">
                  <c:v>-28.507082955623151</c:v>
                </c:pt>
                <c:pt idx="216">
                  <c:v>-28.629927666268514</c:v>
                </c:pt>
                <c:pt idx="217">
                  <c:v>-28.752571890773535</c:v>
                </c:pt>
                <c:pt idx="218">
                  <c:v>-28.877802890994442</c:v>
                </c:pt>
                <c:pt idx="219">
                  <c:v>-29.002819596160258</c:v>
                </c:pt>
                <c:pt idx="220">
                  <c:v>-29.127619790505221</c:v>
                </c:pt>
                <c:pt idx="221">
                  <c:v>-29.25220131755535</c:v>
                </c:pt>
                <c:pt idx="222">
                  <c:v>-29.379331921016213</c:v>
                </c:pt>
                <c:pt idx="223">
                  <c:v>-29.506229625197349</c:v>
                </c:pt>
                <c:pt idx="224">
                  <c:v>-29.632892309623205</c:v>
                </c:pt>
                <c:pt idx="225">
                  <c:v>-29.759317912850225</c:v>
                </c:pt>
                <c:pt idx="226">
                  <c:v>-29.888646196067061</c:v>
                </c:pt>
                <c:pt idx="227">
                  <c:v>-30.017721233196397</c:v>
                </c:pt>
                <c:pt idx="228">
                  <c:v>-30.14654098915527</c:v>
                </c:pt>
                <c:pt idx="229">
                  <c:v>-30.27510348827181</c:v>
                </c:pt>
                <c:pt idx="230">
                  <c:v>-30.537669395242315</c:v>
                </c:pt>
                <c:pt idx="231">
                  <c:v>-30.668539514287577</c:v>
                </c:pt>
                <c:pt idx="232">
                  <c:v>-30.799131885859932</c:v>
                </c:pt>
                <c:pt idx="233">
                  <c:v>-30.932534757191977</c:v>
                </c:pt>
                <c:pt idx="234">
                  <c:v>-31.065642739368691</c:v>
                </c:pt>
                <c:pt idx="235">
                  <c:v>-31.198454002594204</c:v>
                </c:pt>
                <c:pt idx="236">
                  <c:v>-31.330966776879272</c:v>
                </c:pt>
                <c:pt idx="237">
                  <c:v>-31.465858805721602</c:v>
                </c:pt>
                <c:pt idx="238">
                  <c:v>-31.600436572122998</c:v>
                </c:pt>
                <c:pt idx="239">
                  <c:v>-31.734698380066781</c:v>
                </c:pt>
                <c:pt idx="240">
                  <c:v>-31.868642592690556</c:v>
                </c:pt>
                <c:pt idx="241">
                  <c:v>-32.005679981951324</c:v>
                </c:pt>
                <c:pt idx="242">
                  <c:v>-32.142380025502568</c:v>
                </c:pt>
                <c:pt idx="243">
                  <c:v>-32.27874114291965</c:v>
                </c:pt>
                <c:pt idx="244">
                  <c:v>-32.414761813505145</c:v>
                </c:pt>
                <c:pt idx="245">
                  <c:v>-32.5534434232409</c:v>
                </c:pt>
                <c:pt idx="246">
                  <c:v>-32.691766302170727</c:v>
                </c:pt>
                <c:pt idx="247">
                  <c:v>-32.82972901106789</c:v>
                </c:pt>
                <c:pt idx="248">
                  <c:v>-32.967330170194607</c:v>
                </c:pt>
                <c:pt idx="249">
                  <c:v>-33.107911189295471</c:v>
                </c:pt>
                <c:pt idx="250">
                  <c:v>-33.248110061510474</c:v>
                </c:pt>
                <c:pt idx="251">
                  <c:v>-33.387925489125621</c:v>
                </c:pt>
                <c:pt idx="252">
                  <c:v>-33.527356234168337</c:v>
                </c:pt>
                <c:pt idx="253">
                  <c:v>-33.66933968800091</c:v>
                </c:pt>
                <c:pt idx="254">
                  <c:v>-33.810919579546479</c:v>
                </c:pt>
                <c:pt idx="255">
                  <c:v>-33.952094774697088</c:v>
                </c:pt>
                <c:pt idx="256">
                  <c:v>-34.092864198547126</c:v>
                </c:pt>
                <c:pt idx="257">
                  <c:v>-34.236857757207986</c:v>
                </c:pt>
                <c:pt idx="258">
                  <c:v>-34.38042214124436</c:v>
                </c:pt>
                <c:pt idx="259">
                  <c:v>-34.523556375408845</c:v>
                </c:pt>
                <c:pt idx="260">
                  <c:v>-34.666259544158997</c:v>
                </c:pt>
                <c:pt idx="261">
                  <c:v>-34.81175920153499</c:v>
                </c:pt>
                <c:pt idx="262">
                  <c:v>-34.956806225131352</c:v>
                </c:pt>
                <c:pt idx="263">
                  <c:v>-35.101399820363625</c:v>
                </c:pt>
                <c:pt idx="264">
                  <c:v>-35.245539252034824</c:v>
                </c:pt>
                <c:pt idx="265">
                  <c:v>-35.392411662889181</c:v>
                </c:pt>
                <c:pt idx="266">
                  <c:v>-35.538808131179572</c:v>
                </c:pt>
                <c:pt idx="267">
                  <c:v>-35.684728054976283</c:v>
                </c:pt>
                <c:pt idx="268">
                  <c:v>-35.830170891215531</c:v>
                </c:pt>
                <c:pt idx="269">
                  <c:v>-35.978631819875744</c:v>
                </c:pt>
                <c:pt idx="270">
                  <c:v>-36.12659136506965</c:v>
                </c:pt>
                <c:pt idx="271">
                  <c:v>-36.274049126231041</c:v>
                </c:pt>
                <c:pt idx="272">
                  <c:v>-36.421004761472396</c:v>
                </c:pt>
                <c:pt idx="273">
                  <c:v>-36.570906005268682</c:v>
                </c:pt>
                <c:pt idx="274">
                  <c:v>-36.72028061592642</c:v>
                </c:pt>
                <c:pt idx="275">
                  <c:v>-36.869128408458316</c:v>
                </c:pt>
                <c:pt idx="276">
                  <c:v>-37.017449256101507</c:v>
                </c:pt>
                <c:pt idx="277">
                  <c:v>-37.168302359954765</c:v>
                </c:pt>
                <c:pt idx="278">
                  <c:v>-37.318606349684075</c:v>
                </c:pt>
                <c:pt idx="279">
                  <c:v>-37.468361268758414</c:v>
                </c:pt>
                <c:pt idx="280">
                  <c:v>-37.617567217631844</c:v>
                </c:pt>
                <c:pt idx="281">
                  <c:v>-37.770243549451052</c:v>
                </c:pt>
                <c:pt idx="282">
                  <c:v>-37.922341160326525</c:v>
                </c:pt>
                <c:pt idx="283">
                  <c:v>-38.073860337149299</c:v>
                </c:pt>
                <c:pt idx="284">
                  <c:v>-38.224801423798496</c:v>
                </c:pt>
                <c:pt idx="285">
                  <c:v>-38.378133217177101</c:v>
                </c:pt>
                <c:pt idx="286">
                  <c:v>-38.530864721458549</c:v>
                </c:pt>
                <c:pt idx="287">
                  <c:v>-38.682996474676862</c:v>
                </c:pt>
                <c:pt idx="288">
                  <c:v>-38.834529070047473</c:v>
                </c:pt>
                <c:pt idx="289">
                  <c:v>-38.9893586887626</c:v>
                </c:pt>
                <c:pt idx="290">
                  <c:v>-39.143559194332447</c:v>
                </c:pt>
                <c:pt idx="291">
                  <c:v>-39.297131398235955</c:v>
                </c:pt>
                <c:pt idx="292">
                  <c:v>-39.450076166438286</c:v>
                </c:pt>
                <c:pt idx="293">
                  <c:v>-39.605906978582688</c:v>
                </c:pt>
                <c:pt idx="294">
                  <c:v>-39.761083022551695</c:v>
                </c:pt>
                <c:pt idx="295">
                  <c:v>-39.915605392629374</c:v>
                </c:pt>
                <c:pt idx="296">
                  <c:v>-40.069475236052398</c:v>
                </c:pt>
                <c:pt idx="297">
                  <c:v>-40.226147026844082</c:v>
                </c:pt>
                <c:pt idx="298">
                  <c:v>-40.382139069489561</c:v>
                </c:pt>
                <c:pt idx="299">
                  <c:v>-40.537452752184251</c:v>
                </c:pt>
                <c:pt idx="300">
                  <c:v>-40.692089514186058</c:v>
                </c:pt>
                <c:pt idx="301">
                  <c:v>-40.849443983702713</c:v>
                </c:pt>
                <c:pt idx="302">
                  <c:v>-41.006094494684938</c:v>
                </c:pt>
                <c:pt idx="303">
                  <c:v>-41.162042738809411</c:v>
                </c:pt>
                <c:pt idx="304">
                  <c:v>-41.317290456569232</c:v>
                </c:pt>
                <c:pt idx="305">
                  <c:v>-41.475777524297115</c:v>
                </c:pt>
                <c:pt idx="306">
                  <c:v>-41.633531683723795</c:v>
                </c:pt>
                <c:pt idx="307">
                  <c:v>-41.790554961430672</c:v>
                </c:pt>
                <c:pt idx="308">
                  <c:v>-41.946849430920928</c:v>
                </c:pt>
                <c:pt idx="309">
                  <c:v>-42.105687656735633</c:v>
                </c:pt>
                <c:pt idx="310">
                  <c:v>-42.263770546202721</c:v>
                </c:pt>
                <c:pt idx="311">
                  <c:v>-42.421100447364914</c:v>
                </c:pt>
                <c:pt idx="312">
                  <c:v>-42.577679752162418</c:v>
                </c:pt>
                <c:pt idx="313">
                  <c:v>-42.737302328642301</c:v>
                </c:pt>
                <c:pt idx="314">
                  <c:v>-42.896142463073879</c:v>
                </c:pt>
                <c:pt idx="315">
                  <c:v>-43.054202859111889</c:v>
                </c:pt>
                <c:pt idx="316">
                  <c:v>-43.211486261539363</c:v>
                </c:pt>
                <c:pt idx="317">
                  <c:v>-43.371712450821335</c:v>
                </c:pt>
                <c:pt idx="318">
                  <c:v>-43.531130153677374</c:v>
                </c:pt>
                <c:pt idx="319">
                  <c:v>-43.689742438603361</c:v>
                </c:pt>
                <c:pt idx="320">
                  <c:v>-43.847552411989845</c:v>
                </c:pt>
                <c:pt idx="321">
                  <c:v>-44.008205147112328</c:v>
                </c:pt>
                <c:pt idx="322">
                  <c:v>-44.168024514847772</c:v>
                </c:pt>
                <c:pt idx="323">
                  <c:v>-44.327013955500611</c:v>
                </c:pt>
                <c:pt idx="324">
                  <c:v>-44.485176943585536</c:v>
                </c:pt>
                <c:pt idx="325">
                  <c:v>-44.646083359628612</c:v>
                </c:pt>
                <c:pt idx="326">
                  <c:v>-44.806132783418207</c:v>
                </c:pt>
                <c:pt idx="327">
                  <c:v>-44.96532903171169</c:v>
                </c:pt>
                <c:pt idx="328">
                  <c:v>-45.123675951361157</c:v>
                </c:pt>
                <c:pt idx="329">
                  <c:v>-45.284936357006487</c:v>
                </c:pt>
                <c:pt idx="330">
                  <c:v>-45.445314548121274</c:v>
                </c:pt>
                <c:pt idx="331">
                  <c:v>-45.604814741355312</c:v>
                </c:pt>
                <c:pt idx="332">
                  <c:v>-45.763441179097512</c:v>
                </c:pt>
                <c:pt idx="333">
                  <c:v>-45.924612293306453</c:v>
                </c:pt>
                <c:pt idx="334">
                  <c:v>-46.084880342538796</c:v>
                </c:pt>
                <c:pt idx="335">
                  <c:v>-46.244249923666359</c:v>
                </c:pt>
                <c:pt idx="336">
                  <c:v>-46.402725654356168</c:v>
                </c:pt>
                <c:pt idx="337">
                  <c:v>-46.564163461092917</c:v>
                </c:pt>
                <c:pt idx="338">
                  <c:v>-46.724672936263495</c:v>
                </c:pt>
                <c:pt idx="339">
                  <c:v>-46.884259102417403</c:v>
                </c:pt>
                <c:pt idx="340">
                  <c:v>-47.042926997803661</c:v>
                </c:pt>
                <c:pt idx="341">
                  <c:v>-47.204444566848345</c:v>
                </c:pt>
                <c:pt idx="342">
                  <c:v>-47.365010137166742</c:v>
                </c:pt>
                <c:pt idx="343">
                  <c:v>-47.524629157657095</c:v>
                </c:pt>
                <c:pt idx="344">
                  <c:v>-47.68330708735207</c:v>
                </c:pt>
                <c:pt idx="345">
                  <c:v>-47.844478874274316</c:v>
                </c:pt>
                <c:pt idx="346">
                  <c:v>-48.00467962747414</c:v>
                </c:pt>
                <c:pt idx="347">
                  <c:v>-48.163915193192921</c:v>
                </c:pt>
                <c:pt idx="348">
                  <c:v>-48.322191421794777</c:v>
                </c:pt>
                <c:pt idx="349">
                  <c:v>-48.483339444157636</c:v>
                </c:pt>
                <c:pt idx="350">
                  <c:v>-48.643493196377207</c:v>
                </c:pt>
                <c:pt idx="351">
                  <c:v>-48.802658970574718</c:v>
                </c:pt>
                <c:pt idx="352">
                  <c:v>-48.960843056654745</c:v>
                </c:pt>
                <c:pt idx="353">
                  <c:v>-49.121782967908331</c:v>
                </c:pt>
                <c:pt idx="354">
                  <c:v>-49.281707216666845</c:v>
                </c:pt>
                <c:pt idx="355">
                  <c:v>-49.440622535695525</c:v>
                </c:pt>
                <c:pt idx="356">
                  <c:v>-49.598535648792819</c:v>
                </c:pt>
                <c:pt idx="357">
                  <c:v>-49.758863400050622</c:v>
                </c:pt>
                <c:pt idx="358">
                  <c:v>-49.918158926592383</c:v>
                </c:pt>
                <c:pt idx="359">
                  <c:v>-50.076429363145458</c:v>
                </c:pt>
                <c:pt idx="360">
                  <c:v>-50.233681828463112</c:v>
                </c:pt>
                <c:pt idx="361">
                  <c:v>-50.393689211366222</c:v>
                </c:pt>
                <c:pt idx="362">
                  <c:v>-50.552643852052718</c:v>
                </c:pt>
                <c:pt idx="363">
                  <c:v>-50.710553337181722</c:v>
                </c:pt>
                <c:pt idx="364">
                  <c:v>-50.867425229959316</c:v>
                </c:pt>
                <c:pt idx="365">
                  <c:v>-51.02671857897446</c:v>
                </c:pt>
                <c:pt idx="366">
                  <c:v>-51.18494360921347</c:v>
                </c:pt>
                <c:pt idx="367">
                  <c:v>-51.342108314984465</c:v>
                </c:pt>
                <c:pt idx="368">
                  <c:v>-51.498220659527242</c:v>
                </c:pt>
                <c:pt idx="369">
                  <c:v>-51.657067978529092</c:v>
                </c:pt>
                <c:pt idx="370">
                  <c:v>-51.814827646922545</c:v>
                </c:pt>
                <c:pt idx="371">
                  <c:v>-51.971508117397633</c:v>
                </c:pt>
                <c:pt idx="372">
                  <c:v>-52.127117803385133</c:v>
                </c:pt>
                <c:pt idx="373">
                  <c:v>-52.285137383574941</c:v>
                </c:pt>
                <c:pt idx="374">
                  <c:v>-52.442055012424085</c:v>
                </c:pt>
                <c:pt idx="375">
                  <c:v>-52.597879550999735</c:v>
                </c:pt>
                <c:pt idx="376">
                  <c:v>-52.752619812922163</c:v>
                </c:pt>
                <c:pt idx="377">
                  <c:v>-52.910057868759935</c:v>
                </c:pt>
                <c:pt idx="378">
                  <c:v>-53.066376126958879</c:v>
                </c:pt>
                <c:pt idx="379">
                  <c:v>-53.221583907676894</c:v>
                </c:pt>
                <c:pt idx="380">
                  <c:v>-53.375690474777429</c:v>
                </c:pt>
                <c:pt idx="381">
                  <c:v>-53.531985818947888</c:v>
                </c:pt>
                <c:pt idx="382">
                  <c:v>-53.687151404085093</c:v>
                </c:pt>
                <c:pt idx="383">
                  <c:v>-53.841196917807196</c:v>
                </c:pt>
                <c:pt idx="384">
                  <c:v>-53.9941319830724</c:v>
                </c:pt>
                <c:pt idx="385">
                  <c:v>-54.149715187850383</c:v>
                </c:pt>
                <c:pt idx="386">
                  <c:v>-54.304152472286809</c:v>
                </c:pt>
                <c:pt idx="387">
                  <c:v>-54.457453976999275</c:v>
                </c:pt>
                <c:pt idx="388">
                  <c:v>-54.609629768573612</c:v>
                </c:pt>
                <c:pt idx="389">
                  <c:v>-54.76414735242669</c:v>
                </c:pt>
                <c:pt idx="390">
                  <c:v>-54.917507974813205</c:v>
                </c:pt>
                <c:pt idx="391">
                  <c:v>-55.069722168451413</c:v>
                </c:pt>
                <c:pt idx="392">
                  <c:v>-55.220800382979974</c:v>
                </c:pt>
                <c:pt idx="393">
                  <c:v>-55.374107870433569</c:v>
                </c:pt>
                <c:pt idx="394">
                  <c:v>-55.52624960735951</c:v>
                </c:pt>
                <c:pt idx="395">
                  <c:v>-55.677236491854515</c:v>
                </c:pt>
                <c:pt idx="396">
                  <c:v>-55.827079329976186</c:v>
                </c:pt>
                <c:pt idx="397">
                  <c:v>-55.97938512223697</c:v>
                </c:pt>
                <c:pt idx="398">
                  <c:v>-56.130513297553897</c:v>
                </c:pt>
                <c:pt idx="399">
                  <c:v>-56.28047516703473</c:v>
                </c:pt>
                <c:pt idx="400">
                  <c:v>-56.429281940040887</c:v>
                </c:pt>
                <c:pt idx="401">
                  <c:v>-56.580264852432137</c:v>
                </c:pt>
                <c:pt idx="402">
                  <c:v>-56.730063312335865</c:v>
                </c:pt>
                <c:pt idx="403">
                  <c:v>-56.878688975767894</c:v>
                </c:pt>
                <c:pt idx="404">
                  <c:v>-57.026153387906277</c:v>
                </c:pt>
                <c:pt idx="405">
                  <c:v>-57.17584583743615</c:v>
                </c:pt>
                <c:pt idx="406">
                  <c:v>-57.324346677982525</c:v>
                </c:pt>
                <c:pt idx="407">
                  <c:v>-57.471667917672789</c:v>
                </c:pt>
                <c:pt idx="408">
                  <c:v>-57.617821444457256</c:v>
                </c:pt>
                <c:pt idx="409">
                  <c:v>-57.766246230821139</c:v>
                </c:pt>
                <c:pt idx="410">
                  <c:v>-57.913472050751636</c:v>
                </c:pt>
                <c:pt idx="411">
                  <c:v>-58.059511270519423</c:v>
                </c:pt>
                <c:pt idx="412">
                  <c:v>-58.20437612662699</c:v>
                </c:pt>
                <c:pt idx="413">
                  <c:v>-58.35139639471334</c:v>
                </c:pt>
                <c:pt idx="414">
                  <c:v>-58.497212723838224</c:v>
                </c:pt>
                <c:pt idx="415">
                  <c:v>-58.641837804084247</c:v>
                </c:pt>
                <c:pt idx="416">
                  <c:v>-58.785284186497719</c:v>
                </c:pt>
                <c:pt idx="417">
                  <c:v>-58.930920422006658</c:v>
                </c:pt>
                <c:pt idx="418">
                  <c:v>-59.075347633359939</c:v>
                </c:pt>
                <c:pt idx="419">
                  <c:v>-59.218578838062029</c:v>
                </c:pt>
                <c:pt idx="420">
                  <c:v>-59.360626905119176</c:v>
                </c:pt>
                <c:pt idx="421">
                  <c:v>-59.50460942978718</c:v>
                </c:pt>
                <c:pt idx="422">
                  <c:v>-59.64738258271953</c:v>
                </c:pt>
                <c:pt idx="423">
                  <c:v>-59.788959632993794</c:v>
                </c:pt>
                <c:pt idx="424">
                  <c:v>-59.929353692777774</c:v>
                </c:pt>
                <c:pt idx="425">
                  <c:v>-60.07198886665968</c:v>
                </c:pt>
                <c:pt idx="426">
                  <c:v>-60.213409486147711</c:v>
                </c:pt>
                <c:pt idx="427">
                  <c:v>-60.353629151908876</c:v>
                </c:pt>
                <c:pt idx="428">
                  <c:v>-60.492661297919057</c:v>
                </c:pt>
                <c:pt idx="429">
                  <c:v>-60.633683729529601</c:v>
                </c:pt>
                <c:pt idx="430">
                  <c:v>-60.773491172341089</c:v>
                </c:pt>
                <c:pt idx="431">
                  <c:v>-60.912097480156255</c:v>
                </c:pt>
                <c:pt idx="432">
                  <c:v>-61.049516331466805</c:v>
                </c:pt>
                <c:pt idx="433">
                  <c:v>-61.188818117111694</c:v>
                </c:pt>
                <c:pt idx="434">
                  <c:v>-61.326906697299847</c:v>
                </c:pt>
                <c:pt idx="435">
                  <c:v>-61.463796139926224</c:v>
                </c:pt>
                <c:pt idx="436">
                  <c:v>-61.599500329556108</c:v>
                </c:pt>
                <c:pt idx="437">
                  <c:v>-61.737230744292553</c:v>
                </c:pt>
                <c:pt idx="438">
                  <c:v>-61.873747513036044</c:v>
                </c:pt>
                <c:pt idx="439">
                  <c:v>-62.00906495532611</c:v>
                </c:pt>
                <c:pt idx="440">
                  <c:v>-62.143197198640806</c:v>
                </c:pt>
                <c:pt idx="441">
                  <c:v>-62.279244752845791</c:v>
                </c:pt>
                <c:pt idx="442">
                  <c:v>-62.414080517066893</c:v>
                </c:pt>
                <c:pt idx="443">
                  <c:v>-62.547719021222825</c:v>
                </c:pt>
                <c:pt idx="444">
                  <c:v>-62.680174595107303</c:v>
                </c:pt>
                <c:pt idx="445">
                  <c:v>-62.814439496290639</c:v>
                </c:pt>
                <c:pt idx="446">
                  <c:v>-62.947496634667559</c:v>
                </c:pt>
                <c:pt idx="447">
                  <c:v>-63.079360709595726</c:v>
                </c:pt>
                <c:pt idx="448">
                  <c:v>-63.210046212962617</c:v>
                </c:pt>
                <c:pt idx="449">
                  <c:v>-63.342660868021511</c:v>
                </c:pt>
                <c:pt idx="450">
                  <c:v>-63.474069819383338</c:v>
                </c:pt>
                <c:pt idx="451">
                  <c:v>-63.604287969766666</c:v>
                </c:pt>
                <c:pt idx="452">
                  <c:v>-63.733330006402376</c:v>
                </c:pt>
                <c:pt idx="453">
                  <c:v>-63.864086443940543</c:v>
                </c:pt>
                <c:pt idx="454">
                  <c:v>-63.993643408376215</c:v>
                </c:pt>
                <c:pt idx="455">
                  <c:v>-64.122015926401545</c:v>
                </c:pt>
                <c:pt idx="456">
                  <c:v>-64.249218802709763</c:v>
                </c:pt>
                <c:pt idx="457">
                  <c:v>-64.378244025523927</c:v>
                </c:pt>
                <c:pt idx="458">
                  <c:v>-64.506074134282912</c:v>
                </c:pt>
                <c:pt idx="459">
                  <c:v>-64.632724311821278</c:v>
                </c:pt>
                <c:pt idx="460">
                  <c:v>-64.758209511825896</c:v>
                </c:pt>
                <c:pt idx="461">
                  <c:v>-64.885413202646461</c:v>
                </c:pt>
                <c:pt idx="462">
                  <c:v>-65.011428231987907</c:v>
                </c:pt>
                <c:pt idx="463">
                  <c:v>-65.136269896352232</c:v>
                </c:pt>
                <c:pt idx="464">
                  <c:v>-65.259953256789871</c:v>
                </c:pt>
                <c:pt idx="465">
                  <c:v>-65.385351575722595</c:v>
                </c:pt>
                <c:pt idx="466">
                  <c:v>-65.509567840455276</c:v>
                </c:pt>
                <c:pt idx="467">
                  <c:v>-65.632617454961746</c:v>
                </c:pt>
                <c:pt idx="468">
                  <c:v>-65.754515581594532</c:v>
                </c:pt>
                <c:pt idx="469">
                  <c:v>-65.878029481507895</c:v>
                </c:pt>
                <c:pt idx="470">
                  <c:v>-66.000369886083661</c:v>
                </c:pt>
                <c:pt idx="471">
                  <c:v>-66.121552265131555</c:v>
                </c:pt>
                <c:pt idx="472">
                  <c:v>-66.241591841559952</c:v>
                </c:pt>
                <c:pt idx="473">
                  <c:v>-66.363329613276889</c:v>
                </c:pt>
                <c:pt idx="474">
                  <c:v>-66.483900872789491</c:v>
                </c:pt>
                <c:pt idx="475">
                  <c:v>-66.603321183212373</c:v>
                </c:pt>
                <c:pt idx="476">
                  <c:v>-66.721605854915452</c:v>
                </c:pt>
                <c:pt idx="477">
                  <c:v>-66.841489387302701</c:v>
                </c:pt>
                <c:pt idx="478">
                  <c:v>-66.960215337298422</c:v>
                </c:pt>
                <c:pt idx="479">
                  <c:v>-67.077799319015426</c:v>
                </c:pt>
                <c:pt idx="480">
                  <c:v>-67.194256688912105</c:v>
                </c:pt>
                <c:pt idx="481">
                  <c:v>-67.312218677775405</c:v>
                </c:pt>
                <c:pt idx="482">
                  <c:v>-67.42903380421707</c:v>
                </c:pt>
                <c:pt idx="483">
                  <c:v>-67.544717692926724</c:v>
                </c:pt>
                <c:pt idx="484">
                  <c:v>-67.659285706962194</c:v>
                </c:pt>
                <c:pt idx="485">
                  <c:v>-67.775347666310154</c:v>
                </c:pt>
                <c:pt idx="486">
                  <c:v>-67.890273581735727</c:v>
                </c:pt>
                <c:pt idx="487">
                  <c:v>-68.00407908182595</c:v>
                </c:pt>
                <c:pt idx="488">
                  <c:v>-68.116779529763875</c:v>
                </c:pt>
                <c:pt idx="489">
                  <c:v>-68.231036059109499</c:v>
                </c:pt>
                <c:pt idx="490">
                  <c:v>-68.344166012766195</c:v>
                </c:pt>
                <c:pt idx="491">
                  <c:v>-68.456185046762201</c:v>
                </c:pt>
                <c:pt idx="492">
                  <c:v>-68.567108547462539</c:v>
                </c:pt>
                <c:pt idx="493">
                  <c:v>-68.679495081787735</c:v>
                </c:pt>
                <c:pt idx="494">
                  <c:v>-68.790766255093217</c:v>
                </c:pt>
                <c:pt idx="495">
                  <c:v>-68.900937710424131</c:v>
                </c:pt>
                <c:pt idx="496">
                  <c:v>-69.010024817873784</c:v>
                </c:pt>
                <c:pt idx="497">
                  <c:v>-69.120556735639823</c:v>
                </c:pt>
                <c:pt idx="498">
                  <c:v>-69.229984701974047</c:v>
                </c:pt>
                <c:pt idx="499">
                  <c:v>-69.338324338340186</c:v>
                </c:pt>
                <c:pt idx="500">
                  <c:v>-69.445590990217454</c:v>
                </c:pt>
                <c:pt idx="501">
                  <c:v>-69.554282197687641</c:v>
                </c:pt>
                <c:pt idx="502">
                  <c:v>-69.661881081319081</c:v>
                </c:pt>
                <c:pt idx="503">
                  <c:v>-69.76840323190018</c:v>
                </c:pt>
                <c:pt idx="504">
                  <c:v>-69.873863961472964</c:v>
                </c:pt>
                <c:pt idx="505">
                  <c:v>-69.980662749419992</c:v>
                </c:pt>
                <c:pt idx="506">
                  <c:v>-70.086382377344364</c:v>
                </c:pt>
                <c:pt idx="507">
                  <c:v>-70.191038367846502</c:v>
                </c:pt>
                <c:pt idx="508">
                  <c:v>-70.294645962976418</c:v>
                </c:pt>
                <c:pt idx="509">
                  <c:v>-70.399571812515305</c:v>
                </c:pt>
                <c:pt idx="510">
                  <c:v>-70.503431789997052</c:v>
                </c:pt>
                <c:pt idx="511">
                  <c:v>-70.606241342160601</c:v>
                </c:pt>
                <c:pt idx="512">
                  <c:v>-70.708015633650362</c:v>
                </c:pt>
                <c:pt idx="513">
                  <c:v>-70.811146238421074</c:v>
                </c:pt>
                <c:pt idx="514">
                  <c:v>-70.913223188443268</c:v>
                </c:pt>
                <c:pt idx="515">
                  <c:v>-71.014261873082276</c:v>
                </c:pt>
                <c:pt idx="516">
                  <c:v>-71.114277397683296</c:v>
                </c:pt>
                <c:pt idx="517">
                  <c:v>-71.215565919021827</c:v>
                </c:pt>
                <c:pt idx="518">
                  <c:v>-71.315814443945925</c:v>
                </c:pt>
                <c:pt idx="519">
                  <c:v>-71.415038268348425</c:v>
                </c:pt>
                <c:pt idx="520">
                  <c:v>-71.513252403130323</c:v>
                </c:pt>
                <c:pt idx="521">
                  <c:v>-71.612715678834348</c:v>
                </c:pt>
                <c:pt idx="522">
                  <c:v>-71.711152774199206</c:v>
                </c:pt>
                <c:pt idx="523">
                  <c:v>-71.808578883289002</c:v>
                </c:pt>
                <c:pt idx="524">
                  <c:v>-71.905008914487311</c:v>
                </c:pt>
                <c:pt idx="525">
                  <c:v>-72.002663227062044</c:v>
                </c:pt>
                <c:pt idx="526">
                  <c:v>-72.09930533820868</c:v>
                </c:pt>
                <c:pt idx="527">
                  <c:v>-72.194950331706323</c:v>
                </c:pt>
                <c:pt idx="528">
                  <c:v>-72.289613005252818</c:v>
                </c:pt>
                <c:pt idx="529">
                  <c:v>-72.385474255497968</c:v>
                </c:pt>
                <c:pt idx="530">
                  <c:v>-72.480337448014268</c:v>
                </c:pt>
                <c:pt idx="531">
                  <c:v>-72.574217547804267</c:v>
                </c:pt>
                <c:pt idx="532">
                  <c:v>-72.667129233679447</c:v>
                </c:pt>
                <c:pt idx="533">
                  <c:v>-72.761261410899806</c:v>
                </c:pt>
                <c:pt idx="534">
                  <c:v>-72.854408829666824</c:v>
                </c:pt>
                <c:pt idx="535">
                  <c:v>-72.946586350510003</c:v>
                </c:pt>
                <c:pt idx="536">
                  <c:v>-73.037808547366723</c:v>
                </c:pt>
                <c:pt idx="537">
                  <c:v>-73.130128626618784</c:v>
                </c:pt>
                <c:pt idx="538">
                  <c:v>-73.221479453574787</c:v>
                </c:pt>
                <c:pt idx="539">
                  <c:v>-73.311875729790444</c:v>
                </c:pt>
                <c:pt idx="540">
                  <c:v>-73.401331871302673</c:v>
                </c:pt>
                <c:pt idx="541">
                  <c:v>-73.49195024222378</c:v>
                </c:pt>
                <c:pt idx="542">
                  <c:v>-73.581613047801326</c:v>
                </c:pt>
                <c:pt idx="543">
                  <c:v>-73.670334867076633</c:v>
                </c:pt>
                <c:pt idx="544">
                  <c:v>-73.758129993783214</c:v>
                </c:pt>
                <c:pt idx="545">
                  <c:v>-73.847014293339939</c:v>
                </c:pt>
                <c:pt idx="546">
                  <c:v>-73.934957858878875</c:v>
                </c:pt>
                <c:pt idx="547">
                  <c:v>-74.021975116287891</c:v>
                </c:pt>
                <c:pt idx="548">
                  <c:v>-74.10808020722952</c:v>
                </c:pt>
                <c:pt idx="549">
                  <c:v>-74.195246578849989</c:v>
                </c:pt>
                <c:pt idx="550">
                  <c:v>-74.281487181584211</c:v>
                </c:pt>
                <c:pt idx="551">
                  <c:v>-74.366816280396023</c:v>
                </c:pt>
                <c:pt idx="552">
                  <c:v>-74.451247857389859</c:v>
                </c:pt>
                <c:pt idx="553">
                  <c:v>-74.536751835856464</c:v>
                </c:pt>
                <c:pt idx="554">
                  <c:v>-74.621344301201987</c:v>
                </c:pt>
                <c:pt idx="555">
                  <c:v>-74.705039369251466</c:v>
                </c:pt>
                <c:pt idx="556">
                  <c:v>-74.787850874101395</c:v>
                </c:pt>
                <c:pt idx="557">
                  <c:v>-74.9546606871628</c:v>
                </c:pt>
                <c:pt idx="558">
                  <c:v>-75.117937818816571</c:v>
                </c:pt>
                <c:pt idx="559">
                  <c:v>-75.281415334939808</c:v>
                </c:pt>
                <c:pt idx="560">
                  <c:v>-75.441421049009548</c:v>
                </c:pt>
                <c:pt idx="561">
                  <c:v>-75.601738266915106</c:v>
                </c:pt>
                <c:pt idx="562">
                  <c:v>-75.758639069071336</c:v>
                </c:pt>
                <c:pt idx="563">
                  <c:v>-75.915489505627249</c:v>
                </c:pt>
                <c:pt idx="564">
                  <c:v>-76.068993618837922</c:v>
                </c:pt>
                <c:pt idx="565">
                  <c:v>-76.223002197624865</c:v>
                </c:pt>
                <c:pt idx="566">
                  <c:v>-76.373709821880652</c:v>
                </c:pt>
                <c:pt idx="567">
                  <c:v>-76.524807211394588</c:v>
                </c:pt>
                <c:pt idx="568">
                  <c:v>-76.672653434228195</c:v>
                </c:pt>
                <c:pt idx="569">
                  <c:v>-76.820212791852541</c:v>
                </c:pt>
                <c:pt idx="570">
                  <c:v>-76.964599169710752</c:v>
                </c:pt>
                <c:pt idx="571">
                  <c:v>-77.109748701786174</c:v>
                </c:pt>
                <c:pt idx="572">
                  <c:v>-77.251756928987021</c:v>
                </c:pt>
                <c:pt idx="573">
                  <c:v>-77.393346027735362</c:v>
                </c:pt>
                <c:pt idx="574">
                  <c:v>-77.531876257490126</c:v>
                </c:pt>
                <c:pt idx="575">
                  <c:v>-77.670959243218206</c:v>
                </c:pt>
                <c:pt idx="576">
                  <c:v>-77.807022276626853</c:v>
                </c:pt>
                <c:pt idx="577">
                  <c:v>-78.351731625491311</c:v>
                </c:pt>
                <c:pt idx="578">
                  <c:v>-78.850472933815212</c:v>
                </c:pt>
                <c:pt idx="579">
                  <c:v>-79.808388625285886</c:v>
                </c:pt>
                <c:pt idx="580">
                  <c:v>-80.688221030443998</c:v>
                </c:pt>
                <c:pt idx="581">
                  <c:v>-81.494384360817747</c:v>
                </c:pt>
                <c:pt idx="582">
                  <c:v>-82.232935947959689</c:v>
                </c:pt>
                <c:pt idx="583">
                  <c:v>-82.908595379906245</c:v>
                </c:pt>
                <c:pt idx="584">
                  <c:v>-83.526835060850345</c:v>
                </c:pt>
                <c:pt idx="585">
                  <c:v>-84.091935470104303</c:v>
                </c:pt>
                <c:pt idx="586">
                  <c:v>-84.608337593900686</c:v>
                </c:pt>
                <c:pt idx="587">
                  <c:v>-85.08032156323145</c:v>
                </c:pt>
                <c:pt idx="588">
                  <c:v>-85.511173483817927</c:v>
                </c:pt>
                <c:pt idx="589">
                  <c:v>-85.904703557463762</c:v>
                </c:pt>
                <c:pt idx="590">
                  <c:v>-86.263932589139344</c:v>
                </c:pt>
                <c:pt idx="591">
                  <c:v>-86.591824515517544</c:v>
                </c:pt>
                <c:pt idx="592">
                  <c:v>-86.891031635221225</c:v>
                </c:pt>
                <c:pt idx="593">
                  <c:v>-87.164111653114361</c:v>
                </c:pt>
                <c:pt idx="594">
                  <c:v>-87.413255158592577</c:v>
                </c:pt>
                <c:pt idx="595">
                  <c:v>-87.64058822285638</c:v>
                </c:pt>
                <c:pt idx="596">
                  <c:v>-87.847964742466004</c:v>
                </c:pt>
                <c:pt idx="597">
                  <c:v>-88.037167093546913</c:v>
                </c:pt>
                <c:pt idx="598">
                  <c:v>-88.209738025372573</c:v>
                </c:pt>
                <c:pt idx="599">
                  <c:v>-88.367174049321264</c:v>
                </c:pt>
                <c:pt idx="600">
                  <c:v>-88.510775450598032</c:v>
                </c:pt>
              </c:numCache>
            </c:numRef>
          </c:yVal>
          <c:smooth val="0"/>
          <c:extLst>
            <c:ext xmlns:c16="http://schemas.microsoft.com/office/drawing/2014/chart" uri="{C3380CC4-5D6E-409C-BE32-E72D297353CC}">
              <c16:uniqueId val="{00000001-C943-44AE-BE69-B37F145E1EAF}"/>
            </c:ext>
          </c:extLst>
        </c:ser>
        <c:ser>
          <c:idx val="2"/>
          <c:order val="2"/>
          <c:tx>
            <c:v>pwr plant</c:v>
          </c:tx>
          <c:marker>
            <c:symbol val="none"/>
          </c:marker>
          <c:xVal>
            <c:numRef>
              <c:f>'Stability Calculations'!$G$13:$G$613</c:f>
              <c:numCache>
                <c:formatCode>General</c:formatCode>
                <c:ptCount val="601"/>
                <c:pt idx="0">
                  <c:v>1</c:v>
                </c:pt>
                <c:pt idx="1">
                  <c:v>1.0965</c:v>
                </c:pt>
                <c:pt idx="2">
                  <c:v>1.2022999999999999</c:v>
                </c:pt>
                <c:pt idx="3">
                  <c:v>1.3183</c:v>
                </c:pt>
                <c:pt idx="4">
                  <c:v>1.4454</c:v>
                </c:pt>
                <c:pt idx="5">
                  <c:v>1.5849</c:v>
                </c:pt>
                <c:pt idx="6">
                  <c:v>1.7378</c:v>
                </c:pt>
                <c:pt idx="7">
                  <c:v>1.9055</c:v>
                </c:pt>
                <c:pt idx="8">
                  <c:v>2.0893000000000002</c:v>
                </c:pt>
                <c:pt idx="9">
                  <c:v>2.2909000000000002</c:v>
                </c:pt>
                <c:pt idx="10">
                  <c:v>2.5118999999999998</c:v>
                </c:pt>
                <c:pt idx="11">
                  <c:v>2.7542</c:v>
                </c:pt>
                <c:pt idx="12">
                  <c:v>3.02</c:v>
                </c:pt>
                <c:pt idx="13">
                  <c:v>3.3113000000000001</c:v>
                </c:pt>
                <c:pt idx="14">
                  <c:v>3.6307999999999998</c:v>
                </c:pt>
                <c:pt idx="15">
                  <c:v>3.9811000000000001</c:v>
                </c:pt>
                <c:pt idx="16">
                  <c:v>4.3651999999999997</c:v>
                </c:pt>
                <c:pt idx="17">
                  <c:v>4.7862999999999998</c:v>
                </c:pt>
                <c:pt idx="18">
                  <c:v>5.2481</c:v>
                </c:pt>
                <c:pt idx="19">
                  <c:v>5.7544000000000004</c:v>
                </c:pt>
                <c:pt idx="20">
                  <c:v>6.3095999999999997</c:v>
                </c:pt>
                <c:pt idx="21">
                  <c:v>6.9183000000000003</c:v>
                </c:pt>
                <c:pt idx="22">
                  <c:v>7.5857999999999999</c:v>
                </c:pt>
                <c:pt idx="23">
                  <c:v>8.3176000000000005</c:v>
                </c:pt>
                <c:pt idx="24">
                  <c:v>9.1201000000000008</c:v>
                </c:pt>
                <c:pt idx="25">
                  <c:v>10</c:v>
                </c:pt>
                <c:pt idx="26">
                  <c:v>10.965</c:v>
                </c:pt>
                <c:pt idx="27">
                  <c:v>12.023</c:v>
                </c:pt>
                <c:pt idx="28">
                  <c:v>13.183</c:v>
                </c:pt>
                <c:pt idx="29">
                  <c:v>14.454000000000001</c:v>
                </c:pt>
                <c:pt idx="30">
                  <c:v>15.849</c:v>
                </c:pt>
                <c:pt idx="31">
                  <c:v>17.378</c:v>
                </c:pt>
                <c:pt idx="32">
                  <c:v>19.055</c:v>
                </c:pt>
                <c:pt idx="33">
                  <c:v>20.893000000000001</c:v>
                </c:pt>
                <c:pt idx="34">
                  <c:v>22.909000000000002</c:v>
                </c:pt>
                <c:pt idx="35">
                  <c:v>25.119</c:v>
                </c:pt>
                <c:pt idx="36">
                  <c:v>27.542000000000002</c:v>
                </c:pt>
                <c:pt idx="37">
                  <c:v>30.2</c:v>
                </c:pt>
                <c:pt idx="38">
                  <c:v>33.113</c:v>
                </c:pt>
                <c:pt idx="39">
                  <c:v>36.308</c:v>
                </c:pt>
                <c:pt idx="40">
                  <c:v>39.811</c:v>
                </c:pt>
                <c:pt idx="41">
                  <c:v>43.652000000000001</c:v>
                </c:pt>
                <c:pt idx="42">
                  <c:v>47.863</c:v>
                </c:pt>
                <c:pt idx="43">
                  <c:v>52.481000000000002</c:v>
                </c:pt>
                <c:pt idx="44">
                  <c:v>57.544000000000004</c:v>
                </c:pt>
                <c:pt idx="45">
                  <c:v>63.095999999999997</c:v>
                </c:pt>
                <c:pt idx="46">
                  <c:v>69.183000000000007</c:v>
                </c:pt>
                <c:pt idx="47">
                  <c:v>75.858000000000004</c:v>
                </c:pt>
                <c:pt idx="48">
                  <c:v>83.176000000000002</c:v>
                </c:pt>
                <c:pt idx="49">
                  <c:v>91.201000000000008</c:v>
                </c:pt>
                <c:pt idx="50">
                  <c:v>100</c:v>
                </c:pt>
                <c:pt idx="51">
                  <c:v>109.65</c:v>
                </c:pt>
                <c:pt idx="52">
                  <c:v>120.23</c:v>
                </c:pt>
                <c:pt idx="53">
                  <c:v>131.83000000000001</c:v>
                </c:pt>
                <c:pt idx="54">
                  <c:v>144.54</c:v>
                </c:pt>
                <c:pt idx="55">
                  <c:v>158.49</c:v>
                </c:pt>
                <c:pt idx="56">
                  <c:v>173.78</c:v>
                </c:pt>
                <c:pt idx="57">
                  <c:v>190.55</c:v>
                </c:pt>
                <c:pt idx="58">
                  <c:v>208.93</c:v>
                </c:pt>
                <c:pt idx="59">
                  <c:v>229.09</c:v>
                </c:pt>
                <c:pt idx="60">
                  <c:v>251.19</c:v>
                </c:pt>
                <c:pt idx="61">
                  <c:v>275.42</c:v>
                </c:pt>
                <c:pt idx="62">
                  <c:v>302</c:v>
                </c:pt>
                <c:pt idx="63">
                  <c:v>331.13</c:v>
                </c:pt>
                <c:pt idx="64">
                  <c:v>363.08</c:v>
                </c:pt>
                <c:pt idx="65">
                  <c:v>398.11</c:v>
                </c:pt>
                <c:pt idx="66">
                  <c:v>436.52</c:v>
                </c:pt>
                <c:pt idx="67">
                  <c:v>478.63</c:v>
                </c:pt>
                <c:pt idx="68">
                  <c:v>524.80999999999995</c:v>
                </c:pt>
                <c:pt idx="69">
                  <c:v>575.44000000000005</c:v>
                </c:pt>
                <c:pt idx="70">
                  <c:v>630.96</c:v>
                </c:pt>
                <c:pt idx="71">
                  <c:v>691.83</c:v>
                </c:pt>
                <c:pt idx="72">
                  <c:v>758.58</c:v>
                </c:pt>
                <c:pt idx="73">
                  <c:v>831.76</c:v>
                </c:pt>
                <c:pt idx="74">
                  <c:v>912.01</c:v>
                </c:pt>
                <c:pt idx="75">
                  <c:v>1000</c:v>
                </c:pt>
                <c:pt idx="76">
                  <c:v>1096.5</c:v>
                </c:pt>
                <c:pt idx="77">
                  <c:v>1202.3</c:v>
                </c:pt>
                <c:pt idx="78">
                  <c:v>1318.3</c:v>
                </c:pt>
                <c:pt idx="79">
                  <c:v>1445.4</c:v>
                </c:pt>
                <c:pt idx="80">
                  <c:v>1584.9</c:v>
                </c:pt>
                <c:pt idx="81">
                  <c:v>1737.8</c:v>
                </c:pt>
                <c:pt idx="82">
                  <c:v>1905.5</c:v>
                </c:pt>
                <c:pt idx="83">
                  <c:v>2089.3000000000002</c:v>
                </c:pt>
                <c:pt idx="84">
                  <c:v>2290.9</c:v>
                </c:pt>
                <c:pt idx="85">
                  <c:v>2511.9</c:v>
                </c:pt>
                <c:pt idx="86">
                  <c:v>2754.2</c:v>
                </c:pt>
                <c:pt idx="87">
                  <c:v>3020</c:v>
                </c:pt>
                <c:pt idx="88">
                  <c:v>3311.3</c:v>
                </c:pt>
                <c:pt idx="89">
                  <c:v>3630.8</c:v>
                </c:pt>
                <c:pt idx="90">
                  <c:v>3981.1</c:v>
                </c:pt>
                <c:pt idx="91">
                  <c:v>4365.2</c:v>
                </c:pt>
                <c:pt idx="92">
                  <c:v>4786.3</c:v>
                </c:pt>
                <c:pt idx="93">
                  <c:v>5248.1</c:v>
                </c:pt>
                <c:pt idx="94">
                  <c:v>5370.3</c:v>
                </c:pt>
                <c:pt idx="95">
                  <c:v>5432.85</c:v>
                </c:pt>
                <c:pt idx="96">
                  <c:v>5495.4</c:v>
                </c:pt>
                <c:pt idx="97">
                  <c:v>5559.4</c:v>
                </c:pt>
                <c:pt idx="98">
                  <c:v>5623.4</c:v>
                </c:pt>
                <c:pt idx="99">
                  <c:v>5688.9</c:v>
                </c:pt>
                <c:pt idx="100">
                  <c:v>5754.4</c:v>
                </c:pt>
                <c:pt idx="101">
                  <c:v>5821.4</c:v>
                </c:pt>
                <c:pt idx="102">
                  <c:v>5888.4</c:v>
                </c:pt>
                <c:pt idx="103">
                  <c:v>5957</c:v>
                </c:pt>
                <c:pt idx="104">
                  <c:v>6025.6</c:v>
                </c:pt>
                <c:pt idx="105">
                  <c:v>6095.8</c:v>
                </c:pt>
                <c:pt idx="106">
                  <c:v>6166</c:v>
                </c:pt>
                <c:pt idx="107">
                  <c:v>6237.8</c:v>
                </c:pt>
                <c:pt idx="108">
                  <c:v>6309.6</c:v>
                </c:pt>
                <c:pt idx="109">
                  <c:v>6383.05</c:v>
                </c:pt>
                <c:pt idx="110">
                  <c:v>6456.5</c:v>
                </c:pt>
                <c:pt idx="111">
                  <c:v>6531.7</c:v>
                </c:pt>
                <c:pt idx="112">
                  <c:v>6606.9</c:v>
                </c:pt>
                <c:pt idx="113">
                  <c:v>6683.85</c:v>
                </c:pt>
                <c:pt idx="114">
                  <c:v>6760.8</c:v>
                </c:pt>
                <c:pt idx="115">
                  <c:v>6839.55</c:v>
                </c:pt>
                <c:pt idx="116">
                  <c:v>6918.3</c:v>
                </c:pt>
                <c:pt idx="117">
                  <c:v>6998.9</c:v>
                </c:pt>
                <c:pt idx="118">
                  <c:v>7079.5</c:v>
                </c:pt>
                <c:pt idx="119">
                  <c:v>7161.95</c:v>
                </c:pt>
                <c:pt idx="120">
                  <c:v>7244.4</c:v>
                </c:pt>
                <c:pt idx="121">
                  <c:v>7328.75</c:v>
                </c:pt>
                <c:pt idx="122">
                  <c:v>7413.1</c:v>
                </c:pt>
                <c:pt idx="123">
                  <c:v>7499.45</c:v>
                </c:pt>
                <c:pt idx="124">
                  <c:v>7585.8</c:v>
                </c:pt>
                <c:pt idx="125">
                  <c:v>7674.15</c:v>
                </c:pt>
                <c:pt idx="126">
                  <c:v>7762.5</c:v>
                </c:pt>
                <c:pt idx="127">
                  <c:v>7852.9</c:v>
                </c:pt>
                <c:pt idx="128">
                  <c:v>7943.3</c:v>
                </c:pt>
                <c:pt idx="129">
                  <c:v>8035.8</c:v>
                </c:pt>
                <c:pt idx="130">
                  <c:v>8128.3</c:v>
                </c:pt>
                <c:pt idx="131">
                  <c:v>8222.9500000000007</c:v>
                </c:pt>
                <c:pt idx="132">
                  <c:v>8270.2750000000015</c:v>
                </c:pt>
                <c:pt idx="133">
                  <c:v>8317.6</c:v>
                </c:pt>
                <c:pt idx="134">
                  <c:v>8366.0499999999993</c:v>
                </c:pt>
                <c:pt idx="135">
                  <c:v>8414.5</c:v>
                </c:pt>
                <c:pt idx="136">
                  <c:v>8462.9500000000007</c:v>
                </c:pt>
                <c:pt idx="137">
                  <c:v>8511.4</c:v>
                </c:pt>
                <c:pt idx="138">
                  <c:v>8560.9500000000007</c:v>
                </c:pt>
                <c:pt idx="139">
                  <c:v>8610.5</c:v>
                </c:pt>
                <c:pt idx="140">
                  <c:v>8660.0499999999993</c:v>
                </c:pt>
                <c:pt idx="141">
                  <c:v>8709.6</c:v>
                </c:pt>
                <c:pt idx="142">
                  <c:v>8760.3250000000007</c:v>
                </c:pt>
                <c:pt idx="143">
                  <c:v>8811.0499999999993</c:v>
                </c:pt>
                <c:pt idx="144">
                  <c:v>8861.7749999999996</c:v>
                </c:pt>
                <c:pt idx="145">
                  <c:v>8912.5</c:v>
                </c:pt>
                <c:pt idx="146">
                  <c:v>8964.4</c:v>
                </c:pt>
                <c:pt idx="147">
                  <c:v>9016.2999999999993</c:v>
                </c:pt>
                <c:pt idx="148">
                  <c:v>9068.2000000000007</c:v>
                </c:pt>
                <c:pt idx="149">
                  <c:v>9120.1</c:v>
                </c:pt>
                <c:pt idx="150">
                  <c:v>9173.2000000000007</c:v>
                </c:pt>
                <c:pt idx="151">
                  <c:v>9226.2999999999993</c:v>
                </c:pt>
                <c:pt idx="152">
                  <c:v>9279.4</c:v>
                </c:pt>
                <c:pt idx="153">
                  <c:v>9332.5</c:v>
                </c:pt>
                <c:pt idx="154">
                  <c:v>9386.85</c:v>
                </c:pt>
                <c:pt idx="155">
                  <c:v>9441.2000000000007</c:v>
                </c:pt>
                <c:pt idx="156">
                  <c:v>9495.5499999999993</c:v>
                </c:pt>
                <c:pt idx="157">
                  <c:v>9549.9</c:v>
                </c:pt>
                <c:pt idx="158">
                  <c:v>9605.5249999999996</c:v>
                </c:pt>
                <c:pt idx="159">
                  <c:v>9661.15</c:v>
                </c:pt>
                <c:pt idx="160">
                  <c:v>9716.7749999999996</c:v>
                </c:pt>
                <c:pt idx="161">
                  <c:v>9772.4</c:v>
                </c:pt>
                <c:pt idx="162">
                  <c:v>9829.2999999999993</c:v>
                </c:pt>
                <c:pt idx="163">
                  <c:v>9886.2000000000007</c:v>
                </c:pt>
                <c:pt idx="164">
                  <c:v>9943.1</c:v>
                </c:pt>
                <c:pt idx="165">
                  <c:v>10000</c:v>
                </c:pt>
                <c:pt idx="166">
                  <c:v>10058.25</c:v>
                </c:pt>
                <c:pt idx="167">
                  <c:v>10116.5</c:v>
                </c:pt>
                <c:pt idx="168">
                  <c:v>10174.75</c:v>
                </c:pt>
                <c:pt idx="169">
                  <c:v>10233</c:v>
                </c:pt>
                <c:pt idx="170">
                  <c:v>10292.5</c:v>
                </c:pt>
                <c:pt idx="171">
                  <c:v>10352</c:v>
                </c:pt>
                <c:pt idx="172">
                  <c:v>10411.5</c:v>
                </c:pt>
                <c:pt idx="173">
                  <c:v>10471</c:v>
                </c:pt>
                <c:pt idx="174">
                  <c:v>10532</c:v>
                </c:pt>
                <c:pt idx="175">
                  <c:v>10593</c:v>
                </c:pt>
                <c:pt idx="176">
                  <c:v>10654</c:v>
                </c:pt>
                <c:pt idx="177">
                  <c:v>10715</c:v>
                </c:pt>
                <c:pt idx="178">
                  <c:v>10777.5</c:v>
                </c:pt>
                <c:pt idx="179">
                  <c:v>10840</c:v>
                </c:pt>
                <c:pt idx="180">
                  <c:v>10902.5</c:v>
                </c:pt>
                <c:pt idx="181">
                  <c:v>10965</c:v>
                </c:pt>
                <c:pt idx="182">
                  <c:v>11028.75</c:v>
                </c:pt>
                <c:pt idx="183">
                  <c:v>11092.5</c:v>
                </c:pt>
                <c:pt idx="184">
                  <c:v>11156.25</c:v>
                </c:pt>
                <c:pt idx="185">
                  <c:v>11220</c:v>
                </c:pt>
                <c:pt idx="186">
                  <c:v>11285.5</c:v>
                </c:pt>
                <c:pt idx="187">
                  <c:v>11351</c:v>
                </c:pt>
                <c:pt idx="188">
                  <c:v>11416.5</c:v>
                </c:pt>
                <c:pt idx="189">
                  <c:v>11482</c:v>
                </c:pt>
                <c:pt idx="190">
                  <c:v>11548.75</c:v>
                </c:pt>
                <c:pt idx="191">
                  <c:v>11615.5</c:v>
                </c:pt>
                <c:pt idx="192">
                  <c:v>11682.25</c:v>
                </c:pt>
                <c:pt idx="193">
                  <c:v>11749</c:v>
                </c:pt>
                <c:pt idx="194">
                  <c:v>11817.5</c:v>
                </c:pt>
                <c:pt idx="195">
                  <c:v>11886</c:v>
                </c:pt>
                <c:pt idx="196">
                  <c:v>11954.5</c:v>
                </c:pt>
                <c:pt idx="197">
                  <c:v>12023</c:v>
                </c:pt>
                <c:pt idx="198">
                  <c:v>12093</c:v>
                </c:pt>
                <c:pt idx="199">
                  <c:v>12163</c:v>
                </c:pt>
                <c:pt idx="200">
                  <c:v>12233</c:v>
                </c:pt>
                <c:pt idx="201">
                  <c:v>12303</c:v>
                </c:pt>
                <c:pt idx="202">
                  <c:v>12374.5</c:v>
                </c:pt>
                <c:pt idx="203">
                  <c:v>12446</c:v>
                </c:pt>
                <c:pt idx="204">
                  <c:v>12517.5</c:v>
                </c:pt>
                <c:pt idx="205">
                  <c:v>12589</c:v>
                </c:pt>
                <c:pt idx="206">
                  <c:v>12662.25</c:v>
                </c:pt>
                <c:pt idx="207">
                  <c:v>12735.5</c:v>
                </c:pt>
                <c:pt idx="208">
                  <c:v>12808.75</c:v>
                </c:pt>
                <c:pt idx="209">
                  <c:v>12882</c:v>
                </c:pt>
                <c:pt idx="210">
                  <c:v>12957.25</c:v>
                </c:pt>
                <c:pt idx="211">
                  <c:v>13032.5</c:v>
                </c:pt>
                <c:pt idx="212">
                  <c:v>13107.75</c:v>
                </c:pt>
                <c:pt idx="213">
                  <c:v>13183</c:v>
                </c:pt>
                <c:pt idx="214">
                  <c:v>13259.75</c:v>
                </c:pt>
                <c:pt idx="215">
                  <c:v>13336.5</c:v>
                </c:pt>
                <c:pt idx="216">
                  <c:v>13413.25</c:v>
                </c:pt>
                <c:pt idx="217">
                  <c:v>13490</c:v>
                </c:pt>
                <c:pt idx="218">
                  <c:v>13568.5</c:v>
                </c:pt>
                <c:pt idx="219">
                  <c:v>13647</c:v>
                </c:pt>
                <c:pt idx="220">
                  <c:v>13725.5</c:v>
                </c:pt>
                <c:pt idx="221">
                  <c:v>13804</c:v>
                </c:pt>
                <c:pt idx="222">
                  <c:v>13884.25</c:v>
                </c:pt>
                <c:pt idx="223">
                  <c:v>13964.5</c:v>
                </c:pt>
                <c:pt idx="224">
                  <c:v>14044.75</c:v>
                </c:pt>
                <c:pt idx="225">
                  <c:v>14125</c:v>
                </c:pt>
                <c:pt idx="226">
                  <c:v>14207.25</c:v>
                </c:pt>
                <c:pt idx="227">
                  <c:v>14289.5</c:v>
                </c:pt>
                <c:pt idx="228">
                  <c:v>14371.75</c:v>
                </c:pt>
                <c:pt idx="229">
                  <c:v>14454</c:v>
                </c:pt>
                <c:pt idx="230">
                  <c:v>14622.5</c:v>
                </c:pt>
                <c:pt idx="231">
                  <c:v>14706.75</c:v>
                </c:pt>
                <c:pt idx="232">
                  <c:v>14791</c:v>
                </c:pt>
                <c:pt idx="233">
                  <c:v>14877.25</c:v>
                </c:pt>
                <c:pt idx="234">
                  <c:v>14963.5</c:v>
                </c:pt>
                <c:pt idx="235">
                  <c:v>15049.75</c:v>
                </c:pt>
                <c:pt idx="236">
                  <c:v>15136</c:v>
                </c:pt>
                <c:pt idx="237">
                  <c:v>15224</c:v>
                </c:pt>
                <c:pt idx="238">
                  <c:v>15312</c:v>
                </c:pt>
                <c:pt idx="239">
                  <c:v>15400</c:v>
                </c:pt>
                <c:pt idx="240">
                  <c:v>15488</c:v>
                </c:pt>
                <c:pt idx="241">
                  <c:v>15578.25</c:v>
                </c:pt>
                <c:pt idx="242">
                  <c:v>15668.5</c:v>
                </c:pt>
                <c:pt idx="243">
                  <c:v>15758.75</c:v>
                </c:pt>
                <c:pt idx="244">
                  <c:v>15849</c:v>
                </c:pt>
                <c:pt idx="245">
                  <c:v>15941.25</c:v>
                </c:pt>
                <c:pt idx="246">
                  <c:v>16033.5</c:v>
                </c:pt>
                <c:pt idx="247">
                  <c:v>16125.75</c:v>
                </c:pt>
                <c:pt idx="248">
                  <c:v>16218</c:v>
                </c:pt>
                <c:pt idx="249">
                  <c:v>16312.5</c:v>
                </c:pt>
                <c:pt idx="250">
                  <c:v>16407</c:v>
                </c:pt>
                <c:pt idx="251">
                  <c:v>16501.5</c:v>
                </c:pt>
                <c:pt idx="252">
                  <c:v>16596</c:v>
                </c:pt>
                <c:pt idx="253">
                  <c:v>16692.5</c:v>
                </c:pt>
                <c:pt idx="254">
                  <c:v>16789</c:v>
                </c:pt>
                <c:pt idx="255">
                  <c:v>16885.5</c:v>
                </c:pt>
                <c:pt idx="256">
                  <c:v>16982</c:v>
                </c:pt>
                <c:pt idx="257">
                  <c:v>17081</c:v>
                </c:pt>
                <c:pt idx="258">
                  <c:v>17180</c:v>
                </c:pt>
                <c:pt idx="259">
                  <c:v>17279</c:v>
                </c:pt>
                <c:pt idx="260">
                  <c:v>17378</c:v>
                </c:pt>
                <c:pt idx="261">
                  <c:v>17479.25</c:v>
                </c:pt>
                <c:pt idx="262">
                  <c:v>17580.5</c:v>
                </c:pt>
                <c:pt idx="263">
                  <c:v>17681.75</c:v>
                </c:pt>
                <c:pt idx="264">
                  <c:v>17783</c:v>
                </c:pt>
                <c:pt idx="265">
                  <c:v>17886.5</c:v>
                </c:pt>
                <c:pt idx="266">
                  <c:v>17990</c:v>
                </c:pt>
                <c:pt idx="267">
                  <c:v>18093.5</c:v>
                </c:pt>
                <c:pt idx="268">
                  <c:v>18197</c:v>
                </c:pt>
                <c:pt idx="269">
                  <c:v>18303</c:v>
                </c:pt>
                <c:pt idx="270">
                  <c:v>18409</c:v>
                </c:pt>
                <c:pt idx="271">
                  <c:v>18515</c:v>
                </c:pt>
                <c:pt idx="272">
                  <c:v>18621</c:v>
                </c:pt>
                <c:pt idx="273">
                  <c:v>18729.5</c:v>
                </c:pt>
                <c:pt idx="274">
                  <c:v>18838</c:v>
                </c:pt>
                <c:pt idx="275">
                  <c:v>18946.5</c:v>
                </c:pt>
                <c:pt idx="276">
                  <c:v>19055</c:v>
                </c:pt>
                <c:pt idx="277">
                  <c:v>19165.75</c:v>
                </c:pt>
                <c:pt idx="278">
                  <c:v>19276.5</c:v>
                </c:pt>
                <c:pt idx="279">
                  <c:v>19387.25</c:v>
                </c:pt>
                <c:pt idx="280">
                  <c:v>19498</c:v>
                </c:pt>
                <c:pt idx="281">
                  <c:v>19611.75</c:v>
                </c:pt>
                <c:pt idx="282">
                  <c:v>19725.5</c:v>
                </c:pt>
                <c:pt idx="283">
                  <c:v>19839.25</c:v>
                </c:pt>
                <c:pt idx="284">
                  <c:v>19953</c:v>
                </c:pt>
                <c:pt idx="285">
                  <c:v>20069</c:v>
                </c:pt>
                <c:pt idx="286">
                  <c:v>20185</c:v>
                </c:pt>
                <c:pt idx="287">
                  <c:v>20301</c:v>
                </c:pt>
                <c:pt idx="288">
                  <c:v>20417</c:v>
                </c:pt>
                <c:pt idx="289">
                  <c:v>20536</c:v>
                </c:pt>
                <c:pt idx="290">
                  <c:v>20655</c:v>
                </c:pt>
                <c:pt idx="291">
                  <c:v>20774</c:v>
                </c:pt>
                <c:pt idx="292">
                  <c:v>20893</c:v>
                </c:pt>
                <c:pt idx="293">
                  <c:v>21014.75</c:v>
                </c:pt>
                <c:pt idx="294">
                  <c:v>21136.5</c:v>
                </c:pt>
                <c:pt idx="295">
                  <c:v>21258.25</c:v>
                </c:pt>
                <c:pt idx="296">
                  <c:v>21380</c:v>
                </c:pt>
                <c:pt idx="297">
                  <c:v>21504.5</c:v>
                </c:pt>
                <c:pt idx="298">
                  <c:v>21629</c:v>
                </c:pt>
                <c:pt idx="299">
                  <c:v>21753.5</c:v>
                </c:pt>
                <c:pt idx="300">
                  <c:v>21878</c:v>
                </c:pt>
                <c:pt idx="301">
                  <c:v>22005.25</c:v>
                </c:pt>
                <c:pt idx="302">
                  <c:v>22132.5</c:v>
                </c:pt>
                <c:pt idx="303">
                  <c:v>22259.75</c:v>
                </c:pt>
                <c:pt idx="304">
                  <c:v>22387</c:v>
                </c:pt>
                <c:pt idx="305">
                  <c:v>22517.5</c:v>
                </c:pt>
                <c:pt idx="306">
                  <c:v>22648</c:v>
                </c:pt>
                <c:pt idx="307">
                  <c:v>22778.5</c:v>
                </c:pt>
                <c:pt idx="308">
                  <c:v>22909</c:v>
                </c:pt>
                <c:pt idx="309">
                  <c:v>23042.25</c:v>
                </c:pt>
                <c:pt idx="310">
                  <c:v>23175.5</c:v>
                </c:pt>
                <c:pt idx="311">
                  <c:v>23308.75</c:v>
                </c:pt>
                <c:pt idx="312">
                  <c:v>23442</c:v>
                </c:pt>
                <c:pt idx="313">
                  <c:v>23578.5</c:v>
                </c:pt>
                <c:pt idx="314">
                  <c:v>23715</c:v>
                </c:pt>
                <c:pt idx="315">
                  <c:v>23851.5</c:v>
                </c:pt>
                <c:pt idx="316">
                  <c:v>23988</c:v>
                </c:pt>
                <c:pt idx="317">
                  <c:v>24127.75</c:v>
                </c:pt>
                <c:pt idx="318">
                  <c:v>24267.5</c:v>
                </c:pt>
                <c:pt idx="319">
                  <c:v>24407.25</c:v>
                </c:pt>
                <c:pt idx="320">
                  <c:v>24547</c:v>
                </c:pt>
                <c:pt idx="321">
                  <c:v>24690</c:v>
                </c:pt>
                <c:pt idx="322">
                  <c:v>24833</c:v>
                </c:pt>
                <c:pt idx="323">
                  <c:v>24976</c:v>
                </c:pt>
                <c:pt idx="324">
                  <c:v>25119</c:v>
                </c:pt>
                <c:pt idx="325">
                  <c:v>25265.25</c:v>
                </c:pt>
                <c:pt idx="326">
                  <c:v>25411.5</c:v>
                </c:pt>
                <c:pt idx="327">
                  <c:v>25557.75</c:v>
                </c:pt>
                <c:pt idx="328">
                  <c:v>25704</c:v>
                </c:pt>
                <c:pt idx="329">
                  <c:v>25853.75</c:v>
                </c:pt>
                <c:pt idx="330">
                  <c:v>26003.5</c:v>
                </c:pt>
                <c:pt idx="331">
                  <c:v>26153.25</c:v>
                </c:pt>
                <c:pt idx="332">
                  <c:v>26303</c:v>
                </c:pt>
                <c:pt idx="333">
                  <c:v>26456</c:v>
                </c:pt>
                <c:pt idx="334">
                  <c:v>26609</c:v>
                </c:pt>
                <c:pt idx="335">
                  <c:v>26762</c:v>
                </c:pt>
                <c:pt idx="336">
                  <c:v>26915</c:v>
                </c:pt>
                <c:pt idx="337">
                  <c:v>27071.75</c:v>
                </c:pt>
                <c:pt idx="338">
                  <c:v>27228.5</c:v>
                </c:pt>
                <c:pt idx="339">
                  <c:v>27385.25</c:v>
                </c:pt>
                <c:pt idx="340">
                  <c:v>27542</c:v>
                </c:pt>
                <c:pt idx="341">
                  <c:v>27702.5</c:v>
                </c:pt>
                <c:pt idx="342">
                  <c:v>27863</c:v>
                </c:pt>
                <c:pt idx="343">
                  <c:v>28023.5</c:v>
                </c:pt>
                <c:pt idx="344">
                  <c:v>28184</c:v>
                </c:pt>
                <c:pt idx="345">
                  <c:v>28348</c:v>
                </c:pt>
                <c:pt idx="346">
                  <c:v>28512</c:v>
                </c:pt>
                <c:pt idx="347">
                  <c:v>28676</c:v>
                </c:pt>
                <c:pt idx="348">
                  <c:v>28840</c:v>
                </c:pt>
                <c:pt idx="349">
                  <c:v>29008</c:v>
                </c:pt>
                <c:pt idx="350">
                  <c:v>29176</c:v>
                </c:pt>
                <c:pt idx="351">
                  <c:v>29344</c:v>
                </c:pt>
                <c:pt idx="352">
                  <c:v>29512</c:v>
                </c:pt>
                <c:pt idx="353">
                  <c:v>29684</c:v>
                </c:pt>
                <c:pt idx="354">
                  <c:v>29856</c:v>
                </c:pt>
                <c:pt idx="355">
                  <c:v>30028</c:v>
                </c:pt>
                <c:pt idx="356">
                  <c:v>30200</c:v>
                </c:pt>
                <c:pt idx="357">
                  <c:v>30375.75</c:v>
                </c:pt>
                <c:pt idx="358">
                  <c:v>30551.5</c:v>
                </c:pt>
                <c:pt idx="359">
                  <c:v>30727.25</c:v>
                </c:pt>
                <c:pt idx="360">
                  <c:v>30903</c:v>
                </c:pt>
                <c:pt idx="361">
                  <c:v>31083</c:v>
                </c:pt>
                <c:pt idx="362">
                  <c:v>31263</c:v>
                </c:pt>
                <c:pt idx="363">
                  <c:v>31443</c:v>
                </c:pt>
                <c:pt idx="364">
                  <c:v>31623</c:v>
                </c:pt>
                <c:pt idx="365">
                  <c:v>31807</c:v>
                </c:pt>
                <c:pt idx="366">
                  <c:v>31991</c:v>
                </c:pt>
                <c:pt idx="367">
                  <c:v>32175</c:v>
                </c:pt>
                <c:pt idx="368">
                  <c:v>32359</c:v>
                </c:pt>
                <c:pt idx="369">
                  <c:v>32547.5</c:v>
                </c:pt>
                <c:pt idx="370">
                  <c:v>32736</c:v>
                </c:pt>
                <c:pt idx="371">
                  <c:v>32924.5</c:v>
                </c:pt>
                <c:pt idx="372">
                  <c:v>33113</c:v>
                </c:pt>
                <c:pt idx="373">
                  <c:v>33305.75</c:v>
                </c:pt>
                <c:pt idx="374">
                  <c:v>33498.5</c:v>
                </c:pt>
                <c:pt idx="375">
                  <c:v>33691.25</c:v>
                </c:pt>
                <c:pt idx="376">
                  <c:v>33884</c:v>
                </c:pt>
                <c:pt idx="377">
                  <c:v>34081.5</c:v>
                </c:pt>
                <c:pt idx="378">
                  <c:v>34279</c:v>
                </c:pt>
                <c:pt idx="379">
                  <c:v>34476.5</c:v>
                </c:pt>
                <c:pt idx="380">
                  <c:v>34674</c:v>
                </c:pt>
                <c:pt idx="381">
                  <c:v>34875.75</c:v>
                </c:pt>
                <c:pt idx="382">
                  <c:v>35077.5</c:v>
                </c:pt>
                <c:pt idx="383">
                  <c:v>35279.25</c:v>
                </c:pt>
                <c:pt idx="384">
                  <c:v>35481</c:v>
                </c:pt>
                <c:pt idx="385">
                  <c:v>35687.75</c:v>
                </c:pt>
                <c:pt idx="386">
                  <c:v>35894.5</c:v>
                </c:pt>
                <c:pt idx="387">
                  <c:v>36101.25</c:v>
                </c:pt>
                <c:pt idx="388">
                  <c:v>36308</c:v>
                </c:pt>
                <c:pt idx="389">
                  <c:v>36519.5</c:v>
                </c:pt>
                <c:pt idx="390">
                  <c:v>36731</c:v>
                </c:pt>
                <c:pt idx="391">
                  <c:v>36942.5</c:v>
                </c:pt>
                <c:pt idx="392">
                  <c:v>37154</c:v>
                </c:pt>
                <c:pt idx="393">
                  <c:v>37370.25</c:v>
                </c:pt>
                <c:pt idx="394">
                  <c:v>37586.5</c:v>
                </c:pt>
                <c:pt idx="395">
                  <c:v>37802.75</c:v>
                </c:pt>
                <c:pt idx="396">
                  <c:v>38019</c:v>
                </c:pt>
                <c:pt idx="397">
                  <c:v>38240.5</c:v>
                </c:pt>
                <c:pt idx="398">
                  <c:v>38462</c:v>
                </c:pt>
                <c:pt idx="399">
                  <c:v>38683.5</c:v>
                </c:pt>
                <c:pt idx="400">
                  <c:v>38905</c:v>
                </c:pt>
                <c:pt idx="401">
                  <c:v>39131.5</c:v>
                </c:pt>
                <c:pt idx="402">
                  <c:v>39358</c:v>
                </c:pt>
                <c:pt idx="403">
                  <c:v>39584.5</c:v>
                </c:pt>
                <c:pt idx="404">
                  <c:v>39811</c:v>
                </c:pt>
                <c:pt idx="405">
                  <c:v>40042.75</c:v>
                </c:pt>
                <c:pt idx="406">
                  <c:v>40274.5</c:v>
                </c:pt>
                <c:pt idx="407">
                  <c:v>40506.25</c:v>
                </c:pt>
                <c:pt idx="408">
                  <c:v>40738</c:v>
                </c:pt>
                <c:pt idx="409">
                  <c:v>40975.25</c:v>
                </c:pt>
                <c:pt idx="410">
                  <c:v>41212.5</c:v>
                </c:pt>
                <c:pt idx="411">
                  <c:v>41449.75</c:v>
                </c:pt>
                <c:pt idx="412">
                  <c:v>41687</c:v>
                </c:pt>
                <c:pt idx="413">
                  <c:v>41929.75</c:v>
                </c:pt>
                <c:pt idx="414">
                  <c:v>42172.5</c:v>
                </c:pt>
                <c:pt idx="415">
                  <c:v>42415.25</c:v>
                </c:pt>
                <c:pt idx="416">
                  <c:v>42658</c:v>
                </c:pt>
                <c:pt idx="417">
                  <c:v>42906.5</c:v>
                </c:pt>
                <c:pt idx="418">
                  <c:v>43155</c:v>
                </c:pt>
                <c:pt idx="419">
                  <c:v>43403.5</c:v>
                </c:pt>
                <c:pt idx="420">
                  <c:v>43652</c:v>
                </c:pt>
                <c:pt idx="421">
                  <c:v>43906</c:v>
                </c:pt>
                <c:pt idx="422">
                  <c:v>44160</c:v>
                </c:pt>
                <c:pt idx="423">
                  <c:v>44414</c:v>
                </c:pt>
                <c:pt idx="424">
                  <c:v>44668</c:v>
                </c:pt>
                <c:pt idx="425">
                  <c:v>44928.25</c:v>
                </c:pt>
                <c:pt idx="426">
                  <c:v>45188.5</c:v>
                </c:pt>
                <c:pt idx="427">
                  <c:v>45448.75</c:v>
                </c:pt>
                <c:pt idx="428">
                  <c:v>45709</c:v>
                </c:pt>
                <c:pt idx="429">
                  <c:v>45975.25</c:v>
                </c:pt>
                <c:pt idx="430">
                  <c:v>46241.5</c:v>
                </c:pt>
                <c:pt idx="431">
                  <c:v>46507.75</c:v>
                </c:pt>
                <c:pt idx="432">
                  <c:v>46774</c:v>
                </c:pt>
                <c:pt idx="433">
                  <c:v>47046.25</c:v>
                </c:pt>
                <c:pt idx="434">
                  <c:v>47318.5</c:v>
                </c:pt>
                <c:pt idx="435">
                  <c:v>47590.75</c:v>
                </c:pt>
                <c:pt idx="436">
                  <c:v>47863</c:v>
                </c:pt>
                <c:pt idx="437">
                  <c:v>48141.75</c:v>
                </c:pt>
                <c:pt idx="438">
                  <c:v>48420.5</c:v>
                </c:pt>
                <c:pt idx="439">
                  <c:v>48699.25</c:v>
                </c:pt>
                <c:pt idx="440">
                  <c:v>48978</c:v>
                </c:pt>
                <c:pt idx="441">
                  <c:v>49263.25</c:v>
                </c:pt>
                <c:pt idx="442">
                  <c:v>49548.5</c:v>
                </c:pt>
                <c:pt idx="443">
                  <c:v>49833.75</c:v>
                </c:pt>
                <c:pt idx="444">
                  <c:v>50119</c:v>
                </c:pt>
                <c:pt idx="445">
                  <c:v>50410.75</c:v>
                </c:pt>
                <c:pt idx="446">
                  <c:v>50702.5</c:v>
                </c:pt>
                <c:pt idx="447">
                  <c:v>50994.25</c:v>
                </c:pt>
                <c:pt idx="448">
                  <c:v>51286</c:v>
                </c:pt>
                <c:pt idx="449">
                  <c:v>51584.75</c:v>
                </c:pt>
                <c:pt idx="450">
                  <c:v>51883.5</c:v>
                </c:pt>
                <c:pt idx="451">
                  <c:v>52182.25</c:v>
                </c:pt>
                <c:pt idx="452">
                  <c:v>52481</c:v>
                </c:pt>
                <c:pt idx="453">
                  <c:v>52786.5</c:v>
                </c:pt>
                <c:pt idx="454">
                  <c:v>53092</c:v>
                </c:pt>
                <c:pt idx="455">
                  <c:v>53397.5</c:v>
                </c:pt>
                <c:pt idx="456">
                  <c:v>53703</c:v>
                </c:pt>
                <c:pt idx="457">
                  <c:v>54015.75</c:v>
                </c:pt>
                <c:pt idx="458">
                  <c:v>54328.5</c:v>
                </c:pt>
                <c:pt idx="459">
                  <c:v>54641.25</c:v>
                </c:pt>
                <c:pt idx="460">
                  <c:v>54954</c:v>
                </c:pt>
                <c:pt idx="461">
                  <c:v>55274</c:v>
                </c:pt>
                <c:pt idx="462">
                  <c:v>55594</c:v>
                </c:pt>
                <c:pt idx="463">
                  <c:v>55914</c:v>
                </c:pt>
                <c:pt idx="464">
                  <c:v>56234</c:v>
                </c:pt>
                <c:pt idx="465">
                  <c:v>56561.5</c:v>
                </c:pt>
                <c:pt idx="466">
                  <c:v>56889</c:v>
                </c:pt>
                <c:pt idx="467">
                  <c:v>57216.5</c:v>
                </c:pt>
                <c:pt idx="468">
                  <c:v>57544</c:v>
                </c:pt>
                <c:pt idx="469">
                  <c:v>57879</c:v>
                </c:pt>
                <c:pt idx="470">
                  <c:v>58214</c:v>
                </c:pt>
                <c:pt idx="471">
                  <c:v>58549</c:v>
                </c:pt>
                <c:pt idx="472">
                  <c:v>58884</c:v>
                </c:pt>
                <c:pt idx="473">
                  <c:v>59227</c:v>
                </c:pt>
                <c:pt idx="474">
                  <c:v>59570</c:v>
                </c:pt>
                <c:pt idx="475">
                  <c:v>59913</c:v>
                </c:pt>
                <c:pt idx="476">
                  <c:v>60256</c:v>
                </c:pt>
                <c:pt idx="477">
                  <c:v>60607</c:v>
                </c:pt>
                <c:pt idx="478">
                  <c:v>60958</c:v>
                </c:pt>
                <c:pt idx="479">
                  <c:v>61309</c:v>
                </c:pt>
                <c:pt idx="480">
                  <c:v>61660</c:v>
                </c:pt>
                <c:pt idx="481">
                  <c:v>62019</c:v>
                </c:pt>
                <c:pt idx="482">
                  <c:v>62378</c:v>
                </c:pt>
                <c:pt idx="483">
                  <c:v>62737</c:v>
                </c:pt>
                <c:pt idx="484">
                  <c:v>63096</c:v>
                </c:pt>
                <c:pt idx="485">
                  <c:v>63463.25</c:v>
                </c:pt>
                <c:pt idx="486">
                  <c:v>63830.5</c:v>
                </c:pt>
                <c:pt idx="487">
                  <c:v>64197.75</c:v>
                </c:pt>
                <c:pt idx="488">
                  <c:v>64565</c:v>
                </c:pt>
                <c:pt idx="489">
                  <c:v>64941</c:v>
                </c:pt>
                <c:pt idx="490">
                  <c:v>65317</c:v>
                </c:pt>
                <c:pt idx="491">
                  <c:v>65693</c:v>
                </c:pt>
                <c:pt idx="492">
                  <c:v>66069</c:v>
                </c:pt>
                <c:pt idx="493">
                  <c:v>66453.75</c:v>
                </c:pt>
                <c:pt idx="494">
                  <c:v>66838.5</c:v>
                </c:pt>
                <c:pt idx="495">
                  <c:v>67223.25</c:v>
                </c:pt>
                <c:pt idx="496">
                  <c:v>67608</c:v>
                </c:pt>
                <c:pt idx="497">
                  <c:v>68001.75</c:v>
                </c:pt>
                <c:pt idx="498">
                  <c:v>68395.5</c:v>
                </c:pt>
                <c:pt idx="499">
                  <c:v>68789.25</c:v>
                </c:pt>
                <c:pt idx="500">
                  <c:v>69183</c:v>
                </c:pt>
                <c:pt idx="501">
                  <c:v>69586</c:v>
                </c:pt>
                <c:pt idx="502">
                  <c:v>69989</c:v>
                </c:pt>
                <c:pt idx="503">
                  <c:v>70392</c:v>
                </c:pt>
                <c:pt idx="504">
                  <c:v>70795</c:v>
                </c:pt>
                <c:pt idx="505">
                  <c:v>71207.25</c:v>
                </c:pt>
                <c:pt idx="506">
                  <c:v>71619.5</c:v>
                </c:pt>
                <c:pt idx="507">
                  <c:v>72031.75</c:v>
                </c:pt>
                <c:pt idx="508">
                  <c:v>72444</c:v>
                </c:pt>
                <c:pt idx="509">
                  <c:v>72865.75</c:v>
                </c:pt>
                <c:pt idx="510">
                  <c:v>73287.5</c:v>
                </c:pt>
                <c:pt idx="511">
                  <c:v>73709.25</c:v>
                </c:pt>
                <c:pt idx="512">
                  <c:v>74131</c:v>
                </c:pt>
                <c:pt idx="513">
                  <c:v>74562.75</c:v>
                </c:pt>
                <c:pt idx="514">
                  <c:v>74994.5</c:v>
                </c:pt>
                <c:pt idx="515">
                  <c:v>75426.25</c:v>
                </c:pt>
                <c:pt idx="516">
                  <c:v>75858</c:v>
                </c:pt>
                <c:pt idx="517">
                  <c:v>76299.75</c:v>
                </c:pt>
                <c:pt idx="518">
                  <c:v>76741.5</c:v>
                </c:pt>
                <c:pt idx="519">
                  <c:v>77183.25</c:v>
                </c:pt>
                <c:pt idx="520">
                  <c:v>77625</c:v>
                </c:pt>
                <c:pt idx="521">
                  <c:v>78077</c:v>
                </c:pt>
                <c:pt idx="522">
                  <c:v>78529</c:v>
                </c:pt>
                <c:pt idx="523">
                  <c:v>78981</c:v>
                </c:pt>
                <c:pt idx="524">
                  <c:v>79433</c:v>
                </c:pt>
                <c:pt idx="525">
                  <c:v>79895.5</c:v>
                </c:pt>
                <c:pt idx="526">
                  <c:v>80358</c:v>
                </c:pt>
                <c:pt idx="527">
                  <c:v>80820.5</c:v>
                </c:pt>
                <c:pt idx="528">
                  <c:v>81283</c:v>
                </c:pt>
                <c:pt idx="529">
                  <c:v>81756.25</c:v>
                </c:pt>
                <c:pt idx="530">
                  <c:v>82229.5</c:v>
                </c:pt>
                <c:pt idx="531">
                  <c:v>82702.75</c:v>
                </c:pt>
                <c:pt idx="532">
                  <c:v>83176</c:v>
                </c:pt>
                <c:pt idx="533">
                  <c:v>83660.5</c:v>
                </c:pt>
                <c:pt idx="534">
                  <c:v>84145</c:v>
                </c:pt>
                <c:pt idx="535">
                  <c:v>84629.5</c:v>
                </c:pt>
                <c:pt idx="536">
                  <c:v>85114</c:v>
                </c:pt>
                <c:pt idx="537">
                  <c:v>85609.5</c:v>
                </c:pt>
                <c:pt idx="538">
                  <c:v>86105</c:v>
                </c:pt>
                <c:pt idx="539">
                  <c:v>86600.5</c:v>
                </c:pt>
                <c:pt idx="540">
                  <c:v>87096</c:v>
                </c:pt>
                <c:pt idx="541">
                  <c:v>87603.25</c:v>
                </c:pt>
                <c:pt idx="542">
                  <c:v>88110.5</c:v>
                </c:pt>
                <c:pt idx="543">
                  <c:v>88617.75</c:v>
                </c:pt>
                <c:pt idx="544">
                  <c:v>89125</c:v>
                </c:pt>
                <c:pt idx="545">
                  <c:v>89644</c:v>
                </c:pt>
                <c:pt idx="546">
                  <c:v>90163</c:v>
                </c:pt>
                <c:pt idx="547">
                  <c:v>90682</c:v>
                </c:pt>
                <c:pt idx="548">
                  <c:v>91201</c:v>
                </c:pt>
                <c:pt idx="549">
                  <c:v>91732</c:v>
                </c:pt>
                <c:pt idx="550">
                  <c:v>92263</c:v>
                </c:pt>
                <c:pt idx="551">
                  <c:v>92794</c:v>
                </c:pt>
                <c:pt idx="552">
                  <c:v>93325</c:v>
                </c:pt>
                <c:pt idx="553">
                  <c:v>93868.5</c:v>
                </c:pt>
                <c:pt idx="554">
                  <c:v>94412</c:v>
                </c:pt>
                <c:pt idx="555">
                  <c:v>94955.5</c:v>
                </c:pt>
                <c:pt idx="556">
                  <c:v>95499</c:v>
                </c:pt>
                <c:pt idx="557">
                  <c:v>96611.5</c:v>
                </c:pt>
                <c:pt idx="558">
                  <c:v>97724</c:v>
                </c:pt>
                <c:pt idx="559">
                  <c:v>98862</c:v>
                </c:pt>
                <c:pt idx="560">
                  <c:v>100000</c:v>
                </c:pt>
                <c:pt idx="561">
                  <c:v>101165</c:v>
                </c:pt>
                <c:pt idx="562">
                  <c:v>102330</c:v>
                </c:pt>
                <c:pt idx="563">
                  <c:v>103520</c:v>
                </c:pt>
                <c:pt idx="564">
                  <c:v>104710</c:v>
                </c:pt>
                <c:pt idx="565">
                  <c:v>105930</c:v>
                </c:pt>
                <c:pt idx="566">
                  <c:v>107150</c:v>
                </c:pt>
                <c:pt idx="567">
                  <c:v>108400</c:v>
                </c:pt>
                <c:pt idx="568">
                  <c:v>109650</c:v>
                </c:pt>
                <c:pt idx="569">
                  <c:v>110925</c:v>
                </c:pt>
                <c:pt idx="570">
                  <c:v>112200</c:v>
                </c:pt>
                <c:pt idx="571">
                  <c:v>113510</c:v>
                </c:pt>
                <c:pt idx="572">
                  <c:v>114820</c:v>
                </c:pt>
                <c:pt idx="573">
                  <c:v>116155</c:v>
                </c:pt>
                <c:pt idx="574">
                  <c:v>117490</c:v>
                </c:pt>
                <c:pt idx="575">
                  <c:v>118860</c:v>
                </c:pt>
                <c:pt idx="576">
                  <c:v>120230</c:v>
                </c:pt>
                <c:pt idx="577">
                  <c:v>126030</c:v>
                </c:pt>
                <c:pt idx="578">
                  <c:v>131830</c:v>
                </c:pt>
                <c:pt idx="579">
                  <c:v>144540</c:v>
                </c:pt>
                <c:pt idx="580">
                  <c:v>158490</c:v>
                </c:pt>
                <c:pt idx="581">
                  <c:v>173780</c:v>
                </c:pt>
                <c:pt idx="582">
                  <c:v>190550</c:v>
                </c:pt>
                <c:pt idx="583">
                  <c:v>208930</c:v>
                </c:pt>
                <c:pt idx="584">
                  <c:v>229090</c:v>
                </c:pt>
                <c:pt idx="585">
                  <c:v>251190</c:v>
                </c:pt>
                <c:pt idx="586">
                  <c:v>275420</c:v>
                </c:pt>
                <c:pt idx="587">
                  <c:v>302000</c:v>
                </c:pt>
                <c:pt idx="588">
                  <c:v>331130</c:v>
                </c:pt>
                <c:pt idx="589">
                  <c:v>363080</c:v>
                </c:pt>
                <c:pt idx="590">
                  <c:v>398110</c:v>
                </c:pt>
                <c:pt idx="591">
                  <c:v>436520</c:v>
                </c:pt>
                <c:pt idx="592">
                  <c:v>478630</c:v>
                </c:pt>
                <c:pt idx="593">
                  <c:v>524810</c:v>
                </c:pt>
                <c:pt idx="594">
                  <c:v>575440</c:v>
                </c:pt>
                <c:pt idx="595">
                  <c:v>630960</c:v>
                </c:pt>
                <c:pt idx="596">
                  <c:v>691830</c:v>
                </c:pt>
                <c:pt idx="597">
                  <c:v>758580</c:v>
                </c:pt>
                <c:pt idx="598">
                  <c:v>831760</c:v>
                </c:pt>
                <c:pt idx="599">
                  <c:v>912010</c:v>
                </c:pt>
                <c:pt idx="600">
                  <c:v>1000000</c:v>
                </c:pt>
              </c:numCache>
            </c:numRef>
          </c:xVal>
          <c:yVal>
            <c:numRef>
              <c:f>'Stability Calculations'!$AG$13:$AG$613</c:f>
              <c:numCache>
                <c:formatCode>0.00</c:formatCode>
                <c:ptCount val="601"/>
                <c:pt idx="0">
                  <c:v>54.339516906443912</c:v>
                </c:pt>
                <c:pt idx="1">
                  <c:v>54.339492947997826</c:v>
                </c:pt>
                <c:pt idx="2">
                  <c:v>54.339464146127867</c:v>
                </c:pt>
                <c:pt idx="3">
                  <c:v>54.339429520904901</c:v>
                </c:pt>
                <c:pt idx="4">
                  <c:v>54.339387923781821</c:v>
                </c:pt>
                <c:pt idx="5">
                  <c:v>54.339337864790195</c:v>
                </c:pt>
                <c:pt idx="6">
                  <c:v>54.339277703745509</c:v>
                </c:pt>
                <c:pt idx="7">
                  <c:v>54.339205353814187</c:v>
                </c:pt>
                <c:pt idx="8">
                  <c:v>54.33911840919491</c:v>
                </c:pt>
                <c:pt idx="9">
                  <c:v>54.339013846430852</c:v>
                </c:pt>
                <c:pt idx="10">
                  <c:v>54.338888165945356</c:v>
                </c:pt>
                <c:pt idx="11">
                  <c:v>54.338737084979805</c:v>
                </c:pt>
                <c:pt idx="12">
                  <c:v>54.338555367211498</c:v>
                </c:pt>
                <c:pt idx="13">
                  <c:v>54.338337011795346</c:v>
                </c:pt>
                <c:pt idx="14">
                  <c:v>54.338074427787873</c:v>
                </c:pt>
                <c:pt idx="15">
                  <c:v>54.337758774117603</c:v>
                </c:pt>
                <c:pt idx="16">
                  <c:v>54.337379300862011</c:v>
                </c:pt>
                <c:pt idx="17">
                  <c:v>54.336923181382332</c:v>
                </c:pt>
                <c:pt idx="18">
                  <c:v>54.336374782948305</c:v>
                </c:pt>
                <c:pt idx="19">
                  <c:v>54.335715624543724</c:v>
                </c:pt>
                <c:pt idx="20">
                  <c:v>54.334923198583425</c:v>
                </c:pt>
                <c:pt idx="21">
                  <c:v>54.333970786558027</c:v>
                </c:pt>
                <c:pt idx="22">
                  <c:v>54.332825885772458</c:v>
                </c:pt>
                <c:pt idx="23">
                  <c:v>54.331450000747594</c:v>
                </c:pt>
                <c:pt idx="24">
                  <c:v>54.329796202558683</c:v>
                </c:pt>
                <c:pt idx="25">
                  <c:v>54.32780878244148</c:v>
                </c:pt>
                <c:pt idx="26">
                  <c:v>54.325420038648353</c:v>
                </c:pt>
                <c:pt idx="27">
                  <c:v>54.322550108623453</c:v>
                </c:pt>
                <c:pt idx="28">
                  <c:v>54.319102400573342</c:v>
                </c:pt>
                <c:pt idx="29">
                  <c:v>54.314964065057154</c:v>
                </c:pt>
                <c:pt idx="30">
                  <c:v>54.309989061428709</c:v>
                </c:pt>
                <c:pt idx="31">
                  <c:v>54.304017542121002</c:v>
                </c:pt>
                <c:pt idx="32">
                  <c:v>54.296846915838742</c:v>
                </c:pt>
                <c:pt idx="33">
                  <c:v>54.28824528114356</c:v>
                </c:pt>
                <c:pt idx="34">
                  <c:v>54.277922929002855</c:v>
                </c:pt>
                <c:pt idx="35">
                  <c:v>54.265547905059435</c:v>
                </c:pt>
                <c:pt idx="36">
                  <c:v>54.250717894754182</c:v>
                </c:pt>
                <c:pt idx="37">
                  <c:v>54.232946743543749</c:v>
                </c:pt>
                <c:pt idx="38">
                  <c:v>54.211687370381199</c:v>
                </c:pt>
                <c:pt idx="39">
                  <c:v>54.186257501386955</c:v>
                </c:pt>
                <c:pt idx="40">
                  <c:v>54.155881890086704</c:v>
                </c:pt>
                <c:pt idx="41">
                  <c:v>54.119640999281195</c:v>
                </c:pt>
                <c:pt idx="42">
                  <c:v>54.076472491695483</c:v>
                </c:pt>
                <c:pt idx="43">
                  <c:v>54.025126292786425</c:v>
                </c:pt>
                <c:pt idx="44">
                  <c:v>53.96419404143343</c:v>
                </c:pt>
                <c:pt idx="45">
                  <c:v>53.892044581330765</c:v>
                </c:pt>
                <c:pt idx="46">
                  <c:v>53.806868406446846</c:v>
                </c:pt>
                <c:pt idx="47">
                  <c:v>53.70661670345995</c:v>
                </c:pt>
                <c:pt idx="48">
                  <c:v>53.58908924504415</c:v>
                </c:pt>
                <c:pt idx="49">
                  <c:v>53.451859483647993</c:v>
                </c:pt>
                <c:pt idx="50">
                  <c:v>53.292419415640857</c:v>
                </c:pt>
                <c:pt idx="51">
                  <c:v>53.108129667011561</c:v>
                </c:pt>
                <c:pt idx="52">
                  <c:v>52.896460722237393</c:v>
                </c:pt>
                <c:pt idx="53">
                  <c:v>52.65493734959832</c:v>
                </c:pt>
                <c:pt idx="54">
                  <c:v>52.381492973912856</c:v>
                </c:pt>
                <c:pt idx="55">
                  <c:v>52.073732833886154</c:v>
                </c:pt>
                <c:pt idx="56">
                  <c:v>51.730583772255073</c:v>
                </c:pt>
                <c:pt idx="57">
                  <c:v>51.350881377266163</c:v>
                </c:pt>
                <c:pt idx="58">
                  <c:v>50.934562836203696</c:v>
                </c:pt>
                <c:pt idx="59">
                  <c:v>50.481588985803782</c:v>
                </c:pt>
                <c:pt idx="60">
                  <c:v>49.993085300707193</c:v>
                </c:pt>
                <c:pt idx="61">
                  <c:v>49.470412774292988</c:v>
                </c:pt>
                <c:pt idx="62">
                  <c:v>48.915146905067587</c:v>
                </c:pt>
                <c:pt idx="63">
                  <c:v>48.330042241436416</c:v>
                </c:pt>
                <c:pt idx="64">
                  <c:v>47.717093920362686</c:v>
                </c:pt>
                <c:pt idx="65">
                  <c:v>47.079103353093295</c:v>
                </c:pt>
                <c:pt idx="66">
                  <c:v>46.418618820063628</c:v>
                </c:pt>
                <c:pt idx="67">
                  <c:v>45.738274189216845</c:v>
                </c:pt>
                <c:pt idx="68">
                  <c:v>45.040283597349351</c:v>
                </c:pt>
                <c:pt idx="69">
                  <c:v>44.327078252397087</c:v>
                </c:pt>
                <c:pt idx="70">
                  <c:v>43.60056817919677</c:v>
                </c:pt>
                <c:pt idx="71">
                  <c:v>42.862748368382306</c:v>
                </c:pt>
                <c:pt idx="72">
                  <c:v>42.115102388849401</c:v>
                </c:pt>
                <c:pt idx="73">
                  <c:v>41.359258445629983</c:v>
                </c:pt>
                <c:pt idx="74">
                  <c:v>40.596282070510426</c:v>
                </c:pt>
                <c:pt idx="75">
                  <c:v>39.827378668574632</c:v>
                </c:pt>
                <c:pt idx="76">
                  <c:v>39.053304004780557</c:v>
                </c:pt>
                <c:pt idx="77">
                  <c:v>38.275105541494682</c:v>
                </c:pt>
                <c:pt idx="78">
                  <c:v>37.493438086764741</c:v>
                </c:pt>
                <c:pt idx="79">
                  <c:v>36.70937261008951</c:v>
                </c:pt>
                <c:pt idx="80">
                  <c:v>35.922076905184738</c:v>
                </c:pt>
                <c:pt idx="81">
                  <c:v>35.13306984559032</c:v>
                </c:pt>
                <c:pt idx="82">
                  <c:v>34.342175441207338</c:v>
                </c:pt>
                <c:pt idx="83">
                  <c:v>33.550264321210761</c:v>
                </c:pt>
                <c:pt idx="84">
                  <c:v>32.756989957699908</c:v>
                </c:pt>
                <c:pt idx="85">
                  <c:v>31.963027736782461</c:v>
                </c:pt>
                <c:pt idx="86">
                  <c:v>31.168457827267773</c:v>
                </c:pt>
                <c:pt idx="87">
                  <c:v>30.373031939338087</c:v>
                </c:pt>
                <c:pt idx="88">
                  <c:v>29.577671623308039</c:v>
                </c:pt>
                <c:pt idx="89">
                  <c:v>28.781889561680728</c:v>
                </c:pt>
                <c:pt idx="90">
                  <c:v>27.986134079501149</c:v>
                </c:pt>
                <c:pt idx="91">
                  <c:v>27.190482773653475</c:v>
                </c:pt>
                <c:pt idx="92">
                  <c:v>26.395194492190281</c:v>
                </c:pt>
                <c:pt idx="93">
                  <c:v>25.600192790283174</c:v>
                </c:pt>
                <c:pt idx="94">
                  <c:v>25.40160809063693</c:v>
                </c:pt>
                <c:pt idx="95">
                  <c:v>25.301715662565258</c:v>
                </c:pt>
                <c:pt idx="96">
                  <c:v>25.202976881573864</c:v>
                </c:pt>
                <c:pt idx="97">
                  <c:v>25.103116280823986</c:v>
                </c:pt>
                <c:pt idx="98">
                  <c:v>25.004409568948653</c:v>
                </c:pt>
                <c:pt idx="99">
                  <c:v>24.9045571949544</c:v>
                </c:pt>
                <c:pt idx="100">
                  <c:v>24.805859533575273</c:v>
                </c:pt>
                <c:pt idx="101">
                  <c:v>24.706069311691593</c:v>
                </c:pt>
                <c:pt idx="102">
                  <c:v>24.607433427505807</c:v>
                </c:pt>
                <c:pt idx="103">
                  <c:v>24.507611060831632</c:v>
                </c:pt>
                <c:pt idx="104">
                  <c:v>24.408944870715253</c:v>
                </c:pt>
                <c:pt idx="105">
                  <c:v>24.309147326462707</c:v>
                </c:pt>
                <c:pt idx="106">
                  <c:v>24.210506533428244</c:v>
                </c:pt>
                <c:pt idx="107">
                  <c:v>24.110787089894753</c:v>
                </c:pt>
                <c:pt idx="108">
                  <c:v>24.012223791967536</c:v>
                </c:pt>
                <c:pt idx="109">
                  <c:v>23.912564761180661</c:v>
                </c:pt>
                <c:pt idx="110">
                  <c:v>23.814061727535258</c:v>
                </c:pt>
                <c:pt idx="111">
                  <c:v>23.714382399010209</c:v>
                </c:pt>
                <c:pt idx="112">
                  <c:v>23.615860835078095</c:v>
                </c:pt>
                <c:pt idx="113">
                  <c:v>23.516217991375285</c:v>
                </c:pt>
                <c:pt idx="114">
                  <c:v>23.417733425955248</c:v>
                </c:pt>
                <c:pt idx="115">
                  <c:v>23.31811730462254</c:v>
                </c:pt>
                <c:pt idx="116">
                  <c:v>23.219660259953571</c:v>
                </c:pt>
                <c:pt idx="117">
                  <c:v>23.120063417546707</c:v>
                </c:pt>
                <c:pt idx="118">
                  <c:v>23.021626684963476</c:v>
                </c:pt>
                <c:pt idx="119">
                  <c:v>22.922103831684421</c:v>
                </c:pt>
                <c:pt idx="120">
                  <c:v>22.823740918742072</c:v>
                </c:pt>
                <c:pt idx="121">
                  <c:v>22.724284590489461</c:v>
                </c:pt>
                <c:pt idx="122">
                  <c:v>22.625988272350916</c:v>
                </c:pt>
                <c:pt idx="123">
                  <c:v>22.52653579424598</c:v>
                </c:pt>
                <c:pt idx="124">
                  <c:v>22.428244921359074</c:v>
                </c:pt>
                <c:pt idx="125">
                  <c:v>22.328852665284145</c:v>
                </c:pt>
                <c:pt idx="126">
                  <c:v>22.230622375899159</c:v>
                </c:pt>
                <c:pt idx="127">
                  <c:v>22.131288469417143</c:v>
                </c:pt>
                <c:pt idx="128">
                  <c:v>22.033117011882844</c:v>
                </c:pt>
                <c:pt idx="129">
                  <c:v>21.933841207036085</c:v>
                </c:pt>
                <c:pt idx="130">
                  <c:v>21.835728420270179</c:v>
                </c:pt>
                <c:pt idx="131">
                  <c:v>21.736511970006781</c:v>
                </c:pt>
                <c:pt idx="132">
                  <c:v>21.687341755033689</c:v>
                </c:pt>
                <c:pt idx="133">
                  <c:v>21.63845916280529</c:v>
                </c:pt>
                <c:pt idx="134">
                  <c:v>21.588709143827487</c:v>
                </c:pt>
                <c:pt idx="135">
                  <c:v>21.539253817666264</c:v>
                </c:pt>
                <c:pt idx="136">
                  <c:v>21.490089848378297</c:v>
                </c:pt>
                <c:pt idx="137">
                  <c:v>21.441213957007204</c:v>
                </c:pt>
                <c:pt idx="138">
                  <c:v>21.391523000373908</c:v>
                </c:pt>
                <c:pt idx="139">
                  <c:v>21.342126591081136</c:v>
                </c:pt>
                <c:pt idx="140">
                  <c:v>21.293021398379423</c:v>
                </c:pt>
                <c:pt idx="141">
                  <c:v>21.244204148387709</c:v>
                </c:pt>
                <c:pt idx="142">
                  <c:v>21.194524180540437</c:v>
                </c:pt>
                <c:pt idx="143">
                  <c:v>21.145139207257436</c:v>
                </c:pt>
                <c:pt idx="144">
                  <c:v>21.096045893080536</c:v>
                </c:pt>
                <c:pt idx="145">
                  <c:v>21.047240959525844</c:v>
                </c:pt>
                <c:pt idx="146">
                  <c:v>20.99760061966732</c:v>
                </c:pt>
                <c:pt idx="147">
                  <c:v>20.948255408694671</c:v>
                </c:pt>
                <c:pt idx="148">
                  <c:v>20.899201991864452</c:v>
                </c:pt>
                <c:pt idx="149">
                  <c:v>20.850437091389786</c:v>
                </c:pt>
                <c:pt idx="150">
                  <c:v>20.800839918485856</c:v>
                </c:pt>
                <c:pt idx="151">
                  <c:v>20.75153799346015</c:v>
                </c:pt>
                <c:pt idx="152">
                  <c:v>20.702527982675477</c:v>
                </c:pt>
                <c:pt idx="153">
                  <c:v>20.653806609424237</c:v>
                </c:pt>
                <c:pt idx="154">
                  <c:v>20.604233859165152</c:v>
                </c:pt>
                <c:pt idx="155">
                  <c:v>20.554956726499146</c:v>
                </c:pt>
                <c:pt idx="156">
                  <c:v>20.505971874799734</c:v>
                </c:pt>
                <c:pt idx="157">
                  <c:v>20.457276024435625</c:v>
                </c:pt>
                <c:pt idx="158">
                  <c:v>20.407733701495143</c:v>
                </c:pt>
                <c:pt idx="159">
                  <c:v>20.358487324456949</c:v>
                </c:pt>
                <c:pt idx="160">
                  <c:v>20.309533554550363</c:v>
                </c:pt>
                <c:pt idx="161">
                  <c:v>20.260869110046048</c:v>
                </c:pt>
                <c:pt idx="162">
                  <c:v>20.21138519693833</c:v>
                </c:pt>
                <c:pt idx="163">
                  <c:v>20.162197255396912</c:v>
                </c:pt>
                <c:pt idx="164">
                  <c:v>20.113301949760022</c:v>
                </c:pt>
                <c:pt idx="165">
                  <c:v>20.064696001332962</c:v>
                </c:pt>
                <c:pt idx="166">
                  <c:v>20.015233208022817</c:v>
                </c:pt>
                <c:pt idx="167">
                  <c:v>19.966066888901125</c:v>
                </c:pt>
                <c:pt idx="168">
                  <c:v>19.91719370352547</c:v>
                </c:pt>
                <c:pt idx="169">
                  <c:v>19.868610368525161</c:v>
                </c:pt>
                <c:pt idx="170">
                  <c:v>19.819280363990195</c:v>
                </c:pt>
                <c:pt idx="171">
                  <c:v>19.770246034686789</c:v>
                </c:pt>
                <c:pt idx="172">
                  <c:v>19.721504057456865</c:v>
                </c:pt>
                <c:pt idx="173">
                  <c:v>19.673051165817164</c:v>
                </c:pt>
                <c:pt idx="174">
                  <c:v>19.623673520776325</c:v>
                </c:pt>
                <c:pt idx="175">
                  <c:v>19.574592944946975</c:v>
                </c:pt>
                <c:pt idx="176">
                  <c:v>19.525806095715971</c:v>
                </c:pt>
                <c:pt idx="177">
                  <c:v>19.477309687581258</c:v>
                </c:pt>
                <c:pt idx="178">
                  <c:v>19.427918609824054</c:v>
                </c:pt>
                <c:pt idx="179">
                  <c:v>19.378825628074875</c:v>
                </c:pt>
                <c:pt idx="180">
                  <c:v>19.330027386616866</c:v>
                </c:pt>
                <c:pt idx="181">
                  <c:v>19.281520587136345</c:v>
                </c:pt>
                <c:pt idx="182">
                  <c:v>19.232340533080247</c:v>
                </c:pt>
                <c:pt idx="183">
                  <c:v>19.183456940344005</c:v>
                </c:pt>
                <c:pt idx="184">
                  <c:v>19.134866485015873</c:v>
                </c:pt>
                <c:pt idx="185">
                  <c:v>19.086565899858389</c:v>
                </c:pt>
                <c:pt idx="186">
                  <c:v>19.037237955975272</c:v>
                </c:pt>
                <c:pt idx="187">
                  <c:v>18.988209200634511</c:v>
                </c:pt>
                <c:pt idx="188">
                  <c:v>18.939476268623913</c:v>
                </c:pt>
                <c:pt idx="189">
                  <c:v>18.891035852335957</c:v>
                </c:pt>
                <c:pt idx="190">
                  <c:v>18.841968577172111</c:v>
                </c:pt>
                <c:pt idx="191">
                  <c:v>18.793198330323566</c:v>
                </c:pt>
                <c:pt idx="192">
                  <c:v>18.744721787522312</c:v>
                </c:pt>
                <c:pt idx="193">
                  <c:v>18.696535681166591</c:v>
                </c:pt>
                <c:pt idx="194">
                  <c:v>18.647384858112829</c:v>
                </c:pt>
                <c:pt idx="195">
                  <c:v>18.598533105116857</c:v>
                </c:pt>
                <c:pt idx="196">
                  <c:v>18.549977068551648</c:v>
                </c:pt>
                <c:pt idx="197">
                  <c:v>18.501713452113304</c:v>
                </c:pt>
                <c:pt idx="198">
                  <c:v>18.452691691826285</c:v>
                </c:pt>
                <c:pt idx="199">
                  <c:v>18.403968516287161</c:v>
                </c:pt>
                <c:pt idx="200">
                  <c:v>18.355540585055447</c:v>
                </c:pt>
                <c:pt idx="201">
                  <c:v>18.307404614703906</c:v>
                </c:pt>
                <c:pt idx="202">
                  <c:v>18.258535215950126</c:v>
                </c:pt>
                <c:pt idx="203">
                  <c:v>18.20996367640366</c:v>
                </c:pt>
                <c:pt idx="204">
                  <c:v>18.161686672960379</c:v>
                </c:pt>
                <c:pt idx="205">
                  <c:v>18.113700939125014</c:v>
                </c:pt>
                <c:pt idx="206">
                  <c:v>18.06483942275905</c:v>
                </c:pt>
                <c:pt idx="207">
                  <c:v>18.016276844467207</c:v>
                </c:pt>
                <c:pt idx="208">
                  <c:v>17.968009868533642</c:v>
                </c:pt>
                <c:pt idx="209">
                  <c:v>17.920035216124376</c:v>
                </c:pt>
                <c:pt idx="210">
                  <c:v>17.871051693767498</c:v>
                </c:pt>
                <c:pt idx="211">
                  <c:v>17.822369839691326</c:v>
                </c:pt>
                <c:pt idx="212">
                  <c:v>17.773986278189369</c:v>
                </c:pt>
                <c:pt idx="213">
                  <c:v>17.725897691331451</c:v>
                </c:pt>
                <c:pt idx="214">
                  <c:v>17.677150999406418</c:v>
                </c:pt>
                <c:pt idx="215">
                  <c:v>17.628704365222106</c:v>
                </c:pt>
                <c:pt idx="216">
                  <c:v>17.580554445826678</c:v>
                </c:pt>
                <c:pt idx="217">
                  <c:v>17.532697955285091</c:v>
                </c:pt>
                <c:pt idx="218">
                  <c:v>17.484050448773441</c:v>
                </c:pt>
                <c:pt idx="219">
                  <c:v>17.435703128491721</c:v>
                </c:pt>
                <c:pt idx="220">
                  <c:v>17.387652655360519</c:v>
                </c:pt>
                <c:pt idx="221">
                  <c:v>17.339895747212562</c:v>
                </c:pt>
                <c:pt idx="222">
                  <c:v>17.291374289501377</c:v>
                </c:pt>
                <c:pt idx="223">
                  <c:v>17.243152871297671</c:v>
                </c:pt>
                <c:pt idx="224">
                  <c:v>17.195228162160163</c:v>
                </c:pt>
                <c:pt idx="225">
                  <c:v>17.147596888345895</c:v>
                </c:pt>
                <c:pt idx="226">
                  <c:v>17.099079671254305</c:v>
                </c:pt>
                <c:pt idx="227">
                  <c:v>17.050863911326843</c:v>
                </c:pt>
                <c:pt idx="228">
                  <c:v>17.002946260991479</c:v>
                </c:pt>
                <c:pt idx="229">
                  <c:v>16.9553234297424</c:v>
                </c:pt>
                <c:pt idx="230">
                  <c:v>16.858668841506706</c:v>
                </c:pt>
                <c:pt idx="231">
                  <c:v>16.810791969091973</c:v>
                </c:pt>
                <c:pt idx="232">
                  <c:v>16.763210957011957</c:v>
                </c:pt>
                <c:pt idx="233">
                  <c:v>16.71480351612275</c:v>
                </c:pt>
                <c:pt idx="234">
                  <c:v>16.666699325580737</c:v>
                </c:pt>
                <c:pt idx="235">
                  <c:v>16.618895021583121</c:v>
                </c:pt>
                <c:pt idx="236">
                  <c:v>16.571387297715361</c:v>
                </c:pt>
                <c:pt idx="237">
                  <c:v>16.523217944255777</c:v>
                </c:pt>
                <c:pt idx="238">
                  <c:v>16.475350551367107</c:v>
                </c:pt>
                <c:pt idx="239">
                  <c:v>16.427781783671531</c:v>
                </c:pt>
                <c:pt idx="240">
                  <c:v>16.380508362509854</c:v>
                </c:pt>
                <c:pt idx="241">
                  <c:v>16.332329640137932</c:v>
                </c:pt>
                <c:pt idx="242">
                  <c:v>16.284454752754279</c:v>
                </c:pt>
                <c:pt idx="243">
                  <c:v>16.23688034126404</c:v>
                </c:pt>
                <c:pt idx="244">
                  <c:v>16.189603103799573</c:v>
                </c:pt>
                <c:pt idx="245">
                  <c:v>16.141581917579707</c:v>
                </c:pt>
                <c:pt idx="246">
                  <c:v>16.093864423745416</c:v>
                </c:pt>
                <c:pt idx="247">
                  <c:v>16.046447273057364</c:v>
                </c:pt>
                <c:pt idx="248">
                  <c:v>15.999327173249361</c:v>
                </c:pt>
                <c:pt idx="249">
                  <c:v>15.951362426769165</c:v>
                </c:pt>
                <c:pt idx="250">
                  <c:v>15.903702581977761</c:v>
                </c:pt>
                <c:pt idx="251">
                  <c:v>15.856344277398923</c:v>
                </c:pt>
                <c:pt idx="252">
                  <c:v>15.809284208773215</c:v>
                </c:pt>
                <c:pt idx="253">
                  <c:v>15.761532554873682</c:v>
                </c:pt>
                <c:pt idx="254">
                  <c:v>15.714085106982798</c:v>
                </c:pt>
                <c:pt idx="255">
                  <c:v>15.666938522984948</c:v>
                </c:pt>
                <c:pt idx="256">
                  <c:v>15.620089517507434</c:v>
                </c:pt>
                <c:pt idx="257">
                  <c:v>15.572332664407707</c:v>
                </c:pt>
                <c:pt idx="258">
                  <c:v>15.524882180704079</c:v>
                </c:pt>
                <c:pt idx="259">
                  <c:v>15.477734696826413</c:v>
                </c:pt>
                <c:pt idx="260">
                  <c:v>15.430886900528925</c:v>
                </c:pt>
                <c:pt idx="261">
                  <c:v>15.383280969925741</c:v>
                </c:pt>
                <c:pt idx="262">
                  <c:v>15.335981674065248</c:v>
                </c:pt>
                <c:pt idx="263">
                  <c:v>15.288985647375918</c:v>
                </c:pt>
                <c:pt idx="264">
                  <c:v>15.242289581477472</c:v>
                </c:pt>
                <c:pt idx="265">
                  <c:v>15.194862472481983</c:v>
                </c:pt>
                <c:pt idx="266">
                  <c:v>15.147741990371737</c:v>
                </c:pt>
                <c:pt idx="267">
                  <c:v>15.100924778237657</c:v>
                </c:pt>
                <c:pt idx="268">
                  <c:v>15.054407536120449</c:v>
                </c:pt>
                <c:pt idx="269">
                  <c:v>15.007074225598105</c:v>
                </c:pt>
                <c:pt idx="270">
                  <c:v>14.960048722729164</c:v>
                </c:pt>
                <c:pt idx="271">
                  <c:v>14.91332765999687</c:v>
                </c:pt>
                <c:pt idx="272">
                  <c:v>14.866907727024024</c:v>
                </c:pt>
                <c:pt idx="273">
                  <c:v>14.819701454258819</c:v>
                </c:pt>
                <c:pt idx="274">
                  <c:v>14.772803842279824</c:v>
                </c:pt>
                <c:pt idx="275">
                  <c:v>14.72621151854881</c:v>
                </c:pt>
                <c:pt idx="276">
                  <c:v>14.679921167726651</c:v>
                </c:pt>
                <c:pt idx="277">
                  <c:v>14.632978925289159</c:v>
                </c:pt>
                <c:pt idx="278">
                  <c:v>14.586344506259678</c:v>
                </c:pt>
                <c:pt idx="279">
                  <c:v>14.540014560833981</c:v>
                </c:pt>
                <c:pt idx="280">
                  <c:v>14.493985795837755</c:v>
                </c:pt>
                <c:pt idx="281">
                  <c:v>14.447020329875786</c:v>
                </c:pt>
                <c:pt idx="282">
                  <c:v>14.400365718005908</c:v>
                </c:pt>
                <c:pt idx="283">
                  <c:v>14.354018570296333</c:v>
                </c:pt>
                <c:pt idx="284">
                  <c:v>14.307975554286333</c:v>
                </c:pt>
                <c:pt idx="285">
                  <c:v>14.261331616072807</c:v>
                </c:pt>
                <c:pt idx="286">
                  <c:v>14.214997137326282</c:v>
                </c:pt>
                <c:pt idx="287">
                  <c:v>14.168968760242542</c:v>
                </c:pt>
                <c:pt idx="288">
                  <c:v>14.123243183698897</c:v>
                </c:pt>
                <c:pt idx="289">
                  <c:v>14.076646296087125</c:v>
                </c:pt>
                <c:pt idx="290">
                  <c:v>14.030361213185557</c:v>
                </c:pt>
                <c:pt idx="291">
                  <c:v>13.984384548661929</c:v>
                </c:pt>
                <c:pt idx="292">
                  <c:v>13.938712973434605</c:v>
                </c:pt>
                <c:pt idx="293">
                  <c:v>13.892298295751617</c:v>
                </c:pt>
                <c:pt idx="294">
                  <c:v>13.846196099012232</c:v>
                </c:pt>
                <c:pt idx="295">
                  <c:v>13.800402995645282</c:v>
                </c:pt>
                <c:pt idx="296">
                  <c:v>13.754915655280842</c:v>
                </c:pt>
                <c:pt idx="297">
                  <c:v>13.708713669232109</c:v>
                </c:pt>
                <c:pt idx="298">
                  <c:v>13.66282454870549</c:v>
                </c:pt>
                <c:pt idx="299">
                  <c:v>13.617244909738469</c:v>
                </c:pt>
                <c:pt idx="300">
                  <c:v>13.57197142540616</c:v>
                </c:pt>
                <c:pt idx="301">
                  <c:v>13.526010892411829</c:v>
                </c:pt>
                <c:pt idx="302">
                  <c:v>13.480363337279824</c:v>
                </c:pt>
                <c:pt idx="303">
                  <c:v>13.435025384134127</c:v>
                </c:pt>
                <c:pt idx="304">
                  <c:v>13.38999371386717</c:v>
                </c:pt>
                <c:pt idx="305">
                  <c:v>13.344126620736422</c:v>
                </c:pt>
                <c:pt idx="306">
                  <c:v>13.298574762244794</c:v>
                </c:pt>
                <c:pt idx="307">
                  <c:v>13.253334736088025</c:v>
                </c:pt>
                <c:pt idx="308">
                  <c:v>13.208403197226895</c:v>
                </c:pt>
                <c:pt idx="309">
                  <c:v>13.162839714686498</c:v>
                </c:pt>
                <c:pt idx="310">
                  <c:v>13.117590986264878</c:v>
                </c:pt>
                <c:pt idx="311">
                  <c:v>13.072653627463488</c:v>
                </c:pt>
                <c:pt idx="312">
                  <c:v>13.028024310550052</c:v>
                </c:pt>
                <c:pt idx="313">
                  <c:v>12.982622456868029</c:v>
                </c:pt>
                <c:pt idx="314">
                  <c:v>12.937536962580591</c:v>
                </c:pt>
                <c:pt idx="315">
                  <c:v>12.892764427442643</c:v>
                </c:pt>
                <c:pt idx="316">
                  <c:v>12.848301508219006</c:v>
                </c:pt>
                <c:pt idx="317">
                  <c:v>12.80309727689286</c:v>
                </c:pt>
                <c:pt idx="318">
                  <c:v>12.758210666054255</c:v>
                </c:pt>
                <c:pt idx="319">
                  <c:v>12.713638265302221</c:v>
                </c:pt>
                <c:pt idx="320">
                  <c:v>12.669376721357041</c:v>
                </c:pt>
                <c:pt idx="321">
                  <c:v>12.624404184387259</c:v>
                </c:pt>
                <c:pt idx="322">
                  <c:v>12.579750204636706</c:v>
                </c:pt>
                <c:pt idx="323">
                  <c:v>12.535411366769438</c:v>
                </c:pt>
                <c:pt idx="324">
                  <c:v>12.491384312558276</c:v>
                </c:pt>
                <c:pt idx="325">
                  <c:v>12.446675695241758</c:v>
                </c:pt>
                <c:pt idx="326">
                  <c:v>12.402286266865962</c:v>
                </c:pt>
                <c:pt idx="327">
                  <c:v>12.358212612010478</c:v>
                </c:pt>
                <c:pt idx="328">
                  <c:v>12.314451372235753</c:v>
                </c:pt>
                <c:pt idx="329">
                  <c:v>12.2699631251564</c:v>
                </c:pt>
                <c:pt idx="330">
                  <c:v>12.225795476316057</c:v>
                </c:pt>
                <c:pt idx="331">
                  <c:v>12.181944997696419</c:v>
                </c:pt>
                <c:pt idx="332">
                  <c:v>12.138408318401822</c:v>
                </c:pt>
                <c:pt idx="333">
                  <c:v>12.094247410108025</c:v>
                </c:pt>
                <c:pt idx="334">
                  <c:v>12.05040713248443</c:v>
                </c:pt>
                <c:pt idx="335">
                  <c:v>12.00688406681266</c:v>
                </c:pt>
                <c:pt idx="336">
                  <c:v>11.963674851145951</c:v>
                </c:pt>
                <c:pt idx="337">
                  <c:v>11.919728612271889</c:v>
                </c:pt>
                <c:pt idx="338">
                  <c:v>11.87610482988087</c:v>
                </c:pt>
                <c:pt idx="339">
                  <c:v>11.832800065781321</c:v>
                </c:pt>
                <c:pt idx="340">
                  <c:v>11.789810938829852</c:v>
                </c:pt>
                <c:pt idx="341">
                  <c:v>11.746116945221285</c:v>
                </c:pt>
                <c:pt idx="342">
                  <c:v>11.702746874872108</c:v>
                </c:pt>
                <c:pt idx="343">
                  <c:v>11.659697275687744</c:v>
                </c:pt>
                <c:pt idx="344">
                  <c:v>11.616964752765851</c:v>
                </c:pt>
                <c:pt idx="345">
                  <c:v>11.573624417499605</c:v>
                </c:pt>
                <c:pt idx="346">
                  <c:v>11.530608148799523</c:v>
                </c:pt>
                <c:pt idx="347">
                  <c:v>11.487912501522288</c:v>
                </c:pt>
                <c:pt idx="348">
                  <c:v>11.445534087393252</c:v>
                </c:pt>
                <c:pt idx="349">
                  <c:v>11.402447503645806</c:v>
                </c:pt>
                <c:pt idx="350">
                  <c:v>11.359686796093659</c:v>
                </c:pt>
                <c:pt idx="351">
                  <c:v>11.317248499747908</c:v>
                </c:pt>
                <c:pt idx="352">
                  <c:v>11.275129206744733</c:v>
                </c:pt>
                <c:pt idx="353">
                  <c:v>11.232334060252796</c:v>
                </c:pt>
                <c:pt idx="354">
                  <c:v>11.189866237293007</c:v>
                </c:pt>
                <c:pt idx="355">
                  <c:v>11.147722258488951</c:v>
                </c:pt>
                <c:pt idx="356">
                  <c:v>11.105898701715875</c:v>
                </c:pt>
                <c:pt idx="357">
                  <c:v>11.063490769232402</c:v>
                </c:pt>
                <c:pt idx="358">
                  <c:v>11.021410336437803</c:v>
                </c:pt>
                <c:pt idx="359">
                  <c:v>10.979653929390366</c:v>
                </c:pt>
                <c:pt idx="360">
                  <c:v>10.938218131085007</c:v>
                </c:pt>
                <c:pt idx="361">
                  <c:v>10.896109149078699</c:v>
                </c:pt>
                <c:pt idx="362">
                  <c:v>10.854329391591451</c:v>
                </c:pt>
                <c:pt idx="363">
                  <c:v>10.812875365091312</c:v>
                </c:pt>
                <c:pt idx="364">
                  <c:v>10.771743633204755</c:v>
                </c:pt>
                <c:pt idx="365">
                  <c:v>10.730027460589032</c:v>
                </c:pt>
                <c:pt idx="366">
                  <c:v>10.68864098179205</c:v>
                </c:pt>
                <c:pt idx="367">
                  <c:v>10.647580703133414</c:v>
                </c:pt>
                <c:pt idx="368">
                  <c:v>10.606843187881694</c:v>
                </c:pt>
                <c:pt idx="369">
                  <c:v>10.565440540796093</c:v>
                </c:pt>
                <c:pt idx="370">
                  <c:v>10.524369513234998</c:v>
                </c:pt>
                <c:pt idx="371">
                  <c:v>10.483626587726951</c:v>
                </c:pt>
                <c:pt idx="372">
                  <c:v>10.443208304043768</c:v>
                </c:pt>
                <c:pt idx="373">
                  <c:v>10.402210889996457</c:v>
                </c:pt>
                <c:pt idx="374">
                  <c:v>10.361545781884537</c:v>
                </c:pt>
                <c:pt idx="375">
                  <c:v>10.321209457505239</c:v>
                </c:pt>
                <c:pt idx="376">
                  <c:v>10.281198451772342</c:v>
                </c:pt>
                <c:pt idx="377">
                  <c:v>10.240535319824309</c:v>
                </c:pt>
                <c:pt idx="378">
                  <c:v>10.200206550694633</c:v>
                </c:pt>
                <c:pt idx="379">
                  <c:v>10.160208595041482</c:v>
                </c:pt>
                <c:pt idx="380">
                  <c:v>10.120537960987983</c:v>
                </c:pt>
                <c:pt idx="381">
                  <c:v>10.080348045355759</c:v>
                </c:pt>
                <c:pt idx="382">
                  <c:v>10.040492502043852</c:v>
                </c:pt>
                <c:pt idx="383">
                  <c:v>10.000967786337174</c:v>
                </c:pt>
                <c:pt idx="384">
                  <c:v>9.9617704106434495</c:v>
                </c:pt>
                <c:pt idx="385">
                  <c:v>9.921937620486176</c:v>
                </c:pt>
                <c:pt idx="386">
                  <c:v>9.8824413589061582</c:v>
                </c:pt>
                <c:pt idx="387">
                  <c:v>9.8432780509484772</c:v>
                </c:pt>
                <c:pt idx="388">
                  <c:v>9.8044441791800878</c:v>
                </c:pt>
                <c:pt idx="389">
                  <c:v>9.7650553821129069</c:v>
                </c:pt>
                <c:pt idx="390">
                  <c:v>9.7260040648489117</c:v>
                </c:pt>
                <c:pt idx="391">
                  <c:v>9.6872866404715925</c:v>
                </c:pt>
                <c:pt idx="392">
                  <c:v>9.6488995795875905</c:v>
                </c:pt>
                <c:pt idx="393">
                  <c:v>9.609988356430863</c:v>
                </c:pt>
                <c:pt idx="394">
                  <c:v>9.5714152186896424</c:v>
                </c:pt>
                <c:pt idx="395">
                  <c:v>9.5331765720671697</c:v>
                </c:pt>
                <c:pt idx="396">
                  <c:v>9.4952688796890676</c:v>
                </c:pt>
                <c:pt idx="397">
                  <c:v>9.4567803514547073</c:v>
                </c:pt>
                <c:pt idx="398">
                  <c:v>9.4186317096770367</c:v>
                </c:pt>
                <c:pt idx="399">
                  <c:v>9.3808193326706899</c:v>
                </c:pt>
                <c:pt idx="400">
                  <c:v>9.3433396564930575</c:v>
                </c:pt>
                <c:pt idx="401">
                  <c:v>9.3053543347139271</c:v>
                </c:pt>
                <c:pt idx="402">
                  <c:v>9.2677095455122469</c:v>
                </c:pt>
                <c:pt idx="403">
                  <c:v>9.2304016571668459</c:v>
                </c:pt>
                <c:pt idx="404">
                  <c:v>9.1934270956485662</c:v>
                </c:pt>
                <c:pt idx="405">
                  <c:v>9.1559368447572851</c:v>
                </c:pt>
                <c:pt idx="406">
                  <c:v>9.1187881614942743</c:v>
                </c:pt>
                <c:pt idx="407">
                  <c:v>9.0819773968010793</c:v>
                </c:pt>
                <c:pt idx="408">
                  <c:v>9.0455009594137561</c:v>
                </c:pt>
                <c:pt idx="409">
                  <c:v>9.0085014789372835</c:v>
                </c:pt>
                <c:pt idx="410">
                  <c:v>8.971844946171986</c:v>
                </c:pt>
                <c:pt idx="411">
                  <c:v>8.9355276880325576</c:v>
                </c:pt>
                <c:pt idx="412">
                  <c:v>8.899546089471146</c:v>
                </c:pt>
                <c:pt idx="413">
                  <c:v>8.8630740655091014</c:v>
                </c:pt>
                <c:pt idx="414">
                  <c:v>8.8269459678794497</c:v>
                </c:pt>
                <c:pt idx="415">
                  <c:v>8.791158104669373</c:v>
                </c:pt>
                <c:pt idx="416">
                  <c:v>8.7557068421383715</c:v>
                </c:pt>
                <c:pt idx="417">
                  <c:v>8.7197607691765526</c:v>
                </c:pt>
                <c:pt idx="418">
                  <c:v>8.6841599070513098</c:v>
                </c:pt>
                <c:pt idx="419">
                  <c:v>8.648900538823991</c:v>
                </c:pt>
                <c:pt idx="420">
                  <c:v>8.6139790059960077</c:v>
                </c:pt>
                <c:pt idx="421">
                  <c:v>8.5786299470705885</c:v>
                </c:pt>
                <c:pt idx="422">
                  <c:v>8.5436262957843994</c:v>
                </c:pt>
                <c:pt idx="423">
                  <c:v>8.5089643263856853</c:v>
                </c:pt>
                <c:pt idx="424">
                  <c:v>8.474640371497248</c:v>
                </c:pt>
                <c:pt idx="425">
                  <c:v>8.439818648898715</c:v>
                </c:pt>
                <c:pt idx="426">
                  <c:v>8.4053441675730962</c:v>
                </c:pt>
                <c:pt idx="427">
                  <c:v>8.3712131651554866</c:v>
                </c:pt>
                <c:pt idx="428">
                  <c:v>8.3374219381767602</c:v>
                </c:pt>
                <c:pt idx="429">
                  <c:v>8.3031994770764275</c:v>
                </c:pt>
                <c:pt idx="430">
                  <c:v>8.2693249803878413</c:v>
                </c:pt>
                <c:pt idx="431">
                  <c:v>8.2357946656753036</c:v>
                </c:pt>
                <c:pt idx="432">
                  <c:v>8.2026048095848658</c:v>
                </c:pt>
                <c:pt idx="433">
                  <c:v>8.1690152480798943</c:v>
                </c:pt>
                <c:pt idx="434">
                  <c:v>8.1357739724605409</c:v>
                </c:pt>
                <c:pt idx="435">
                  <c:v>8.10287718535956</c:v>
                </c:pt>
                <c:pt idx="436">
                  <c:v>8.0703211485829769</c:v>
                </c:pt>
                <c:pt idx="437">
                  <c:v>8.0373370401762543</c:v>
                </c:pt>
                <c:pt idx="438">
                  <c:v>8.0047024006332599</c:v>
                </c:pt>
                <c:pt idx="439">
                  <c:v>7.9724134021563797</c:v>
                </c:pt>
                <c:pt idx="440">
                  <c:v>7.9404662765484826</c:v>
                </c:pt>
                <c:pt idx="441">
                  <c:v>7.9081242490959234</c:v>
                </c:pt>
                <c:pt idx="442">
                  <c:v>7.8761324259451264</c:v>
                </c:pt>
                <c:pt idx="443">
                  <c:v>7.844486954702802</c:v>
                </c:pt>
                <c:pt idx="444">
                  <c:v>7.8131840428993549</c:v>
                </c:pt>
                <c:pt idx="445">
                  <c:v>7.781518296569077</c:v>
                </c:pt>
                <c:pt idx="446">
                  <c:v>7.7502030608442141</c:v>
                </c:pt>
                <c:pt idx="447">
                  <c:v>7.7192344643565072</c:v>
                </c:pt>
                <c:pt idx="448">
                  <c:v>7.6886086958883411</c:v>
                </c:pt>
                <c:pt idx="449">
                  <c:v>7.657599464697558</c:v>
                </c:pt>
                <c:pt idx="450">
                  <c:v>7.626941809247767</c:v>
                </c:pt>
                <c:pt idx="451">
                  <c:v>7.5966318251888971</c:v>
                </c:pt>
                <c:pt idx="452">
                  <c:v>7.5666656688604128</c:v>
                </c:pt>
                <c:pt idx="453">
                  <c:v>7.5363740785610194</c:v>
                </c:pt>
                <c:pt idx="454">
                  <c:v>7.5064340878239211</c:v>
                </c:pt>
                <c:pt idx="455">
                  <c:v>7.4768417751740559</c:v>
                </c:pt>
                <c:pt idx="456">
                  <c:v>7.4475932800625442</c:v>
                </c:pt>
                <c:pt idx="457">
                  <c:v>7.4180028570301184</c:v>
                </c:pt>
                <c:pt idx="458">
                  <c:v>7.3887647660489444</c:v>
                </c:pt>
                <c:pt idx="459">
                  <c:v>7.3598750553135677</c:v>
                </c:pt>
                <c:pt idx="460">
                  <c:v>7.3313298344830748</c:v>
                </c:pt>
                <c:pt idx="461">
                  <c:v>7.3024754603875639</c:v>
                </c:pt>
                <c:pt idx="462">
                  <c:v>7.273973684407836</c:v>
                </c:pt>
                <c:pt idx="463">
                  <c:v>7.2458205308597332</c:v>
                </c:pt>
                <c:pt idx="464">
                  <c:v>7.2180120859605355</c:v>
                </c:pt>
                <c:pt idx="465">
                  <c:v>7.1899047821282016</c:v>
                </c:pt>
                <c:pt idx="466">
                  <c:v>7.162150432730213</c:v>
                </c:pt>
                <c:pt idx="467">
                  <c:v>7.1347450353965609</c:v>
                </c:pt>
                <c:pt idx="468">
                  <c:v>7.1076846501883884</c:v>
                </c:pt>
                <c:pt idx="469">
                  <c:v>7.0803574723256526</c:v>
                </c:pt>
                <c:pt idx="470">
                  <c:v>7.0533831447419191</c:v>
                </c:pt>
                <c:pt idx="471">
                  <c:v>7.0267576450073506</c:v>
                </c:pt>
                <c:pt idx="472">
                  <c:v>7.0004770135534811</c:v>
                </c:pt>
                <c:pt idx="473">
                  <c:v>6.9739220345239108</c:v>
                </c:pt>
                <c:pt idx="474">
                  <c:v>6.9477203871335114</c:v>
                </c:pt>
                <c:pt idx="475">
                  <c:v>6.9218680177928853</c:v>
                </c:pt>
                <c:pt idx="476">
                  <c:v>6.8963609364761851</c:v>
                </c:pt>
                <c:pt idx="477">
                  <c:v>6.8706123023111356</c:v>
                </c:pt>
                <c:pt idx="478">
                  <c:v>6.8452169949195163</c:v>
                </c:pt>
                <c:pt idx="479">
                  <c:v>6.8201709368606789</c:v>
                </c:pt>
                <c:pt idx="480">
                  <c:v>6.7954701148529253</c:v>
                </c:pt>
                <c:pt idx="481">
                  <c:v>6.7705593226167737</c:v>
                </c:pt>
                <c:pt idx="482">
                  <c:v>6.7460013905877405</c:v>
                </c:pt>
                <c:pt idx="483">
                  <c:v>6.7217922246368396</c:v>
                </c:pt>
                <c:pt idx="484">
                  <c:v>6.6979277952872014</c:v>
                </c:pt>
                <c:pt idx="485">
                  <c:v>6.6738675253820103</c:v>
                </c:pt>
                <c:pt idx="486">
                  <c:v>6.6501596895966575</c:v>
                </c:pt>
                <c:pt idx="487">
                  <c:v>6.626800175797575</c:v>
                </c:pt>
                <c:pt idx="488">
                  <c:v>6.6037849370745825</c:v>
                </c:pt>
                <c:pt idx="489">
                  <c:v>6.5805738612848756</c:v>
                </c:pt>
                <c:pt idx="490">
                  <c:v>6.5577152798748113</c:v>
                </c:pt>
                <c:pt idx="491">
                  <c:v>6.5352050537065898</c:v>
                </c:pt>
                <c:pt idx="492">
                  <c:v>6.5130391096821603</c:v>
                </c:pt>
                <c:pt idx="493">
                  <c:v>6.4907095478439274</c:v>
                </c:pt>
                <c:pt idx="494">
                  <c:v>6.4687320554396157</c:v>
                </c:pt>
                <c:pt idx="495">
                  <c:v>6.447102474517572</c:v>
                </c:pt>
                <c:pt idx="496">
                  <c:v>6.4258167138681461</c:v>
                </c:pt>
                <c:pt idx="497">
                  <c:v>6.4043848186246226</c:v>
                </c:pt>
                <c:pt idx="498">
                  <c:v>6.3833045553712884</c:v>
                </c:pt>
                <c:pt idx="499">
                  <c:v>6.362571747510982</c:v>
                </c:pt>
                <c:pt idx="500">
                  <c:v>6.3421822859498995</c:v>
                </c:pt>
                <c:pt idx="501">
                  <c:v>6.3216651548693488</c:v>
                </c:pt>
                <c:pt idx="502">
                  <c:v>6.3014991922454078</c:v>
                </c:pt>
                <c:pt idx="503">
                  <c:v>6.2816802034959709</c:v>
                </c:pt>
                <c:pt idx="504">
                  <c:v>6.262204062356405</c:v>
                </c:pt>
                <c:pt idx="505">
                  <c:v>6.2426313982414872</c:v>
                </c:pt>
                <c:pt idx="506">
                  <c:v>6.223408979248779</c:v>
                </c:pt>
                <c:pt idx="507">
                  <c:v>6.2045326015527298</c:v>
                </c:pt>
                <c:pt idx="508">
                  <c:v>6.1859981303409715</c:v>
                </c:pt>
                <c:pt idx="509">
                  <c:v>6.1673861207614582</c:v>
                </c:pt>
                <c:pt idx="510">
                  <c:v>6.1491234176169485</c:v>
                </c:pt>
                <c:pt idx="511">
                  <c:v>6.1312058090090442</c:v>
                </c:pt>
                <c:pt idx="512">
                  <c:v>6.1136291527975031</c:v>
                </c:pt>
                <c:pt idx="513">
                  <c:v>6.0959846631015049</c:v>
                </c:pt>
                <c:pt idx="514">
                  <c:v>6.0786889192674609</c:v>
                </c:pt>
                <c:pt idx="515">
                  <c:v>6.0617376957192519</c:v>
                </c:pt>
                <c:pt idx="516">
                  <c:v>6.0451268375874703</c:v>
                </c:pt>
                <c:pt idx="517">
                  <c:v>6.0284792671700664</c:v>
                </c:pt>
                <c:pt idx="518">
                  <c:v>6.0121794323463948</c:v>
                </c:pt>
                <c:pt idx="519">
                  <c:v>5.9962231036263622</c:v>
                </c:pt>
                <c:pt idx="520">
                  <c:v>5.9806061230466785</c:v>
                </c:pt>
                <c:pt idx="521">
                  <c:v>5.9649737659100444</c:v>
                </c:pt>
                <c:pt idx="522">
                  <c:v>5.9496881034699856</c:v>
                </c:pt>
                <c:pt idx="523">
                  <c:v>5.9347449049900201</c:v>
                </c:pt>
                <c:pt idx="524">
                  <c:v>5.92014001211394</c:v>
                </c:pt>
                <c:pt idx="525">
                  <c:v>5.9055417682032907</c:v>
                </c:pt>
                <c:pt idx="526">
                  <c:v>5.8912891474266216</c:v>
                </c:pt>
                <c:pt idx="527">
                  <c:v>5.87737792097791</c:v>
                </c:pt>
                <c:pt idx="528">
                  <c:v>5.8638039333134317</c:v>
                </c:pt>
                <c:pt idx="529">
                  <c:v>5.8502592702910423</c:v>
                </c:pt>
                <c:pt idx="530">
                  <c:v>5.8370591309694131</c:v>
                </c:pt>
                <c:pt idx="531">
                  <c:v>5.8241992921672736</c:v>
                </c:pt>
                <c:pt idx="532">
                  <c:v>5.811675604873221</c:v>
                </c:pt>
                <c:pt idx="533">
                  <c:v>5.7991981841602041</c:v>
                </c:pt>
                <c:pt idx="534">
                  <c:v>5.7870645180874982</c:v>
                </c:pt>
                <c:pt idx="535">
                  <c:v>5.7752703868528084</c:v>
                </c:pt>
                <c:pt idx="536">
                  <c:v>5.7638116459082944</c:v>
                </c:pt>
                <c:pt idx="537">
                  <c:v>5.7524354045972927</c:v>
                </c:pt>
                <c:pt idx="538">
                  <c:v>5.7414014221871126</c:v>
                </c:pt>
                <c:pt idx="539">
                  <c:v>5.7307055001225446</c:v>
                </c:pt>
                <c:pt idx="540">
                  <c:v>5.7203435158989215</c:v>
                </c:pt>
                <c:pt idx="541">
                  <c:v>5.7100774977750737</c:v>
                </c:pt>
                <c:pt idx="542">
                  <c:v>5.700152937563657</c:v>
                </c:pt>
                <c:pt idx="543">
                  <c:v>5.6905656505464854</c:v>
                </c:pt>
                <c:pt idx="544">
                  <c:v>5.6813115291818228</c:v>
                </c:pt>
                <c:pt idx="545">
                  <c:v>5.6721836706932107</c:v>
                </c:pt>
                <c:pt idx="546">
                  <c:v>5.6633961328803384</c:v>
                </c:pt>
                <c:pt idx="547">
                  <c:v>5.6549447572653619</c:v>
                </c:pt>
                <c:pt idx="548">
                  <c:v>5.6468254635408748</c:v>
                </c:pt>
                <c:pt idx="549">
                  <c:v>5.6388579533690377</c:v>
                </c:pt>
                <c:pt idx="550">
                  <c:v>5.6312296619694644</c:v>
                </c:pt>
                <c:pt idx="551">
                  <c:v>5.6239364636948554</c:v>
                </c:pt>
                <c:pt idx="552">
                  <c:v>5.6169743120904938</c:v>
                </c:pt>
                <c:pt idx="553">
                  <c:v>5.6101869541124554</c:v>
                </c:pt>
                <c:pt idx="554">
                  <c:v>5.6037380816318532</c:v>
                </c:pt>
                <c:pt idx="555">
                  <c:v>5.5976236035304874</c:v>
                </c:pt>
                <c:pt idx="556">
                  <c:v>5.5918395090846111</c:v>
                </c:pt>
                <c:pt idx="557">
                  <c:v>5.5810137536137896</c:v>
                </c:pt>
                <c:pt idx="558">
                  <c:v>5.5715231557760365</c:v>
                </c:pt>
                <c:pt idx="559">
                  <c:v>5.5631636915500522</c:v>
                </c:pt>
                <c:pt idx="560">
                  <c:v>5.5561361653171781</c:v>
                </c:pt>
                <c:pt idx="561">
                  <c:v>5.5502893266268991</c:v>
                </c:pt>
                <c:pt idx="562">
                  <c:v>5.5457741515004457</c:v>
                </c:pt>
                <c:pt idx="563">
                  <c:v>5.5425052543867146</c:v>
                </c:pt>
                <c:pt idx="564">
                  <c:v>5.5405629475942426</c:v>
                </c:pt>
                <c:pt idx="565">
                  <c:v>5.5399177689143917</c:v>
                </c:pt>
                <c:pt idx="566">
                  <c:v>5.5406051295583669</c:v>
                </c:pt>
                <c:pt idx="567">
                  <c:v>5.5426609913254339</c:v>
                </c:pt>
                <c:pt idx="568">
                  <c:v>5.546055210567121</c:v>
                </c:pt>
                <c:pt idx="569">
                  <c:v>5.5508665729895377</c:v>
                </c:pt>
                <c:pt idx="570">
                  <c:v>5.5570120234222999</c:v>
                </c:pt>
                <c:pt idx="571">
                  <c:v>5.5646870397262749</c:v>
                </c:pt>
                <c:pt idx="572">
                  <c:v>5.5737135701968974</c:v>
                </c:pt>
                <c:pt idx="573">
                  <c:v>5.5842753560088862</c:v>
                </c:pt>
                <c:pt idx="574">
                  <c:v>5.5961866843607915</c:v>
                </c:pt>
                <c:pt idx="575">
                  <c:v>5.6097871926995477</c:v>
                </c:pt>
                <c:pt idx="576">
                  <c:v>5.6247572809354498</c:v>
                </c:pt>
                <c:pt idx="577">
                  <c:v>5.7027888523119232</c:v>
                </c:pt>
                <c:pt idx="578">
                  <c:v>5.8034765225150444</c:v>
                </c:pt>
                <c:pt idx="579">
                  <c:v>6.098844690143375</c:v>
                </c:pt>
                <c:pt idx="580">
                  <c:v>6.5387947370878337</c:v>
                </c:pt>
                <c:pt idx="581">
                  <c:v>7.1707726732019523</c:v>
                </c:pt>
                <c:pt idx="582">
                  <c:v>8.0861667267653985</c:v>
                </c:pt>
                <c:pt idx="583">
                  <c:v>9.4736917235833129</c:v>
                </c:pt>
                <c:pt idx="584">
                  <c:v>11.781396352407718</c:v>
                </c:pt>
                <c:pt idx="585">
                  <c:v>16.327317471231456</c:v>
                </c:pt>
                <c:pt idx="586">
                  <c:v>32.676010920607716</c:v>
                </c:pt>
                <c:pt idx="587">
                  <c:v>19.628862018992056</c:v>
                </c:pt>
                <c:pt idx="588">
                  <c:v>14.30010879526311</c:v>
                </c:pt>
                <c:pt idx="589">
                  <c:v>12.690595776201146</c:v>
                </c:pt>
                <c:pt idx="590">
                  <c:v>12.573925887482602</c:v>
                </c:pt>
                <c:pt idx="591">
                  <c:v>13.383812107994551</c:v>
                </c:pt>
                <c:pt idx="592">
                  <c:v>15.38495183051934</c:v>
                </c:pt>
                <c:pt idx="593">
                  <c:v>21.197455273586648</c:v>
                </c:pt>
                <c:pt idx="594">
                  <c:v>28.462211002391513</c:v>
                </c:pt>
                <c:pt idx="595">
                  <c:v>18.944585560003308</c:v>
                </c:pt>
                <c:pt idx="596">
                  <c:v>18.362124618195338</c:v>
                </c:pt>
                <c:pt idx="597">
                  <c:v>20.670171444595237</c:v>
                </c:pt>
                <c:pt idx="598">
                  <c:v>39.059876873627395</c:v>
                </c:pt>
                <c:pt idx="599">
                  <c:v>23.554127750475438</c:v>
                </c:pt>
                <c:pt idx="600">
                  <c:v>23.327131739013499</c:v>
                </c:pt>
              </c:numCache>
            </c:numRef>
          </c:yVal>
          <c:smooth val="0"/>
          <c:extLst>
            <c:ext xmlns:c16="http://schemas.microsoft.com/office/drawing/2014/chart" uri="{C3380CC4-5D6E-409C-BE32-E72D297353CC}">
              <c16:uniqueId val="{00000002-C943-44AE-BE69-B37F145E1EAF}"/>
            </c:ext>
          </c:extLst>
        </c:ser>
        <c:dLbls>
          <c:showLegendKey val="0"/>
          <c:showVal val="0"/>
          <c:showCatName val="0"/>
          <c:showSerName val="0"/>
          <c:showPercent val="0"/>
          <c:showBubbleSize val="0"/>
        </c:dLbls>
        <c:axId val="446584704"/>
        <c:axId val="446586240"/>
      </c:scatterChart>
      <c:valAx>
        <c:axId val="446572416"/>
        <c:scaling>
          <c:logBase val="10"/>
          <c:orientation val="minMax"/>
          <c:max val="1000000"/>
          <c:min val="1"/>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lang="ja-JP" sz="1200" b="1" i="0" u="none" strike="noStrike" baseline="0">
                    <a:solidFill>
                      <a:srgbClr val="000000"/>
                    </a:solidFill>
                    <a:latin typeface="Arial"/>
                    <a:ea typeface="Arial"/>
                    <a:cs typeface="Arial"/>
                  </a:defRPr>
                </a:pPr>
                <a:r>
                  <a:rPr lang="en-US"/>
                  <a:t>Frequency (Hz)</a:t>
                </a:r>
              </a:p>
            </c:rich>
          </c:tx>
          <c:layout>
            <c:manualLayout>
              <c:xMode val="edge"/>
              <c:yMode val="edge"/>
              <c:x val="0.42857142857142855"/>
              <c:y val="0.8836114034132848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000000"/>
                </a:solidFill>
                <a:latin typeface="Arial"/>
                <a:ea typeface="Arial"/>
                <a:cs typeface="Arial"/>
              </a:defRPr>
            </a:pPr>
            <a:endParaRPr lang="en-US"/>
          </a:p>
        </c:txPr>
        <c:crossAx val="446582784"/>
        <c:crossesAt val="-80"/>
        <c:crossBetween val="midCat"/>
        <c:majorUnit val="10"/>
        <c:minorUnit val="10"/>
      </c:valAx>
      <c:valAx>
        <c:axId val="446582784"/>
        <c:scaling>
          <c:orientation val="minMax"/>
          <c:max val="80"/>
          <c:min val="-40"/>
        </c:scaling>
        <c:delete val="0"/>
        <c:axPos val="l"/>
        <c:majorGridlines>
          <c:spPr>
            <a:ln w="3175">
              <a:solidFill>
                <a:srgbClr val="000000"/>
              </a:solidFill>
              <a:prstDash val="solid"/>
            </a:ln>
          </c:spPr>
        </c:majorGridlines>
        <c:title>
          <c:tx>
            <c:rich>
              <a:bodyPr/>
              <a:lstStyle/>
              <a:p>
                <a:pPr>
                  <a:defRPr lang="ja-JP" sz="1200" b="1" i="0" u="none" strike="noStrike" baseline="0">
                    <a:solidFill>
                      <a:srgbClr val="FF0000"/>
                    </a:solidFill>
                    <a:latin typeface="Arial"/>
                    <a:ea typeface="Arial"/>
                    <a:cs typeface="Arial"/>
                  </a:defRPr>
                </a:pPr>
                <a:r>
                  <a:rPr lang="en-US"/>
                  <a:t>Gain (dB)</a:t>
                </a:r>
              </a:p>
            </c:rich>
          </c:tx>
          <c:layout>
            <c:manualLayout>
              <c:xMode val="edge"/>
              <c:yMode val="edge"/>
              <c:x val="1.5549076773566581E-2"/>
              <c:y val="0.3927162330515138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FF0000"/>
                </a:solidFill>
                <a:latin typeface="Arial"/>
                <a:ea typeface="Arial"/>
                <a:cs typeface="Arial"/>
              </a:defRPr>
            </a:pPr>
            <a:endParaRPr lang="en-US"/>
          </a:p>
        </c:txPr>
        <c:crossAx val="446572416"/>
        <c:crossesAt val="0.1"/>
        <c:crossBetween val="midCat"/>
        <c:majorUnit val="20"/>
        <c:minorUnit val="4"/>
      </c:valAx>
      <c:valAx>
        <c:axId val="446584704"/>
        <c:scaling>
          <c:logBase val="10"/>
          <c:orientation val="minMax"/>
        </c:scaling>
        <c:delete val="1"/>
        <c:axPos val="t"/>
        <c:numFmt formatCode="General" sourceLinked="1"/>
        <c:majorTickMark val="out"/>
        <c:minorTickMark val="none"/>
        <c:tickLblPos val="none"/>
        <c:crossAx val="446586240"/>
        <c:crossesAt val="0"/>
        <c:crossBetween val="midCat"/>
      </c:valAx>
      <c:valAx>
        <c:axId val="446586240"/>
        <c:scaling>
          <c:orientation val="minMax"/>
          <c:max val="120"/>
          <c:min val="-60"/>
        </c:scaling>
        <c:delete val="0"/>
        <c:axPos val="r"/>
        <c:title>
          <c:tx>
            <c:rich>
              <a:bodyPr/>
              <a:lstStyle/>
              <a:p>
                <a:pPr>
                  <a:defRPr lang="ja-JP" sz="1200" b="1" i="0" u="none" strike="noStrike" baseline="0">
                    <a:solidFill>
                      <a:srgbClr val="0000FF"/>
                    </a:solidFill>
                    <a:latin typeface="Arial"/>
                    <a:ea typeface="Arial"/>
                    <a:cs typeface="Arial"/>
                  </a:defRPr>
                </a:pPr>
                <a:r>
                  <a:rPr lang="en-US"/>
                  <a:t>Phase (°)</a:t>
                </a:r>
              </a:p>
            </c:rich>
          </c:tx>
          <c:layout>
            <c:manualLayout>
              <c:xMode val="edge"/>
              <c:yMode val="edge"/>
              <c:x val="0.96550048590864856"/>
              <c:y val="0.3982582822308516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0000FF"/>
                </a:solidFill>
                <a:latin typeface="Arial"/>
                <a:ea typeface="Arial"/>
                <a:cs typeface="Arial"/>
              </a:defRPr>
            </a:pPr>
            <a:endParaRPr lang="en-US"/>
          </a:p>
        </c:txPr>
        <c:crossAx val="446584704"/>
        <c:crosses val="max"/>
        <c:crossBetween val="midCat"/>
        <c:majorUnit val="30"/>
      </c:valAx>
      <c:spPr>
        <a:noFill/>
        <a:ln w="25400">
          <a:noFill/>
        </a:ln>
      </c:spPr>
    </c:plotArea>
    <c:plotVisOnly val="1"/>
    <c:dispBlanksAs val="gap"/>
    <c:showDLblsOverMax val="0"/>
  </c:chart>
  <c:spPr>
    <a:solidFill>
      <a:srgbClr val="FFFFFF"/>
    </a:solidFill>
    <a:ln w="254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67" r="0.75000000000000167"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lang="ja-JP"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Dual'!$CB$5:$CB$105</c:f>
              <c:numCache>
                <c:formatCode>0.00</c:formatCode>
                <c:ptCount val="101"/>
                <c:pt idx="0">
                  <c:v>4.5713909236334194E-5</c:v>
                </c:pt>
                <c:pt idx="1">
                  <c:v>75.130440609473808</c:v>
                </c:pt>
                <c:pt idx="2">
                  <c:v>76.995795139376781</c:v>
                </c:pt>
                <c:pt idx="3">
                  <c:v>77.088647369678029</c:v>
                </c:pt>
                <c:pt idx="4">
                  <c:v>76.635135670652261</c:v>
                </c:pt>
                <c:pt idx="5">
                  <c:v>75.912238095555708</c:v>
                </c:pt>
                <c:pt idx="6">
                  <c:v>75.025334077858588</c:v>
                </c:pt>
                <c:pt idx="7">
                  <c:v>74.027428869671979</c:v>
                </c:pt>
                <c:pt idx="8">
                  <c:v>72.950348122498468</c:v>
                </c:pt>
                <c:pt idx="9">
                  <c:v>71.815584030584489</c:v>
                </c:pt>
                <c:pt idx="10">
                  <c:v>70.638835784578731</c:v>
                </c:pt>
                <c:pt idx="11">
                  <c:v>69.432185484391212</c:v>
                </c:pt>
                <c:pt idx="12">
                  <c:v>67.893387424678096</c:v>
                </c:pt>
                <c:pt idx="13">
                  <c:v>65.917942606371724</c:v>
                </c:pt>
                <c:pt idx="14">
                  <c:v>66.06744542241772</c:v>
                </c:pt>
                <c:pt idx="15">
                  <c:v>66.185410111269476</c:v>
                </c:pt>
                <c:pt idx="16">
                  <c:v>66.277778607841924</c:v>
                </c:pt>
                <c:pt idx="17">
                  <c:v>66.349149723756739</c:v>
                </c:pt>
                <c:pt idx="18">
                  <c:v>66.403134418396363</c:v>
                </c:pt>
                <c:pt idx="19">
                  <c:v>66.442604304554848</c:v>
                </c:pt>
                <c:pt idx="20">
                  <c:v>66.469869010107303</c:v>
                </c:pt>
                <c:pt idx="21">
                  <c:v>66.486805050707829</c:v>
                </c:pt>
                <c:pt idx="22">
                  <c:v>66.494950983070936</c:v>
                </c:pt>
                <c:pt idx="23">
                  <c:v>66.495578682853164</c:v>
                </c:pt>
                <c:pt idx="24">
                  <c:v>66.489747439932884</c:v>
                </c:pt>
                <c:pt idx="25">
                  <c:v>66.478345503888605</c:v>
                </c:pt>
                <c:pt idx="26">
                  <c:v>66.462122339286836</c:v>
                </c:pt>
                <c:pt idx="27">
                  <c:v>66.44171391862632</c:v>
                </c:pt>
                <c:pt idx="28">
                  <c:v>66.417662738203148</c:v>
                </c:pt>
                <c:pt idx="29">
                  <c:v>66.390433792363055</c:v>
                </c:pt>
                <c:pt idx="30">
                  <c:v>66.360427422411533</c:v>
                </c:pt>
                <c:pt idx="31">
                  <c:v>66.327989727045718</c:v>
                </c:pt>
                <c:pt idx="32">
                  <c:v>66.293421054355335</c:v>
                </c:pt>
                <c:pt idx="33">
                  <c:v>66.256982972800543</c:v>
                </c:pt>
                <c:pt idx="34">
                  <c:v>66.218904027496876</c:v>
                </c:pt>
                <c:pt idx="35">
                  <c:v>66.179384519847289</c:v>
                </c:pt>
                <c:pt idx="36">
                  <c:v>66.138600496907458</c:v>
                </c:pt>
                <c:pt idx="37">
                  <c:v>66.096707097464474</c:v>
                </c:pt>
                <c:pt idx="38">
                  <c:v>66.05384137151789</c:v>
                </c:pt>
                <c:pt idx="39">
                  <c:v>66.010124666387426</c:v>
                </c:pt>
                <c:pt idx="40">
                  <c:v>65.965664654374805</c:v>
                </c:pt>
                <c:pt idx="41">
                  <c:v>65.920557062539743</c:v>
                </c:pt>
                <c:pt idx="42">
                  <c:v>65.874887153801197</c:v>
                </c:pt>
                <c:pt idx="43">
                  <c:v>65.828730999556981</c:v>
                </c:pt>
                <c:pt idx="44">
                  <c:v>65.7821565768064</c:v>
                </c:pt>
                <c:pt idx="45">
                  <c:v>65.735224716970549</c:v>
                </c:pt>
                <c:pt idx="46">
                  <c:v>65.687989928928985</c:v>
                </c:pt>
                <c:pt idx="47">
                  <c:v>65.640501114996908</c:v>
                </c:pt>
                <c:pt idx="48">
                  <c:v>65.592802195474306</c:v>
                </c:pt>
                <c:pt idx="49">
                  <c:v>65.544932654865946</c:v>
                </c:pt>
                <c:pt idx="50">
                  <c:v>65.496928020788872</c:v>
                </c:pt>
                <c:pt idx="51">
                  <c:v>65.448820284864766</c:v>
                </c:pt>
                <c:pt idx="52">
                  <c:v>65.400638273470307</c:v>
                </c:pt>
                <c:pt idx="53">
                  <c:v>65.352407975032946</c:v>
                </c:pt>
                <c:pt idx="54">
                  <c:v>65.304152829571152</c:v>
                </c:pt>
                <c:pt idx="55">
                  <c:v>65.255893985348379</c:v>
                </c:pt>
                <c:pt idx="56">
                  <c:v>65.207650526814732</c:v>
                </c:pt>
                <c:pt idx="57">
                  <c:v>65.159439677422483</c:v>
                </c:pt>
                <c:pt idx="58">
                  <c:v>65.111276980405378</c:v>
                </c:pt>
                <c:pt idx="59">
                  <c:v>65.063176460191016</c:v>
                </c:pt>
                <c:pt idx="60">
                  <c:v>65.015150766756904</c:v>
                </c:pt>
                <c:pt idx="61">
                  <c:v>64.967211304935972</c:v>
                </c:pt>
                <c:pt idx="62">
                  <c:v>64.919368350416178</c:v>
                </c:pt>
                <c:pt idx="63">
                  <c:v>64.871631153954894</c:v>
                </c:pt>
                <c:pt idx="64">
                  <c:v>64.824008035136544</c:v>
                </c:pt>
                <c:pt idx="65">
                  <c:v>64.776506466836821</c:v>
                </c:pt>
                <c:pt idx="66">
                  <c:v>64.729133151413052</c:v>
                </c:pt>
                <c:pt idx="67">
                  <c:v>64.68189408951703</c:v>
                </c:pt>
                <c:pt idx="68">
                  <c:v>64.634794642319889</c:v>
                </c:pt>
                <c:pt idx="69">
                  <c:v>64.587839587844371</c:v>
                </c:pt>
                <c:pt idx="70">
                  <c:v>64.541033172019425</c:v>
                </c:pt>
                <c:pt idx="71">
                  <c:v>64.494379155001695</c:v>
                </c:pt>
                <c:pt idx="72">
                  <c:v>64.447880853245437</c:v>
                </c:pt>
                <c:pt idx="73">
                  <c:v>64.401541177749536</c:v>
                </c:pt>
                <c:pt idx="74">
                  <c:v>64.929065426395923</c:v>
                </c:pt>
                <c:pt idx="75">
                  <c:v>65.469223868662795</c:v>
                </c:pt>
                <c:pt idx="76">
                  <c:v>65.997506692342981</c:v>
                </c:pt>
                <c:pt idx="77">
                  <c:v>66.514174332672127</c:v>
                </c:pt>
                <c:pt idx="78">
                  <c:v>67.019484814826058</c:v>
                </c:pt>
                <c:pt idx="79">
                  <c:v>67.514244362712617</c:v>
                </c:pt>
                <c:pt idx="80">
                  <c:v>67.998470240170761</c:v>
                </c:pt>
                <c:pt idx="81">
                  <c:v>68.472083619356667</c:v>
                </c:pt>
                <c:pt idx="82">
                  <c:v>68.935329454976653</c:v>
                </c:pt>
                <c:pt idx="83">
                  <c:v>69.388448968373865</c:v>
                </c:pt>
                <c:pt idx="84">
                  <c:v>69.831679475898653</c:v>
                </c:pt>
                <c:pt idx="85">
                  <c:v>68.419658780943465</c:v>
                </c:pt>
                <c:pt idx="86">
                  <c:v>68.583793301762142</c:v>
                </c:pt>
                <c:pt idx="87">
                  <c:v>68.745018272067924</c:v>
                </c:pt>
                <c:pt idx="88">
                  <c:v>68.903396857988028</c:v>
                </c:pt>
                <c:pt idx="89">
                  <c:v>69.058990338778457</c:v>
                </c:pt>
                <c:pt idx="90">
                  <c:v>69.211858175184545</c:v>
                </c:pt>
                <c:pt idx="91">
                  <c:v>69.362058074842665</c:v>
                </c:pt>
                <c:pt idx="92">
                  <c:v>69.509646054870402</c:v>
                </c:pt>
                <c:pt idx="93">
                  <c:v>69.654676501785218</c:v>
                </c:pt>
                <c:pt idx="94">
                  <c:v>69.79720222888281</c:v>
                </c:pt>
                <c:pt idx="95">
                  <c:v>69.937274531199236</c:v>
                </c:pt>
                <c:pt idx="96">
                  <c:v>70.0749432381741</c:v>
                </c:pt>
                <c:pt idx="97">
                  <c:v>70.210256764125887</c:v>
                </c:pt>
                <c:pt idx="98">
                  <c:v>70.343262156643604</c:v>
                </c:pt>
                <c:pt idx="99">
                  <c:v>70.474005142994443</c:v>
                </c:pt>
                <c:pt idx="100">
                  <c:v>70.575234377399028</c:v>
                </c:pt>
              </c:numCache>
            </c:numRef>
          </c:val>
          <c:smooth val="0"/>
          <c:extLst>
            <c:ext xmlns:c16="http://schemas.microsoft.com/office/drawing/2014/chart" uri="{C3380CC4-5D6E-409C-BE32-E72D297353CC}">
              <c16:uniqueId val="{00000000-9FB2-40F7-8293-C6828AB4E751}"/>
            </c:ext>
          </c:extLst>
        </c:ser>
        <c:dLbls>
          <c:showLegendKey val="0"/>
          <c:showVal val="0"/>
          <c:showCatName val="0"/>
          <c:showSerName val="0"/>
          <c:showPercent val="0"/>
          <c:showBubbleSize val="0"/>
        </c:dLbls>
        <c:marker val="1"/>
        <c:smooth val="0"/>
        <c:axId val="450484096"/>
        <c:axId val="450498560"/>
      </c:lineChart>
      <c:lineChart>
        <c:grouping val="standard"/>
        <c:varyColors val="0"/>
        <c:ser>
          <c:idx val="2"/>
          <c:order val="1"/>
          <c:tx>
            <c:strRef>
              <c:f>'Calculations - Dual'!$BM$3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Dual'!$BQ$5:$BQ$105</c:f>
              <c:numCache>
                <c:formatCode>0.0</c:formatCode>
                <c:ptCount val="101"/>
                <c:pt idx="0">
                  <c:v>1.1495999999999998E-6</c:v>
                </c:pt>
                <c:pt idx="1">
                  <c:v>17.962499999999999</c:v>
                </c:pt>
                <c:pt idx="2">
                  <c:v>35.924999999999997</c:v>
                </c:pt>
                <c:pt idx="3">
                  <c:v>53.887499999999996</c:v>
                </c:pt>
                <c:pt idx="4">
                  <c:v>71.849999999999994</c:v>
                </c:pt>
                <c:pt idx="5">
                  <c:v>89.812499999999986</c:v>
                </c:pt>
                <c:pt idx="6">
                  <c:v>107.77499999999999</c:v>
                </c:pt>
                <c:pt idx="7">
                  <c:v>125.7375</c:v>
                </c:pt>
                <c:pt idx="8">
                  <c:v>143.69999999999999</c:v>
                </c:pt>
                <c:pt idx="9">
                  <c:v>161.66249999999997</c:v>
                </c:pt>
                <c:pt idx="10">
                  <c:v>179.62499999999997</c:v>
                </c:pt>
                <c:pt idx="11">
                  <c:v>197.58750000000001</c:v>
                </c:pt>
                <c:pt idx="12">
                  <c:v>215.54999999999998</c:v>
                </c:pt>
                <c:pt idx="13">
                  <c:v>233.51249999999999</c:v>
                </c:pt>
                <c:pt idx="14">
                  <c:v>251.47499999999999</c:v>
                </c:pt>
                <c:pt idx="15">
                  <c:v>269.43749999999994</c:v>
                </c:pt>
                <c:pt idx="16">
                  <c:v>287.39999999999998</c:v>
                </c:pt>
                <c:pt idx="17">
                  <c:v>305.36249999999995</c:v>
                </c:pt>
                <c:pt idx="18">
                  <c:v>323.32499999999993</c:v>
                </c:pt>
                <c:pt idx="19">
                  <c:v>341.28749999999997</c:v>
                </c:pt>
                <c:pt idx="20">
                  <c:v>359.24999999999994</c:v>
                </c:pt>
                <c:pt idx="21">
                  <c:v>377.21249999999998</c:v>
                </c:pt>
                <c:pt idx="22">
                  <c:v>395.17500000000001</c:v>
                </c:pt>
                <c:pt idx="23">
                  <c:v>413.13750000000005</c:v>
                </c:pt>
                <c:pt idx="24">
                  <c:v>431.09999999999997</c:v>
                </c:pt>
                <c:pt idx="25">
                  <c:v>449.0625</c:v>
                </c:pt>
                <c:pt idx="26">
                  <c:v>467.02499999999998</c:v>
                </c:pt>
                <c:pt idx="27">
                  <c:v>484.98749999999995</c:v>
                </c:pt>
                <c:pt idx="28">
                  <c:v>502.95</c:v>
                </c:pt>
                <c:pt idx="29">
                  <c:v>520.91249999999991</c:v>
                </c:pt>
                <c:pt idx="30">
                  <c:v>538.87499999999989</c:v>
                </c:pt>
                <c:pt idx="31">
                  <c:v>556.83749999999986</c:v>
                </c:pt>
                <c:pt idx="32">
                  <c:v>574.79999999999995</c:v>
                </c:pt>
                <c:pt idx="33">
                  <c:v>592.76249999999993</c:v>
                </c:pt>
                <c:pt idx="34">
                  <c:v>610.72499999999991</c:v>
                </c:pt>
                <c:pt idx="35">
                  <c:v>628.6875</c:v>
                </c:pt>
                <c:pt idx="36">
                  <c:v>646.64999999999986</c:v>
                </c:pt>
                <c:pt idx="37">
                  <c:v>664.61250000000007</c:v>
                </c:pt>
                <c:pt idx="38">
                  <c:v>682.57499999999993</c:v>
                </c:pt>
                <c:pt idx="39">
                  <c:v>700.53749999999991</c:v>
                </c:pt>
                <c:pt idx="40">
                  <c:v>718.49999999999989</c:v>
                </c:pt>
                <c:pt idx="41">
                  <c:v>736.46249999999986</c:v>
                </c:pt>
                <c:pt idx="42">
                  <c:v>754.42499999999995</c:v>
                </c:pt>
                <c:pt idx="43">
                  <c:v>772.38750000000005</c:v>
                </c:pt>
                <c:pt idx="44">
                  <c:v>790.35</c:v>
                </c:pt>
                <c:pt idx="45">
                  <c:v>808.31249999999989</c:v>
                </c:pt>
                <c:pt idx="46">
                  <c:v>826.27500000000009</c:v>
                </c:pt>
                <c:pt idx="47">
                  <c:v>844.23749999999973</c:v>
                </c:pt>
                <c:pt idx="48">
                  <c:v>862.19999999999993</c:v>
                </c:pt>
                <c:pt idx="49">
                  <c:v>880.16249999999991</c:v>
                </c:pt>
                <c:pt idx="50">
                  <c:v>898.125</c:v>
                </c:pt>
                <c:pt idx="51">
                  <c:v>916.08749999999986</c:v>
                </c:pt>
                <c:pt idx="52">
                  <c:v>934.05</c:v>
                </c:pt>
                <c:pt idx="53">
                  <c:v>952.01250000000005</c:v>
                </c:pt>
                <c:pt idx="54">
                  <c:v>969.97499999999991</c:v>
                </c:pt>
                <c:pt idx="55">
                  <c:v>987.93749999999989</c:v>
                </c:pt>
                <c:pt idx="56">
                  <c:v>1005.9</c:v>
                </c:pt>
                <c:pt idx="57">
                  <c:v>1023.8625</c:v>
                </c:pt>
                <c:pt idx="58">
                  <c:v>1041.8249999999998</c:v>
                </c:pt>
                <c:pt idx="59">
                  <c:v>1059.7874999999997</c:v>
                </c:pt>
                <c:pt idx="60">
                  <c:v>1077.7499999999998</c:v>
                </c:pt>
                <c:pt idx="61">
                  <c:v>1095.7124999999999</c:v>
                </c:pt>
                <c:pt idx="62">
                  <c:v>1113.6749999999997</c:v>
                </c:pt>
                <c:pt idx="63">
                  <c:v>1131.6374999999998</c:v>
                </c:pt>
                <c:pt idx="64">
                  <c:v>1149.5999999999999</c:v>
                </c:pt>
                <c:pt idx="65">
                  <c:v>1167.5624999999998</c:v>
                </c:pt>
                <c:pt idx="66">
                  <c:v>1185.5249999999999</c:v>
                </c:pt>
                <c:pt idx="67">
                  <c:v>1203.4874999999997</c:v>
                </c:pt>
                <c:pt idx="68">
                  <c:v>1221.4499999999998</c:v>
                </c:pt>
                <c:pt idx="69">
                  <c:v>1239.4124999999999</c:v>
                </c:pt>
                <c:pt idx="70">
                  <c:v>1257.375</c:v>
                </c:pt>
                <c:pt idx="71">
                  <c:v>1275.3374999999999</c:v>
                </c:pt>
                <c:pt idx="72">
                  <c:v>1293.2999999999997</c:v>
                </c:pt>
                <c:pt idx="73">
                  <c:v>1311.2624999999998</c:v>
                </c:pt>
                <c:pt idx="74">
                  <c:v>1329.2250000000001</c:v>
                </c:pt>
                <c:pt idx="75">
                  <c:v>1347.1875</c:v>
                </c:pt>
                <c:pt idx="76">
                  <c:v>1365.1499999999999</c:v>
                </c:pt>
                <c:pt idx="77">
                  <c:v>1383.1125</c:v>
                </c:pt>
                <c:pt idx="78">
                  <c:v>1401.0749999999998</c:v>
                </c:pt>
                <c:pt idx="79">
                  <c:v>1419.0374999999999</c:v>
                </c:pt>
                <c:pt idx="80">
                  <c:v>1436.9999999999998</c:v>
                </c:pt>
                <c:pt idx="81">
                  <c:v>1454.9625000000001</c:v>
                </c:pt>
                <c:pt idx="82">
                  <c:v>1472.9249999999997</c:v>
                </c:pt>
                <c:pt idx="83">
                  <c:v>1490.8874999999996</c:v>
                </c:pt>
                <c:pt idx="84">
                  <c:v>1508.85</c:v>
                </c:pt>
                <c:pt idx="85">
                  <c:v>1526.8124999999998</c:v>
                </c:pt>
                <c:pt idx="86">
                  <c:v>1544.7750000000001</c:v>
                </c:pt>
                <c:pt idx="87">
                  <c:v>1562.7374999999997</c:v>
                </c:pt>
                <c:pt idx="88">
                  <c:v>1580.7</c:v>
                </c:pt>
                <c:pt idx="89">
                  <c:v>1598.6624999999999</c:v>
                </c:pt>
                <c:pt idx="90">
                  <c:v>1616.6249999999998</c:v>
                </c:pt>
                <c:pt idx="91">
                  <c:v>1634.5874999999996</c:v>
                </c:pt>
                <c:pt idx="92">
                  <c:v>1652.5500000000002</c:v>
                </c:pt>
                <c:pt idx="93">
                  <c:v>1670.5124999999998</c:v>
                </c:pt>
                <c:pt idx="94">
                  <c:v>1688.4749999999995</c:v>
                </c:pt>
                <c:pt idx="95">
                  <c:v>1706.4374999999998</c:v>
                </c:pt>
                <c:pt idx="96">
                  <c:v>1724.3999999999999</c:v>
                </c:pt>
                <c:pt idx="97">
                  <c:v>1742.3624999999995</c:v>
                </c:pt>
                <c:pt idx="98">
                  <c:v>1760.3249999999998</c:v>
                </c:pt>
                <c:pt idx="99">
                  <c:v>1778.2874999999999</c:v>
                </c:pt>
                <c:pt idx="100">
                  <c:v>1796.25</c:v>
                </c:pt>
              </c:numCache>
            </c:numRef>
          </c:val>
          <c:smooth val="0"/>
          <c:extLst>
            <c:ext xmlns:c16="http://schemas.microsoft.com/office/drawing/2014/chart" uri="{C3380CC4-5D6E-409C-BE32-E72D297353CC}">
              <c16:uniqueId val="{00000001-9FB2-40F7-8293-C6828AB4E751}"/>
            </c:ext>
          </c:extLst>
        </c:ser>
        <c:ser>
          <c:idx val="3"/>
          <c:order val="2"/>
          <c:tx>
            <c:strRef>
              <c:f>'Calculations - Dual'!$BE$3</c:f>
              <c:strCache>
                <c:ptCount val="1"/>
                <c:pt idx="0">
                  <c:v>MOSFET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Dual'!$BL$5:$BL$105</c:f>
              <c:numCache>
                <c:formatCode>0.0</c:formatCode>
                <c:ptCount val="101"/>
                <c:pt idx="0">
                  <c:v>50.644621083562676</c:v>
                </c:pt>
                <c:pt idx="1">
                  <c:v>139.18462705945075</c:v>
                </c:pt>
                <c:pt idx="2">
                  <c:v>278.41459411389366</c:v>
                </c:pt>
                <c:pt idx="3">
                  <c:v>417.68992332148719</c:v>
                </c:pt>
                <c:pt idx="4">
                  <c:v>557.0106368548312</c:v>
                </c:pt>
                <c:pt idx="5">
                  <c:v>696.37675690097751</c:v>
                </c:pt>
                <c:pt idx="6">
                  <c:v>835.78830566144347</c:v>
                </c:pt>
                <c:pt idx="7">
                  <c:v>975.24530535222164</c:v>
                </c:pt>
                <c:pt idx="8">
                  <c:v>1114.7477782037934</c:v>
                </c:pt>
                <c:pt idx="9">
                  <c:v>1254.2957464611388</c:v>
                </c:pt>
                <c:pt idx="10">
                  <c:v>1393.889232383752</c:v>
                </c:pt>
                <c:pt idx="11">
                  <c:v>1533.5282582456482</c:v>
                </c:pt>
                <c:pt idx="12">
                  <c:v>1683.5816065451743</c:v>
                </c:pt>
                <c:pt idx="13">
                  <c:v>1837.5156648650293</c:v>
                </c:pt>
                <c:pt idx="14">
                  <c:v>1887.4414563634339</c:v>
                </c:pt>
                <c:pt idx="15">
                  <c:v>1935.786119129802</c:v>
                </c:pt>
                <c:pt idx="16">
                  <c:v>1982.7131896953497</c:v>
                </c:pt>
                <c:pt idx="17">
                  <c:v>2028.3609034901708</c:v>
                </c:pt>
                <c:pt idx="18">
                  <c:v>2072.8473501330395</c:v>
                </c:pt>
                <c:pt idx="19">
                  <c:v>2116.2743530758498</c:v>
                </c:pt>
                <c:pt idx="20">
                  <c:v>2158.7304392837282</c:v>
                </c:pt>
                <c:pt idx="21">
                  <c:v>2200.293146868235</c:v>
                </c:pt>
                <c:pt idx="22">
                  <c:v>2241.0308425277181</c:v>
                </c:pt>
                <c:pt idx="23">
                  <c:v>2281.0041703024908</c:v>
                </c:pt>
                <c:pt idx="24">
                  <c:v>2320.2672190924704</c:v>
                </c:pt>
                <c:pt idx="25">
                  <c:v>2358.8684728864559</c:v>
                </c:pt>
                <c:pt idx="26">
                  <c:v>2396.8515911507629</c:v>
                </c:pt>
                <c:pt idx="27">
                  <c:v>2434.2560550490534</c:v>
                </c:pt>
                <c:pt idx="28">
                  <c:v>2471.1177066375549</c:v>
                </c:pt>
                <c:pt idx="29">
                  <c:v>2507.4692019210606</c:v>
                </c:pt>
                <c:pt idx="30">
                  <c:v>2543.3403940041626</c:v>
                </c:pt>
                <c:pt idx="31">
                  <c:v>2578.7586590768519</c:v>
                </c:pt>
                <c:pt idx="32">
                  <c:v>2613.7491753185204</c:v>
                </c:pt>
                <c:pt idx="33">
                  <c:v>2648.3351627680859</c:v>
                </c:pt>
                <c:pt idx="34">
                  <c:v>2682.5380906316195</c:v>
                </c:pt>
                <c:pt idx="35">
                  <c:v>2716.3778572684446</c:v>
                </c:pt>
                <c:pt idx="36">
                  <c:v>2749.8729471283946</c:v>
                </c:pt>
                <c:pt idx="37">
                  <c:v>2783.0405681453558</c:v>
                </c:pt>
                <c:pt idx="38">
                  <c:v>2815.8967724794416</c:v>
                </c:pt>
                <c:pt idx="39">
                  <c:v>2848.456563007735</c:v>
                </c:pt>
                <c:pt idx="40">
                  <c:v>2880.7339875653215</c:v>
                </c:pt>
                <c:pt idx="41">
                  <c:v>2912.7422226145227</c:v>
                </c:pt>
                <c:pt idx="42">
                  <c:v>2944.4936477552806</c:v>
                </c:pt>
                <c:pt idx="43">
                  <c:v>2975.9999122719264</c:v>
                </c:pt>
                <c:pt idx="44">
                  <c:v>3007.2719947315509</c:v>
                </c:pt>
                <c:pt idx="45">
                  <c:v>3038.3202564997882</c:v>
                </c:pt>
                <c:pt idx="46">
                  <c:v>3069.1544899152514</c:v>
                </c:pt>
                <c:pt idx="47">
                  <c:v>3099.7839617594227</c:v>
                </c:pt>
                <c:pt idx="48">
                  <c:v>3130.2174525710907</c:v>
                </c:pt>
                <c:pt idx="49">
                  <c:v>3160.4632922802621</c:v>
                </c:pt>
                <c:pt idx="50">
                  <c:v>3190.5293925737024</c:v>
                </c:pt>
                <c:pt idx="51">
                  <c:v>3220.4232763508198</c:v>
                </c:pt>
                <c:pt idx="52">
                  <c:v>3250.1521045830305</c:v>
                </c:pt>
                <c:pt idx="53">
                  <c:v>3279.7227008507016</c:v>
                </c:pt>
                <c:pt idx="54">
                  <c:v>3309.1415737982429</c:v>
                </c:pt>
                <c:pt idx="55">
                  <c:v>3338.414937719047</c:v>
                </c:pt>
                <c:pt idx="56">
                  <c:v>3367.5487314569918</c:v>
                </c:pt>
                <c:pt idx="57">
                  <c:v>3396.5486357896148</c:v>
                </c:pt>
                <c:pt idx="58">
                  <c:v>3425.4200894392907</c:v>
                </c:pt>
                <c:pt idx="59">
                  <c:v>3454.1683038423548</c:v>
                </c:pt>
                <c:pt idx="60">
                  <c:v>3482.7982767918529</c:v>
                </c:pt>
                <c:pt idx="61">
                  <c:v>3511.3148050570639</c:v>
                </c:pt>
                <c:pt idx="62">
                  <c:v>3539.7224960719955</c:v>
                </c:pt>
                <c:pt idx="63">
                  <c:v>3568.0257787753922</c:v>
                </c:pt>
                <c:pt idx="64">
                  <c:v>3596.2289136762884</c:v>
                </c:pt>
                <c:pt idx="65">
                  <c:v>3624.3360022116321</c:v>
                </c:pt>
                <c:pt idx="66">
                  <c:v>3652.3509954558899</c:v>
                </c:pt>
                <c:pt idx="67">
                  <c:v>3680.2777022365945</c:v>
                </c:pt>
                <c:pt idx="68">
                  <c:v>3708.119796704626</c:v>
                </c:pt>
                <c:pt idx="69">
                  <c:v>3735.8808254033324</c:v>
                </c:pt>
                <c:pt idx="70">
                  <c:v>3763.5642138764383</c:v>
                </c:pt>
                <c:pt idx="71">
                  <c:v>3791.1732728509919</c:v>
                </c:pt>
                <c:pt idx="72">
                  <c:v>3818.7112040283127</c:v>
                </c:pt>
                <c:pt idx="73">
                  <c:v>3846.1811055128665</c:v>
                </c:pt>
                <c:pt idx="74">
                  <c:v>3825.2240992502893</c:v>
                </c:pt>
                <c:pt idx="75">
                  <c:v>3802.6520355985481</c:v>
                </c:pt>
                <c:pt idx="76">
                  <c:v>3780.5280982136505</c:v>
                </c:pt>
                <c:pt idx="77">
                  <c:v>3758.8383962640678</c:v>
                </c:pt>
                <c:pt idx="78">
                  <c:v>3737.5696255996263</c:v>
                </c:pt>
                <c:pt idx="79">
                  <c:v>3716.644779961377</c:v>
                </c:pt>
                <c:pt idx="80">
                  <c:v>3696.0784767344339</c:v>
                </c:pt>
                <c:pt idx="81">
                  <c:v>3675.8970372951717</c:v>
                </c:pt>
                <c:pt idx="82">
                  <c:v>3656.0892032236602</c:v>
                </c:pt>
                <c:pt idx="83">
                  <c:v>3636.6441653922197</c:v>
                </c:pt>
                <c:pt idx="84">
                  <c:v>3617.5515413653202</c:v>
                </c:pt>
                <c:pt idx="85">
                  <c:v>3758.3479244808254</c:v>
                </c:pt>
                <c:pt idx="86">
                  <c:v>3764.0240255918393</c:v>
                </c:pt>
                <c:pt idx="87">
                  <c:v>3769.8953473535739</c:v>
                </c:pt>
                <c:pt idx="88">
                  <c:v>3775.960417990827</c:v>
                </c:pt>
                <c:pt idx="89">
                  <c:v>3782.2178720556817</c:v>
                </c:pt>
                <c:pt idx="90">
                  <c:v>3788.6664456798421</c:v>
                </c:pt>
                <c:pt idx="91">
                  <c:v>3795.3049721355646</c:v>
                </c:pt>
                <c:pt idx="92">
                  <c:v>3802.1323776833733</c:v>
                </c:pt>
                <c:pt idx="93">
                  <c:v>3809.1476776865002</c:v>
                </c:pt>
                <c:pt idx="94">
                  <c:v>3816.3499729735968</c:v>
                </c:pt>
                <c:pt idx="95">
                  <c:v>3823.7384464327733</c:v>
                </c:pt>
                <c:pt idx="96">
                  <c:v>3831.3123598213301</c:v>
                </c:pt>
                <c:pt idx="97">
                  <c:v>3839.0710507767963</c:v>
                </c:pt>
                <c:pt idx="98">
                  <c:v>3847.0139300160163</c:v>
                </c:pt>
                <c:pt idx="99">
                  <c:v>3855.1404787100005</c:v>
                </c:pt>
                <c:pt idx="100">
                  <c:v>3863.4502460232857</c:v>
                </c:pt>
              </c:numCache>
            </c:numRef>
          </c:val>
          <c:smooth val="0"/>
          <c:extLst>
            <c:ext xmlns:c16="http://schemas.microsoft.com/office/drawing/2014/chart" uri="{C3380CC4-5D6E-409C-BE32-E72D297353CC}">
              <c16:uniqueId val="{00000002-9FB2-40F7-8293-C6828AB4E751}"/>
            </c:ext>
          </c:extLst>
        </c:ser>
        <c:ser>
          <c:idx val="1"/>
          <c:order val="3"/>
          <c:tx>
            <c:strRef>
              <c:f>'Calculations - Dual'!$BR$3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Dual'!$BX$5:$BX$105</c:f>
              <c:numCache>
                <c:formatCode>0.0</c:formatCode>
                <c:ptCount val="101"/>
                <c:pt idx="0">
                  <c:v>76.231364648819593</c:v>
                </c:pt>
                <c:pt idx="1">
                  <c:v>99.392144789667213</c:v>
                </c:pt>
                <c:pt idx="2">
                  <c:v>148.75735123774615</c:v>
                </c:pt>
                <c:pt idx="3">
                  <c:v>219.43087275157768</c:v>
                </c:pt>
                <c:pt idx="4">
                  <c:v>316.28128515152309</c:v>
                </c:pt>
                <c:pt idx="5">
                  <c:v>443.38952672319067</c:v>
                </c:pt>
                <c:pt idx="6">
                  <c:v>604.34311775334311</c:v>
                </c:pt>
                <c:pt idx="7">
                  <c:v>802.38194111346138</c:v>
                </c:pt>
                <c:pt idx="8">
                  <c:v>1040.4835628625167</c:v>
                </c:pt>
                <c:pt idx="9">
                  <c:v>1321.4183834211965</c:v>
                </c:pt>
                <c:pt idx="10">
                  <c:v>1647.7877630717194</c:v>
                </c:pt>
                <c:pt idx="11">
                  <c:v>2022.0516946807359</c:v>
                </c:pt>
                <c:pt idx="12">
                  <c:v>2498.8150606726822</c:v>
                </c:pt>
                <c:pt idx="13">
                  <c:v>3138.1260451089556</c:v>
                </c:pt>
                <c:pt idx="14">
                  <c:v>3433.6952105899031</c:v>
                </c:pt>
                <c:pt idx="15">
                  <c:v>3734.0703551105967</c:v>
                </c:pt>
                <c:pt idx="16">
                  <c:v>4039.0232063347426</c:v>
                </c:pt>
                <c:pt idx="17">
                  <c:v>4348.3509597139246</c:v>
                </c:pt>
                <c:pt idx="18">
                  <c:v>4661.8721076829206</c:v>
                </c:pt>
                <c:pt idx="19">
                  <c:v>4979.4231475490478</c:v>
                </c:pt>
                <c:pt idx="20">
                  <c:v>5300.8559460310935</c:v>
                </c:pt>
                <c:pt idx="21">
                  <c:v>5626.0356029142768</c:v>
                </c:pt>
                <c:pt idx="22">
                  <c:v>5954.8386998478218</c:v>
                </c:pt>
                <c:pt idx="23">
                  <c:v>6287.151850377003</c:v>
                </c:pt>
                <c:pt idx="24">
                  <c:v>6622.8704884628496</c:v>
                </c:pt>
                <c:pt idx="25">
                  <c:v>6961.8978479010193</c:v>
                </c:pt>
                <c:pt idx="26">
                  <c:v>7304.1440960836098</c:v>
                </c:pt>
                <c:pt idx="27">
                  <c:v>7649.5255936933127</c:v>
                </c:pt>
                <c:pt idx="28">
                  <c:v>7997.9642580137033</c:v>
                </c:pt>
                <c:pt idx="29">
                  <c:v>8349.3870121543077</c:v>
                </c:pt>
                <c:pt idx="30">
                  <c:v>8703.72530602199</c:v>
                </c:pt>
                <c:pt idx="31">
                  <c:v>9060.9146976039592</c:v>
                </c:pt>
                <c:pt idx="32">
                  <c:v>9420.8944852612785</c:v>
                </c:pt>
                <c:pt idx="33">
                  <c:v>9783.6073834138515</c:v>
                </c:pt>
                <c:pt idx="34">
                  <c:v>10148.999235332543</c:v>
                </c:pt>
                <c:pt idx="35">
                  <c:v>10517.01875782358</c:v>
                </c:pt>
                <c:pt idx="36">
                  <c:v>10887.617313451448</c:v>
                </c:pt>
                <c:pt idx="37">
                  <c:v>11260.748706645922</c:v>
                </c:pt>
                <c:pt idx="38">
                  <c:v>11636.369000609495</c:v>
                </c:pt>
                <c:pt idx="39">
                  <c:v>12014.436352411056</c:v>
                </c:pt>
                <c:pt idx="40">
                  <c:v>12394.910864038313</c:v>
                </c:pt>
                <c:pt idx="41">
                  <c:v>12777.754447503859</c:v>
                </c:pt>
                <c:pt idx="42">
                  <c:v>13162.930702368063</c:v>
                </c:pt>
                <c:pt idx="43">
                  <c:v>13550.404804266876</c:v>
                </c:pt>
                <c:pt idx="44">
                  <c:v>13940.143403222957</c:v>
                </c:pt>
                <c:pt idx="45">
                  <c:v>14332.11453067802</c:v>
                </c:pt>
                <c:pt idx="46">
                  <c:v>14726.287514321686</c:v>
                </c:pt>
                <c:pt idx="47">
                  <c:v>15122.632899907176</c:v>
                </c:pt>
                <c:pt idx="48">
                  <c:v>15521.122379344619</c:v>
                </c:pt>
                <c:pt idx="49">
                  <c:v>15921.728724447279</c:v>
                </c:pt>
                <c:pt idx="50">
                  <c:v>16324.425725780337</c:v>
                </c:pt>
                <c:pt idx="51">
                  <c:v>16729.188136124863</c:v>
                </c:pt>
                <c:pt idx="52">
                  <c:v>17135.991618125103</c:v>
                </c:pt>
                <c:pt idx="53">
                  <c:v>17544.81269573512</c:v>
                </c:pt>
                <c:pt idx="54">
                  <c:v>17955.628709122582</c:v>
                </c:pt>
                <c:pt idx="55">
                  <c:v>18368.417772724177</c:v>
                </c:pt>
                <c:pt idx="56">
                  <c:v>18783.158736179066</c:v>
                </c:pt>
                <c:pt idx="57">
                  <c:v>19199.831147895162</c:v>
                </c:pt>
                <c:pt idx="58">
                  <c:v>19618.415221027797</c:v>
                </c:pt>
                <c:pt idx="59">
                  <c:v>20038.891801672107</c:v>
                </c:pt>
                <c:pt idx="60">
                  <c:v>20461.242339090335</c:v>
                </c:pt>
                <c:pt idx="61">
                  <c:v>20885.448857811894</c:v>
                </c:pt>
                <c:pt idx="62">
                  <c:v>21311.493931459827</c:v>
                </c:pt>
                <c:pt idx="63">
                  <c:v>21739.360658170721</c:v>
                </c:pt>
                <c:pt idx="64">
                  <c:v>22169.032637487482</c:v>
                </c:pt>
                <c:pt idx="65">
                  <c:v>22600.493948614872</c:v>
                </c:pt>
                <c:pt idx="66">
                  <c:v>23033.729129937932</c:v>
                </c:pt>
                <c:pt idx="67">
                  <c:v>23468.723159712081</c:v>
                </c:pt>
                <c:pt idx="68">
                  <c:v>23905.461437841088</c:v>
                </c:pt>
                <c:pt idx="69">
                  <c:v>24343.929768666774</c:v>
                </c:pt>
                <c:pt idx="70">
                  <c:v>24784.114344700756</c:v>
                </c:pt>
                <c:pt idx="71">
                  <c:v>25226.001731233133</c:v>
                </c:pt>
                <c:pt idx="72">
                  <c:v>25669.578851760234</c:v>
                </c:pt>
                <c:pt idx="73">
                  <c:v>26114.832974176243</c:v>
                </c:pt>
                <c:pt idx="74">
                  <c:v>25822.711662076825</c:v>
                </c:pt>
                <c:pt idx="75">
                  <c:v>25507.334080212171</c:v>
                </c:pt>
                <c:pt idx="76">
                  <c:v>25200.117617328986</c:v>
                </c:pt>
                <c:pt idx="77">
                  <c:v>24900.768069221627</c:v>
                </c:pt>
                <c:pt idx="78">
                  <c:v>24609.004859505414</c:v>
                </c:pt>
                <c:pt idx="79">
                  <c:v>24323.884477648531</c:v>
                </c:pt>
                <c:pt idx="80">
                  <c:v>24045.44330620547</c:v>
                </c:pt>
                <c:pt idx="81">
                  <c:v>23773.839227200817</c:v>
                </c:pt>
                <c:pt idx="82">
                  <c:v>23508.838531281748</c:v>
                </c:pt>
                <c:pt idx="83">
                  <c:v>23250.21779268876</c:v>
                </c:pt>
                <c:pt idx="84">
                  <c:v>22997.763319896938</c:v>
                </c:pt>
                <c:pt idx="85">
                  <c:v>25120.647129543089</c:v>
                </c:pt>
                <c:pt idx="86">
                  <c:v>25221.594171305813</c:v>
                </c:pt>
                <c:pt idx="87">
                  <c:v>25322.201437010463</c:v>
                </c:pt>
                <c:pt idx="88">
                  <c:v>25422.494616357119</c:v>
                </c:pt>
                <c:pt idx="89">
                  <c:v>25522.498477147841</c:v>
                </c:pt>
                <c:pt idx="90">
                  <c:v>25622.236912904795</c:v>
                </c:pt>
                <c:pt idx="91">
                  <c:v>25721.732987712367</c:v>
                </c:pt>
                <c:pt idx="92">
                  <c:v>25821.00897847216</c:v>
                </c:pt>
                <c:pt idx="93">
                  <c:v>25920.08641474475</c:v>
                </c:pt>
                <c:pt idx="94">
                  <c:v>26018.986116339522</c:v>
                </c:pt>
                <c:pt idx="95">
                  <c:v>26117.728228801661</c:v>
                </c:pt>
                <c:pt idx="96">
                  <c:v>26216.332256933732</c:v>
                </c:pt>
                <c:pt idx="97">
                  <c:v>26314.817096480285</c:v>
                </c:pt>
                <c:pt idx="98">
                  <c:v>26413.201064093246</c:v>
                </c:pt>
                <c:pt idx="99">
                  <c:v>26511.501925688157</c:v>
                </c:pt>
                <c:pt idx="100">
                  <c:v>26609.736923293058</c:v>
                </c:pt>
              </c:numCache>
            </c:numRef>
          </c:val>
          <c:smooth val="0"/>
          <c:extLst>
            <c:ext xmlns:c16="http://schemas.microsoft.com/office/drawing/2014/chart" uri="{C3380CC4-5D6E-409C-BE32-E72D297353CC}">
              <c16:uniqueId val="{00000003-9FB2-40F7-8293-C6828AB4E751}"/>
            </c:ext>
          </c:extLst>
        </c:ser>
        <c:dLbls>
          <c:showLegendKey val="0"/>
          <c:showVal val="0"/>
          <c:showCatName val="0"/>
          <c:showSerName val="0"/>
          <c:showPercent val="0"/>
          <c:showBubbleSize val="0"/>
        </c:dLbls>
        <c:marker val="1"/>
        <c:smooth val="0"/>
        <c:axId val="450510848"/>
        <c:axId val="450500480"/>
      </c:lineChart>
      <c:catAx>
        <c:axId val="450484096"/>
        <c:scaling>
          <c:orientation val="minMax"/>
        </c:scaling>
        <c:delete val="0"/>
        <c:axPos val="b"/>
        <c:majorGridlines>
          <c:spPr>
            <a:ln w="15875">
              <a:solidFill>
                <a:srgbClr val="969696"/>
              </a:solidFill>
              <a:prstDash val="sysDash"/>
            </a:ln>
          </c:spPr>
        </c:majorGridlines>
        <c:minorGridlines/>
        <c:title>
          <c:tx>
            <c:rich>
              <a:bodyPr/>
              <a:lstStyle/>
              <a:p>
                <a:pPr>
                  <a:defRPr lang="ja-JP"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a:t>
                </a:r>
                <a:r>
                  <a:rPr lang="en-US" sz="1200" baseline="0">
                    <a:solidFill>
                      <a:srgbClr val="0000FF"/>
                    </a:solidFill>
                    <a:latin typeface="Arial" pitchFamily="34" charset="0"/>
                    <a:cs typeface="Arial" pitchFamily="34" charset="0"/>
                  </a:rPr>
                  <a:t> Total Rated Output Power</a:t>
                </a:r>
                <a:endParaRPr lang="en-US" sz="1200">
                  <a:solidFill>
                    <a:srgbClr val="0000FF"/>
                  </a:solidFill>
                  <a:latin typeface="Arial" pitchFamily="34" charset="0"/>
                  <a:cs typeface="Arial" pitchFamily="34" charset="0"/>
                </a:endParaRPr>
              </a:p>
            </c:rich>
          </c:tx>
          <c:layout>
            <c:manualLayout>
              <c:xMode val="edge"/>
              <c:yMode val="edge"/>
              <c:x val="0.42471011396394504"/>
              <c:y val="0.93853771636955563"/>
            </c:manualLayout>
          </c:layout>
          <c:overlay val="0"/>
          <c:spPr>
            <a:noFill/>
            <a:ln w="25400">
              <a:noFill/>
            </a:ln>
          </c:spPr>
        </c:title>
        <c:numFmt formatCode="General" sourceLinked="1"/>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0000FF"/>
                </a:solidFill>
                <a:latin typeface="Arial" pitchFamily="34" charset="0"/>
                <a:ea typeface="Calibri"/>
                <a:cs typeface="Arial" pitchFamily="34" charset="0"/>
              </a:defRPr>
            </a:pPr>
            <a:endParaRPr lang="en-US"/>
          </a:p>
        </c:txPr>
        <c:crossAx val="450498560"/>
        <c:crosses val="autoZero"/>
        <c:auto val="1"/>
        <c:lblAlgn val="ctr"/>
        <c:lblOffset val="100"/>
        <c:tickLblSkip val="20"/>
        <c:tickMarkSkip val="20"/>
        <c:noMultiLvlLbl val="0"/>
      </c:catAx>
      <c:valAx>
        <c:axId val="450498560"/>
        <c:scaling>
          <c:orientation val="minMax"/>
          <c:max val="100"/>
          <c:min val="55"/>
        </c:scaling>
        <c:delete val="0"/>
        <c:axPos val="l"/>
        <c:majorGridlines>
          <c:spPr>
            <a:ln w="15875">
              <a:solidFill>
                <a:srgbClr val="808080"/>
              </a:solidFill>
              <a:prstDash val="solid"/>
            </a:ln>
          </c:spPr>
        </c:majorGridlines>
        <c:title>
          <c:tx>
            <c:rich>
              <a:bodyPr/>
              <a:lstStyle/>
              <a:p>
                <a:pPr>
                  <a:defRPr lang="ja-JP"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FF0000"/>
                </a:solidFill>
                <a:latin typeface="Arial" pitchFamily="34" charset="0"/>
                <a:ea typeface="Calibri"/>
                <a:cs typeface="Arial" pitchFamily="34" charset="0"/>
              </a:defRPr>
            </a:pPr>
            <a:endParaRPr lang="en-US"/>
          </a:p>
        </c:txPr>
        <c:crossAx val="450484096"/>
        <c:crossesAt val="0"/>
        <c:crossBetween val="between"/>
        <c:majorUnit val="5"/>
        <c:minorUnit val="2.5"/>
      </c:valAx>
      <c:valAx>
        <c:axId val="450500480"/>
        <c:scaling>
          <c:orientation val="minMax"/>
        </c:scaling>
        <c:delete val="0"/>
        <c:axPos val="r"/>
        <c:title>
          <c:tx>
            <c:rich>
              <a:bodyPr rot="-5400000" vert="horz"/>
              <a:lstStyle/>
              <a:p>
                <a:pPr>
                  <a:defRPr lang="ja-JP"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lang="ja-JP" sz="1100" b="1">
                <a:solidFill>
                  <a:sysClr val="windowText" lastClr="000000"/>
                </a:solidFill>
              </a:defRPr>
            </a:pPr>
            <a:endParaRPr lang="en-US"/>
          </a:p>
        </c:txPr>
        <c:crossAx val="450510848"/>
        <c:crosses val="max"/>
        <c:crossBetween val="between"/>
      </c:valAx>
      <c:catAx>
        <c:axId val="450510848"/>
        <c:scaling>
          <c:orientation val="minMax"/>
        </c:scaling>
        <c:delete val="1"/>
        <c:axPos val="b"/>
        <c:numFmt formatCode="General" sourceLinked="1"/>
        <c:majorTickMark val="out"/>
        <c:minorTickMark val="none"/>
        <c:tickLblPos val="nextTo"/>
        <c:crossAx val="450500480"/>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0550962619267337"/>
          <c:h val="8.9795049320617604E-2"/>
        </c:manualLayout>
      </c:layout>
      <c:overlay val="0"/>
      <c:spPr>
        <a:solidFill>
          <a:srgbClr val="FFFFFF"/>
        </a:solidFill>
        <a:ln w="25400">
          <a:noFill/>
        </a:ln>
      </c:spPr>
      <c:txPr>
        <a:bodyPr/>
        <a:lstStyle/>
        <a:p>
          <a:pPr>
            <a:defRPr lang="ja-JP" sz="11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93009796772281"/>
          <c:y val="9.6043598935517463E-2"/>
          <c:w val="0.79387547420256122"/>
          <c:h val="0.75083975467433728"/>
        </c:manualLayout>
      </c:layout>
      <c:lineChart>
        <c:grouping val="standard"/>
        <c:varyColors val="0"/>
        <c:ser>
          <c:idx val="9"/>
          <c:order val="6"/>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Dual'!$AM$110:$AM$210</c:f>
              <c:numCache>
                <c:formatCode>0.0</c:formatCode>
                <c:ptCount val="101"/>
                <c:pt idx="0">
                  <c:v>10</c:v>
                </c:pt>
                <c:pt idx="1">
                  <c:v>27.500946761249416</c:v>
                </c:pt>
                <c:pt idx="2">
                  <c:v>82.502840283748242</c:v>
                </c:pt>
                <c:pt idx="3">
                  <c:v>82.502840283748242</c:v>
                </c:pt>
                <c:pt idx="4">
                  <c:v>110.00378704499767</c:v>
                </c:pt>
                <c:pt idx="5">
                  <c:v>137.50473380624706</c:v>
                </c:pt>
                <c:pt idx="6">
                  <c:v>165.00568056749648</c:v>
                </c:pt>
                <c:pt idx="7">
                  <c:v>192.50662732874591</c:v>
                </c:pt>
                <c:pt idx="8">
                  <c:v>220.00757408999533</c:v>
                </c:pt>
                <c:pt idx="9">
                  <c:v>247.50852085124473</c:v>
                </c:pt>
                <c:pt idx="10">
                  <c:v>275.00946761249412</c:v>
                </c:pt>
                <c:pt idx="11">
                  <c:v>302.51041437374357</c:v>
                </c:pt>
                <c:pt idx="12">
                  <c:v>330.01136113499297</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345.86340160719345</c:v>
                </c:pt>
                <c:pt idx="49">
                  <c:v>339.26473502668671</c:v>
                </c:pt>
                <c:pt idx="50">
                  <c:v>332.91257786125936</c:v>
                </c:pt>
                <c:pt idx="51">
                  <c:v>326.79337537641322</c:v>
                </c:pt>
                <c:pt idx="52">
                  <c:v>320.87741203412884</c:v>
                </c:pt>
                <c:pt idx="53">
                  <c:v>315.16982570998761</c:v>
                </c:pt>
                <c:pt idx="54">
                  <c:v>309.6604515374637</c:v>
                </c:pt>
                <c:pt idx="55">
                  <c:v>304.33914029431946</c:v>
                </c:pt>
                <c:pt idx="56">
                  <c:v>299.19642403581486</c:v>
                </c:pt>
                <c:pt idx="57">
                  <c:v>294.22345987382101</c:v>
                </c:pt>
                <c:pt idx="58">
                  <c:v>289.4119792329389</c:v>
                </c:pt>
                <c:pt idx="59">
                  <c:v>284.75424197107662</c:v>
                </c:pt>
                <c:pt idx="60">
                  <c:v>280.24299482899738</c:v>
                </c:pt>
                <c:pt idx="61">
                  <c:v>275.87143373968053</c:v>
                </c:pt>
                <c:pt idx="62">
                  <c:v>271.63316958555379</c:v>
                </c:pt>
                <c:pt idx="63">
                  <c:v>267.52219704115402</c:v>
                </c:pt>
                <c:pt idx="64">
                  <c:v>263.53286618166868</c:v>
                </c:pt>
                <c:pt idx="65">
                  <c:v>259.65985657507753</c:v>
                </c:pt>
                <c:pt idx="66">
                  <c:v>255.89815360807506</c:v>
                </c:pt>
                <c:pt idx="67">
                  <c:v>252.24302682425559</c:v>
                </c:pt>
                <c:pt idx="68">
                  <c:v>248.69001007780486</c:v>
                </c:pt>
                <c:pt idx="69">
                  <c:v>245.23488332762261</c:v>
                </c:pt>
                <c:pt idx="70">
                  <c:v>241.87365591583423</c:v>
                </c:pt>
                <c:pt idx="71">
                  <c:v>238.60255119138742</c:v>
                </c:pt>
                <c:pt idx="72">
                  <c:v>235.41799235416812</c:v>
                </c:pt>
                <c:pt idx="73">
                  <c:v>232.3165894080883</c:v>
                </c:pt>
                <c:pt idx="74">
                  <c:v>229.2951271230931</c:v>
                </c:pt>
                <c:pt idx="75">
                  <c:v>226.35055391622313</c:v>
                </c:pt>
                <c:pt idx="76">
                  <c:v>223.47997157089981</c:v>
                </c:pt>
                <c:pt idx="77">
                  <c:v>220.68062572162594</c:v>
                </c:pt>
                <c:pt idx="78">
                  <c:v>217.94989703843129</c:v>
                </c:pt>
                <c:pt idx="79">
                  <c:v>215.28529305175613</c:v>
                </c:pt>
                <c:pt idx="80">
                  <c:v>212.6844405641402</c:v>
                </c:pt>
                <c:pt idx="81">
                  <c:v>210.14507860015701</c:v>
                </c:pt>
                <c:pt idx="82">
                  <c:v>207.66505185057423</c:v>
                </c:pt>
                <c:pt idx="83">
                  <c:v>205.2423045707836</c:v>
                </c:pt>
                <c:pt idx="84">
                  <c:v>202.87487489719871</c:v>
                </c:pt>
                <c:pt idx="85">
                  <c:v>200.56088954859257</c:v>
                </c:pt>
                <c:pt idx="86">
                  <c:v>198.29855888229784</c:v>
                </c:pt>
                <c:pt idx="87">
                  <c:v>196.08617227785052</c:v>
                </c:pt>
                <c:pt idx="88">
                  <c:v>193.92209382304969</c:v>
                </c:pt>
                <c:pt idx="89">
                  <c:v>191.80475827957036</c:v>
                </c:pt>
                <c:pt idx="90">
                  <c:v>189.73266730722025</c:v>
                </c:pt>
                <c:pt idx="91">
                  <c:v>187.70438592769966</c:v>
                </c:pt>
                <c:pt idx="92">
                  <c:v>185.71853921032664</c:v>
                </c:pt>
                <c:pt idx="93">
                  <c:v>183.77380916363907</c:v>
                </c:pt>
                <c:pt idx="94">
                  <c:v>181.86893181810922</c:v>
                </c:pt>
                <c:pt idx="95">
                  <c:v>180.00269448639793</c:v>
                </c:pt>
                <c:pt idx="96">
                  <c:v>178.17393318867354</c:v>
                </c:pt>
                <c:pt idx="97">
                  <c:v>176.38153023150494</c:v>
                </c:pt>
                <c:pt idx="98">
                  <c:v>174.62441192974907</c:v>
                </c:pt>
                <c:pt idx="99">
                  <c:v>172.90154646167491</c:v>
                </c:pt>
                <c:pt idx="100">
                  <c:v>171.21194184832109</c:v>
                </c:pt>
              </c:numCache>
            </c:numRef>
          </c:val>
          <c:smooth val="0"/>
          <c:extLst>
            <c:ext xmlns:c16="http://schemas.microsoft.com/office/drawing/2014/chart" uri="{C3380CC4-5D6E-409C-BE32-E72D297353CC}">
              <c16:uniqueId val="{00000000-8D54-466C-9E56-3B54C69CECB8}"/>
            </c:ext>
          </c:extLst>
        </c:ser>
        <c:ser>
          <c:idx val="10"/>
          <c:order val="7"/>
          <c:tx>
            <c:v>VIN-nom</c:v>
          </c:tx>
          <c:spPr>
            <a:ln w="28575">
              <a:solidFill>
                <a:srgbClr val="0000FF"/>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Dual'!$AM$5:$AM$105</c:f>
              <c:numCache>
                <c:formatCode>0.0</c:formatCode>
                <c:ptCount val="101"/>
                <c:pt idx="0">
                  <c:v>10</c:v>
                </c:pt>
                <c:pt idx="1">
                  <c:v>27.500946761249416</c:v>
                </c:pt>
                <c:pt idx="2">
                  <c:v>55.001893522498833</c:v>
                </c:pt>
                <c:pt idx="3">
                  <c:v>82.502840283748242</c:v>
                </c:pt>
                <c:pt idx="4">
                  <c:v>110.00378704499767</c:v>
                </c:pt>
                <c:pt idx="5">
                  <c:v>137.50473380624706</c:v>
                </c:pt>
                <c:pt idx="6">
                  <c:v>165.00568056749648</c:v>
                </c:pt>
                <c:pt idx="7">
                  <c:v>192.50662732874591</c:v>
                </c:pt>
                <c:pt idx="8">
                  <c:v>220.00757408999533</c:v>
                </c:pt>
                <c:pt idx="9">
                  <c:v>247.50852085124473</c:v>
                </c:pt>
                <c:pt idx="10">
                  <c:v>275.00946761249412</c:v>
                </c:pt>
                <c:pt idx="11">
                  <c:v>302.51041437374357</c:v>
                </c:pt>
                <c:pt idx="12">
                  <c:v>330.01136113499297</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345.77127327623862</c:v>
                </c:pt>
                <c:pt idx="75">
                  <c:v>341.46917662343873</c:v>
                </c:pt>
                <c:pt idx="76">
                  <c:v>337.27268736584324</c:v>
                </c:pt>
                <c:pt idx="77">
                  <c:v>333.17796482095775</c:v>
                </c:pt>
                <c:pt idx="78">
                  <c:v>329.18135229491418</c:v>
                </c:pt>
                <c:pt idx="79">
                  <c:v>325.27544571815162</c:v>
                </c:pt>
                <c:pt idx="80">
                  <c:v>321.45860819807336</c:v>
                </c:pt>
                <c:pt idx="81">
                  <c:v>317.73000277407016</c:v>
                </c:pt>
                <c:pt idx="82">
                  <c:v>314.08660489271443</c:v>
                </c:pt>
                <c:pt idx="83">
                  <c:v>310.5255266791188</c:v>
                </c:pt>
                <c:pt idx="84">
                  <c:v>307.04400930261346</c:v>
                </c:pt>
                <c:pt idx="85">
                  <c:v>303.63941584847828</c:v>
                </c:pt>
                <c:pt idx="86">
                  <c:v>300.30922465702025</c:v>
                </c:pt>
                <c:pt idx="87">
                  <c:v>297.05102309463831</c:v>
                </c:pt>
                <c:pt idx="88">
                  <c:v>293.8625017245372</c:v>
                </c:pt>
                <c:pt idx="89">
                  <c:v>290.7414488474937</c:v>
                </c:pt>
                <c:pt idx="90">
                  <c:v>287.68574538555328</c:v>
                </c:pt>
                <c:pt idx="91">
                  <c:v>284.69336008378821</c:v>
                </c:pt>
                <c:pt idx="92">
                  <c:v>281.76234500728293</c:v>
                </c:pt>
                <c:pt idx="93">
                  <c:v>278.89083131237174</c:v>
                </c:pt>
                <c:pt idx="94">
                  <c:v>276.0770252728355</c:v>
                </c:pt>
                <c:pt idx="95">
                  <c:v>273.3192045433039</c:v>
                </c:pt>
                <c:pt idx="96">
                  <c:v>270.61571464350584</c:v>
                </c:pt>
                <c:pt idx="97">
                  <c:v>267.96496564828726</c:v>
                </c:pt>
                <c:pt idx="98">
                  <c:v>265.36542906948381</c:v>
                </c:pt>
                <c:pt idx="99">
                  <c:v>262.81563491679674</c:v>
                </c:pt>
                <c:pt idx="100">
                  <c:v>260.31416892579756</c:v>
                </c:pt>
              </c:numCache>
            </c:numRef>
          </c:val>
          <c:smooth val="0"/>
          <c:extLst>
            <c:ext xmlns:c16="http://schemas.microsoft.com/office/drawing/2014/chart" uri="{C3380CC4-5D6E-409C-BE32-E72D297353CC}">
              <c16:uniqueId val="{00000001-8D54-466C-9E56-3B54C69CECB8}"/>
            </c:ext>
          </c:extLst>
        </c:ser>
        <c:ser>
          <c:idx val="11"/>
          <c:order val="8"/>
          <c:tx>
            <c:v>VIN-max</c:v>
          </c:tx>
          <c:spPr>
            <a:ln>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Dual'!$AM$216:$AM$316</c:f>
              <c:numCache>
                <c:formatCode>0.0</c:formatCode>
                <c:ptCount val="101"/>
                <c:pt idx="0">
                  <c:v>10</c:v>
                </c:pt>
                <c:pt idx="1">
                  <c:v>27.500789703754936</c:v>
                </c:pt>
                <c:pt idx="2">
                  <c:v>55.001579407509873</c:v>
                </c:pt>
                <c:pt idx="3">
                  <c:v>82.502369111264812</c:v>
                </c:pt>
                <c:pt idx="4">
                  <c:v>110.00315881501975</c:v>
                </c:pt>
                <c:pt idx="5">
                  <c:v>137.50394851877468</c:v>
                </c:pt>
                <c:pt idx="6">
                  <c:v>165.00473822252962</c:v>
                </c:pt>
                <c:pt idx="7">
                  <c:v>192.50552792628457</c:v>
                </c:pt>
                <c:pt idx="8">
                  <c:v>220.00631763003949</c:v>
                </c:pt>
                <c:pt idx="9">
                  <c:v>247.50710733379441</c:v>
                </c:pt>
                <c:pt idx="10">
                  <c:v>275.00789703754936</c:v>
                </c:pt>
                <c:pt idx="11">
                  <c:v>302.5086867413043</c:v>
                </c:pt>
                <c:pt idx="12">
                  <c:v>330.00947644505925</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2-8D54-466C-9E56-3B54C69CECB8}"/>
            </c:ext>
          </c:extLst>
        </c:ser>
        <c:ser>
          <c:idx val="12"/>
          <c:order val="9"/>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8D54-466C-9E56-3B54C69CECB8}"/>
            </c:ext>
          </c:extLst>
        </c:ser>
        <c:ser>
          <c:idx val="13"/>
          <c:order val="10"/>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8D54-466C-9E56-3B54C69CECB8}"/>
            </c:ext>
          </c:extLst>
        </c:ser>
        <c:ser>
          <c:idx val="14"/>
          <c:order val="11"/>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8D54-466C-9E56-3B54C69CECB8}"/>
            </c:ext>
          </c:extLst>
        </c:ser>
        <c:ser>
          <c:idx val="1"/>
          <c:order val="0"/>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Dual'!$AM$110:$AM$210</c:f>
              <c:numCache>
                <c:formatCode>0.0</c:formatCode>
                <c:ptCount val="101"/>
                <c:pt idx="0">
                  <c:v>10</c:v>
                </c:pt>
                <c:pt idx="1">
                  <c:v>27.500946761249416</c:v>
                </c:pt>
                <c:pt idx="2">
                  <c:v>82.502840283748242</c:v>
                </c:pt>
                <c:pt idx="3">
                  <c:v>82.502840283748242</c:v>
                </c:pt>
                <c:pt idx="4">
                  <c:v>110.00378704499767</c:v>
                </c:pt>
                <c:pt idx="5">
                  <c:v>137.50473380624706</c:v>
                </c:pt>
                <c:pt idx="6">
                  <c:v>165.00568056749648</c:v>
                </c:pt>
                <c:pt idx="7">
                  <c:v>192.50662732874591</c:v>
                </c:pt>
                <c:pt idx="8">
                  <c:v>220.00757408999533</c:v>
                </c:pt>
                <c:pt idx="9">
                  <c:v>247.50852085124473</c:v>
                </c:pt>
                <c:pt idx="10">
                  <c:v>275.00946761249412</c:v>
                </c:pt>
                <c:pt idx="11">
                  <c:v>302.51041437374357</c:v>
                </c:pt>
                <c:pt idx="12">
                  <c:v>330.01136113499297</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345.86340160719345</c:v>
                </c:pt>
                <c:pt idx="49">
                  <c:v>339.26473502668671</c:v>
                </c:pt>
                <c:pt idx="50">
                  <c:v>332.91257786125936</c:v>
                </c:pt>
                <c:pt idx="51">
                  <c:v>326.79337537641322</c:v>
                </c:pt>
                <c:pt idx="52">
                  <c:v>320.87741203412884</c:v>
                </c:pt>
                <c:pt idx="53">
                  <c:v>315.16982570998761</c:v>
                </c:pt>
                <c:pt idx="54">
                  <c:v>309.6604515374637</c:v>
                </c:pt>
                <c:pt idx="55">
                  <c:v>304.33914029431946</c:v>
                </c:pt>
                <c:pt idx="56">
                  <c:v>299.19642403581486</c:v>
                </c:pt>
                <c:pt idx="57">
                  <c:v>294.22345987382101</c:v>
                </c:pt>
                <c:pt idx="58">
                  <c:v>289.4119792329389</c:v>
                </c:pt>
                <c:pt idx="59">
                  <c:v>284.75424197107662</c:v>
                </c:pt>
                <c:pt idx="60">
                  <c:v>280.24299482899738</c:v>
                </c:pt>
                <c:pt idx="61">
                  <c:v>275.87143373968053</c:v>
                </c:pt>
                <c:pt idx="62">
                  <c:v>271.63316958555379</c:v>
                </c:pt>
                <c:pt idx="63">
                  <c:v>267.52219704115402</c:v>
                </c:pt>
                <c:pt idx="64">
                  <c:v>263.53286618166868</c:v>
                </c:pt>
                <c:pt idx="65">
                  <c:v>259.65985657507753</c:v>
                </c:pt>
                <c:pt idx="66">
                  <c:v>255.89815360807506</c:v>
                </c:pt>
                <c:pt idx="67">
                  <c:v>252.24302682425559</c:v>
                </c:pt>
                <c:pt idx="68">
                  <c:v>248.69001007780486</c:v>
                </c:pt>
                <c:pt idx="69">
                  <c:v>245.23488332762261</c:v>
                </c:pt>
                <c:pt idx="70">
                  <c:v>241.87365591583423</c:v>
                </c:pt>
                <c:pt idx="71">
                  <c:v>238.60255119138742</c:v>
                </c:pt>
                <c:pt idx="72">
                  <c:v>235.41799235416812</c:v>
                </c:pt>
                <c:pt idx="73">
                  <c:v>232.3165894080883</c:v>
                </c:pt>
                <c:pt idx="74">
                  <c:v>229.2951271230931</c:v>
                </c:pt>
                <c:pt idx="75">
                  <c:v>226.35055391622313</c:v>
                </c:pt>
                <c:pt idx="76">
                  <c:v>223.47997157089981</c:v>
                </c:pt>
                <c:pt idx="77">
                  <c:v>220.68062572162594</c:v>
                </c:pt>
                <c:pt idx="78">
                  <c:v>217.94989703843129</c:v>
                </c:pt>
                <c:pt idx="79">
                  <c:v>215.28529305175613</c:v>
                </c:pt>
                <c:pt idx="80">
                  <c:v>212.6844405641402</c:v>
                </c:pt>
                <c:pt idx="81">
                  <c:v>210.14507860015701</c:v>
                </c:pt>
                <c:pt idx="82">
                  <c:v>207.66505185057423</c:v>
                </c:pt>
                <c:pt idx="83">
                  <c:v>205.2423045707836</c:v>
                </c:pt>
                <c:pt idx="84">
                  <c:v>202.87487489719871</c:v>
                </c:pt>
                <c:pt idx="85">
                  <c:v>200.56088954859257</c:v>
                </c:pt>
                <c:pt idx="86">
                  <c:v>198.29855888229784</c:v>
                </c:pt>
                <c:pt idx="87">
                  <c:v>196.08617227785052</c:v>
                </c:pt>
                <c:pt idx="88">
                  <c:v>193.92209382304969</c:v>
                </c:pt>
                <c:pt idx="89">
                  <c:v>191.80475827957036</c:v>
                </c:pt>
                <c:pt idx="90">
                  <c:v>189.73266730722025</c:v>
                </c:pt>
                <c:pt idx="91">
                  <c:v>187.70438592769966</c:v>
                </c:pt>
                <c:pt idx="92">
                  <c:v>185.71853921032664</c:v>
                </c:pt>
                <c:pt idx="93">
                  <c:v>183.77380916363907</c:v>
                </c:pt>
                <c:pt idx="94">
                  <c:v>181.86893181810922</c:v>
                </c:pt>
                <c:pt idx="95">
                  <c:v>180.00269448639793</c:v>
                </c:pt>
                <c:pt idx="96">
                  <c:v>178.17393318867354</c:v>
                </c:pt>
                <c:pt idx="97">
                  <c:v>176.38153023150494</c:v>
                </c:pt>
                <c:pt idx="98">
                  <c:v>174.62441192974907</c:v>
                </c:pt>
                <c:pt idx="99">
                  <c:v>172.90154646167491</c:v>
                </c:pt>
                <c:pt idx="100">
                  <c:v>171.21194184832109</c:v>
                </c:pt>
              </c:numCache>
            </c:numRef>
          </c:val>
          <c:smooth val="0"/>
          <c:extLst>
            <c:ext xmlns:c16="http://schemas.microsoft.com/office/drawing/2014/chart" uri="{C3380CC4-5D6E-409C-BE32-E72D297353CC}">
              <c16:uniqueId val="{00000006-8D54-466C-9E56-3B54C69CECB8}"/>
            </c:ext>
          </c:extLst>
        </c:ser>
        <c:ser>
          <c:idx val="0"/>
          <c:order val="1"/>
          <c:tx>
            <c:v>VIN-nom</c:v>
          </c:tx>
          <c:spPr>
            <a:ln w="28575">
              <a:solidFill>
                <a:srgbClr val="0000FF"/>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Dual'!$AM$5:$AM$105</c:f>
              <c:numCache>
                <c:formatCode>0.0</c:formatCode>
                <c:ptCount val="101"/>
                <c:pt idx="0">
                  <c:v>10</c:v>
                </c:pt>
                <c:pt idx="1">
                  <c:v>27.500946761249416</c:v>
                </c:pt>
                <c:pt idx="2">
                  <c:v>55.001893522498833</c:v>
                </c:pt>
                <c:pt idx="3">
                  <c:v>82.502840283748242</c:v>
                </c:pt>
                <c:pt idx="4">
                  <c:v>110.00378704499767</c:v>
                </c:pt>
                <c:pt idx="5">
                  <c:v>137.50473380624706</c:v>
                </c:pt>
                <c:pt idx="6">
                  <c:v>165.00568056749648</c:v>
                </c:pt>
                <c:pt idx="7">
                  <c:v>192.50662732874591</c:v>
                </c:pt>
                <c:pt idx="8">
                  <c:v>220.00757408999533</c:v>
                </c:pt>
                <c:pt idx="9">
                  <c:v>247.50852085124473</c:v>
                </c:pt>
                <c:pt idx="10">
                  <c:v>275.00946761249412</c:v>
                </c:pt>
                <c:pt idx="11">
                  <c:v>302.51041437374357</c:v>
                </c:pt>
                <c:pt idx="12">
                  <c:v>330.01136113499297</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345.77127327623862</c:v>
                </c:pt>
                <c:pt idx="75">
                  <c:v>341.46917662343873</c:v>
                </c:pt>
                <c:pt idx="76">
                  <c:v>337.27268736584324</c:v>
                </c:pt>
                <c:pt idx="77">
                  <c:v>333.17796482095775</c:v>
                </c:pt>
                <c:pt idx="78">
                  <c:v>329.18135229491418</c:v>
                </c:pt>
                <c:pt idx="79">
                  <c:v>325.27544571815162</c:v>
                </c:pt>
                <c:pt idx="80">
                  <c:v>321.45860819807336</c:v>
                </c:pt>
                <c:pt idx="81">
                  <c:v>317.73000277407016</c:v>
                </c:pt>
                <c:pt idx="82">
                  <c:v>314.08660489271443</c:v>
                </c:pt>
                <c:pt idx="83">
                  <c:v>310.5255266791188</c:v>
                </c:pt>
                <c:pt idx="84">
                  <c:v>307.04400930261346</c:v>
                </c:pt>
                <c:pt idx="85">
                  <c:v>303.63941584847828</c:v>
                </c:pt>
                <c:pt idx="86">
                  <c:v>300.30922465702025</c:v>
                </c:pt>
                <c:pt idx="87">
                  <c:v>297.05102309463831</c:v>
                </c:pt>
                <c:pt idx="88">
                  <c:v>293.8625017245372</c:v>
                </c:pt>
                <c:pt idx="89">
                  <c:v>290.7414488474937</c:v>
                </c:pt>
                <c:pt idx="90">
                  <c:v>287.68574538555328</c:v>
                </c:pt>
                <c:pt idx="91">
                  <c:v>284.69336008378821</c:v>
                </c:pt>
                <c:pt idx="92">
                  <c:v>281.76234500728293</c:v>
                </c:pt>
                <c:pt idx="93">
                  <c:v>278.89083131237174</c:v>
                </c:pt>
                <c:pt idx="94">
                  <c:v>276.0770252728355</c:v>
                </c:pt>
                <c:pt idx="95">
                  <c:v>273.3192045433039</c:v>
                </c:pt>
                <c:pt idx="96">
                  <c:v>270.61571464350584</c:v>
                </c:pt>
                <c:pt idx="97">
                  <c:v>267.96496564828726</c:v>
                </c:pt>
                <c:pt idx="98">
                  <c:v>265.36542906948381</c:v>
                </c:pt>
                <c:pt idx="99">
                  <c:v>262.81563491679674</c:v>
                </c:pt>
                <c:pt idx="100">
                  <c:v>260.31416892579756</c:v>
                </c:pt>
              </c:numCache>
            </c:numRef>
          </c:val>
          <c:smooth val="0"/>
          <c:extLst>
            <c:ext xmlns:c16="http://schemas.microsoft.com/office/drawing/2014/chart" uri="{C3380CC4-5D6E-409C-BE32-E72D297353CC}">
              <c16:uniqueId val="{00000007-8D54-466C-9E56-3B54C69CECB8}"/>
            </c:ext>
          </c:extLst>
        </c:ser>
        <c:ser>
          <c:idx val="2"/>
          <c:order val="2"/>
          <c:tx>
            <c:v>VIN-max</c:v>
          </c:tx>
          <c:spPr>
            <a:ln>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Dual'!$AM$216:$AM$316</c:f>
              <c:numCache>
                <c:formatCode>0.0</c:formatCode>
                <c:ptCount val="101"/>
                <c:pt idx="0">
                  <c:v>10</c:v>
                </c:pt>
                <c:pt idx="1">
                  <c:v>27.500789703754936</c:v>
                </c:pt>
                <c:pt idx="2">
                  <c:v>55.001579407509873</c:v>
                </c:pt>
                <c:pt idx="3">
                  <c:v>82.502369111264812</c:v>
                </c:pt>
                <c:pt idx="4">
                  <c:v>110.00315881501975</c:v>
                </c:pt>
                <c:pt idx="5">
                  <c:v>137.50394851877468</c:v>
                </c:pt>
                <c:pt idx="6">
                  <c:v>165.00473822252962</c:v>
                </c:pt>
                <c:pt idx="7">
                  <c:v>192.50552792628457</c:v>
                </c:pt>
                <c:pt idx="8">
                  <c:v>220.00631763003949</c:v>
                </c:pt>
                <c:pt idx="9">
                  <c:v>247.50710733379441</c:v>
                </c:pt>
                <c:pt idx="10">
                  <c:v>275.00789703754936</c:v>
                </c:pt>
                <c:pt idx="11">
                  <c:v>302.5086867413043</c:v>
                </c:pt>
                <c:pt idx="12">
                  <c:v>330.00947644505925</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8-8D54-466C-9E56-3B54C69CECB8}"/>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9-8D54-466C-9E56-3B54C69CECB8}"/>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A-8D54-466C-9E56-3B54C69CECB8}"/>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B-8D54-466C-9E56-3B54C69CECB8}"/>
            </c:ext>
          </c:extLst>
        </c:ser>
        <c:dLbls>
          <c:showLegendKey val="0"/>
          <c:showVal val="0"/>
          <c:showCatName val="0"/>
          <c:showSerName val="0"/>
          <c:showPercent val="0"/>
          <c:showBubbleSize val="0"/>
        </c:dLbls>
        <c:smooth val="0"/>
        <c:axId val="450786048"/>
        <c:axId val="450788352"/>
      </c:lineChart>
      <c:catAx>
        <c:axId val="450786048"/>
        <c:scaling>
          <c:orientation val="minMax"/>
        </c:scaling>
        <c:delete val="0"/>
        <c:axPos val="b"/>
        <c:majorGridlines>
          <c:spPr>
            <a:ln w="15875">
              <a:solidFill>
                <a:srgbClr val="969696"/>
              </a:solidFill>
              <a:prstDash val="sysDash"/>
            </a:ln>
          </c:spPr>
        </c:majorGridlines>
        <c:title>
          <c:tx>
            <c:rich>
              <a:bodyPr/>
              <a:lstStyle/>
              <a:p>
                <a:pPr>
                  <a:defRPr lang="ja-JP" sz="1100" b="1" i="0" u="none" strike="noStrike" baseline="0">
                    <a:solidFill>
                      <a:schemeClr val="tx1"/>
                    </a:solidFill>
                    <a:latin typeface="Arial" pitchFamily="34" charset="0"/>
                    <a:ea typeface="Calibri"/>
                    <a:cs typeface="Arial" pitchFamily="34" charset="0"/>
                  </a:defRPr>
                </a:pPr>
                <a:r>
                  <a:rPr lang="en-US" sz="1600" b="1" i="0" baseline="0">
                    <a:effectLst/>
                  </a:rPr>
                  <a:t>% Total Rated Output Power</a:t>
                </a:r>
                <a:endParaRPr lang="en-US" sz="1100">
                  <a:effectLst/>
                </a:endParaRPr>
              </a:p>
            </c:rich>
          </c:tx>
          <c:layout>
            <c:manualLayout>
              <c:xMode val="edge"/>
              <c:yMode val="edge"/>
              <c:x val="0.38070688614495507"/>
              <c:y val="0.93853774450069472"/>
            </c:manualLayout>
          </c:layout>
          <c:overlay val="0"/>
          <c:spPr>
            <a:noFill/>
            <a:ln w="25400">
              <a:noFill/>
            </a:ln>
          </c:spPr>
        </c:title>
        <c:numFmt formatCode="General" sourceLinked="1"/>
        <c:majorTickMark val="in"/>
        <c:minorTickMark val="in"/>
        <c:tickLblPos val="nextTo"/>
        <c:spPr>
          <a:ln w="3175">
            <a:solidFill>
              <a:schemeClr val="tx1"/>
            </a:solidFill>
            <a:prstDash val="solid"/>
          </a:ln>
        </c:spPr>
        <c:txPr>
          <a:bodyPr rot="0" vert="horz"/>
          <a:lstStyle/>
          <a:p>
            <a:pPr>
              <a:defRPr lang="ja-JP" sz="1400" b="1" i="0" u="none" strike="noStrike" baseline="0">
                <a:solidFill>
                  <a:schemeClr val="tx1"/>
                </a:solidFill>
                <a:latin typeface="Arial" pitchFamily="34" charset="0"/>
                <a:ea typeface="Calibri"/>
                <a:cs typeface="Arial" pitchFamily="34" charset="0"/>
              </a:defRPr>
            </a:pPr>
            <a:endParaRPr lang="en-US"/>
          </a:p>
        </c:txPr>
        <c:crossAx val="450788352"/>
        <c:crosses val="autoZero"/>
        <c:auto val="1"/>
        <c:lblAlgn val="ctr"/>
        <c:lblOffset val="100"/>
        <c:tickLblSkip val="20"/>
        <c:tickMarkSkip val="10"/>
        <c:noMultiLvlLbl val="0"/>
      </c:catAx>
      <c:valAx>
        <c:axId val="450788352"/>
        <c:scaling>
          <c:orientation val="minMax"/>
          <c:max val="400"/>
          <c:min val="0"/>
        </c:scaling>
        <c:delete val="0"/>
        <c:axPos val="l"/>
        <c:majorGridlines>
          <c:spPr>
            <a:ln w="15875">
              <a:solidFill>
                <a:srgbClr val="808080"/>
              </a:solidFill>
              <a:prstDash val="solid"/>
            </a:ln>
          </c:spPr>
        </c:majorGridlines>
        <c:title>
          <c:tx>
            <c:rich>
              <a:bodyPr/>
              <a:lstStyle/>
              <a:p>
                <a:pPr>
                  <a:defRPr lang="ja-JP" sz="1600" b="1" i="0" u="none" strike="noStrike" baseline="0">
                    <a:solidFill>
                      <a:schemeClr val="tx1"/>
                    </a:solidFill>
                    <a:latin typeface="Arial" pitchFamily="34" charset="0"/>
                    <a:ea typeface="Calibri"/>
                    <a:cs typeface="Arial" pitchFamily="34" charset="0"/>
                  </a:defRPr>
                </a:pPr>
                <a:r>
                  <a:rPr lang="en-US" sz="1600" b="1">
                    <a:solidFill>
                      <a:schemeClr val="tx1"/>
                    </a:solidFill>
                    <a:latin typeface="Arial" pitchFamily="34" charset="0"/>
                    <a:cs typeface="Arial" pitchFamily="34" charset="0"/>
                  </a:rPr>
                  <a:t>Switching</a:t>
                </a:r>
                <a:r>
                  <a:rPr lang="en-US" sz="1600" b="1" baseline="0">
                    <a:solidFill>
                      <a:schemeClr val="tx1"/>
                    </a:solidFill>
                    <a:latin typeface="Arial" pitchFamily="34" charset="0"/>
                    <a:cs typeface="Arial" pitchFamily="34" charset="0"/>
                  </a:rPr>
                  <a:t> Frquency (kHz)</a:t>
                </a:r>
                <a:endParaRPr lang="en-US" sz="1600" b="1">
                  <a:solidFill>
                    <a:schemeClr val="tx1"/>
                  </a:solidFill>
                  <a:latin typeface="Arial" pitchFamily="34" charset="0"/>
                  <a:cs typeface="Arial" pitchFamily="34" charset="0"/>
                </a:endParaRPr>
              </a:p>
            </c:rich>
          </c:tx>
          <c:layout>
            <c:manualLayout>
              <c:xMode val="edge"/>
              <c:yMode val="edge"/>
              <c:x val="8.5568128125503556E-3"/>
              <c:y val="0.22463146285493288"/>
            </c:manualLayout>
          </c:layout>
          <c:overlay val="0"/>
          <c:spPr>
            <a:noFill/>
            <a:ln w="25400">
              <a:noFill/>
            </a:ln>
          </c:spPr>
        </c:title>
        <c:numFmt formatCode="#,##0" sourceLinked="0"/>
        <c:majorTickMark val="in"/>
        <c:minorTickMark val="in"/>
        <c:tickLblPos val="nextTo"/>
        <c:spPr>
          <a:ln w="3175">
            <a:solidFill>
              <a:srgbClr val="000000"/>
            </a:solidFill>
            <a:prstDash val="solid"/>
          </a:ln>
        </c:spPr>
        <c:txPr>
          <a:bodyPr rot="0" vert="horz"/>
          <a:lstStyle/>
          <a:p>
            <a:pPr>
              <a:defRPr lang="ja-JP" sz="1600" b="1" i="0" u="none" strike="noStrike" baseline="0">
                <a:solidFill>
                  <a:schemeClr val="tx1"/>
                </a:solidFill>
                <a:latin typeface="Arial" pitchFamily="34" charset="0"/>
                <a:ea typeface="Calibri"/>
                <a:cs typeface="Arial" pitchFamily="34" charset="0"/>
              </a:defRPr>
            </a:pPr>
            <a:endParaRPr lang="en-US"/>
          </a:p>
        </c:txPr>
        <c:crossAx val="450786048"/>
        <c:crossesAt val="0"/>
        <c:crossBetween val="between"/>
        <c:majorUnit val="50"/>
        <c:minorUnit val="25"/>
      </c:valAx>
      <c:spPr>
        <a:noFill/>
        <a:ln w="25400">
          <a:noFill/>
        </a:ln>
      </c:spPr>
    </c:plotArea>
    <c:legend>
      <c:legendPos val="t"/>
      <c:legendEntry>
        <c:idx val="9"/>
        <c:delete val="1"/>
      </c:legendEntry>
      <c:legendEntry>
        <c:idx val="10"/>
        <c:delete val="1"/>
      </c:legendEntry>
      <c:legendEntry>
        <c:idx val="11"/>
        <c:delete val="1"/>
      </c:legendEntry>
      <c:layout>
        <c:manualLayout>
          <c:xMode val="edge"/>
          <c:yMode val="edge"/>
          <c:x val="0.31430722044239789"/>
          <c:y val="1.5175029628150039E-2"/>
          <c:w val="0.42410841724909248"/>
          <c:h val="5.433576684781775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sz="1125" b="1" i="0" u="none" strike="noStrike" baseline="0">
                <a:solidFill>
                  <a:srgbClr val="000000"/>
                </a:solidFill>
                <a:latin typeface="Arial"/>
                <a:ea typeface="Arial"/>
                <a:cs typeface="Arial"/>
              </a:defRPr>
            </a:pPr>
            <a:r>
              <a:rPr lang="en-US"/>
              <a:t>FSW</a:t>
            </a:r>
            <a:r>
              <a:rPr lang="en-US" baseline="0"/>
              <a:t> vs. VIN</a:t>
            </a:r>
            <a:endParaRPr lang="en-US"/>
          </a:p>
        </c:rich>
      </c:tx>
      <c:layout>
        <c:manualLayout>
          <c:xMode val="edge"/>
          <c:yMode val="edge"/>
          <c:x val="0.46949559660480134"/>
          <c:y val="4.3950758924335628E-2"/>
        </c:manualLayout>
      </c:layout>
      <c:overlay val="0"/>
      <c:spPr>
        <a:noFill/>
        <a:ln w="25400">
          <a:noFill/>
        </a:ln>
      </c:spPr>
    </c:title>
    <c:autoTitleDeleted val="0"/>
    <c:plotArea>
      <c:layout>
        <c:manualLayout>
          <c:layoutTarget val="inner"/>
          <c:xMode val="edge"/>
          <c:yMode val="edge"/>
          <c:x val="0.11549893842887474"/>
          <c:y val="0.12692138023914851"/>
          <c:w val="0.81825902335456679"/>
          <c:h val="0.73598262282121851"/>
        </c:manualLayout>
      </c:layout>
      <c:scatterChart>
        <c:scatterStyle val="lineMarker"/>
        <c:varyColors val="0"/>
        <c:ser>
          <c:idx val="2"/>
          <c:order val="0"/>
          <c:tx>
            <c:strRef>
              <c:f>'Fsw vs VIN'!$M$5</c:f>
              <c:strCache>
                <c:ptCount val="1"/>
                <c:pt idx="0">
                  <c:v>Fsw-BCM (kHz) at Iout-max</c:v>
                </c:pt>
              </c:strCache>
            </c:strRef>
          </c:tx>
          <c:spPr>
            <a:ln w="25400">
              <a:solidFill>
                <a:srgbClr val="000080"/>
              </a:solidFill>
              <a:prstDash val="solid"/>
            </a:ln>
          </c:spPr>
          <c:marker>
            <c:symbol val="none"/>
          </c:marker>
          <c:xVal>
            <c:numRef>
              <c:f>'Fsw vs VIN'!$D$6:$D$106</c:f>
              <c:numCache>
                <c:formatCode>0.00</c:formatCode>
                <c:ptCount val="101"/>
                <c:pt idx="0">
                  <c:v>19</c:v>
                </c:pt>
                <c:pt idx="1">
                  <c:v>19.21</c:v>
                </c:pt>
                <c:pt idx="2">
                  <c:v>19.420000000000002</c:v>
                </c:pt>
                <c:pt idx="3">
                  <c:v>19.63</c:v>
                </c:pt>
                <c:pt idx="4">
                  <c:v>19.84</c:v>
                </c:pt>
                <c:pt idx="5">
                  <c:v>20.05</c:v>
                </c:pt>
                <c:pt idx="6">
                  <c:v>20.260000000000002</c:v>
                </c:pt>
                <c:pt idx="7">
                  <c:v>20.47</c:v>
                </c:pt>
                <c:pt idx="8">
                  <c:v>20.68</c:v>
                </c:pt>
                <c:pt idx="9">
                  <c:v>20.89</c:v>
                </c:pt>
                <c:pt idx="10">
                  <c:v>21.1</c:v>
                </c:pt>
                <c:pt idx="11">
                  <c:v>21.31</c:v>
                </c:pt>
                <c:pt idx="12">
                  <c:v>21.52</c:v>
                </c:pt>
                <c:pt idx="13">
                  <c:v>21.73</c:v>
                </c:pt>
                <c:pt idx="14">
                  <c:v>21.94</c:v>
                </c:pt>
                <c:pt idx="15">
                  <c:v>22.15</c:v>
                </c:pt>
                <c:pt idx="16">
                  <c:v>22.36</c:v>
                </c:pt>
                <c:pt idx="17">
                  <c:v>22.57</c:v>
                </c:pt>
                <c:pt idx="18">
                  <c:v>22.78</c:v>
                </c:pt>
                <c:pt idx="19">
                  <c:v>22.990000000000002</c:v>
                </c:pt>
                <c:pt idx="20">
                  <c:v>23.2</c:v>
                </c:pt>
                <c:pt idx="21">
                  <c:v>23.41</c:v>
                </c:pt>
                <c:pt idx="22">
                  <c:v>23.62</c:v>
                </c:pt>
                <c:pt idx="23">
                  <c:v>23.83</c:v>
                </c:pt>
                <c:pt idx="24">
                  <c:v>24.04</c:v>
                </c:pt>
                <c:pt idx="25">
                  <c:v>24.25</c:v>
                </c:pt>
                <c:pt idx="26">
                  <c:v>24.46</c:v>
                </c:pt>
                <c:pt idx="27">
                  <c:v>24.67</c:v>
                </c:pt>
                <c:pt idx="28">
                  <c:v>24.880000000000003</c:v>
                </c:pt>
                <c:pt idx="29">
                  <c:v>25.09</c:v>
                </c:pt>
                <c:pt idx="30">
                  <c:v>25.3</c:v>
                </c:pt>
                <c:pt idx="31">
                  <c:v>25.509999999999998</c:v>
                </c:pt>
                <c:pt idx="32">
                  <c:v>25.72</c:v>
                </c:pt>
                <c:pt idx="33">
                  <c:v>25.93</c:v>
                </c:pt>
                <c:pt idx="34">
                  <c:v>26.14</c:v>
                </c:pt>
                <c:pt idx="35">
                  <c:v>26.35</c:v>
                </c:pt>
                <c:pt idx="36">
                  <c:v>26.56</c:v>
                </c:pt>
                <c:pt idx="37">
                  <c:v>26.77</c:v>
                </c:pt>
                <c:pt idx="38">
                  <c:v>26.98</c:v>
                </c:pt>
                <c:pt idx="39">
                  <c:v>27.189999999999998</c:v>
                </c:pt>
                <c:pt idx="40">
                  <c:v>27.4</c:v>
                </c:pt>
                <c:pt idx="41">
                  <c:v>27.61</c:v>
                </c:pt>
                <c:pt idx="42">
                  <c:v>27.82</c:v>
                </c:pt>
                <c:pt idx="43">
                  <c:v>28.03</c:v>
                </c:pt>
                <c:pt idx="44">
                  <c:v>28.240000000000002</c:v>
                </c:pt>
                <c:pt idx="45">
                  <c:v>28.450000000000003</c:v>
                </c:pt>
                <c:pt idx="46">
                  <c:v>28.66</c:v>
                </c:pt>
                <c:pt idx="47">
                  <c:v>28.869999999999997</c:v>
                </c:pt>
                <c:pt idx="48">
                  <c:v>29.08</c:v>
                </c:pt>
                <c:pt idx="49">
                  <c:v>29.29</c:v>
                </c:pt>
                <c:pt idx="50">
                  <c:v>29.5</c:v>
                </c:pt>
                <c:pt idx="51">
                  <c:v>29.71</c:v>
                </c:pt>
                <c:pt idx="52">
                  <c:v>29.92</c:v>
                </c:pt>
                <c:pt idx="53">
                  <c:v>30.130000000000003</c:v>
                </c:pt>
                <c:pt idx="54">
                  <c:v>30.34</c:v>
                </c:pt>
                <c:pt idx="55">
                  <c:v>30.55</c:v>
                </c:pt>
                <c:pt idx="56">
                  <c:v>30.76</c:v>
                </c:pt>
                <c:pt idx="57">
                  <c:v>30.97</c:v>
                </c:pt>
                <c:pt idx="58">
                  <c:v>31.18</c:v>
                </c:pt>
                <c:pt idx="59">
                  <c:v>31.39</c:v>
                </c:pt>
                <c:pt idx="60">
                  <c:v>31.6</c:v>
                </c:pt>
                <c:pt idx="61">
                  <c:v>31.810000000000002</c:v>
                </c:pt>
                <c:pt idx="62">
                  <c:v>32.019999999999996</c:v>
                </c:pt>
                <c:pt idx="63">
                  <c:v>32.230000000000004</c:v>
                </c:pt>
                <c:pt idx="64">
                  <c:v>32.44</c:v>
                </c:pt>
                <c:pt idx="65">
                  <c:v>32.65</c:v>
                </c:pt>
                <c:pt idx="66">
                  <c:v>32.86</c:v>
                </c:pt>
                <c:pt idx="67">
                  <c:v>33.07</c:v>
                </c:pt>
                <c:pt idx="68">
                  <c:v>33.28</c:v>
                </c:pt>
                <c:pt idx="69">
                  <c:v>33.489999999999995</c:v>
                </c:pt>
                <c:pt idx="70">
                  <c:v>33.700000000000003</c:v>
                </c:pt>
                <c:pt idx="71">
                  <c:v>33.909999999999997</c:v>
                </c:pt>
                <c:pt idx="72">
                  <c:v>34.119999999999997</c:v>
                </c:pt>
                <c:pt idx="73">
                  <c:v>34.33</c:v>
                </c:pt>
                <c:pt idx="74">
                  <c:v>34.54</c:v>
                </c:pt>
                <c:pt idx="75">
                  <c:v>34.75</c:v>
                </c:pt>
                <c:pt idx="76">
                  <c:v>34.96</c:v>
                </c:pt>
                <c:pt idx="77">
                  <c:v>35.17</c:v>
                </c:pt>
                <c:pt idx="78">
                  <c:v>35.379999999999995</c:v>
                </c:pt>
                <c:pt idx="79">
                  <c:v>35.590000000000003</c:v>
                </c:pt>
                <c:pt idx="80">
                  <c:v>35.799999999999997</c:v>
                </c:pt>
                <c:pt idx="81">
                  <c:v>36.010000000000005</c:v>
                </c:pt>
                <c:pt idx="82">
                  <c:v>36.22</c:v>
                </c:pt>
                <c:pt idx="83">
                  <c:v>36.43</c:v>
                </c:pt>
                <c:pt idx="84">
                  <c:v>36.64</c:v>
                </c:pt>
                <c:pt idx="85">
                  <c:v>36.849999999999994</c:v>
                </c:pt>
                <c:pt idx="86">
                  <c:v>37.06</c:v>
                </c:pt>
                <c:pt idx="87">
                  <c:v>37.269999999999996</c:v>
                </c:pt>
                <c:pt idx="88">
                  <c:v>37.480000000000004</c:v>
                </c:pt>
                <c:pt idx="89">
                  <c:v>37.69</c:v>
                </c:pt>
                <c:pt idx="90">
                  <c:v>37.900000000000006</c:v>
                </c:pt>
                <c:pt idx="91">
                  <c:v>38.11</c:v>
                </c:pt>
                <c:pt idx="92">
                  <c:v>38.32</c:v>
                </c:pt>
                <c:pt idx="93">
                  <c:v>38.53</c:v>
                </c:pt>
                <c:pt idx="94">
                  <c:v>38.739999999999995</c:v>
                </c:pt>
                <c:pt idx="95">
                  <c:v>38.950000000000003</c:v>
                </c:pt>
                <c:pt idx="96">
                  <c:v>39.159999999999997</c:v>
                </c:pt>
                <c:pt idx="97">
                  <c:v>39.370000000000005</c:v>
                </c:pt>
                <c:pt idx="98">
                  <c:v>39.58</c:v>
                </c:pt>
                <c:pt idx="99">
                  <c:v>39.79</c:v>
                </c:pt>
                <c:pt idx="100">
                  <c:v>40</c:v>
                </c:pt>
              </c:numCache>
            </c:numRef>
          </c:xVal>
          <c:yVal>
            <c:numRef>
              <c:f>'Fsw vs VIN'!$M$6:$M$106</c:f>
              <c:numCache>
                <c:formatCode>0.0</c:formatCode>
                <c:ptCount val="101"/>
                <c:pt idx="0">
                  <c:v>350</c:v>
                </c:pt>
                <c:pt idx="1">
                  <c:v>350</c:v>
                </c:pt>
                <c:pt idx="2">
                  <c:v>350</c:v>
                </c:pt>
                <c:pt idx="3">
                  <c:v>350</c:v>
                </c:pt>
                <c:pt idx="4">
                  <c:v>350</c:v>
                </c:pt>
                <c:pt idx="5">
                  <c:v>350</c:v>
                </c:pt>
                <c:pt idx="6">
                  <c:v>350</c:v>
                </c:pt>
                <c:pt idx="7">
                  <c:v>350</c:v>
                </c:pt>
                <c:pt idx="8">
                  <c:v>350</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yVal>
          <c:smooth val="0"/>
          <c:extLst>
            <c:ext xmlns:c16="http://schemas.microsoft.com/office/drawing/2014/chart" uri="{C3380CC4-5D6E-409C-BE32-E72D297353CC}">
              <c16:uniqueId val="{00000000-A7ED-4BB2-BB4F-6969824E41D0}"/>
            </c:ext>
          </c:extLst>
        </c:ser>
        <c:dLbls>
          <c:showLegendKey val="0"/>
          <c:showVal val="0"/>
          <c:showCatName val="0"/>
          <c:showSerName val="0"/>
          <c:showPercent val="0"/>
          <c:showBubbleSize val="0"/>
        </c:dLbls>
        <c:axId val="447869696"/>
        <c:axId val="447871616"/>
      </c:scatterChart>
      <c:valAx>
        <c:axId val="447869696"/>
        <c:scaling>
          <c:orientation val="minMax"/>
        </c:scaling>
        <c:delete val="0"/>
        <c:axPos val="b"/>
        <c:majorGridlines/>
        <c:title>
          <c:tx>
            <c:rich>
              <a:bodyPr/>
              <a:lstStyle/>
              <a:p>
                <a:pPr>
                  <a:defRPr lang="ja-JP" sz="1100" b="1" i="0" u="none" strike="noStrike" baseline="0">
                    <a:solidFill>
                      <a:srgbClr val="000000"/>
                    </a:solidFill>
                    <a:latin typeface="Arial"/>
                    <a:ea typeface="Arial"/>
                    <a:cs typeface="Arial"/>
                  </a:defRPr>
                </a:pPr>
                <a:r>
                  <a:rPr lang="en-US" sz="1100"/>
                  <a:t>VIN (V)</a:t>
                </a:r>
              </a:p>
            </c:rich>
          </c:tx>
          <c:layout>
            <c:manualLayout>
              <c:xMode val="edge"/>
              <c:yMode val="edge"/>
              <c:x val="0.48841805795509147"/>
              <c:y val="0.9281222297700175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ja-JP" sz="975" b="1" i="0" u="none" strike="noStrike" baseline="0">
                <a:solidFill>
                  <a:srgbClr val="000000"/>
                </a:solidFill>
                <a:latin typeface="Arial"/>
                <a:ea typeface="Arial"/>
                <a:cs typeface="Arial"/>
              </a:defRPr>
            </a:pPr>
            <a:endParaRPr lang="en-US"/>
          </a:p>
        </c:txPr>
        <c:crossAx val="447871616"/>
        <c:crosses val="autoZero"/>
        <c:crossBetween val="midCat"/>
      </c:valAx>
      <c:valAx>
        <c:axId val="447871616"/>
        <c:scaling>
          <c:orientation val="minMax"/>
        </c:scaling>
        <c:delete val="0"/>
        <c:axPos val="l"/>
        <c:majorGridlines>
          <c:spPr>
            <a:ln w="3175">
              <a:solidFill>
                <a:srgbClr val="000000"/>
              </a:solidFill>
              <a:prstDash val="solid"/>
            </a:ln>
          </c:spPr>
        </c:majorGridlines>
        <c:title>
          <c:tx>
            <c:rich>
              <a:bodyPr/>
              <a:lstStyle/>
              <a:p>
                <a:pPr>
                  <a:defRPr lang="ja-JP" sz="1100" b="1" i="0" u="none" strike="noStrike" baseline="0">
                    <a:solidFill>
                      <a:srgbClr val="000000"/>
                    </a:solidFill>
                    <a:latin typeface="Arial"/>
                    <a:ea typeface="Arial"/>
                    <a:cs typeface="Arial"/>
                  </a:defRPr>
                </a:pPr>
                <a:r>
                  <a:rPr lang="en-US" sz="1100"/>
                  <a:t>FSw</a:t>
                </a:r>
                <a:r>
                  <a:rPr lang="en-US" sz="1100" baseline="0"/>
                  <a:t> (kHz)</a:t>
                </a:r>
                <a:endParaRPr lang="en-US" sz="1100"/>
              </a:p>
            </c:rich>
          </c:tx>
          <c:layout>
            <c:manualLayout>
              <c:xMode val="edge"/>
              <c:yMode val="edge"/>
              <c:x val="1.910828025477734E-2"/>
              <c:y val="0.37298429430192825"/>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lang="ja-JP" sz="1200" b="1" i="0" u="none" strike="noStrike" baseline="0">
                <a:solidFill>
                  <a:srgbClr val="000000"/>
                </a:solidFill>
                <a:latin typeface="Arial"/>
                <a:ea typeface="Arial"/>
                <a:cs typeface="Arial"/>
              </a:defRPr>
            </a:pPr>
            <a:endParaRPr lang="en-US"/>
          </a:p>
        </c:txPr>
        <c:crossAx val="447869696"/>
        <c:crosses val="autoZero"/>
        <c:crossBetween val="midCat"/>
      </c:valAx>
      <c:spPr>
        <a:solidFill>
          <a:schemeClr val="bg1">
            <a:lumMod val="95000"/>
          </a:schemeClr>
        </a:solidFill>
        <a:ln w="12700">
          <a:solidFill>
            <a:srgbClr val="808080"/>
          </a:solidFill>
          <a:prstDash val="solid"/>
        </a:ln>
      </c:spPr>
    </c:plotArea>
    <c:legend>
      <c:legendPos val="r"/>
      <c:layout>
        <c:manualLayout>
          <c:xMode val="edge"/>
          <c:yMode val="edge"/>
          <c:x val="0.13445630576004464"/>
          <c:y val="0.14722888183191415"/>
          <c:w val="0.26461167950535469"/>
          <c:h val="0.15077691641594146"/>
        </c:manualLayout>
      </c:layout>
      <c:overlay val="0"/>
      <c:spPr>
        <a:solidFill>
          <a:srgbClr val="FFFFFF"/>
        </a:solidFill>
        <a:ln w="3175">
          <a:solidFill>
            <a:srgbClr val="000000"/>
          </a:solidFill>
          <a:prstDash val="solid"/>
        </a:ln>
      </c:spPr>
      <c:txPr>
        <a:bodyPr/>
        <a:lstStyle/>
        <a:p>
          <a:pPr>
            <a:defRPr lang="ja-JP" sz="1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822" r="0.75000000000000822"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lang="ja-JP"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Single'!$AM$5:$AM$105</c:f>
              <c:numCache>
                <c:formatCode>0</c:formatCode>
                <c:ptCount val="101"/>
                <c:pt idx="0">
                  <c:v>1.0000000000000002E-6</c:v>
                </c:pt>
                <c:pt idx="1">
                  <c:v>25</c:v>
                </c:pt>
                <c:pt idx="2">
                  <c:v>50</c:v>
                </c:pt>
                <c:pt idx="3">
                  <c:v>75</c:v>
                </c:pt>
                <c:pt idx="4">
                  <c:v>100</c:v>
                </c:pt>
                <c:pt idx="5">
                  <c:v>125</c:v>
                </c:pt>
                <c:pt idx="6">
                  <c:v>150</c:v>
                </c:pt>
                <c:pt idx="7">
                  <c:v>175.00000000000003</c:v>
                </c:pt>
                <c:pt idx="8">
                  <c:v>200</c:v>
                </c:pt>
                <c:pt idx="9">
                  <c:v>224.99999999999997</c:v>
                </c:pt>
                <c:pt idx="10">
                  <c:v>250</c:v>
                </c:pt>
                <c:pt idx="11">
                  <c:v>275</c:v>
                </c:pt>
                <c:pt idx="12">
                  <c:v>300</c:v>
                </c:pt>
                <c:pt idx="13">
                  <c:v>325</c:v>
                </c:pt>
                <c:pt idx="14">
                  <c:v>350.00000000000006</c:v>
                </c:pt>
                <c:pt idx="15">
                  <c:v>375</c:v>
                </c:pt>
                <c:pt idx="16">
                  <c:v>400</c:v>
                </c:pt>
                <c:pt idx="17">
                  <c:v>425.00000000000006</c:v>
                </c:pt>
                <c:pt idx="18">
                  <c:v>449.99999999999994</c:v>
                </c:pt>
                <c:pt idx="19">
                  <c:v>475</c:v>
                </c:pt>
                <c:pt idx="20">
                  <c:v>500</c:v>
                </c:pt>
                <c:pt idx="21">
                  <c:v>525</c:v>
                </c:pt>
                <c:pt idx="22">
                  <c:v>550</c:v>
                </c:pt>
                <c:pt idx="23">
                  <c:v>575.00000000000011</c:v>
                </c:pt>
                <c:pt idx="24">
                  <c:v>600</c:v>
                </c:pt>
                <c:pt idx="25">
                  <c:v>625</c:v>
                </c:pt>
                <c:pt idx="26">
                  <c:v>650</c:v>
                </c:pt>
                <c:pt idx="27">
                  <c:v>675</c:v>
                </c:pt>
                <c:pt idx="28">
                  <c:v>700.00000000000011</c:v>
                </c:pt>
                <c:pt idx="29">
                  <c:v>725</c:v>
                </c:pt>
                <c:pt idx="30">
                  <c:v>750</c:v>
                </c:pt>
                <c:pt idx="31">
                  <c:v>775</c:v>
                </c:pt>
                <c:pt idx="32">
                  <c:v>800</c:v>
                </c:pt>
                <c:pt idx="33">
                  <c:v>825.00000000000011</c:v>
                </c:pt>
                <c:pt idx="34">
                  <c:v>850.00000000000011</c:v>
                </c:pt>
                <c:pt idx="35">
                  <c:v>875</c:v>
                </c:pt>
                <c:pt idx="36">
                  <c:v>899.99999999999989</c:v>
                </c:pt>
                <c:pt idx="37">
                  <c:v>925</c:v>
                </c:pt>
                <c:pt idx="38">
                  <c:v>950</c:v>
                </c:pt>
                <c:pt idx="39">
                  <c:v>975.00000000000011</c:v>
                </c:pt>
                <c:pt idx="40">
                  <c:v>1000</c:v>
                </c:pt>
                <c:pt idx="41">
                  <c:v>1025</c:v>
                </c:pt>
                <c:pt idx="42">
                  <c:v>1050</c:v>
                </c:pt>
                <c:pt idx="43">
                  <c:v>1075</c:v>
                </c:pt>
                <c:pt idx="44">
                  <c:v>1100</c:v>
                </c:pt>
                <c:pt idx="45">
                  <c:v>1125</c:v>
                </c:pt>
                <c:pt idx="46">
                  <c:v>1150.0000000000002</c:v>
                </c:pt>
                <c:pt idx="47">
                  <c:v>1174.9999999999998</c:v>
                </c:pt>
                <c:pt idx="48">
                  <c:v>1200</c:v>
                </c:pt>
                <c:pt idx="49">
                  <c:v>1225</c:v>
                </c:pt>
                <c:pt idx="50">
                  <c:v>1250</c:v>
                </c:pt>
                <c:pt idx="51">
                  <c:v>1275</c:v>
                </c:pt>
                <c:pt idx="52">
                  <c:v>1300</c:v>
                </c:pt>
                <c:pt idx="53">
                  <c:v>1325.0000000000002</c:v>
                </c:pt>
                <c:pt idx="54">
                  <c:v>1350</c:v>
                </c:pt>
                <c:pt idx="55">
                  <c:v>1375</c:v>
                </c:pt>
                <c:pt idx="56">
                  <c:v>1400.0000000000002</c:v>
                </c:pt>
                <c:pt idx="57">
                  <c:v>1424.9999999999998</c:v>
                </c:pt>
                <c:pt idx="58">
                  <c:v>1450</c:v>
                </c:pt>
                <c:pt idx="59">
                  <c:v>1474.9999999999998</c:v>
                </c:pt>
                <c:pt idx="60">
                  <c:v>1500</c:v>
                </c:pt>
                <c:pt idx="61">
                  <c:v>1525</c:v>
                </c:pt>
                <c:pt idx="62">
                  <c:v>1550</c:v>
                </c:pt>
                <c:pt idx="63">
                  <c:v>1575</c:v>
                </c:pt>
                <c:pt idx="64">
                  <c:v>1600</c:v>
                </c:pt>
                <c:pt idx="65">
                  <c:v>1625</c:v>
                </c:pt>
                <c:pt idx="66">
                  <c:v>1650.0000000000002</c:v>
                </c:pt>
                <c:pt idx="67">
                  <c:v>1675</c:v>
                </c:pt>
                <c:pt idx="68">
                  <c:v>1700.0000000000002</c:v>
                </c:pt>
                <c:pt idx="69">
                  <c:v>1724.9999999999998</c:v>
                </c:pt>
                <c:pt idx="70">
                  <c:v>1750</c:v>
                </c:pt>
                <c:pt idx="71">
                  <c:v>1775</c:v>
                </c:pt>
                <c:pt idx="72">
                  <c:v>1799.9999999999998</c:v>
                </c:pt>
                <c:pt idx="73">
                  <c:v>1825</c:v>
                </c:pt>
                <c:pt idx="74">
                  <c:v>1850</c:v>
                </c:pt>
                <c:pt idx="75">
                  <c:v>1875</c:v>
                </c:pt>
                <c:pt idx="76">
                  <c:v>1900</c:v>
                </c:pt>
                <c:pt idx="77">
                  <c:v>1925</c:v>
                </c:pt>
                <c:pt idx="78">
                  <c:v>1950.0000000000002</c:v>
                </c:pt>
                <c:pt idx="79">
                  <c:v>1975</c:v>
                </c:pt>
                <c:pt idx="80">
                  <c:v>2000</c:v>
                </c:pt>
                <c:pt idx="81">
                  <c:v>2025.0000000000005</c:v>
                </c:pt>
                <c:pt idx="82">
                  <c:v>2050</c:v>
                </c:pt>
                <c:pt idx="83">
                  <c:v>2074.9999999999995</c:v>
                </c:pt>
                <c:pt idx="84">
                  <c:v>2100</c:v>
                </c:pt>
                <c:pt idx="85">
                  <c:v>2125</c:v>
                </c:pt>
                <c:pt idx="86">
                  <c:v>2150</c:v>
                </c:pt>
                <c:pt idx="87">
                  <c:v>2175</c:v>
                </c:pt>
                <c:pt idx="88">
                  <c:v>2200</c:v>
                </c:pt>
                <c:pt idx="89">
                  <c:v>2225</c:v>
                </c:pt>
                <c:pt idx="90">
                  <c:v>2250</c:v>
                </c:pt>
                <c:pt idx="91">
                  <c:v>2275</c:v>
                </c:pt>
                <c:pt idx="92">
                  <c:v>2300.0000000000005</c:v>
                </c:pt>
                <c:pt idx="93">
                  <c:v>2325</c:v>
                </c:pt>
                <c:pt idx="94">
                  <c:v>2349.9999999999995</c:v>
                </c:pt>
                <c:pt idx="95">
                  <c:v>2375</c:v>
                </c:pt>
                <c:pt idx="96">
                  <c:v>2400</c:v>
                </c:pt>
                <c:pt idx="97">
                  <c:v>2425</c:v>
                </c:pt>
                <c:pt idx="98">
                  <c:v>2450</c:v>
                </c:pt>
                <c:pt idx="99">
                  <c:v>2475</c:v>
                </c:pt>
                <c:pt idx="100">
                  <c:v>2500</c:v>
                </c:pt>
              </c:numCache>
            </c:numRef>
          </c:cat>
          <c:val>
            <c:numRef>
              <c:f>'Calculations - Single'!$CB$5:$CB$105</c:f>
              <c:numCache>
                <c:formatCode>0.00</c:formatCode>
                <c:ptCount val="101"/>
                <c:pt idx="0">
                  <c:v>1.8331770523116768E-5</c:v>
                </c:pt>
                <c:pt idx="1">
                  <c:v>72.301232852834971</c:v>
                </c:pt>
                <c:pt idx="2">
                  <c:v>74.72117816883835</c:v>
                </c:pt>
                <c:pt idx="3">
                  <c:v>75.002873784625706</c:v>
                </c:pt>
                <c:pt idx="4">
                  <c:v>74.632917488478682</c:v>
                </c:pt>
                <c:pt idx="5">
                  <c:v>73.948612832159469</c:v>
                </c:pt>
                <c:pt idx="6">
                  <c:v>73.077166085730212</c:v>
                </c:pt>
                <c:pt idx="7">
                  <c:v>72.081610726269375</c:v>
                </c:pt>
                <c:pt idx="8">
                  <c:v>70.999136496465695</c:v>
                </c:pt>
                <c:pt idx="9">
                  <c:v>69.854418624642676</c:v>
                </c:pt>
                <c:pt idx="10">
                  <c:v>68.66518641580393</c:v>
                </c:pt>
                <c:pt idx="11">
                  <c:v>67.444882165793246</c:v>
                </c:pt>
                <c:pt idx="12">
                  <c:v>66.204070905257424</c:v>
                </c:pt>
                <c:pt idx="13">
                  <c:v>65.155589403272216</c:v>
                </c:pt>
                <c:pt idx="14">
                  <c:v>65.347580446898874</c:v>
                </c:pt>
                <c:pt idx="15">
                  <c:v>65.503461774613896</c:v>
                </c:pt>
                <c:pt idx="16">
                  <c:v>65.629903321191122</c:v>
                </c:pt>
                <c:pt idx="17">
                  <c:v>65.732083653148493</c:v>
                </c:pt>
                <c:pt idx="18">
                  <c:v>65.814081298974216</c:v>
                </c:pt>
                <c:pt idx="19">
                  <c:v>65.879149261899585</c:v>
                </c:pt>
                <c:pt idx="20">
                  <c:v>65.929911460672514</c:v>
                </c:pt>
                <c:pt idx="21">
                  <c:v>65.968505815939722</c:v>
                </c:pt>
                <c:pt idx="22">
                  <c:v>65.996690141524411</c:v>
                </c:pt>
                <c:pt idx="23">
                  <c:v>66.015921638495072</c:v>
                </c:pt>
                <c:pt idx="24">
                  <c:v>66.027417350727774</c:v>
                </c:pt>
                <c:pt idx="25">
                  <c:v>66.032200686910144</c:v>
                </c:pt>
                <c:pt idx="26">
                  <c:v>66.031137608183982</c:v>
                </c:pt>
                <c:pt idx="27">
                  <c:v>66.024965056753047</c:v>
                </c:pt>
                <c:pt idx="28">
                  <c:v>66.014313493288185</c:v>
                </c:pt>
                <c:pt idx="29">
                  <c:v>65.999724914807487</c:v>
                </c:pt>
                <c:pt idx="30">
                  <c:v>65.981667371997887</c:v>
                </c:pt>
                <c:pt idx="31">
                  <c:v>65.960546751033377</c:v>
                </c:pt>
                <c:pt idx="32">
                  <c:v>65.936716400014078</c:v>
                </c:pt>
                <c:pt idx="33">
                  <c:v>65.91048504399096</c:v>
                </c:pt>
                <c:pt idx="34">
                  <c:v>65.882123331275835</c:v>
                </c:pt>
                <c:pt idx="35">
                  <c:v>65.851869277702619</c:v>
                </c:pt>
                <c:pt idx="36">
                  <c:v>65.81993281791668</c:v>
                </c:pt>
                <c:pt idx="37">
                  <c:v>65.786499628780831</c:v>
                </c:pt>
                <c:pt idx="38">
                  <c:v>65.751734356127002</c:v>
                </c:pt>
                <c:pt idx="39">
                  <c:v>65.715783349826154</c:v>
                </c:pt>
                <c:pt idx="40">
                  <c:v>65.678776991647112</c:v>
                </c:pt>
                <c:pt idx="41">
                  <c:v>65.640831684259837</c:v>
                </c:pt>
                <c:pt idx="42">
                  <c:v>65.602051556994596</c:v>
                </c:pt>
                <c:pt idx="43">
                  <c:v>65.56252993382931</c:v>
                </c:pt>
                <c:pt idx="44">
                  <c:v>65.522350600965538</c:v>
                </c:pt>
                <c:pt idx="45">
                  <c:v>65.481588904830446</c:v>
                </c:pt>
                <c:pt idx="46">
                  <c:v>65.440312706068084</c:v>
                </c:pt>
                <c:pt idx="47">
                  <c:v>65.398583210799615</c:v>
                </c:pt>
                <c:pt idx="48">
                  <c:v>65.356455696937161</c:v>
                </c:pt>
                <c:pt idx="49">
                  <c:v>65.313980150470769</c:v>
                </c:pt>
                <c:pt idx="50">
                  <c:v>65.271201824290074</c:v>
                </c:pt>
                <c:pt idx="51">
                  <c:v>65.228161730153715</c:v>
                </c:pt>
                <c:pt idx="52">
                  <c:v>65.184897072803139</c:v>
                </c:pt>
                <c:pt idx="53">
                  <c:v>65.141441633871509</c:v>
                </c:pt>
                <c:pt idx="54">
                  <c:v>65.097826112113864</c:v>
                </c:pt>
                <c:pt idx="55">
                  <c:v>65.054078425541633</c:v>
                </c:pt>
                <c:pt idx="56">
                  <c:v>65.010223980251595</c:v>
                </c:pt>
                <c:pt idx="57">
                  <c:v>64.966285910069942</c:v>
                </c:pt>
                <c:pt idx="58">
                  <c:v>64.922285290565711</c:v>
                </c:pt>
                <c:pt idx="59">
                  <c:v>64.878241330506981</c:v>
                </c:pt>
                <c:pt idx="60">
                  <c:v>64.834171543423707</c:v>
                </c:pt>
                <c:pt idx="61">
                  <c:v>64.790091901591836</c:v>
                </c:pt>
                <c:pt idx="62">
                  <c:v>64.746016974454463</c:v>
                </c:pt>
                <c:pt idx="63">
                  <c:v>64.701960053238622</c:v>
                </c:pt>
                <c:pt idx="64">
                  <c:v>64.65793326330656</c:v>
                </c:pt>
                <c:pt idx="65">
                  <c:v>64.613947665589208</c:v>
                </c:pt>
                <c:pt idx="66">
                  <c:v>64.570013348286011</c:v>
                </c:pt>
                <c:pt idx="67">
                  <c:v>64.52613950987211</c:v>
                </c:pt>
                <c:pt idx="68">
                  <c:v>64.482334534331102</c:v>
                </c:pt>
                <c:pt idx="69">
                  <c:v>64.438606059423819</c:v>
                </c:pt>
                <c:pt idx="70">
                  <c:v>64.394961038709823</c:v>
                </c:pt>
                <c:pt idx="71">
                  <c:v>64.351405797956744</c:v>
                </c:pt>
                <c:pt idx="72">
                  <c:v>64.307946086501445</c:v>
                </c:pt>
                <c:pt idx="73">
                  <c:v>64.264587124063539</c:v>
                </c:pt>
                <c:pt idx="74">
                  <c:v>64.221333643457427</c:v>
                </c:pt>
                <c:pt idx="75">
                  <c:v>64.178189929600777</c:v>
                </c:pt>
                <c:pt idx="76">
                  <c:v>64.135159855173868</c:v>
                </c:pt>
                <c:pt idx="77">
                  <c:v>64.092246913247493</c:v>
                </c:pt>
                <c:pt idx="78">
                  <c:v>64.049454247164064</c:v>
                </c:pt>
                <c:pt idx="79">
                  <c:v>64.096775380629367</c:v>
                </c:pt>
                <c:pt idx="80">
                  <c:v>64.608615677580929</c:v>
                </c:pt>
                <c:pt idx="81">
                  <c:v>65.110105293935689</c:v>
                </c:pt>
                <c:pt idx="82">
                  <c:v>65.601820997225317</c:v>
                </c:pt>
                <c:pt idx="83">
                  <c:v>66.084091933567038</c:v>
                </c:pt>
                <c:pt idx="84">
                  <c:v>66.556622081816869</c:v>
                </c:pt>
                <c:pt idx="85">
                  <c:v>66.94939160766161</c:v>
                </c:pt>
                <c:pt idx="86">
                  <c:v>67.120784769508418</c:v>
                </c:pt>
                <c:pt idx="87">
                  <c:v>67.289394998800773</c:v>
                </c:pt>
                <c:pt idx="88">
                  <c:v>67.455095362243966</c:v>
                </c:pt>
                <c:pt idx="89">
                  <c:v>67.618019668273831</c:v>
                </c:pt>
                <c:pt idx="90">
                  <c:v>67.778225928469681</c:v>
                </c:pt>
                <c:pt idx="91">
                  <c:v>67.93577049493841</c:v>
                </c:pt>
                <c:pt idx="92">
                  <c:v>68.090708118219752</c:v>
                </c:pt>
                <c:pt idx="93">
                  <c:v>68.24309200277186</c:v>
                </c:pt>
                <c:pt idx="94">
                  <c:v>68.392973860154029</c:v>
                </c:pt>
                <c:pt idx="95">
                  <c:v>68.540403960018153</c:v>
                </c:pt>
                <c:pt idx="96">
                  <c:v>68.685431179013293</c:v>
                </c:pt>
                <c:pt idx="97">
                  <c:v>68.828103047702555</c:v>
                </c:pt>
                <c:pt idx="98">
                  <c:v>68.968465795585857</c:v>
                </c:pt>
                <c:pt idx="99">
                  <c:v>69.106564394317672</c:v>
                </c:pt>
                <c:pt idx="100">
                  <c:v>69.242442599202732</c:v>
                </c:pt>
              </c:numCache>
            </c:numRef>
          </c:val>
          <c:smooth val="0"/>
          <c:extLst>
            <c:ext xmlns:c16="http://schemas.microsoft.com/office/drawing/2014/chart" uri="{C3380CC4-5D6E-409C-BE32-E72D297353CC}">
              <c16:uniqueId val="{00000000-3B81-4204-928B-6CDC733DE792}"/>
            </c:ext>
          </c:extLst>
        </c:ser>
        <c:dLbls>
          <c:showLegendKey val="0"/>
          <c:showVal val="0"/>
          <c:showCatName val="0"/>
          <c:showSerName val="0"/>
          <c:showPercent val="0"/>
          <c:showBubbleSize val="0"/>
        </c:dLbls>
        <c:marker val="1"/>
        <c:smooth val="0"/>
        <c:axId val="451805952"/>
        <c:axId val="451807872"/>
      </c:lineChart>
      <c:lineChart>
        <c:grouping val="standard"/>
        <c:varyColors val="0"/>
        <c:ser>
          <c:idx val="2"/>
          <c:order val="1"/>
          <c:tx>
            <c:strRef>
              <c:f>'Calculations - Single'!$BO$3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Single'!$BR$5:$BR$105</c:f>
              <c:numCache>
                <c:formatCode>0.0</c:formatCode>
                <c:ptCount val="101"/>
                <c:pt idx="0">
                  <c:v>6.7059999999999998E-7</c:v>
                </c:pt>
                <c:pt idx="1">
                  <c:v>16.764999999999997</c:v>
                </c:pt>
                <c:pt idx="2">
                  <c:v>33.529999999999994</c:v>
                </c:pt>
                <c:pt idx="3">
                  <c:v>50.295000000000002</c:v>
                </c:pt>
                <c:pt idx="4">
                  <c:v>67.059999999999988</c:v>
                </c:pt>
                <c:pt idx="5">
                  <c:v>83.825000000000003</c:v>
                </c:pt>
                <c:pt idx="6">
                  <c:v>100.59</c:v>
                </c:pt>
                <c:pt idx="7">
                  <c:v>117.35499999999999</c:v>
                </c:pt>
                <c:pt idx="8">
                  <c:v>134.11999999999998</c:v>
                </c:pt>
                <c:pt idx="9">
                  <c:v>150.88499999999996</c:v>
                </c:pt>
                <c:pt idx="10">
                  <c:v>167.65</c:v>
                </c:pt>
                <c:pt idx="11">
                  <c:v>184.41499999999999</c:v>
                </c:pt>
                <c:pt idx="12">
                  <c:v>201.18</c:v>
                </c:pt>
                <c:pt idx="13">
                  <c:v>217.94499999999996</c:v>
                </c:pt>
                <c:pt idx="14">
                  <c:v>234.70999999999998</c:v>
                </c:pt>
                <c:pt idx="15">
                  <c:v>251.47499999999994</c:v>
                </c:pt>
                <c:pt idx="16">
                  <c:v>268.23999999999995</c:v>
                </c:pt>
                <c:pt idx="17">
                  <c:v>285.00499999999994</c:v>
                </c:pt>
                <c:pt idx="18">
                  <c:v>301.76999999999992</c:v>
                </c:pt>
                <c:pt idx="19">
                  <c:v>318.53499999999997</c:v>
                </c:pt>
                <c:pt idx="20">
                  <c:v>335.3</c:v>
                </c:pt>
                <c:pt idx="21">
                  <c:v>352.06499999999994</c:v>
                </c:pt>
                <c:pt idx="22">
                  <c:v>368.83</c:v>
                </c:pt>
                <c:pt idx="23">
                  <c:v>385.59500000000003</c:v>
                </c:pt>
                <c:pt idx="24">
                  <c:v>402.36</c:v>
                </c:pt>
                <c:pt idx="25">
                  <c:v>419.12499999999994</c:v>
                </c:pt>
                <c:pt idx="26">
                  <c:v>435.88999999999993</c:v>
                </c:pt>
                <c:pt idx="27">
                  <c:v>452.65499999999997</c:v>
                </c:pt>
                <c:pt idx="28">
                  <c:v>469.41999999999996</c:v>
                </c:pt>
                <c:pt idx="29">
                  <c:v>486.18499999999995</c:v>
                </c:pt>
                <c:pt idx="30">
                  <c:v>502.94999999999987</c:v>
                </c:pt>
                <c:pt idx="31">
                  <c:v>519.71499999999992</c:v>
                </c:pt>
                <c:pt idx="32">
                  <c:v>536.4799999999999</c:v>
                </c:pt>
                <c:pt idx="33">
                  <c:v>553.245</c:v>
                </c:pt>
                <c:pt idx="34">
                  <c:v>570.00999999999988</c:v>
                </c:pt>
                <c:pt idx="35">
                  <c:v>586.77499999999998</c:v>
                </c:pt>
                <c:pt idx="36">
                  <c:v>603.53999999999985</c:v>
                </c:pt>
                <c:pt idx="37">
                  <c:v>620.30499999999995</c:v>
                </c:pt>
                <c:pt idx="38">
                  <c:v>637.06999999999994</c:v>
                </c:pt>
                <c:pt idx="39">
                  <c:v>653.83499999999992</c:v>
                </c:pt>
                <c:pt idx="40">
                  <c:v>670.6</c:v>
                </c:pt>
                <c:pt idx="41">
                  <c:v>687.3649999999999</c:v>
                </c:pt>
                <c:pt idx="42">
                  <c:v>704.12999999999988</c:v>
                </c:pt>
                <c:pt idx="43">
                  <c:v>720.89499999999998</c:v>
                </c:pt>
                <c:pt idx="44">
                  <c:v>737.66</c:v>
                </c:pt>
                <c:pt idx="45">
                  <c:v>754.42499999999995</c:v>
                </c:pt>
                <c:pt idx="46">
                  <c:v>771.19</c:v>
                </c:pt>
                <c:pt idx="47">
                  <c:v>787.9549999999997</c:v>
                </c:pt>
                <c:pt idx="48">
                  <c:v>804.72</c:v>
                </c:pt>
                <c:pt idx="49">
                  <c:v>821.48500000000001</c:v>
                </c:pt>
                <c:pt idx="50">
                  <c:v>838.24999999999989</c:v>
                </c:pt>
                <c:pt idx="51">
                  <c:v>855.01499999999987</c:v>
                </c:pt>
                <c:pt idx="52">
                  <c:v>871.77999999999986</c:v>
                </c:pt>
                <c:pt idx="53">
                  <c:v>888.54500000000007</c:v>
                </c:pt>
                <c:pt idx="54">
                  <c:v>905.31</c:v>
                </c:pt>
                <c:pt idx="55">
                  <c:v>922.07499999999982</c:v>
                </c:pt>
                <c:pt idx="56">
                  <c:v>938.83999999999992</c:v>
                </c:pt>
                <c:pt idx="57">
                  <c:v>955.60499999999979</c:v>
                </c:pt>
                <c:pt idx="58">
                  <c:v>972.36999999999989</c:v>
                </c:pt>
                <c:pt idx="59">
                  <c:v>989.13499999999976</c:v>
                </c:pt>
                <c:pt idx="60">
                  <c:v>1005.8999999999997</c:v>
                </c:pt>
                <c:pt idx="61">
                  <c:v>1022.665</c:v>
                </c:pt>
                <c:pt idx="62">
                  <c:v>1039.4299999999998</c:v>
                </c:pt>
                <c:pt idx="63">
                  <c:v>1056.1949999999997</c:v>
                </c:pt>
                <c:pt idx="64">
                  <c:v>1072.9599999999998</c:v>
                </c:pt>
                <c:pt idx="65">
                  <c:v>1089.7249999999999</c:v>
                </c:pt>
                <c:pt idx="66">
                  <c:v>1106.49</c:v>
                </c:pt>
                <c:pt idx="67">
                  <c:v>1123.2549999999999</c:v>
                </c:pt>
                <c:pt idx="68">
                  <c:v>1140.0199999999998</c:v>
                </c:pt>
                <c:pt idx="69">
                  <c:v>1156.7849999999996</c:v>
                </c:pt>
                <c:pt idx="70">
                  <c:v>1173.55</c:v>
                </c:pt>
                <c:pt idx="71">
                  <c:v>1190.3149999999998</c:v>
                </c:pt>
                <c:pt idx="72">
                  <c:v>1207.0799999999997</c:v>
                </c:pt>
                <c:pt idx="73">
                  <c:v>1223.8449999999998</c:v>
                </c:pt>
                <c:pt idx="74">
                  <c:v>1240.6099999999999</c:v>
                </c:pt>
                <c:pt idx="75">
                  <c:v>1257.375</c:v>
                </c:pt>
                <c:pt idx="76">
                  <c:v>1274.1399999999999</c:v>
                </c:pt>
                <c:pt idx="77">
                  <c:v>1290.905</c:v>
                </c:pt>
                <c:pt idx="78">
                  <c:v>1307.6699999999998</c:v>
                </c:pt>
                <c:pt idx="79">
                  <c:v>1324.4349999999999</c:v>
                </c:pt>
                <c:pt idx="80">
                  <c:v>1341.2</c:v>
                </c:pt>
                <c:pt idx="81">
                  <c:v>1357.9650000000001</c:v>
                </c:pt>
                <c:pt idx="82">
                  <c:v>1374.7299999999998</c:v>
                </c:pt>
                <c:pt idx="83">
                  <c:v>1391.4949999999997</c:v>
                </c:pt>
                <c:pt idx="84">
                  <c:v>1408.2599999999998</c:v>
                </c:pt>
                <c:pt idx="85">
                  <c:v>1425.0249999999999</c:v>
                </c:pt>
                <c:pt idx="86">
                  <c:v>1441.79</c:v>
                </c:pt>
                <c:pt idx="87">
                  <c:v>1458.5549999999996</c:v>
                </c:pt>
                <c:pt idx="88">
                  <c:v>1475.32</c:v>
                </c:pt>
                <c:pt idx="89">
                  <c:v>1492.0849999999998</c:v>
                </c:pt>
                <c:pt idx="90">
                  <c:v>1508.85</c:v>
                </c:pt>
                <c:pt idx="91">
                  <c:v>1525.6149999999998</c:v>
                </c:pt>
                <c:pt idx="92">
                  <c:v>1542.38</c:v>
                </c:pt>
                <c:pt idx="93">
                  <c:v>1559.1449999999998</c:v>
                </c:pt>
                <c:pt idx="94">
                  <c:v>1575.9099999999994</c:v>
                </c:pt>
                <c:pt idx="95">
                  <c:v>1592.6749999999997</c:v>
                </c:pt>
                <c:pt idx="96">
                  <c:v>1609.44</c:v>
                </c:pt>
                <c:pt idx="97">
                  <c:v>1626.2049999999997</c:v>
                </c:pt>
                <c:pt idx="98">
                  <c:v>1642.97</c:v>
                </c:pt>
                <c:pt idx="99">
                  <c:v>1659.7349999999999</c:v>
                </c:pt>
                <c:pt idx="100">
                  <c:v>1676.4999999999998</c:v>
                </c:pt>
              </c:numCache>
            </c:numRef>
          </c:val>
          <c:smooth val="0"/>
          <c:extLst>
            <c:ext xmlns:c16="http://schemas.microsoft.com/office/drawing/2014/chart" uri="{C3380CC4-5D6E-409C-BE32-E72D297353CC}">
              <c16:uniqueId val="{00000001-3B81-4204-928B-6CDC733DE792}"/>
            </c:ext>
          </c:extLst>
        </c:ser>
        <c:ser>
          <c:idx val="3"/>
          <c:order val="2"/>
          <c:tx>
            <c:strRef>
              <c:f>'Calculations - Single'!$BG$3</c:f>
              <c:strCache>
                <c:ptCount val="1"/>
                <c:pt idx="0">
                  <c:v>MOSFET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Single'!$BN$5:$BN$105</c:f>
              <c:numCache>
                <c:formatCode>0.0</c:formatCode>
                <c:ptCount val="101"/>
                <c:pt idx="0">
                  <c:v>60.354746970104195</c:v>
                </c:pt>
                <c:pt idx="1">
                  <c:v>136.95989779645245</c:v>
                </c:pt>
                <c:pt idx="2">
                  <c:v>273.96392223095989</c:v>
                </c:pt>
                <c:pt idx="3">
                  <c:v>411.0120946324725</c:v>
                </c:pt>
                <c:pt idx="4">
                  <c:v>548.10443634368937</c:v>
                </c:pt>
                <c:pt idx="5">
                  <c:v>685.24096872106793</c:v>
                </c:pt>
                <c:pt idx="6">
                  <c:v>822.42171313483675</c:v>
                </c:pt>
                <c:pt idx="7">
                  <c:v>959.64669096900604</c:v>
                </c:pt>
                <c:pt idx="8">
                  <c:v>1096.9159236213775</c:v>
                </c:pt>
                <c:pt idx="9">
                  <c:v>1234.2294325035577</c:v>
                </c:pt>
                <c:pt idx="10">
                  <c:v>1371.5872390409677</c:v>
                </c:pt>
                <c:pt idx="11">
                  <c:v>1508.9893646728549</c:v>
                </c:pt>
                <c:pt idx="12">
                  <c:v>1646.4358308523022</c:v>
                </c:pt>
                <c:pt idx="13">
                  <c:v>1771.5644138594751</c:v>
                </c:pt>
                <c:pt idx="14">
                  <c:v>1819.0890250908044</c:v>
                </c:pt>
                <c:pt idx="15">
                  <c:v>1865.0979070416997</c:v>
                </c:pt>
                <c:pt idx="16">
                  <c:v>1909.747035050071</c:v>
                </c:pt>
                <c:pt idx="17">
                  <c:v>1953.1682583143033</c:v>
                </c:pt>
                <c:pt idx="18">
                  <c:v>1995.4742148705743</c:v>
                </c:pt>
                <c:pt idx="19">
                  <c:v>2036.7620305025484</c:v>
                </c:pt>
                <c:pt idx="20">
                  <c:v>2077.116150165019</c:v>
                </c:pt>
                <c:pt idx="21">
                  <c:v>2116.6105382507367</c:v>
                </c:pt>
                <c:pt idx="22">
                  <c:v>2155.3104115248557</c:v>
                </c:pt>
                <c:pt idx="23">
                  <c:v>2193.2736205596939</c:v>
                </c:pt>
                <c:pt idx="24">
                  <c:v>2230.5517630347676</c:v>
                </c:pt>
                <c:pt idx="25">
                  <c:v>2267.1910898669908</c:v>
                </c:pt>
                <c:pt idx="26">
                  <c:v>2303.2332494053021</c:v>
                </c:pt>
                <c:pt idx="27">
                  <c:v>2338.7159036981766</c:v>
                </c:pt>
                <c:pt idx="28">
                  <c:v>2373.6732427129882</c:v>
                </c:pt>
                <c:pt idx="29">
                  <c:v>2408.1364164194574</c:v>
                </c:pt>
                <c:pt idx="30">
                  <c:v>2442.1339002155696</c:v>
                </c:pt>
                <c:pt idx="31">
                  <c:v>2475.6918058419728</c:v>
                </c:pt>
                <c:pt idx="32">
                  <c:v>2508.8341473996288</c:v>
                </c:pt>
                <c:pt idx="33">
                  <c:v>2541.5830701440627</c:v>
                </c:pt>
                <c:pt idx="34">
                  <c:v>2573.9590482266808</c:v>
                </c:pt>
                <c:pt idx="35">
                  <c:v>2605.9810563805027</c:v>
                </c:pt>
                <c:pt idx="36">
                  <c:v>2637.6667196244985</c:v>
                </c:pt>
                <c:pt idx="37">
                  <c:v>2669.0324443288414</c:v>
                </c:pt>
                <c:pt idx="38">
                  <c:v>2700.0935333991752</c:v>
                </c:pt>
                <c:pt idx="39">
                  <c:v>2730.8642878684336</c:v>
                </c:pt>
                <c:pt idx="40">
                  <c:v>2761.3580968050992</c:v>
                </c:pt>
                <c:pt idx="41">
                  <c:v>2791.5875171380062</c:v>
                </c:pt>
                <c:pt idx="42">
                  <c:v>2821.5643447451471</c:v>
                </c:pt>
                <c:pt idx="43">
                  <c:v>2851.2996779463342</c:v>
                </c:pt>
                <c:pt idx="44">
                  <c:v>2880.8039743679346</c:v>
                </c:pt>
                <c:pt idx="45">
                  <c:v>2910.0871020053924</c:v>
                </c:pt>
                <c:pt idx="46">
                  <c:v>2939.1583851904884</c:v>
                </c:pt>
                <c:pt idx="47">
                  <c:v>2968.026646070678</c:v>
                </c:pt>
                <c:pt idx="48">
                  <c:v>2996.700242124226</c:v>
                </c:pt>
                <c:pt idx="49">
                  <c:v>3025.187100164092</c:v>
                </c:pt>
                <c:pt idx="50">
                  <c:v>3053.494747223705</c:v>
                </c:pt>
                <c:pt idx="51">
                  <c:v>3081.6303386667664</c:v>
                </c:pt>
                <c:pt idx="52">
                  <c:v>3109.6006838197609</c:v>
                </c:pt>
                <c:pt idx="53">
                  <c:v>3137.4122693886388</c:v>
                </c:pt>
                <c:pt idx="54">
                  <c:v>3165.0712808891258</c:v>
                </c:pt>
                <c:pt idx="55">
                  <c:v>3192.5836222926246</c:v>
                </c:pt>
                <c:pt idx="56">
                  <c:v>3219.9549340657891</c:v>
                </c:pt>
                <c:pt idx="57">
                  <c:v>3247.1906097613132</c:v>
                </c:pt>
                <c:pt idx="58">
                  <c:v>3274.2958112994793</c:v>
                </c:pt>
                <c:pt idx="59">
                  <c:v>3301.2754830644758</c:v>
                </c:pt>
                <c:pt idx="60">
                  <c:v>3328.134364925816</c:v>
                </c:pt>
                <c:pt idx="61">
                  <c:v>3354.8770042832625</c:v>
                </c:pt>
                <c:pt idx="62">
                  <c:v>3381.5077672232269</c:v>
                </c:pt>
                <c:pt idx="63">
                  <c:v>3408.0308488653927</c:v>
                </c:pt>
                <c:pt idx="64">
                  <c:v>3434.4502829701778</c:v>
                </c:pt>
                <c:pt idx="65">
                  <c:v>3460.7699508705396</c:v>
                </c:pt>
                <c:pt idx="66">
                  <c:v>3486.9935897852347</c:v>
                </c:pt>
                <c:pt idx="67">
                  <c:v>3513.1248005650832</c:v>
                </c:pt>
                <c:pt idx="68">
                  <c:v>3539.1670549187306</c:v>
                </c:pt>
                <c:pt idx="69">
                  <c:v>3565.123702160025</c:v>
                </c:pt>
                <c:pt idx="70">
                  <c:v>3590.9979755151267</c:v>
                </c:pt>
                <c:pt idx="71">
                  <c:v>3616.7929980239292</c:v>
                </c:pt>
                <c:pt idx="72">
                  <c:v>3642.5117880672515</c:v>
                </c:pt>
                <c:pt idx="73">
                  <c:v>3668.1572645483498</c:v>
                </c:pt>
                <c:pt idx="74">
                  <c:v>3693.7322517548569</c:v>
                </c:pt>
                <c:pt idx="75">
                  <c:v>3719.2394839248504</c:v>
                </c:pt>
                <c:pt idx="76">
                  <c:v>3744.6816095388126</c:v>
                </c:pt>
                <c:pt idx="77">
                  <c:v>3770.0611953573002</c:v>
                </c:pt>
                <c:pt idx="78">
                  <c:v>3795.3807302225027</c:v>
                </c:pt>
                <c:pt idx="79">
                  <c:v>3813.1708326795829</c:v>
                </c:pt>
                <c:pt idx="80">
                  <c:v>3792.099759361357</c:v>
                </c:pt>
                <c:pt idx="81">
                  <c:v>3771.4204129025479</c:v>
                </c:pt>
                <c:pt idx="82">
                  <c:v>3751.1158879813825</c:v>
                </c:pt>
                <c:pt idx="83">
                  <c:v>3731.173403173771</c:v>
                </c:pt>
                <c:pt idx="84">
                  <c:v>3711.5898465307741</c:v>
                </c:pt>
                <c:pt idx="85">
                  <c:v>3698.0330367533943</c:v>
                </c:pt>
                <c:pt idx="86">
                  <c:v>3702.1347083244727</c:v>
                </c:pt>
                <c:pt idx="87">
                  <c:v>3706.4352106642418</c:v>
                </c:pt>
                <c:pt idx="88">
                  <c:v>3710.8966699736288</c:v>
                </c:pt>
                <c:pt idx="89">
                  <c:v>3715.530481710191</c:v>
                </c:pt>
                <c:pt idx="90">
                  <c:v>3720.3350591989461</c:v>
                </c:pt>
                <c:pt idx="91">
                  <c:v>3725.3089122923216</c:v>
                </c:pt>
                <c:pt idx="92">
                  <c:v>3730.4506429793178</c:v>
                </c:pt>
                <c:pt idx="93">
                  <c:v>3735.758941268839</c:v>
                </c:pt>
                <c:pt idx="94">
                  <c:v>3741.232581328155</c:v>
                </c:pt>
                <c:pt idx="95">
                  <c:v>3746.8704178589483</c:v>
                </c:pt>
                <c:pt idx="96">
                  <c:v>3752.6713826948608</c:v>
                </c:pt>
                <c:pt idx="97">
                  <c:v>3758.6344816056039</c:v>
                </c:pt>
                <c:pt idx="98">
                  <c:v>3764.7587912939375</c:v>
                </c:pt>
                <c:pt idx="99">
                  <c:v>3771.0434565728256</c:v>
                </c:pt>
                <c:pt idx="100">
                  <c:v>3777.487687711026</c:v>
                </c:pt>
              </c:numCache>
            </c:numRef>
          </c:val>
          <c:smooth val="0"/>
          <c:extLst>
            <c:ext xmlns:c16="http://schemas.microsoft.com/office/drawing/2014/chart" uri="{C3380CC4-5D6E-409C-BE32-E72D297353CC}">
              <c16:uniqueId val="{00000002-3B81-4204-928B-6CDC733DE792}"/>
            </c:ext>
          </c:extLst>
        </c:ser>
        <c:ser>
          <c:idx val="1"/>
          <c:order val="3"/>
          <c:tx>
            <c:strRef>
              <c:f>'Calculations - Single'!$BS$3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Single'!$BX$5:$BX$105</c:f>
              <c:numCache>
                <c:formatCode>0.0</c:formatCode>
                <c:ptCount val="101"/>
                <c:pt idx="0">
                  <c:v>78.405523138894438</c:v>
                </c:pt>
                <c:pt idx="1">
                  <c:v>98.736488069960956</c:v>
                </c:pt>
                <c:pt idx="2">
                  <c:v>147.29842262899723</c:v>
                </c:pt>
                <c:pt idx="3">
                  <c:v>216.6162669017379</c:v>
                </c:pt>
                <c:pt idx="4">
                  <c:v>311.43239545780222</c:v>
                </c:pt>
                <c:pt idx="5">
                  <c:v>435.72196874604572</c:v>
                </c:pt>
                <c:pt idx="6">
                  <c:v>592.97952435265586</c:v>
                </c:pt>
                <c:pt idx="7">
                  <c:v>786.36097782376135</c:v>
                </c:pt>
                <c:pt idx="8">
                  <c:v>1018.7667310503952</c:v>
                </c:pt>
                <c:pt idx="9">
                  <c:v>1292.8953934366098</c:v>
                </c:pt>
                <c:pt idx="10">
                  <c:v>1611.2809188285382</c:v>
                </c:pt>
                <c:pt idx="11">
                  <c:v>1976.3195606856857</c:v>
                </c:pt>
                <c:pt idx="12">
                  <c:v>2390.2901774815273</c:v>
                </c:pt>
                <c:pt idx="13">
                  <c:v>2824.2285053366909</c:v>
                </c:pt>
                <c:pt idx="14">
                  <c:v>3090.1008600921118</c:v>
                </c:pt>
                <c:pt idx="15">
                  <c:v>3360.2851525045621</c:v>
                </c:pt>
                <c:pt idx="16">
                  <c:v>3634.5761392856643</c:v>
                </c:pt>
                <c:pt idx="17">
                  <c:v>3912.7914469043881</c:v>
                </c:pt>
                <c:pt idx="18">
                  <c:v>4194.7678276833003</c:v>
                </c:pt>
                <c:pt idx="19">
                  <c:v>4480.3582044829609</c:v>
                </c:pt>
                <c:pt idx="20">
                  <c:v>4769.4293047268802</c:v>
                </c:pt>
                <c:pt idx="21">
                  <c:v>5061.8597424015343</c:v>
                </c:pt>
                <c:pt idx="22">
                  <c:v>5357.538445751391</c:v>
                </c:pt>
                <c:pt idx="23">
                  <c:v>5656.3633553667942</c:v>
                </c:pt>
                <c:pt idx="24">
                  <c:v>5958.2403363512531</c:v>
                </c:pt>
                <c:pt idx="25">
                  <c:v>6263.0822618574448</c:v>
                </c:pt>
                <c:pt idx="26">
                  <c:v>6570.8082351813373</c:v>
                </c:pt>
                <c:pt idx="27">
                  <c:v>6881.3429249140636</c:v>
                </c:pt>
                <c:pt idx="28">
                  <c:v>7194.615993120663</c:v>
                </c:pt>
                <c:pt idx="29">
                  <c:v>7510.5616006561995</c:v>
                </c:pt>
                <c:pt idx="30">
                  <c:v>7829.1179769011505</c:v>
                </c:pt>
                <c:pt idx="31">
                  <c:v>8150.2270436508898</c:v>
                </c:pt>
                <c:pt idx="32">
                  <c:v>8473.8340848097632</c:v>
                </c:pt>
                <c:pt idx="33">
                  <c:v>8799.887455049673</c:v>
                </c:pt>
                <c:pt idx="34">
                  <c:v>9128.3383217911887</c:v>
                </c:pt>
                <c:pt idx="35">
                  <c:v>9459.1404358253385</c:v>
                </c:pt>
                <c:pt idx="36">
                  <c:v>9792.2499266670802</c:v>
                </c:pt>
                <c:pt idx="37">
                  <c:v>10127.6251193593</c:v>
                </c:pt>
                <c:pt idx="38">
                  <c:v>10465.226369958527</c:v>
                </c:pt>
                <c:pt idx="39">
                  <c:v>10805.015917355064</c:v>
                </c:pt>
                <c:pt idx="40">
                  <c:v>11146.957749427271</c:v>
                </c:pt>
                <c:pt idx="41">
                  <c:v>11491.017481819537</c:v>
                </c:pt>
                <c:pt idx="42">
                  <c:v>11837.162247873617</c:v>
                </c:pt>
                <c:pt idx="43">
                  <c:v>12185.360598445939</c:v>
                </c:pt>
                <c:pt idx="44">
                  <c:v>12535.582410513345</c:v>
                </c:pt>
                <c:pt idx="45">
                  <c:v>12887.798803613867</c:v>
                </c:pt>
                <c:pt idx="46">
                  <c:v>13241.982063291525</c:v>
                </c:pt>
                <c:pt idx="47">
                  <c:v>13598.105570818516</c:v>
                </c:pt>
                <c:pt idx="48">
                  <c:v>13956.143738557397</c:v>
                </c:pt>
                <c:pt idx="49">
                  <c:v>14316.071950402336</c:v>
                </c:pt>
                <c:pt idx="50">
                  <c:v>14677.866506805003</c:v>
                </c:pt>
                <c:pt idx="51">
                  <c:v>15041.504573947546</c:v>
                </c:pt>
                <c:pt idx="52">
                  <c:v>15406.964136674405</c:v>
                </c:pt>
                <c:pt idx="53">
                  <c:v>15774.223954838275</c:v>
                </c:pt>
                <c:pt idx="54">
                  <c:v>16143.263522752819</c:v>
                </c:pt>
                <c:pt idx="55">
                  <c:v>16514.063031477461</c:v>
                </c:pt>
                <c:pt idx="56">
                  <c:v>16886.603333688781</c:v>
                </c:pt>
                <c:pt idx="57">
                  <c:v>17260.865910917953</c:v>
                </c:pt>
                <c:pt idx="58">
                  <c:v>17636.832842956373</c:v>
                </c:pt>
                <c:pt idx="59">
                  <c:v>18014.486779250852</c:v>
                </c:pt>
                <c:pt idx="60">
                  <c:v>18393.810912127756</c:v>
                </c:pt>
                <c:pt idx="61">
                  <c:v>18774.788951700557</c:v>
                </c:pt>
                <c:pt idx="62">
                  <c:v>19157.405102329005</c:v>
                </c:pt>
                <c:pt idx="63">
                  <c:v>19541.644040510757</c:v>
                </c:pt>
                <c:pt idx="64">
                  <c:v>19927.490894096813</c:v>
                </c:pt>
                <c:pt idx="65">
                  <c:v>20314.931222732168</c:v>
                </c:pt>
                <c:pt idx="66">
                  <c:v>20703.950999431629</c:v>
                </c:pt>
                <c:pt idx="67">
                  <c:v>21094.536593208923</c:v>
                </c:pt>
                <c:pt idx="68">
                  <c:v>21486.674752683983</c:v>
                </c:pt>
                <c:pt idx="69">
                  <c:v>21880.352590599701</c:v>
                </c:pt>
                <c:pt idx="70">
                  <c:v>22275.557569185443</c:v>
                </c:pt>
                <c:pt idx="71">
                  <c:v>22672.277486309624</c:v>
                </c:pt>
                <c:pt idx="72">
                  <c:v>23070.500462367887</c:v>
                </c:pt>
                <c:pt idx="73">
                  <c:v>23470.214927858935</c:v>
                </c:pt>
                <c:pt idx="74">
                  <c:v>23871.409611602303</c:v>
                </c:pt>
                <c:pt idx="75">
                  <c:v>24274.073529557078</c:v>
                </c:pt>
                <c:pt idx="76">
                  <c:v>24678.1959742033</c:v>
                </c:pt>
                <c:pt idx="77">
                  <c:v>25083.766504450723</c:v>
                </c:pt>
                <c:pt idx="78">
                  <c:v>25490.774936041991</c:v>
                </c:pt>
                <c:pt idx="79">
                  <c:v>25785.459416669848</c:v>
                </c:pt>
                <c:pt idx="80">
                  <c:v>25490.18972975705</c:v>
                </c:pt>
                <c:pt idx="81">
                  <c:v>25202.071907652229</c:v>
                </c:pt>
                <c:pt idx="82">
                  <c:v>24920.37440114862</c:v>
                </c:pt>
                <c:pt idx="83">
                  <c:v>24644.704660479103</c:v>
                </c:pt>
                <c:pt idx="84">
                  <c:v>24375.497985921615</c:v>
                </c:pt>
                <c:pt idx="85">
                  <c:v>24199.980698943844</c:v>
                </c:pt>
                <c:pt idx="86">
                  <c:v>24295.481963657279</c:v>
                </c:pt>
                <c:pt idx="87">
                  <c:v>24390.363392869851</c:v>
                </c:pt>
                <c:pt idx="88">
                  <c:v>24484.936842806059</c:v>
                </c:pt>
                <c:pt idx="89">
                  <c:v>24579.115928098417</c:v>
                </c:pt>
                <c:pt idx="90">
                  <c:v>24672.924644797175</c:v>
                </c:pt>
                <c:pt idx="91">
                  <c:v>24766.386131316907</c:v>
                </c:pt>
                <c:pt idx="92">
                  <c:v>24859.52271103895</c:v>
                </c:pt>
                <c:pt idx="93">
                  <c:v>24952.355932493829</c:v>
                </c:pt>
                <c:pt idx="94">
                  <c:v>25044.906607284443</c:v>
                </c:pt>
                <c:pt idx="95">
                  <c:v>25137.194845896778</c:v>
                </c:pt>
                <c:pt idx="96">
                  <c:v>25229.240091535412</c:v>
                </c:pt>
                <c:pt idx="97">
                  <c:v>25321.061152110971</c:v>
                </c:pt>
                <c:pt idx="98">
                  <c:v>25412.676230497065</c:v>
                </c:pt>
                <c:pt idx="99">
                  <c:v>25504.102953165286</c:v>
                </c:pt>
                <c:pt idx="100">
                  <c:v>25595.358397301206</c:v>
                </c:pt>
              </c:numCache>
            </c:numRef>
          </c:val>
          <c:smooth val="0"/>
          <c:extLst>
            <c:ext xmlns:c16="http://schemas.microsoft.com/office/drawing/2014/chart" uri="{C3380CC4-5D6E-409C-BE32-E72D297353CC}">
              <c16:uniqueId val="{00000003-3B81-4204-928B-6CDC733DE792}"/>
            </c:ext>
          </c:extLst>
        </c:ser>
        <c:dLbls>
          <c:showLegendKey val="0"/>
          <c:showVal val="0"/>
          <c:showCatName val="0"/>
          <c:showSerName val="0"/>
          <c:showPercent val="0"/>
          <c:showBubbleSize val="0"/>
        </c:dLbls>
        <c:marker val="1"/>
        <c:smooth val="0"/>
        <c:axId val="451820160"/>
        <c:axId val="451818240"/>
      </c:lineChart>
      <c:catAx>
        <c:axId val="451805952"/>
        <c:scaling>
          <c:orientation val="minMax"/>
        </c:scaling>
        <c:delete val="0"/>
        <c:axPos val="b"/>
        <c:majorGridlines>
          <c:spPr>
            <a:ln w="15875">
              <a:solidFill>
                <a:srgbClr val="969696"/>
              </a:solidFill>
              <a:prstDash val="sysDash"/>
            </a:ln>
          </c:spPr>
        </c:majorGridlines>
        <c:minorGridlines/>
        <c:title>
          <c:tx>
            <c:rich>
              <a:bodyPr/>
              <a:lstStyle/>
              <a:p>
                <a:pPr>
                  <a:defRPr lang="ja-JP"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Load Current (mA)</a:t>
                </a:r>
              </a:p>
            </c:rich>
          </c:tx>
          <c:layout>
            <c:manualLayout>
              <c:xMode val="edge"/>
              <c:yMode val="edge"/>
              <c:x val="0.42471011396394504"/>
              <c:y val="0.93853771636955563"/>
            </c:manualLayout>
          </c:layout>
          <c:overlay val="0"/>
          <c:spPr>
            <a:noFill/>
            <a:ln w="25400">
              <a:noFill/>
            </a:ln>
          </c:spPr>
        </c:title>
        <c:numFmt formatCode="0" sourceLinked="1"/>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0000FF"/>
                </a:solidFill>
                <a:latin typeface="Arial" pitchFamily="34" charset="0"/>
                <a:ea typeface="Calibri"/>
                <a:cs typeface="Arial" pitchFamily="34" charset="0"/>
              </a:defRPr>
            </a:pPr>
            <a:endParaRPr lang="en-US"/>
          </a:p>
        </c:txPr>
        <c:crossAx val="451807872"/>
        <c:crosses val="autoZero"/>
        <c:auto val="1"/>
        <c:lblAlgn val="ctr"/>
        <c:lblOffset val="100"/>
        <c:tickLblSkip val="20"/>
        <c:tickMarkSkip val="20"/>
        <c:noMultiLvlLbl val="0"/>
      </c:catAx>
      <c:valAx>
        <c:axId val="451807872"/>
        <c:scaling>
          <c:orientation val="minMax"/>
          <c:max val="100"/>
          <c:min val="55"/>
        </c:scaling>
        <c:delete val="0"/>
        <c:axPos val="l"/>
        <c:majorGridlines>
          <c:spPr>
            <a:ln w="15875">
              <a:solidFill>
                <a:srgbClr val="808080"/>
              </a:solidFill>
              <a:prstDash val="solid"/>
            </a:ln>
          </c:spPr>
        </c:majorGridlines>
        <c:title>
          <c:tx>
            <c:rich>
              <a:bodyPr/>
              <a:lstStyle/>
              <a:p>
                <a:pPr>
                  <a:defRPr lang="ja-JP"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FF0000"/>
                </a:solidFill>
                <a:latin typeface="Arial" pitchFamily="34" charset="0"/>
                <a:ea typeface="Calibri"/>
                <a:cs typeface="Arial" pitchFamily="34" charset="0"/>
              </a:defRPr>
            </a:pPr>
            <a:endParaRPr lang="en-US"/>
          </a:p>
        </c:txPr>
        <c:crossAx val="451805952"/>
        <c:crossesAt val="0"/>
        <c:crossBetween val="between"/>
        <c:majorUnit val="5"/>
        <c:minorUnit val="2.5"/>
      </c:valAx>
      <c:valAx>
        <c:axId val="451818240"/>
        <c:scaling>
          <c:orientation val="minMax"/>
        </c:scaling>
        <c:delete val="0"/>
        <c:axPos val="r"/>
        <c:title>
          <c:tx>
            <c:rich>
              <a:bodyPr rot="-5400000" vert="horz"/>
              <a:lstStyle/>
              <a:p>
                <a:pPr>
                  <a:defRPr lang="ja-JP"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lang="ja-JP" sz="1100" b="1">
                <a:solidFill>
                  <a:sysClr val="windowText" lastClr="000000"/>
                </a:solidFill>
              </a:defRPr>
            </a:pPr>
            <a:endParaRPr lang="en-US"/>
          </a:p>
        </c:txPr>
        <c:crossAx val="451820160"/>
        <c:crosses val="max"/>
        <c:crossBetween val="between"/>
      </c:valAx>
      <c:catAx>
        <c:axId val="451820160"/>
        <c:scaling>
          <c:orientation val="minMax"/>
        </c:scaling>
        <c:delete val="1"/>
        <c:axPos val="b"/>
        <c:numFmt formatCode="General" sourceLinked="1"/>
        <c:majorTickMark val="out"/>
        <c:minorTickMark val="none"/>
        <c:tickLblPos val="nextTo"/>
        <c:crossAx val="451818240"/>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4467583520385743"/>
          <c:h val="8.9795049320617604E-2"/>
        </c:manualLayout>
      </c:layout>
      <c:overlay val="0"/>
      <c:spPr>
        <a:solidFill>
          <a:srgbClr val="FFFFFF"/>
        </a:solidFill>
        <a:ln w="25400">
          <a:noFill/>
        </a:ln>
      </c:spPr>
      <c:txPr>
        <a:bodyPr/>
        <a:lstStyle/>
        <a:p>
          <a:pPr>
            <a:defRPr lang="ja-JP" sz="11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lang="ja-JP"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Dual'!$CB$5:$CB$105</c:f>
              <c:numCache>
                <c:formatCode>0.00</c:formatCode>
                <c:ptCount val="101"/>
                <c:pt idx="0">
                  <c:v>4.5713909236334194E-5</c:v>
                </c:pt>
                <c:pt idx="1">
                  <c:v>75.130440609473808</c:v>
                </c:pt>
                <c:pt idx="2">
                  <c:v>76.995795139376781</c:v>
                </c:pt>
                <c:pt idx="3">
                  <c:v>77.088647369678029</c:v>
                </c:pt>
                <c:pt idx="4">
                  <c:v>76.635135670652261</c:v>
                </c:pt>
                <c:pt idx="5">
                  <c:v>75.912238095555708</c:v>
                </c:pt>
                <c:pt idx="6">
                  <c:v>75.025334077858588</c:v>
                </c:pt>
                <c:pt idx="7">
                  <c:v>74.027428869671979</c:v>
                </c:pt>
                <c:pt idx="8">
                  <c:v>72.950348122498468</c:v>
                </c:pt>
                <c:pt idx="9">
                  <c:v>71.815584030584489</c:v>
                </c:pt>
                <c:pt idx="10">
                  <c:v>70.638835784578731</c:v>
                </c:pt>
                <c:pt idx="11">
                  <c:v>69.432185484391212</c:v>
                </c:pt>
                <c:pt idx="12">
                  <c:v>67.893387424678096</c:v>
                </c:pt>
                <c:pt idx="13">
                  <c:v>65.917942606371724</c:v>
                </c:pt>
                <c:pt idx="14">
                  <c:v>66.06744542241772</c:v>
                </c:pt>
                <c:pt idx="15">
                  <c:v>66.185410111269476</c:v>
                </c:pt>
                <c:pt idx="16">
                  <c:v>66.277778607841924</c:v>
                </c:pt>
                <c:pt idx="17">
                  <c:v>66.349149723756739</c:v>
                </c:pt>
                <c:pt idx="18">
                  <c:v>66.403134418396363</c:v>
                </c:pt>
                <c:pt idx="19">
                  <c:v>66.442604304554848</c:v>
                </c:pt>
                <c:pt idx="20">
                  <c:v>66.469869010107303</c:v>
                </c:pt>
                <c:pt idx="21">
                  <c:v>66.486805050707829</c:v>
                </c:pt>
                <c:pt idx="22">
                  <c:v>66.494950983070936</c:v>
                </c:pt>
                <c:pt idx="23">
                  <c:v>66.495578682853164</c:v>
                </c:pt>
                <c:pt idx="24">
                  <c:v>66.489747439932884</c:v>
                </c:pt>
                <c:pt idx="25">
                  <c:v>66.478345503888605</c:v>
                </c:pt>
                <c:pt idx="26">
                  <c:v>66.462122339286836</c:v>
                </c:pt>
                <c:pt idx="27">
                  <c:v>66.44171391862632</c:v>
                </c:pt>
                <c:pt idx="28">
                  <c:v>66.417662738203148</c:v>
                </c:pt>
                <c:pt idx="29">
                  <c:v>66.390433792363055</c:v>
                </c:pt>
                <c:pt idx="30">
                  <c:v>66.360427422411533</c:v>
                </c:pt>
                <c:pt idx="31">
                  <c:v>66.327989727045718</c:v>
                </c:pt>
                <c:pt idx="32">
                  <c:v>66.293421054355335</c:v>
                </c:pt>
                <c:pt idx="33">
                  <c:v>66.256982972800543</c:v>
                </c:pt>
                <c:pt idx="34">
                  <c:v>66.218904027496876</c:v>
                </c:pt>
                <c:pt idx="35">
                  <c:v>66.179384519847289</c:v>
                </c:pt>
                <c:pt idx="36">
                  <c:v>66.138600496907458</c:v>
                </c:pt>
                <c:pt idx="37">
                  <c:v>66.096707097464474</c:v>
                </c:pt>
                <c:pt idx="38">
                  <c:v>66.05384137151789</c:v>
                </c:pt>
                <c:pt idx="39">
                  <c:v>66.010124666387426</c:v>
                </c:pt>
                <c:pt idx="40">
                  <c:v>65.965664654374805</c:v>
                </c:pt>
                <c:pt idx="41">
                  <c:v>65.920557062539743</c:v>
                </c:pt>
                <c:pt idx="42">
                  <c:v>65.874887153801197</c:v>
                </c:pt>
                <c:pt idx="43">
                  <c:v>65.828730999556981</c:v>
                </c:pt>
                <c:pt idx="44">
                  <c:v>65.7821565768064</c:v>
                </c:pt>
                <c:pt idx="45">
                  <c:v>65.735224716970549</c:v>
                </c:pt>
                <c:pt idx="46">
                  <c:v>65.687989928928985</c:v>
                </c:pt>
                <c:pt idx="47">
                  <c:v>65.640501114996908</c:v>
                </c:pt>
                <c:pt idx="48">
                  <c:v>65.592802195474306</c:v>
                </c:pt>
                <c:pt idx="49">
                  <c:v>65.544932654865946</c:v>
                </c:pt>
                <c:pt idx="50">
                  <c:v>65.496928020788872</c:v>
                </c:pt>
                <c:pt idx="51">
                  <c:v>65.448820284864766</c:v>
                </c:pt>
                <c:pt idx="52">
                  <c:v>65.400638273470307</c:v>
                </c:pt>
                <c:pt idx="53">
                  <c:v>65.352407975032946</c:v>
                </c:pt>
                <c:pt idx="54">
                  <c:v>65.304152829571152</c:v>
                </c:pt>
                <c:pt idx="55">
                  <c:v>65.255893985348379</c:v>
                </c:pt>
                <c:pt idx="56">
                  <c:v>65.207650526814732</c:v>
                </c:pt>
                <c:pt idx="57">
                  <c:v>65.159439677422483</c:v>
                </c:pt>
                <c:pt idx="58">
                  <c:v>65.111276980405378</c:v>
                </c:pt>
                <c:pt idx="59">
                  <c:v>65.063176460191016</c:v>
                </c:pt>
                <c:pt idx="60">
                  <c:v>65.015150766756904</c:v>
                </c:pt>
                <c:pt idx="61">
                  <c:v>64.967211304935972</c:v>
                </c:pt>
                <c:pt idx="62">
                  <c:v>64.919368350416178</c:v>
                </c:pt>
                <c:pt idx="63">
                  <c:v>64.871631153954894</c:v>
                </c:pt>
                <c:pt idx="64">
                  <c:v>64.824008035136544</c:v>
                </c:pt>
                <c:pt idx="65">
                  <c:v>64.776506466836821</c:v>
                </c:pt>
                <c:pt idx="66">
                  <c:v>64.729133151413052</c:v>
                </c:pt>
                <c:pt idx="67">
                  <c:v>64.68189408951703</c:v>
                </c:pt>
                <c:pt idx="68">
                  <c:v>64.634794642319889</c:v>
                </c:pt>
                <c:pt idx="69">
                  <c:v>64.587839587844371</c:v>
                </c:pt>
                <c:pt idx="70">
                  <c:v>64.541033172019425</c:v>
                </c:pt>
                <c:pt idx="71">
                  <c:v>64.494379155001695</c:v>
                </c:pt>
                <c:pt idx="72">
                  <c:v>64.447880853245437</c:v>
                </c:pt>
                <c:pt idx="73">
                  <c:v>64.401541177749536</c:v>
                </c:pt>
                <c:pt idx="74">
                  <c:v>64.929065426395923</c:v>
                </c:pt>
                <c:pt idx="75">
                  <c:v>65.469223868662795</c:v>
                </c:pt>
                <c:pt idx="76">
                  <c:v>65.997506692342981</c:v>
                </c:pt>
                <c:pt idx="77">
                  <c:v>66.514174332672127</c:v>
                </c:pt>
                <c:pt idx="78">
                  <c:v>67.019484814826058</c:v>
                </c:pt>
                <c:pt idx="79">
                  <c:v>67.514244362712617</c:v>
                </c:pt>
                <c:pt idx="80">
                  <c:v>67.998470240170761</c:v>
                </c:pt>
                <c:pt idx="81">
                  <c:v>68.472083619356667</c:v>
                </c:pt>
                <c:pt idx="82">
                  <c:v>68.935329454976653</c:v>
                </c:pt>
                <c:pt idx="83">
                  <c:v>69.388448968373865</c:v>
                </c:pt>
                <c:pt idx="84">
                  <c:v>69.831679475898653</c:v>
                </c:pt>
                <c:pt idx="85">
                  <c:v>68.419658780943465</c:v>
                </c:pt>
                <c:pt idx="86">
                  <c:v>68.583793301762142</c:v>
                </c:pt>
                <c:pt idx="87">
                  <c:v>68.745018272067924</c:v>
                </c:pt>
                <c:pt idx="88">
                  <c:v>68.903396857988028</c:v>
                </c:pt>
                <c:pt idx="89">
                  <c:v>69.058990338778457</c:v>
                </c:pt>
                <c:pt idx="90">
                  <c:v>69.211858175184545</c:v>
                </c:pt>
                <c:pt idx="91">
                  <c:v>69.362058074842665</c:v>
                </c:pt>
                <c:pt idx="92">
                  <c:v>69.509646054870402</c:v>
                </c:pt>
                <c:pt idx="93">
                  <c:v>69.654676501785218</c:v>
                </c:pt>
                <c:pt idx="94">
                  <c:v>69.79720222888281</c:v>
                </c:pt>
                <c:pt idx="95">
                  <c:v>69.937274531199236</c:v>
                </c:pt>
                <c:pt idx="96">
                  <c:v>70.0749432381741</c:v>
                </c:pt>
                <c:pt idx="97">
                  <c:v>70.210256764125887</c:v>
                </c:pt>
                <c:pt idx="98">
                  <c:v>70.343262156643604</c:v>
                </c:pt>
                <c:pt idx="99">
                  <c:v>70.474005142994443</c:v>
                </c:pt>
                <c:pt idx="100">
                  <c:v>70.575234377399028</c:v>
                </c:pt>
              </c:numCache>
            </c:numRef>
          </c:val>
          <c:smooth val="0"/>
          <c:extLst>
            <c:ext xmlns:c16="http://schemas.microsoft.com/office/drawing/2014/chart" uri="{C3380CC4-5D6E-409C-BE32-E72D297353CC}">
              <c16:uniqueId val="{00000000-F0EA-4A0C-859E-C3182CAF915C}"/>
            </c:ext>
          </c:extLst>
        </c:ser>
        <c:dLbls>
          <c:showLegendKey val="0"/>
          <c:showVal val="0"/>
          <c:showCatName val="0"/>
          <c:showSerName val="0"/>
          <c:showPercent val="0"/>
          <c:showBubbleSize val="0"/>
        </c:dLbls>
        <c:marker val="1"/>
        <c:smooth val="0"/>
        <c:axId val="451868928"/>
        <c:axId val="451223936"/>
      </c:lineChart>
      <c:lineChart>
        <c:grouping val="standard"/>
        <c:varyColors val="0"/>
        <c:ser>
          <c:idx val="2"/>
          <c:order val="1"/>
          <c:tx>
            <c:strRef>
              <c:f>'Calculations - Dual'!$BM$3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Dual'!$BQ$5:$BQ$105</c:f>
              <c:numCache>
                <c:formatCode>0.0</c:formatCode>
                <c:ptCount val="101"/>
                <c:pt idx="0">
                  <c:v>1.1495999999999998E-6</c:v>
                </c:pt>
                <c:pt idx="1">
                  <c:v>17.962499999999999</c:v>
                </c:pt>
                <c:pt idx="2">
                  <c:v>35.924999999999997</c:v>
                </c:pt>
                <c:pt idx="3">
                  <c:v>53.887499999999996</c:v>
                </c:pt>
                <c:pt idx="4">
                  <c:v>71.849999999999994</c:v>
                </c:pt>
                <c:pt idx="5">
                  <c:v>89.812499999999986</c:v>
                </c:pt>
                <c:pt idx="6">
                  <c:v>107.77499999999999</c:v>
                </c:pt>
                <c:pt idx="7">
                  <c:v>125.7375</c:v>
                </c:pt>
                <c:pt idx="8">
                  <c:v>143.69999999999999</c:v>
                </c:pt>
                <c:pt idx="9">
                  <c:v>161.66249999999997</c:v>
                </c:pt>
                <c:pt idx="10">
                  <c:v>179.62499999999997</c:v>
                </c:pt>
                <c:pt idx="11">
                  <c:v>197.58750000000001</c:v>
                </c:pt>
                <c:pt idx="12">
                  <c:v>215.54999999999998</c:v>
                </c:pt>
                <c:pt idx="13">
                  <c:v>233.51249999999999</c:v>
                </c:pt>
                <c:pt idx="14">
                  <c:v>251.47499999999999</c:v>
                </c:pt>
                <c:pt idx="15">
                  <c:v>269.43749999999994</c:v>
                </c:pt>
                <c:pt idx="16">
                  <c:v>287.39999999999998</c:v>
                </c:pt>
                <c:pt idx="17">
                  <c:v>305.36249999999995</c:v>
                </c:pt>
                <c:pt idx="18">
                  <c:v>323.32499999999993</c:v>
                </c:pt>
                <c:pt idx="19">
                  <c:v>341.28749999999997</c:v>
                </c:pt>
                <c:pt idx="20">
                  <c:v>359.24999999999994</c:v>
                </c:pt>
                <c:pt idx="21">
                  <c:v>377.21249999999998</c:v>
                </c:pt>
                <c:pt idx="22">
                  <c:v>395.17500000000001</c:v>
                </c:pt>
                <c:pt idx="23">
                  <c:v>413.13750000000005</c:v>
                </c:pt>
                <c:pt idx="24">
                  <c:v>431.09999999999997</c:v>
                </c:pt>
                <c:pt idx="25">
                  <c:v>449.0625</c:v>
                </c:pt>
                <c:pt idx="26">
                  <c:v>467.02499999999998</c:v>
                </c:pt>
                <c:pt idx="27">
                  <c:v>484.98749999999995</c:v>
                </c:pt>
                <c:pt idx="28">
                  <c:v>502.95</c:v>
                </c:pt>
                <c:pt idx="29">
                  <c:v>520.91249999999991</c:v>
                </c:pt>
                <c:pt idx="30">
                  <c:v>538.87499999999989</c:v>
                </c:pt>
                <c:pt idx="31">
                  <c:v>556.83749999999986</c:v>
                </c:pt>
                <c:pt idx="32">
                  <c:v>574.79999999999995</c:v>
                </c:pt>
                <c:pt idx="33">
                  <c:v>592.76249999999993</c:v>
                </c:pt>
                <c:pt idx="34">
                  <c:v>610.72499999999991</c:v>
                </c:pt>
                <c:pt idx="35">
                  <c:v>628.6875</c:v>
                </c:pt>
                <c:pt idx="36">
                  <c:v>646.64999999999986</c:v>
                </c:pt>
                <c:pt idx="37">
                  <c:v>664.61250000000007</c:v>
                </c:pt>
                <c:pt idx="38">
                  <c:v>682.57499999999993</c:v>
                </c:pt>
                <c:pt idx="39">
                  <c:v>700.53749999999991</c:v>
                </c:pt>
                <c:pt idx="40">
                  <c:v>718.49999999999989</c:v>
                </c:pt>
                <c:pt idx="41">
                  <c:v>736.46249999999986</c:v>
                </c:pt>
                <c:pt idx="42">
                  <c:v>754.42499999999995</c:v>
                </c:pt>
                <c:pt idx="43">
                  <c:v>772.38750000000005</c:v>
                </c:pt>
                <c:pt idx="44">
                  <c:v>790.35</c:v>
                </c:pt>
                <c:pt idx="45">
                  <c:v>808.31249999999989</c:v>
                </c:pt>
                <c:pt idx="46">
                  <c:v>826.27500000000009</c:v>
                </c:pt>
                <c:pt idx="47">
                  <c:v>844.23749999999973</c:v>
                </c:pt>
                <c:pt idx="48">
                  <c:v>862.19999999999993</c:v>
                </c:pt>
                <c:pt idx="49">
                  <c:v>880.16249999999991</c:v>
                </c:pt>
                <c:pt idx="50">
                  <c:v>898.125</c:v>
                </c:pt>
                <c:pt idx="51">
                  <c:v>916.08749999999986</c:v>
                </c:pt>
                <c:pt idx="52">
                  <c:v>934.05</c:v>
                </c:pt>
                <c:pt idx="53">
                  <c:v>952.01250000000005</c:v>
                </c:pt>
                <c:pt idx="54">
                  <c:v>969.97499999999991</c:v>
                </c:pt>
                <c:pt idx="55">
                  <c:v>987.93749999999989</c:v>
                </c:pt>
                <c:pt idx="56">
                  <c:v>1005.9</c:v>
                </c:pt>
                <c:pt idx="57">
                  <c:v>1023.8625</c:v>
                </c:pt>
                <c:pt idx="58">
                  <c:v>1041.8249999999998</c:v>
                </c:pt>
                <c:pt idx="59">
                  <c:v>1059.7874999999997</c:v>
                </c:pt>
                <c:pt idx="60">
                  <c:v>1077.7499999999998</c:v>
                </c:pt>
                <c:pt idx="61">
                  <c:v>1095.7124999999999</c:v>
                </c:pt>
                <c:pt idx="62">
                  <c:v>1113.6749999999997</c:v>
                </c:pt>
                <c:pt idx="63">
                  <c:v>1131.6374999999998</c:v>
                </c:pt>
                <c:pt idx="64">
                  <c:v>1149.5999999999999</c:v>
                </c:pt>
                <c:pt idx="65">
                  <c:v>1167.5624999999998</c:v>
                </c:pt>
                <c:pt idx="66">
                  <c:v>1185.5249999999999</c:v>
                </c:pt>
                <c:pt idx="67">
                  <c:v>1203.4874999999997</c:v>
                </c:pt>
                <c:pt idx="68">
                  <c:v>1221.4499999999998</c:v>
                </c:pt>
                <c:pt idx="69">
                  <c:v>1239.4124999999999</c:v>
                </c:pt>
                <c:pt idx="70">
                  <c:v>1257.375</c:v>
                </c:pt>
                <c:pt idx="71">
                  <c:v>1275.3374999999999</c:v>
                </c:pt>
                <c:pt idx="72">
                  <c:v>1293.2999999999997</c:v>
                </c:pt>
                <c:pt idx="73">
                  <c:v>1311.2624999999998</c:v>
                </c:pt>
                <c:pt idx="74">
                  <c:v>1329.2250000000001</c:v>
                </c:pt>
                <c:pt idx="75">
                  <c:v>1347.1875</c:v>
                </c:pt>
                <c:pt idx="76">
                  <c:v>1365.1499999999999</c:v>
                </c:pt>
                <c:pt idx="77">
                  <c:v>1383.1125</c:v>
                </c:pt>
                <c:pt idx="78">
                  <c:v>1401.0749999999998</c:v>
                </c:pt>
                <c:pt idx="79">
                  <c:v>1419.0374999999999</c:v>
                </c:pt>
                <c:pt idx="80">
                  <c:v>1436.9999999999998</c:v>
                </c:pt>
                <c:pt idx="81">
                  <c:v>1454.9625000000001</c:v>
                </c:pt>
                <c:pt idx="82">
                  <c:v>1472.9249999999997</c:v>
                </c:pt>
                <c:pt idx="83">
                  <c:v>1490.8874999999996</c:v>
                </c:pt>
                <c:pt idx="84">
                  <c:v>1508.85</c:v>
                </c:pt>
                <c:pt idx="85">
                  <c:v>1526.8124999999998</c:v>
                </c:pt>
                <c:pt idx="86">
                  <c:v>1544.7750000000001</c:v>
                </c:pt>
                <c:pt idx="87">
                  <c:v>1562.7374999999997</c:v>
                </c:pt>
                <c:pt idx="88">
                  <c:v>1580.7</c:v>
                </c:pt>
                <c:pt idx="89">
                  <c:v>1598.6624999999999</c:v>
                </c:pt>
                <c:pt idx="90">
                  <c:v>1616.6249999999998</c:v>
                </c:pt>
                <c:pt idx="91">
                  <c:v>1634.5874999999996</c:v>
                </c:pt>
                <c:pt idx="92">
                  <c:v>1652.5500000000002</c:v>
                </c:pt>
                <c:pt idx="93">
                  <c:v>1670.5124999999998</c:v>
                </c:pt>
                <c:pt idx="94">
                  <c:v>1688.4749999999995</c:v>
                </c:pt>
                <c:pt idx="95">
                  <c:v>1706.4374999999998</c:v>
                </c:pt>
                <c:pt idx="96">
                  <c:v>1724.3999999999999</c:v>
                </c:pt>
                <c:pt idx="97">
                  <c:v>1742.3624999999995</c:v>
                </c:pt>
                <c:pt idx="98">
                  <c:v>1760.3249999999998</c:v>
                </c:pt>
                <c:pt idx="99">
                  <c:v>1778.2874999999999</c:v>
                </c:pt>
                <c:pt idx="100">
                  <c:v>1796.25</c:v>
                </c:pt>
              </c:numCache>
            </c:numRef>
          </c:val>
          <c:smooth val="0"/>
          <c:extLst>
            <c:ext xmlns:c16="http://schemas.microsoft.com/office/drawing/2014/chart" uri="{C3380CC4-5D6E-409C-BE32-E72D297353CC}">
              <c16:uniqueId val="{00000001-F0EA-4A0C-859E-C3182CAF915C}"/>
            </c:ext>
          </c:extLst>
        </c:ser>
        <c:ser>
          <c:idx val="3"/>
          <c:order val="2"/>
          <c:tx>
            <c:strRef>
              <c:f>'Calculations - Dual'!$BE$3</c:f>
              <c:strCache>
                <c:ptCount val="1"/>
                <c:pt idx="0">
                  <c:v>MOSFET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Dual'!$BL$5:$BL$105</c:f>
              <c:numCache>
                <c:formatCode>0.0</c:formatCode>
                <c:ptCount val="101"/>
                <c:pt idx="0">
                  <c:v>50.644621083562676</c:v>
                </c:pt>
                <c:pt idx="1">
                  <c:v>139.18462705945075</c:v>
                </c:pt>
                <c:pt idx="2">
                  <c:v>278.41459411389366</c:v>
                </c:pt>
                <c:pt idx="3">
                  <c:v>417.68992332148719</c:v>
                </c:pt>
                <c:pt idx="4">
                  <c:v>557.0106368548312</c:v>
                </c:pt>
                <c:pt idx="5">
                  <c:v>696.37675690097751</c:v>
                </c:pt>
                <c:pt idx="6">
                  <c:v>835.78830566144347</c:v>
                </c:pt>
                <c:pt idx="7">
                  <c:v>975.24530535222164</c:v>
                </c:pt>
                <c:pt idx="8">
                  <c:v>1114.7477782037934</c:v>
                </c:pt>
                <c:pt idx="9">
                  <c:v>1254.2957464611388</c:v>
                </c:pt>
                <c:pt idx="10">
                  <c:v>1393.889232383752</c:v>
                </c:pt>
                <c:pt idx="11">
                  <c:v>1533.5282582456482</c:v>
                </c:pt>
                <c:pt idx="12">
                  <c:v>1683.5816065451743</c:v>
                </c:pt>
                <c:pt idx="13">
                  <c:v>1837.5156648650293</c:v>
                </c:pt>
                <c:pt idx="14">
                  <c:v>1887.4414563634339</c:v>
                </c:pt>
                <c:pt idx="15">
                  <c:v>1935.786119129802</c:v>
                </c:pt>
                <c:pt idx="16">
                  <c:v>1982.7131896953497</c:v>
                </c:pt>
                <c:pt idx="17">
                  <c:v>2028.3609034901708</c:v>
                </c:pt>
                <c:pt idx="18">
                  <c:v>2072.8473501330395</c:v>
                </c:pt>
                <c:pt idx="19">
                  <c:v>2116.2743530758498</c:v>
                </c:pt>
                <c:pt idx="20">
                  <c:v>2158.7304392837282</c:v>
                </c:pt>
                <c:pt idx="21">
                  <c:v>2200.293146868235</c:v>
                </c:pt>
                <c:pt idx="22">
                  <c:v>2241.0308425277181</c:v>
                </c:pt>
                <c:pt idx="23">
                  <c:v>2281.0041703024908</c:v>
                </c:pt>
                <c:pt idx="24">
                  <c:v>2320.2672190924704</c:v>
                </c:pt>
                <c:pt idx="25">
                  <c:v>2358.8684728864559</c:v>
                </c:pt>
                <c:pt idx="26">
                  <c:v>2396.8515911507629</c:v>
                </c:pt>
                <c:pt idx="27">
                  <c:v>2434.2560550490534</c:v>
                </c:pt>
                <c:pt idx="28">
                  <c:v>2471.1177066375549</c:v>
                </c:pt>
                <c:pt idx="29">
                  <c:v>2507.4692019210606</c:v>
                </c:pt>
                <c:pt idx="30">
                  <c:v>2543.3403940041626</c:v>
                </c:pt>
                <c:pt idx="31">
                  <c:v>2578.7586590768519</c:v>
                </c:pt>
                <c:pt idx="32">
                  <c:v>2613.7491753185204</c:v>
                </c:pt>
                <c:pt idx="33">
                  <c:v>2648.3351627680859</c:v>
                </c:pt>
                <c:pt idx="34">
                  <c:v>2682.5380906316195</c:v>
                </c:pt>
                <c:pt idx="35">
                  <c:v>2716.3778572684446</c:v>
                </c:pt>
                <c:pt idx="36">
                  <c:v>2749.8729471283946</c:v>
                </c:pt>
                <c:pt idx="37">
                  <c:v>2783.0405681453558</c:v>
                </c:pt>
                <c:pt idx="38">
                  <c:v>2815.8967724794416</c:v>
                </c:pt>
                <c:pt idx="39">
                  <c:v>2848.456563007735</c:v>
                </c:pt>
                <c:pt idx="40">
                  <c:v>2880.7339875653215</c:v>
                </c:pt>
                <c:pt idx="41">
                  <c:v>2912.7422226145227</c:v>
                </c:pt>
                <c:pt idx="42">
                  <c:v>2944.4936477552806</c:v>
                </c:pt>
                <c:pt idx="43">
                  <c:v>2975.9999122719264</c:v>
                </c:pt>
                <c:pt idx="44">
                  <c:v>3007.2719947315509</c:v>
                </c:pt>
                <c:pt idx="45">
                  <c:v>3038.3202564997882</c:v>
                </c:pt>
                <c:pt idx="46">
                  <c:v>3069.1544899152514</c:v>
                </c:pt>
                <c:pt idx="47">
                  <c:v>3099.7839617594227</c:v>
                </c:pt>
                <c:pt idx="48">
                  <c:v>3130.2174525710907</c:v>
                </c:pt>
                <c:pt idx="49">
                  <c:v>3160.4632922802621</c:v>
                </c:pt>
                <c:pt idx="50">
                  <c:v>3190.5293925737024</c:v>
                </c:pt>
                <c:pt idx="51">
                  <c:v>3220.4232763508198</c:v>
                </c:pt>
                <c:pt idx="52">
                  <c:v>3250.1521045830305</c:v>
                </c:pt>
                <c:pt idx="53">
                  <c:v>3279.7227008507016</c:v>
                </c:pt>
                <c:pt idx="54">
                  <c:v>3309.1415737982429</c:v>
                </c:pt>
                <c:pt idx="55">
                  <c:v>3338.414937719047</c:v>
                </c:pt>
                <c:pt idx="56">
                  <c:v>3367.5487314569918</c:v>
                </c:pt>
                <c:pt idx="57">
                  <c:v>3396.5486357896148</c:v>
                </c:pt>
                <c:pt idx="58">
                  <c:v>3425.4200894392907</c:v>
                </c:pt>
                <c:pt idx="59">
                  <c:v>3454.1683038423548</c:v>
                </c:pt>
                <c:pt idx="60">
                  <c:v>3482.7982767918529</c:v>
                </c:pt>
                <c:pt idx="61">
                  <c:v>3511.3148050570639</c:v>
                </c:pt>
                <c:pt idx="62">
                  <c:v>3539.7224960719955</c:v>
                </c:pt>
                <c:pt idx="63">
                  <c:v>3568.0257787753922</c:v>
                </c:pt>
                <c:pt idx="64">
                  <c:v>3596.2289136762884</c:v>
                </c:pt>
                <c:pt idx="65">
                  <c:v>3624.3360022116321</c:v>
                </c:pt>
                <c:pt idx="66">
                  <c:v>3652.3509954558899</c:v>
                </c:pt>
                <c:pt idx="67">
                  <c:v>3680.2777022365945</c:v>
                </c:pt>
                <c:pt idx="68">
                  <c:v>3708.119796704626</c:v>
                </c:pt>
                <c:pt idx="69">
                  <c:v>3735.8808254033324</c:v>
                </c:pt>
                <c:pt idx="70">
                  <c:v>3763.5642138764383</c:v>
                </c:pt>
                <c:pt idx="71">
                  <c:v>3791.1732728509919</c:v>
                </c:pt>
                <c:pt idx="72">
                  <c:v>3818.7112040283127</c:v>
                </c:pt>
                <c:pt idx="73">
                  <c:v>3846.1811055128665</c:v>
                </c:pt>
                <c:pt idx="74">
                  <c:v>3825.2240992502893</c:v>
                </c:pt>
                <c:pt idx="75">
                  <c:v>3802.6520355985481</c:v>
                </c:pt>
                <c:pt idx="76">
                  <c:v>3780.5280982136505</c:v>
                </c:pt>
                <c:pt idx="77">
                  <c:v>3758.8383962640678</c:v>
                </c:pt>
                <c:pt idx="78">
                  <c:v>3737.5696255996263</c:v>
                </c:pt>
                <c:pt idx="79">
                  <c:v>3716.644779961377</c:v>
                </c:pt>
                <c:pt idx="80">
                  <c:v>3696.0784767344339</c:v>
                </c:pt>
                <c:pt idx="81">
                  <c:v>3675.8970372951717</c:v>
                </c:pt>
                <c:pt idx="82">
                  <c:v>3656.0892032236602</c:v>
                </c:pt>
                <c:pt idx="83">
                  <c:v>3636.6441653922197</c:v>
                </c:pt>
                <c:pt idx="84">
                  <c:v>3617.5515413653202</c:v>
                </c:pt>
                <c:pt idx="85">
                  <c:v>3758.3479244808254</c:v>
                </c:pt>
                <c:pt idx="86">
                  <c:v>3764.0240255918393</c:v>
                </c:pt>
                <c:pt idx="87">
                  <c:v>3769.8953473535739</c:v>
                </c:pt>
                <c:pt idx="88">
                  <c:v>3775.960417990827</c:v>
                </c:pt>
                <c:pt idx="89">
                  <c:v>3782.2178720556817</c:v>
                </c:pt>
                <c:pt idx="90">
                  <c:v>3788.6664456798421</c:v>
                </c:pt>
                <c:pt idx="91">
                  <c:v>3795.3049721355646</c:v>
                </c:pt>
                <c:pt idx="92">
                  <c:v>3802.1323776833733</c:v>
                </c:pt>
                <c:pt idx="93">
                  <c:v>3809.1476776865002</c:v>
                </c:pt>
                <c:pt idx="94">
                  <c:v>3816.3499729735968</c:v>
                </c:pt>
                <c:pt idx="95">
                  <c:v>3823.7384464327733</c:v>
                </c:pt>
                <c:pt idx="96">
                  <c:v>3831.3123598213301</c:v>
                </c:pt>
                <c:pt idx="97">
                  <c:v>3839.0710507767963</c:v>
                </c:pt>
                <c:pt idx="98">
                  <c:v>3847.0139300160163</c:v>
                </c:pt>
                <c:pt idx="99">
                  <c:v>3855.1404787100005</c:v>
                </c:pt>
                <c:pt idx="100">
                  <c:v>3863.4502460232857</c:v>
                </c:pt>
              </c:numCache>
            </c:numRef>
          </c:val>
          <c:smooth val="0"/>
          <c:extLst>
            <c:ext xmlns:c16="http://schemas.microsoft.com/office/drawing/2014/chart" uri="{C3380CC4-5D6E-409C-BE32-E72D297353CC}">
              <c16:uniqueId val="{00000002-F0EA-4A0C-859E-C3182CAF915C}"/>
            </c:ext>
          </c:extLst>
        </c:ser>
        <c:ser>
          <c:idx val="1"/>
          <c:order val="3"/>
          <c:tx>
            <c:strRef>
              <c:f>'Calculations - Dual'!$BR$3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Dual'!$BX$5:$BX$105</c:f>
              <c:numCache>
                <c:formatCode>0.0</c:formatCode>
                <c:ptCount val="101"/>
                <c:pt idx="0">
                  <c:v>76.231364648819593</c:v>
                </c:pt>
                <c:pt idx="1">
                  <c:v>99.392144789667213</c:v>
                </c:pt>
                <c:pt idx="2">
                  <c:v>148.75735123774615</c:v>
                </c:pt>
                <c:pt idx="3">
                  <c:v>219.43087275157768</c:v>
                </c:pt>
                <c:pt idx="4">
                  <c:v>316.28128515152309</c:v>
                </c:pt>
                <c:pt idx="5">
                  <c:v>443.38952672319067</c:v>
                </c:pt>
                <c:pt idx="6">
                  <c:v>604.34311775334311</c:v>
                </c:pt>
                <c:pt idx="7">
                  <c:v>802.38194111346138</c:v>
                </c:pt>
                <c:pt idx="8">
                  <c:v>1040.4835628625167</c:v>
                </c:pt>
                <c:pt idx="9">
                  <c:v>1321.4183834211965</c:v>
                </c:pt>
                <c:pt idx="10">
                  <c:v>1647.7877630717194</c:v>
                </c:pt>
                <c:pt idx="11">
                  <c:v>2022.0516946807359</c:v>
                </c:pt>
                <c:pt idx="12">
                  <c:v>2498.8150606726822</c:v>
                </c:pt>
                <c:pt idx="13">
                  <c:v>3138.1260451089556</c:v>
                </c:pt>
                <c:pt idx="14">
                  <c:v>3433.6952105899031</c:v>
                </c:pt>
                <c:pt idx="15">
                  <c:v>3734.0703551105967</c:v>
                </c:pt>
                <c:pt idx="16">
                  <c:v>4039.0232063347426</c:v>
                </c:pt>
                <c:pt idx="17">
                  <c:v>4348.3509597139246</c:v>
                </c:pt>
                <c:pt idx="18">
                  <c:v>4661.8721076829206</c:v>
                </c:pt>
                <c:pt idx="19">
                  <c:v>4979.4231475490478</c:v>
                </c:pt>
                <c:pt idx="20">
                  <c:v>5300.8559460310935</c:v>
                </c:pt>
                <c:pt idx="21">
                  <c:v>5626.0356029142768</c:v>
                </c:pt>
                <c:pt idx="22">
                  <c:v>5954.8386998478218</c:v>
                </c:pt>
                <c:pt idx="23">
                  <c:v>6287.151850377003</c:v>
                </c:pt>
                <c:pt idx="24">
                  <c:v>6622.8704884628496</c:v>
                </c:pt>
                <c:pt idx="25">
                  <c:v>6961.8978479010193</c:v>
                </c:pt>
                <c:pt idx="26">
                  <c:v>7304.1440960836098</c:v>
                </c:pt>
                <c:pt idx="27">
                  <c:v>7649.5255936933127</c:v>
                </c:pt>
                <c:pt idx="28">
                  <c:v>7997.9642580137033</c:v>
                </c:pt>
                <c:pt idx="29">
                  <c:v>8349.3870121543077</c:v>
                </c:pt>
                <c:pt idx="30">
                  <c:v>8703.72530602199</c:v>
                </c:pt>
                <c:pt idx="31">
                  <c:v>9060.9146976039592</c:v>
                </c:pt>
                <c:pt idx="32">
                  <c:v>9420.8944852612785</c:v>
                </c:pt>
                <c:pt idx="33">
                  <c:v>9783.6073834138515</c:v>
                </c:pt>
                <c:pt idx="34">
                  <c:v>10148.999235332543</c:v>
                </c:pt>
                <c:pt idx="35">
                  <c:v>10517.01875782358</c:v>
                </c:pt>
                <c:pt idx="36">
                  <c:v>10887.617313451448</c:v>
                </c:pt>
                <c:pt idx="37">
                  <c:v>11260.748706645922</c:v>
                </c:pt>
                <c:pt idx="38">
                  <c:v>11636.369000609495</c:v>
                </c:pt>
                <c:pt idx="39">
                  <c:v>12014.436352411056</c:v>
                </c:pt>
                <c:pt idx="40">
                  <c:v>12394.910864038313</c:v>
                </c:pt>
                <c:pt idx="41">
                  <c:v>12777.754447503859</c:v>
                </c:pt>
                <c:pt idx="42">
                  <c:v>13162.930702368063</c:v>
                </c:pt>
                <c:pt idx="43">
                  <c:v>13550.404804266876</c:v>
                </c:pt>
                <c:pt idx="44">
                  <c:v>13940.143403222957</c:v>
                </c:pt>
                <c:pt idx="45">
                  <c:v>14332.11453067802</c:v>
                </c:pt>
                <c:pt idx="46">
                  <c:v>14726.287514321686</c:v>
                </c:pt>
                <c:pt idx="47">
                  <c:v>15122.632899907176</c:v>
                </c:pt>
                <c:pt idx="48">
                  <c:v>15521.122379344619</c:v>
                </c:pt>
                <c:pt idx="49">
                  <c:v>15921.728724447279</c:v>
                </c:pt>
                <c:pt idx="50">
                  <c:v>16324.425725780337</c:v>
                </c:pt>
                <c:pt idx="51">
                  <c:v>16729.188136124863</c:v>
                </c:pt>
                <c:pt idx="52">
                  <c:v>17135.991618125103</c:v>
                </c:pt>
                <c:pt idx="53">
                  <c:v>17544.81269573512</c:v>
                </c:pt>
                <c:pt idx="54">
                  <c:v>17955.628709122582</c:v>
                </c:pt>
                <c:pt idx="55">
                  <c:v>18368.417772724177</c:v>
                </c:pt>
                <c:pt idx="56">
                  <c:v>18783.158736179066</c:v>
                </c:pt>
                <c:pt idx="57">
                  <c:v>19199.831147895162</c:v>
                </c:pt>
                <c:pt idx="58">
                  <c:v>19618.415221027797</c:v>
                </c:pt>
                <c:pt idx="59">
                  <c:v>20038.891801672107</c:v>
                </c:pt>
                <c:pt idx="60">
                  <c:v>20461.242339090335</c:v>
                </c:pt>
                <c:pt idx="61">
                  <c:v>20885.448857811894</c:v>
                </c:pt>
                <c:pt idx="62">
                  <c:v>21311.493931459827</c:v>
                </c:pt>
                <c:pt idx="63">
                  <c:v>21739.360658170721</c:v>
                </c:pt>
                <c:pt idx="64">
                  <c:v>22169.032637487482</c:v>
                </c:pt>
                <c:pt idx="65">
                  <c:v>22600.493948614872</c:v>
                </c:pt>
                <c:pt idx="66">
                  <c:v>23033.729129937932</c:v>
                </c:pt>
                <c:pt idx="67">
                  <c:v>23468.723159712081</c:v>
                </c:pt>
                <c:pt idx="68">
                  <c:v>23905.461437841088</c:v>
                </c:pt>
                <c:pt idx="69">
                  <c:v>24343.929768666774</c:v>
                </c:pt>
                <c:pt idx="70">
                  <c:v>24784.114344700756</c:v>
                </c:pt>
                <c:pt idx="71">
                  <c:v>25226.001731233133</c:v>
                </c:pt>
                <c:pt idx="72">
                  <c:v>25669.578851760234</c:v>
                </c:pt>
                <c:pt idx="73">
                  <c:v>26114.832974176243</c:v>
                </c:pt>
                <c:pt idx="74">
                  <c:v>25822.711662076825</c:v>
                </c:pt>
                <c:pt idx="75">
                  <c:v>25507.334080212171</c:v>
                </c:pt>
                <c:pt idx="76">
                  <c:v>25200.117617328986</c:v>
                </c:pt>
                <c:pt idx="77">
                  <c:v>24900.768069221627</c:v>
                </c:pt>
                <c:pt idx="78">
                  <c:v>24609.004859505414</c:v>
                </c:pt>
                <c:pt idx="79">
                  <c:v>24323.884477648531</c:v>
                </c:pt>
                <c:pt idx="80">
                  <c:v>24045.44330620547</c:v>
                </c:pt>
                <c:pt idx="81">
                  <c:v>23773.839227200817</c:v>
                </c:pt>
                <c:pt idx="82">
                  <c:v>23508.838531281748</c:v>
                </c:pt>
                <c:pt idx="83">
                  <c:v>23250.21779268876</c:v>
                </c:pt>
                <c:pt idx="84">
                  <c:v>22997.763319896938</c:v>
                </c:pt>
                <c:pt idx="85">
                  <c:v>25120.647129543089</c:v>
                </c:pt>
                <c:pt idx="86">
                  <c:v>25221.594171305813</c:v>
                </c:pt>
                <c:pt idx="87">
                  <c:v>25322.201437010463</c:v>
                </c:pt>
                <c:pt idx="88">
                  <c:v>25422.494616357119</c:v>
                </c:pt>
                <c:pt idx="89">
                  <c:v>25522.498477147841</c:v>
                </c:pt>
                <c:pt idx="90">
                  <c:v>25622.236912904795</c:v>
                </c:pt>
                <c:pt idx="91">
                  <c:v>25721.732987712367</c:v>
                </c:pt>
                <c:pt idx="92">
                  <c:v>25821.00897847216</c:v>
                </c:pt>
                <c:pt idx="93">
                  <c:v>25920.08641474475</c:v>
                </c:pt>
                <c:pt idx="94">
                  <c:v>26018.986116339522</c:v>
                </c:pt>
                <c:pt idx="95">
                  <c:v>26117.728228801661</c:v>
                </c:pt>
                <c:pt idx="96">
                  <c:v>26216.332256933732</c:v>
                </c:pt>
                <c:pt idx="97">
                  <c:v>26314.817096480285</c:v>
                </c:pt>
                <c:pt idx="98">
                  <c:v>26413.201064093246</c:v>
                </c:pt>
                <c:pt idx="99">
                  <c:v>26511.501925688157</c:v>
                </c:pt>
                <c:pt idx="100">
                  <c:v>26609.736923293058</c:v>
                </c:pt>
              </c:numCache>
            </c:numRef>
          </c:val>
          <c:smooth val="0"/>
          <c:extLst>
            <c:ext xmlns:c16="http://schemas.microsoft.com/office/drawing/2014/chart" uri="{C3380CC4-5D6E-409C-BE32-E72D297353CC}">
              <c16:uniqueId val="{00000003-F0EA-4A0C-859E-C3182CAF915C}"/>
            </c:ext>
          </c:extLst>
        </c:ser>
        <c:dLbls>
          <c:showLegendKey val="0"/>
          <c:showVal val="0"/>
          <c:showCatName val="0"/>
          <c:showSerName val="0"/>
          <c:showPercent val="0"/>
          <c:showBubbleSize val="0"/>
        </c:dLbls>
        <c:marker val="1"/>
        <c:smooth val="0"/>
        <c:axId val="451236224"/>
        <c:axId val="451225856"/>
      </c:lineChart>
      <c:catAx>
        <c:axId val="451868928"/>
        <c:scaling>
          <c:orientation val="minMax"/>
        </c:scaling>
        <c:delete val="0"/>
        <c:axPos val="b"/>
        <c:majorGridlines>
          <c:spPr>
            <a:ln w="15875">
              <a:solidFill>
                <a:srgbClr val="969696"/>
              </a:solidFill>
              <a:prstDash val="sysDash"/>
            </a:ln>
          </c:spPr>
        </c:majorGridlines>
        <c:minorGridlines/>
        <c:title>
          <c:tx>
            <c:rich>
              <a:bodyPr/>
              <a:lstStyle/>
              <a:p>
                <a:pPr>
                  <a:defRPr lang="ja-JP"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a:t>
                </a:r>
                <a:r>
                  <a:rPr lang="en-US" sz="1200" baseline="0">
                    <a:solidFill>
                      <a:srgbClr val="0000FF"/>
                    </a:solidFill>
                    <a:latin typeface="Arial" pitchFamily="34" charset="0"/>
                    <a:cs typeface="Arial" pitchFamily="34" charset="0"/>
                  </a:rPr>
                  <a:t> Total Rated Output Power</a:t>
                </a:r>
                <a:endParaRPr lang="en-US" sz="1200">
                  <a:solidFill>
                    <a:srgbClr val="0000FF"/>
                  </a:solidFill>
                  <a:latin typeface="Arial" pitchFamily="34" charset="0"/>
                  <a:cs typeface="Arial" pitchFamily="34" charset="0"/>
                </a:endParaRPr>
              </a:p>
            </c:rich>
          </c:tx>
          <c:layout>
            <c:manualLayout>
              <c:xMode val="edge"/>
              <c:yMode val="edge"/>
              <c:x val="0.37236214410842988"/>
              <c:y val="0.9410299506954154"/>
            </c:manualLayout>
          </c:layout>
          <c:overlay val="0"/>
          <c:spPr>
            <a:noFill/>
            <a:ln w="25400">
              <a:noFill/>
            </a:ln>
          </c:spPr>
        </c:title>
        <c:numFmt formatCode="General" sourceLinked="1"/>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0000FF"/>
                </a:solidFill>
                <a:latin typeface="Arial" pitchFamily="34" charset="0"/>
                <a:ea typeface="Calibri"/>
                <a:cs typeface="Arial" pitchFamily="34" charset="0"/>
              </a:defRPr>
            </a:pPr>
            <a:endParaRPr lang="en-US"/>
          </a:p>
        </c:txPr>
        <c:crossAx val="451223936"/>
        <c:crosses val="autoZero"/>
        <c:auto val="1"/>
        <c:lblAlgn val="ctr"/>
        <c:lblOffset val="100"/>
        <c:tickLblSkip val="20"/>
        <c:tickMarkSkip val="20"/>
        <c:noMultiLvlLbl val="0"/>
      </c:catAx>
      <c:valAx>
        <c:axId val="451223936"/>
        <c:scaling>
          <c:orientation val="minMax"/>
          <c:max val="100"/>
          <c:min val="55"/>
        </c:scaling>
        <c:delete val="0"/>
        <c:axPos val="l"/>
        <c:majorGridlines>
          <c:spPr>
            <a:ln w="15875">
              <a:solidFill>
                <a:srgbClr val="808080"/>
              </a:solidFill>
              <a:prstDash val="solid"/>
            </a:ln>
          </c:spPr>
        </c:majorGridlines>
        <c:title>
          <c:tx>
            <c:rich>
              <a:bodyPr/>
              <a:lstStyle/>
              <a:p>
                <a:pPr>
                  <a:defRPr lang="ja-JP"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FF0000"/>
                </a:solidFill>
                <a:latin typeface="Arial" pitchFamily="34" charset="0"/>
                <a:ea typeface="Calibri"/>
                <a:cs typeface="Arial" pitchFamily="34" charset="0"/>
              </a:defRPr>
            </a:pPr>
            <a:endParaRPr lang="en-US"/>
          </a:p>
        </c:txPr>
        <c:crossAx val="451868928"/>
        <c:crossesAt val="0"/>
        <c:crossBetween val="between"/>
        <c:majorUnit val="5"/>
        <c:minorUnit val="2.5"/>
      </c:valAx>
      <c:valAx>
        <c:axId val="451225856"/>
        <c:scaling>
          <c:orientation val="minMax"/>
        </c:scaling>
        <c:delete val="0"/>
        <c:axPos val="r"/>
        <c:title>
          <c:tx>
            <c:rich>
              <a:bodyPr rot="-5400000" vert="horz"/>
              <a:lstStyle/>
              <a:p>
                <a:pPr>
                  <a:defRPr lang="ja-JP"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lang="ja-JP" sz="1100" b="1">
                <a:solidFill>
                  <a:sysClr val="windowText" lastClr="000000"/>
                </a:solidFill>
              </a:defRPr>
            </a:pPr>
            <a:endParaRPr lang="en-US"/>
          </a:p>
        </c:txPr>
        <c:crossAx val="451236224"/>
        <c:crosses val="max"/>
        <c:crossBetween val="between"/>
      </c:valAx>
      <c:catAx>
        <c:axId val="451236224"/>
        <c:scaling>
          <c:orientation val="minMax"/>
        </c:scaling>
        <c:delete val="1"/>
        <c:axPos val="b"/>
        <c:numFmt formatCode="General" sourceLinked="1"/>
        <c:majorTickMark val="out"/>
        <c:minorTickMark val="none"/>
        <c:tickLblPos val="nextTo"/>
        <c:crossAx val="451225856"/>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0550962619267337"/>
          <c:h val="8.9795049320617604E-2"/>
        </c:manualLayout>
      </c:layout>
      <c:overlay val="0"/>
      <c:spPr>
        <a:solidFill>
          <a:srgbClr val="FFFFFF"/>
        </a:solidFill>
        <a:ln w="25400">
          <a:noFill/>
        </a:ln>
      </c:spPr>
      <c:txPr>
        <a:bodyPr/>
        <a:lstStyle/>
        <a:p>
          <a:pPr>
            <a:defRPr lang="ja-JP" sz="11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cat>
            <c:numRef>
              <c:f>'Calculations - Single'!$AM$5:$AM$105</c:f>
              <c:numCache>
                <c:formatCode>0</c:formatCode>
                <c:ptCount val="101"/>
                <c:pt idx="0">
                  <c:v>1.0000000000000002E-6</c:v>
                </c:pt>
                <c:pt idx="1">
                  <c:v>25</c:v>
                </c:pt>
                <c:pt idx="2">
                  <c:v>50</c:v>
                </c:pt>
                <c:pt idx="3">
                  <c:v>75</c:v>
                </c:pt>
                <c:pt idx="4">
                  <c:v>100</c:v>
                </c:pt>
                <c:pt idx="5">
                  <c:v>125</c:v>
                </c:pt>
                <c:pt idx="6">
                  <c:v>150</c:v>
                </c:pt>
                <c:pt idx="7">
                  <c:v>175.00000000000003</c:v>
                </c:pt>
                <c:pt idx="8">
                  <c:v>200</c:v>
                </c:pt>
                <c:pt idx="9">
                  <c:v>224.99999999999997</c:v>
                </c:pt>
                <c:pt idx="10">
                  <c:v>250</c:v>
                </c:pt>
                <c:pt idx="11">
                  <c:v>275</c:v>
                </c:pt>
                <c:pt idx="12">
                  <c:v>300</c:v>
                </c:pt>
                <c:pt idx="13">
                  <c:v>325</c:v>
                </c:pt>
                <c:pt idx="14">
                  <c:v>350.00000000000006</c:v>
                </c:pt>
                <c:pt idx="15">
                  <c:v>375</c:v>
                </c:pt>
                <c:pt idx="16">
                  <c:v>400</c:v>
                </c:pt>
                <c:pt idx="17">
                  <c:v>425.00000000000006</c:v>
                </c:pt>
                <c:pt idx="18">
                  <c:v>449.99999999999994</c:v>
                </c:pt>
                <c:pt idx="19">
                  <c:v>475</c:v>
                </c:pt>
                <c:pt idx="20">
                  <c:v>500</c:v>
                </c:pt>
                <c:pt idx="21">
                  <c:v>525</c:v>
                </c:pt>
                <c:pt idx="22">
                  <c:v>550</c:v>
                </c:pt>
                <c:pt idx="23">
                  <c:v>575.00000000000011</c:v>
                </c:pt>
                <c:pt idx="24">
                  <c:v>600</c:v>
                </c:pt>
                <c:pt idx="25">
                  <c:v>625</c:v>
                </c:pt>
                <c:pt idx="26">
                  <c:v>650</c:v>
                </c:pt>
                <c:pt idx="27">
                  <c:v>675</c:v>
                </c:pt>
                <c:pt idx="28">
                  <c:v>700.00000000000011</c:v>
                </c:pt>
                <c:pt idx="29">
                  <c:v>725</c:v>
                </c:pt>
                <c:pt idx="30">
                  <c:v>750</c:v>
                </c:pt>
                <c:pt idx="31">
                  <c:v>775</c:v>
                </c:pt>
                <c:pt idx="32">
                  <c:v>800</c:v>
                </c:pt>
                <c:pt idx="33">
                  <c:v>825.00000000000011</c:v>
                </c:pt>
                <c:pt idx="34">
                  <c:v>850.00000000000011</c:v>
                </c:pt>
                <c:pt idx="35">
                  <c:v>875</c:v>
                </c:pt>
                <c:pt idx="36">
                  <c:v>899.99999999999989</c:v>
                </c:pt>
                <c:pt idx="37">
                  <c:v>925</c:v>
                </c:pt>
                <c:pt idx="38">
                  <c:v>950</c:v>
                </c:pt>
                <c:pt idx="39">
                  <c:v>975.00000000000011</c:v>
                </c:pt>
                <c:pt idx="40">
                  <c:v>1000</c:v>
                </c:pt>
                <c:pt idx="41">
                  <c:v>1025</c:v>
                </c:pt>
                <c:pt idx="42">
                  <c:v>1050</c:v>
                </c:pt>
                <c:pt idx="43">
                  <c:v>1075</c:v>
                </c:pt>
                <c:pt idx="44">
                  <c:v>1100</c:v>
                </c:pt>
                <c:pt idx="45">
                  <c:v>1125</c:v>
                </c:pt>
                <c:pt idx="46">
                  <c:v>1150.0000000000002</c:v>
                </c:pt>
                <c:pt idx="47">
                  <c:v>1174.9999999999998</c:v>
                </c:pt>
                <c:pt idx="48">
                  <c:v>1200</c:v>
                </c:pt>
                <c:pt idx="49">
                  <c:v>1225</c:v>
                </c:pt>
                <c:pt idx="50">
                  <c:v>1250</c:v>
                </c:pt>
                <c:pt idx="51">
                  <c:v>1275</c:v>
                </c:pt>
                <c:pt idx="52">
                  <c:v>1300</c:v>
                </c:pt>
                <c:pt idx="53">
                  <c:v>1325.0000000000002</c:v>
                </c:pt>
                <c:pt idx="54">
                  <c:v>1350</c:v>
                </c:pt>
                <c:pt idx="55">
                  <c:v>1375</c:v>
                </c:pt>
                <c:pt idx="56">
                  <c:v>1400.0000000000002</c:v>
                </c:pt>
                <c:pt idx="57">
                  <c:v>1424.9999999999998</c:v>
                </c:pt>
                <c:pt idx="58">
                  <c:v>1450</c:v>
                </c:pt>
                <c:pt idx="59">
                  <c:v>1474.9999999999998</c:v>
                </c:pt>
                <c:pt idx="60">
                  <c:v>1500</c:v>
                </c:pt>
                <c:pt idx="61">
                  <c:v>1525</c:v>
                </c:pt>
                <c:pt idx="62">
                  <c:v>1550</c:v>
                </c:pt>
                <c:pt idx="63">
                  <c:v>1575</c:v>
                </c:pt>
                <c:pt idx="64">
                  <c:v>1600</c:v>
                </c:pt>
                <c:pt idx="65">
                  <c:v>1625</c:v>
                </c:pt>
                <c:pt idx="66">
                  <c:v>1650.0000000000002</c:v>
                </c:pt>
                <c:pt idx="67">
                  <c:v>1675</c:v>
                </c:pt>
                <c:pt idx="68">
                  <c:v>1700.0000000000002</c:v>
                </c:pt>
                <c:pt idx="69">
                  <c:v>1724.9999999999998</c:v>
                </c:pt>
                <c:pt idx="70">
                  <c:v>1750</c:v>
                </c:pt>
                <c:pt idx="71">
                  <c:v>1775</c:v>
                </c:pt>
                <c:pt idx="72">
                  <c:v>1799.9999999999998</c:v>
                </c:pt>
                <c:pt idx="73">
                  <c:v>1825</c:v>
                </c:pt>
                <c:pt idx="74">
                  <c:v>1850</c:v>
                </c:pt>
                <c:pt idx="75">
                  <c:v>1875</c:v>
                </c:pt>
                <c:pt idx="76">
                  <c:v>1900</c:v>
                </c:pt>
                <c:pt idx="77">
                  <c:v>1925</c:v>
                </c:pt>
                <c:pt idx="78">
                  <c:v>1950.0000000000002</c:v>
                </c:pt>
                <c:pt idx="79">
                  <c:v>1975</c:v>
                </c:pt>
                <c:pt idx="80">
                  <c:v>2000</c:v>
                </c:pt>
                <c:pt idx="81">
                  <c:v>2025.0000000000005</c:v>
                </c:pt>
                <c:pt idx="82">
                  <c:v>2050</c:v>
                </c:pt>
                <c:pt idx="83">
                  <c:v>2074.9999999999995</c:v>
                </c:pt>
                <c:pt idx="84">
                  <c:v>2100</c:v>
                </c:pt>
                <c:pt idx="85">
                  <c:v>2125</c:v>
                </c:pt>
                <c:pt idx="86">
                  <c:v>2150</c:v>
                </c:pt>
                <c:pt idx="87">
                  <c:v>2175</c:v>
                </c:pt>
                <c:pt idx="88">
                  <c:v>2200</c:v>
                </c:pt>
                <c:pt idx="89">
                  <c:v>2225</c:v>
                </c:pt>
                <c:pt idx="90">
                  <c:v>2250</c:v>
                </c:pt>
                <c:pt idx="91">
                  <c:v>2275</c:v>
                </c:pt>
                <c:pt idx="92">
                  <c:v>2300.0000000000005</c:v>
                </c:pt>
                <c:pt idx="93">
                  <c:v>2325</c:v>
                </c:pt>
                <c:pt idx="94">
                  <c:v>2349.9999999999995</c:v>
                </c:pt>
                <c:pt idx="95">
                  <c:v>2375</c:v>
                </c:pt>
                <c:pt idx="96">
                  <c:v>2400</c:v>
                </c:pt>
                <c:pt idx="97">
                  <c:v>2425</c:v>
                </c:pt>
                <c:pt idx="98">
                  <c:v>2450</c:v>
                </c:pt>
                <c:pt idx="99">
                  <c:v>2475</c:v>
                </c:pt>
                <c:pt idx="100">
                  <c:v>2500</c:v>
                </c:pt>
              </c:numCache>
            </c:numRef>
          </c:cat>
          <c:val>
            <c:numRef>
              <c:f>'Calculations - Single'!$AN$110:$AN$210</c:f>
              <c:numCache>
                <c:formatCode>0.0</c:formatCode>
                <c:ptCount val="101"/>
                <c:pt idx="0">
                  <c:v>12</c:v>
                </c:pt>
                <c:pt idx="1">
                  <c:v>27.213671902389706</c:v>
                </c:pt>
                <c:pt idx="2">
                  <c:v>54.427343804779412</c:v>
                </c:pt>
                <c:pt idx="3">
                  <c:v>81.641015707169103</c:v>
                </c:pt>
                <c:pt idx="4">
                  <c:v>108.85468760955882</c:v>
                </c:pt>
                <c:pt idx="5">
                  <c:v>136.0683595119485</c:v>
                </c:pt>
                <c:pt idx="6">
                  <c:v>163.28203141433821</c:v>
                </c:pt>
                <c:pt idx="7">
                  <c:v>190.49570331672794</c:v>
                </c:pt>
                <c:pt idx="8">
                  <c:v>217.70937521911765</c:v>
                </c:pt>
                <c:pt idx="9">
                  <c:v>244.92304712150732</c:v>
                </c:pt>
                <c:pt idx="10">
                  <c:v>272.136719023897</c:v>
                </c:pt>
                <c:pt idx="11">
                  <c:v>299.35039092628676</c:v>
                </c:pt>
                <c:pt idx="12">
                  <c:v>326.56406282867641</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345.59649448492945</c:v>
                </c:pt>
                <c:pt idx="53">
                  <c:v>339.50093072999994</c:v>
                </c:pt>
                <c:pt idx="54">
                  <c:v>333.58914616118938</c:v>
                </c:pt>
                <c:pt idx="55">
                  <c:v>327.86822238219804</c:v>
                </c:pt>
                <c:pt idx="56">
                  <c:v>322.36096381979138</c:v>
                </c:pt>
                <c:pt idx="57">
                  <c:v>317.01812642490563</c:v>
                </c:pt>
                <c:pt idx="58">
                  <c:v>311.86134631443571</c:v>
                </c:pt>
                <c:pt idx="59">
                  <c:v>306.86857197822269</c:v>
                </c:pt>
                <c:pt idx="60">
                  <c:v>302.03210180726637</c:v>
                </c:pt>
                <c:pt idx="61">
                  <c:v>297.34470897747599</c:v>
                </c:pt>
                <c:pt idx="62">
                  <c:v>292.79960541837517</c:v>
                </c:pt>
                <c:pt idx="63">
                  <c:v>288.39040901403342</c:v>
                </c:pt>
                <c:pt idx="64">
                  <c:v>284.11111370292826</c:v>
                </c:pt>
                <c:pt idx="65">
                  <c:v>279.95606218215863</c:v>
                </c:pt>
                <c:pt idx="66">
                  <c:v>275.91992095514269</c:v>
                </c:pt>
                <c:pt idx="67">
                  <c:v>271.99765749137805</c:v>
                </c:pt>
                <c:pt idx="68">
                  <c:v>268.18451929260038</c:v>
                </c:pt>
                <c:pt idx="69">
                  <c:v>264.47601468224087</c:v>
                </c:pt>
                <c:pt idx="70">
                  <c:v>260.86789515492131</c:v>
                </c:pt>
                <c:pt idx="71">
                  <c:v>257.35613914015426</c:v>
                </c:pt>
                <c:pt idx="72">
                  <c:v>253.93693704979864</c:v>
                </c:pt>
                <c:pt idx="73">
                  <c:v>250.60667749238957</c:v>
                </c:pt>
                <c:pt idx="74">
                  <c:v>247.36193454947011</c:v>
                </c:pt>
                <c:pt idx="75">
                  <c:v>244.19945601968502</c:v>
                </c:pt>
                <c:pt idx="76">
                  <c:v>241.11615254583538</c:v>
                </c:pt>
                <c:pt idx="77">
                  <c:v>238.10908754848248</c:v>
                </c:pt>
                <c:pt idx="78">
                  <c:v>235.17546789715021</c:v>
                </c:pt>
                <c:pt idx="79">
                  <c:v>232.31263525683394</c:v>
                </c:pt>
                <c:pt idx="80">
                  <c:v>229.51805805346277</c:v>
                </c:pt>
                <c:pt idx="81">
                  <c:v>226.78932400727345</c:v>
                </c:pt>
                <c:pt idx="82">
                  <c:v>224.12413318781006</c:v>
                </c:pt>
                <c:pt idx="83">
                  <c:v>221.52029154852085</c:v>
                </c:pt>
                <c:pt idx="84">
                  <c:v>218.97570490275706</c:v>
                </c:pt>
                <c:pt idx="85">
                  <c:v>216.48837330640777</c:v>
                </c:pt>
                <c:pt idx="86">
                  <c:v>214.05638581550497</c:v>
                </c:pt>
                <c:pt idx="87">
                  <c:v>211.67791558991911</c:v>
                </c:pt>
                <c:pt idx="88">
                  <c:v>209.3512153167776</c:v>
                </c:pt>
                <c:pt idx="89">
                  <c:v>207.0746129295122</c:v>
                </c:pt>
                <c:pt idx="90">
                  <c:v>204.84650760049382</c:v>
                </c:pt>
                <c:pt idx="91">
                  <c:v>202.66536598707</c:v>
                </c:pt>
                <c:pt idx="92">
                  <c:v>200.5297187125071</c:v>
                </c:pt>
                <c:pt idx="93">
                  <c:v>198.43815706486419</c:v>
                </c:pt>
                <c:pt idx="94">
                  <c:v>196.38932989821393</c:v>
                </c:pt>
                <c:pt idx="95">
                  <c:v>194.38194072188682</c:v>
                </c:pt>
                <c:pt idx="96">
                  <c:v>192.41474496456223</c:v>
                </c:pt>
                <c:pt idx="97">
                  <c:v>190.48654740107293</c:v>
                </c:pt>
                <c:pt idx="98">
                  <c:v>188.59619973074584</c:v>
                </c:pt>
                <c:pt idx="99">
                  <c:v>186.74259829696749</c:v>
                </c:pt>
                <c:pt idx="100">
                  <c:v>184.92468193845872</c:v>
                </c:pt>
              </c:numCache>
            </c:numRef>
          </c:val>
          <c:smooth val="0"/>
          <c:extLst>
            <c:ext xmlns:c16="http://schemas.microsoft.com/office/drawing/2014/chart" uri="{C3380CC4-5D6E-409C-BE32-E72D297353CC}">
              <c16:uniqueId val="{00000000-35C4-40D8-9B41-933331EBB298}"/>
            </c:ext>
          </c:extLst>
        </c:ser>
        <c:ser>
          <c:idx val="0"/>
          <c:order val="1"/>
          <c:tx>
            <c:v>VIN-nom</c:v>
          </c:tx>
          <c:spPr>
            <a:ln w="28575">
              <a:solidFill>
                <a:srgbClr val="FF0000"/>
              </a:solidFill>
              <a:prstDash val="lgDash"/>
            </a:ln>
          </c:spPr>
          <c:marker>
            <c:symbol val="none"/>
          </c:marker>
          <c:cat>
            <c:numRef>
              <c:f>'Calculations - Single'!$AM$5:$AM$105</c:f>
              <c:numCache>
                <c:formatCode>0</c:formatCode>
                <c:ptCount val="101"/>
                <c:pt idx="0">
                  <c:v>1.0000000000000002E-6</c:v>
                </c:pt>
                <c:pt idx="1">
                  <c:v>25</c:v>
                </c:pt>
                <c:pt idx="2">
                  <c:v>50</c:v>
                </c:pt>
                <c:pt idx="3">
                  <c:v>75</c:v>
                </c:pt>
                <c:pt idx="4">
                  <c:v>100</c:v>
                </c:pt>
                <c:pt idx="5">
                  <c:v>125</c:v>
                </c:pt>
                <c:pt idx="6">
                  <c:v>150</c:v>
                </c:pt>
                <c:pt idx="7">
                  <c:v>175.00000000000003</c:v>
                </c:pt>
                <c:pt idx="8">
                  <c:v>200</c:v>
                </c:pt>
                <c:pt idx="9">
                  <c:v>224.99999999999997</c:v>
                </c:pt>
                <c:pt idx="10">
                  <c:v>250</c:v>
                </c:pt>
                <c:pt idx="11">
                  <c:v>275</c:v>
                </c:pt>
                <c:pt idx="12">
                  <c:v>300</c:v>
                </c:pt>
                <c:pt idx="13">
                  <c:v>325</c:v>
                </c:pt>
                <c:pt idx="14">
                  <c:v>350.00000000000006</c:v>
                </c:pt>
                <c:pt idx="15">
                  <c:v>375</c:v>
                </c:pt>
                <c:pt idx="16">
                  <c:v>400</c:v>
                </c:pt>
                <c:pt idx="17">
                  <c:v>425.00000000000006</c:v>
                </c:pt>
                <c:pt idx="18">
                  <c:v>449.99999999999994</c:v>
                </c:pt>
                <c:pt idx="19">
                  <c:v>475</c:v>
                </c:pt>
                <c:pt idx="20">
                  <c:v>500</c:v>
                </c:pt>
                <c:pt idx="21">
                  <c:v>525</c:v>
                </c:pt>
                <c:pt idx="22">
                  <c:v>550</c:v>
                </c:pt>
                <c:pt idx="23">
                  <c:v>575.00000000000011</c:v>
                </c:pt>
                <c:pt idx="24">
                  <c:v>600</c:v>
                </c:pt>
                <c:pt idx="25">
                  <c:v>625</c:v>
                </c:pt>
                <c:pt idx="26">
                  <c:v>650</c:v>
                </c:pt>
                <c:pt idx="27">
                  <c:v>675</c:v>
                </c:pt>
                <c:pt idx="28">
                  <c:v>700.00000000000011</c:v>
                </c:pt>
                <c:pt idx="29">
                  <c:v>725</c:v>
                </c:pt>
                <c:pt idx="30">
                  <c:v>750</c:v>
                </c:pt>
                <c:pt idx="31">
                  <c:v>775</c:v>
                </c:pt>
                <c:pt idx="32">
                  <c:v>800</c:v>
                </c:pt>
                <c:pt idx="33">
                  <c:v>825.00000000000011</c:v>
                </c:pt>
                <c:pt idx="34">
                  <c:v>850.00000000000011</c:v>
                </c:pt>
                <c:pt idx="35">
                  <c:v>875</c:v>
                </c:pt>
                <c:pt idx="36">
                  <c:v>899.99999999999989</c:v>
                </c:pt>
                <c:pt idx="37">
                  <c:v>925</c:v>
                </c:pt>
                <c:pt idx="38">
                  <c:v>950</c:v>
                </c:pt>
                <c:pt idx="39">
                  <c:v>975.00000000000011</c:v>
                </c:pt>
                <c:pt idx="40">
                  <c:v>1000</c:v>
                </c:pt>
                <c:pt idx="41">
                  <c:v>1025</c:v>
                </c:pt>
                <c:pt idx="42">
                  <c:v>1050</c:v>
                </c:pt>
                <c:pt idx="43">
                  <c:v>1075</c:v>
                </c:pt>
                <c:pt idx="44">
                  <c:v>1100</c:v>
                </c:pt>
                <c:pt idx="45">
                  <c:v>1125</c:v>
                </c:pt>
                <c:pt idx="46">
                  <c:v>1150.0000000000002</c:v>
                </c:pt>
                <c:pt idx="47">
                  <c:v>1174.9999999999998</c:v>
                </c:pt>
                <c:pt idx="48">
                  <c:v>1200</c:v>
                </c:pt>
                <c:pt idx="49">
                  <c:v>1225</c:v>
                </c:pt>
                <c:pt idx="50">
                  <c:v>1250</c:v>
                </c:pt>
                <c:pt idx="51">
                  <c:v>1275</c:v>
                </c:pt>
                <c:pt idx="52">
                  <c:v>1300</c:v>
                </c:pt>
                <c:pt idx="53">
                  <c:v>1325.0000000000002</c:v>
                </c:pt>
                <c:pt idx="54">
                  <c:v>1350</c:v>
                </c:pt>
                <c:pt idx="55">
                  <c:v>1375</c:v>
                </c:pt>
                <c:pt idx="56">
                  <c:v>1400.0000000000002</c:v>
                </c:pt>
                <c:pt idx="57">
                  <c:v>1424.9999999999998</c:v>
                </c:pt>
                <c:pt idx="58">
                  <c:v>1450</c:v>
                </c:pt>
                <c:pt idx="59">
                  <c:v>1474.9999999999998</c:v>
                </c:pt>
                <c:pt idx="60">
                  <c:v>1500</c:v>
                </c:pt>
                <c:pt idx="61">
                  <c:v>1525</c:v>
                </c:pt>
                <c:pt idx="62">
                  <c:v>1550</c:v>
                </c:pt>
                <c:pt idx="63">
                  <c:v>1575</c:v>
                </c:pt>
                <c:pt idx="64">
                  <c:v>1600</c:v>
                </c:pt>
                <c:pt idx="65">
                  <c:v>1625</c:v>
                </c:pt>
                <c:pt idx="66">
                  <c:v>1650.0000000000002</c:v>
                </c:pt>
                <c:pt idx="67">
                  <c:v>1675</c:v>
                </c:pt>
                <c:pt idx="68">
                  <c:v>1700.0000000000002</c:v>
                </c:pt>
                <c:pt idx="69">
                  <c:v>1724.9999999999998</c:v>
                </c:pt>
                <c:pt idx="70">
                  <c:v>1750</c:v>
                </c:pt>
                <c:pt idx="71">
                  <c:v>1775</c:v>
                </c:pt>
                <c:pt idx="72">
                  <c:v>1799.9999999999998</c:v>
                </c:pt>
                <c:pt idx="73">
                  <c:v>1825</c:v>
                </c:pt>
                <c:pt idx="74">
                  <c:v>1850</c:v>
                </c:pt>
                <c:pt idx="75">
                  <c:v>1875</c:v>
                </c:pt>
                <c:pt idx="76">
                  <c:v>1900</c:v>
                </c:pt>
                <c:pt idx="77">
                  <c:v>1925</c:v>
                </c:pt>
                <c:pt idx="78">
                  <c:v>1950.0000000000002</c:v>
                </c:pt>
                <c:pt idx="79">
                  <c:v>1975</c:v>
                </c:pt>
                <c:pt idx="80">
                  <c:v>2000</c:v>
                </c:pt>
                <c:pt idx="81">
                  <c:v>2025.0000000000005</c:v>
                </c:pt>
                <c:pt idx="82">
                  <c:v>2050</c:v>
                </c:pt>
                <c:pt idx="83">
                  <c:v>2074.9999999999995</c:v>
                </c:pt>
                <c:pt idx="84">
                  <c:v>2100</c:v>
                </c:pt>
                <c:pt idx="85">
                  <c:v>2125</c:v>
                </c:pt>
                <c:pt idx="86">
                  <c:v>2150</c:v>
                </c:pt>
                <c:pt idx="87">
                  <c:v>2175</c:v>
                </c:pt>
                <c:pt idx="88">
                  <c:v>2200</c:v>
                </c:pt>
                <c:pt idx="89">
                  <c:v>2225</c:v>
                </c:pt>
                <c:pt idx="90">
                  <c:v>2250</c:v>
                </c:pt>
                <c:pt idx="91">
                  <c:v>2275</c:v>
                </c:pt>
                <c:pt idx="92">
                  <c:v>2300.0000000000005</c:v>
                </c:pt>
                <c:pt idx="93">
                  <c:v>2325</c:v>
                </c:pt>
                <c:pt idx="94">
                  <c:v>2349.9999999999995</c:v>
                </c:pt>
                <c:pt idx="95">
                  <c:v>2375</c:v>
                </c:pt>
                <c:pt idx="96">
                  <c:v>2400</c:v>
                </c:pt>
                <c:pt idx="97">
                  <c:v>2425</c:v>
                </c:pt>
                <c:pt idx="98">
                  <c:v>2450</c:v>
                </c:pt>
                <c:pt idx="99">
                  <c:v>2475</c:v>
                </c:pt>
                <c:pt idx="100">
                  <c:v>2500</c:v>
                </c:pt>
              </c:numCache>
            </c:numRef>
          </c:cat>
          <c:val>
            <c:numRef>
              <c:f>'Calculations - Single'!$AN$5:$AN$105</c:f>
              <c:numCache>
                <c:formatCode>0.0</c:formatCode>
                <c:ptCount val="101"/>
                <c:pt idx="0">
                  <c:v>12</c:v>
                </c:pt>
                <c:pt idx="1">
                  <c:v>27.213671902389706</c:v>
                </c:pt>
                <c:pt idx="2">
                  <c:v>54.427343804779412</c:v>
                </c:pt>
                <c:pt idx="3">
                  <c:v>81.641015707169103</c:v>
                </c:pt>
                <c:pt idx="4">
                  <c:v>108.85468760955882</c:v>
                </c:pt>
                <c:pt idx="5">
                  <c:v>136.0683595119485</c:v>
                </c:pt>
                <c:pt idx="6">
                  <c:v>163.28203141433821</c:v>
                </c:pt>
                <c:pt idx="7">
                  <c:v>190.49570331672794</c:v>
                </c:pt>
                <c:pt idx="8">
                  <c:v>217.70937521911765</c:v>
                </c:pt>
                <c:pt idx="9">
                  <c:v>244.92304712150732</c:v>
                </c:pt>
                <c:pt idx="10">
                  <c:v>272.136719023897</c:v>
                </c:pt>
                <c:pt idx="11">
                  <c:v>299.35039092628676</c:v>
                </c:pt>
                <c:pt idx="12">
                  <c:v>326.56406282867641</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349.3371558749638</c:v>
                </c:pt>
                <c:pt idx="80">
                  <c:v>345.26409899985299</c:v>
                </c:pt>
                <c:pt idx="81">
                  <c:v>341.28478162510442</c:v>
                </c:pt>
                <c:pt idx="82">
                  <c:v>337.39116932849856</c:v>
                </c:pt>
                <c:pt idx="83">
                  <c:v>333.57859733315439</c:v>
                </c:pt>
                <c:pt idx="84">
                  <c:v>329.85061870471486</c:v>
                </c:pt>
                <c:pt idx="85">
                  <c:v>326.20444097987803</c:v>
                </c:pt>
                <c:pt idx="86">
                  <c:v>322.64581719068138</c:v>
                </c:pt>
                <c:pt idx="87">
                  <c:v>319.15480701741797</c:v>
                </c:pt>
                <c:pt idx="88">
                  <c:v>315.74298603527006</c:v>
                </c:pt>
                <c:pt idx="89">
                  <c:v>312.40302342565195</c:v>
                </c:pt>
                <c:pt idx="90">
                  <c:v>309.13267264496466</c:v>
                </c:pt>
                <c:pt idx="91">
                  <c:v>305.9297798301518</c:v>
                </c:pt>
                <c:pt idx="92">
                  <c:v>302.79227906810155</c:v>
                </c:pt>
                <c:pt idx="93">
                  <c:v>299.71818795187278</c:v>
                </c:pt>
                <c:pt idx="94">
                  <c:v>296.70560340365626</c:v>
                </c:pt>
                <c:pt idx="95">
                  <c:v>293.75269774598098</c:v>
                </c:pt>
                <c:pt idx="96">
                  <c:v>290.85771500411721</c:v>
                </c:pt>
                <c:pt idx="97">
                  <c:v>288.01896742396167</c:v>
                </c:pt>
                <c:pt idx="98">
                  <c:v>285.2348321908936</c:v>
                </c:pt>
                <c:pt idx="99">
                  <c:v>282.50374833619844</c:v>
                </c:pt>
                <c:pt idx="100">
                  <c:v>279.824213818668</c:v>
                </c:pt>
              </c:numCache>
            </c:numRef>
          </c:val>
          <c:smooth val="0"/>
          <c:extLst>
            <c:ext xmlns:c16="http://schemas.microsoft.com/office/drawing/2014/chart" uri="{C3380CC4-5D6E-409C-BE32-E72D297353CC}">
              <c16:uniqueId val="{00000001-35C4-40D8-9B41-933331EBB298}"/>
            </c:ext>
          </c:extLst>
        </c:ser>
        <c:ser>
          <c:idx val="2"/>
          <c:order val="2"/>
          <c:tx>
            <c:v>VIN-max</c:v>
          </c:tx>
          <c:spPr>
            <a:ln>
              <a:solidFill>
                <a:srgbClr val="0000FF"/>
              </a:solidFill>
              <a:prstDash val="solid"/>
            </a:ln>
          </c:spPr>
          <c:marker>
            <c:symbol val="none"/>
          </c:marker>
          <c:cat>
            <c:numRef>
              <c:f>'Calculations - Single'!$AM$5:$AM$105</c:f>
              <c:numCache>
                <c:formatCode>0</c:formatCode>
                <c:ptCount val="101"/>
                <c:pt idx="0">
                  <c:v>1.0000000000000002E-6</c:v>
                </c:pt>
                <c:pt idx="1">
                  <c:v>25</c:v>
                </c:pt>
                <c:pt idx="2">
                  <c:v>50</c:v>
                </c:pt>
                <c:pt idx="3">
                  <c:v>75</c:v>
                </c:pt>
                <c:pt idx="4">
                  <c:v>100</c:v>
                </c:pt>
                <c:pt idx="5">
                  <c:v>125</c:v>
                </c:pt>
                <c:pt idx="6">
                  <c:v>150</c:v>
                </c:pt>
                <c:pt idx="7">
                  <c:v>175.00000000000003</c:v>
                </c:pt>
                <c:pt idx="8">
                  <c:v>200</c:v>
                </c:pt>
                <c:pt idx="9">
                  <c:v>224.99999999999997</c:v>
                </c:pt>
                <c:pt idx="10">
                  <c:v>250</c:v>
                </c:pt>
                <c:pt idx="11">
                  <c:v>275</c:v>
                </c:pt>
                <c:pt idx="12">
                  <c:v>300</c:v>
                </c:pt>
                <c:pt idx="13">
                  <c:v>325</c:v>
                </c:pt>
                <c:pt idx="14">
                  <c:v>350.00000000000006</c:v>
                </c:pt>
                <c:pt idx="15">
                  <c:v>375</c:v>
                </c:pt>
                <c:pt idx="16">
                  <c:v>400</c:v>
                </c:pt>
                <c:pt idx="17">
                  <c:v>425.00000000000006</c:v>
                </c:pt>
                <c:pt idx="18">
                  <c:v>449.99999999999994</c:v>
                </c:pt>
                <c:pt idx="19">
                  <c:v>475</c:v>
                </c:pt>
                <c:pt idx="20">
                  <c:v>500</c:v>
                </c:pt>
                <c:pt idx="21">
                  <c:v>525</c:v>
                </c:pt>
                <c:pt idx="22">
                  <c:v>550</c:v>
                </c:pt>
                <c:pt idx="23">
                  <c:v>575.00000000000011</c:v>
                </c:pt>
                <c:pt idx="24">
                  <c:v>600</c:v>
                </c:pt>
                <c:pt idx="25">
                  <c:v>625</c:v>
                </c:pt>
                <c:pt idx="26">
                  <c:v>650</c:v>
                </c:pt>
                <c:pt idx="27">
                  <c:v>675</c:v>
                </c:pt>
                <c:pt idx="28">
                  <c:v>700.00000000000011</c:v>
                </c:pt>
                <c:pt idx="29">
                  <c:v>725</c:v>
                </c:pt>
                <c:pt idx="30">
                  <c:v>750</c:v>
                </c:pt>
                <c:pt idx="31">
                  <c:v>775</c:v>
                </c:pt>
                <c:pt idx="32">
                  <c:v>800</c:v>
                </c:pt>
                <c:pt idx="33">
                  <c:v>825.00000000000011</c:v>
                </c:pt>
                <c:pt idx="34">
                  <c:v>850.00000000000011</c:v>
                </c:pt>
                <c:pt idx="35">
                  <c:v>875</c:v>
                </c:pt>
                <c:pt idx="36">
                  <c:v>899.99999999999989</c:v>
                </c:pt>
                <c:pt idx="37">
                  <c:v>925</c:v>
                </c:pt>
                <c:pt idx="38">
                  <c:v>950</c:v>
                </c:pt>
                <c:pt idx="39">
                  <c:v>975.00000000000011</c:v>
                </c:pt>
                <c:pt idx="40">
                  <c:v>1000</c:v>
                </c:pt>
                <c:pt idx="41">
                  <c:v>1025</c:v>
                </c:pt>
                <c:pt idx="42">
                  <c:v>1050</c:v>
                </c:pt>
                <c:pt idx="43">
                  <c:v>1075</c:v>
                </c:pt>
                <c:pt idx="44">
                  <c:v>1100</c:v>
                </c:pt>
                <c:pt idx="45">
                  <c:v>1125</c:v>
                </c:pt>
                <c:pt idx="46">
                  <c:v>1150.0000000000002</c:v>
                </c:pt>
                <c:pt idx="47">
                  <c:v>1174.9999999999998</c:v>
                </c:pt>
                <c:pt idx="48">
                  <c:v>1200</c:v>
                </c:pt>
                <c:pt idx="49">
                  <c:v>1225</c:v>
                </c:pt>
                <c:pt idx="50">
                  <c:v>1250</c:v>
                </c:pt>
                <c:pt idx="51">
                  <c:v>1275</c:v>
                </c:pt>
                <c:pt idx="52">
                  <c:v>1300</c:v>
                </c:pt>
                <c:pt idx="53">
                  <c:v>1325.0000000000002</c:v>
                </c:pt>
                <c:pt idx="54">
                  <c:v>1350</c:v>
                </c:pt>
                <c:pt idx="55">
                  <c:v>1375</c:v>
                </c:pt>
                <c:pt idx="56">
                  <c:v>1400.0000000000002</c:v>
                </c:pt>
                <c:pt idx="57">
                  <c:v>1424.9999999999998</c:v>
                </c:pt>
                <c:pt idx="58">
                  <c:v>1450</c:v>
                </c:pt>
                <c:pt idx="59">
                  <c:v>1474.9999999999998</c:v>
                </c:pt>
                <c:pt idx="60">
                  <c:v>1500</c:v>
                </c:pt>
                <c:pt idx="61">
                  <c:v>1525</c:v>
                </c:pt>
                <c:pt idx="62">
                  <c:v>1550</c:v>
                </c:pt>
                <c:pt idx="63">
                  <c:v>1575</c:v>
                </c:pt>
                <c:pt idx="64">
                  <c:v>1600</c:v>
                </c:pt>
                <c:pt idx="65">
                  <c:v>1625</c:v>
                </c:pt>
                <c:pt idx="66">
                  <c:v>1650.0000000000002</c:v>
                </c:pt>
                <c:pt idx="67">
                  <c:v>1675</c:v>
                </c:pt>
                <c:pt idx="68">
                  <c:v>1700.0000000000002</c:v>
                </c:pt>
                <c:pt idx="69">
                  <c:v>1724.9999999999998</c:v>
                </c:pt>
                <c:pt idx="70">
                  <c:v>1750</c:v>
                </c:pt>
                <c:pt idx="71">
                  <c:v>1775</c:v>
                </c:pt>
                <c:pt idx="72">
                  <c:v>1799.9999999999998</c:v>
                </c:pt>
                <c:pt idx="73">
                  <c:v>1825</c:v>
                </c:pt>
                <c:pt idx="74">
                  <c:v>1850</c:v>
                </c:pt>
                <c:pt idx="75">
                  <c:v>1875</c:v>
                </c:pt>
                <c:pt idx="76">
                  <c:v>1900</c:v>
                </c:pt>
                <c:pt idx="77">
                  <c:v>1925</c:v>
                </c:pt>
                <c:pt idx="78">
                  <c:v>1950.0000000000002</c:v>
                </c:pt>
                <c:pt idx="79">
                  <c:v>1975</c:v>
                </c:pt>
                <c:pt idx="80">
                  <c:v>2000</c:v>
                </c:pt>
                <c:pt idx="81">
                  <c:v>2025.0000000000005</c:v>
                </c:pt>
                <c:pt idx="82">
                  <c:v>2050</c:v>
                </c:pt>
                <c:pt idx="83">
                  <c:v>2074.9999999999995</c:v>
                </c:pt>
                <c:pt idx="84">
                  <c:v>2100</c:v>
                </c:pt>
                <c:pt idx="85">
                  <c:v>2125</c:v>
                </c:pt>
                <c:pt idx="86">
                  <c:v>2150</c:v>
                </c:pt>
                <c:pt idx="87">
                  <c:v>2175</c:v>
                </c:pt>
                <c:pt idx="88">
                  <c:v>2200</c:v>
                </c:pt>
                <c:pt idx="89">
                  <c:v>2225</c:v>
                </c:pt>
                <c:pt idx="90">
                  <c:v>2250</c:v>
                </c:pt>
                <c:pt idx="91">
                  <c:v>2275</c:v>
                </c:pt>
                <c:pt idx="92">
                  <c:v>2300.0000000000005</c:v>
                </c:pt>
                <c:pt idx="93">
                  <c:v>2325</c:v>
                </c:pt>
                <c:pt idx="94">
                  <c:v>2349.9999999999995</c:v>
                </c:pt>
                <c:pt idx="95">
                  <c:v>2375</c:v>
                </c:pt>
                <c:pt idx="96">
                  <c:v>2400</c:v>
                </c:pt>
                <c:pt idx="97">
                  <c:v>2425</c:v>
                </c:pt>
                <c:pt idx="98">
                  <c:v>2450</c:v>
                </c:pt>
                <c:pt idx="99">
                  <c:v>2475</c:v>
                </c:pt>
                <c:pt idx="100">
                  <c:v>2500</c:v>
                </c:pt>
              </c:numCache>
            </c:numRef>
          </c:cat>
          <c:val>
            <c:numRef>
              <c:f>'Calculations - Single'!$AN$216:$AN$316</c:f>
              <c:numCache>
                <c:formatCode>0.0</c:formatCode>
                <c:ptCount val="101"/>
                <c:pt idx="0">
                  <c:v>12</c:v>
                </c:pt>
                <c:pt idx="1">
                  <c:v>27.213671902389706</c:v>
                </c:pt>
                <c:pt idx="2">
                  <c:v>54.427343804779412</c:v>
                </c:pt>
                <c:pt idx="3">
                  <c:v>81.641015707169103</c:v>
                </c:pt>
                <c:pt idx="4">
                  <c:v>108.85468760955882</c:v>
                </c:pt>
                <c:pt idx="5">
                  <c:v>136.0683595119485</c:v>
                </c:pt>
                <c:pt idx="6">
                  <c:v>163.28203141433821</c:v>
                </c:pt>
                <c:pt idx="7">
                  <c:v>190.49570331672794</c:v>
                </c:pt>
                <c:pt idx="8">
                  <c:v>217.70937521911765</c:v>
                </c:pt>
                <c:pt idx="9">
                  <c:v>244.92304712150732</c:v>
                </c:pt>
                <c:pt idx="10">
                  <c:v>272.136719023897</c:v>
                </c:pt>
                <c:pt idx="11">
                  <c:v>299.35039092628676</c:v>
                </c:pt>
                <c:pt idx="12">
                  <c:v>326.56406282867641</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2-35C4-40D8-9B41-933331EBB298}"/>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Single'!$AM$5:$AM$105</c:f>
              <c:numCache>
                <c:formatCode>0</c:formatCode>
                <c:ptCount val="101"/>
                <c:pt idx="0">
                  <c:v>1.0000000000000002E-6</c:v>
                </c:pt>
                <c:pt idx="1">
                  <c:v>25</c:v>
                </c:pt>
                <c:pt idx="2">
                  <c:v>50</c:v>
                </c:pt>
                <c:pt idx="3">
                  <c:v>75</c:v>
                </c:pt>
                <c:pt idx="4">
                  <c:v>100</c:v>
                </c:pt>
                <c:pt idx="5">
                  <c:v>125</c:v>
                </c:pt>
                <c:pt idx="6">
                  <c:v>150</c:v>
                </c:pt>
                <c:pt idx="7">
                  <c:v>175.00000000000003</c:v>
                </c:pt>
                <c:pt idx="8">
                  <c:v>200</c:v>
                </c:pt>
                <c:pt idx="9">
                  <c:v>224.99999999999997</c:v>
                </c:pt>
                <c:pt idx="10">
                  <c:v>250</c:v>
                </c:pt>
                <c:pt idx="11">
                  <c:v>275</c:v>
                </c:pt>
                <c:pt idx="12">
                  <c:v>300</c:v>
                </c:pt>
                <c:pt idx="13">
                  <c:v>325</c:v>
                </c:pt>
                <c:pt idx="14">
                  <c:v>350.00000000000006</c:v>
                </c:pt>
                <c:pt idx="15">
                  <c:v>375</c:v>
                </c:pt>
                <c:pt idx="16">
                  <c:v>400</c:v>
                </c:pt>
                <c:pt idx="17">
                  <c:v>425.00000000000006</c:v>
                </c:pt>
                <c:pt idx="18">
                  <c:v>449.99999999999994</c:v>
                </c:pt>
                <c:pt idx="19">
                  <c:v>475</c:v>
                </c:pt>
                <c:pt idx="20">
                  <c:v>500</c:v>
                </c:pt>
                <c:pt idx="21">
                  <c:v>525</c:v>
                </c:pt>
                <c:pt idx="22">
                  <c:v>550</c:v>
                </c:pt>
                <c:pt idx="23">
                  <c:v>575.00000000000011</c:v>
                </c:pt>
                <c:pt idx="24">
                  <c:v>600</c:v>
                </c:pt>
                <c:pt idx="25">
                  <c:v>625</c:v>
                </c:pt>
                <c:pt idx="26">
                  <c:v>650</c:v>
                </c:pt>
                <c:pt idx="27">
                  <c:v>675</c:v>
                </c:pt>
                <c:pt idx="28">
                  <c:v>700.00000000000011</c:v>
                </c:pt>
                <c:pt idx="29">
                  <c:v>725</c:v>
                </c:pt>
                <c:pt idx="30">
                  <c:v>750</c:v>
                </c:pt>
                <c:pt idx="31">
                  <c:v>775</c:v>
                </c:pt>
                <c:pt idx="32">
                  <c:v>800</c:v>
                </c:pt>
                <c:pt idx="33">
                  <c:v>825.00000000000011</c:v>
                </c:pt>
                <c:pt idx="34">
                  <c:v>850.00000000000011</c:v>
                </c:pt>
                <c:pt idx="35">
                  <c:v>875</c:v>
                </c:pt>
                <c:pt idx="36">
                  <c:v>899.99999999999989</c:v>
                </c:pt>
                <c:pt idx="37">
                  <c:v>925</c:v>
                </c:pt>
                <c:pt idx="38">
                  <c:v>950</c:v>
                </c:pt>
                <c:pt idx="39">
                  <c:v>975.00000000000011</c:v>
                </c:pt>
                <c:pt idx="40">
                  <c:v>1000</c:v>
                </c:pt>
                <c:pt idx="41">
                  <c:v>1025</c:v>
                </c:pt>
                <c:pt idx="42">
                  <c:v>1050</c:v>
                </c:pt>
                <c:pt idx="43">
                  <c:v>1075</c:v>
                </c:pt>
                <c:pt idx="44">
                  <c:v>1100</c:v>
                </c:pt>
                <c:pt idx="45">
                  <c:v>1125</c:v>
                </c:pt>
                <c:pt idx="46">
                  <c:v>1150.0000000000002</c:v>
                </c:pt>
                <c:pt idx="47">
                  <c:v>1174.9999999999998</c:v>
                </c:pt>
                <c:pt idx="48">
                  <c:v>1200</c:v>
                </c:pt>
                <c:pt idx="49">
                  <c:v>1225</c:v>
                </c:pt>
                <c:pt idx="50">
                  <c:v>1250</c:v>
                </c:pt>
                <c:pt idx="51">
                  <c:v>1275</c:v>
                </c:pt>
                <c:pt idx="52">
                  <c:v>1300</c:v>
                </c:pt>
                <c:pt idx="53">
                  <c:v>1325.0000000000002</c:v>
                </c:pt>
                <c:pt idx="54">
                  <c:v>1350</c:v>
                </c:pt>
                <c:pt idx="55">
                  <c:v>1375</c:v>
                </c:pt>
                <c:pt idx="56">
                  <c:v>1400.0000000000002</c:v>
                </c:pt>
                <c:pt idx="57">
                  <c:v>1424.9999999999998</c:v>
                </c:pt>
                <c:pt idx="58">
                  <c:v>1450</c:v>
                </c:pt>
                <c:pt idx="59">
                  <c:v>1474.9999999999998</c:v>
                </c:pt>
                <c:pt idx="60">
                  <c:v>1500</c:v>
                </c:pt>
                <c:pt idx="61">
                  <c:v>1525</c:v>
                </c:pt>
                <c:pt idx="62">
                  <c:v>1550</c:v>
                </c:pt>
                <c:pt idx="63">
                  <c:v>1575</c:v>
                </c:pt>
                <c:pt idx="64">
                  <c:v>1600</c:v>
                </c:pt>
                <c:pt idx="65">
                  <c:v>1625</c:v>
                </c:pt>
                <c:pt idx="66">
                  <c:v>1650.0000000000002</c:v>
                </c:pt>
                <c:pt idx="67">
                  <c:v>1675</c:v>
                </c:pt>
                <c:pt idx="68">
                  <c:v>1700.0000000000002</c:v>
                </c:pt>
                <c:pt idx="69">
                  <c:v>1724.9999999999998</c:v>
                </c:pt>
                <c:pt idx="70">
                  <c:v>1750</c:v>
                </c:pt>
                <c:pt idx="71">
                  <c:v>1775</c:v>
                </c:pt>
                <c:pt idx="72">
                  <c:v>1799.9999999999998</c:v>
                </c:pt>
                <c:pt idx="73">
                  <c:v>1825</c:v>
                </c:pt>
                <c:pt idx="74">
                  <c:v>1850</c:v>
                </c:pt>
                <c:pt idx="75">
                  <c:v>1875</c:v>
                </c:pt>
                <c:pt idx="76">
                  <c:v>1900</c:v>
                </c:pt>
                <c:pt idx="77">
                  <c:v>1925</c:v>
                </c:pt>
                <c:pt idx="78">
                  <c:v>1950.0000000000002</c:v>
                </c:pt>
                <c:pt idx="79">
                  <c:v>1975</c:v>
                </c:pt>
                <c:pt idx="80">
                  <c:v>2000</c:v>
                </c:pt>
                <c:pt idx="81">
                  <c:v>2025.0000000000005</c:v>
                </c:pt>
                <c:pt idx="82">
                  <c:v>2050</c:v>
                </c:pt>
                <c:pt idx="83">
                  <c:v>2074.9999999999995</c:v>
                </c:pt>
                <c:pt idx="84">
                  <c:v>2100</c:v>
                </c:pt>
                <c:pt idx="85">
                  <c:v>2125</c:v>
                </c:pt>
                <c:pt idx="86">
                  <c:v>2150</c:v>
                </c:pt>
                <c:pt idx="87">
                  <c:v>2175</c:v>
                </c:pt>
                <c:pt idx="88">
                  <c:v>2200</c:v>
                </c:pt>
                <c:pt idx="89">
                  <c:v>2225</c:v>
                </c:pt>
                <c:pt idx="90">
                  <c:v>2250</c:v>
                </c:pt>
                <c:pt idx="91">
                  <c:v>2275</c:v>
                </c:pt>
                <c:pt idx="92">
                  <c:v>2300.0000000000005</c:v>
                </c:pt>
                <c:pt idx="93">
                  <c:v>2325</c:v>
                </c:pt>
                <c:pt idx="94">
                  <c:v>2349.9999999999995</c:v>
                </c:pt>
                <c:pt idx="95">
                  <c:v>2375</c:v>
                </c:pt>
                <c:pt idx="96">
                  <c:v>2400</c:v>
                </c:pt>
                <c:pt idx="97">
                  <c:v>2425</c:v>
                </c:pt>
                <c:pt idx="98">
                  <c:v>2450</c:v>
                </c:pt>
                <c:pt idx="99">
                  <c:v>2475</c:v>
                </c:pt>
                <c:pt idx="100">
                  <c:v>2500</c:v>
                </c:pt>
              </c:numCache>
            </c:numRef>
          </c:cat>
          <c:val>
            <c:numRef>
              <c:f>'Calculations - Single'!$CE$110:$CE$210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35C4-40D8-9B41-933331EBB298}"/>
            </c:ext>
          </c:extLst>
        </c:ser>
        <c:ser>
          <c:idx val="4"/>
          <c:order val="4"/>
          <c:spPr>
            <a:ln>
              <a:noFill/>
            </a:ln>
          </c:spPr>
          <c:marker>
            <c:symbol val="x"/>
            <c:size val="10"/>
            <c:spPr>
              <a:pattFill prst="pct5">
                <a:fgClr>
                  <a:schemeClr val="tx1"/>
                </a:fgClr>
                <a:bgClr>
                  <a:schemeClr val="bg1"/>
                </a:bgClr>
              </a:pattFill>
              <a:ln>
                <a:solidFill>
                  <a:srgbClr val="FF0000"/>
                </a:solidFill>
              </a:ln>
            </c:spPr>
          </c:marker>
          <c:cat>
            <c:numRef>
              <c:f>'Calculations - Single'!$AM$5:$AM$105</c:f>
              <c:numCache>
                <c:formatCode>0</c:formatCode>
                <c:ptCount val="101"/>
                <c:pt idx="0">
                  <c:v>1.0000000000000002E-6</c:v>
                </c:pt>
                <c:pt idx="1">
                  <c:v>25</c:v>
                </c:pt>
                <c:pt idx="2">
                  <c:v>50</c:v>
                </c:pt>
                <c:pt idx="3">
                  <c:v>75</c:v>
                </c:pt>
                <c:pt idx="4">
                  <c:v>100</c:v>
                </c:pt>
                <c:pt idx="5">
                  <c:v>125</c:v>
                </c:pt>
                <c:pt idx="6">
                  <c:v>150</c:v>
                </c:pt>
                <c:pt idx="7">
                  <c:v>175.00000000000003</c:v>
                </c:pt>
                <c:pt idx="8">
                  <c:v>200</c:v>
                </c:pt>
                <c:pt idx="9">
                  <c:v>224.99999999999997</c:v>
                </c:pt>
                <c:pt idx="10">
                  <c:v>250</c:v>
                </c:pt>
                <c:pt idx="11">
                  <c:v>275</c:v>
                </c:pt>
                <c:pt idx="12">
                  <c:v>300</c:v>
                </c:pt>
                <c:pt idx="13">
                  <c:v>325</c:v>
                </c:pt>
                <c:pt idx="14">
                  <c:v>350.00000000000006</c:v>
                </c:pt>
                <c:pt idx="15">
                  <c:v>375</c:v>
                </c:pt>
                <c:pt idx="16">
                  <c:v>400</c:v>
                </c:pt>
                <c:pt idx="17">
                  <c:v>425.00000000000006</c:v>
                </c:pt>
                <c:pt idx="18">
                  <c:v>449.99999999999994</c:v>
                </c:pt>
                <c:pt idx="19">
                  <c:v>475</c:v>
                </c:pt>
                <c:pt idx="20">
                  <c:v>500</c:v>
                </c:pt>
                <c:pt idx="21">
                  <c:v>525</c:v>
                </c:pt>
                <c:pt idx="22">
                  <c:v>550</c:v>
                </c:pt>
                <c:pt idx="23">
                  <c:v>575.00000000000011</c:v>
                </c:pt>
                <c:pt idx="24">
                  <c:v>600</c:v>
                </c:pt>
                <c:pt idx="25">
                  <c:v>625</c:v>
                </c:pt>
                <c:pt idx="26">
                  <c:v>650</c:v>
                </c:pt>
                <c:pt idx="27">
                  <c:v>675</c:v>
                </c:pt>
                <c:pt idx="28">
                  <c:v>700.00000000000011</c:v>
                </c:pt>
                <c:pt idx="29">
                  <c:v>725</c:v>
                </c:pt>
                <c:pt idx="30">
                  <c:v>750</c:v>
                </c:pt>
                <c:pt idx="31">
                  <c:v>775</c:v>
                </c:pt>
                <c:pt idx="32">
                  <c:v>800</c:v>
                </c:pt>
                <c:pt idx="33">
                  <c:v>825.00000000000011</c:v>
                </c:pt>
                <c:pt idx="34">
                  <c:v>850.00000000000011</c:v>
                </c:pt>
                <c:pt idx="35">
                  <c:v>875</c:v>
                </c:pt>
                <c:pt idx="36">
                  <c:v>899.99999999999989</c:v>
                </c:pt>
                <c:pt idx="37">
                  <c:v>925</c:v>
                </c:pt>
                <c:pt idx="38">
                  <c:v>950</c:v>
                </c:pt>
                <c:pt idx="39">
                  <c:v>975.00000000000011</c:v>
                </c:pt>
                <c:pt idx="40">
                  <c:v>1000</c:v>
                </c:pt>
                <c:pt idx="41">
                  <c:v>1025</c:v>
                </c:pt>
                <c:pt idx="42">
                  <c:v>1050</c:v>
                </c:pt>
                <c:pt idx="43">
                  <c:v>1075</c:v>
                </c:pt>
                <c:pt idx="44">
                  <c:v>1100</c:v>
                </c:pt>
                <c:pt idx="45">
                  <c:v>1125</c:v>
                </c:pt>
                <c:pt idx="46">
                  <c:v>1150.0000000000002</c:v>
                </c:pt>
                <c:pt idx="47">
                  <c:v>1174.9999999999998</c:v>
                </c:pt>
                <c:pt idx="48">
                  <c:v>1200</c:v>
                </c:pt>
                <c:pt idx="49">
                  <c:v>1225</c:v>
                </c:pt>
                <c:pt idx="50">
                  <c:v>1250</c:v>
                </c:pt>
                <c:pt idx="51">
                  <c:v>1275</c:v>
                </c:pt>
                <c:pt idx="52">
                  <c:v>1300</c:v>
                </c:pt>
                <c:pt idx="53">
                  <c:v>1325.0000000000002</c:v>
                </c:pt>
                <c:pt idx="54">
                  <c:v>1350</c:v>
                </c:pt>
                <c:pt idx="55">
                  <c:v>1375</c:v>
                </c:pt>
                <c:pt idx="56">
                  <c:v>1400.0000000000002</c:v>
                </c:pt>
                <c:pt idx="57">
                  <c:v>1424.9999999999998</c:v>
                </c:pt>
                <c:pt idx="58">
                  <c:v>1450</c:v>
                </c:pt>
                <c:pt idx="59">
                  <c:v>1474.9999999999998</c:v>
                </c:pt>
                <c:pt idx="60">
                  <c:v>1500</c:v>
                </c:pt>
                <c:pt idx="61">
                  <c:v>1525</c:v>
                </c:pt>
                <c:pt idx="62">
                  <c:v>1550</c:v>
                </c:pt>
                <c:pt idx="63">
                  <c:v>1575</c:v>
                </c:pt>
                <c:pt idx="64">
                  <c:v>1600</c:v>
                </c:pt>
                <c:pt idx="65">
                  <c:v>1625</c:v>
                </c:pt>
                <c:pt idx="66">
                  <c:v>1650.0000000000002</c:v>
                </c:pt>
                <c:pt idx="67">
                  <c:v>1675</c:v>
                </c:pt>
                <c:pt idx="68">
                  <c:v>1700.0000000000002</c:v>
                </c:pt>
                <c:pt idx="69">
                  <c:v>1724.9999999999998</c:v>
                </c:pt>
                <c:pt idx="70">
                  <c:v>1750</c:v>
                </c:pt>
                <c:pt idx="71">
                  <c:v>1775</c:v>
                </c:pt>
                <c:pt idx="72">
                  <c:v>1799.9999999999998</c:v>
                </c:pt>
                <c:pt idx="73">
                  <c:v>1825</c:v>
                </c:pt>
                <c:pt idx="74">
                  <c:v>1850</c:v>
                </c:pt>
                <c:pt idx="75">
                  <c:v>1875</c:v>
                </c:pt>
                <c:pt idx="76">
                  <c:v>1900</c:v>
                </c:pt>
                <c:pt idx="77">
                  <c:v>1925</c:v>
                </c:pt>
                <c:pt idx="78">
                  <c:v>1950.0000000000002</c:v>
                </c:pt>
                <c:pt idx="79">
                  <c:v>1975</c:v>
                </c:pt>
                <c:pt idx="80">
                  <c:v>2000</c:v>
                </c:pt>
                <c:pt idx="81">
                  <c:v>2025.0000000000005</c:v>
                </c:pt>
                <c:pt idx="82">
                  <c:v>2050</c:v>
                </c:pt>
                <c:pt idx="83">
                  <c:v>2074.9999999999995</c:v>
                </c:pt>
                <c:pt idx="84">
                  <c:v>2100</c:v>
                </c:pt>
                <c:pt idx="85">
                  <c:v>2125</c:v>
                </c:pt>
                <c:pt idx="86">
                  <c:v>2150</c:v>
                </c:pt>
                <c:pt idx="87">
                  <c:v>2175</c:v>
                </c:pt>
                <c:pt idx="88">
                  <c:v>2200</c:v>
                </c:pt>
                <c:pt idx="89">
                  <c:v>2225</c:v>
                </c:pt>
                <c:pt idx="90">
                  <c:v>2250</c:v>
                </c:pt>
                <c:pt idx="91">
                  <c:v>2275</c:v>
                </c:pt>
                <c:pt idx="92">
                  <c:v>2300.0000000000005</c:v>
                </c:pt>
                <c:pt idx="93">
                  <c:v>2325</c:v>
                </c:pt>
                <c:pt idx="94">
                  <c:v>2349.9999999999995</c:v>
                </c:pt>
                <c:pt idx="95">
                  <c:v>2375</c:v>
                </c:pt>
                <c:pt idx="96">
                  <c:v>2400</c:v>
                </c:pt>
                <c:pt idx="97">
                  <c:v>2425</c:v>
                </c:pt>
                <c:pt idx="98">
                  <c:v>2450</c:v>
                </c:pt>
                <c:pt idx="99">
                  <c:v>2475</c:v>
                </c:pt>
                <c:pt idx="100">
                  <c:v>2500</c:v>
                </c:pt>
              </c:numCache>
            </c:numRef>
          </c:cat>
          <c:val>
            <c:numRef>
              <c:f>'Calculations - Single'!$CE$5:$CE$105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35C4-40D8-9B41-933331EBB298}"/>
            </c:ext>
          </c:extLst>
        </c:ser>
        <c:ser>
          <c:idx val="5"/>
          <c:order val="5"/>
          <c:spPr>
            <a:ln>
              <a:noFill/>
            </a:ln>
          </c:spPr>
          <c:marker>
            <c:symbol val="x"/>
            <c:size val="10"/>
            <c:spPr>
              <a:pattFill prst="pct5">
                <a:fgClr>
                  <a:schemeClr val="tx1"/>
                </a:fgClr>
                <a:bgClr>
                  <a:schemeClr val="bg1"/>
                </a:bgClr>
              </a:pattFill>
              <a:ln>
                <a:solidFill>
                  <a:srgbClr val="0000FF"/>
                </a:solidFill>
              </a:ln>
            </c:spPr>
          </c:marker>
          <c:cat>
            <c:numRef>
              <c:f>'Calculations - Single'!$AM$5:$AM$105</c:f>
              <c:numCache>
                <c:formatCode>0</c:formatCode>
                <c:ptCount val="101"/>
                <c:pt idx="0">
                  <c:v>1.0000000000000002E-6</c:v>
                </c:pt>
                <c:pt idx="1">
                  <c:v>25</c:v>
                </c:pt>
                <c:pt idx="2">
                  <c:v>50</c:v>
                </c:pt>
                <c:pt idx="3">
                  <c:v>75</c:v>
                </c:pt>
                <c:pt idx="4">
                  <c:v>100</c:v>
                </c:pt>
                <c:pt idx="5">
                  <c:v>125</c:v>
                </c:pt>
                <c:pt idx="6">
                  <c:v>150</c:v>
                </c:pt>
                <c:pt idx="7">
                  <c:v>175.00000000000003</c:v>
                </c:pt>
                <c:pt idx="8">
                  <c:v>200</c:v>
                </c:pt>
                <c:pt idx="9">
                  <c:v>224.99999999999997</c:v>
                </c:pt>
                <c:pt idx="10">
                  <c:v>250</c:v>
                </c:pt>
                <c:pt idx="11">
                  <c:v>275</c:v>
                </c:pt>
                <c:pt idx="12">
                  <c:v>300</c:v>
                </c:pt>
                <c:pt idx="13">
                  <c:v>325</c:v>
                </c:pt>
                <c:pt idx="14">
                  <c:v>350.00000000000006</c:v>
                </c:pt>
                <c:pt idx="15">
                  <c:v>375</c:v>
                </c:pt>
                <c:pt idx="16">
                  <c:v>400</c:v>
                </c:pt>
                <c:pt idx="17">
                  <c:v>425.00000000000006</c:v>
                </c:pt>
                <c:pt idx="18">
                  <c:v>449.99999999999994</c:v>
                </c:pt>
                <c:pt idx="19">
                  <c:v>475</c:v>
                </c:pt>
                <c:pt idx="20">
                  <c:v>500</c:v>
                </c:pt>
                <c:pt idx="21">
                  <c:v>525</c:v>
                </c:pt>
                <c:pt idx="22">
                  <c:v>550</c:v>
                </c:pt>
                <c:pt idx="23">
                  <c:v>575.00000000000011</c:v>
                </c:pt>
                <c:pt idx="24">
                  <c:v>600</c:v>
                </c:pt>
                <c:pt idx="25">
                  <c:v>625</c:v>
                </c:pt>
                <c:pt idx="26">
                  <c:v>650</c:v>
                </c:pt>
                <c:pt idx="27">
                  <c:v>675</c:v>
                </c:pt>
                <c:pt idx="28">
                  <c:v>700.00000000000011</c:v>
                </c:pt>
                <c:pt idx="29">
                  <c:v>725</c:v>
                </c:pt>
                <c:pt idx="30">
                  <c:v>750</c:v>
                </c:pt>
                <c:pt idx="31">
                  <c:v>775</c:v>
                </c:pt>
                <c:pt idx="32">
                  <c:v>800</c:v>
                </c:pt>
                <c:pt idx="33">
                  <c:v>825.00000000000011</c:v>
                </c:pt>
                <c:pt idx="34">
                  <c:v>850.00000000000011</c:v>
                </c:pt>
                <c:pt idx="35">
                  <c:v>875</c:v>
                </c:pt>
                <c:pt idx="36">
                  <c:v>899.99999999999989</c:v>
                </c:pt>
                <c:pt idx="37">
                  <c:v>925</c:v>
                </c:pt>
                <c:pt idx="38">
                  <c:v>950</c:v>
                </c:pt>
                <c:pt idx="39">
                  <c:v>975.00000000000011</c:v>
                </c:pt>
                <c:pt idx="40">
                  <c:v>1000</c:v>
                </c:pt>
                <c:pt idx="41">
                  <c:v>1025</c:v>
                </c:pt>
                <c:pt idx="42">
                  <c:v>1050</c:v>
                </c:pt>
                <c:pt idx="43">
                  <c:v>1075</c:v>
                </c:pt>
                <c:pt idx="44">
                  <c:v>1100</c:v>
                </c:pt>
                <c:pt idx="45">
                  <c:v>1125</c:v>
                </c:pt>
                <c:pt idx="46">
                  <c:v>1150.0000000000002</c:v>
                </c:pt>
                <c:pt idx="47">
                  <c:v>1174.9999999999998</c:v>
                </c:pt>
                <c:pt idx="48">
                  <c:v>1200</c:v>
                </c:pt>
                <c:pt idx="49">
                  <c:v>1225</c:v>
                </c:pt>
                <c:pt idx="50">
                  <c:v>1250</c:v>
                </c:pt>
                <c:pt idx="51">
                  <c:v>1275</c:v>
                </c:pt>
                <c:pt idx="52">
                  <c:v>1300</c:v>
                </c:pt>
                <c:pt idx="53">
                  <c:v>1325.0000000000002</c:v>
                </c:pt>
                <c:pt idx="54">
                  <c:v>1350</c:v>
                </c:pt>
                <c:pt idx="55">
                  <c:v>1375</c:v>
                </c:pt>
                <c:pt idx="56">
                  <c:v>1400.0000000000002</c:v>
                </c:pt>
                <c:pt idx="57">
                  <c:v>1424.9999999999998</c:v>
                </c:pt>
                <c:pt idx="58">
                  <c:v>1450</c:v>
                </c:pt>
                <c:pt idx="59">
                  <c:v>1474.9999999999998</c:v>
                </c:pt>
                <c:pt idx="60">
                  <c:v>1500</c:v>
                </c:pt>
                <c:pt idx="61">
                  <c:v>1525</c:v>
                </c:pt>
                <c:pt idx="62">
                  <c:v>1550</c:v>
                </c:pt>
                <c:pt idx="63">
                  <c:v>1575</c:v>
                </c:pt>
                <c:pt idx="64">
                  <c:v>1600</c:v>
                </c:pt>
                <c:pt idx="65">
                  <c:v>1625</c:v>
                </c:pt>
                <c:pt idx="66">
                  <c:v>1650.0000000000002</c:v>
                </c:pt>
                <c:pt idx="67">
                  <c:v>1675</c:v>
                </c:pt>
                <c:pt idx="68">
                  <c:v>1700.0000000000002</c:v>
                </c:pt>
                <c:pt idx="69">
                  <c:v>1724.9999999999998</c:v>
                </c:pt>
                <c:pt idx="70">
                  <c:v>1750</c:v>
                </c:pt>
                <c:pt idx="71">
                  <c:v>1775</c:v>
                </c:pt>
                <c:pt idx="72">
                  <c:v>1799.9999999999998</c:v>
                </c:pt>
                <c:pt idx="73">
                  <c:v>1825</c:v>
                </c:pt>
                <c:pt idx="74">
                  <c:v>1850</c:v>
                </c:pt>
                <c:pt idx="75">
                  <c:v>1875</c:v>
                </c:pt>
                <c:pt idx="76">
                  <c:v>1900</c:v>
                </c:pt>
                <c:pt idx="77">
                  <c:v>1925</c:v>
                </c:pt>
                <c:pt idx="78">
                  <c:v>1950.0000000000002</c:v>
                </c:pt>
                <c:pt idx="79">
                  <c:v>1975</c:v>
                </c:pt>
                <c:pt idx="80">
                  <c:v>2000</c:v>
                </c:pt>
                <c:pt idx="81">
                  <c:v>2025.0000000000005</c:v>
                </c:pt>
                <c:pt idx="82">
                  <c:v>2050</c:v>
                </c:pt>
                <c:pt idx="83">
                  <c:v>2074.9999999999995</c:v>
                </c:pt>
                <c:pt idx="84">
                  <c:v>2100</c:v>
                </c:pt>
                <c:pt idx="85">
                  <c:v>2125</c:v>
                </c:pt>
                <c:pt idx="86">
                  <c:v>2150</c:v>
                </c:pt>
                <c:pt idx="87">
                  <c:v>2175</c:v>
                </c:pt>
                <c:pt idx="88">
                  <c:v>2200</c:v>
                </c:pt>
                <c:pt idx="89">
                  <c:v>2225</c:v>
                </c:pt>
                <c:pt idx="90">
                  <c:v>2250</c:v>
                </c:pt>
                <c:pt idx="91">
                  <c:v>2275</c:v>
                </c:pt>
                <c:pt idx="92">
                  <c:v>2300.0000000000005</c:v>
                </c:pt>
                <c:pt idx="93">
                  <c:v>2325</c:v>
                </c:pt>
                <c:pt idx="94">
                  <c:v>2349.9999999999995</c:v>
                </c:pt>
                <c:pt idx="95">
                  <c:v>2375</c:v>
                </c:pt>
                <c:pt idx="96">
                  <c:v>2400</c:v>
                </c:pt>
                <c:pt idx="97">
                  <c:v>2425</c:v>
                </c:pt>
                <c:pt idx="98">
                  <c:v>2450</c:v>
                </c:pt>
                <c:pt idx="99">
                  <c:v>2475</c:v>
                </c:pt>
                <c:pt idx="100">
                  <c:v>2500</c:v>
                </c:pt>
              </c:numCache>
            </c:numRef>
          </c:cat>
          <c:val>
            <c:numRef>
              <c:f>'Calculations - Single'!$CE$216:$CE$316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35C4-40D8-9B41-933331EBB298}"/>
            </c:ext>
          </c:extLst>
        </c:ser>
        <c:dLbls>
          <c:showLegendKey val="0"/>
          <c:showVal val="0"/>
          <c:showCatName val="0"/>
          <c:showSerName val="0"/>
          <c:showPercent val="0"/>
          <c:showBubbleSize val="0"/>
        </c:dLbls>
        <c:smooth val="0"/>
        <c:axId val="451999616"/>
        <c:axId val="452288896"/>
      </c:lineChart>
      <c:catAx>
        <c:axId val="45199961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2288896"/>
        <c:crosses val="autoZero"/>
        <c:auto val="1"/>
        <c:lblAlgn val="ctr"/>
        <c:lblOffset val="100"/>
        <c:tickLblSkip val="20"/>
        <c:tickMarkSkip val="10"/>
        <c:noMultiLvlLbl val="0"/>
      </c:catAx>
      <c:valAx>
        <c:axId val="452288896"/>
        <c:scaling>
          <c:orientation val="minMax"/>
          <c:max val="400"/>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Switching</a:t>
                </a:r>
                <a:r>
                  <a:rPr lang="en-US" sz="1200" b="1" baseline="0">
                    <a:solidFill>
                      <a:schemeClr val="tx1"/>
                    </a:solidFill>
                    <a:latin typeface="Arial" pitchFamily="34" charset="0"/>
                    <a:cs typeface="Arial" pitchFamily="34" charset="0"/>
                  </a:rPr>
                  <a:t> Frquency (kHz)</a:t>
                </a:r>
                <a:endParaRPr lang="en-US" sz="1200" b="1">
                  <a:solidFill>
                    <a:schemeClr val="tx1"/>
                  </a:solidFill>
                  <a:latin typeface="Arial" pitchFamily="34" charset="0"/>
                  <a:cs typeface="Arial" pitchFamily="34" charset="0"/>
                </a:endParaRPr>
              </a:p>
            </c:rich>
          </c:tx>
          <c:layout>
            <c:manualLayout>
              <c:xMode val="edge"/>
              <c:yMode val="edge"/>
              <c:x val="8.5568268367748525E-3"/>
              <c:y val="0.30050661099568304"/>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1999616"/>
        <c:crossesAt val="0"/>
        <c:crossBetween val="between"/>
        <c:majorUnit val="50"/>
        <c:minorUnit val="25"/>
      </c:valAx>
      <c:spPr>
        <a:solidFill>
          <a:srgbClr val="FFFFFF"/>
        </a:solidFill>
        <a:ln w="25400">
          <a:noFill/>
        </a:ln>
      </c:spPr>
    </c:plotArea>
    <c:legend>
      <c:legendPos val="t"/>
      <c:legendEntry>
        <c:idx val="3"/>
        <c:delete val="1"/>
      </c:legendEntry>
      <c:legendEntry>
        <c:idx val="4"/>
        <c:delete val="1"/>
      </c:legendEntry>
      <c:legendEntry>
        <c:idx val="5"/>
        <c:delete val="1"/>
      </c:legendEntry>
      <c:layout>
        <c:manualLayout>
          <c:xMode val="edge"/>
          <c:yMode val="edge"/>
          <c:x val="0.30119952469789996"/>
          <c:y val="2.20093690871901E-2"/>
          <c:w val="0.4533572736110989"/>
          <c:h val="5.433576684781775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Dual'!$AM$110:$AM$210</c:f>
              <c:numCache>
                <c:formatCode>0.0</c:formatCode>
                <c:ptCount val="101"/>
                <c:pt idx="0">
                  <c:v>10</c:v>
                </c:pt>
                <c:pt idx="1">
                  <c:v>27.500946761249416</c:v>
                </c:pt>
                <c:pt idx="2">
                  <c:v>82.502840283748242</c:v>
                </c:pt>
                <c:pt idx="3">
                  <c:v>82.502840283748242</c:v>
                </c:pt>
                <c:pt idx="4">
                  <c:v>110.00378704499767</c:v>
                </c:pt>
                <c:pt idx="5">
                  <c:v>137.50473380624706</c:v>
                </c:pt>
                <c:pt idx="6">
                  <c:v>165.00568056749648</c:v>
                </c:pt>
                <c:pt idx="7">
                  <c:v>192.50662732874591</c:v>
                </c:pt>
                <c:pt idx="8">
                  <c:v>220.00757408999533</c:v>
                </c:pt>
                <c:pt idx="9">
                  <c:v>247.50852085124473</c:v>
                </c:pt>
                <c:pt idx="10">
                  <c:v>275.00946761249412</c:v>
                </c:pt>
                <c:pt idx="11">
                  <c:v>302.51041437374357</c:v>
                </c:pt>
                <c:pt idx="12">
                  <c:v>330.01136113499297</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345.86340160719345</c:v>
                </c:pt>
                <c:pt idx="49">
                  <c:v>339.26473502668671</c:v>
                </c:pt>
                <c:pt idx="50">
                  <c:v>332.91257786125936</c:v>
                </c:pt>
                <c:pt idx="51">
                  <c:v>326.79337537641322</c:v>
                </c:pt>
                <c:pt idx="52">
                  <c:v>320.87741203412884</c:v>
                </c:pt>
                <c:pt idx="53">
                  <c:v>315.16982570998761</c:v>
                </c:pt>
                <c:pt idx="54">
                  <c:v>309.6604515374637</c:v>
                </c:pt>
                <c:pt idx="55">
                  <c:v>304.33914029431946</c:v>
                </c:pt>
                <c:pt idx="56">
                  <c:v>299.19642403581486</c:v>
                </c:pt>
                <c:pt idx="57">
                  <c:v>294.22345987382101</c:v>
                </c:pt>
                <c:pt idx="58">
                  <c:v>289.4119792329389</c:v>
                </c:pt>
                <c:pt idx="59">
                  <c:v>284.75424197107662</c:v>
                </c:pt>
                <c:pt idx="60">
                  <c:v>280.24299482899738</c:v>
                </c:pt>
                <c:pt idx="61">
                  <c:v>275.87143373968053</c:v>
                </c:pt>
                <c:pt idx="62">
                  <c:v>271.63316958555379</c:v>
                </c:pt>
                <c:pt idx="63">
                  <c:v>267.52219704115402</c:v>
                </c:pt>
                <c:pt idx="64">
                  <c:v>263.53286618166868</c:v>
                </c:pt>
                <c:pt idx="65">
                  <c:v>259.65985657507753</c:v>
                </c:pt>
                <c:pt idx="66">
                  <c:v>255.89815360807506</c:v>
                </c:pt>
                <c:pt idx="67">
                  <c:v>252.24302682425559</c:v>
                </c:pt>
                <c:pt idx="68">
                  <c:v>248.69001007780486</c:v>
                </c:pt>
                <c:pt idx="69">
                  <c:v>245.23488332762261</c:v>
                </c:pt>
                <c:pt idx="70">
                  <c:v>241.87365591583423</c:v>
                </c:pt>
                <c:pt idx="71">
                  <c:v>238.60255119138742</c:v>
                </c:pt>
                <c:pt idx="72">
                  <c:v>235.41799235416812</c:v>
                </c:pt>
                <c:pt idx="73">
                  <c:v>232.3165894080883</c:v>
                </c:pt>
                <c:pt idx="74">
                  <c:v>229.2951271230931</c:v>
                </c:pt>
                <c:pt idx="75">
                  <c:v>226.35055391622313</c:v>
                </c:pt>
                <c:pt idx="76">
                  <c:v>223.47997157089981</c:v>
                </c:pt>
                <c:pt idx="77">
                  <c:v>220.68062572162594</c:v>
                </c:pt>
                <c:pt idx="78">
                  <c:v>217.94989703843129</c:v>
                </c:pt>
                <c:pt idx="79">
                  <c:v>215.28529305175613</c:v>
                </c:pt>
                <c:pt idx="80">
                  <c:v>212.6844405641402</c:v>
                </c:pt>
                <c:pt idx="81">
                  <c:v>210.14507860015701</c:v>
                </c:pt>
                <c:pt idx="82">
                  <c:v>207.66505185057423</c:v>
                </c:pt>
                <c:pt idx="83">
                  <c:v>205.2423045707836</c:v>
                </c:pt>
                <c:pt idx="84">
                  <c:v>202.87487489719871</c:v>
                </c:pt>
                <c:pt idx="85">
                  <c:v>200.56088954859257</c:v>
                </c:pt>
                <c:pt idx="86">
                  <c:v>198.29855888229784</c:v>
                </c:pt>
                <c:pt idx="87">
                  <c:v>196.08617227785052</c:v>
                </c:pt>
                <c:pt idx="88">
                  <c:v>193.92209382304969</c:v>
                </c:pt>
                <c:pt idx="89">
                  <c:v>191.80475827957036</c:v>
                </c:pt>
                <c:pt idx="90">
                  <c:v>189.73266730722025</c:v>
                </c:pt>
                <c:pt idx="91">
                  <c:v>187.70438592769966</c:v>
                </c:pt>
                <c:pt idx="92">
                  <c:v>185.71853921032664</c:v>
                </c:pt>
                <c:pt idx="93">
                  <c:v>183.77380916363907</c:v>
                </c:pt>
                <c:pt idx="94">
                  <c:v>181.86893181810922</c:v>
                </c:pt>
                <c:pt idx="95">
                  <c:v>180.00269448639793</c:v>
                </c:pt>
                <c:pt idx="96">
                  <c:v>178.17393318867354</c:v>
                </c:pt>
                <c:pt idx="97">
                  <c:v>176.38153023150494</c:v>
                </c:pt>
                <c:pt idx="98">
                  <c:v>174.62441192974907</c:v>
                </c:pt>
                <c:pt idx="99">
                  <c:v>172.90154646167491</c:v>
                </c:pt>
                <c:pt idx="100">
                  <c:v>171.21194184832109</c:v>
                </c:pt>
              </c:numCache>
            </c:numRef>
          </c:val>
          <c:smooth val="0"/>
          <c:extLst>
            <c:ext xmlns:c16="http://schemas.microsoft.com/office/drawing/2014/chart" uri="{C3380CC4-5D6E-409C-BE32-E72D297353CC}">
              <c16:uniqueId val="{00000000-44F7-4870-98EC-5ED7AF60689B}"/>
            </c:ext>
          </c:extLst>
        </c:ser>
        <c:ser>
          <c:idx val="0"/>
          <c:order val="1"/>
          <c:tx>
            <c:v>VIN-nom</c:v>
          </c:tx>
          <c:spPr>
            <a:ln w="28575">
              <a:solidFill>
                <a:srgbClr val="FF0000"/>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Dual'!$AM$5:$AM$105</c:f>
              <c:numCache>
                <c:formatCode>0.0</c:formatCode>
                <c:ptCount val="101"/>
                <c:pt idx="0">
                  <c:v>10</c:v>
                </c:pt>
                <c:pt idx="1">
                  <c:v>27.500946761249416</c:v>
                </c:pt>
                <c:pt idx="2">
                  <c:v>55.001893522498833</c:v>
                </c:pt>
                <c:pt idx="3">
                  <c:v>82.502840283748242</c:v>
                </c:pt>
                <c:pt idx="4">
                  <c:v>110.00378704499767</c:v>
                </c:pt>
                <c:pt idx="5">
                  <c:v>137.50473380624706</c:v>
                </c:pt>
                <c:pt idx="6">
                  <c:v>165.00568056749648</c:v>
                </c:pt>
                <c:pt idx="7">
                  <c:v>192.50662732874591</c:v>
                </c:pt>
                <c:pt idx="8">
                  <c:v>220.00757408999533</c:v>
                </c:pt>
                <c:pt idx="9">
                  <c:v>247.50852085124473</c:v>
                </c:pt>
                <c:pt idx="10">
                  <c:v>275.00946761249412</c:v>
                </c:pt>
                <c:pt idx="11">
                  <c:v>302.51041437374357</c:v>
                </c:pt>
                <c:pt idx="12">
                  <c:v>330.01136113499297</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345.77127327623862</c:v>
                </c:pt>
                <c:pt idx="75">
                  <c:v>341.46917662343873</c:v>
                </c:pt>
                <c:pt idx="76">
                  <c:v>337.27268736584324</c:v>
                </c:pt>
                <c:pt idx="77">
                  <c:v>333.17796482095775</c:v>
                </c:pt>
                <c:pt idx="78">
                  <c:v>329.18135229491418</c:v>
                </c:pt>
                <c:pt idx="79">
                  <c:v>325.27544571815162</c:v>
                </c:pt>
                <c:pt idx="80">
                  <c:v>321.45860819807336</c:v>
                </c:pt>
                <c:pt idx="81">
                  <c:v>317.73000277407016</c:v>
                </c:pt>
                <c:pt idx="82">
                  <c:v>314.08660489271443</c:v>
                </c:pt>
                <c:pt idx="83">
                  <c:v>310.5255266791188</c:v>
                </c:pt>
                <c:pt idx="84">
                  <c:v>307.04400930261346</c:v>
                </c:pt>
                <c:pt idx="85">
                  <c:v>303.63941584847828</c:v>
                </c:pt>
                <c:pt idx="86">
                  <c:v>300.30922465702025</c:v>
                </c:pt>
                <c:pt idx="87">
                  <c:v>297.05102309463831</c:v>
                </c:pt>
                <c:pt idx="88">
                  <c:v>293.8625017245372</c:v>
                </c:pt>
                <c:pt idx="89">
                  <c:v>290.7414488474937</c:v>
                </c:pt>
                <c:pt idx="90">
                  <c:v>287.68574538555328</c:v>
                </c:pt>
                <c:pt idx="91">
                  <c:v>284.69336008378821</c:v>
                </c:pt>
                <c:pt idx="92">
                  <c:v>281.76234500728293</c:v>
                </c:pt>
                <c:pt idx="93">
                  <c:v>278.89083131237174</c:v>
                </c:pt>
                <c:pt idx="94">
                  <c:v>276.0770252728355</c:v>
                </c:pt>
                <c:pt idx="95">
                  <c:v>273.3192045433039</c:v>
                </c:pt>
                <c:pt idx="96">
                  <c:v>270.61571464350584</c:v>
                </c:pt>
                <c:pt idx="97">
                  <c:v>267.96496564828726</c:v>
                </c:pt>
                <c:pt idx="98">
                  <c:v>265.36542906948381</c:v>
                </c:pt>
                <c:pt idx="99">
                  <c:v>262.81563491679674</c:v>
                </c:pt>
                <c:pt idx="100">
                  <c:v>260.31416892579756</c:v>
                </c:pt>
              </c:numCache>
            </c:numRef>
          </c:val>
          <c:smooth val="0"/>
          <c:extLst>
            <c:ext xmlns:c16="http://schemas.microsoft.com/office/drawing/2014/chart" uri="{C3380CC4-5D6E-409C-BE32-E72D297353CC}">
              <c16:uniqueId val="{00000001-44F7-4870-98EC-5ED7AF60689B}"/>
            </c:ext>
          </c:extLst>
        </c:ser>
        <c:ser>
          <c:idx val="2"/>
          <c:order val="2"/>
          <c:tx>
            <c:v>VIN-max</c:v>
          </c:tx>
          <c:spPr>
            <a:ln>
              <a:solidFill>
                <a:srgbClr val="0000FF"/>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Dual'!$AM$216:$AM$316</c:f>
              <c:numCache>
                <c:formatCode>0.0</c:formatCode>
                <c:ptCount val="101"/>
                <c:pt idx="0">
                  <c:v>10</c:v>
                </c:pt>
                <c:pt idx="1">
                  <c:v>27.500789703754936</c:v>
                </c:pt>
                <c:pt idx="2">
                  <c:v>55.001579407509873</c:v>
                </c:pt>
                <c:pt idx="3">
                  <c:v>82.502369111264812</c:v>
                </c:pt>
                <c:pt idx="4">
                  <c:v>110.00315881501975</c:v>
                </c:pt>
                <c:pt idx="5">
                  <c:v>137.50394851877468</c:v>
                </c:pt>
                <c:pt idx="6">
                  <c:v>165.00473822252962</c:v>
                </c:pt>
                <c:pt idx="7">
                  <c:v>192.50552792628457</c:v>
                </c:pt>
                <c:pt idx="8">
                  <c:v>220.00631763003949</c:v>
                </c:pt>
                <c:pt idx="9">
                  <c:v>247.50710733379441</c:v>
                </c:pt>
                <c:pt idx="10">
                  <c:v>275.00789703754936</c:v>
                </c:pt>
                <c:pt idx="11">
                  <c:v>302.5086867413043</c:v>
                </c:pt>
                <c:pt idx="12">
                  <c:v>330.00947644505925</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2-44F7-4870-98EC-5ED7AF60689B}"/>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44F7-4870-98EC-5ED7AF60689B}"/>
            </c:ext>
          </c:extLst>
        </c:ser>
        <c:ser>
          <c:idx val="4"/>
          <c:order val="4"/>
          <c:spPr>
            <a:ln>
              <a:noFill/>
            </a:ln>
          </c:spPr>
          <c:marker>
            <c:symbol val="x"/>
            <c:size val="10"/>
            <c:spPr>
              <a:pattFill prst="pct5">
                <a:fgClr>
                  <a:schemeClr val="tx1"/>
                </a:fgClr>
                <a:bgClr>
                  <a:schemeClr val="bg1"/>
                </a:bgClr>
              </a:pattFill>
              <a:ln>
                <a:solidFill>
                  <a:srgbClr val="FF0000"/>
                </a:solidFill>
              </a:ln>
            </c:spPr>
          </c:marker>
          <c:dPt>
            <c:idx val="65"/>
            <c:bubble3D val="0"/>
            <c:extLst>
              <c:ext xmlns:c16="http://schemas.microsoft.com/office/drawing/2014/chart" uri="{C3380CC4-5D6E-409C-BE32-E72D297353CC}">
                <c16:uniqueId val="{00000004-44F7-4870-98EC-5ED7AF60689B}"/>
              </c:ext>
            </c:extLst>
          </c:dPt>
          <c:dPt>
            <c:idx val="92"/>
            <c:bubble3D val="0"/>
            <c:extLst>
              <c:ext xmlns:c16="http://schemas.microsoft.com/office/drawing/2014/chart" uri="{C3380CC4-5D6E-409C-BE32-E72D297353CC}">
                <c16:uniqueId val="{00000005-44F7-4870-98EC-5ED7AF60689B}"/>
              </c:ext>
            </c:extLst>
          </c:dPt>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6-44F7-4870-98EC-5ED7AF60689B}"/>
            </c:ext>
          </c:extLst>
        </c:ser>
        <c:ser>
          <c:idx val="5"/>
          <c:order val="5"/>
          <c:spPr>
            <a:ln>
              <a:noFill/>
            </a:ln>
          </c:spPr>
          <c:marker>
            <c:symbol val="x"/>
            <c:size val="10"/>
            <c:spPr>
              <a:pattFill prst="pct5">
                <a:fgClr>
                  <a:schemeClr val="tx1"/>
                </a:fgClr>
                <a:bgClr>
                  <a:schemeClr val="bg1"/>
                </a:bgClr>
              </a:pattFill>
              <a:ln>
                <a:solidFill>
                  <a:srgbClr val="0000FF"/>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7-44F7-4870-98EC-5ED7AF60689B}"/>
            </c:ext>
          </c:extLst>
        </c:ser>
        <c:dLbls>
          <c:showLegendKey val="0"/>
          <c:showVal val="0"/>
          <c:showCatName val="0"/>
          <c:showSerName val="0"/>
          <c:showPercent val="0"/>
          <c:showBubbleSize val="0"/>
        </c:dLbls>
        <c:smooth val="0"/>
        <c:axId val="452326144"/>
        <c:axId val="452328448"/>
      </c:lineChart>
      <c:catAx>
        <c:axId val="452326144"/>
        <c:scaling>
          <c:orientation val="minMax"/>
        </c:scaling>
        <c:delete val="0"/>
        <c:axPos val="b"/>
        <c:majorGridlines>
          <c:spPr>
            <a:ln w="15875">
              <a:solidFill>
                <a:srgbClr val="969696"/>
              </a:solidFill>
              <a:prstDash val="sysDash"/>
            </a:ln>
          </c:spPr>
        </c:majorGridlines>
        <c:title>
          <c:tx>
            <c:rich>
              <a:bodyPr/>
              <a:lstStyle/>
              <a:p>
                <a:pPr>
                  <a:defRPr lang="ja-JP" sz="1000" b="1" i="0" u="none" strike="noStrike" baseline="0">
                    <a:solidFill>
                      <a:schemeClr val="tx1"/>
                    </a:solidFill>
                    <a:latin typeface="Arial" pitchFamily="34" charset="0"/>
                    <a:ea typeface="Calibri"/>
                    <a:cs typeface="Arial" pitchFamily="34" charset="0"/>
                  </a:defRPr>
                </a:pPr>
                <a:r>
                  <a:rPr lang="en-US" sz="1200" b="1" i="0" baseline="0">
                    <a:effectLst/>
                  </a:rPr>
                  <a:t>% Total Rated Output Power</a:t>
                </a:r>
                <a:endParaRPr lang="en-US" sz="1000">
                  <a:effectLst/>
                </a:endParaRPr>
              </a:p>
            </c:rich>
          </c:tx>
          <c:layout>
            <c:manualLayout>
              <c:xMode val="edge"/>
              <c:yMode val="edge"/>
              <c:x val="0.40984320248210387"/>
              <c:y val="0.93853774450069472"/>
            </c:manualLayout>
          </c:layout>
          <c:overlay val="0"/>
          <c:spPr>
            <a:noFill/>
            <a:ln w="25400">
              <a:noFill/>
            </a:ln>
          </c:spPr>
        </c:title>
        <c:numFmt formatCode="General"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2328448"/>
        <c:crosses val="autoZero"/>
        <c:auto val="1"/>
        <c:lblAlgn val="ctr"/>
        <c:lblOffset val="100"/>
        <c:tickLblSkip val="20"/>
        <c:tickMarkSkip val="10"/>
        <c:noMultiLvlLbl val="0"/>
      </c:catAx>
      <c:valAx>
        <c:axId val="452328448"/>
        <c:scaling>
          <c:orientation val="minMax"/>
          <c:max val="400"/>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Switching</a:t>
                </a:r>
                <a:r>
                  <a:rPr lang="en-US" sz="1200" b="1" baseline="0">
                    <a:solidFill>
                      <a:schemeClr val="tx1"/>
                    </a:solidFill>
                    <a:latin typeface="Arial" pitchFamily="34" charset="0"/>
                    <a:cs typeface="Arial" pitchFamily="34" charset="0"/>
                  </a:rPr>
                  <a:t> Frquency (kHz)</a:t>
                </a:r>
                <a:endParaRPr lang="en-US" sz="1200" b="1">
                  <a:solidFill>
                    <a:schemeClr val="tx1"/>
                  </a:solidFill>
                  <a:latin typeface="Arial" pitchFamily="34" charset="0"/>
                  <a:cs typeface="Arial" pitchFamily="34" charset="0"/>
                </a:endParaRPr>
              </a:p>
            </c:rich>
          </c:tx>
          <c:layout>
            <c:manualLayout>
              <c:xMode val="edge"/>
              <c:yMode val="edge"/>
              <c:x val="8.5568268367748525E-3"/>
              <c:y val="0.30050661099568304"/>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2326144"/>
        <c:crossesAt val="0"/>
        <c:crossBetween val="between"/>
        <c:majorUnit val="50"/>
        <c:minorUnit val="25"/>
      </c:valAx>
      <c:spPr>
        <a:solidFill>
          <a:srgbClr val="FFFFFF"/>
        </a:solidFill>
        <a:ln w="25400">
          <a:noFill/>
        </a:ln>
      </c:spPr>
    </c:plotArea>
    <c:legend>
      <c:legendPos val="t"/>
      <c:legendEntry>
        <c:idx val="3"/>
        <c:delete val="1"/>
      </c:legendEntry>
      <c:legendEntry>
        <c:idx val="4"/>
        <c:delete val="1"/>
      </c:legendEntry>
      <c:legendEntry>
        <c:idx val="5"/>
        <c:delete val="1"/>
      </c:legendEntry>
      <c:layout>
        <c:manualLayout>
          <c:xMode val="edge"/>
          <c:yMode val="edge"/>
          <c:x val="0.31258613484968906"/>
          <c:y val="1.9480197482498431E-2"/>
          <c:w val="0.42410841724909248"/>
          <c:h val="5.433576684781775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sz="2000" b="1" i="0" u="none" strike="noStrike" baseline="0">
                <a:solidFill>
                  <a:srgbClr val="000000"/>
                </a:solidFill>
                <a:latin typeface="Arial"/>
                <a:ea typeface="Arial"/>
                <a:cs typeface="Arial"/>
              </a:defRPr>
            </a:pPr>
            <a:r>
              <a:rPr lang="en-US" sz="2000"/>
              <a:t>Breakdown of COT Efficiency Losses vs. Iout</a:t>
            </a:r>
          </a:p>
        </c:rich>
      </c:tx>
      <c:layout>
        <c:manualLayout>
          <c:xMode val="edge"/>
          <c:yMode val="edge"/>
          <c:x val="0.21668095607596721"/>
          <c:y val="3.0815438913941871E-2"/>
        </c:manualLayout>
      </c:layout>
      <c:overlay val="0"/>
      <c:spPr>
        <a:noFill/>
        <a:ln w="25400">
          <a:noFill/>
        </a:ln>
      </c:spPr>
    </c:title>
    <c:autoTitleDeleted val="0"/>
    <c:plotArea>
      <c:layout>
        <c:manualLayout>
          <c:layoutTarget val="inner"/>
          <c:xMode val="edge"/>
          <c:yMode val="edge"/>
          <c:x val="0.18496430825131774"/>
          <c:y val="0.14694417652807107"/>
          <c:w val="0.46181411156941887"/>
          <c:h val="0.69570915435856628"/>
        </c:manualLayout>
      </c:layout>
      <c:areaChart>
        <c:grouping val="percentStacked"/>
        <c:varyColors val="0"/>
        <c:ser>
          <c:idx val="1"/>
          <c:order val="0"/>
          <c:tx>
            <c:strRef>
              <c:f>Parameters!$BI$5</c:f>
              <c:strCache>
                <c:ptCount val="1"/>
                <c:pt idx="0">
                  <c:v>Cin Cout ESR %</c:v>
                </c:pt>
              </c:strCache>
            </c:strRef>
          </c:tx>
          <c:spPr>
            <a:solidFill>
              <a:srgbClr val="FFFF00"/>
            </a:solidFill>
            <a:ln w="12700">
              <a:solidFill>
                <a:srgbClr val="000000"/>
              </a:solidFill>
              <a:prstDash val="solid"/>
            </a:ln>
          </c:spPr>
          <c:val>
            <c:numRef>
              <c:f>Parameters!$BI$6:$BI$106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0-BE97-48FA-B330-74E933417AF3}"/>
            </c:ext>
          </c:extLst>
        </c:ser>
        <c:ser>
          <c:idx val="3"/>
          <c:order val="1"/>
          <c:tx>
            <c:strRef>
              <c:f>Parameters!$BF$5</c:f>
              <c:strCache>
                <c:ptCount val="1"/>
                <c:pt idx="0">
                  <c:v>Deadtime Loss %</c:v>
                </c:pt>
              </c:strCache>
            </c:strRef>
          </c:tx>
          <c:spPr>
            <a:solidFill>
              <a:srgbClr val="666699"/>
            </a:solidFill>
            <a:ln w="12700">
              <a:solidFill>
                <a:srgbClr val="000000"/>
              </a:solidFill>
              <a:prstDash val="solid"/>
            </a:ln>
          </c:spPr>
          <c:val>
            <c:numRef>
              <c:f>Parameters!$BF$6:$BF$106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1-BE97-48FA-B330-74E933417AF3}"/>
            </c:ext>
          </c:extLst>
        </c:ser>
        <c:ser>
          <c:idx val="6"/>
          <c:order val="2"/>
          <c:tx>
            <c:strRef>
              <c:f>Parameters!$BA$5</c:f>
              <c:strCache>
                <c:ptCount val="1"/>
                <c:pt idx="0">
                  <c:v>High-side MOSFET Rdson %</c:v>
                </c:pt>
              </c:strCache>
            </c:strRef>
          </c:tx>
          <c:spPr>
            <a:solidFill>
              <a:srgbClr val="FF0000"/>
            </a:solidFill>
            <a:ln w="12700">
              <a:solidFill>
                <a:srgbClr val="000000"/>
              </a:solidFill>
              <a:prstDash val="solid"/>
            </a:ln>
          </c:spPr>
          <c:val>
            <c:numRef>
              <c:f>Parameters!$BA$6:$BA$106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2-BE97-48FA-B330-74E933417AF3}"/>
            </c:ext>
          </c:extLst>
        </c:ser>
        <c:ser>
          <c:idx val="7"/>
          <c:order val="3"/>
          <c:tx>
            <c:strRef>
              <c:f>Parameters!$BB$5</c:f>
              <c:strCache>
                <c:ptCount val="1"/>
                <c:pt idx="0">
                  <c:v>Low-side MOSFET Rdson %</c:v>
                </c:pt>
              </c:strCache>
            </c:strRef>
          </c:tx>
          <c:spPr>
            <a:solidFill>
              <a:srgbClr val="FF6600"/>
            </a:solidFill>
            <a:ln w="12700">
              <a:solidFill>
                <a:srgbClr val="000000"/>
              </a:solidFill>
              <a:prstDash val="solid"/>
            </a:ln>
          </c:spPr>
          <c:val>
            <c:numRef>
              <c:f>Parameters!$BB$6:$BB$106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3-BE97-48FA-B330-74E933417AF3}"/>
            </c:ext>
          </c:extLst>
        </c:ser>
        <c:ser>
          <c:idx val="4"/>
          <c:order val="4"/>
          <c:tx>
            <c:strRef>
              <c:f>Parameters!$BH$5</c:f>
              <c:strCache>
                <c:ptCount val="1"/>
                <c:pt idx="0">
                  <c:v>Inductor Core Loss %</c:v>
                </c:pt>
              </c:strCache>
            </c:strRef>
          </c:tx>
          <c:spPr>
            <a:solidFill>
              <a:srgbClr val="99CC00"/>
            </a:solidFill>
            <a:ln w="12700">
              <a:solidFill>
                <a:srgbClr val="000000"/>
              </a:solidFill>
              <a:prstDash val="solid"/>
            </a:ln>
          </c:spPr>
          <c:val>
            <c:numRef>
              <c:f>Parameters!$BH$6:$BH$106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4-BE97-48FA-B330-74E933417AF3}"/>
            </c:ext>
          </c:extLst>
        </c:ser>
        <c:ser>
          <c:idx val="8"/>
          <c:order val="5"/>
          <c:tx>
            <c:strRef>
              <c:f>Parameters!$BG$5</c:f>
              <c:strCache>
                <c:ptCount val="1"/>
                <c:pt idx="0">
                  <c:v>Inductor Cu Loss %</c:v>
                </c:pt>
              </c:strCache>
            </c:strRef>
          </c:tx>
          <c:spPr>
            <a:solidFill>
              <a:srgbClr val="00FF00"/>
            </a:solidFill>
            <a:ln w="12700">
              <a:solidFill>
                <a:srgbClr val="000000"/>
              </a:solidFill>
              <a:prstDash val="solid"/>
            </a:ln>
          </c:spPr>
          <c:val>
            <c:numRef>
              <c:f>Parameters!$BG$6:$BG$106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5-BE97-48FA-B330-74E933417AF3}"/>
            </c:ext>
          </c:extLst>
        </c:ser>
        <c:ser>
          <c:idx val="2"/>
          <c:order val="6"/>
          <c:tx>
            <c:strRef>
              <c:f>Parameters!$BC$5</c:f>
              <c:strCache>
                <c:ptCount val="1"/>
                <c:pt idx="0">
                  <c:v>Gate Drive (Qg) Loss from Vin %</c:v>
                </c:pt>
              </c:strCache>
            </c:strRef>
          </c:tx>
          <c:spPr>
            <a:solidFill>
              <a:srgbClr val="00FFFF"/>
            </a:solidFill>
            <a:ln w="12700">
              <a:solidFill>
                <a:srgbClr val="000000"/>
              </a:solidFill>
              <a:prstDash val="solid"/>
            </a:ln>
          </c:spPr>
          <c:val>
            <c:numRef>
              <c:f>Parameters!$BC$6:$BC$106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6-BE97-48FA-B330-74E933417AF3}"/>
            </c:ext>
          </c:extLst>
        </c:ser>
        <c:ser>
          <c:idx val="5"/>
          <c:order val="7"/>
          <c:tx>
            <c:strRef>
              <c:f>Parameters!$BD$5</c:f>
              <c:strCache>
                <c:ptCount val="1"/>
                <c:pt idx="0">
                  <c:v>High-side MOSFET Switching Loss %</c:v>
                </c:pt>
              </c:strCache>
            </c:strRef>
          </c:tx>
          <c:spPr>
            <a:solidFill>
              <a:srgbClr val="0000FF"/>
            </a:solidFill>
            <a:ln w="12700">
              <a:solidFill>
                <a:srgbClr val="000000"/>
              </a:solidFill>
              <a:prstDash val="solid"/>
            </a:ln>
          </c:spPr>
          <c:val>
            <c:numRef>
              <c:f>Parameters!$BD$6:$BD$106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7-BE97-48FA-B330-74E933417AF3}"/>
            </c:ext>
          </c:extLst>
        </c:ser>
        <c:ser>
          <c:idx val="10"/>
          <c:order val="8"/>
          <c:tx>
            <c:strRef>
              <c:f>Parameters!$BE$5</c:f>
              <c:strCache>
                <c:ptCount val="1"/>
                <c:pt idx="0">
                  <c:v>Reverse Recovery &amp; Leakage Loss %</c:v>
                </c:pt>
              </c:strCache>
            </c:strRef>
          </c:tx>
          <c:spPr>
            <a:solidFill>
              <a:srgbClr val="FFFF00"/>
            </a:solidFill>
            <a:ln w="12700">
              <a:solidFill>
                <a:srgbClr val="000000"/>
              </a:solidFill>
              <a:prstDash val="solid"/>
            </a:ln>
          </c:spPr>
          <c:val>
            <c:numRef>
              <c:f>Parameters!$BE$6:$BE$106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8-BE97-48FA-B330-74E933417AF3}"/>
            </c:ext>
          </c:extLst>
        </c:ser>
        <c:ser>
          <c:idx val="0"/>
          <c:order val="9"/>
          <c:tx>
            <c:strRef>
              <c:f>Parameters!$BJ$5</c:f>
              <c:strCache>
                <c:ptCount val="1"/>
                <c:pt idx="0">
                  <c:v>Quiescent Current Loss %</c:v>
                </c:pt>
              </c:strCache>
            </c:strRef>
          </c:tx>
          <c:val>
            <c:numRef>
              <c:f>Parameters!$BJ$6:$BJ$106</c:f>
              <c:numCache>
                <c:formatCode>0.00%</c:formatCode>
                <c:ptCount val="101"/>
                <c:pt idx="0">
                  <c:v>0</c:v>
                </c:pt>
                <c:pt idx="1">
                  <c:v>0</c:v>
                </c:pt>
                <c:pt idx="2">
                  <c:v>0</c:v>
                </c:pt>
                <c:pt idx="3">
                  <c:v>0</c:v>
                </c:pt>
                <c:pt idx="100">
                  <c:v>0</c:v>
                </c:pt>
              </c:numCache>
            </c:numRef>
          </c:val>
          <c:extLst>
            <c:ext xmlns:c16="http://schemas.microsoft.com/office/drawing/2014/chart" uri="{C3380CC4-5D6E-409C-BE32-E72D297353CC}">
              <c16:uniqueId val="{00000009-BE97-48FA-B330-74E933417AF3}"/>
            </c:ext>
          </c:extLst>
        </c:ser>
        <c:ser>
          <c:idx val="9"/>
          <c:order val="10"/>
          <c:tx>
            <c:strRef>
              <c:f>Parameters!$BL$5</c:f>
              <c:strCache>
                <c:ptCount val="1"/>
                <c:pt idx="0">
                  <c:v>Overall Eff %</c:v>
                </c:pt>
              </c:strCache>
            </c:strRef>
          </c:tx>
          <c:spPr>
            <a:solidFill>
              <a:srgbClr val="000000"/>
            </a:solidFill>
            <a:ln w="12700">
              <a:solidFill>
                <a:srgbClr val="000000"/>
              </a:solidFill>
              <a:prstDash val="solid"/>
            </a:ln>
          </c:spPr>
          <c:val>
            <c:numRef>
              <c:f>Parameters!$BL$6:$BL$106</c:f>
              <c:numCache>
                <c:formatCode>0.00%</c:formatCode>
                <c:ptCount val="101"/>
                <c:pt idx="0">
                  <c:v>1</c:v>
                </c:pt>
                <c:pt idx="1">
                  <c:v>1</c:v>
                </c:pt>
                <c:pt idx="2">
                  <c:v>1</c:v>
                </c:pt>
                <c:pt idx="3">
                  <c:v>1</c:v>
                </c:pt>
                <c:pt idx="100">
                  <c:v>1</c:v>
                </c:pt>
              </c:numCache>
            </c:numRef>
          </c:val>
          <c:extLst>
            <c:ext xmlns:c16="http://schemas.microsoft.com/office/drawing/2014/chart" uri="{C3380CC4-5D6E-409C-BE32-E72D297353CC}">
              <c16:uniqueId val="{0000000A-BE97-48FA-B330-74E933417AF3}"/>
            </c:ext>
          </c:extLst>
        </c:ser>
        <c:dLbls>
          <c:showLegendKey val="0"/>
          <c:showVal val="0"/>
          <c:showCatName val="0"/>
          <c:showSerName val="0"/>
          <c:showPercent val="0"/>
          <c:showBubbleSize val="0"/>
        </c:dLbls>
        <c:axId val="447280256"/>
        <c:axId val="447282176"/>
      </c:areaChart>
      <c:catAx>
        <c:axId val="447280256"/>
        <c:scaling>
          <c:orientation val="minMax"/>
        </c:scaling>
        <c:delete val="0"/>
        <c:axPos val="b"/>
        <c:majorGridlines>
          <c:spPr>
            <a:ln w="3175">
              <a:solidFill>
                <a:srgbClr val="000000"/>
              </a:solidFill>
              <a:prstDash val="solid"/>
            </a:ln>
          </c:spPr>
        </c:majorGridlines>
        <c:title>
          <c:tx>
            <c:rich>
              <a:bodyPr/>
              <a:lstStyle/>
              <a:p>
                <a:pPr>
                  <a:defRPr lang="ja-JP" sz="1725" b="1" i="0" u="none" strike="noStrike" baseline="0">
                    <a:solidFill>
                      <a:srgbClr val="000000"/>
                    </a:solidFill>
                    <a:latin typeface="Arial"/>
                    <a:ea typeface="Arial"/>
                    <a:cs typeface="Arial"/>
                  </a:defRPr>
                </a:pPr>
                <a:r>
                  <a:rPr lang="en-US"/>
                  <a:t>I</a:t>
                </a:r>
                <a:r>
                  <a:rPr lang="en-US" baseline="-25000"/>
                  <a:t>OUT</a:t>
                </a:r>
                <a:r>
                  <a:rPr lang="en-US"/>
                  <a:t> (log)</a:t>
                </a:r>
              </a:p>
            </c:rich>
          </c:tx>
          <c:layout>
            <c:manualLayout>
              <c:xMode val="edge"/>
              <c:yMode val="edge"/>
              <c:x val="0.37238179041606823"/>
              <c:y val="0.89147900498075083"/>
            </c:manualLayout>
          </c:layout>
          <c:overlay val="0"/>
          <c:spPr>
            <a:noFill/>
            <a:ln w="25400">
              <a:noFill/>
            </a:ln>
          </c:spPr>
        </c:title>
        <c:numFmt formatCode="#,##0" sourceLinked="0"/>
        <c:majorTickMark val="out"/>
        <c:minorTickMark val="none"/>
        <c:tickLblPos val="none"/>
        <c:spPr>
          <a:ln w="3175">
            <a:solidFill>
              <a:srgbClr val="000000"/>
            </a:solidFill>
            <a:prstDash val="solid"/>
          </a:ln>
        </c:spPr>
        <c:txPr>
          <a:bodyPr rot="-5400000" vert="horz"/>
          <a:lstStyle/>
          <a:p>
            <a:pPr>
              <a:defRPr lang="ja-JP" sz="1725" b="0" i="0" u="none" strike="noStrike" baseline="0">
                <a:solidFill>
                  <a:srgbClr val="000000"/>
                </a:solidFill>
                <a:latin typeface="Arial"/>
                <a:ea typeface="Arial"/>
                <a:cs typeface="Arial"/>
              </a:defRPr>
            </a:pPr>
            <a:endParaRPr lang="en-US"/>
          </a:p>
        </c:txPr>
        <c:crossAx val="447282176"/>
        <c:crosses val="autoZero"/>
        <c:auto val="1"/>
        <c:lblAlgn val="ctr"/>
        <c:lblOffset val="100"/>
        <c:tickMarkSkip val="1"/>
        <c:noMultiLvlLbl val="0"/>
      </c:catAx>
      <c:valAx>
        <c:axId val="447282176"/>
        <c:scaling>
          <c:orientation val="minMax"/>
          <c:max val="0.2"/>
          <c:min val="0"/>
        </c:scaling>
        <c:delete val="0"/>
        <c:axPos val="l"/>
        <c:majorGridlines>
          <c:spPr>
            <a:ln w="3175">
              <a:solidFill>
                <a:srgbClr val="000000"/>
              </a:solidFill>
              <a:prstDash val="solid"/>
            </a:ln>
          </c:spPr>
        </c:majorGridlines>
        <c:minorGridlines/>
        <c:title>
          <c:tx>
            <c:rich>
              <a:bodyPr/>
              <a:lstStyle/>
              <a:p>
                <a:pPr>
                  <a:defRPr lang="ja-JP" sz="1725" b="1" i="0" u="none" strike="noStrike" baseline="0">
                    <a:solidFill>
                      <a:srgbClr val="000000"/>
                    </a:solidFill>
                    <a:latin typeface="Arial"/>
                    <a:ea typeface="Arial"/>
                    <a:cs typeface="Arial"/>
                  </a:defRPr>
                </a:pPr>
                <a:r>
                  <a:rPr lang="en-US"/>
                  <a:t>Efficiency (%)</a:t>
                </a:r>
              </a:p>
            </c:rich>
          </c:tx>
          <c:layout>
            <c:manualLayout>
              <c:xMode val="edge"/>
              <c:yMode val="edge"/>
              <c:x val="8.9796428919729693E-2"/>
              <c:y val="0.3456705164996208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ja-JP" sz="1725" b="0" i="0" u="none" strike="noStrike" baseline="0">
                <a:solidFill>
                  <a:srgbClr val="000000"/>
                </a:solidFill>
                <a:latin typeface="Arial"/>
                <a:ea typeface="Arial"/>
                <a:cs typeface="Arial"/>
              </a:defRPr>
            </a:pPr>
            <a:endParaRPr lang="en-US"/>
          </a:p>
        </c:txPr>
        <c:crossAx val="447280256"/>
        <c:crosses val="autoZero"/>
        <c:crossBetween val="midCat"/>
        <c:majorUnit val="5.000000000000001E-2"/>
        <c:minorUnit val="2.5000000000000005E-2"/>
      </c:valAx>
      <c:spPr>
        <a:solidFill>
          <a:srgbClr val="C0C0C0"/>
        </a:solidFill>
        <a:ln w="12700">
          <a:solidFill>
            <a:srgbClr val="808080"/>
          </a:solidFill>
          <a:prstDash val="solid"/>
        </a:ln>
      </c:spPr>
    </c:plotArea>
    <c:legend>
      <c:legendPos val="r"/>
      <c:layout>
        <c:manualLayout>
          <c:xMode val="edge"/>
          <c:yMode val="edge"/>
          <c:x val="0.70666185810743165"/>
          <c:y val="9.3155590739667823E-2"/>
          <c:w val="0.26010897805044486"/>
          <c:h val="0.85864261581306134"/>
        </c:manualLayout>
      </c:layout>
      <c:overlay val="0"/>
      <c:spPr>
        <a:solidFill>
          <a:srgbClr val="FFFFFF"/>
        </a:solidFill>
        <a:ln w="3175">
          <a:solidFill>
            <a:srgbClr val="000000"/>
          </a:solidFill>
          <a:prstDash val="solid"/>
        </a:ln>
      </c:spPr>
      <c:txPr>
        <a:bodyPr/>
        <a:lstStyle/>
        <a:p>
          <a:pPr>
            <a:defRPr lang="ja-JP" sz="1335"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0189" r="0.75000000000000189" t="1" header="0.5" footer="0.5"/>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a:pPr>
            <a:r>
              <a:rPr lang="en-US" sz="1800" b="1" i="0" baseline="0"/>
              <a:t>Breakdown of </a:t>
            </a:r>
            <a:r>
              <a:rPr lang="en-US" sz="1800" b="1" i="0" baseline="0">
                <a:solidFill>
                  <a:srgbClr val="FF0000"/>
                </a:solidFill>
              </a:rPr>
              <a:t>COT</a:t>
            </a:r>
            <a:r>
              <a:rPr lang="en-US" sz="1800" b="1" i="0" baseline="0"/>
              <a:t> Efficiency Losses (</a:t>
            </a:r>
            <a:r>
              <a:rPr lang="en-US" sz="1800" b="1" i="0" u="none" strike="noStrike" baseline="0"/>
              <a:t>I</a:t>
            </a:r>
            <a:r>
              <a:rPr lang="en-US" sz="1800" b="1" i="0" u="none" strike="noStrike" baseline="-25000"/>
              <a:t>OUT</a:t>
            </a:r>
            <a:r>
              <a:rPr lang="en-US" sz="1800" b="1" i="0" u="none" strike="noStrike" baseline="0"/>
              <a:t> = </a:t>
            </a:r>
            <a:r>
              <a:rPr lang="en-US" sz="1800" b="1" i="0" baseline="0"/>
              <a:t>100mA)</a:t>
            </a:r>
            <a:endParaRPr lang="en-US" sz="1800"/>
          </a:p>
        </c:rich>
      </c:tx>
      <c:layout>
        <c:manualLayout>
          <c:xMode val="edge"/>
          <c:yMode val="edge"/>
          <c:x val="0.32963167587477016"/>
          <c:y val="3.5906642728904876E-2"/>
        </c:manualLayout>
      </c:layout>
      <c:overlay val="0"/>
    </c:title>
    <c:autoTitleDeleted val="0"/>
    <c:plotArea>
      <c:layout>
        <c:manualLayout>
          <c:layoutTarget val="inner"/>
          <c:xMode val="edge"/>
          <c:yMode val="edge"/>
          <c:x val="9.2844202898550721E-2"/>
          <c:y val="0.14821658962288614"/>
          <c:w val="0.89442960513913661"/>
          <c:h val="0.76382419881536368"/>
        </c:manualLayout>
      </c:layout>
      <c:barChart>
        <c:barDir val="col"/>
        <c:grouping val="clustered"/>
        <c:varyColors val="0"/>
        <c:ser>
          <c:idx val="6"/>
          <c:order val="0"/>
          <c:tx>
            <c:strRef>
              <c:f>Parameters!$BA$5</c:f>
              <c:strCache>
                <c:ptCount val="1"/>
                <c:pt idx="0">
                  <c:v>High-side MOSFET Rdson %</c:v>
                </c:pt>
              </c:strCache>
            </c:strRef>
          </c:tx>
          <c:spPr>
            <a:solidFill>
              <a:srgbClr val="FF0000"/>
            </a:solidFill>
            <a:ln w="12700">
              <a:solidFill>
                <a:srgbClr val="000000"/>
              </a:solidFill>
              <a:prstDash val="solid"/>
            </a:ln>
          </c:spPr>
          <c:invertIfNegative val="0"/>
          <c:dLbls>
            <c:dLbl>
              <c:idx val="0"/>
              <c:tx>
                <c:rich>
                  <a:bodyPr/>
                  <a:lstStyle/>
                  <a:p>
                    <a:r>
                      <a:rPr lang="en-US"/>
                      <a:t>High-side MOSFET</a:t>
                    </a:r>
                  </a:p>
                  <a:p>
                    <a:r>
                      <a:rPr lang="en-US"/>
                      <a:t>Rdson</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6E96-4528-9036-34F1ACDA388E}"/>
                </c:ext>
              </c:extLst>
            </c:dLbl>
            <c:spPr>
              <a:noFill/>
              <a:ln>
                <a:noFill/>
              </a:ln>
              <a:effectLst/>
            </c:spPr>
            <c:txPr>
              <a:bodyPr/>
              <a:lstStyle/>
              <a:p>
                <a:pPr>
                  <a:defRPr lang="ja-JP" sz="1200" b="1"/>
                </a:pPr>
                <a:endParaRPr lang="en-US"/>
              </a:p>
            </c:txPr>
            <c:dLblPos val="out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Parameters!$BA$109</c:f>
              <c:numCache>
                <c:formatCode>0.000%</c:formatCode>
                <c:ptCount val="1"/>
                <c:pt idx="0">
                  <c:v>8.1000709018000279E-3</c:v>
                </c:pt>
              </c:numCache>
            </c:numRef>
          </c:val>
          <c:extLst>
            <c:ext xmlns:c16="http://schemas.microsoft.com/office/drawing/2014/chart" uri="{C3380CC4-5D6E-409C-BE32-E72D297353CC}">
              <c16:uniqueId val="{00000001-6E96-4528-9036-34F1ACDA388E}"/>
            </c:ext>
          </c:extLst>
        </c:ser>
        <c:ser>
          <c:idx val="5"/>
          <c:order val="1"/>
          <c:tx>
            <c:strRef>
              <c:f>Parameters!$BD$5</c:f>
              <c:strCache>
                <c:ptCount val="1"/>
                <c:pt idx="0">
                  <c:v>High-side MOSFET Switching Loss %</c:v>
                </c:pt>
              </c:strCache>
            </c:strRef>
          </c:tx>
          <c:spPr>
            <a:solidFill>
              <a:srgbClr val="0000FF"/>
            </a:solidFill>
            <a:ln w="12700">
              <a:solidFill>
                <a:srgbClr val="000000"/>
              </a:solidFill>
              <a:prstDash val="solid"/>
            </a:ln>
          </c:spPr>
          <c:invertIfNegative val="0"/>
          <c:dLbls>
            <c:dLbl>
              <c:idx val="0"/>
              <c:layout>
                <c:manualLayout>
                  <c:x val="-9.2081031307550637E-4"/>
                  <c:y val="-7.1813285457809741E-3"/>
                </c:manualLayout>
              </c:layout>
              <c:tx>
                <c:rich>
                  <a:bodyPr/>
                  <a:lstStyle/>
                  <a:p>
                    <a:r>
                      <a:rPr lang="en-US"/>
                      <a:t>High-side MOSFET</a:t>
                    </a:r>
                  </a:p>
                  <a:p>
                    <a:r>
                      <a:rPr lang="en-US"/>
                      <a:t>Switching</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6E96-4528-9036-34F1ACDA388E}"/>
                </c:ext>
              </c:extLst>
            </c:dLbl>
            <c:spPr>
              <a:noFill/>
              <a:ln>
                <a:noFill/>
              </a:ln>
              <a:effectLst/>
            </c:spPr>
            <c:txPr>
              <a:bodyPr/>
              <a:lstStyle/>
              <a:p>
                <a:pPr>
                  <a:defRPr lang="ja-JP" sz="1200" b="1"/>
                </a:pPr>
                <a:endParaRPr lang="en-US"/>
              </a:p>
            </c:txPr>
            <c:dLblPos val="outEnd"/>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Parameters!$BD$109</c:f>
              <c:numCache>
                <c:formatCode>0.000%</c:formatCode>
                <c:ptCount val="1"/>
                <c:pt idx="0">
                  <c:v>9.9057039827182662E-3</c:v>
                </c:pt>
              </c:numCache>
            </c:numRef>
          </c:val>
          <c:extLst>
            <c:ext xmlns:c16="http://schemas.microsoft.com/office/drawing/2014/chart" uri="{C3380CC4-5D6E-409C-BE32-E72D297353CC}">
              <c16:uniqueId val="{00000003-6E96-4528-9036-34F1ACDA388E}"/>
            </c:ext>
          </c:extLst>
        </c:ser>
        <c:ser>
          <c:idx val="7"/>
          <c:order val="2"/>
          <c:tx>
            <c:strRef>
              <c:f>Parameters!$BB$5</c:f>
              <c:strCache>
                <c:ptCount val="1"/>
                <c:pt idx="0">
                  <c:v>Low-side MOSFET Rdson %</c:v>
                </c:pt>
              </c:strCache>
            </c:strRef>
          </c:tx>
          <c:spPr>
            <a:solidFill>
              <a:srgbClr val="FF6600"/>
            </a:solidFill>
            <a:ln w="12700">
              <a:solidFill>
                <a:srgbClr val="000000"/>
              </a:solidFill>
              <a:prstDash val="solid"/>
            </a:ln>
          </c:spPr>
          <c:invertIfNegative val="0"/>
          <c:dLbls>
            <c:dLbl>
              <c:idx val="0"/>
              <c:tx>
                <c:rich>
                  <a:bodyPr/>
                  <a:lstStyle/>
                  <a:p>
                    <a:r>
                      <a:rPr lang="en-US" sz="1200" b="1"/>
                      <a:t>L</a:t>
                    </a:r>
                    <a:r>
                      <a:rPr lang="en-US" sz="1200"/>
                      <a:t>ow-side MOSFET</a:t>
                    </a:r>
                  </a:p>
                  <a:p>
                    <a:r>
                      <a:rPr lang="en-US" sz="1200"/>
                      <a:t>Rdson</a:t>
                    </a:r>
                  </a:p>
                </c:rich>
              </c:tx>
              <c:dLblPos val="outEnd"/>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6E96-4528-9036-34F1ACDA388E}"/>
                </c:ext>
              </c:extLst>
            </c:dLbl>
            <c:spPr>
              <a:noFill/>
              <a:ln>
                <a:noFill/>
              </a:ln>
              <a:effectLst/>
            </c:spPr>
            <c:txPr>
              <a:bodyPr/>
              <a:lstStyle/>
              <a:p>
                <a:pPr>
                  <a:defRPr lang="ja-JP" b="1"/>
                </a:pPr>
                <a:endParaRPr lang="en-US"/>
              </a:p>
            </c:txPr>
            <c:dLblPos val="outEnd"/>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val>
            <c:numRef>
              <c:f>Parameters!$BB$109</c:f>
              <c:numCache>
                <c:formatCode>0.000%</c:formatCode>
                <c:ptCount val="1"/>
                <c:pt idx="0">
                  <c:v>1.4614802049391215E-2</c:v>
                </c:pt>
              </c:numCache>
            </c:numRef>
          </c:val>
          <c:extLst>
            <c:ext xmlns:c16="http://schemas.microsoft.com/office/drawing/2014/chart" uri="{C3380CC4-5D6E-409C-BE32-E72D297353CC}">
              <c16:uniqueId val="{00000005-6E96-4528-9036-34F1ACDA388E}"/>
            </c:ext>
          </c:extLst>
        </c:ser>
        <c:ser>
          <c:idx val="3"/>
          <c:order val="3"/>
          <c:tx>
            <c:strRef>
              <c:f>Parameters!$BF$5</c:f>
              <c:strCache>
                <c:ptCount val="1"/>
                <c:pt idx="0">
                  <c:v>Deadtime Loss %</c:v>
                </c:pt>
              </c:strCache>
            </c:strRef>
          </c:tx>
          <c:spPr>
            <a:solidFill>
              <a:srgbClr val="666699"/>
            </a:solidFill>
            <a:ln w="12700">
              <a:solidFill>
                <a:srgbClr val="000000"/>
              </a:solidFill>
              <a:prstDash val="solid"/>
            </a:ln>
          </c:spPr>
          <c:invertIfNegative val="0"/>
          <c:dLbls>
            <c:dLbl>
              <c:idx val="0"/>
              <c:layout>
                <c:manualLayout>
                  <c:x val="0"/>
                  <c:y val="-9.5751047277079695E-3"/>
                </c:manualLayout>
              </c:layout>
              <c:tx>
                <c:rich>
                  <a:bodyPr/>
                  <a:lstStyle/>
                  <a:p>
                    <a:r>
                      <a:rPr lang="en-US"/>
                      <a:t>Low-side MOSFET</a:t>
                    </a:r>
                  </a:p>
                  <a:p>
                    <a:r>
                      <a:rPr lang="en-US"/>
                      <a:t>Deadtime </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6E96-4528-9036-34F1ACDA388E}"/>
                </c:ext>
              </c:extLst>
            </c:dLbl>
            <c:spPr>
              <a:noFill/>
              <a:ln>
                <a:noFill/>
              </a:ln>
              <a:effectLst/>
            </c:spPr>
            <c:txPr>
              <a:bodyPr/>
              <a:lstStyle/>
              <a:p>
                <a:pPr>
                  <a:defRPr lang="ja-JP" sz="1200" b="1"/>
                </a:pPr>
                <a:endParaRPr lang="en-US"/>
              </a:p>
            </c:txPr>
            <c:dLblPos val="out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Parameters!$BF$109</c:f>
              <c:numCache>
                <c:formatCode>0.000%</c:formatCode>
                <c:ptCount val="1"/>
                <c:pt idx="0">
                  <c:v>1.6465542803473395E-3</c:v>
                </c:pt>
              </c:numCache>
            </c:numRef>
          </c:val>
          <c:extLst>
            <c:ext xmlns:c16="http://schemas.microsoft.com/office/drawing/2014/chart" uri="{C3380CC4-5D6E-409C-BE32-E72D297353CC}">
              <c16:uniqueId val="{00000007-6E96-4528-9036-34F1ACDA388E}"/>
            </c:ext>
          </c:extLst>
        </c:ser>
        <c:ser>
          <c:idx val="2"/>
          <c:order val="4"/>
          <c:tx>
            <c:strRef>
              <c:f>Parameters!$BC$5</c:f>
              <c:strCache>
                <c:ptCount val="1"/>
                <c:pt idx="0">
                  <c:v>Gate Drive (Qg) Loss from Vin %</c:v>
                </c:pt>
              </c:strCache>
            </c:strRef>
          </c:tx>
          <c:spPr>
            <a:solidFill>
              <a:srgbClr val="00FFFF"/>
            </a:solidFill>
            <a:ln w="12700">
              <a:solidFill>
                <a:srgbClr val="000000"/>
              </a:solidFill>
              <a:prstDash val="solid"/>
            </a:ln>
          </c:spPr>
          <c:invertIfNegative val="0"/>
          <c:dLbls>
            <c:dLbl>
              <c:idx val="0"/>
              <c:tx>
                <c:rich>
                  <a:bodyPr/>
                  <a:lstStyle/>
                  <a:p>
                    <a:r>
                      <a:rPr lang="en-US"/>
                      <a:t>Gate Drive (Qg)</a:t>
                    </a:r>
                  </a:p>
                  <a:p>
                    <a:r>
                      <a:rPr lang="en-US"/>
                      <a:t>Loss</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6E96-4528-9036-34F1ACDA388E}"/>
                </c:ext>
              </c:extLst>
            </c:dLbl>
            <c:spPr>
              <a:noFill/>
              <a:ln>
                <a:noFill/>
              </a:ln>
              <a:effectLst/>
            </c:spPr>
            <c:txPr>
              <a:bodyPr rot="0" vert="horz"/>
              <a:lstStyle/>
              <a:p>
                <a:pPr>
                  <a:defRPr lang="ja-JP" sz="1200" b="1"/>
                </a:pPr>
                <a:endParaRPr lang="en-US"/>
              </a:p>
            </c:txPr>
            <c:dLblPos val="outEnd"/>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Parameters!$BC$109</c:f>
              <c:numCache>
                <c:formatCode>0.000%</c:formatCode>
                <c:ptCount val="1"/>
                <c:pt idx="0">
                  <c:v>2.4831534664325892E-2</c:v>
                </c:pt>
              </c:numCache>
            </c:numRef>
          </c:val>
          <c:extLst>
            <c:ext xmlns:c16="http://schemas.microsoft.com/office/drawing/2014/chart" uri="{C3380CC4-5D6E-409C-BE32-E72D297353CC}">
              <c16:uniqueId val="{00000009-6E96-4528-9036-34F1ACDA388E}"/>
            </c:ext>
          </c:extLst>
        </c:ser>
        <c:ser>
          <c:idx val="1"/>
          <c:order val="5"/>
          <c:tx>
            <c:strRef>
              <c:f>Parameters!$BE$5</c:f>
              <c:strCache>
                <c:ptCount val="1"/>
                <c:pt idx="0">
                  <c:v>Reverse Recovery &amp; Leakage Loss %</c:v>
                </c:pt>
              </c:strCache>
            </c:strRef>
          </c:tx>
          <c:invertIfNegative val="0"/>
          <c:dLbls>
            <c:dLbl>
              <c:idx val="0"/>
              <c:tx>
                <c:rich>
                  <a:bodyPr/>
                  <a:lstStyle/>
                  <a:p>
                    <a:r>
                      <a:rPr lang="en-US" sz="1200" b="1"/>
                      <a:t>Reverse Recovery</a:t>
                    </a:r>
                  </a:p>
                  <a:p>
                    <a:r>
                      <a:rPr lang="en-US" sz="1200" b="1"/>
                      <a:t>Loss</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A-6E96-4528-9036-34F1ACDA388E}"/>
                </c:ext>
              </c:extLst>
            </c:dLbl>
            <c:spPr>
              <a:noFill/>
              <a:ln>
                <a:noFill/>
              </a:ln>
              <a:effectLst/>
            </c:spPr>
            <c:txPr>
              <a:bodyPr/>
              <a:lstStyle/>
              <a:p>
                <a:pPr>
                  <a:defRPr lang="ja-JP"/>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Parameters!$BE$109</c:f>
              <c:numCache>
                <c:formatCode>0.000%</c:formatCode>
                <c:ptCount val="1"/>
                <c:pt idx="0">
                  <c:v>1.1631608311305648E-2</c:v>
                </c:pt>
              </c:numCache>
            </c:numRef>
          </c:val>
          <c:extLst>
            <c:ext xmlns:c16="http://schemas.microsoft.com/office/drawing/2014/chart" uri="{C3380CC4-5D6E-409C-BE32-E72D297353CC}">
              <c16:uniqueId val="{0000000B-6E96-4528-9036-34F1ACDA388E}"/>
            </c:ext>
          </c:extLst>
        </c:ser>
        <c:ser>
          <c:idx val="8"/>
          <c:order val="6"/>
          <c:tx>
            <c:strRef>
              <c:f>Parameters!$BG$5</c:f>
              <c:strCache>
                <c:ptCount val="1"/>
                <c:pt idx="0">
                  <c:v>Inductor Cu Loss %</c:v>
                </c:pt>
              </c:strCache>
            </c:strRef>
          </c:tx>
          <c:spPr>
            <a:solidFill>
              <a:srgbClr val="00FF00"/>
            </a:solidFill>
            <a:ln w="12700">
              <a:solidFill>
                <a:srgbClr val="000000"/>
              </a:solidFill>
              <a:prstDash val="solid"/>
            </a:ln>
          </c:spPr>
          <c:invertIfNegative val="0"/>
          <c:dLbls>
            <c:dLbl>
              <c:idx val="0"/>
              <c:tx>
                <c:rich>
                  <a:bodyPr/>
                  <a:lstStyle/>
                  <a:p>
                    <a:r>
                      <a:rPr lang="en-US"/>
                      <a:t>Inductor DCR</a:t>
                    </a:r>
                  </a:p>
                  <a:p>
                    <a:r>
                      <a:rPr lang="en-US"/>
                      <a:t>Loss</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C-6E96-4528-9036-34F1ACDA388E}"/>
                </c:ext>
              </c:extLst>
            </c:dLbl>
            <c:spPr>
              <a:noFill/>
              <a:ln>
                <a:noFill/>
              </a:ln>
              <a:effectLst/>
            </c:spPr>
            <c:txPr>
              <a:bodyPr/>
              <a:lstStyle/>
              <a:p>
                <a:pPr>
                  <a:defRPr lang="ja-JP"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Parameters!$BG$109</c:f>
              <c:numCache>
                <c:formatCode>0.000%</c:formatCode>
                <c:ptCount val="1"/>
                <c:pt idx="0">
                  <c:v>1.6051760250250457E-2</c:v>
                </c:pt>
              </c:numCache>
            </c:numRef>
          </c:val>
          <c:extLst>
            <c:ext xmlns:c16="http://schemas.microsoft.com/office/drawing/2014/chart" uri="{C3380CC4-5D6E-409C-BE32-E72D297353CC}">
              <c16:uniqueId val="{0000000D-6E96-4528-9036-34F1ACDA388E}"/>
            </c:ext>
          </c:extLst>
        </c:ser>
        <c:ser>
          <c:idx val="4"/>
          <c:order val="7"/>
          <c:tx>
            <c:strRef>
              <c:f>Parameters!$BH$5</c:f>
              <c:strCache>
                <c:ptCount val="1"/>
                <c:pt idx="0">
                  <c:v>Inductor Core Loss %</c:v>
                </c:pt>
              </c:strCache>
            </c:strRef>
          </c:tx>
          <c:spPr>
            <a:solidFill>
              <a:srgbClr val="99CC00"/>
            </a:solidFill>
            <a:ln w="12700">
              <a:solidFill>
                <a:srgbClr val="000000"/>
              </a:solidFill>
              <a:prstDash val="solid"/>
            </a:ln>
          </c:spPr>
          <c:invertIfNegative val="0"/>
          <c:dLbls>
            <c:dLbl>
              <c:idx val="0"/>
              <c:tx>
                <c:rich>
                  <a:bodyPr/>
                  <a:lstStyle/>
                  <a:p>
                    <a:r>
                      <a:rPr lang="en-US"/>
                      <a:t>Inductor Core</a:t>
                    </a:r>
                  </a:p>
                  <a:p>
                    <a:r>
                      <a:rPr lang="en-US"/>
                      <a:t>Loss</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E-6E96-4528-9036-34F1ACDA388E}"/>
                </c:ext>
              </c:extLst>
            </c:dLbl>
            <c:spPr>
              <a:noFill/>
              <a:ln>
                <a:noFill/>
              </a:ln>
              <a:effectLst/>
            </c:spPr>
            <c:txPr>
              <a:bodyPr/>
              <a:lstStyle/>
              <a:p>
                <a:pPr>
                  <a:defRPr lang="ja-JP"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Parameters!$BH$109</c:f>
              <c:numCache>
                <c:formatCode>0.000%</c:formatCode>
                <c:ptCount val="1"/>
                <c:pt idx="0">
                  <c:v>6.8152413568584669E-3</c:v>
                </c:pt>
              </c:numCache>
            </c:numRef>
          </c:val>
          <c:extLst>
            <c:ext xmlns:c16="http://schemas.microsoft.com/office/drawing/2014/chart" uri="{C3380CC4-5D6E-409C-BE32-E72D297353CC}">
              <c16:uniqueId val="{0000000F-6E96-4528-9036-34F1ACDA388E}"/>
            </c:ext>
          </c:extLst>
        </c:ser>
        <c:ser>
          <c:idx val="0"/>
          <c:order val="8"/>
          <c:tx>
            <c:strRef>
              <c:f>Parameters!$BJ$5</c:f>
              <c:strCache>
                <c:ptCount val="1"/>
                <c:pt idx="0">
                  <c:v>Quiescent Current Loss %</c:v>
                </c:pt>
              </c:strCache>
            </c:strRef>
          </c:tx>
          <c:invertIfNegative val="0"/>
          <c:dLbls>
            <c:dLbl>
              <c:idx val="0"/>
              <c:tx>
                <c:rich>
                  <a:bodyPr/>
                  <a:lstStyle/>
                  <a:p>
                    <a:r>
                      <a:rPr lang="en-US"/>
                      <a:t>Quiescent Current</a:t>
                    </a:r>
                  </a:p>
                  <a:p>
                    <a:r>
                      <a:rPr lang="en-US"/>
                      <a:t>Loss </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6E96-4528-9036-34F1ACDA388E}"/>
                </c:ext>
              </c:extLst>
            </c:dLbl>
            <c:numFmt formatCode="0.0E+00" sourceLinked="0"/>
            <c:spPr>
              <a:noFill/>
            </c:spPr>
            <c:txPr>
              <a:bodyPr rot="0" vert="horz" anchor="ctr" anchorCtr="0"/>
              <a:lstStyle/>
              <a:p>
                <a:pPr>
                  <a:defRPr lang="ja-JP"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Parameters!$BJ$109</c:f>
              <c:numCache>
                <c:formatCode>0.000%</c:formatCode>
                <c:ptCount val="1"/>
                <c:pt idx="0">
                  <c:v>1.2837829865088564E-2</c:v>
                </c:pt>
              </c:numCache>
            </c:numRef>
          </c:val>
          <c:extLst>
            <c:ext xmlns:c16="http://schemas.microsoft.com/office/drawing/2014/chart" uri="{C3380CC4-5D6E-409C-BE32-E72D297353CC}">
              <c16:uniqueId val="{00000011-6E96-4528-9036-34F1ACDA388E}"/>
            </c:ext>
          </c:extLst>
        </c:ser>
        <c:dLbls>
          <c:showLegendKey val="0"/>
          <c:showVal val="0"/>
          <c:showCatName val="0"/>
          <c:showSerName val="0"/>
          <c:showPercent val="0"/>
          <c:showBubbleSize val="0"/>
        </c:dLbls>
        <c:gapWidth val="101"/>
        <c:overlap val="-70"/>
        <c:axId val="447021056"/>
        <c:axId val="447022592"/>
      </c:barChart>
      <c:catAx>
        <c:axId val="447021056"/>
        <c:scaling>
          <c:orientation val="minMax"/>
        </c:scaling>
        <c:delete val="0"/>
        <c:axPos val="b"/>
        <c:numFmt formatCode="General" sourceLinked="1"/>
        <c:majorTickMark val="none"/>
        <c:minorTickMark val="none"/>
        <c:tickLblPos val="none"/>
        <c:spPr>
          <a:ln w="3175">
            <a:solidFill>
              <a:srgbClr val="000000"/>
            </a:solidFill>
            <a:prstDash val="solid"/>
          </a:ln>
        </c:spPr>
        <c:txPr>
          <a:bodyPr rot="0" vert="horz"/>
          <a:lstStyle/>
          <a:p>
            <a:pPr>
              <a:defRPr lang="ja-JP" sz="1725" b="0" i="0" u="none" strike="noStrike" baseline="0">
                <a:solidFill>
                  <a:srgbClr val="000000"/>
                </a:solidFill>
                <a:latin typeface="Arial"/>
                <a:ea typeface="Arial"/>
                <a:cs typeface="Arial"/>
              </a:defRPr>
            </a:pPr>
            <a:endParaRPr lang="en-US"/>
          </a:p>
        </c:txPr>
        <c:crossAx val="447022592"/>
        <c:crossesAt val="0"/>
        <c:auto val="1"/>
        <c:lblAlgn val="ctr"/>
        <c:lblOffset val="100"/>
        <c:noMultiLvlLbl val="0"/>
      </c:catAx>
      <c:valAx>
        <c:axId val="447022592"/>
        <c:scaling>
          <c:orientation val="minMax"/>
          <c:min val="0"/>
        </c:scaling>
        <c:delete val="0"/>
        <c:axPos val="l"/>
        <c:majorGridlines>
          <c:spPr>
            <a:ln>
              <a:prstDash val="lgDash"/>
            </a:ln>
          </c:spPr>
        </c:majorGridlines>
        <c:title>
          <c:tx>
            <c:rich>
              <a:bodyPr/>
              <a:lstStyle/>
              <a:p>
                <a:pPr>
                  <a:defRPr lang="ja-JP" b="1"/>
                </a:pPr>
                <a:r>
                  <a:rPr lang="en-US" b="1"/>
                  <a:t>Loss</a:t>
                </a:r>
                <a:r>
                  <a:rPr lang="en-US" b="1" baseline="0"/>
                  <a:t> Contributors</a:t>
                </a:r>
                <a:endParaRPr lang="en-US" b="1"/>
              </a:p>
            </c:rich>
          </c:tx>
          <c:layout>
            <c:manualLayout>
              <c:xMode val="edge"/>
              <c:yMode val="edge"/>
              <c:x val="9.9337306593581982E-3"/>
              <c:y val="0.30210944457795558"/>
            </c:manualLayout>
          </c:layout>
          <c:overlay val="0"/>
        </c:title>
        <c:numFmt formatCode="0.0%" sourceLinked="0"/>
        <c:majorTickMark val="out"/>
        <c:minorTickMark val="out"/>
        <c:tickLblPos val="low"/>
        <c:txPr>
          <a:bodyPr/>
          <a:lstStyle/>
          <a:p>
            <a:pPr>
              <a:defRPr lang="ja-JP"/>
            </a:pPr>
            <a:endParaRPr lang="en-US"/>
          </a:p>
        </c:txPr>
        <c:crossAx val="447021056"/>
        <c:crosses val="autoZero"/>
        <c:crossBetween val="between"/>
        <c:majorUnit val="5.0000000000000036E-3"/>
      </c:valAx>
      <c:spPr>
        <a:solidFill>
          <a:schemeClr val="bg1">
            <a:lumMod val="95000"/>
          </a:schemeClr>
        </a:solidFill>
        <a:ln w="25400">
          <a:noFill/>
        </a:ln>
      </c:spPr>
    </c:plotArea>
    <c:plotVisOnly val="1"/>
    <c:dispBlanksAs val="zero"/>
    <c:showDLblsOverMax val="0"/>
  </c:chart>
  <c:spPr>
    <a:solidFill>
      <a:srgbClr val="FFFFFF"/>
    </a:solidFill>
    <a:ln w="3175">
      <a:no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0255" r="0.75000000000000255" t="1" header="0.5" footer="0.5"/>
    <c:pageSetup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sz="2000" b="1" i="0" u="none" strike="noStrike" baseline="0">
                <a:solidFill>
                  <a:srgbClr val="000000"/>
                </a:solidFill>
                <a:latin typeface="Arial"/>
                <a:ea typeface="Arial"/>
                <a:cs typeface="Arial"/>
              </a:defRPr>
            </a:pPr>
            <a:r>
              <a:rPr lang="en-US" sz="2000"/>
              <a:t>Breakdown of COT Efficiency Losses vs. Iout</a:t>
            </a:r>
          </a:p>
        </c:rich>
      </c:tx>
      <c:layout>
        <c:manualLayout>
          <c:xMode val="edge"/>
          <c:yMode val="edge"/>
          <c:x val="0.19265692406240287"/>
          <c:y val="3.081543250743031E-2"/>
        </c:manualLayout>
      </c:layout>
      <c:overlay val="0"/>
      <c:spPr>
        <a:noFill/>
        <a:ln w="25400">
          <a:noFill/>
        </a:ln>
      </c:spPr>
    </c:title>
    <c:autoTitleDeleted val="0"/>
    <c:plotArea>
      <c:layout>
        <c:manualLayout>
          <c:layoutTarget val="inner"/>
          <c:xMode val="edge"/>
          <c:yMode val="edge"/>
          <c:x val="0.18496430825131774"/>
          <c:y val="0.14694417652807107"/>
          <c:w val="0.46181411156941887"/>
          <c:h val="0.69570915435856628"/>
        </c:manualLayout>
      </c:layout>
      <c:areaChart>
        <c:grouping val="percentStacked"/>
        <c:varyColors val="0"/>
        <c:ser>
          <c:idx val="1"/>
          <c:order val="0"/>
          <c:tx>
            <c:strRef>
              <c:f>Parameters!$BI$5</c:f>
              <c:strCache>
                <c:ptCount val="1"/>
                <c:pt idx="0">
                  <c:v>Cin Cout ESR %</c:v>
                </c:pt>
              </c:strCache>
            </c:strRef>
          </c:tx>
          <c:spPr>
            <a:solidFill>
              <a:srgbClr val="FFFF00"/>
            </a:solidFill>
            <a:ln w="12700">
              <a:solidFill>
                <a:srgbClr val="000000"/>
              </a:solidFill>
              <a:prstDash val="solid"/>
            </a:ln>
          </c:spPr>
          <c:val>
            <c:numRef>
              <c:f>Parameters!$BI$6:$BI$106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0-7A9A-4B30-813C-2F4CDFF889B0}"/>
            </c:ext>
          </c:extLst>
        </c:ser>
        <c:ser>
          <c:idx val="3"/>
          <c:order val="1"/>
          <c:tx>
            <c:strRef>
              <c:f>Parameters!$BF$5</c:f>
              <c:strCache>
                <c:ptCount val="1"/>
                <c:pt idx="0">
                  <c:v>Deadtime Loss %</c:v>
                </c:pt>
              </c:strCache>
            </c:strRef>
          </c:tx>
          <c:spPr>
            <a:solidFill>
              <a:srgbClr val="666699"/>
            </a:solidFill>
            <a:ln w="12700">
              <a:solidFill>
                <a:srgbClr val="000000"/>
              </a:solidFill>
              <a:prstDash val="solid"/>
            </a:ln>
          </c:spPr>
          <c:val>
            <c:numRef>
              <c:f>Parameters!$BF$6:$BF$106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1-7A9A-4B30-813C-2F4CDFF889B0}"/>
            </c:ext>
          </c:extLst>
        </c:ser>
        <c:ser>
          <c:idx val="6"/>
          <c:order val="2"/>
          <c:tx>
            <c:strRef>
              <c:f>Parameters!$BA$5</c:f>
              <c:strCache>
                <c:ptCount val="1"/>
                <c:pt idx="0">
                  <c:v>High-side MOSFET Rdson %</c:v>
                </c:pt>
              </c:strCache>
            </c:strRef>
          </c:tx>
          <c:spPr>
            <a:solidFill>
              <a:srgbClr val="FF0000"/>
            </a:solidFill>
            <a:ln w="12700">
              <a:solidFill>
                <a:srgbClr val="000000"/>
              </a:solidFill>
              <a:prstDash val="solid"/>
            </a:ln>
          </c:spPr>
          <c:val>
            <c:numRef>
              <c:f>Parameters!$BA$6:$BA$106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2-7A9A-4B30-813C-2F4CDFF889B0}"/>
            </c:ext>
          </c:extLst>
        </c:ser>
        <c:ser>
          <c:idx val="7"/>
          <c:order val="3"/>
          <c:tx>
            <c:strRef>
              <c:f>Parameters!$BB$5</c:f>
              <c:strCache>
                <c:ptCount val="1"/>
                <c:pt idx="0">
                  <c:v>Low-side MOSFET Rdson %</c:v>
                </c:pt>
              </c:strCache>
            </c:strRef>
          </c:tx>
          <c:spPr>
            <a:solidFill>
              <a:srgbClr val="FF6600"/>
            </a:solidFill>
            <a:ln w="12700">
              <a:solidFill>
                <a:srgbClr val="000000"/>
              </a:solidFill>
              <a:prstDash val="solid"/>
            </a:ln>
          </c:spPr>
          <c:val>
            <c:numRef>
              <c:f>Parameters!$BB$6:$BB$106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3-7A9A-4B30-813C-2F4CDFF889B0}"/>
            </c:ext>
          </c:extLst>
        </c:ser>
        <c:ser>
          <c:idx val="4"/>
          <c:order val="4"/>
          <c:tx>
            <c:strRef>
              <c:f>Parameters!$BH$5</c:f>
              <c:strCache>
                <c:ptCount val="1"/>
                <c:pt idx="0">
                  <c:v>Inductor Core Loss %</c:v>
                </c:pt>
              </c:strCache>
            </c:strRef>
          </c:tx>
          <c:spPr>
            <a:solidFill>
              <a:srgbClr val="99CC00"/>
            </a:solidFill>
            <a:ln w="12700">
              <a:solidFill>
                <a:srgbClr val="000000"/>
              </a:solidFill>
              <a:prstDash val="solid"/>
            </a:ln>
          </c:spPr>
          <c:val>
            <c:numRef>
              <c:f>Parameters!$BH$6:$BH$106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4-7A9A-4B30-813C-2F4CDFF889B0}"/>
            </c:ext>
          </c:extLst>
        </c:ser>
        <c:ser>
          <c:idx val="8"/>
          <c:order val="5"/>
          <c:tx>
            <c:strRef>
              <c:f>Parameters!$BG$5</c:f>
              <c:strCache>
                <c:ptCount val="1"/>
                <c:pt idx="0">
                  <c:v>Inductor Cu Loss %</c:v>
                </c:pt>
              </c:strCache>
            </c:strRef>
          </c:tx>
          <c:spPr>
            <a:solidFill>
              <a:srgbClr val="00FF00"/>
            </a:solidFill>
            <a:ln w="12700">
              <a:solidFill>
                <a:srgbClr val="000000"/>
              </a:solidFill>
              <a:prstDash val="solid"/>
            </a:ln>
          </c:spPr>
          <c:val>
            <c:numRef>
              <c:f>Parameters!$BG$6:$BG$106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5-7A9A-4B30-813C-2F4CDFF889B0}"/>
            </c:ext>
          </c:extLst>
        </c:ser>
        <c:ser>
          <c:idx val="2"/>
          <c:order val="6"/>
          <c:tx>
            <c:strRef>
              <c:f>Parameters!$BC$5</c:f>
              <c:strCache>
                <c:ptCount val="1"/>
                <c:pt idx="0">
                  <c:v>Gate Drive (Qg) Loss from Vin %</c:v>
                </c:pt>
              </c:strCache>
            </c:strRef>
          </c:tx>
          <c:spPr>
            <a:solidFill>
              <a:srgbClr val="00FFFF"/>
            </a:solidFill>
            <a:ln w="12700">
              <a:solidFill>
                <a:srgbClr val="000000"/>
              </a:solidFill>
              <a:prstDash val="solid"/>
            </a:ln>
          </c:spPr>
          <c:val>
            <c:numRef>
              <c:f>Parameters!$BC$6:$BC$106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6-7A9A-4B30-813C-2F4CDFF889B0}"/>
            </c:ext>
          </c:extLst>
        </c:ser>
        <c:ser>
          <c:idx val="5"/>
          <c:order val="7"/>
          <c:tx>
            <c:strRef>
              <c:f>Parameters!$BD$5</c:f>
              <c:strCache>
                <c:ptCount val="1"/>
                <c:pt idx="0">
                  <c:v>High-side MOSFET Switching Loss %</c:v>
                </c:pt>
              </c:strCache>
            </c:strRef>
          </c:tx>
          <c:spPr>
            <a:solidFill>
              <a:srgbClr val="0000FF"/>
            </a:solidFill>
            <a:ln w="12700">
              <a:solidFill>
                <a:srgbClr val="000000"/>
              </a:solidFill>
              <a:prstDash val="solid"/>
            </a:ln>
          </c:spPr>
          <c:val>
            <c:numRef>
              <c:f>Parameters!$BD$6:$BD$106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7-7A9A-4B30-813C-2F4CDFF889B0}"/>
            </c:ext>
          </c:extLst>
        </c:ser>
        <c:ser>
          <c:idx val="10"/>
          <c:order val="8"/>
          <c:tx>
            <c:strRef>
              <c:f>Parameters!$BE$5</c:f>
              <c:strCache>
                <c:ptCount val="1"/>
                <c:pt idx="0">
                  <c:v>Reverse Recovery &amp; Leakage Loss %</c:v>
                </c:pt>
              </c:strCache>
            </c:strRef>
          </c:tx>
          <c:spPr>
            <a:solidFill>
              <a:srgbClr val="FFFF00"/>
            </a:solidFill>
            <a:ln w="12700">
              <a:solidFill>
                <a:srgbClr val="000000"/>
              </a:solidFill>
              <a:prstDash val="solid"/>
            </a:ln>
          </c:spPr>
          <c:val>
            <c:numRef>
              <c:f>Parameters!$BE$6:$BE$106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8-7A9A-4B30-813C-2F4CDFF889B0}"/>
            </c:ext>
          </c:extLst>
        </c:ser>
        <c:ser>
          <c:idx val="0"/>
          <c:order val="9"/>
          <c:tx>
            <c:strRef>
              <c:f>Parameters!$BJ$5</c:f>
              <c:strCache>
                <c:ptCount val="1"/>
                <c:pt idx="0">
                  <c:v>Quiescent Current Loss %</c:v>
                </c:pt>
              </c:strCache>
            </c:strRef>
          </c:tx>
          <c:val>
            <c:numRef>
              <c:f>Parameters!$BJ$6:$BJ$106</c:f>
              <c:numCache>
                <c:formatCode>0.00%</c:formatCode>
                <c:ptCount val="101"/>
                <c:pt idx="0">
                  <c:v>0</c:v>
                </c:pt>
                <c:pt idx="1">
                  <c:v>0</c:v>
                </c:pt>
                <c:pt idx="2">
                  <c:v>0</c:v>
                </c:pt>
                <c:pt idx="3">
                  <c:v>0</c:v>
                </c:pt>
                <c:pt idx="100">
                  <c:v>0</c:v>
                </c:pt>
              </c:numCache>
            </c:numRef>
          </c:val>
          <c:extLst>
            <c:ext xmlns:c16="http://schemas.microsoft.com/office/drawing/2014/chart" uri="{C3380CC4-5D6E-409C-BE32-E72D297353CC}">
              <c16:uniqueId val="{00000009-7A9A-4B30-813C-2F4CDFF889B0}"/>
            </c:ext>
          </c:extLst>
        </c:ser>
        <c:ser>
          <c:idx val="9"/>
          <c:order val="10"/>
          <c:tx>
            <c:strRef>
              <c:f>Parameters!$BL$5</c:f>
              <c:strCache>
                <c:ptCount val="1"/>
                <c:pt idx="0">
                  <c:v>Overall Eff %</c:v>
                </c:pt>
              </c:strCache>
            </c:strRef>
          </c:tx>
          <c:spPr>
            <a:solidFill>
              <a:srgbClr val="000000"/>
            </a:solidFill>
            <a:ln w="12700">
              <a:solidFill>
                <a:srgbClr val="000000"/>
              </a:solidFill>
              <a:prstDash val="solid"/>
            </a:ln>
          </c:spPr>
          <c:val>
            <c:numRef>
              <c:f>Parameters!$BL$6:$BL$106</c:f>
              <c:numCache>
                <c:formatCode>0.00%</c:formatCode>
                <c:ptCount val="101"/>
                <c:pt idx="0">
                  <c:v>1</c:v>
                </c:pt>
                <c:pt idx="1">
                  <c:v>1</c:v>
                </c:pt>
                <c:pt idx="2">
                  <c:v>1</c:v>
                </c:pt>
                <c:pt idx="3">
                  <c:v>1</c:v>
                </c:pt>
                <c:pt idx="100">
                  <c:v>1</c:v>
                </c:pt>
              </c:numCache>
            </c:numRef>
          </c:val>
          <c:extLst>
            <c:ext xmlns:c16="http://schemas.microsoft.com/office/drawing/2014/chart" uri="{C3380CC4-5D6E-409C-BE32-E72D297353CC}">
              <c16:uniqueId val="{0000000A-7A9A-4B30-813C-2F4CDFF889B0}"/>
            </c:ext>
          </c:extLst>
        </c:ser>
        <c:dLbls>
          <c:showLegendKey val="0"/>
          <c:showVal val="0"/>
          <c:showCatName val="0"/>
          <c:showSerName val="0"/>
          <c:showPercent val="0"/>
          <c:showBubbleSize val="0"/>
        </c:dLbls>
        <c:axId val="447100416"/>
        <c:axId val="447102336"/>
      </c:areaChart>
      <c:catAx>
        <c:axId val="447100416"/>
        <c:scaling>
          <c:orientation val="minMax"/>
        </c:scaling>
        <c:delete val="0"/>
        <c:axPos val="b"/>
        <c:majorGridlines>
          <c:spPr>
            <a:ln w="3175">
              <a:solidFill>
                <a:srgbClr val="000000"/>
              </a:solidFill>
              <a:prstDash val="solid"/>
            </a:ln>
          </c:spPr>
        </c:majorGridlines>
        <c:title>
          <c:tx>
            <c:rich>
              <a:bodyPr/>
              <a:lstStyle/>
              <a:p>
                <a:pPr>
                  <a:defRPr lang="ja-JP" sz="1725" b="1" i="0" u="none" strike="noStrike" baseline="0">
                    <a:solidFill>
                      <a:srgbClr val="000000"/>
                    </a:solidFill>
                    <a:latin typeface="Arial"/>
                    <a:ea typeface="Arial"/>
                    <a:cs typeface="Arial"/>
                  </a:defRPr>
                </a:pPr>
                <a:r>
                  <a:rPr lang="en-US"/>
                  <a:t>I</a:t>
                </a:r>
                <a:r>
                  <a:rPr lang="en-US" baseline="-25000"/>
                  <a:t>OUT</a:t>
                </a:r>
                <a:r>
                  <a:rPr lang="en-US"/>
                  <a:t> (log scale)</a:t>
                </a:r>
              </a:p>
            </c:rich>
          </c:tx>
          <c:layout>
            <c:manualLayout>
              <c:xMode val="edge"/>
              <c:yMode val="edge"/>
              <c:x val="0.36670200647119611"/>
              <c:y val="0.89150460843557344"/>
            </c:manualLayout>
          </c:layout>
          <c:overlay val="0"/>
          <c:spPr>
            <a:noFill/>
            <a:ln w="25400">
              <a:noFill/>
            </a:ln>
          </c:spPr>
        </c:title>
        <c:numFmt formatCode="#,##0" sourceLinked="0"/>
        <c:majorTickMark val="out"/>
        <c:minorTickMark val="none"/>
        <c:tickLblPos val="none"/>
        <c:spPr>
          <a:ln w="3175">
            <a:solidFill>
              <a:srgbClr val="000000"/>
            </a:solidFill>
            <a:prstDash val="solid"/>
          </a:ln>
        </c:spPr>
        <c:txPr>
          <a:bodyPr rot="-5400000" vert="horz"/>
          <a:lstStyle/>
          <a:p>
            <a:pPr>
              <a:defRPr lang="ja-JP" sz="1725" b="0" i="0" u="none" strike="noStrike" baseline="0">
                <a:solidFill>
                  <a:srgbClr val="000000"/>
                </a:solidFill>
                <a:latin typeface="Arial"/>
                <a:ea typeface="Arial"/>
                <a:cs typeface="Arial"/>
              </a:defRPr>
            </a:pPr>
            <a:endParaRPr lang="en-US"/>
          </a:p>
        </c:txPr>
        <c:crossAx val="447102336"/>
        <c:crosses val="autoZero"/>
        <c:auto val="1"/>
        <c:lblAlgn val="ctr"/>
        <c:lblOffset val="100"/>
        <c:tickMarkSkip val="1"/>
        <c:noMultiLvlLbl val="0"/>
      </c:catAx>
      <c:valAx>
        <c:axId val="447102336"/>
        <c:scaling>
          <c:orientation val="minMax"/>
          <c:max val="0.2"/>
          <c:min val="0"/>
        </c:scaling>
        <c:delete val="0"/>
        <c:axPos val="l"/>
        <c:majorGridlines>
          <c:spPr>
            <a:ln w="3175">
              <a:solidFill>
                <a:srgbClr val="000000"/>
              </a:solidFill>
              <a:prstDash val="solid"/>
            </a:ln>
          </c:spPr>
        </c:majorGridlines>
        <c:title>
          <c:tx>
            <c:rich>
              <a:bodyPr/>
              <a:lstStyle/>
              <a:p>
                <a:pPr>
                  <a:defRPr lang="ja-JP" sz="1725" b="1" i="0" u="none" strike="noStrike" baseline="0">
                    <a:solidFill>
                      <a:srgbClr val="000000"/>
                    </a:solidFill>
                    <a:latin typeface="Arial"/>
                    <a:ea typeface="Arial"/>
                    <a:cs typeface="Arial"/>
                  </a:defRPr>
                </a:pPr>
                <a:r>
                  <a:rPr lang="en-US"/>
                  <a:t>Efficiency (%)</a:t>
                </a:r>
              </a:p>
            </c:rich>
          </c:tx>
          <c:layout>
            <c:manualLayout>
              <c:xMode val="edge"/>
              <c:yMode val="edge"/>
              <c:x val="0.10744349235757295"/>
              <c:y val="0.3194331835533080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ja-JP" sz="1725" b="0" i="0" u="none" strike="noStrike" baseline="0">
                <a:solidFill>
                  <a:srgbClr val="000000"/>
                </a:solidFill>
                <a:latin typeface="Arial"/>
                <a:ea typeface="Arial"/>
                <a:cs typeface="Arial"/>
              </a:defRPr>
            </a:pPr>
            <a:endParaRPr lang="en-US"/>
          </a:p>
        </c:txPr>
        <c:crossAx val="447100416"/>
        <c:crosses val="autoZero"/>
        <c:crossBetween val="midCat"/>
        <c:majorUnit val="0.05"/>
      </c:valAx>
      <c:spPr>
        <a:solidFill>
          <a:srgbClr val="C0C0C0"/>
        </a:solidFill>
        <a:ln w="12700">
          <a:solidFill>
            <a:srgbClr val="808080"/>
          </a:solidFill>
          <a:prstDash val="solid"/>
        </a:ln>
      </c:spPr>
    </c:plotArea>
    <c:legend>
      <c:legendPos val="r"/>
      <c:layout>
        <c:manualLayout>
          <c:xMode val="edge"/>
          <c:yMode val="edge"/>
          <c:x val="0.6796348064312191"/>
          <c:y val="5.737748792134436E-2"/>
          <c:w val="0.26010897805044486"/>
          <c:h val="0.85864261581306134"/>
        </c:manualLayout>
      </c:layout>
      <c:overlay val="0"/>
      <c:spPr>
        <a:solidFill>
          <a:srgbClr val="FFFFFF"/>
        </a:solidFill>
        <a:ln w="3175">
          <a:solidFill>
            <a:srgbClr val="000000"/>
          </a:solidFill>
          <a:prstDash val="solid"/>
        </a:ln>
      </c:spPr>
      <c:txPr>
        <a:bodyPr/>
        <a:lstStyle/>
        <a:p>
          <a:pPr>
            <a:defRPr lang="ja-JP" sz="1335"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no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0189" r="0.75000000000000189"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sz="2000" b="1" i="0" u="none" strike="noStrike" baseline="0">
                <a:solidFill>
                  <a:srgbClr val="000000"/>
                </a:solidFill>
                <a:latin typeface="Arial" pitchFamily="34" charset="0"/>
                <a:ea typeface="Calibri"/>
                <a:cs typeface="Arial" pitchFamily="34" charset="0"/>
              </a:defRPr>
            </a:pPr>
            <a:r>
              <a:rPr lang="en-US" sz="2000">
                <a:latin typeface="Arial" pitchFamily="34" charset="0"/>
                <a:cs typeface="Arial" pitchFamily="34" charset="0"/>
                <a:sym typeface="Symbol"/>
              </a:rPr>
              <a:t></a:t>
            </a:r>
            <a:r>
              <a:rPr lang="en-US" sz="2000" b="1" i="0" u="none" strike="noStrike" baseline="0"/>
              <a:t>, V</a:t>
            </a:r>
            <a:r>
              <a:rPr lang="en-US" sz="2000" b="1" i="0" u="none" strike="noStrike" baseline="-25000"/>
              <a:t>IN</a:t>
            </a:r>
            <a:r>
              <a:rPr lang="en-US" sz="2000" b="1" i="0" u="none" strike="noStrike" baseline="0"/>
              <a:t> = V</a:t>
            </a:r>
            <a:r>
              <a:rPr lang="en-US" sz="2000" b="1" i="0" u="none" strike="noStrike" baseline="-25000"/>
              <a:t>IN(nom)</a:t>
            </a:r>
            <a:endParaRPr lang="en-US" sz="2000">
              <a:latin typeface="Arial" pitchFamily="34" charset="0"/>
              <a:cs typeface="Arial" pitchFamily="34" charset="0"/>
            </a:endParaRPr>
          </a:p>
        </c:rich>
      </c:tx>
      <c:layout>
        <c:manualLayout>
          <c:xMode val="edge"/>
          <c:yMode val="edge"/>
          <c:x val="0.10084794235626206"/>
          <c:y val="2.0639566697272373E-2"/>
        </c:manualLayout>
      </c:layout>
      <c:overlay val="0"/>
      <c:spPr>
        <a:noFill/>
        <a:ln w="25400">
          <a:noFill/>
        </a:ln>
      </c:spPr>
    </c:title>
    <c:autoTitleDeleted val="0"/>
    <c:plotArea>
      <c:layout>
        <c:manualLayout>
          <c:layoutTarget val="inner"/>
          <c:xMode val="edge"/>
          <c:yMode val="edge"/>
          <c:x val="8.5540561846730284E-2"/>
          <c:y val="0.12372903654825702"/>
          <c:w val="0.82265898741455901"/>
          <c:h val="0.76068566810117366"/>
        </c:manualLayout>
      </c:layout>
      <c:lineChart>
        <c:grouping val="standard"/>
        <c:varyColors val="0"/>
        <c:ser>
          <c:idx val="0"/>
          <c:order val="0"/>
          <c:tx>
            <c:v> Efficiency</c:v>
          </c:tx>
          <c:spPr>
            <a:ln w="31750">
              <a:solidFill>
                <a:srgbClr val="FF0000"/>
              </a:solidFill>
              <a:prstDash val="solid"/>
            </a:ln>
          </c:spPr>
          <c:marker>
            <c:symbol val="none"/>
          </c:marker>
          <c:cat>
            <c:numRef>
              <c:f>Parameters!$BN$6:$BN$106</c:f>
              <c:numCache>
                <c:formatCode>0.000</c:formatCode>
                <c:ptCount val="101"/>
                <c:pt idx="0">
                  <c:v>2.5</c:v>
                </c:pt>
                <c:pt idx="1">
                  <c:v>25</c:v>
                </c:pt>
                <c:pt idx="2">
                  <c:v>50</c:v>
                </c:pt>
                <c:pt idx="3">
                  <c:v>75</c:v>
                </c:pt>
                <c:pt idx="100">
                  <c:v>2500</c:v>
                </c:pt>
              </c:numCache>
            </c:numRef>
          </c:cat>
          <c:val>
            <c:numRef>
              <c:f>Parameters!$BZ$6:$BZ$106</c:f>
              <c:numCache>
                <c:formatCode>0.00</c:formatCode>
                <c:ptCount val="101"/>
                <c:pt idx="0">
                  <c:v>100</c:v>
                </c:pt>
                <c:pt idx="1">
                  <c:v>100</c:v>
                </c:pt>
                <c:pt idx="2">
                  <c:v>100</c:v>
                </c:pt>
                <c:pt idx="3">
                  <c:v>100</c:v>
                </c:pt>
                <c:pt idx="100">
                  <c:v>100</c:v>
                </c:pt>
              </c:numCache>
            </c:numRef>
          </c:val>
          <c:smooth val="1"/>
          <c:extLst>
            <c:ext xmlns:c16="http://schemas.microsoft.com/office/drawing/2014/chart" uri="{C3380CC4-5D6E-409C-BE32-E72D297353CC}">
              <c16:uniqueId val="{00000000-D674-43A0-9F82-F4A92FBE8268}"/>
            </c:ext>
          </c:extLst>
        </c:ser>
        <c:dLbls>
          <c:showLegendKey val="0"/>
          <c:showVal val="0"/>
          <c:showCatName val="0"/>
          <c:showSerName val="0"/>
          <c:showPercent val="0"/>
          <c:showBubbleSize val="0"/>
        </c:dLbls>
        <c:marker val="1"/>
        <c:smooth val="0"/>
        <c:axId val="447149952"/>
        <c:axId val="447291392"/>
      </c:lineChart>
      <c:lineChart>
        <c:grouping val="standard"/>
        <c:varyColors val="0"/>
        <c:ser>
          <c:idx val="2"/>
          <c:order val="1"/>
          <c:tx>
            <c:v> IC Total Power Loss</c:v>
          </c:tx>
          <c:spPr>
            <a:ln w="38100">
              <a:solidFill>
                <a:srgbClr val="808000"/>
              </a:solidFill>
              <a:prstDash val="sysDash"/>
            </a:ln>
          </c:spPr>
          <c:marker>
            <c:symbol val="none"/>
          </c:marker>
          <c:cat>
            <c:numRef>
              <c:f>Parameters!$BN$6:$BN$106</c:f>
              <c:numCache>
                <c:formatCode>0.000</c:formatCode>
                <c:ptCount val="101"/>
                <c:pt idx="0">
                  <c:v>2.5</c:v>
                </c:pt>
                <c:pt idx="1">
                  <c:v>25</c:v>
                </c:pt>
                <c:pt idx="2">
                  <c:v>50</c:v>
                </c:pt>
                <c:pt idx="3">
                  <c:v>75</c:v>
                </c:pt>
                <c:pt idx="100">
                  <c:v>2500</c:v>
                </c:pt>
              </c:numCache>
            </c:numRef>
          </c:cat>
          <c:val>
            <c:numRef>
              <c:f>Parameters!$CA$6:$CA$106</c:f>
              <c:numCache>
                <c:formatCode>0.00</c:formatCode>
                <c:ptCount val="101"/>
                <c:pt idx="0">
                  <c:v>0</c:v>
                </c:pt>
                <c:pt idx="1">
                  <c:v>0</c:v>
                </c:pt>
                <c:pt idx="2">
                  <c:v>0</c:v>
                </c:pt>
                <c:pt idx="3">
                  <c:v>0</c:v>
                </c:pt>
                <c:pt idx="100">
                  <c:v>0</c:v>
                </c:pt>
              </c:numCache>
            </c:numRef>
          </c:val>
          <c:smooth val="0"/>
          <c:extLst>
            <c:ext xmlns:c16="http://schemas.microsoft.com/office/drawing/2014/chart" uri="{C3380CC4-5D6E-409C-BE32-E72D297353CC}">
              <c16:uniqueId val="{00000001-D674-43A0-9F82-F4A92FBE8268}"/>
            </c:ext>
          </c:extLst>
        </c:ser>
        <c:ser>
          <c:idx val="1"/>
          <c:order val="2"/>
          <c:tx>
            <c:v> LDO + Quiescent Loss</c:v>
          </c:tx>
          <c:spPr>
            <a:ln w="38100">
              <a:solidFill>
                <a:srgbClr val="002060"/>
              </a:solidFill>
              <a:prstDash val="sysDot"/>
            </a:ln>
          </c:spPr>
          <c:marker>
            <c:symbol val="none"/>
          </c:marker>
          <c:cat>
            <c:numRef>
              <c:f>Parameters!$BN$6:$BN$106</c:f>
              <c:numCache>
                <c:formatCode>0.000</c:formatCode>
                <c:ptCount val="101"/>
                <c:pt idx="0">
                  <c:v>2.5</c:v>
                </c:pt>
                <c:pt idx="1">
                  <c:v>25</c:v>
                </c:pt>
                <c:pt idx="2">
                  <c:v>50</c:v>
                </c:pt>
                <c:pt idx="3">
                  <c:v>75</c:v>
                </c:pt>
                <c:pt idx="100">
                  <c:v>2500</c:v>
                </c:pt>
              </c:numCache>
            </c:numRef>
          </c:cat>
          <c:val>
            <c:numRef>
              <c:f>Parameters!$CB$6:$CB$106</c:f>
              <c:numCache>
                <c:formatCode>0.00</c:formatCode>
                <c:ptCount val="101"/>
                <c:pt idx="0">
                  <c:v>0</c:v>
                </c:pt>
                <c:pt idx="1">
                  <c:v>0</c:v>
                </c:pt>
                <c:pt idx="2">
                  <c:v>0</c:v>
                </c:pt>
                <c:pt idx="3">
                  <c:v>0</c:v>
                </c:pt>
                <c:pt idx="100">
                  <c:v>0</c:v>
                </c:pt>
              </c:numCache>
            </c:numRef>
          </c:val>
          <c:smooth val="0"/>
          <c:extLst>
            <c:ext xmlns:c16="http://schemas.microsoft.com/office/drawing/2014/chart" uri="{C3380CC4-5D6E-409C-BE32-E72D297353CC}">
              <c16:uniqueId val="{00000002-D674-43A0-9F82-F4A92FBE8268}"/>
            </c:ext>
          </c:extLst>
        </c:ser>
        <c:ser>
          <c:idx val="3"/>
          <c:order val="3"/>
          <c:tx>
            <c:v> Inductor Loss</c:v>
          </c:tx>
          <c:spPr>
            <a:ln w="38100">
              <a:solidFill>
                <a:srgbClr val="800080"/>
              </a:solidFill>
              <a:prstDash val="dash"/>
            </a:ln>
          </c:spPr>
          <c:marker>
            <c:symbol val="none"/>
          </c:marker>
          <c:cat>
            <c:numRef>
              <c:f>Parameters!$BN$6:$BN$106</c:f>
              <c:numCache>
                <c:formatCode>0.000</c:formatCode>
                <c:ptCount val="101"/>
                <c:pt idx="0">
                  <c:v>2.5</c:v>
                </c:pt>
                <c:pt idx="1">
                  <c:v>25</c:v>
                </c:pt>
                <c:pt idx="2">
                  <c:v>50</c:v>
                </c:pt>
                <c:pt idx="3">
                  <c:v>75</c:v>
                </c:pt>
                <c:pt idx="100">
                  <c:v>2500</c:v>
                </c:pt>
              </c:numCache>
            </c:numRef>
          </c:cat>
          <c:val>
            <c:numRef>
              <c:f>Parameters!$CC$6:$CC$106</c:f>
              <c:numCache>
                <c:formatCode>0.00</c:formatCode>
                <c:ptCount val="101"/>
                <c:pt idx="0">
                  <c:v>0</c:v>
                </c:pt>
                <c:pt idx="1">
                  <c:v>0</c:v>
                </c:pt>
                <c:pt idx="2">
                  <c:v>0</c:v>
                </c:pt>
                <c:pt idx="3">
                  <c:v>0</c:v>
                </c:pt>
                <c:pt idx="100">
                  <c:v>0</c:v>
                </c:pt>
              </c:numCache>
            </c:numRef>
          </c:val>
          <c:smooth val="0"/>
          <c:extLst>
            <c:ext xmlns:c16="http://schemas.microsoft.com/office/drawing/2014/chart" uri="{C3380CC4-5D6E-409C-BE32-E72D297353CC}">
              <c16:uniqueId val="{00000003-D674-43A0-9F82-F4A92FBE8268}"/>
            </c:ext>
          </c:extLst>
        </c:ser>
        <c:dLbls>
          <c:showLegendKey val="0"/>
          <c:showVal val="0"/>
          <c:showCatName val="0"/>
          <c:showSerName val="0"/>
          <c:showPercent val="0"/>
          <c:showBubbleSize val="0"/>
        </c:dLbls>
        <c:marker val="1"/>
        <c:smooth val="0"/>
        <c:axId val="447303680"/>
        <c:axId val="447293312"/>
      </c:lineChart>
      <c:catAx>
        <c:axId val="447149952"/>
        <c:scaling>
          <c:orientation val="minMax"/>
        </c:scaling>
        <c:delete val="0"/>
        <c:axPos val="b"/>
        <c:majorGridlines>
          <c:spPr>
            <a:ln w="15875">
              <a:solidFill>
                <a:srgbClr val="969696"/>
              </a:solidFill>
              <a:prstDash val="sysDash"/>
            </a:ln>
          </c:spPr>
        </c:majorGridlines>
        <c:title>
          <c:tx>
            <c:rich>
              <a:bodyPr/>
              <a:lstStyle/>
              <a:p>
                <a:pPr>
                  <a:defRPr lang="ja-JP" sz="1300" b="1" i="0" u="none" strike="noStrike" baseline="0">
                    <a:solidFill>
                      <a:sysClr val="windowText" lastClr="000000"/>
                    </a:solidFill>
                    <a:latin typeface="Arial" pitchFamily="34" charset="0"/>
                    <a:ea typeface="Calibri"/>
                    <a:cs typeface="Arial" pitchFamily="34" charset="0"/>
                  </a:defRPr>
                </a:pPr>
                <a:r>
                  <a:rPr lang="en-US" sz="1300">
                    <a:solidFill>
                      <a:sysClr val="windowText" lastClr="000000"/>
                    </a:solidFill>
                    <a:latin typeface="Arial" pitchFamily="34" charset="0"/>
                    <a:cs typeface="Arial" pitchFamily="34" charset="0"/>
                  </a:rPr>
                  <a:t>Load Current (mA)</a:t>
                </a:r>
              </a:p>
            </c:rich>
          </c:tx>
          <c:layout>
            <c:manualLayout>
              <c:xMode val="edge"/>
              <c:yMode val="edge"/>
              <c:x val="0.41625343343709942"/>
              <c:y val="0.94571913573731337"/>
            </c:manualLayout>
          </c:layout>
          <c:overlay val="0"/>
          <c:spPr>
            <a:noFill/>
            <a:ln w="25400">
              <a:noFill/>
            </a:ln>
          </c:spPr>
        </c:title>
        <c:numFmt formatCode="0" sourceLinked="0"/>
        <c:majorTickMark val="in"/>
        <c:minorTickMark val="none"/>
        <c:tickLblPos val="nextTo"/>
        <c:spPr>
          <a:ln w="3175">
            <a:solidFill>
              <a:srgbClr val="000000"/>
            </a:solidFill>
            <a:prstDash val="solid"/>
          </a:ln>
        </c:spPr>
        <c:txPr>
          <a:bodyPr rot="0" vert="horz"/>
          <a:lstStyle/>
          <a:p>
            <a:pPr>
              <a:defRPr lang="ja-JP" sz="1100" b="1" i="0" u="none" strike="noStrike" baseline="0">
                <a:solidFill>
                  <a:srgbClr val="000000"/>
                </a:solidFill>
                <a:latin typeface="Arial" pitchFamily="34" charset="0"/>
                <a:ea typeface="Calibri"/>
                <a:cs typeface="Arial" pitchFamily="34" charset="0"/>
              </a:defRPr>
            </a:pPr>
            <a:endParaRPr lang="en-US"/>
          </a:p>
        </c:txPr>
        <c:crossAx val="447291392"/>
        <c:crosses val="autoZero"/>
        <c:auto val="1"/>
        <c:lblAlgn val="ctr"/>
        <c:lblOffset val="100"/>
        <c:tickLblSkip val="20"/>
        <c:tickMarkSkip val="20"/>
        <c:noMultiLvlLbl val="0"/>
      </c:catAx>
      <c:valAx>
        <c:axId val="447291392"/>
        <c:scaling>
          <c:orientation val="minMax"/>
          <c:max val="95"/>
          <c:min val="65"/>
        </c:scaling>
        <c:delete val="0"/>
        <c:axPos val="l"/>
        <c:majorGridlines>
          <c:spPr>
            <a:ln w="15875">
              <a:solidFill>
                <a:srgbClr val="808080"/>
              </a:solidFill>
              <a:prstDash val="solid"/>
            </a:ln>
          </c:spPr>
        </c:majorGridlines>
        <c:minorGridlines/>
        <c:title>
          <c:tx>
            <c:rich>
              <a:bodyPr/>
              <a:lstStyle/>
              <a:p>
                <a:pPr>
                  <a:defRPr lang="ja-JP" sz="1400" b="1" i="0" u="none" strike="noStrike" baseline="0">
                    <a:solidFill>
                      <a:srgbClr val="FF0000"/>
                    </a:solidFill>
                    <a:latin typeface="Arial" pitchFamily="34" charset="0"/>
                    <a:ea typeface="Calibri"/>
                    <a:cs typeface="Arial" pitchFamily="34" charset="0"/>
                  </a:defRPr>
                </a:pPr>
                <a:r>
                  <a:rPr lang="en-US" sz="1400" b="1">
                    <a:solidFill>
                      <a:srgbClr val="FF0000"/>
                    </a:solidFill>
                    <a:latin typeface="Arial" pitchFamily="34" charset="0"/>
                    <a:cs typeface="Arial" pitchFamily="34" charset="0"/>
                  </a:rPr>
                  <a:t>Efficiency (%)</a:t>
                </a:r>
              </a:p>
            </c:rich>
          </c:tx>
          <c:layout>
            <c:manualLayout>
              <c:xMode val="edge"/>
              <c:yMode val="edge"/>
              <c:x val="1.2871858674081443E-2"/>
              <c:y val="0.37638177915688398"/>
            </c:manualLayout>
          </c:layout>
          <c:overlay val="0"/>
          <c:spPr>
            <a:noFill/>
            <a:ln w="25400">
              <a:noFill/>
            </a:ln>
          </c:spPr>
        </c:title>
        <c:numFmt formatCode="#,##0" sourceLinked="0"/>
        <c:majorTickMark val="out"/>
        <c:minorTickMark val="out"/>
        <c:tickLblPos val="nextTo"/>
        <c:spPr>
          <a:ln w="3175">
            <a:solidFill>
              <a:srgbClr val="000000"/>
            </a:solidFill>
            <a:prstDash val="solid"/>
          </a:ln>
        </c:spPr>
        <c:txPr>
          <a:bodyPr rot="0" vert="horz"/>
          <a:lstStyle/>
          <a:p>
            <a:pPr>
              <a:defRPr lang="ja-JP" sz="1100" b="1" i="0" u="none" strike="noStrike" baseline="0">
                <a:solidFill>
                  <a:srgbClr val="FF0000"/>
                </a:solidFill>
                <a:latin typeface="Arial" pitchFamily="34" charset="0"/>
                <a:ea typeface="Calibri"/>
                <a:cs typeface="Arial" pitchFamily="34" charset="0"/>
              </a:defRPr>
            </a:pPr>
            <a:endParaRPr lang="en-US"/>
          </a:p>
        </c:txPr>
        <c:crossAx val="447149952"/>
        <c:crossesAt val="0"/>
        <c:crossBetween val="between"/>
        <c:majorUnit val="5"/>
        <c:minorUnit val="2.5"/>
      </c:valAx>
      <c:valAx>
        <c:axId val="447293312"/>
        <c:scaling>
          <c:orientation val="minMax"/>
        </c:scaling>
        <c:delete val="0"/>
        <c:axPos val="r"/>
        <c:title>
          <c:tx>
            <c:rich>
              <a:bodyPr rot="-5400000" vert="horz"/>
              <a:lstStyle/>
              <a:p>
                <a:pPr>
                  <a:defRPr lang="ja-JP" sz="1400" b="1">
                    <a:solidFill>
                      <a:srgbClr val="0000FF"/>
                    </a:solidFill>
                  </a:defRPr>
                </a:pPr>
                <a:r>
                  <a:rPr lang="en-US" sz="1400" b="1">
                    <a:solidFill>
                      <a:srgbClr val="0000FF"/>
                    </a:solidFill>
                  </a:rPr>
                  <a:t>Power Loss (mW)</a:t>
                </a:r>
              </a:p>
            </c:rich>
          </c:tx>
          <c:layout>
            <c:manualLayout>
              <c:xMode val="edge"/>
              <c:yMode val="edge"/>
              <c:x val="0.95720616195060426"/>
              <c:y val="0.34716258649486992"/>
            </c:manualLayout>
          </c:layout>
          <c:overlay val="0"/>
        </c:title>
        <c:numFmt formatCode="0" sourceLinked="0"/>
        <c:majorTickMark val="out"/>
        <c:minorTickMark val="none"/>
        <c:tickLblPos val="nextTo"/>
        <c:txPr>
          <a:bodyPr/>
          <a:lstStyle/>
          <a:p>
            <a:pPr>
              <a:defRPr lang="ja-JP" sz="1100" b="1">
                <a:solidFill>
                  <a:srgbClr val="0000FF"/>
                </a:solidFill>
              </a:defRPr>
            </a:pPr>
            <a:endParaRPr lang="en-US"/>
          </a:p>
        </c:txPr>
        <c:crossAx val="447303680"/>
        <c:crosses val="max"/>
        <c:crossBetween val="between"/>
      </c:valAx>
      <c:catAx>
        <c:axId val="447303680"/>
        <c:scaling>
          <c:orientation val="minMax"/>
        </c:scaling>
        <c:delete val="1"/>
        <c:axPos val="b"/>
        <c:numFmt formatCode="0.000" sourceLinked="1"/>
        <c:majorTickMark val="out"/>
        <c:minorTickMark val="none"/>
        <c:tickLblPos val="nextTo"/>
        <c:crossAx val="447293312"/>
        <c:crosses val="autoZero"/>
        <c:auto val="1"/>
        <c:lblAlgn val="ctr"/>
        <c:lblOffset val="100"/>
        <c:noMultiLvlLbl val="0"/>
      </c:catAx>
      <c:spPr>
        <a:noFill/>
        <a:ln w="25400">
          <a:noFill/>
        </a:ln>
      </c:spPr>
    </c:plotArea>
    <c:legend>
      <c:legendPos val="t"/>
      <c:layout>
        <c:manualLayout>
          <c:xMode val="edge"/>
          <c:yMode val="edge"/>
          <c:x val="0.38866500767592732"/>
          <c:y val="1.1892546194234431E-2"/>
          <c:w val="0.61133499232407273"/>
          <c:h val="9.7234170816987084E-2"/>
        </c:manualLayout>
      </c:layout>
      <c:overlay val="0"/>
      <c:spPr>
        <a:solidFill>
          <a:srgbClr val="FFFFFF"/>
        </a:solidFill>
        <a:ln w="25400">
          <a:noFill/>
        </a:ln>
      </c:spPr>
      <c:txPr>
        <a:bodyPr/>
        <a:lstStyle/>
        <a:p>
          <a:pPr>
            <a:defRPr lang="ja-JP" sz="12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chemeClr val="bg1"/>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66" r="0.75000000000000666" t="1" header="0.5" footer="0.5"/>
    <c:pageSetup paperSize="5" orientation="portrait"/>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sz="2000" b="1" i="0" u="none" strike="noStrike" baseline="0">
                <a:solidFill>
                  <a:srgbClr val="000000"/>
                </a:solidFill>
                <a:latin typeface="Arial" pitchFamily="34" charset="0"/>
                <a:ea typeface="Calibri"/>
                <a:cs typeface="Arial" pitchFamily="34" charset="0"/>
              </a:defRPr>
            </a:pPr>
            <a:r>
              <a:rPr lang="en-US" sz="2000">
                <a:latin typeface="Arial" pitchFamily="34" charset="0"/>
                <a:cs typeface="Arial" pitchFamily="34" charset="0"/>
                <a:sym typeface="Symbol"/>
              </a:rPr>
              <a:t></a:t>
            </a:r>
            <a:r>
              <a:rPr lang="en-US" sz="2000" b="1" i="0" u="none" strike="noStrike" baseline="0"/>
              <a:t>, V</a:t>
            </a:r>
            <a:r>
              <a:rPr lang="en-US" sz="2000" b="1" i="0" u="none" strike="noStrike" baseline="-25000"/>
              <a:t>IN</a:t>
            </a:r>
            <a:r>
              <a:rPr lang="en-US" sz="2000" b="1" i="0" u="none" strike="noStrike" baseline="0"/>
              <a:t> = V</a:t>
            </a:r>
            <a:r>
              <a:rPr lang="en-US" sz="2000" b="1" i="0" u="none" strike="noStrike" baseline="-25000"/>
              <a:t>IN(nom)</a:t>
            </a:r>
            <a:endParaRPr lang="en-US" sz="2000">
              <a:latin typeface="Arial" pitchFamily="34" charset="0"/>
              <a:cs typeface="Arial" pitchFamily="34" charset="0"/>
            </a:endParaRPr>
          </a:p>
        </c:rich>
      </c:tx>
      <c:layout>
        <c:manualLayout>
          <c:xMode val="edge"/>
          <c:yMode val="edge"/>
          <c:x val="0.10084794235626206"/>
          <c:y val="2.0639566697272373E-2"/>
        </c:manualLayout>
      </c:layout>
      <c:overlay val="0"/>
      <c:spPr>
        <a:noFill/>
        <a:ln w="25400">
          <a:noFill/>
        </a:ln>
      </c:spPr>
    </c:title>
    <c:autoTitleDeleted val="0"/>
    <c:plotArea>
      <c:layout>
        <c:manualLayout>
          <c:layoutTarget val="inner"/>
          <c:xMode val="edge"/>
          <c:yMode val="edge"/>
          <c:x val="8.5540561846730284E-2"/>
          <c:y val="0.12372903654825702"/>
          <c:w val="0.82265898741455901"/>
          <c:h val="0.76068566810117366"/>
        </c:manualLayout>
      </c:layout>
      <c:scatterChart>
        <c:scatterStyle val="smoothMarker"/>
        <c:varyColors val="0"/>
        <c:ser>
          <c:idx val="0"/>
          <c:order val="0"/>
          <c:tx>
            <c:v> Efficiency</c:v>
          </c:tx>
          <c:spPr>
            <a:ln w="31750">
              <a:solidFill>
                <a:srgbClr val="FF0000"/>
              </a:solidFill>
              <a:prstDash val="solid"/>
            </a:ln>
          </c:spPr>
          <c:marker>
            <c:symbol val="none"/>
          </c:marker>
          <c:xVal>
            <c:numRef>
              <c:f>Parameters!$BN$6:$BN$106</c:f>
              <c:numCache>
                <c:formatCode>0.000</c:formatCode>
                <c:ptCount val="101"/>
                <c:pt idx="0">
                  <c:v>2.5</c:v>
                </c:pt>
                <c:pt idx="1">
                  <c:v>25</c:v>
                </c:pt>
                <c:pt idx="2">
                  <c:v>50</c:v>
                </c:pt>
                <c:pt idx="3">
                  <c:v>75</c:v>
                </c:pt>
                <c:pt idx="100">
                  <c:v>2500</c:v>
                </c:pt>
              </c:numCache>
            </c:numRef>
          </c:xVal>
          <c:yVal>
            <c:numRef>
              <c:f>Parameters!$BZ$6:$BZ$106</c:f>
              <c:numCache>
                <c:formatCode>0.00</c:formatCode>
                <c:ptCount val="101"/>
                <c:pt idx="0">
                  <c:v>100</c:v>
                </c:pt>
                <c:pt idx="1">
                  <c:v>100</c:v>
                </c:pt>
                <c:pt idx="2">
                  <c:v>100</c:v>
                </c:pt>
                <c:pt idx="3">
                  <c:v>100</c:v>
                </c:pt>
                <c:pt idx="100">
                  <c:v>100</c:v>
                </c:pt>
              </c:numCache>
            </c:numRef>
          </c:yVal>
          <c:smooth val="1"/>
          <c:extLst>
            <c:ext xmlns:c16="http://schemas.microsoft.com/office/drawing/2014/chart" uri="{C3380CC4-5D6E-409C-BE32-E72D297353CC}">
              <c16:uniqueId val="{00000000-5AFA-4F10-B325-54957BB039CB}"/>
            </c:ext>
          </c:extLst>
        </c:ser>
        <c:dLbls>
          <c:showLegendKey val="0"/>
          <c:showVal val="0"/>
          <c:showCatName val="0"/>
          <c:showSerName val="0"/>
          <c:showPercent val="0"/>
          <c:showBubbleSize val="0"/>
        </c:dLbls>
        <c:axId val="447422464"/>
        <c:axId val="447424384"/>
      </c:scatterChart>
      <c:scatterChart>
        <c:scatterStyle val="smoothMarker"/>
        <c:varyColors val="0"/>
        <c:ser>
          <c:idx val="2"/>
          <c:order val="1"/>
          <c:tx>
            <c:v> IC Total Power Loss</c:v>
          </c:tx>
          <c:spPr>
            <a:ln w="38100">
              <a:solidFill>
                <a:srgbClr val="808000"/>
              </a:solidFill>
              <a:prstDash val="sysDash"/>
            </a:ln>
          </c:spPr>
          <c:marker>
            <c:symbol val="none"/>
          </c:marker>
          <c:xVal>
            <c:numRef>
              <c:f>Parameters!$BN$6:$BN$106</c:f>
              <c:numCache>
                <c:formatCode>0.000</c:formatCode>
                <c:ptCount val="101"/>
                <c:pt idx="0">
                  <c:v>2.5</c:v>
                </c:pt>
                <c:pt idx="1">
                  <c:v>25</c:v>
                </c:pt>
                <c:pt idx="2">
                  <c:v>50</c:v>
                </c:pt>
                <c:pt idx="3">
                  <c:v>75</c:v>
                </c:pt>
                <c:pt idx="100">
                  <c:v>2500</c:v>
                </c:pt>
              </c:numCache>
            </c:numRef>
          </c:xVal>
          <c:yVal>
            <c:numRef>
              <c:f>Parameters!$CA$6:$CA$106</c:f>
              <c:numCache>
                <c:formatCode>0.00</c:formatCode>
                <c:ptCount val="101"/>
                <c:pt idx="0">
                  <c:v>0</c:v>
                </c:pt>
                <c:pt idx="1">
                  <c:v>0</c:v>
                </c:pt>
                <c:pt idx="2">
                  <c:v>0</c:v>
                </c:pt>
                <c:pt idx="3">
                  <c:v>0</c:v>
                </c:pt>
                <c:pt idx="100">
                  <c:v>0</c:v>
                </c:pt>
              </c:numCache>
            </c:numRef>
          </c:yVal>
          <c:smooth val="1"/>
          <c:extLst>
            <c:ext xmlns:c16="http://schemas.microsoft.com/office/drawing/2014/chart" uri="{C3380CC4-5D6E-409C-BE32-E72D297353CC}">
              <c16:uniqueId val="{00000001-5AFA-4F10-B325-54957BB039CB}"/>
            </c:ext>
          </c:extLst>
        </c:ser>
        <c:ser>
          <c:idx val="1"/>
          <c:order val="2"/>
          <c:tx>
            <c:v> LDO + Quiescent Loss</c:v>
          </c:tx>
          <c:spPr>
            <a:ln w="38100">
              <a:solidFill>
                <a:srgbClr val="002060"/>
              </a:solidFill>
              <a:prstDash val="sysDot"/>
            </a:ln>
          </c:spPr>
          <c:marker>
            <c:symbol val="none"/>
          </c:marker>
          <c:xVal>
            <c:numRef>
              <c:f>Parameters!$BN$6:$BN$106</c:f>
              <c:numCache>
                <c:formatCode>0.000</c:formatCode>
                <c:ptCount val="101"/>
                <c:pt idx="0">
                  <c:v>2.5</c:v>
                </c:pt>
                <c:pt idx="1">
                  <c:v>25</c:v>
                </c:pt>
                <c:pt idx="2">
                  <c:v>50</c:v>
                </c:pt>
                <c:pt idx="3">
                  <c:v>75</c:v>
                </c:pt>
                <c:pt idx="100">
                  <c:v>2500</c:v>
                </c:pt>
              </c:numCache>
            </c:numRef>
          </c:xVal>
          <c:yVal>
            <c:numRef>
              <c:f>Parameters!$CB$6:$CB$106</c:f>
              <c:numCache>
                <c:formatCode>0.00</c:formatCode>
                <c:ptCount val="101"/>
                <c:pt idx="0">
                  <c:v>0</c:v>
                </c:pt>
                <c:pt idx="1">
                  <c:v>0</c:v>
                </c:pt>
                <c:pt idx="2">
                  <c:v>0</c:v>
                </c:pt>
                <c:pt idx="3">
                  <c:v>0</c:v>
                </c:pt>
                <c:pt idx="100">
                  <c:v>0</c:v>
                </c:pt>
              </c:numCache>
            </c:numRef>
          </c:yVal>
          <c:smooth val="1"/>
          <c:extLst>
            <c:ext xmlns:c16="http://schemas.microsoft.com/office/drawing/2014/chart" uri="{C3380CC4-5D6E-409C-BE32-E72D297353CC}">
              <c16:uniqueId val="{00000002-5AFA-4F10-B325-54957BB039CB}"/>
            </c:ext>
          </c:extLst>
        </c:ser>
        <c:ser>
          <c:idx val="3"/>
          <c:order val="3"/>
          <c:tx>
            <c:v> Inductor Loss</c:v>
          </c:tx>
          <c:spPr>
            <a:ln w="38100">
              <a:solidFill>
                <a:srgbClr val="800080"/>
              </a:solidFill>
              <a:prstDash val="dash"/>
            </a:ln>
          </c:spPr>
          <c:marker>
            <c:symbol val="none"/>
          </c:marker>
          <c:xVal>
            <c:numRef>
              <c:f>Parameters!$BN$6:$BN$106</c:f>
              <c:numCache>
                <c:formatCode>0.000</c:formatCode>
                <c:ptCount val="101"/>
                <c:pt idx="0">
                  <c:v>2.5</c:v>
                </c:pt>
                <c:pt idx="1">
                  <c:v>25</c:v>
                </c:pt>
                <c:pt idx="2">
                  <c:v>50</c:v>
                </c:pt>
                <c:pt idx="3">
                  <c:v>75</c:v>
                </c:pt>
                <c:pt idx="100">
                  <c:v>2500</c:v>
                </c:pt>
              </c:numCache>
            </c:numRef>
          </c:xVal>
          <c:yVal>
            <c:numRef>
              <c:f>Parameters!$CC$6:$CC$106</c:f>
              <c:numCache>
                <c:formatCode>0.00</c:formatCode>
                <c:ptCount val="101"/>
                <c:pt idx="0">
                  <c:v>0</c:v>
                </c:pt>
                <c:pt idx="1">
                  <c:v>0</c:v>
                </c:pt>
                <c:pt idx="2">
                  <c:v>0</c:v>
                </c:pt>
                <c:pt idx="3">
                  <c:v>0</c:v>
                </c:pt>
                <c:pt idx="100">
                  <c:v>0</c:v>
                </c:pt>
              </c:numCache>
            </c:numRef>
          </c:yVal>
          <c:smooth val="1"/>
          <c:extLst>
            <c:ext xmlns:c16="http://schemas.microsoft.com/office/drawing/2014/chart" uri="{C3380CC4-5D6E-409C-BE32-E72D297353CC}">
              <c16:uniqueId val="{00000003-5AFA-4F10-B325-54957BB039CB}"/>
            </c:ext>
          </c:extLst>
        </c:ser>
        <c:dLbls>
          <c:showLegendKey val="0"/>
          <c:showVal val="0"/>
          <c:showCatName val="0"/>
          <c:showSerName val="0"/>
          <c:showPercent val="0"/>
          <c:showBubbleSize val="0"/>
        </c:dLbls>
        <c:axId val="447432576"/>
        <c:axId val="447430656"/>
      </c:scatterChart>
      <c:valAx>
        <c:axId val="447422464"/>
        <c:scaling>
          <c:logBase val="10"/>
          <c:orientation val="minMax"/>
          <c:min val="0.1"/>
        </c:scaling>
        <c:delete val="0"/>
        <c:axPos val="b"/>
        <c:majorGridlines>
          <c:spPr>
            <a:ln w="15875">
              <a:solidFill>
                <a:srgbClr val="969696"/>
              </a:solidFill>
              <a:prstDash val="sysDash"/>
            </a:ln>
          </c:spPr>
        </c:majorGridlines>
        <c:title>
          <c:tx>
            <c:rich>
              <a:bodyPr/>
              <a:lstStyle/>
              <a:p>
                <a:pPr>
                  <a:defRPr lang="ja-JP" sz="1300" b="1" i="0" u="none" strike="noStrike" baseline="0">
                    <a:solidFill>
                      <a:sysClr val="windowText" lastClr="000000"/>
                    </a:solidFill>
                    <a:latin typeface="Arial" pitchFamily="34" charset="0"/>
                    <a:ea typeface="Calibri"/>
                    <a:cs typeface="Arial" pitchFamily="34" charset="0"/>
                  </a:defRPr>
                </a:pPr>
                <a:r>
                  <a:rPr lang="en-US" sz="1300">
                    <a:solidFill>
                      <a:sysClr val="windowText" lastClr="000000"/>
                    </a:solidFill>
                    <a:latin typeface="Arial" pitchFamily="34" charset="0"/>
                    <a:cs typeface="Arial" pitchFamily="34" charset="0"/>
                  </a:rPr>
                  <a:t>Load Current (mA)</a:t>
                </a:r>
              </a:p>
            </c:rich>
          </c:tx>
          <c:layout>
            <c:manualLayout>
              <c:xMode val="edge"/>
              <c:yMode val="edge"/>
              <c:x val="0.41625343343709942"/>
              <c:y val="0.94571913573731337"/>
            </c:manualLayout>
          </c:layout>
          <c:overlay val="0"/>
          <c:spPr>
            <a:noFill/>
            <a:ln w="25400">
              <a:noFill/>
            </a:ln>
          </c:spPr>
        </c:title>
        <c:numFmt formatCode="General" sourceLinked="0"/>
        <c:majorTickMark val="in"/>
        <c:minorTickMark val="none"/>
        <c:tickLblPos val="nextTo"/>
        <c:spPr>
          <a:ln w="3175">
            <a:solidFill>
              <a:srgbClr val="000000"/>
            </a:solidFill>
            <a:prstDash val="solid"/>
          </a:ln>
        </c:spPr>
        <c:txPr>
          <a:bodyPr rot="0" vert="horz"/>
          <a:lstStyle/>
          <a:p>
            <a:pPr>
              <a:defRPr lang="ja-JP" sz="1100" b="1" i="0" u="none" strike="noStrike" baseline="0">
                <a:solidFill>
                  <a:srgbClr val="000000"/>
                </a:solidFill>
                <a:latin typeface="Arial" pitchFamily="34" charset="0"/>
                <a:ea typeface="Calibri"/>
                <a:cs typeface="Arial" pitchFamily="34" charset="0"/>
              </a:defRPr>
            </a:pPr>
            <a:endParaRPr lang="en-US"/>
          </a:p>
        </c:txPr>
        <c:crossAx val="447424384"/>
        <c:crosses val="autoZero"/>
        <c:crossBetween val="midCat"/>
      </c:valAx>
      <c:valAx>
        <c:axId val="447424384"/>
        <c:scaling>
          <c:orientation val="minMax"/>
          <c:max val="95"/>
          <c:min val="60"/>
        </c:scaling>
        <c:delete val="0"/>
        <c:axPos val="l"/>
        <c:majorGridlines>
          <c:spPr>
            <a:ln w="15875">
              <a:solidFill>
                <a:srgbClr val="808080"/>
              </a:solidFill>
              <a:prstDash val="solid"/>
            </a:ln>
          </c:spPr>
        </c:majorGridlines>
        <c:minorGridlines/>
        <c:title>
          <c:tx>
            <c:rich>
              <a:bodyPr/>
              <a:lstStyle/>
              <a:p>
                <a:pPr>
                  <a:defRPr lang="ja-JP" sz="1400" b="1" i="0" u="none" strike="noStrike" baseline="0">
                    <a:solidFill>
                      <a:srgbClr val="FF0000"/>
                    </a:solidFill>
                    <a:latin typeface="Arial" pitchFamily="34" charset="0"/>
                    <a:ea typeface="Calibri"/>
                    <a:cs typeface="Arial" pitchFamily="34" charset="0"/>
                  </a:defRPr>
                </a:pPr>
                <a:r>
                  <a:rPr lang="en-US" sz="1400" b="1">
                    <a:solidFill>
                      <a:srgbClr val="FF0000"/>
                    </a:solidFill>
                    <a:latin typeface="Arial" pitchFamily="34" charset="0"/>
                    <a:cs typeface="Arial" pitchFamily="34" charset="0"/>
                  </a:rPr>
                  <a:t>Efficiency (%)</a:t>
                </a:r>
              </a:p>
            </c:rich>
          </c:tx>
          <c:layout>
            <c:manualLayout>
              <c:xMode val="edge"/>
              <c:yMode val="edge"/>
              <c:x val="1.2871858674081443E-2"/>
              <c:y val="0.37638177915688398"/>
            </c:manualLayout>
          </c:layout>
          <c:overlay val="0"/>
          <c:spPr>
            <a:noFill/>
            <a:ln w="25400">
              <a:noFill/>
            </a:ln>
          </c:spPr>
        </c:title>
        <c:numFmt formatCode="#,##0" sourceLinked="0"/>
        <c:majorTickMark val="out"/>
        <c:minorTickMark val="out"/>
        <c:tickLblPos val="nextTo"/>
        <c:spPr>
          <a:ln w="3175">
            <a:solidFill>
              <a:srgbClr val="000000"/>
            </a:solidFill>
            <a:prstDash val="solid"/>
          </a:ln>
        </c:spPr>
        <c:txPr>
          <a:bodyPr rot="0" vert="horz"/>
          <a:lstStyle/>
          <a:p>
            <a:pPr>
              <a:defRPr lang="ja-JP" sz="1100" b="1" i="0" u="none" strike="noStrike" baseline="0">
                <a:solidFill>
                  <a:srgbClr val="FF0000"/>
                </a:solidFill>
                <a:latin typeface="Arial" pitchFamily="34" charset="0"/>
                <a:ea typeface="Calibri"/>
                <a:cs typeface="Arial" pitchFamily="34" charset="0"/>
              </a:defRPr>
            </a:pPr>
            <a:endParaRPr lang="en-US"/>
          </a:p>
        </c:txPr>
        <c:crossAx val="447422464"/>
        <c:crossesAt val="0"/>
        <c:crossBetween val="midCat"/>
        <c:majorUnit val="5"/>
        <c:minorUnit val="2.5"/>
      </c:valAx>
      <c:valAx>
        <c:axId val="447430656"/>
        <c:scaling>
          <c:orientation val="minMax"/>
        </c:scaling>
        <c:delete val="0"/>
        <c:axPos val="r"/>
        <c:title>
          <c:tx>
            <c:rich>
              <a:bodyPr rot="-5400000" vert="horz"/>
              <a:lstStyle/>
              <a:p>
                <a:pPr>
                  <a:defRPr lang="ja-JP" sz="1400" b="1">
                    <a:solidFill>
                      <a:srgbClr val="0000FF"/>
                    </a:solidFill>
                  </a:defRPr>
                </a:pPr>
                <a:r>
                  <a:rPr lang="en-US" sz="1400" b="1">
                    <a:solidFill>
                      <a:srgbClr val="0000FF"/>
                    </a:solidFill>
                  </a:rPr>
                  <a:t>Power Loss (mW)</a:t>
                </a:r>
              </a:p>
            </c:rich>
          </c:tx>
          <c:layout>
            <c:manualLayout>
              <c:xMode val="edge"/>
              <c:yMode val="edge"/>
              <c:x val="0.95563568688189593"/>
              <c:y val="0.33988985922214265"/>
            </c:manualLayout>
          </c:layout>
          <c:overlay val="0"/>
        </c:title>
        <c:numFmt formatCode="0" sourceLinked="0"/>
        <c:majorTickMark val="out"/>
        <c:minorTickMark val="none"/>
        <c:tickLblPos val="nextTo"/>
        <c:txPr>
          <a:bodyPr/>
          <a:lstStyle/>
          <a:p>
            <a:pPr>
              <a:defRPr lang="ja-JP" sz="1100" b="1">
                <a:solidFill>
                  <a:srgbClr val="0000FF"/>
                </a:solidFill>
              </a:defRPr>
            </a:pPr>
            <a:endParaRPr lang="en-US"/>
          </a:p>
        </c:txPr>
        <c:crossAx val="447432576"/>
        <c:crosses val="max"/>
        <c:crossBetween val="midCat"/>
      </c:valAx>
      <c:valAx>
        <c:axId val="447432576"/>
        <c:scaling>
          <c:logBase val="10"/>
          <c:orientation val="minMax"/>
        </c:scaling>
        <c:delete val="1"/>
        <c:axPos val="b"/>
        <c:numFmt formatCode="0.000" sourceLinked="1"/>
        <c:majorTickMark val="out"/>
        <c:minorTickMark val="none"/>
        <c:tickLblPos val="nextTo"/>
        <c:crossAx val="447430656"/>
        <c:crosses val="autoZero"/>
        <c:crossBetween val="midCat"/>
      </c:valAx>
      <c:spPr>
        <a:noFill/>
        <a:ln w="25400">
          <a:noFill/>
        </a:ln>
      </c:spPr>
    </c:plotArea>
    <c:legend>
      <c:legendPos val="t"/>
      <c:layout>
        <c:manualLayout>
          <c:xMode val="edge"/>
          <c:yMode val="edge"/>
          <c:x val="0.38866500344700727"/>
          <c:y val="1.1892546194234431E-2"/>
          <c:w val="0.61133499655299273"/>
          <c:h val="9.2790073968026715E-2"/>
        </c:manualLayout>
      </c:layout>
      <c:overlay val="0"/>
      <c:spPr>
        <a:solidFill>
          <a:srgbClr val="FFFFFF"/>
        </a:solidFill>
        <a:ln w="25400">
          <a:noFill/>
        </a:ln>
      </c:spPr>
      <c:txPr>
        <a:bodyPr/>
        <a:lstStyle/>
        <a:p>
          <a:pPr>
            <a:defRPr lang="ja-JP" sz="12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chemeClr val="bg1"/>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66" r="0.75000000000000666" t="1" header="0.5" footer="0.5"/>
    <c:pageSetup paperSize="5" orientation="portrait"/>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a:pPr>
            <a:r>
              <a:rPr lang="en-US" sz="1800" b="1" i="0" baseline="0"/>
              <a:t>Breakdown of </a:t>
            </a:r>
            <a:r>
              <a:rPr lang="en-US" sz="1800" b="1" i="0" baseline="0">
                <a:solidFill>
                  <a:srgbClr val="FF0000"/>
                </a:solidFill>
              </a:rPr>
              <a:t>COT</a:t>
            </a:r>
            <a:r>
              <a:rPr lang="en-US" sz="1800" b="1" i="0" baseline="0"/>
              <a:t> Efficiency Losses (</a:t>
            </a:r>
            <a:r>
              <a:rPr lang="en-US" sz="1800" b="1" i="0" u="none" strike="noStrike" baseline="0"/>
              <a:t>I</a:t>
            </a:r>
            <a:r>
              <a:rPr lang="en-US" sz="1800" b="1" i="0" u="none" strike="noStrike" baseline="-25000"/>
              <a:t>OUT</a:t>
            </a:r>
            <a:r>
              <a:rPr lang="en-US" sz="1800" b="1" i="0" u="none" strike="noStrike" baseline="0"/>
              <a:t> = </a:t>
            </a:r>
            <a:r>
              <a:rPr lang="en-US" sz="1800" b="1" i="0" baseline="0"/>
              <a:t>1mA)</a:t>
            </a:r>
            <a:endParaRPr lang="en-US" sz="1800"/>
          </a:p>
        </c:rich>
      </c:tx>
      <c:layout>
        <c:manualLayout>
          <c:xMode val="edge"/>
          <c:yMode val="edge"/>
          <c:x val="0.32963167587477016"/>
          <c:y val="3.5906642728904876E-2"/>
        </c:manualLayout>
      </c:layout>
      <c:overlay val="0"/>
    </c:title>
    <c:autoTitleDeleted val="0"/>
    <c:plotArea>
      <c:layout>
        <c:manualLayout>
          <c:layoutTarget val="inner"/>
          <c:xMode val="edge"/>
          <c:yMode val="edge"/>
          <c:x val="9.2844202898550721E-2"/>
          <c:y val="0.14821658962288614"/>
          <c:w val="0.89442960513913661"/>
          <c:h val="0.76382419881536368"/>
        </c:manualLayout>
      </c:layout>
      <c:barChart>
        <c:barDir val="col"/>
        <c:grouping val="clustered"/>
        <c:varyColors val="0"/>
        <c:ser>
          <c:idx val="6"/>
          <c:order val="0"/>
          <c:tx>
            <c:strRef>
              <c:f>Parameters!$BA$5</c:f>
              <c:strCache>
                <c:ptCount val="1"/>
                <c:pt idx="0">
                  <c:v>High-side MOSFET Rdson %</c:v>
                </c:pt>
              </c:strCache>
            </c:strRef>
          </c:tx>
          <c:spPr>
            <a:solidFill>
              <a:srgbClr val="FF0000"/>
            </a:solidFill>
            <a:ln w="12700">
              <a:solidFill>
                <a:srgbClr val="000000"/>
              </a:solidFill>
              <a:prstDash val="solid"/>
            </a:ln>
          </c:spPr>
          <c:invertIfNegative val="0"/>
          <c:dLbls>
            <c:dLbl>
              <c:idx val="0"/>
              <c:tx>
                <c:rich>
                  <a:bodyPr/>
                  <a:lstStyle/>
                  <a:p>
                    <a:r>
                      <a:rPr lang="en-US"/>
                      <a:t>High-side MOSFET</a:t>
                    </a:r>
                  </a:p>
                  <a:p>
                    <a:r>
                      <a:rPr lang="en-US"/>
                      <a:t>Rdson</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EB60-43FD-9662-DE13960A76D7}"/>
                </c:ext>
              </c:extLst>
            </c:dLbl>
            <c:spPr>
              <a:noFill/>
              <a:ln>
                <a:noFill/>
              </a:ln>
              <a:effectLst/>
            </c:spPr>
            <c:txPr>
              <a:bodyPr/>
              <a:lstStyle/>
              <a:p>
                <a:pPr>
                  <a:defRPr lang="ja-JP" sz="1200" b="1"/>
                </a:pPr>
                <a:endParaRPr lang="en-US"/>
              </a:p>
            </c:txPr>
            <c:dLblPos val="out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Parameters!$BA$108</c:f>
              <c:numCache>
                <c:formatCode>0.000%</c:formatCode>
                <c:ptCount val="1"/>
                <c:pt idx="0">
                  <c:v>3.6409104085968987E-3</c:v>
                </c:pt>
              </c:numCache>
            </c:numRef>
          </c:val>
          <c:extLst>
            <c:ext xmlns:c16="http://schemas.microsoft.com/office/drawing/2014/chart" uri="{C3380CC4-5D6E-409C-BE32-E72D297353CC}">
              <c16:uniqueId val="{00000001-EB60-43FD-9662-DE13960A76D7}"/>
            </c:ext>
          </c:extLst>
        </c:ser>
        <c:ser>
          <c:idx val="5"/>
          <c:order val="1"/>
          <c:tx>
            <c:strRef>
              <c:f>Parameters!$BD$5</c:f>
              <c:strCache>
                <c:ptCount val="1"/>
                <c:pt idx="0">
                  <c:v>High-side MOSFET Switching Loss %</c:v>
                </c:pt>
              </c:strCache>
            </c:strRef>
          </c:tx>
          <c:spPr>
            <a:solidFill>
              <a:srgbClr val="0000FF"/>
            </a:solidFill>
            <a:ln w="12700">
              <a:solidFill>
                <a:srgbClr val="000000"/>
              </a:solidFill>
              <a:prstDash val="solid"/>
            </a:ln>
          </c:spPr>
          <c:invertIfNegative val="0"/>
          <c:dLbls>
            <c:dLbl>
              <c:idx val="0"/>
              <c:layout>
                <c:manualLayout>
                  <c:x val="-9.2081031307550637E-4"/>
                  <c:y val="-7.1813285457809741E-3"/>
                </c:manualLayout>
              </c:layout>
              <c:tx>
                <c:rich>
                  <a:bodyPr/>
                  <a:lstStyle/>
                  <a:p>
                    <a:r>
                      <a:rPr lang="en-US"/>
                      <a:t>High-side MOSFET</a:t>
                    </a:r>
                  </a:p>
                  <a:p>
                    <a:r>
                      <a:rPr lang="en-US"/>
                      <a:t>Switching</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EB60-43FD-9662-DE13960A76D7}"/>
                </c:ext>
              </c:extLst>
            </c:dLbl>
            <c:spPr>
              <a:noFill/>
              <a:ln>
                <a:noFill/>
              </a:ln>
              <a:effectLst/>
            </c:spPr>
            <c:txPr>
              <a:bodyPr/>
              <a:lstStyle/>
              <a:p>
                <a:pPr>
                  <a:defRPr lang="ja-JP" sz="1200" b="1"/>
                </a:pPr>
                <a:endParaRPr lang="en-US"/>
              </a:p>
            </c:txPr>
            <c:dLblPos val="outEnd"/>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Parameters!$BD$108</c:f>
              <c:numCache>
                <c:formatCode>0.000%</c:formatCode>
                <c:ptCount val="1"/>
                <c:pt idx="0">
                  <c:v>4.5907837520612008E-3</c:v>
                </c:pt>
              </c:numCache>
            </c:numRef>
          </c:val>
          <c:extLst>
            <c:ext xmlns:c16="http://schemas.microsoft.com/office/drawing/2014/chart" uri="{C3380CC4-5D6E-409C-BE32-E72D297353CC}">
              <c16:uniqueId val="{00000003-EB60-43FD-9662-DE13960A76D7}"/>
            </c:ext>
          </c:extLst>
        </c:ser>
        <c:ser>
          <c:idx val="7"/>
          <c:order val="2"/>
          <c:tx>
            <c:strRef>
              <c:f>Parameters!$BB$5</c:f>
              <c:strCache>
                <c:ptCount val="1"/>
                <c:pt idx="0">
                  <c:v>Low-side MOSFET Rdson %</c:v>
                </c:pt>
              </c:strCache>
            </c:strRef>
          </c:tx>
          <c:spPr>
            <a:solidFill>
              <a:srgbClr val="FF6600"/>
            </a:solidFill>
            <a:ln w="12700">
              <a:solidFill>
                <a:srgbClr val="000000"/>
              </a:solidFill>
              <a:prstDash val="solid"/>
            </a:ln>
          </c:spPr>
          <c:invertIfNegative val="0"/>
          <c:dLbls>
            <c:dLbl>
              <c:idx val="0"/>
              <c:tx>
                <c:rich>
                  <a:bodyPr/>
                  <a:lstStyle/>
                  <a:p>
                    <a:r>
                      <a:rPr lang="en-US" sz="1200" b="1"/>
                      <a:t>L</a:t>
                    </a:r>
                    <a:r>
                      <a:rPr lang="en-US" sz="1200"/>
                      <a:t>ow-side MOSFET</a:t>
                    </a:r>
                  </a:p>
                  <a:p>
                    <a:r>
                      <a:rPr lang="en-US" sz="1200"/>
                      <a:t>Rdson</a:t>
                    </a:r>
                  </a:p>
                </c:rich>
              </c:tx>
              <c:dLblPos val="outEnd"/>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EB60-43FD-9662-DE13960A76D7}"/>
                </c:ext>
              </c:extLst>
            </c:dLbl>
            <c:spPr>
              <a:noFill/>
              <a:ln>
                <a:noFill/>
              </a:ln>
              <a:effectLst/>
            </c:spPr>
            <c:txPr>
              <a:bodyPr/>
              <a:lstStyle/>
              <a:p>
                <a:pPr>
                  <a:defRPr lang="ja-JP" b="1"/>
                </a:pPr>
                <a:endParaRPr lang="en-US"/>
              </a:p>
            </c:txPr>
            <c:dLblPos val="outEnd"/>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val>
            <c:numRef>
              <c:f>Parameters!$BB$108</c:f>
              <c:numCache>
                <c:formatCode>0.000%</c:formatCode>
                <c:ptCount val="1"/>
                <c:pt idx="0">
                  <c:v>6.5692245841190103E-3</c:v>
                </c:pt>
              </c:numCache>
            </c:numRef>
          </c:val>
          <c:extLst>
            <c:ext xmlns:c16="http://schemas.microsoft.com/office/drawing/2014/chart" uri="{C3380CC4-5D6E-409C-BE32-E72D297353CC}">
              <c16:uniqueId val="{00000005-EB60-43FD-9662-DE13960A76D7}"/>
            </c:ext>
          </c:extLst>
        </c:ser>
        <c:ser>
          <c:idx val="3"/>
          <c:order val="3"/>
          <c:tx>
            <c:strRef>
              <c:f>Parameters!$BF$5</c:f>
              <c:strCache>
                <c:ptCount val="1"/>
                <c:pt idx="0">
                  <c:v>Deadtime Loss %</c:v>
                </c:pt>
              </c:strCache>
            </c:strRef>
          </c:tx>
          <c:spPr>
            <a:solidFill>
              <a:srgbClr val="666699"/>
            </a:solidFill>
            <a:ln w="12700">
              <a:solidFill>
                <a:srgbClr val="000000"/>
              </a:solidFill>
              <a:prstDash val="solid"/>
            </a:ln>
          </c:spPr>
          <c:invertIfNegative val="0"/>
          <c:dLbls>
            <c:dLbl>
              <c:idx val="0"/>
              <c:layout>
                <c:manualLayout>
                  <c:x val="0"/>
                  <c:y val="-9.5751047277079695E-3"/>
                </c:manualLayout>
              </c:layout>
              <c:tx>
                <c:rich>
                  <a:bodyPr/>
                  <a:lstStyle/>
                  <a:p>
                    <a:r>
                      <a:rPr lang="en-US"/>
                      <a:t>Low-side MOSFET</a:t>
                    </a:r>
                  </a:p>
                  <a:p>
                    <a:r>
                      <a:rPr lang="en-US"/>
                      <a:t>Deadtime </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EB60-43FD-9662-DE13960A76D7}"/>
                </c:ext>
              </c:extLst>
            </c:dLbl>
            <c:spPr>
              <a:noFill/>
              <a:ln>
                <a:noFill/>
              </a:ln>
              <a:effectLst/>
            </c:spPr>
            <c:txPr>
              <a:bodyPr/>
              <a:lstStyle/>
              <a:p>
                <a:pPr>
                  <a:defRPr lang="ja-JP" sz="1200" b="1"/>
                </a:pPr>
                <a:endParaRPr lang="en-US"/>
              </a:p>
            </c:txPr>
            <c:dLblPos val="out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Parameters!$BF$108</c:f>
              <c:numCache>
                <c:formatCode>0.000%</c:formatCode>
                <c:ptCount val="1"/>
                <c:pt idx="0">
                  <c:v>7.3751579484765363E-4</c:v>
                </c:pt>
              </c:numCache>
            </c:numRef>
          </c:val>
          <c:extLst>
            <c:ext xmlns:c16="http://schemas.microsoft.com/office/drawing/2014/chart" uri="{C3380CC4-5D6E-409C-BE32-E72D297353CC}">
              <c16:uniqueId val="{00000007-EB60-43FD-9662-DE13960A76D7}"/>
            </c:ext>
          </c:extLst>
        </c:ser>
        <c:ser>
          <c:idx val="2"/>
          <c:order val="4"/>
          <c:tx>
            <c:strRef>
              <c:f>Parameters!$BC$5</c:f>
              <c:strCache>
                <c:ptCount val="1"/>
                <c:pt idx="0">
                  <c:v>Gate Drive (Qg) Loss from Vin %</c:v>
                </c:pt>
              </c:strCache>
            </c:strRef>
          </c:tx>
          <c:spPr>
            <a:solidFill>
              <a:srgbClr val="00FFFF"/>
            </a:solidFill>
            <a:ln w="12700">
              <a:solidFill>
                <a:srgbClr val="000000"/>
              </a:solidFill>
              <a:prstDash val="solid"/>
            </a:ln>
          </c:spPr>
          <c:invertIfNegative val="0"/>
          <c:dLbls>
            <c:dLbl>
              <c:idx val="0"/>
              <c:tx>
                <c:rich>
                  <a:bodyPr/>
                  <a:lstStyle/>
                  <a:p>
                    <a:r>
                      <a:rPr lang="en-US"/>
                      <a:t>Gate Drive (Qg)</a:t>
                    </a:r>
                  </a:p>
                  <a:p>
                    <a:r>
                      <a:rPr lang="en-US"/>
                      <a:t>Loss</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EB60-43FD-9662-DE13960A76D7}"/>
                </c:ext>
              </c:extLst>
            </c:dLbl>
            <c:spPr>
              <a:noFill/>
              <a:ln>
                <a:noFill/>
              </a:ln>
              <a:effectLst/>
            </c:spPr>
            <c:txPr>
              <a:bodyPr rot="0" vert="horz"/>
              <a:lstStyle/>
              <a:p>
                <a:pPr>
                  <a:defRPr lang="ja-JP" sz="1200" b="1"/>
                </a:pPr>
                <a:endParaRPr lang="en-US"/>
              </a:p>
            </c:txPr>
            <c:dLblPos val="outEnd"/>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Parameters!$BC$108</c:f>
              <c:numCache>
                <c:formatCode>0.000%</c:formatCode>
                <c:ptCount val="1"/>
                <c:pt idx="0">
                  <c:v>5.4394694205683519E-2</c:v>
                </c:pt>
              </c:numCache>
            </c:numRef>
          </c:val>
          <c:extLst>
            <c:ext xmlns:c16="http://schemas.microsoft.com/office/drawing/2014/chart" uri="{C3380CC4-5D6E-409C-BE32-E72D297353CC}">
              <c16:uniqueId val="{00000009-EB60-43FD-9662-DE13960A76D7}"/>
            </c:ext>
          </c:extLst>
        </c:ser>
        <c:ser>
          <c:idx val="1"/>
          <c:order val="5"/>
          <c:tx>
            <c:strRef>
              <c:f>Parameters!$BE$5</c:f>
              <c:strCache>
                <c:ptCount val="1"/>
                <c:pt idx="0">
                  <c:v>Reverse Recovery &amp; Leakage Loss %</c:v>
                </c:pt>
              </c:strCache>
            </c:strRef>
          </c:tx>
          <c:invertIfNegative val="0"/>
          <c:dLbls>
            <c:dLbl>
              <c:idx val="0"/>
              <c:tx>
                <c:rich>
                  <a:bodyPr/>
                  <a:lstStyle/>
                  <a:p>
                    <a:r>
                      <a:rPr lang="en-US" sz="1200" b="1"/>
                      <a:t>Reverse Recovery</a:t>
                    </a:r>
                  </a:p>
                  <a:p>
                    <a:r>
                      <a:rPr lang="en-US" sz="1200" b="1"/>
                      <a:t>Loss</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A-EB60-43FD-9662-DE13960A76D7}"/>
                </c:ext>
              </c:extLst>
            </c:dLbl>
            <c:spPr>
              <a:noFill/>
              <a:ln>
                <a:noFill/>
              </a:ln>
              <a:effectLst/>
            </c:spPr>
            <c:txPr>
              <a:bodyPr/>
              <a:lstStyle/>
              <a:p>
                <a:pPr>
                  <a:defRPr lang="ja-JP"/>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Parameters!$BE$108</c:f>
              <c:numCache>
                <c:formatCode>0.000%</c:formatCode>
                <c:ptCount val="1"/>
                <c:pt idx="0">
                  <c:v>0</c:v>
                </c:pt>
              </c:numCache>
            </c:numRef>
          </c:val>
          <c:extLst>
            <c:ext xmlns:c16="http://schemas.microsoft.com/office/drawing/2014/chart" uri="{C3380CC4-5D6E-409C-BE32-E72D297353CC}">
              <c16:uniqueId val="{0000000B-EB60-43FD-9662-DE13960A76D7}"/>
            </c:ext>
          </c:extLst>
        </c:ser>
        <c:ser>
          <c:idx val="8"/>
          <c:order val="6"/>
          <c:tx>
            <c:strRef>
              <c:f>Parameters!$BG$5</c:f>
              <c:strCache>
                <c:ptCount val="1"/>
                <c:pt idx="0">
                  <c:v>Inductor Cu Loss %</c:v>
                </c:pt>
              </c:strCache>
            </c:strRef>
          </c:tx>
          <c:spPr>
            <a:solidFill>
              <a:srgbClr val="00FF00"/>
            </a:solidFill>
            <a:ln w="12700">
              <a:solidFill>
                <a:srgbClr val="000000"/>
              </a:solidFill>
              <a:prstDash val="solid"/>
            </a:ln>
          </c:spPr>
          <c:invertIfNegative val="0"/>
          <c:dLbls>
            <c:dLbl>
              <c:idx val="0"/>
              <c:tx>
                <c:rich>
                  <a:bodyPr/>
                  <a:lstStyle/>
                  <a:p>
                    <a:r>
                      <a:rPr lang="en-US"/>
                      <a:t>Inductor DCR</a:t>
                    </a:r>
                  </a:p>
                  <a:p>
                    <a:r>
                      <a:rPr lang="en-US"/>
                      <a:t>Loss</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C-EB60-43FD-9662-DE13960A76D7}"/>
                </c:ext>
              </c:extLst>
            </c:dLbl>
            <c:spPr>
              <a:noFill/>
              <a:ln>
                <a:noFill/>
              </a:ln>
              <a:effectLst/>
            </c:spPr>
            <c:txPr>
              <a:bodyPr/>
              <a:lstStyle/>
              <a:p>
                <a:pPr>
                  <a:defRPr lang="ja-JP"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Parameters!$BG$108</c:f>
              <c:numCache>
                <c:formatCode>0.000%</c:formatCode>
                <c:ptCount val="1"/>
                <c:pt idx="0">
                  <c:v>7.2151246180390156E-3</c:v>
                </c:pt>
              </c:numCache>
            </c:numRef>
          </c:val>
          <c:extLst>
            <c:ext xmlns:c16="http://schemas.microsoft.com/office/drawing/2014/chart" uri="{C3380CC4-5D6E-409C-BE32-E72D297353CC}">
              <c16:uniqueId val="{0000000D-EB60-43FD-9662-DE13960A76D7}"/>
            </c:ext>
          </c:extLst>
        </c:ser>
        <c:ser>
          <c:idx val="4"/>
          <c:order val="7"/>
          <c:tx>
            <c:strRef>
              <c:f>Parameters!$BH$5</c:f>
              <c:strCache>
                <c:ptCount val="1"/>
                <c:pt idx="0">
                  <c:v>Inductor Core Loss %</c:v>
                </c:pt>
              </c:strCache>
            </c:strRef>
          </c:tx>
          <c:spPr>
            <a:solidFill>
              <a:srgbClr val="99CC00"/>
            </a:solidFill>
            <a:ln w="12700">
              <a:solidFill>
                <a:srgbClr val="000000"/>
              </a:solidFill>
              <a:prstDash val="solid"/>
            </a:ln>
          </c:spPr>
          <c:invertIfNegative val="0"/>
          <c:dLbls>
            <c:dLbl>
              <c:idx val="0"/>
              <c:tx>
                <c:rich>
                  <a:bodyPr/>
                  <a:lstStyle/>
                  <a:p>
                    <a:r>
                      <a:rPr lang="en-US"/>
                      <a:t>Inductor Core</a:t>
                    </a:r>
                  </a:p>
                  <a:p>
                    <a:r>
                      <a:rPr lang="en-US"/>
                      <a:t>Loss</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E-EB60-43FD-9662-DE13960A76D7}"/>
                </c:ext>
              </c:extLst>
            </c:dLbl>
            <c:spPr>
              <a:noFill/>
              <a:ln>
                <a:noFill/>
              </a:ln>
              <a:effectLst/>
            </c:spPr>
            <c:txPr>
              <a:bodyPr/>
              <a:lstStyle/>
              <a:p>
                <a:pPr>
                  <a:defRPr lang="ja-JP"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Parameters!$BH$108</c:f>
              <c:numCache>
                <c:formatCode>0.000%</c:formatCode>
                <c:ptCount val="1"/>
                <c:pt idx="0">
                  <c:v>1.4929120352630757E-2</c:v>
                </c:pt>
              </c:numCache>
            </c:numRef>
          </c:val>
          <c:extLst>
            <c:ext xmlns:c16="http://schemas.microsoft.com/office/drawing/2014/chart" uri="{C3380CC4-5D6E-409C-BE32-E72D297353CC}">
              <c16:uniqueId val="{0000000F-EB60-43FD-9662-DE13960A76D7}"/>
            </c:ext>
          </c:extLst>
        </c:ser>
        <c:ser>
          <c:idx val="0"/>
          <c:order val="8"/>
          <c:tx>
            <c:strRef>
              <c:f>Parameters!$BJ$5</c:f>
              <c:strCache>
                <c:ptCount val="1"/>
                <c:pt idx="0">
                  <c:v>Quiescent Current Loss %</c:v>
                </c:pt>
              </c:strCache>
            </c:strRef>
          </c:tx>
          <c:invertIfNegative val="0"/>
          <c:dLbls>
            <c:dLbl>
              <c:idx val="0"/>
              <c:tx>
                <c:rich>
                  <a:bodyPr/>
                  <a:lstStyle/>
                  <a:p>
                    <a:r>
                      <a:rPr lang="en-US"/>
                      <a:t>Quiescent Current</a:t>
                    </a:r>
                  </a:p>
                  <a:p>
                    <a:r>
                      <a:rPr lang="en-US"/>
                      <a:t>Loss </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EB60-43FD-9662-DE13960A76D7}"/>
                </c:ext>
              </c:extLst>
            </c:dLbl>
            <c:numFmt formatCode="0.0E+00" sourceLinked="0"/>
            <c:spPr>
              <a:noFill/>
            </c:spPr>
            <c:txPr>
              <a:bodyPr rot="0" vert="horz" anchor="ctr" anchorCtr="0"/>
              <a:lstStyle/>
              <a:p>
                <a:pPr>
                  <a:defRPr lang="ja-JP"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Parameters!$BJ$108</c:f>
              <c:numCache>
                <c:formatCode>0.000%</c:formatCode>
                <c:ptCount val="1"/>
                <c:pt idx="0">
                  <c:v>8.2551506228875166E-2</c:v>
                </c:pt>
              </c:numCache>
            </c:numRef>
          </c:val>
          <c:extLst>
            <c:ext xmlns:c16="http://schemas.microsoft.com/office/drawing/2014/chart" uri="{C3380CC4-5D6E-409C-BE32-E72D297353CC}">
              <c16:uniqueId val="{00000011-EB60-43FD-9662-DE13960A76D7}"/>
            </c:ext>
          </c:extLst>
        </c:ser>
        <c:dLbls>
          <c:showLegendKey val="0"/>
          <c:showVal val="0"/>
          <c:showCatName val="0"/>
          <c:showSerName val="0"/>
          <c:showPercent val="0"/>
          <c:showBubbleSize val="0"/>
        </c:dLbls>
        <c:gapWidth val="101"/>
        <c:overlap val="-70"/>
        <c:axId val="447632128"/>
        <c:axId val="447633664"/>
      </c:barChart>
      <c:catAx>
        <c:axId val="447632128"/>
        <c:scaling>
          <c:orientation val="minMax"/>
        </c:scaling>
        <c:delete val="0"/>
        <c:axPos val="b"/>
        <c:numFmt formatCode="General" sourceLinked="1"/>
        <c:majorTickMark val="none"/>
        <c:minorTickMark val="none"/>
        <c:tickLblPos val="none"/>
        <c:spPr>
          <a:ln w="3175">
            <a:solidFill>
              <a:srgbClr val="000000"/>
            </a:solidFill>
            <a:prstDash val="solid"/>
          </a:ln>
        </c:spPr>
        <c:txPr>
          <a:bodyPr rot="0" vert="horz"/>
          <a:lstStyle/>
          <a:p>
            <a:pPr>
              <a:defRPr lang="ja-JP" sz="1725" b="0" i="0" u="none" strike="noStrike" baseline="0">
                <a:solidFill>
                  <a:srgbClr val="000000"/>
                </a:solidFill>
                <a:latin typeface="Arial"/>
                <a:ea typeface="Arial"/>
                <a:cs typeface="Arial"/>
              </a:defRPr>
            </a:pPr>
            <a:endParaRPr lang="en-US"/>
          </a:p>
        </c:txPr>
        <c:crossAx val="447633664"/>
        <c:crossesAt val="0"/>
        <c:auto val="1"/>
        <c:lblAlgn val="ctr"/>
        <c:lblOffset val="100"/>
        <c:noMultiLvlLbl val="0"/>
      </c:catAx>
      <c:valAx>
        <c:axId val="447633664"/>
        <c:scaling>
          <c:orientation val="minMax"/>
          <c:min val="0"/>
        </c:scaling>
        <c:delete val="0"/>
        <c:axPos val="l"/>
        <c:majorGridlines>
          <c:spPr>
            <a:ln>
              <a:prstDash val="lgDash"/>
            </a:ln>
          </c:spPr>
        </c:majorGridlines>
        <c:title>
          <c:tx>
            <c:rich>
              <a:bodyPr/>
              <a:lstStyle/>
              <a:p>
                <a:pPr>
                  <a:defRPr lang="ja-JP" b="1"/>
                </a:pPr>
                <a:r>
                  <a:rPr lang="en-US" b="1"/>
                  <a:t>Loss</a:t>
                </a:r>
                <a:r>
                  <a:rPr lang="en-US" b="1" baseline="0"/>
                  <a:t> Contributors</a:t>
                </a:r>
                <a:endParaRPr lang="en-US" b="1"/>
              </a:p>
            </c:rich>
          </c:tx>
          <c:layout>
            <c:manualLayout>
              <c:xMode val="edge"/>
              <c:yMode val="edge"/>
              <c:x val="9.9337306593581982E-3"/>
              <c:y val="0.30210944457795558"/>
            </c:manualLayout>
          </c:layout>
          <c:overlay val="0"/>
        </c:title>
        <c:numFmt formatCode="0.0%" sourceLinked="0"/>
        <c:majorTickMark val="out"/>
        <c:minorTickMark val="out"/>
        <c:tickLblPos val="low"/>
        <c:txPr>
          <a:bodyPr/>
          <a:lstStyle/>
          <a:p>
            <a:pPr>
              <a:defRPr lang="ja-JP"/>
            </a:pPr>
            <a:endParaRPr lang="en-US"/>
          </a:p>
        </c:txPr>
        <c:crossAx val="447632128"/>
        <c:crosses val="autoZero"/>
        <c:crossBetween val="between"/>
      </c:valAx>
      <c:spPr>
        <a:solidFill>
          <a:schemeClr val="bg1">
            <a:lumMod val="95000"/>
          </a:schemeClr>
        </a:solidFill>
        <a:ln w="25400">
          <a:noFill/>
        </a:ln>
      </c:spPr>
    </c:plotArea>
    <c:plotVisOnly val="1"/>
    <c:dispBlanksAs val="zero"/>
    <c:showDLblsOverMax val="0"/>
  </c:chart>
  <c:spPr>
    <a:solidFill>
      <a:srgbClr val="FFFFFF"/>
    </a:solidFill>
    <a:ln w="3175">
      <a:no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0255" r="0.75000000000000255" t="1" header="0.5" footer="0.5"/>
    <c:pageSetup orientation="landscape"/>
  </c:printSettings>
</c:chartSpace>
</file>

<file path=xl/ctrlProps/ctrlProp1.xml><?xml version="1.0" encoding="utf-8"?>
<formControlPr xmlns="http://schemas.microsoft.com/office/spreadsheetml/2009/9/main" objectType="Drop" dropStyle="combo" dx="22" fmlaRange="$1:$1048576" noThreeD="1" sel="0" val="0"/>
</file>

<file path=xl/ctrlProps/ctrlProp10.xml><?xml version="1.0" encoding="utf-8"?>
<formControlPr xmlns="http://schemas.microsoft.com/office/spreadsheetml/2009/9/main" objectType="Drop" dropStyle="combo" dx="16" fmlaLink="'BOM &amp; Schematic'!$Q$31" fmlaRange="'Variable Mgmt'!$R$63:$R$67" noThreeD="1" sel="1" val="0"/>
</file>

<file path=xl/ctrlProps/ctrlProp11.xml><?xml version="1.0" encoding="utf-8"?>
<formControlPr xmlns="http://schemas.microsoft.com/office/spreadsheetml/2009/9/main" objectType="Drop" dropStyle="combo" dx="16" fmlaLink="$Q$32" fmlaRange="'Variable Mgmt'!$R$63:$R$67" noThreeD="1" sel="5" val="0"/>
</file>

<file path=xl/ctrlProps/ctrlProp12.xml><?xml version="1.0" encoding="utf-8"?>
<formControlPr xmlns="http://schemas.microsoft.com/office/spreadsheetml/2009/9/main" objectType="Drop" dropStyle="combo" dx="16" fmlaLink="$Q$40" fmlaRange="'Variable Mgmt'!$W$72:$W$75" noThreeD="1" sel="3" val="0"/>
</file>

<file path=xl/ctrlProps/ctrlProp13.xml><?xml version="1.0" encoding="utf-8"?>
<formControlPr xmlns="http://schemas.microsoft.com/office/spreadsheetml/2009/9/main" objectType="Drop" dropStyle="combo" dx="16" fmlaLink="$Q$47" fmlaRange="'Variable Mgmt'!$R$63:$R$65" noThreeD="1" sel="3" val="0"/>
</file>

<file path=xl/ctrlProps/ctrlProp14.xml><?xml version="1.0" encoding="utf-8"?>
<formControlPr xmlns="http://schemas.microsoft.com/office/spreadsheetml/2009/9/main" objectType="Drop" dropStyle="combo" dx="16" fmlaLink="$Q$42" fmlaRange="'Variable Mgmt'!$W$72:$W$75" noThreeD="1" sel="4" val="0"/>
</file>

<file path=xl/ctrlProps/ctrlProp15.xml><?xml version="1.0" encoding="utf-8"?>
<formControlPr xmlns="http://schemas.microsoft.com/office/spreadsheetml/2009/9/main" objectType="Drop" dropStyle="combo" dx="16" fmlaLink="$Q$41" fmlaRange="'Variable Mgmt'!$W$72:$W$75" noThreeD="1" sel="1" val="0"/>
</file>

<file path=xl/ctrlProps/ctrlProp16.xml><?xml version="1.0" encoding="utf-8"?>
<formControlPr xmlns="http://schemas.microsoft.com/office/spreadsheetml/2009/9/main" objectType="Drop" dropStyle="combo" dx="16" fmlaLink="$Q$46" fmlaRange="'Variable Mgmt'!$R$63:$R$65" noThreeD="1" sel="2" val="0"/>
</file>

<file path=xl/ctrlProps/ctrlProp17.xml><?xml version="1.0" encoding="utf-8"?>
<formControlPr xmlns="http://schemas.microsoft.com/office/spreadsheetml/2009/9/main" objectType="Drop" dropStyle="combo" dx="16" fmlaLink="$Q$48" fmlaRange="'Variable Mgmt'!$R$63:$R$65" noThreeD="1" sel="1" val="0"/>
</file>

<file path=xl/ctrlProps/ctrlProp18.xml><?xml version="1.0" encoding="utf-8"?>
<formControlPr xmlns="http://schemas.microsoft.com/office/spreadsheetml/2009/9/main" objectType="Drop" dropStyle="combo" dx="16" fmlaLink="$Q$49" fmlaRange="'Variable Mgmt'!$R$63:$R$65" noThreeD="1" sel="1" val="0"/>
</file>

<file path=xl/ctrlProps/ctrlProp19.xml><?xml version="1.0" encoding="utf-8"?>
<formControlPr xmlns="http://schemas.microsoft.com/office/spreadsheetml/2009/9/main" objectType="Drop" dropStyle="combo" dx="16" fmlaLink="$Q$50" fmlaRange="'Variable Mgmt'!$R$63:$R$65" noThreeD="1" sel="1" val="0"/>
</file>

<file path=xl/ctrlProps/ctrlProp2.xml><?xml version="1.0" encoding="utf-8"?>
<formControlPr xmlns="http://schemas.microsoft.com/office/spreadsheetml/2009/9/main" objectType="Drop" dropStyle="combo" dx="16" fmlaLink="'Variable Mgmt'!$J$62" fmlaRange="'Variable Mgmt'!$I$60:$I$61" noThreeD="1" sel="2" val="0"/>
</file>

<file path=xl/ctrlProps/ctrlProp20.xml><?xml version="1.0" encoding="utf-8"?>
<formControlPr xmlns="http://schemas.microsoft.com/office/spreadsheetml/2009/9/main" objectType="Drop" dropStyle="combo" dx="16" fmlaLink="$Q$39" fmlaRange="'Variable Mgmt'!$W$72:$W$75" noThreeD="1" sel="3" val="0"/>
</file>

<file path=xl/ctrlProps/ctrlProp21.xml><?xml version="1.0" encoding="utf-8"?>
<formControlPr xmlns="http://schemas.microsoft.com/office/spreadsheetml/2009/9/main" objectType="Drop" dropStyle="combo" dx="16" fmlaLink="$Q$54" fmlaRange="'Variable Mgmt'!$R$73:$R$80" noThreeD="1" sel="8" val="0"/>
</file>

<file path=xl/ctrlProps/ctrlProp22.xml><?xml version="1.0" encoding="utf-8"?>
<formControlPr xmlns="http://schemas.microsoft.com/office/spreadsheetml/2009/9/main" objectType="Drop" dropStyle="combo" dx="16" fmlaLink="$Q$33" fmlaRange="'Variable Mgmt'!$R$63:$R$67" noThreeD="1" sel="5" val="0"/>
</file>

<file path=xl/ctrlProps/ctrlProp23.xml><?xml version="1.0" encoding="utf-8"?>
<formControlPr xmlns="http://schemas.microsoft.com/office/spreadsheetml/2009/9/main" objectType="Drop" dropStyle="combo" dx="16" fmlaLink="$Q$43" fmlaRange="'Variable Mgmt'!$W$72:$W$75" noThreeD="1" sel="3" val="0"/>
</file>

<file path=xl/ctrlProps/ctrlProp24.xml><?xml version="1.0" encoding="utf-8"?>
<formControlPr xmlns="http://schemas.microsoft.com/office/spreadsheetml/2009/9/main" objectType="Drop" dropStyle="combo" dx="16" fmlaLink="$Q$52" fmlaRange="'Variable Mgmt'!$R$63:$R$65" noThreeD="1" sel="2" val="0"/>
</file>

<file path=xl/ctrlProps/ctrlProp25.xml><?xml version="1.0" encoding="utf-8"?>
<formControlPr xmlns="http://schemas.microsoft.com/office/spreadsheetml/2009/9/main" objectType="Drop" dropStyle="combo" dx="16" fmlaLink="$Q$53" fmlaRange="'Variable Mgmt'!$R$63:$R$65" noThreeD="1" sel="1" val="0"/>
</file>

<file path=xl/ctrlProps/ctrlProp26.xml><?xml version="1.0" encoding="utf-8"?>
<formControlPr xmlns="http://schemas.microsoft.com/office/spreadsheetml/2009/9/main" objectType="Drop" dropStyle="combo" dx="16" fmlaLink="'BOM &amp; Schematic'!$Q$35" fmlaRange="'Variable Mgmt'!$R$63:$R$67" noThreeD="1" sel="3" val="0"/>
</file>

<file path=xl/ctrlProps/ctrlProp27.xml><?xml version="1.0" encoding="utf-8"?>
<formControlPr xmlns="http://schemas.microsoft.com/office/spreadsheetml/2009/9/main" objectType="Drop" dropStyle="combo" dx="16" fmlaLink="$Q$44" fmlaRange="'Variable Mgmt'!$W$72:$W$75" noThreeD="1" sel="3" val="0"/>
</file>

<file path=xl/ctrlProps/ctrlProp28.xml><?xml version="1.0" encoding="utf-8"?>
<formControlPr xmlns="http://schemas.microsoft.com/office/spreadsheetml/2009/9/main" objectType="Drop" dropStyle="combo" dx="16" fmlaLink="'BOM &amp; Schematic'!$Q$36" fmlaRange="'Variable Mgmt'!$R$63:$R$67" noThreeD="1" sel="4" val="0"/>
</file>

<file path=xl/ctrlProps/ctrlProp29.xml><?xml version="1.0" encoding="utf-8"?>
<formControlPr xmlns="http://schemas.microsoft.com/office/spreadsheetml/2009/9/main" objectType="Drop" dropStyle="combo" dx="16" fmlaLink="'BOM &amp; Schematic'!$Q$37" fmlaRange="'Variable Mgmt'!$R$63:$R$67" noThreeD="1" sel="2" val="0"/>
</file>

<file path=xl/ctrlProps/ctrlProp3.xml><?xml version="1.0" encoding="utf-8"?>
<formControlPr xmlns="http://schemas.microsoft.com/office/spreadsheetml/2009/9/main" objectType="Drop" dropLines="2" dropStyle="combo" dx="16" fmlaLink="'Variable Mgmt'!$G$62" fmlaRange="'Variable Mgmt'!$F$60:$F$61" noThreeD="1" sel="1" val="0"/>
</file>

<file path=xl/ctrlProps/ctrlProp30.xml><?xml version="1.0" encoding="utf-8"?>
<formControlPr xmlns="http://schemas.microsoft.com/office/spreadsheetml/2009/9/main" objectType="Drop" dropStyle="combo" dx="16" fmlaLink="'BOM &amp; Schematic'!$Q$38" fmlaRange="'Variable Mgmt'!$R$63:$R$67" noThreeD="1" sel="1" val="0"/>
</file>

<file path=xl/ctrlProps/ctrlProp31.xml><?xml version="1.0" encoding="utf-8"?>
<formControlPr xmlns="http://schemas.microsoft.com/office/spreadsheetml/2009/9/main" objectType="Drop" dropStyle="combo" dx="16" fmlaLink="$Q$51" fmlaRange="'Variable Mgmt'!$R$63:$R$68" noThreeD="1" sel="6" val="0"/>
</file>

<file path=xl/ctrlProps/ctrlProp4.xml><?xml version="1.0" encoding="utf-8"?>
<formControlPr xmlns="http://schemas.microsoft.com/office/spreadsheetml/2009/9/main" objectType="Drop" dropLines="10" dropStyle="combo" dx="16" fmlaLink="'Variable Mgmt'!$S$45" fmlaRange="'Variable Mgmt'!$R$28:$R$44" noThreeD="1" sel="9" val="7"/>
</file>

<file path=xl/ctrlProps/ctrlProp5.xml><?xml version="1.0" encoding="utf-8"?>
<formControlPr xmlns="http://schemas.microsoft.com/office/spreadsheetml/2009/9/main" objectType="Drop" dropStyle="combo" dx="16" fmlaLink="'Variable Mgmt'!$G$56" fmlaRange="'Variable Mgmt'!$F$54:$F$55" noThreeD="1" sel="2" val="0"/>
</file>

<file path=xl/ctrlProps/ctrlProp6.xml><?xml version="1.0" encoding="utf-8"?>
<formControlPr xmlns="http://schemas.microsoft.com/office/spreadsheetml/2009/9/main" objectType="Drop" dropLines="10" dropStyle="combo" dx="16" fmlaLink="'Variable Mgmt'!$C$57" fmlaRange="'Variable Mgmt'!$B$54:$B$55" noThreeD="1" sel="1" val="0"/>
</file>

<file path=xl/ctrlProps/ctrlProp7.xml><?xml version="1.0" encoding="utf-8"?>
<formControlPr xmlns="http://schemas.microsoft.com/office/spreadsheetml/2009/9/main" objectType="Spin" dx="16" fmlaLink="$E$7" max="95" min="3" page="10" val="28"/>
</file>

<file path=xl/ctrlProps/ctrlProp8.xml><?xml version="1.0" encoding="utf-8"?>
<formControlPr xmlns="http://schemas.microsoft.com/office/spreadsheetml/2009/9/main" objectType="Spin" dx="16" fmlaLink="$E$7" max="65" min="3" page="10" val="28"/>
</file>

<file path=xl/ctrlProps/ctrlProp9.xml><?xml version="1.0" encoding="utf-8"?>
<formControlPr xmlns="http://schemas.microsoft.com/office/spreadsheetml/2009/9/main" objectType="Drop" dropLines="2" dropStyle="combo" dx="16" fmlaLink="'Variable Mgmt'!$Q$20" fmlaRange="'Variable Mgmt'!$P$18:$P$19" noThreeD="1" sel="2" val="0"/>
</file>

<file path=xl/drawings/_rels/drawing1.xml.rels><?xml version="1.0" encoding="UTF-8" standalone="yes"?>
<Relationships xmlns="http://schemas.openxmlformats.org/package/2006/relationships"><Relationship Id="rId8" Type="http://schemas.openxmlformats.org/officeDocument/2006/relationships/hyperlink" Target="http://www.ti.com/automotive" TargetMode="External"/><Relationship Id="rId3" Type="http://schemas.openxmlformats.org/officeDocument/2006/relationships/image" Target="../media/image2.emf"/><Relationship Id="rId7" Type="http://schemas.openxmlformats.org/officeDocument/2006/relationships/image" Target="../media/image4.jpg"/><Relationship Id="rId2" Type="http://schemas.openxmlformats.org/officeDocument/2006/relationships/image" Target="../media/image1.emf"/><Relationship Id="rId1" Type="http://schemas.openxmlformats.org/officeDocument/2006/relationships/chart" Target="../charts/chart1.xml"/><Relationship Id="rId6" Type="http://schemas.openxmlformats.org/officeDocument/2006/relationships/hyperlink" Target="http://www.ti.com/industrial" TargetMode="External"/><Relationship Id="rId5" Type="http://schemas.openxmlformats.org/officeDocument/2006/relationships/image" Target="../media/image3.jpg"/><Relationship Id="rId10" Type="http://schemas.openxmlformats.org/officeDocument/2006/relationships/image" Target="../media/image6.emf"/><Relationship Id="rId4" Type="http://schemas.openxmlformats.org/officeDocument/2006/relationships/hyperlink" Target="http://www.ti.com/widevin" TargetMode="External"/><Relationship Id="rId9" Type="http://schemas.openxmlformats.org/officeDocument/2006/relationships/image" Target="../media/image5.jpg"/></Relationships>
</file>

<file path=xl/drawings/_rels/drawing10.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chart" Target="../charts/chart34.xml"/><Relationship Id="rId1" Type="http://schemas.openxmlformats.org/officeDocument/2006/relationships/chart" Target="../charts/chart33.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chart" Target="../charts/chart35.xml"/><Relationship Id="rId1" Type="http://schemas.openxmlformats.org/officeDocument/2006/relationships/image" Target="../media/image17.emf"/></Relationships>
</file>

<file path=xl/drawings/_rels/drawing13.xml.rels><?xml version="1.0" encoding="UTF-8" standalone="yes"?>
<Relationships xmlns="http://schemas.openxmlformats.org/package/2006/relationships"><Relationship Id="rId8" Type="http://schemas.openxmlformats.org/officeDocument/2006/relationships/image" Target="../media/image26.png"/><Relationship Id="rId13" Type="http://schemas.openxmlformats.org/officeDocument/2006/relationships/image" Target="../media/image31.png"/><Relationship Id="rId18" Type="http://schemas.openxmlformats.org/officeDocument/2006/relationships/image" Target="../media/image36.png"/><Relationship Id="rId3" Type="http://schemas.openxmlformats.org/officeDocument/2006/relationships/image" Target="../media/image21.png"/><Relationship Id="rId21" Type="http://schemas.openxmlformats.org/officeDocument/2006/relationships/image" Target="../media/image39.png"/><Relationship Id="rId7" Type="http://schemas.openxmlformats.org/officeDocument/2006/relationships/image" Target="../media/image25.png"/><Relationship Id="rId12" Type="http://schemas.openxmlformats.org/officeDocument/2006/relationships/image" Target="../media/image30.png"/><Relationship Id="rId17" Type="http://schemas.openxmlformats.org/officeDocument/2006/relationships/image" Target="../media/image35.png"/><Relationship Id="rId2" Type="http://schemas.openxmlformats.org/officeDocument/2006/relationships/image" Target="../media/image20.png"/><Relationship Id="rId16" Type="http://schemas.openxmlformats.org/officeDocument/2006/relationships/image" Target="../media/image34.png"/><Relationship Id="rId20" Type="http://schemas.openxmlformats.org/officeDocument/2006/relationships/image" Target="../media/image38.png"/><Relationship Id="rId1" Type="http://schemas.openxmlformats.org/officeDocument/2006/relationships/image" Target="../media/image19.png"/><Relationship Id="rId6" Type="http://schemas.openxmlformats.org/officeDocument/2006/relationships/image" Target="../media/image24.png"/><Relationship Id="rId11" Type="http://schemas.openxmlformats.org/officeDocument/2006/relationships/image" Target="../media/image29.png"/><Relationship Id="rId24" Type="http://schemas.openxmlformats.org/officeDocument/2006/relationships/image" Target="../media/image42.png"/><Relationship Id="rId5" Type="http://schemas.openxmlformats.org/officeDocument/2006/relationships/image" Target="../media/image23.png"/><Relationship Id="rId15" Type="http://schemas.openxmlformats.org/officeDocument/2006/relationships/image" Target="../media/image33.png"/><Relationship Id="rId23" Type="http://schemas.openxmlformats.org/officeDocument/2006/relationships/image" Target="../media/image41.png"/><Relationship Id="rId10" Type="http://schemas.openxmlformats.org/officeDocument/2006/relationships/image" Target="../media/image28.png"/><Relationship Id="rId19" Type="http://schemas.openxmlformats.org/officeDocument/2006/relationships/image" Target="../media/image37.png"/><Relationship Id="rId4" Type="http://schemas.openxmlformats.org/officeDocument/2006/relationships/image" Target="../media/image22.png"/><Relationship Id="rId9" Type="http://schemas.openxmlformats.org/officeDocument/2006/relationships/image" Target="../media/image27.png"/><Relationship Id="rId14" Type="http://schemas.openxmlformats.org/officeDocument/2006/relationships/image" Target="../media/image32.png"/><Relationship Id="rId22" Type="http://schemas.openxmlformats.org/officeDocument/2006/relationships/image" Target="../media/image40.png"/></Relationships>
</file>

<file path=xl/drawings/_rels/drawing2.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3" Type="http://schemas.openxmlformats.org/officeDocument/2006/relationships/chart" Target="../charts/chart5.xml"/><Relationship Id="rId7" Type="http://schemas.openxmlformats.org/officeDocument/2006/relationships/chart" Target="../charts/chart9.xml"/><Relationship Id="rId2" Type="http://schemas.openxmlformats.org/officeDocument/2006/relationships/image" Target="../media/image12.png"/><Relationship Id="rId1" Type="http://schemas.openxmlformats.org/officeDocument/2006/relationships/chart" Target="../charts/chart4.xml"/><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drawing6.xml.rels><?xml version="1.0" encoding="UTF-8" standalone="yes"?>
<Relationships xmlns="http://schemas.openxmlformats.org/package/2006/relationships"><Relationship Id="rId8" Type="http://schemas.openxmlformats.org/officeDocument/2006/relationships/chart" Target="../charts/chart17.xml"/><Relationship Id="rId3" Type="http://schemas.openxmlformats.org/officeDocument/2006/relationships/chart" Target="../charts/chart12.xml"/><Relationship Id="rId7" Type="http://schemas.openxmlformats.org/officeDocument/2006/relationships/chart" Target="../charts/chart16.xml"/><Relationship Id="rId12" Type="http://schemas.openxmlformats.org/officeDocument/2006/relationships/chart" Target="../charts/chart21.xml"/><Relationship Id="rId2" Type="http://schemas.openxmlformats.org/officeDocument/2006/relationships/chart" Target="../charts/chart11.xml"/><Relationship Id="rId1" Type="http://schemas.openxmlformats.org/officeDocument/2006/relationships/chart" Target="../charts/chart10.xml"/><Relationship Id="rId6" Type="http://schemas.openxmlformats.org/officeDocument/2006/relationships/chart" Target="../charts/chart15.xml"/><Relationship Id="rId11" Type="http://schemas.openxmlformats.org/officeDocument/2006/relationships/chart" Target="../charts/chart20.xml"/><Relationship Id="rId5" Type="http://schemas.openxmlformats.org/officeDocument/2006/relationships/chart" Target="../charts/chart14.xml"/><Relationship Id="rId10" Type="http://schemas.openxmlformats.org/officeDocument/2006/relationships/chart" Target="../charts/chart19.xml"/><Relationship Id="rId4" Type="http://schemas.openxmlformats.org/officeDocument/2006/relationships/chart" Target="../charts/chart13.xml"/><Relationship Id="rId9" Type="http://schemas.openxmlformats.org/officeDocument/2006/relationships/chart" Target="../charts/chart18.xml"/></Relationships>
</file>

<file path=xl/drawings/_rels/drawing7.xml.rels><?xml version="1.0" encoding="UTF-8" standalone="yes"?>
<Relationships xmlns="http://schemas.openxmlformats.org/package/2006/relationships"><Relationship Id="rId8" Type="http://schemas.openxmlformats.org/officeDocument/2006/relationships/chart" Target="../charts/chart29.xml"/><Relationship Id="rId3" Type="http://schemas.openxmlformats.org/officeDocument/2006/relationships/chart" Target="../charts/chart24.xml"/><Relationship Id="rId7" Type="http://schemas.openxmlformats.org/officeDocument/2006/relationships/chart" Target="../charts/chart28.xml"/><Relationship Id="rId2" Type="http://schemas.openxmlformats.org/officeDocument/2006/relationships/chart" Target="../charts/chart23.xml"/><Relationship Id="rId1" Type="http://schemas.openxmlformats.org/officeDocument/2006/relationships/chart" Target="../charts/chart22.xml"/><Relationship Id="rId6" Type="http://schemas.openxmlformats.org/officeDocument/2006/relationships/chart" Target="../charts/chart27.xml"/><Relationship Id="rId5" Type="http://schemas.openxmlformats.org/officeDocument/2006/relationships/chart" Target="../charts/chart26.xml"/><Relationship Id="rId10" Type="http://schemas.openxmlformats.org/officeDocument/2006/relationships/chart" Target="../charts/chart31.xml"/><Relationship Id="rId4" Type="http://schemas.openxmlformats.org/officeDocument/2006/relationships/chart" Target="../charts/chart25.xml"/><Relationship Id="rId9" Type="http://schemas.openxmlformats.org/officeDocument/2006/relationships/chart" Target="../charts/chart30.xml"/></Relationships>
</file>

<file path=xl/drawings/_rels/drawing8.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9.x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v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emf"/><Relationship Id="rId1" Type="http://schemas.openxmlformats.org/officeDocument/2006/relationships/image" Target="../media/image7.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0.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6.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8.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24</xdr:col>
          <xdr:colOff>304800</xdr:colOff>
          <xdr:row>0</xdr:row>
          <xdr:rowOff>412750</xdr:rowOff>
        </xdr:from>
        <xdr:to>
          <xdr:col>25</xdr:col>
          <xdr:colOff>222250</xdr:colOff>
          <xdr:row>1</xdr:row>
          <xdr:rowOff>63500</xdr:rowOff>
        </xdr:to>
        <xdr:sp macro="" textlink="">
          <xdr:nvSpPr>
            <xdr:cNvPr id="751583" name="Drop Down 6111" hidden="1">
              <a:extLst>
                <a:ext uri="{63B3BB69-23CF-44E3-9099-C40C66FF867C}">
                  <a14:compatExt spid="_x0000_s751583"/>
                </a:ext>
                <a:ext uri="{FF2B5EF4-FFF2-40B4-BE49-F238E27FC236}">
                  <a16:creationId xmlns:a16="http://schemas.microsoft.com/office/drawing/2014/main" id="{00000000-0008-0000-0000-0000DF77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13</xdr:col>
      <xdr:colOff>160440</xdr:colOff>
      <xdr:row>61</xdr:row>
      <xdr:rowOff>65734</xdr:rowOff>
    </xdr:from>
    <xdr:to>
      <xdr:col>25</xdr:col>
      <xdr:colOff>1592036</xdr:colOff>
      <xdr:row>84</xdr:row>
      <xdr:rowOff>153307</xdr:rowOff>
    </xdr:to>
    <xdr:graphicFrame macro="">
      <xdr:nvGraphicFramePr>
        <xdr:cNvPr id="66" name="Chart 1029">
          <a:extLst>
            <a:ext uri="{FF2B5EF4-FFF2-40B4-BE49-F238E27FC236}">
              <a16:creationId xmlns:a16="http://schemas.microsoft.com/office/drawing/2014/main" id="{00000000-0008-0000-0000-00004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17</xdr:col>
          <xdr:colOff>490417</xdr:colOff>
          <xdr:row>37</xdr:row>
          <xdr:rowOff>67110</xdr:rowOff>
        </xdr:from>
        <xdr:to>
          <xdr:col>25</xdr:col>
          <xdr:colOff>1815353</xdr:colOff>
          <xdr:row>60</xdr:row>
          <xdr:rowOff>161441</xdr:rowOff>
        </xdr:to>
        <xdr:pic>
          <xdr:nvPicPr>
            <xdr:cNvPr id="59" name="Picture 8888">
              <a:extLst>
                <a:ext uri="{FF2B5EF4-FFF2-40B4-BE49-F238E27FC236}">
                  <a16:creationId xmlns:a16="http://schemas.microsoft.com/office/drawing/2014/main" id="{00000000-0008-0000-0000-00003B000000}"/>
                </a:ext>
              </a:extLst>
            </xdr:cNvPr>
            <xdr:cNvPicPr>
              <a:picLocks noChangeAspect="1" noChangeArrowheads="1"/>
              <a:extLst>
                <a:ext uri="{84589F7E-364E-4C9E-8A38-B11213B215E9}">
                  <a14:cameraTool cellRange="PICTURE3" spid="_x0000_s789717"/>
                </a:ext>
              </a:extLst>
            </xdr:cNvPicPr>
          </xdr:nvPicPr>
          <xdr:blipFill rotWithShape="1">
            <a:blip xmlns:r="http://schemas.openxmlformats.org/officeDocument/2006/relationships" r:embed="rId2"/>
            <a:srcRect r="5287"/>
            <a:stretch>
              <a:fillRect/>
            </a:stretch>
          </xdr:blipFill>
          <xdr:spPr bwMode="auto">
            <a:xfrm>
              <a:off x="11061299" y="8187639"/>
              <a:ext cx="6591701" cy="4061214"/>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97117</xdr:colOff>
          <xdr:row>4</xdr:row>
          <xdr:rowOff>94701</xdr:rowOff>
        </xdr:from>
        <xdr:to>
          <xdr:col>25</xdr:col>
          <xdr:colOff>1785470</xdr:colOff>
          <xdr:row>27</xdr:row>
          <xdr:rowOff>239060</xdr:rowOff>
        </xdr:to>
        <xdr:pic>
          <xdr:nvPicPr>
            <xdr:cNvPr id="45" name="Picture 8888">
              <a:extLst>
                <a:ext uri="{FF2B5EF4-FFF2-40B4-BE49-F238E27FC236}">
                  <a16:creationId xmlns:a16="http://schemas.microsoft.com/office/drawing/2014/main" id="{00000000-0008-0000-0000-00002D000000}"/>
                </a:ext>
              </a:extLst>
            </xdr:cNvPr>
            <xdr:cNvPicPr>
              <a:picLocks noChangeAspect="1" noChangeArrowheads="1"/>
              <a:extLst>
                <a:ext uri="{84589F7E-364E-4C9E-8A38-B11213B215E9}">
                  <a14:cameraTool cellRange="PICTURE1" spid="_x0000_s789718"/>
                </a:ext>
              </a:extLst>
            </xdr:cNvPicPr>
          </xdr:nvPicPr>
          <xdr:blipFill rotWithShape="1">
            <a:blip xmlns:r="http://schemas.openxmlformats.org/officeDocument/2006/relationships" r:embed="rId3"/>
            <a:srcRect l="1933" r="3398" b="1428"/>
            <a:stretch>
              <a:fillRect/>
            </a:stretch>
          </xdr:blipFill>
          <xdr:spPr bwMode="auto">
            <a:xfrm>
              <a:off x="8411882" y="1252642"/>
              <a:ext cx="9211235" cy="5119771"/>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xdr:twoCellAnchor>
    <xdr:from>
      <xdr:col>23</xdr:col>
      <xdr:colOff>200592</xdr:colOff>
      <xdr:row>11</xdr:row>
      <xdr:rowOff>161472</xdr:rowOff>
    </xdr:from>
    <xdr:to>
      <xdr:col>24</xdr:col>
      <xdr:colOff>79535</xdr:colOff>
      <xdr:row>12</xdr:row>
      <xdr:rowOff>161833</xdr:rowOff>
    </xdr:to>
    <xdr:sp macro="" textlink="'Variable Mgmt'!B229">
      <xdr:nvSpPr>
        <xdr:cNvPr id="2315" name="Text Box 267">
          <a:extLst>
            <a:ext uri="{FF2B5EF4-FFF2-40B4-BE49-F238E27FC236}">
              <a16:creationId xmlns:a16="http://schemas.microsoft.com/office/drawing/2014/main" id="{00000000-0008-0000-0000-00000B090000}"/>
            </a:ext>
          </a:extLst>
        </xdr:cNvPr>
        <xdr:cNvSpPr txBox="1">
          <a:spLocks noChangeArrowheads="1" noTextEdit="1"/>
        </xdr:cNvSpPr>
      </xdr:nvSpPr>
      <xdr:spPr bwMode="auto">
        <a:xfrm>
          <a:off x="15213806" y="2746829"/>
          <a:ext cx="523015" cy="199933"/>
        </a:xfrm>
        <a:prstGeom prst="rect">
          <a:avLst/>
        </a:prstGeom>
        <a:noFill/>
        <a:ln w="9525">
          <a:noFill/>
          <a:miter lim="800000"/>
          <a:headEnd/>
          <a:tailEnd/>
        </a:ln>
      </xdr:spPr>
      <xdr:txBody>
        <a:bodyPr vertOverflow="clip" wrap="square" lIns="27432" tIns="22860" rIns="0" bIns="0" anchor="ctr" upright="1"/>
        <a:lstStyle/>
        <a:p>
          <a:pPr algn="l" rtl="0">
            <a:defRPr sz="1000"/>
          </a:pPr>
          <a:fld id="{DEF62FD0-959B-4627-B7E8-61CA1688D174}" type="TxLink">
            <a:rPr lang="en-US" sz="900" b="0" i="0" u="none" strike="noStrike" baseline="0">
              <a:solidFill>
                <a:srgbClr val="000000"/>
              </a:solidFill>
              <a:latin typeface="Arial" pitchFamily="34" charset="0"/>
              <a:cs typeface="Arial" pitchFamily="34" charset="0"/>
            </a:rPr>
            <a:pPr algn="l" rtl="0">
              <a:defRPr sz="1000"/>
            </a:pPr>
            <a:t>110µF</a:t>
          </a:fld>
          <a:endParaRPr lang="en-US" sz="900" b="0" i="0" u="none" strike="noStrike" baseline="0">
            <a:solidFill>
              <a:srgbClr val="000000"/>
            </a:solidFill>
            <a:latin typeface="Arial" pitchFamily="34" charset="0"/>
            <a:cs typeface="Arial" pitchFamily="34" charset="0"/>
          </a:endParaRPr>
        </a:p>
      </xdr:txBody>
    </xdr:sp>
    <xdr:clientData/>
  </xdr:twoCellAnchor>
  <xdr:twoCellAnchor>
    <xdr:from>
      <xdr:col>20</xdr:col>
      <xdr:colOff>38775</xdr:colOff>
      <xdr:row>9</xdr:row>
      <xdr:rowOff>126072</xdr:rowOff>
    </xdr:from>
    <xdr:to>
      <xdr:col>20</xdr:col>
      <xdr:colOff>522128</xdr:colOff>
      <xdr:row>10</xdr:row>
      <xdr:rowOff>174517</xdr:rowOff>
    </xdr:to>
    <xdr:sp macro="" textlink="'Variable Mgmt'!B215">
      <xdr:nvSpPr>
        <xdr:cNvPr id="2323" name="Text Box 275">
          <a:extLst>
            <a:ext uri="{FF2B5EF4-FFF2-40B4-BE49-F238E27FC236}">
              <a16:creationId xmlns:a16="http://schemas.microsoft.com/office/drawing/2014/main" id="{00000000-0008-0000-0000-000013090000}"/>
            </a:ext>
          </a:extLst>
        </xdr:cNvPr>
        <xdr:cNvSpPr txBox="1">
          <a:spLocks noChangeArrowheads="1" noTextEdit="1"/>
        </xdr:cNvSpPr>
      </xdr:nvSpPr>
      <xdr:spPr bwMode="auto">
        <a:xfrm>
          <a:off x="13119775" y="2312286"/>
          <a:ext cx="483353" cy="248017"/>
        </a:xfrm>
        <a:prstGeom prst="rect">
          <a:avLst/>
        </a:prstGeom>
        <a:noFill/>
        <a:ln w="9525">
          <a:noFill/>
          <a:miter lim="800000"/>
          <a:headEnd/>
          <a:tailEnd/>
        </a:ln>
      </xdr:spPr>
      <xdr:txBody>
        <a:bodyPr vertOverflow="clip" wrap="square" lIns="27432" tIns="22860" rIns="0" bIns="0" anchor="ctr" upright="1"/>
        <a:lstStyle/>
        <a:p>
          <a:pPr algn="ctr" rtl="0">
            <a:defRPr sz="1000"/>
          </a:pPr>
          <a:fld id="{08583DE7-3129-476B-98BE-2887A134E956}" type="TxLink">
            <a:rPr lang="en-US" sz="900" b="0" i="0" u="none" strike="noStrike" baseline="0">
              <a:solidFill>
                <a:srgbClr val="000000"/>
              </a:solidFill>
              <a:latin typeface="Arial" pitchFamily="34" charset="0"/>
              <a:cs typeface="Arial" pitchFamily="34" charset="0"/>
            </a:rPr>
            <a:pPr algn="ctr" rtl="0">
              <a:defRPr sz="1000"/>
            </a:pPr>
            <a:t>4.7µH</a:t>
          </a:fld>
          <a:endParaRPr lang="en-US" sz="900" b="0" i="0" u="none" strike="noStrike" baseline="0">
            <a:solidFill>
              <a:srgbClr val="000000"/>
            </a:solidFill>
            <a:latin typeface="Arial" pitchFamily="34" charset="0"/>
            <a:cs typeface="Arial" pitchFamily="34" charset="0"/>
          </a:endParaRPr>
        </a:p>
      </xdr:txBody>
    </xdr:sp>
    <xdr:clientData/>
  </xdr:twoCellAnchor>
  <xdr:twoCellAnchor>
    <xdr:from>
      <xdr:col>14</xdr:col>
      <xdr:colOff>58386</xdr:colOff>
      <xdr:row>11</xdr:row>
      <xdr:rowOff>73571</xdr:rowOff>
    </xdr:from>
    <xdr:to>
      <xdr:col>14</xdr:col>
      <xdr:colOff>563514</xdr:colOff>
      <xdr:row>12</xdr:row>
      <xdr:rowOff>64813</xdr:rowOff>
    </xdr:to>
    <xdr:sp macro="" textlink="'Variable Mgmt'!B234">
      <xdr:nvSpPr>
        <xdr:cNvPr id="2324" name="Text Box 276">
          <a:extLst>
            <a:ext uri="{FF2B5EF4-FFF2-40B4-BE49-F238E27FC236}">
              <a16:creationId xmlns:a16="http://schemas.microsoft.com/office/drawing/2014/main" id="{00000000-0008-0000-0000-000014090000}"/>
            </a:ext>
          </a:extLst>
        </xdr:cNvPr>
        <xdr:cNvSpPr txBox="1">
          <a:spLocks noChangeArrowheads="1" noTextEdit="1"/>
        </xdr:cNvSpPr>
      </xdr:nvSpPr>
      <xdr:spPr bwMode="auto">
        <a:xfrm>
          <a:off x="9030029" y="2658928"/>
          <a:ext cx="505128" cy="190814"/>
        </a:xfrm>
        <a:prstGeom prst="rect">
          <a:avLst/>
        </a:prstGeom>
        <a:noFill/>
        <a:ln w="9525">
          <a:noFill/>
          <a:miter lim="800000"/>
          <a:headEnd/>
          <a:tailEnd/>
        </a:ln>
      </xdr:spPr>
      <xdr:txBody>
        <a:bodyPr vertOverflow="clip" wrap="square" lIns="27432" tIns="22860" rIns="0" bIns="0" anchor="ctr" upright="1"/>
        <a:lstStyle/>
        <a:p>
          <a:pPr algn="ctr" rtl="0">
            <a:defRPr sz="1000"/>
          </a:pPr>
          <a:fld id="{7E8F3901-1453-4951-8E28-510E65401D4C}" type="TxLink">
            <a:rPr lang="en-US" sz="900" b="0" i="0" u="none" strike="noStrike" baseline="0">
              <a:solidFill>
                <a:srgbClr val="000000"/>
              </a:solidFill>
              <a:latin typeface="Arial" pitchFamily="34" charset="0"/>
              <a:cs typeface="Arial" pitchFamily="34" charset="0"/>
            </a:rPr>
            <a:pPr algn="ctr" rtl="0">
              <a:defRPr sz="1000"/>
            </a:pPr>
            <a:t>100µF</a:t>
          </a:fld>
          <a:endParaRPr lang="en-US" sz="900" b="0" i="0" u="none" strike="noStrike" baseline="0">
            <a:solidFill>
              <a:srgbClr val="000000"/>
            </a:solidFill>
            <a:latin typeface="Arial" pitchFamily="34" charset="0"/>
            <a:cs typeface="Arial" pitchFamily="34" charset="0"/>
          </a:endParaRPr>
        </a:p>
      </xdr:txBody>
    </xdr:sp>
    <xdr:clientData/>
  </xdr:twoCellAnchor>
  <xdr:twoCellAnchor>
    <xdr:from>
      <xdr:col>16</xdr:col>
      <xdr:colOff>4505</xdr:colOff>
      <xdr:row>15</xdr:row>
      <xdr:rowOff>73956</xdr:rowOff>
    </xdr:from>
    <xdr:to>
      <xdr:col>16</xdr:col>
      <xdr:colOff>479770</xdr:colOff>
      <xdr:row>16</xdr:row>
      <xdr:rowOff>161173</xdr:rowOff>
    </xdr:to>
    <xdr:sp macro="" textlink="'Variable Mgmt'!D261">
      <xdr:nvSpPr>
        <xdr:cNvPr id="2329" name="Text Box 281">
          <a:extLst>
            <a:ext uri="{FF2B5EF4-FFF2-40B4-BE49-F238E27FC236}">
              <a16:creationId xmlns:a16="http://schemas.microsoft.com/office/drawing/2014/main" id="{00000000-0008-0000-0000-000019090000}"/>
            </a:ext>
          </a:extLst>
        </xdr:cNvPr>
        <xdr:cNvSpPr txBox="1">
          <a:spLocks noChangeArrowheads="1" noTextEdit="1"/>
        </xdr:cNvSpPr>
      </xdr:nvSpPr>
      <xdr:spPr bwMode="auto">
        <a:xfrm>
          <a:off x="10327791" y="3457599"/>
          <a:ext cx="475265" cy="286788"/>
        </a:xfrm>
        <a:prstGeom prst="rect">
          <a:avLst/>
        </a:prstGeom>
        <a:noFill/>
        <a:ln w="9525">
          <a:noFill/>
          <a:miter lim="800000"/>
          <a:headEnd/>
          <a:tailEnd/>
        </a:ln>
      </xdr:spPr>
      <xdr:txBody>
        <a:bodyPr vertOverflow="clip" wrap="square" lIns="27432" tIns="22860" rIns="0" bIns="0" anchor="ctr" upright="1"/>
        <a:lstStyle/>
        <a:p>
          <a:pPr algn="ctr" rtl="0">
            <a:defRPr sz="1000"/>
          </a:pPr>
          <a:fld id="{F2115F91-8BFD-4C9B-9969-8B2C04ADF4C5}" type="TxLink">
            <a:rPr lang="en-US" sz="1100" b="0" i="0" u="none" strike="noStrike">
              <a:solidFill>
                <a:srgbClr val="000000"/>
              </a:solidFill>
              <a:latin typeface="Arial"/>
              <a:cs typeface="Arial"/>
            </a:rPr>
            <a:pPr algn="ctr" rtl="0">
              <a:defRPr sz="1000"/>
            </a:pPr>
            <a:t> </a:t>
          </a:fld>
          <a:endParaRPr lang="en-US" sz="1100" b="0" i="0" strike="noStrike">
            <a:solidFill>
              <a:srgbClr val="000000"/>
            </a:solidFill>
            <a:latin typeface="Arial" pitchFamily="34" charset="0"/>
            <a:cs typeface="Arial" pitchFamily="34" charset="0"/>
          </a:endParaRPr>
        </a:p>
      </xdr:txBody>
    </xdr:sp>
    <xdr:clientData/>
  </xdr:twoCellAnchor>
  <xdr:twoCellAnchor>
    <xdr:from>
      <xdr:col>14</xdr:col>
      <xdr:colOff>118515</xdr:colOff>
      <xdr:row>5</xdr:row>
      <xdr:rowOff>122966</xdr:rowOff>
    </xdr:from>
    <xdr:to>
      <xdr:col>14</xdr:col>
      <xdr:colOff>612589</xdr:colOff>
      <xdr:row>8</xdr:row>
      <xdr:rowOff>13369</xdr:rowOff>
    </xdr:to>
    <xdr:sp macro="" textlink="'Variable Mgmt'!B221">
      <xdr:nvSpPr>
        <xdr:cNvPr id="2331" name="Text Box 283">
          <a:extLst>
            <a:ext uri="{FF2B5EF4-FFF2-40B4-BE49-F238E27FC236}">
              <a16:creationId xmlns:a16="http://schemas.microsoft.com/office/drawing/2014/main" id="{00000000-0008-0000-0000-00001B090000}"/>
            </a:ext>
          </a:extLst>
        </xdr:cNvPr>
        <xdr:cNvSpPr txBox="1">
          <a:spLocks noChangeArrowheads="1" noTextEdit="1"/>
        </xdr:cNvSpPr>
      </xdr:nvSpPr>
      <xdr:spPr bwMode="auto">
        <a:xfrm>
          <a:off x="8627515" y="1527437"/>
          <a:ext cx="494074" cy="458167"/>
        </a:xfrm>
        <a:prstGeom prst="rect">
          <a:avLst/>
        </a:prstGeom>
        <a:noFill/>
        <a:ln w="9525">
          <a:noFill/>
          <a:miter lim="800000"/>
          <a:headEnd/>
          <a:tailEnd/>
        </a:ln>
      </xdr:spPr>
      <xdr:txBody>
        <a:bodyPr vertOverflow="clip" wrap="square" lIns="27432" tIns="22860" rIns="0" bIns="0" anchor="ctr" upright="1"/>
        <a:lstStyle/>
        <a:p>
          <a:pPr algn="r" rtl="0">
            <a:defRPr sz="1000"/>
          </a:pPr>
          <a:fld id="{211B0151-B00E-493E-8C8F-6E492416D93B}" type="TxLink">
            <a:rPr lang="en-US" sz="1400" b="1" i="0" u="none" strike="noStrike">
              <a:solidFill>
                <a:srgbClr val="FF0000"/>
              </a:solidFill>
              <a:latin typeface="Arial" pitchFamily="34" charset="0"/>
              <a:cs typeface="Arial" pitchFamily="34" charset="0"/>
            </a:rPr>
            <a:pPr algn="r" rtl="0">
              <a:defRPr sz="1000"/>
            </a:pPr>
            <a:t>28V</a:t>
          </a:fld>
          <a:endParaRPr lang="en-US" sz="1400" b="1" i="0" strike="noStrike">
            <a:solidFill>
              <a:srgbClr val="FF0000"/>
            </a:solidFill>
            <a:latin typeface="Arial" pitchFamily="34" charset="0"/>
            <a:cs typeface="Arial" pitchFamily="34" charset="0"/>
          </a:endParaRPr>
        </a:p>
      </xdr:txBody>
    </xdr:sp>
    <xdr:clientData/>
  </xdr:twoCellAnchor>
  <xdr:twoCellAnchor>
    <xdr:from>
      <xdr:col>25</xdr:col>
      <xdr:colOff>1019168</xdr:colOff>
      <xdr:row>5</xdr:row>
      <xdr:rowOff>164211</xdr:rowOff>
    </xdr:from>
    <xdr:to>
      <xdr:col>25</xdr:col>
      <xdr:colOff>1685561</xdr:colOff>
      <xdr:row>7</xdr:row>
      <xdr:rowOff>133014</xdr:rowOff>
    </xdr:to>
    <xdr:sp macro="" textlink="'Variable Mgmt'!B224">
      <xdr:nvSpPr>
        <xdr:cNvPr id="2333" name="Text Box 285">
          <a:extLst>
            <a:ext uri="{FF2B5EF4-FFF2-40B4-BE49-F238E27FC236}">
              <a16:creationId xmlns:a16="http://schemas.microsoft.com/office/drawing/2014/main" id="{00000000-0008-0000-0000-00001D090000}"/>
            </a:ext>
          </a:extLst>
        </xdr:cNvPr>
        <xdr:cNvSpPr txBox="1">
          <a:spLocks noChangeArrowheads="1" noTextEdit="1"/>
        </xdr:cNvSpPr>
      </xdr:nvSpPr>
      <xdr:spPr bwMode="auto">
        <a:xfrm>
          <a:off x="16535255" y="1561211"/>
          <a:ext cx="666393" cy="355325"/>
        </a:xfrm>
        <a:prstGeom prst="rect">
          <a:avLst/>
        </a:prstGeom>
        <a:noFill/>
        <a:ln w="9525">
          <a:noFill/>
          <a:miter lim="800000"/>
          <a:headEnd/>
          <a:tailEnd/>
        </a:ln>
      </xdr:spPr>
      <xdr:txBody>
        <a:bodyPr vertOverflow="clip" wrap="square" lIns="27432" tIns="22860" rIns="0" bIns="0" anchor="ctr" upright="1"/>
        <a:lstStyle/>
        <a:p>
          <a:pPr algn="l" rtl="0">
            <a:defRPr sz="1000"/>
          </a:pPr>
          <a:fld id="{702C2B8A-7C4B-4FDB-B229-3170089D9686}" type="TxLink">
            <a:rPr lang="en-US" sz="1400" b="1" i="0" u="none" strike="noStrike" baseline="0">
              <a:solidFill>
                <a:srgbClr val="FF0000"/>
              </a:solidFill>
              <a:latin typeface="Arial" pitchFamily="34" charset="0"/>
              <a:cs typeface="Arial" pitchFamily="34" charset="0"/>
            </a:rPr>
            <a:pPr algn="l" rtl="0">
              <a:defRPr sz="1000"/>
            </a:pPr>
            <a:t>28V</a:t>
          </a:fld>
          <a:endParaRPr lang="en-US" sz="1400" b="1" i="0" u="none" strike="noStrike" baseline="0">
            <a:solidFill>
              <a:srgbClr val="FF0000"/>
            </a:solidFill>
            <a:latin typeface="Arial" pitchFamily="34" charset="0"/>
            <a:cs typeface="Arial" pitchFamily="34" charset="0"/>
          </a:endParaRPr>
        </a:p>
      </xdr:txBody>
    </xdr:sp>
    <xdr:clientData/>
  </xdr:twoCellAnchor>
  <xdr:twoCellAnchor>
    <xdr:from>
      <xdr:col>25</xdr:col>
      <xdr:colOff>927554</xdr:colOff>
      <xdr:row>6</xdr:row>
      <xdr:rowOff>179163</xdr:rowOff>
    </xdr:from>
    <xdr:to>
      <xdr:col>25</xdr:col>
      <xdr:colOff>1476828</xdr:colOff>
      <xdr:row>8</xdr:row>
      <xdr:rowOff>112096</xdr:rowOff>
    </xdr:to>
    <xdr:sp macro="" textlink="'Variable Mgmt'!B279">
      <xdr:nvSpPr>
        <xdr:cNvPr id="2334" name="Text Box 286">
          <a:extLst>
            <a:ext uri="{FF2B5EF4-FFF2-40B4-BE49-F238E27FC236}">
              <a16:creationId xmlns:a16="http://schemas.microsoft.com/office/drawing/2014/main" id="{00000000-0008-0000-0000-00001E090000}"/>
            </a:ext>
          </a:extLst>
        </xdr:cNvPr>
        <xdr:cNvSpPr txBox="1">
          <a:spLocks noChangeArrowheads="1" noTextEdit="1"/>
        </xdr:cNvSpPr>
      </xdr:nvSpPr>
      <xdr:spPr bwMode="auto">
        <a:xfrm>
          <a:off x="16443641" y="1780467"/>
          <a:ext cx="549274" cy="319455"/>
        </a:xfrm>
        <a:prstGeom prst="rect">
          <a:avLst/>
        </a:prstGeom>
        <a:noFill/>
        <a:ln w="9525">
          <a:noFill/>
          <a:miter lim="800000"/>
          <a:headEnd/>
          <a:tailEnd/>
        </a:ln>
      </xdr:spPr>
      <xdr:txBody>
        <a:bodyPr vertOverflow="clip" wrap="square" lIns="27432" tIns="22860" rIns="0" bIns="0" anchor="ctr" upright="1"/>
        <a:lstStyle/>
        <a:p>
          <a:pPr algn="ctr" rtl="0">
            <a:defRPr sz="1000"/>
          </a:pPr>
          <a:fld id="{E0FB88FA-F39E-4ACF-AB5E-DCB628763AAE}" type="TxLink">
            <a:rPr lang="en-US" sz="1350" b="1" i="0" u="none" strike="noStrike">
              <a:solidFill>
                <a:srgbClr val="FF0000"/>
              </a:solidFill>
              <a:latin typeface="Arial" pitchFamily="34" charset="0"/>
              <a:cs typeface="Arial" pitchFamily="34" charset="0"/>
            </a:rPr>
            <a:pPr algn="ctr" rtl="0">
              <a:defRPr sz="1000"/>
            </a:pPr>
            <a:t>2.5A</a:t>
          </a:fld>
          <a:endParaRPr lang="en-US" sz="1350" b="1" i="0" strike="noStrike">
            <a:solidFill>
              <a:srgbClr val="FF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xdr:from>
          <xdr:col>5</xdr:col>
          <xdr:colOff>127000</xdr:colOff>
          <xdr:row>6</xdr:row>
          <xdr:rowOff>12700</xdr:rowOff>
        </xdr:from>
        <xdr:to>
          <xdr:col>5</xdr:col>
          <xdr:colOff>304800</xdr:colOff>
          <xdr:row>7</xdr:row>
          <xdr:rowOff>31750</xdr:rowOff>
        </xdr:to>
        <xdr:sp macro="" textlink="">
          <xdr:nvSpPr>
            <xdr:cNvPr id="672895" name="Spinner 127" hidden="1">
              <a:extLst>
                <a:ext uri="{63B3BB69-23CF-44E3-9099-C40C66FF867C}">
                  <a14:compatExt spid="_x0000_s672895"/>
                </a:ext>
                <a:ext uri="{FF2B5EF4-FFF2-40B4-BE49-F238E27FC236}">
                  <a16:creationId xmlns:a16="http://schemas.microsoft.com/office/drawing/2014/main" id="{00000000-0008-0000-0000-00007F440A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16</xdr:col>
      <xdr:colOff>214803</xdr:colOff>
      <xdr:row>11</xdr:row>
      <xdr:rowOff>121721</xdr:rowOff>
    </xdr:from>
    <xdr:to>
      <xdr:col>17</xdr:col>
      <xdr:colOff>63226</xdr:colOff>
      <xdr:row>12</xdr:row>
      <xdr:rowOff>163885</xdr:rowOff>
    </xdr:to>
    <xdr:sp macro="" textlink="'Variable Mgmt'!C253">
      <xdr:nvSpPr>
        <xdr:cNvPr id="71" name="Text Box 268">
          <a:extLst>
            <a:ext uri="{FF2B5EF4-FFF2-40B4-BE49-F238E27FC236}">
              <a16:creationId xmlns:a16="http://schemas.microsoft.com/office/drawing/2014/main" id="{00000000-0008-0000-0000-000047000000}"/>
            </a:ext>
          </a:extLst>
        </xdr:cNvPr>
        <xdr:cNvSpPr txBox="1">
          <a:spLocks noChangeArrowheads="1" noTextEdit="1"/>
        </xdr:cNvSpPr>
      </xdr:nvSpPr>
      <xdr:spPr bwMode="auto">
        <a:xfrm>
          <a:off x="10538089" y="2707078"/>
          <a:ext cx="555994" cy="241736"/>
        </a:xfrm>
        <a:prstGeom prst="rect">
          <a:avLst/>
        </a:prstGeom>
        <a:noFill/>
        <a:ln w="9525">
          <a:noFill/>
          <a:miter lim="800000"/>
          <a:headEnd/>
          <a:tailEnd/>
        </a:ln>
      </xdr:spPr>
      <xdr:txBody>
        <a:bodyPr vertOverflow="clip" wrap="square" lIns="27432" tIns="22860" rIns="0" bIns="0" anchor="ctr" upright="1"/>
        <a:lstStyle/>
        <a:p>
          <a:pPr algn="l" rtl="0">
            <a:defRPr sz="1000"/>
          </a:pPr>
          <a:fld id="{9F0ED324-D4DC-458E-AFDF-B2BC6995B894}" type="TxLink">
            <a:rPr lang="en-US" sz="900" b="0" i="0" u="none" strike="noStrike">
              <a:solidFill>
                <a:srgbClr val="000000"/>
              </a:solidFill>
              <a:latin typeface="Arial"/>
              <a:cs typeface="Arial"/>
            </a:rPr>
            <a:pPr algn="l" rtl="0">
              <a:defRPr sz="1000"/>
            </a:pPr>
            <a:t>76.8kΩ</a:t>
          </a:fld>
          <a:endParaRPr lang="el-GR" sz="900" b="0" i="0" strike="noStrike">
            <a:solidFill>
              <a:srgbClr val="000000"/>
            </a:solidFill>
            <a:latin typeface="Arial" pitchFamily="34" charset="0"/>
            <a:cs typeface="Arial" pitchFamily="34" charset="0"/>
          </a:endParaRPr>
        </a:p>
      </xdr:txBody>
    </xdr:sp>
    <xdr:clientData/>
  </xdr:twoCellAnchor>
  <xdr:twoCellAnchor>
    <xdr:from>
      <xdr:col>15</xdr:col>
      <xdr:colOff>228490</xdr:colOff>
      <xdr:row>15</xdr:row>
      <xdr:rowOff>49885</xdr:rowOff>
    </xdr:from>
    <xdr:to>
      <xdr:col>16</xdr:col>
      <xdr:colOff>76913</xdr:colOff>
      <xdr:row>16</xdr:row>
      <xdr:rowOff>157389</xdr:rowOff>
    </xdr:to>
    <xdr:sp macro="" textlink="'Variable Mgmt'!C254">
      <xdr:nvSpPr>
        <xdr:cNvPr id="73" name="Text Box 268">
          <a:extLst>
            <a:ext uri="{FF2B5EF4-FFF2-40B4-BE49-F238E27FC236}">
              <a16:creationId xmlns:a16="http://schemas.microsoft.com/office/drawing/2014/main" id="{00000000-0008-0000-0000-000049000000}"/>
            </a:ext>
          </a:extLst>
        </xdr:cNvPr>
        <xdr:cNvSpPr txBox="1">
          <a:spLocks noChangeArrowheads="1" noTextEdit="1"/>
        </xdr:cNvSpPr>
      </xdr:nvSpPr>
      <xdr:spPr bwMode="auto">
        <a:xfrm>
          <a:off x="9844204" y="3433528"/>
          <a:ext cx="555995" cy="307075"/>
        </a:xfrm>
        <a:prstGeom prst="rect">
          <a:avLst/>
        </a:prstGeom>
        <a:noFill/>
        <a:ln w="9525">
          <a:noFill/>
          <a:miter lim="800000"/>
          <a:headEnd/>
          <a:tailEnd/>
        </a:ln>
      </xdr:spPr>
      <xdr:txBody>
        <a:bodyPr vertOverflow="clip" wrap="square" lIns="27432" tIns="22860" rIns="0" bIns="0" anchor="ctr" upright="1"/>
        <a:lstStyle/>
        <a:p>
          <a:pPr algn="l" rtl="0">
            <a:defRPr sz="1000"/>
          </a:pPr>
          <a:fld id="{34FF5C9F-E605-45FC-B7D1-F0CC0D61FE72}" type="TxLink">
            <a:rPr lang="en-US" sz="900" b="0" i="0" u="none" strike="noStrike">
              <a:solidFill>
                <a:srgbClr val="000000"/>
              </a:solidFill>
              <a:latin typeface="Arial"/>
              <a:cs typeface="Arial"/>
            </a:rPr>
            <a:pPr algn="l" rtl="0">
              <a:defRPr sz="1000"/>
            </a:pPr>
            <a:t>6.81kΩ</a:t>
          </a:fld>
          <a:endParaRPr lang="el-GR" sz="900" b="0" i="0" strike="noStrike">
            <a:solidFill>
              <a:srgbClr val="000000"/>
            </a:solidFill>
            <a:latin typeface="Arial" pitchFamily="34" charset="0"/>
            <a:cs typeface="Arial" pitchFamily="34" charset="0"/>
          </a:endParaRPr>
        </a:p>
      </xdr:txBody>
    </xdr:sp>
    <xdr:clientData/>
  </xdr:twoCellAnchor>
  <xdr:twoCellAnchor>
    <xdr:from>
      <xdr:col>18</xdr:col>
      <xdr:colOff>676778</xdr:colOff>
      <xdr:row>16</xdr:row>
      <xdr:rowOff>6934</xdr:rowOff>
    </xdr:from>
    <xdr:to>
      <xdr:col>19</xdr:col>
      <xdr:colOff>538343</xdr:colOff>
      <xdr:row>17</xdr:row>
      <xdr:rowOff>35167</xdr:rowOff>
    </xdr:to>
    <xdr:sp macro="" textlink="'Variable Mgmt'!C243">
      <xdr:nvSpPr>
        <xdr:cNvPr id="89" name="Text Box 268">
          <a:extLst>
            <a:ext uri="{FF2B5EF4-FFF2-40B4-BE49-F238E27FC236}">
              <a16:creationId xmlns:a16="http://schemas.microsoft.com/office/drawing/2014/main" id="{00000000-0008-0000-0000-000059000000}"/>
            </a:ext>
          </a:extLst>
        </xdr:cNvPr>
        <xdr:cNvSpPr txBox="1">
          <a:spLocks noChangeArrowheads="1" noTextEdit="1"/>
        </xdr:cNvSpPr>
      </xdr:nvSpPr>
      <xdr:spPr bwMode="auto">
        <a:xfrm>
          <a:off x="12415207" y="3590148"/>
          <a:ext cx="560065" cy="227805"/>
        </a:xfrm>
        <a:prstGeom prst="rect">
          <a:avLst/>
        </a:prstGeom>
        <a:noFill/>
        <a:ln w="9525">
          <a:noFill/>
          <a:miter lim="800000"/>
          <a:headEnd/>
          <a:tailEnd/>
        </a:ln>
      </xdr:spPr>
      <xdr:txBody>
        <a:bodyPr vertOverflow="clip" wrap="square" lIns="27432" tIns="22860" rIns="0" bIns="0" anchor="ctr" upright="1"/>
        <a:lstStyle/>
        <a:p>
          <a:pPr algn="l" rtl="0">
            <a:defRPr sz="1000"/>
          </a:pPr>
          <a:fld id="{748954DB-E280-498C-BC91-9439B9EC7524}" type="TxLink">
            <a:rPr lang="en-US" sz="900" b="0" i="0" u="none" strike="noStrike">
              <a:solidFill>
                <a:srgbClr val="000000"/>
              </a:solidFill>
              <a:latin typeface="Arial"/>
              <a:cs typeface="Arial"/>
            </a:rPr>
            <a:pPr algn="l" rtl="0">
              <a:defRPr sz="1000"/>
            </a:pPr>
            <a:t>284kΩ</a:t>
          </a:fld>
          <a:endParaRPr lang="el-GR" sz="1200" b="0" i="0" strike="noStrike">
            <a:solidFill>
              <a:srgbClr val="000000"/>
            </a:solidFill>
            <a:latin typeface="Arial" pitchFamily="34" charset="0"/>
            <a:cs typeface="Arial" pitchFamily="34" charset="0"/>
          </a:endParaRPr>
        </a:p>
      </xdr:txBody>
    </xdr:sp>
    <xdr:clientData/>
  </xdr:twoCellAnchor>
  <xdr:twoCellAnchor>
    <xdr:from>
      <xdr:col>15</xdr:col>
      <xdr:colOff>515590</xdr:colOff>
      <xdr:row>17</xdr:row>
      <xdr:rowOff>132012</xdr:rowOff>
    </xdr:from>
    <xdr:to>
      <xdr:col>16</xdr:col>
      <xdr:colOff>343366</xdr:colOff>
      <xdr:row>18</xdr:row>
      <xdr:rowOff>143932</xdr:rowOff>
    </xdr:to>
    <xdr:sp macro="" textlink="'Variable Mgmt'!C257">
      <xdr:nvSpPr>
        <xdr:cNvPr id="91" name="Text Box 265">
          <a:extLst>
            <a:ext uri="{FF2B5EF4-FFF2-40B4-BE49-F238E27FC236}">
              <a16:creationId xmlns:a16="http://schemas.microsoft.com/office/drawing/2014/main" id="{00000000-0008-0000-0000-00005B000000}"/>
            </a:ext>
          </a:extLst>
        </xdr:cNvPr>
        <xdr:cNvSpPr txBox="1">
          <a:spLocks noChangeArrowheads="1" noTextEdit="1"/>
        </xdr:cNvSpPr>
      </xdr:nvSpPr>
      <xdr:spPr bwMode="auto">
        <a:xfrm>
          <a:off x="10131304" y="3914798"/>
          <a:ext cx="535348" cy="211491"/>
        </a:xfrm>
        <a:prstGeom prst="rect">
          <a:avLst/>
        </a:prstGeom>
        <a:noFill/>
        <a:ln w="9525">
          <a:noFill/>
          <a:miter lim="800000"/>
          <a:headEnd/>
          <a:tailEnd/>
        </a:ln>
      </xdr:spPr>
      <xdr:txBody>
        <a:bodyPr vertOverflow="clip" wrap="square" lIns="27432" tIns="22860" rIns="0" bIns="0" anchor="t" upright="1"/>
        <a:lstStyle/>
        <a:p>
          <a:pPr algn="l" rtl="0">
            <a:defRPr sz="1000"/>
          </a:pPr>
          <a:fld id="{B2616B24-776D-472C-9328-875E07CFCCA9}" type="TxLink">
            <a:rPr lang="en-US" sz="900" b="0" i="0" u="none" strike="noStrike" baseline="0">
              <a:solidFill>
                <a:srgbClr val="000000"/>
              </a:solidFill>
              <a:latin typeface="Arial"/>
              <a:cs typeface="Arial"/>
            </a:rPr>
            <a:pPr algn="l" rtl="0">
              <a:defRPr sz="1000"/>
            </a:pPr>
            <a:t>10kΩ</a:t>
          </a:fld>
          <a:endParaRPr lang="el-GR" sz="1000" b="0" i="0" u="none" strike="noStrike" baseline="0">
            <a:solidFill>
              <a:srgbClr val="000000"/>
            </a:solidFill>
            <a:latin typeface="Arial" pitchFamily="34" charset="0"/>
            <a:cs typeface="Arial" pitchFamily="34" charset="0"/>
          </a:endParaRPr>
        </a:p>
      </xdr:txBody>
    </xdr:sp>
    <xdr:clientData/>
  </xdr:twoCellAnchor>
  <xdr:twoCellAnchor>
    <xdr:from>
      <xdr:col>14</xdr:col>
      <xdr:colOff>105150</xdr:colOff>
      <xdr:row>7</xdr:row>
      <xdr:rowOff>58997</xdr:rowOff>
    </xdr:from>
    <xdr:to>
      <xdr:col>15</xdr:col>
      <xdr:colOff>312085</xdr:colOff>
      <xdr:row>8</xdr:row>
      <xdr:rowOff>144859</xdr:rowOff>
    </xdr:to>
    <xdr:sp macro="" textlink="'Variable Mgmt'!B222">
      <xdr:nvSpPr>
        <xdr:cNvPr id="35" name="Text Box 283">
          <a:extLst>
            <a:ext uri="{FF2B5EF4-FFF2-40B4-BE49-F238E27FC236}">
              <a16:creationId xmlns:a16="http://schemas.microsoft.com/office/drawing/2014/main" id="{00000000-0008-0000-0000-000023000000}"/>
            </a:ext>
          </a:extLst>
        </xdr:cNvPr>
        <xdr:cNvSpPr txBox="1">
          <a:spLocks noChangeArrowheads="1" noTextEdit="1"/>
        </xdr:cNvSpPr>
      </xdr:nvSpPr>
      <xdr:spPr bwMode="auto">
        <a:xfrm>
          <a:off x="8614150" y="1836997"/>
          <a:ext cx="849406" cy="280097"/>
        </a:xfrm>
        <a:prstGeom prst="rect">
          <a:avLst/>
        </a:prstGeom>
        <a:noFill/>
        <a:ln w="9525">
          <a:noFill/>
          <a:miter lim="800000"/>
          <a:headEnd/>
          <a:tailEnd/>
        </a:ln>
      </xdr:spPr>
      <xdr:txBody>
        <a:bodyPr vertOverflow="clip" wrap="square" lIns="27432" tIns="22860" rIns="0" bIns="0" anchor="t" upright="1"/>
        <a:lstStyle/>
        <a:p>
          <a:pPr algn="l" rtl="0">
            <a:defRPr sz="1000"/>
          </a:pPr>
          <a:fld id="{47315316-35F3-49E7-A4CE-EA42773D1FAE}" type="TxLink">
            <a:rPr lang="en-US" sz="1200" b="1" i="0" u="none" strike="noStrike">
              <a:solidFill>
                <a:srgbClr val="000000"/>
              </a:solidFill>
              <a:latin typeface="Arial"/>
              <a:cs typeface="Arial"/>
            </a:rPr>
            <a:pPr algn="l" rtl="0">
              <a:defRPr sz="1000"/>
            </a:pPr>
            <a:t>19V...40V</a:t>
          </a:fld>
          <a:endParaRPr lang="en-US" sz="1200" b="1" i="0" strike="noStrike">
            <a:solidFill>
              <a:srgbClr val="00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4</xdr:col>
          <xdr:colOff>12700</xdr:colOff>
          <xdr:row>40</xdr:row>
          <xdr:rowOff>0</xdr:rowOff>
        </xdr:from>
        <xdr:to>
          <xdr:col>5</xdr:col>
          <xdr:colOff>279400</xdr:colOff>
          <xdr:row>41</xdr:row>
          <xdr:rowOff>31750</xdr:rowOff>
        </xdr:to>
        <xdr:sp macro="" textlink="">
          <xdr:nvSpPr>
            <xdr:cNvPr id="672935" name="Drop Down 167" hidden="1">
              <a:extLst>
                <a:ext uri="{63B3BB69-23CF-44E3-9099-C40C66FF867C}">
                  <a14:compatExt spid="_x0000_s672935"/>
                </a:ext>
                <a:ext uri="{FF2B5EF4-FFF2-40B4-BE49-F238E27FC236}">
                  <a16:creationId xmlns:a16="http://schemas.microsoft.com/office/drawing/2014/main" id="{00000000-0008-0000-0000-0000A744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16</xdr:col>
      <xdr:colOff>132617</xdr:colOff>
      <xdr:row>19</xdr:row>
      <xdr:rowOff>226786</xdr:rowOff>
    </xdr:from>
    <xdr:to>
      <xdr:col>16</xdr:col>
      <xdr:colOff>679506</xdr:colOff>
      <xdr:row>20</xdr:row>
      <xdr:rowOff>138885</xdr:rowOff>
    </xdr:to>
    <xdr:sp macro="" textlink="'Variable Mgmt'!B249">
      <xdr:nvSpPr>
        <xdr:cNvPr id="44" name="Text Box 268">
          <a:extLst>
            <a:ext uri="{FF2B5EF4-FFF2-40B4-BE49-F238E27FC236}">
              <a16:creationId xmlns:a16="http://schemas.microsoft.com/office/drawing/2014/main" id="{00000000-0008-0000-0000-00002C000000}"/>
            </a:ext>
          </a:extLst>
        </xdr:cNvPr>
        <xdr:cNvSpPr txBox="1">
          <a:spLocks noChangeArrowheads="1" noTextEdit="1"/>
        </xdr:cNvSpPr>
      </xdr:nvSpPr>
      <xdr:spPr bwMode="auto">
        <a:xfrm>
          <a:off x="10455903" y="4454072"/>
          <a:ext cx="546889" cy="157027"/>
        </a:xfrm>
        <a:prstGeom prst="rect">
          <a:avLst/>
        </a:prstGeom>
        <a:noFill/>
        <a:ln w="9525">
          <a:noFill/>
          <a:miter lim="800000"/>
          <a:headEnd/>
          <a:tailEnd/>
        </a:ln>
      </xdr:spPr>
      <xdr:txBody>
        <a:bodyPr vertOverflow="clip" wrap="square" lIns="27432" tIns="22860" rIns="0" bIns="0" anchor="ctr" upright="1"/>
        <a:lstStyle/>
        <a:p>
          <a:pPr algn="l" rtl="0">
            <a:defRPr sz="1000"/>
          </a:pPr>
          <a:fld id="{35437053-6AF1-4CB6-8BC9-CEEF911045AA}" type="TxLink">
            <a:rPr lang="en-US" sz="900" b="0" i="0" u="none" strike="noStrike">
              <a:solidFill>
                <a:srgbClr val="000000"/>
              </a:solidFill>
              <a:latin typeface="Arial"/>
              <a:cs typeface="Arial"/>
            </a:rPr>
            <a:pPr algn="l" rtl="0">
              <a:defRPr sz="1000"/>
            </a:pPr>
            <a:t> </a:t>
          </a:fld>
          <a:endParaRPr lang="el-GR" sz="900" b="0" i="0" strike="noStrike">
            <a:solidFill>
              <a:srgbClr val="00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4</xdr:col>
          <xdr:colOff>12700</xdr:colOff>
          <xdr:row>46</xdr:row>
          <xdr:rowOff>0</xdr:rowOff>
        </xdr:from>
        <xdr:to>
          <xdr:col>5</xdr:col>
          <xdr:colOff>260350</xdr:colOff>
          <xdr:row>46</xdr:row>
          <xdr:rowOff>203200</xdr:rowOff>
        </xdr:to>
        <xdr:sp macro="" textlink="">
          <xdr:nvSpPr>
            <xdr:cNvPr id="673043" name="Drop Down 275" hidden="1">
              <a:extLst>
                <a:ext uri="{63B3BB69-23CF-44E3-9099-C40C66FF867C}">
                  <a14:compatExt spid="_x0000_s673043"/>
                </a:ext>
                <a:ext uri="{FF2B5EF4-FFF2-40B4-BE49-F238E27FC236}">
                  <a16:creationId xmlns:a16="http://schemas.microsoft.com/office/drawing/2014/main" id="{00000000-0008-0000-0000-00001345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78143</xdr:colOff>
      <xdr:row>0</xdr:row>
      <xdr:rowOff>32845</xdr:rowOff>
    </xdr:from>
    <xdr:to>
      <xdr:col>3</xdr:col>
      <xdr:colOff>357789</xdr:colOff>
      <xdr:row>0</xdr:row>
      <xdr:rowOff>571501</xdr:rowOff>
    </xdr:to>
    <xdr:pic macro="[0]!OpenLM27403ProductFolder">
      <xdr:nvPicPr>
        <xdr:cNvPr id="4" name="Picture 3">
          <a:hlinkClick xmlns:r="http://schemas.openxmlformats.org/officeDocument/2006/relationships" r:id="rId4"/>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t="4896" b="8304"/>
        <a:stretch/>
      </xdr:blipFill>
      <xdr:spPr>
        <a:xfrm>
          <a:off x="78143" y="32845"/>
          <a:ext cx="2283071" cy="538656"/>
        </a:xfrm>
        <a:prstGeom prst="rect">
          <a:avLst/>
        </a:prstGeom>
      </xdr:spPr>
    </xdr:pic>
    <xdr:clientData/>
  </xdr:twoCellAnchor>
  <xdr:twoCellAnchor editAs="oneCell">
    <xdr:from>
      <xdr:col>21</xdr:col>
      <xdr:colOff>400381</xdr:colOff>
      <xdr:row>0</xdr:row>
      <xdr:rowOff>123825</xdr:rowOff>
    </xdr:from>
    <xdr:to>
      <xdr:col>23</xdr:col>
      <xdr:colOff>435229</xdr:colOff>
      <xdr:row>3</xdr:row>
      <xdr:rowOff>130175</xdr:rowOff>
    </xdr:to>
    <xdr:pic macro="[0]!OpenLM27403ProductFolder">
      <xdr:nvPicPr>
        <xdr:cNvPr id="53" name="Picture 52">
          <a:hlinkClick xmlns:r="http://schemas.openxmlformats.org/officeDocument/2006/relationships" r:id="rId6"/>
          <a:extLst>
            <a:ext uri="{FF2B5EF4-FFF2-40B4-BE49-F238E27FC236}">
              <a16:creationId xmlns:a16="http://schemas.microsoft.com/office/drawing/2014/main" id="{00000000-0008-0000-0000-000035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5478456" y="123825"/>
          <a:ext cx="1250873" cy="971550"/>
        </a:xfrm>
        <a:prstGeom prst="rect">
          <a:avLst/>
        </a:prstGeom>
      </xdr:spPr>
    </xdr:pic>
    <xdr:clientData/>
  </xdr:twoCellAnchor>
  <xdr:twoCellAnchor editAs="oneCell">
    <xdr:from>
      <xdr:col>23</xdr:col>
      <xdr:colOff>514350</xdr:colOff>
      <xdr:row>0</xdr:row>
      <xdr:rowOff>117830</xdr:rowOff>
    </xdr:from>
    <xdr:to>
      <xdr:col>25</xdr:col>
      <xdr:colOff>548543</xdr:colOff>
      <xdr:row>3</xdr:row>
      <xdr:rowOff>130483</xdr:rowOff>
    </xdr:to>
    <xdr:pic macro="[0]!OpenLM27403ProductFolder">
      <xdr:nvPicPr>
        <xdr:cNvPr id="54" name="Picture 53">
          <a:hlinkClick xmlns:r="http://schemas.openxmlformats.org/officeDocument/2006/relationships" r:id="rId8"/>
          <a:extLst>
            <a:ext uri="{FF2B5EF4-FFF2-40B4-BE49-F238E27FC236}">
              <a16:creationId xmlns:a16="http://schemas.microsoft.com/office/drawing/2014/main" id="{00000000-0008-0000-0000-000036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6787446" y="117830"/>
          <a:ext cx="1244112" cy="97028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12700</xdr:colOff>
          <xdr:row>12</xdr:row>
          <xdr:rowOff>0</xdr:rowOff>
        </xdr:from>
        <xdr:to>
          <xdr:col>12</xdr:col>
          <xdr:colOff>69850</xdr:colOff>
          <xdr:row>13</xdr:row>
          <xdr:rowOff>6350</xdr:rowOff>
        </xdr:to>
        <xdr:sp macro="" textlink="">
          <xdr:nvSpPr>
            <xdr:cNvPr id="697343" name="Drop Down 3071" hidden="1">
              <a:extLst>
                <a:ext uri="{63B3BB69-23CF-44E3-9099-C40C66FF867C}">
                  <a14:compatExt spid="_x0000_s697343"/>
                </a:ext>
                <a:ext uri="{FF2B5EF4-FFF2-40B4-BE49-F238E27FC236}">
                  <a16:creationId xmlns:a16="http://schemas.microsoft.com/office/drawing/2014/main" id="{00000000-0008-0000-0000-0000FFA3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43</xdr:row>
          <xdr:rowOff>12700</xdr:rowOff>
        </xdr:from>
        <xdr:to>
          <xdr:col>5</xdr:col>
          <xdr:colOff>266700</xdr:colOff>
          <xdr:row>44</xdr:row>
          <xdr:rowOff>12700</xdr:rowOff>
        </xdr:to>
        <xdr:sp macro="" textlink="">
          <xdr:nvSpPr>
            <xdr:cNvPr id="714798" name="Drop Down 3118" hidden="1">
              <a:extLst>
                <a:ext uri="{63B3BB69-23CF-44E3-9099-C40C66FF867C}">
                  <a14:compatExt spid="_x0000_s714798"/>
                </a:ext>
                <a:ext uri="{FF2B5EF4-FFF2-40B4-BE49-F238E27FC236}">
                  <a16:creationId xmlns:a16="http://schemas.microsoft.com/office/drawing/2014/main" id="{00000000-0008-0000-0000-00002EE8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20</xdr:col>
      <xdr:colOff>109162</xdr:colOff>
      <xdr:row>6</xdr:row>
      <xdr:rowOff>19381</xdr:rowOff>
    </xdr:from>
    <xdr:to>
      <xdr:col>21</xdr:col>
      <xdr:colOff>494998</xdr:colOff>
      <xdr:row>7</xdr:row>
      <xdr:rowOff>91622</xdr:rowOff>
    </xdr:to>
    <xdr:sp macro="" textlink="'Variable Mgmt'!B217">
      <xdr:nvSpPr>
        <xdr:cNvPr id="62" name="Text Box 265">
          <a:extLst>
            <a:ext uri="{FF2B5EF4-FFF2-40B4-BE49-F238E27FC236}">
              <a16:creationId xmlns:a16="http://schemas.microsoft.com/office/drawing/2014/main" id="{00000000-0008-0000-0000-00003E000000}"/>
            </a:ext>
          </a:extLst>
        </xdr:cNvPr>
        <xdr:cNvSpPr txBox="1">
          <a:spLocks noChangeArrowheads="1" noTextEdit="1"/>
        </xdr:cNvSpPr>
      </xdr:nvSpPr>
      <xdr:spPr bwMode="auto">
        <a:xfrm>
          <a:off x="13190162" y="1625024"/>
          <a:ext cx="1029907" cy="253669"/>
        </a:xfrm>
        <a:prstGeom prst="rect">
          <a:avLst/>
        </a:prstGeom>
        <a:noFill/>
        <a:ln w="9525">
          <a:noFill/>
          <a:miter lim="800000"/>
          <a:headEnd/>
          <a:tailEnd/>
        </a:ln>
      </xdr:spPr>
      <xdr:txBody>
        <a:bodyPr vertOverflow="clip" wrap="square" lIns="27432" tIns="22860" rIns="0" bIns="0" anchor="t" upright="1"/>
        <a:lstStyle/>
        <a:p>
          <a:pPr algn="ctr" rtl="0">
            <a:defRPr sz="1000"/>
          </a:pPr>
          <a:fld id="{4DF3E085-FEDD-406F-9003-D894075812A3}" type="TxLink">
            <a:rPr lang="en-US" sz="1000" b="0" i="0" u="none" strike="noStrike" baseline="0">
              <a:solidFill>
                <a:srgbClr val="000000"/>
              </a:solidFill>
              <a:latin typeface="Arial"/>
              <a:cs typeface="Arial"/>
            </a:rPr>
            <a:pPr algn="ctr" rtl="0">
              <a:defRPr sz="1000"/>
            </a:pPr>
            <a:t>1 : 1</a:t>
          </a:fld>
          <a:endParaRPr lang="el-GR" sz="1200" b="0" i="0" u="none" strike="noStrike" baseline="0">
            <a:solidFill>
              <a:srgbClr val="000000"/>
            </a:solidFill>
            <a:latin typeface="Arial" pitchFamily="34" charset="0"/>
            <a:cs typeface="Arial" pitchFamily="34" charset="0"/>
          </a:endParaRPr>
        </a:p>
      </xdr:txBody>
    </xdr:sp>
    <xdr:clientData/>
  </xdr:twoCellAnchor>
  <xdr:twoCellAnchor>
    <xdr:from>
      <xdr:col>25</xdr:col>
      <xdr:colOff>750794</xdr:colOff>
      <xdr:row>41</xdr:row>
      <xdr:rowOff>69135</xdr:rowOff>
    </xdr:from>
    <xdr:to>
      <xdr:col>25</xdr:col>
      <xdr:colOff>1228557</xdr:colOff>
      <xdr:row>42</xdr:row>
      <xdr:rowOff>146830</xdr:rowOff>
    </xdr:to>
    <xdr:sp macro="" textlink="'Variable Mgmt'!$B$270">
      <xdr:nvSpPr>
        <xdr:cNvPr id="56" name="Text Box 24">
          <a:extLst>
            <a:ext uri="{FF2B5EF4-FFF2-40B4-BE49-F238E27FC236}">
              <a16:creationId xmlns:a16="http://schemas.microsoft.com/office/drawing/2014/main" id="{00000000-0008-0000-0000-000038000000}"/>
            </a:ext>
          </a:extLst>
        </xdr:cNvPr>
        <xdr:cNvSpPr txBox="1">
          <a:spLocks noChangeArrowheads="1" noTextEdit="1"/>
        </xdr:cNvSpPr>
      </xdr:nvSpPr>
      <xdr:spPr bwMode="auto">
        <a:xfrm>
          <a:off x="16588441" y="9003959"/>
          <a:ext cx="477763" cy="286871"/>
        </a:xfrm>
        <a:prstGeom prst="rect">
          <a:avLst/>
        </a:prstGeom>
        <a:noFill/>
        <a:ln w="9525">
          <a:noFill/>
          <a:miter lim="800000"/>
          <a:headEnd/>
          <a:tailEnd/>
        </a:ln>
      </xdr:spPr>
      <xdr:txBody>
        <a:bodyPr wrap="square" lIns="27432" tIns="22860" rIns="0"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fld id="{1F0AFB1C-0795-4024-9821-D34D86340D40}" type="TxLink">
            <a:rPr lang="en-US" sz="1000" b="0" i="0" u="none" strike="noStrike" baseline="0">
              <a:solidFill>
                <a:srgbClr val="000000"/>
              </a:solidFill>
              <a:latin typeface="Arial"/>
              <a:cs typeface="Arial"/>
            </a:rPr>
            <a:pPr algn="l" rtl="0">
              <a:defRPr sz="1000"/>
            </a:pPr>
            <a:t>69.2%</a:t>
          </a:fld>
          <a:endParaRPr lang="en-US" sz="1000" b="1" i="0" u="none" strike="noStrike" baseline="0">
            <a:solidFill>
              <a:srgbClr val="000000"/>
            </a:solidFill>
            <a:latin typeface="Arial" pitchFamily="34" charset="0"/>
            <a:cs typeface="Arial" pitchFamily="34" charset="0"/>
          </a:endParaRPr>
        </a:p>
      </xdr:txBody>
    </xdr:sp>
    <xdr:clientData/>
  </xdr:twoCellAnchor>
  <xdr:twoCellAnchor>
    <xdr:from>
      <xdr:col>25</xdr:col>
      <xdr:colOff>1096216</xdr:colOff>
      <xdr:row>18</xdr:row>
      <xdr:rowOff>128280</xdr:rowOff>
    </xdr:from>
    <xdr:to>
      <xdr:col>25</xdr:col>
      <xdr:colOff>1759040</xdr:colOff>
      <xdr:row>19</xdr:row>
      <xdr:rowOff>0</xdr:rowOff>
    </xdr:to>
    <xdr:sp macro="" textlink="'Variable Mgmt'!B225">
      <xdr:nvSpPr>
        <xdr:cNvPr id="42" name="Text Box 285">
          <a:extLst>
            <a:ext uri="{FF2B5EF4-FFF2-40B4-BE49-F238E27FC236}">
              <a16:creationId xmlns:a16="http://schemas.microsoft.com/office/drawing/2014/main" id="{00000000-0008-0000-0000-00002A000000}"/>
            </a:ext>
          </a:extLst>
        </xdr:cNvPr>
        <xdr:cNvSpPr txBox="1">
          <a:spLocks noChangeArrowheads="1" noTextEdit="1"/>
        </xdr:cNvSpPr>
      </xdr:nvSpPr>
      <xdr:spPr bwMode="auto">
        <a:xfrm>
          <a:off x="16612303" y="3341932"/>
          <a:ext cx="662824" cy="349094"/>
        </a:xfrm>
        <a:prstGeom prst="rect">
          <a:avLst/>
        </a:prstGeom>
        <a:noFill/>
        <a:ln w="9525">
          <a:noFill/>
          <a:miter lim="800000"/>
          <a:headEnd/>
          <a:tailEnd/>
        </a:ln>
      </xdr:spPr>
      <xdr:txBody>
        <a:bodyPr vertOverflow="clip" wrap="square" lIns="27432" tIns="22860" rIns="0" bIns="0" anchor="ctr" upright="1"/>
        <a:lstStyle/>
        <a:p>
          <a:pPr algn="l" rtl="0">
            <a:defRPr sz="1000"/>
          </a:pPr>
          <a:fld id="{1EB32AF4-7354-4114-B6DF-5AD8FEB0166D}" type="TxLink">
            <a:rPr lang="en-US" sz="1350" b="1" i="0" u="none" strike="noStrike" baseline="0">
              <a:solidFill>
                <a:srgbClr val="FF0000"/>
              </a:solidFill>
              <a:latin typeface="Arial"/>
              <a:cs typeface="Arial"/>
            </a:rPr>
            <a:pPr algn="l" rtl="0">
              <a:defRPr sz="1000"/>
            </a:pPr>
            <a:t> </a:t>
          </a:fld>
          <a:endParaRPr lang="en-US" sz="1350" b="1" i="0" u="none" strike="noStrike" baseline="0">
            <a:solidFill>
              <a:srgbClr val="FF0000"/>
            </a:solidFill>
            <a:latin typeface="Arial" pitchFamily="34" charset="0"/>
            <a:cs typeface="Arial" pitchFamily="34" charset="0"/>
          </a:endParaRPr>
        </a:p>
      </xdr:txBody>
    </xdr:sp>
    <xdr:clientData/>
  </xdr:twoCellAnchor>
  <xdr:twoCellAnchor>
    <xdr:from>
      <xdr:col>25</xdr:col>
      <xdr:colOff>869431</xdr:colOff>
      <xdr:row>18</xdr:row>
      <xdr:rowOff>185393</xdr:rowOff>
    </xdr:from>
    <xdr:to>
      <xdr:col>25</xdr:col>
      <xdr:colOff>1616761</xdr:colOff>
      <xdr:row>20</xdr:row>
      <xdr:rowOff>58673</xdr:rowOff>
    </xdr:to>
    <xdr:sp macro="" textlink="'Variable Mgmt'!B280">
      <xdr:nvSpPr>
        <xdr:cNvPr id="46" name="Text Box 286">
          <a:extLst>
            <a:ext uri="{FF2B5EF4-FFF2-40B4-BE49-F238E27FC236}">
              <a16:creationId xmlns:a16="http://schemas.microsoft.com/office/drawing/2014/main" id="{00000000-0008-0000-0000-00002E000000}"/>
            </a:ext>
          </a:extLst>
        </xdr:cNvPr>
        <xdr:cNvSpPr txBox="1">
          <a:spLocks noChangeArrowheads="1" noTextEdit="1"/>
        </xdr:cNvSpPr>
      </xdr:nvSpPr>
      <xdr:spPr bwMode="auto">
        <a:xfrm>
          <a:off x="16385518" y="3399045"/>
          <a:ext cx="747330" cy="618715"/>
        </a:xfrm>
        <a:prstGeom prst="rect">
          <a:avLst/>
        </a:prstGeom>
        <a:noFill/>
        <a:ln w="9525">
          <a:noFill/>
          <a:miter lim="800000"/>
          <a:headEnd/>
          <a:tailEnd/>
        </a:ln>
      </xdr:spPr>
      <xdr:txBody>
        <a:bodyPr vertOverflow="clip" wrap="square" lIns="27432" tIns="22860" rIns="0" bIns="0" anchor="ctr" upright="1"/>
        <a:lstStyle/>
        <a:p>
          <a:pPr algn="ctr" rtl="0">
            <a:defRPr sz="1000"/>
          </a:pPr>
          <a:fld id="{F430775D-5566-4B2B-9D86-4FABD1E02F13}" type="TxLink">
            <a:rPr lang="en-US" sz="1350" b="1" i="0" u="none" strike="noStrike">
              <a:solidFill>
                <a:srgbClr val="FF0000"/>
              </a:solidFill>
              <a:latin typeface="Arial"/>
              <a:cs typeface="Arial"/>
            </a:rPr>
            <a:pPr algn="ctr" rtl="0">
              <a:defRPr sz="1000"/>
            </a:pPr>
            <a:t> </a:t>
          </a:fld>
          <a:endParaRPr lang="en-US" sz="1350" b="1" i="0" strike="noStrike">
            <a:solidFill>
              <a:srgbClr val="FF0000"/>
            </a:solidFill>
            <a:latin typeface="Arial" pitchFamily="34" charset="0"/>
            <a:cs typeface="Arial" pitchFamily="34" charset="0"/>
          </a:endParaRPr>
        </a:p>
      </xdr:txBody>
    </xdr:sp>
    <xdr:clientData/>
  </xdr:twoCellAnchor>
  <xdr:twoCellAnchor>
    <xdr:from>
      <xdr:col>25</xdr:col>
      <xdr:colOff>1022875</xdr:colOff>
      <xdr:row>16</xdr:row>
      <xdr:rowOff>158113</xdr:rowOff>
    </xdr:from>
    <xdr:to>
      <xdr:col>25</xdr:col>
      <xdr:colOff>1685699</xdr:colOff>
      <xdr:row>19</xdr:row>
      <xdr:rowOff>102504</xdr:rowOff>
    </xdr:to>
    <xdr:sp macro="" textlink="'Variable Mgmt'!B226">
      <xdr:nvSpPr>
        <xdr:cNvPr id="47" name="Text Box 285">
          <a:extLst>
            <a:ext uri="{FF2B5EF4-FFF2-40B4-BE49-F238E27FC236}">
              <a16:creationId xmlns:a16="http://schemas.microsoft.com/office/drawing/2014/main" id="{00000000-0008-0000-0000-00002F000000}"/>
            </a:ext>
          </a:extLst>
        </xdr:cNvPr>
        <xdr:cNvSpPr txBox="1">
          <a:spLocks noChangeArrowheads="1" noTextEdit="1"/>
        </xdr:cNvSpPr>
      </xdr:nvSpPr>
      <xdr:spPr bwMode="auto">
        <a:xfrm>
          <a:off x="17324232" y="3741327"/>
          <a:ext cx="662824" cy="833391"/>
        </a:xfrm>
        <a:prstGeom prst="rect">
          <a:avLst/>
        </a:prstGeom>
        <a:noFill/>
        <a:ln w="9525">
          <a:noFill/>
          <a:miter lim="800000"/>
          <a:headEnd/>
          <a:tailEnd/>
        </a:ln>
      </xdr:spPr>
      <xdr:txBody>
        <a:bodyPr vertOverflow="clip" wrap="square" lIns="27432" tIns="22860" rIns="0" bIns="0" anchor="ctr" upright="1"/>
        <a:lstStyle/>
        <a:p>
          <a:pPr algn="l" rtl="0">
            <a:defRPr sz="1000"/>
          </a:pPr>
          <a:fld id="{6CC6AC32-C574-4CE6-AE26-39476DAD0777}" type="TxLink">
            <a:rPr lang="en-US" sz="1350" b="1" i="0" u="none" strike="noStrike" baseline="0">
              <a:solidFill>
                <a:srgbClr val="FF0000"/>
              </a:solidFill>
              <a:latin typeface="Arial"/>
              <a:cs typeface="Arial"/>
            </a:rPr>
            <a:pPr algn="l" rtl="0">
              <a:defRPr sz="1000"/>
            </a:pPr>
            <a:t> </a:t>
          </a:fld>
          <a:endParaRPr lang="en-US" sz="1350" b="1" i="0" u="none" strike="noStrike" baseline="0">
            <a:solidFill>
              <a:srgbClr val="FF0000"/>
            </a:solidFill>
            <a:latin typeface="Arial" pitchFamily="34" charset="0"/>
            <a:cs typeface="Arial" pitchFamily="34" charset="0"/>
          </a:endParaRPr>
        </a:p>
      </xdr:txBody>
    </xdr:sp>
    <xdr:clientData/>
  </xdr:twoCellAnchor>
  <xdr:twoCellAnchor>
    <xdr:from>
      <xdr:col>25</xdr:col>
      <xdr:colOff>772742</xdr:colOff>
      <xdr:row>19</xdr:row>
      <xdr:rowOff>0</xdr:rowOff>
    </xdr:from>
    <xdr:to>
      <xdr:col>25</xdr:col>
      <xdr:colOff>1516897</xdr:colOff>
      <xdr:row>19</xdr:row>
      <xdr:rowOff>208643</xdr:rowOff>
    </xdr:to>
    <xdr:sp macro="" textlink="'Variable Mgmt'!B281">
      <xdr:nvSpPr>
        <xdr:cNvPr id="51" name="Text Box 286">
          <a:extLst>
            <a:ext uri="{FF2B5EF4-FFF2-40B4-BE49-F238E27FC236}">
              <a16:creationId xmlns:a16="http://schemas.microsoft.com/office/drawing/2014/main" id="{00000000-0008-0000-0000-000033000000}"/>
            </a:ext>
          </a:extLst>
        </xdr:cNvPr>
        <xdr:cNvSpPr txBox="1">
          <a:spLocks noChangeArrowheads="1" noTextEdit="1"/>
        </xdr:cNvSpPr>
      </xdr:nvSpPr>
      <xdr:spPr bwMode="auto">
        <a:xfrm>
          <a:off x="17074099" y="4227286"/>
          <a:ext cx="744155" cy="208643"/>
        </a:xfrm>
        <a:prstGeom prst="rect">
          <a:avLst/>
        </a:prstGeom>
        <a:noFill/>
        <a:ln w="9525">
          <a:noFill/>
          <a:miter lim="800000"/>
          <a:headEnd/>
          <a:tailEnd/>
        </a:ln>
      </xdr:spPr>
      <xdr:txBody>
        <a:bodyPr vertOverflow="clip" wrap="square" lIns="27432" tIns="22860" rIns="0" bIns="0" anchor="ctr" upright="1"/>
        <a:lstStyle/>
        <a:p>
          <a:pPr algn="ctr" rtl="0">
            <a:defRPr sz="1000"/>
          </a:pPr>
          <a:fld id="{21AE0BE5-7426-43AE-A5A8-768A4DEE6C58}" type="TxLink">
            <a:rPr lang="en-US" sz="1350" b="1" i="0" u="none" strike="noStrike">
              <a:solidFill>
                <a:srgbClr val="FF0000"/>
              </a:solidFill>
              <a:latin typeface="Arial"/>
              <a:cs typeface="Arial"/>
            </a:rPr>
            <a:pPr algn="ctr" rtl="0">
              <a:defRPr sz="1000"/>
            </a:pPr>
            <a:t> </a:t>
          </a:fld>
          <a:endParaRPr lang="en-US" sz="1350" b="1" i="0" strike="noStrike">
            <a:solidFill>
              <a:srgbClr val="FF0000"/>
            </a:solidFill>
            <a:latin typeface="Arial" pitchFamily="34" charset="0"/>
            <a:cs typeface="Arial" pitchFamily="34" charset="0"/>
          </a:endParaRPr>
        </a:p>
      </xdr:txBody>
    </xdr:sp>
    <xdr:clientData/>
  </xdr:twoCellAnchor>
  <xdr:twoCellAnchor>
    <xdr:from>
      <xdr:col>23</xdr:col>
      <xdr:colOff>150700</xdr:colOff>
      <xdr:row>15</xdr:row>
      <xdr:rowOff>151932</xdr:rowOff>
    </xdr:from>
    <xdr:to>
      <xdr:col>24</xdr:col>
      <xdr:colOff>34178</xdr:colOff>
      <xdr:row>17</xdr:row>
      <xdr:rowOff>126999</xdr:rowOff>
    </xdr:to>
    <xdr:sp macro="" textlink="'Variable Mgmt'!D229">
      <xdr:nvSpPr>
        <xdr:cNvPr id="55" name="Text Box 267">
          <a:extLst>
            <a:ext uri="{FF2B5EF4-FFF2-40B4-BE49-F238E27FC236}">
              <a16:creationId xmlns:a16="http://schemas.microsoft.com/office/drawing/2014/main" id="{00000000-0008-0000-0000-000037000000}"/>
            </a:ext>
          </a:extLst>
        </xdr:cNvPr>
        <xdr:cNvSpPr txBox="1">
          <a:spLocks noChangeArrowheads="1" noTextEdit="1"/>
        </xdr:cNvSpPr>
      </xdr:nvSpPr>
      <xdr:spPr bwMode="auto">
        <a:xfrm>
          <a:off x="15163914" y="3535575"/>
          <a:ext cx="527550" cy="374210"/>
        </a:xfrm>
        <a:prstGeom prst="rect">
          <a:avLst/>
        </a:prstGeom>
        <a:noFill/>
        <a:ln w="9525">
          <a:noFill/>
          <a:miter lim="800000"/>
          <a:headEnd/>
          <a:tailEnd/>
        </a:ln>
      </xdr:spPr>
      <xdr:txBody>
        <a:bodyPr vertOverflow="clip" wrap="square" lIns="27432" tIns="22860" rIns="0" bIns="0" anchor="ctr" upright="1"/>
        <a:lstStyle/>
        <a:p>
          <a:pPr algn="l" rtl="0">
            <a:defRPr sz="1000"/>
          </a:pPr>
          <a:fld id="{A5CD353A-83F6-408F-8104-9228EF111F31}" type="TxLink">
            <a:rPr lang="en-US" sz="1000" b="0" i="0" u="none" strike="noStrike" baseline="0">
              <a:solidFill>
                <a:srgbClr val="000000"/>
              </a:solidFill>
              <a:latin typeface="Arial"/>
              <a:cs typeface="Arial"/>
            </a:rPr>
            <a:pPr algn="l" rtl="0">
              <a:defRPr sz="1000"/>
            </a:pPr>
            <a:t> </a:t>
          </a:fld>
          <a:endParaRPr lang="en-US" sz="1100" b="0" i="0" u="none" strike="noStrike" baseline="0">
            <a:solidFill>
              <a:srgbClr val="000000"/>
            </a:solidFill>
            <a:latin typeface="Arial" pitchFamily="34" charset="0"/>
            <a:cs typeface="Arial" pitchFamily="34" charset="0"/>
          </a:endParaRPr>
        </a:p>
      </xdr:txBody>
    </xdr:sp>
    <xdr:clientData/>
  </xdr:twoCellAnchor>
  <xdr:twoCellAnchor>
    <xdr:from>
      <xdr:col>23</xdr:col>
      <xdr:colOff>159771</xdr:colOff>
      <xdr:row>19</xdr:row>
      <xdr:rowOff>90714</xdr:rowOff>
    </xdr:from>
    <xdr:to>
      <xdr:col>24</xdr:col>
      <xdr:colOff>43249</xdr:colOff>
      <xdr:row>20</xdr:row>
      <xdr:rowOff>0</xdr:rowOff>
    </xdr:to>
    <xdr:sp macro="" textlink="'Variable Mgmt'!C229">
      <xdr:nvSpPr>
        <xdr:cNvPr id="67" name="Text Box 267">
          <a:extLst>
            <a:ext uri="{FF2B5EF4-FFF2-40B4-BE49-F238E27FC236}">
              <a16:creationId xmlns:a16="http://schemas.microsoft.com/office/drawing/2014/main" id="{00000000-0008-0000-0000-000043000000}"/>
            </a:ext>
          </a:extLst>
        </xdr:cNvPr>
        <xdr:cNvSpPr txBox="1">
          <a:spLocks noChangeArrowheads="1" noTextEdit="1"/>
        </xdr:cNvSpPr>
      </xdr:nvSpPr>
      <xdr:spPr bwMode="auto">
        <a:xfrm>
          <a:off x="15172985" y="4318000"/>
          <a:ext cx="527550" cy="154214"/>
        </a:xfrm>
        <a:prstGeom prst="rect">
          <a:avLst/>
        </a:prstGeom>
        <a:noFill/>
        <a:ln w="9525">
          <a:noFill/>
          <a:miter lim="800000"/>
          <a:headEnd/>
          <a:tailEnd/>
        </a:ln>
      </xdr:spPr>
      <xdr:txBody>
        <a:bodyPr vertOverflow="clip" wrap="square" lIns="27432" tIns="22860" rIns="0" bIns="0" anchor="ctr" upright="1"/>
        <a:lstStyle/>
        <a:p>
          <a:pPr algn="l" rtl="0">
            <a:defRPr sz="1000"/>
          </a:pPr>
          <a:fld id="{EB8BEA1C-AFA8-40F4-BE4F-A41F4D085390}" type="TxLink">
            <a:rPr lang="en-US" sz="900" b="0" i="0" u="none" strike="noStrike" baseline="0">
              <a:solidFill>
                <a:srgbClr val="000000"/>
              </a:solidFill>
              <a:latin typeface="Arial"/>
              <a:cs typeface="Arial"/>
            </a:rPr>
            <a:pPr algn="l" rtl="0">
              <a:defRPr sz="1000"/>
            </a:pPr>
            <a:t> </a:t>
          </a:fld>
          <a:endParaRPr lang="en-US" sz="900" b="0" i="0" u="none" strike="noStrike" baseline="0">
            <a:solidFill>
              <a:srgbClr val="00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4</xdr:col>
          <xdr:colOff>0</xdr:colOff>
          <xdr:row>7</xdr:row>
          <xdr:rowOff>190500</xdr:rowOff>
        </xdr:from>
        <xdr:to>
          <xdr:col>5</xdr:col>
          <xdr:colOff>76200</xdr:colOff>
          <xdr:row>8</xdr:row>
          <xdr:rowOff>190500</xdr:rowOff>
        </xdr:to>
        <xdr:sp macro="" textlink="">
          <xdr:nvSpPr>
            <xdr:cNvPr id="715085" name="Drop Down 3405" hidden="1">
              <a:extLst>
                <a:ext uri="{63B3BB69-23CF-44E3-9099-C40C66FF867C}">
                  <a14:compatExt spid="_x0000_s715085"/>
                </a:ext>
                <a:ext uri="{FF2B5EF4-FFF2-40B4-BE49-F238E27FC236}">
                  <a16:creationId xmlns:a16="http://schemas.microsoft.com/office/drawing/2014/main" id="{00000000-0008-0000-0000-00004DE9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14079</xdr:colOff>
          <xdr:row>37</xdr:row>
          <xdr:rowOff>54758</xdr:rowOff>
        </xdr:from>
        <xdr:to>
          <xdr:col>17</xdr:col>
          <xdr:colOff>298824</xdr:colOff>
          <xdr:row>60</xdr:row>
          <xdr:rowOff>161778</xdr:rowOff>
        </xdr:to>
        <xdr:pic>
          <xdr:nvPicPr>
            <xdr:cNvPr id="65" name="Picture 8888">
              <a:extLst>
                <a:ext uri="{FF2B5EF4-FFF2-40B4-BE49-F238E27FC236}">
                  <a16:creationId xmlns:a16="http://schemas.microsoft.com/office/drawing/2014/main" id="{00000000-0008-0000-0000-000041000000}"/>
                </a:ext>
              </a:extLst>
            </xdr:cNvPr>
            <xdr:cNvPicPr>
              <a:picLocks noChangeAspect="1" noChangeArrowheads="1"/>
              <a:extLst>
                <a:ext uri="{84589F7E-364E-4C9E-8A38-B11213B215E9}">
                  <a14:cameraTool cellRange="PICTURE2" spid="_x0000_s789719"/>
                </a:ext>
              </a:extLst>
            </xdr:cNvPicPr>
          </xdr:nvPicPr>
          <xdr:blipFill rotWithShape="1">
            <a:blip xmlns:r="http://schemas.openxmlformats.org/officeDocument/2006/relationships" r:embed="rId10"/>
            <a:srcRect r="5700"/>
            <a:stretch>
              <a:fillRect/>
            </a:stretch>
          </xdr:blipFill>
          <xdr:spPr bwMode="auto">
            <a:xfrm>
              <a:off x="4249903" y="8175287"/>
              <a:ext cx="6619803" cy="4073903"/>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23</xdr:col>
          <xdr:colOff>127000</xdr:colOff>
          <xdr:row>62</xdr:row>
          <xdr:rowOff>12700</xdr:rowOff>
        </xdr:from>
        <xdr:to>
          <xdr:col>23</xdr:col>
          <xdr:colOff>304800</xdr:colOff>
          <xdr:row>63</xdr:row>
          <xdr:rowOff>31750</xdr:rowOff>
        </xdr:to>
        <xdr:sp macro="" textlink="">
          <xdr:nvSpPr>
            <xdr:cNvPr id="751280" name="Spinner 5808" hidden="1">
              <a:extLst>
                <a:ext uri="{63B3BB69-23CF-44E3-9099-C40C66FF867C}">
                  <a14:compatExt spid="_x0000_s751280"/>
                </a:ext>
                <a:ext uri="{FF2B5EF4-FFF2-40B4-BE49-F238E27FC236}">
                  <a16:creationId xmlns:a16="http://schemas.microsoft.com/office/drawing/2014/main" id="{00000000-0008-0000-0000-0000B0760B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16</xdr:col>
      <xdr:colOff>60092</xdr:colOff>
      <xdr:row>21</xdr:row>
      <xdr:rowOff>200356</xdr:rowOff>
    </xdr:from>
    <xdr:to>
      <xdr:col>16</xdr:col>
      <xdr:colOff>606981</xdr:colOff>
      <xdr:row>22</xdr:row>
      <xdr:rowOff>185304</xdr:rowOff>
    </xdr:to>
    <xdr:sp macro="" textlink="'Variable Mgmt'!D293">
      <xdr:nvSpPr>
        <xdr:cNvPr id="40" name="Text Box 268">
          <a:extLst>
            <a:ext uri="{FF2B5EF4-FFF2-40B4-BE49-F238E27FC236}">
              <a16:creationId xmlns:a16="http://schemas.microsoft.com/office/drawing/2014/main" id="{00000000-0008-0000-0000-000028000000}"/>
            </a:ext>
          </a:extLst>
        </xdr:cNvPr>
        <xdr:cNvSpPr txBox="1">
          <a:spLocks noChangeArrowheads="1" noTextEdit="1"/>
        </xdr:cNvSpPr>
      </xdr:nvSpPr>
      <xdr:spPr bwMode="auto">
        <a:xfrm>
          <a:off x="10383378" y="4917499"/>
          <a:ext cx="546889" cy="229876"/>
        </a:xfrm>
        <a:prstGeom prst="rect">
          <a:avLst/>
        </a:prstGeom>
        <a:noFill/>
        <a:ln w="9525">
          <a:noFill/>
          <a:miter lim="800000"/>
          <a:headEnd/>
          <a:tailEnd/>
        </a:ln>
      </xdr:spPr>
      <xdr:txBody>
        <a:bodyPr vertOverflow="clip" wrap="square" lIns="27432" tIns="22860" rIns="0" bIns="0" anchor="ctr" upright="1"/>
        <a:lstStyle/>
        <a:p>
          <a:pPr algn="l" rtl="0">
            <a:defRPr sz="1000"/>
          </a:pPr>
          <a:fld id="{4F5B9A66-0160-41DB-924C-2BCEAAE1ECE7}" type="TxLink">
            <a:rPr lang="en-US" sz="1000" b="0" i="0" u="none" strike="noStrike">
              <a:solidFill>
                <a:srgbClr val="000000"/>
              </a:solidFill>
              <a:latin typeface="Arial"/>
              <a:cs typeface="Arial"/>
            </a:rPr>
            <a:pPr algn="l" rtl="0">
              <a:defRPr sz="1000"/>
            </a:pPr>
            <a:t>40.2kΩ</a:t>
          </a:fld>
          <a:endParaRPr lang="el-GR" sz="900" b="0" i="0" strike="noStrike">
            <a:solidFill>
              <a:srgbClr val="000000"/>
            </a:solidFill>
            <a:latin typeface="Arial" pitchFamily="34" charset="0"/>
            <a:cs typeface="Arial" pitchFamily="34" charset="0"/>
          </a:endParaRPr>
        </a:p>
      </xdr:txBody>
    </xdr:sp>
    <xdr:clientData/>
  </xdr:twoCellAnchor>
  <xdr:twoCellAnchor>
    <xdr:from>
      <xdr:col>14</xdr:col>
      <xdr:colOff>622519</xdr:colOff>
      <xdr:row>24</xdr:row>
      <xdr:rowOff>55212</xdr:rowOff>
    </xdr:from>
    <xdr:to>
      <xdr:col>15</xdr:col>
      <xdr:colOff>525337</xdr:colOff>
      <xdr:row>25</xdr:row>
      <xdr:rowOff>40160</xdr:rowOff>
    </xdr:to>
    <xdr:sp macro="" textlink="'Variable Mgmt'!D294">
      <xdr:nvSpPr>
        <xdr:cNvPr id="41" name="Text Box 268">
          <a:extLst>
            <a:ext uri="{FF2B5EF4-FFF2-40B4-BE49-F238E27FC236}">
              <a16:creationId xmlns:a16="http://schemas.microsoft.com/office/drawing/2014/main" id="{00000000-0008-0000-0000-000029000000}"/>
            </a:ext>
          </a:extLst>
        </xdr:cNvPr>
        <xdr:cNvSpPr txBox="1">
          <a:spLocks noChangeArrowheads="1" noTextEdit="1"/>
        </xdr:cNvSpPr>
      </xdr:nvSpPr>
      <xdr:spPr bwMode="auto">
        <a:xfrm>
          <a:off x="9594162" y="5507141"/>
          <a:ext cx="546889" cy="229876"/>
        </a:xfrm>
        <a:prstGeom prst="rect">
          <a:avLst/>
        </a:prstGeom>
        <a:noFill/>
        <a:ln w="9525">
          <a:noFill/>
          <a:miter lim="800000"/>
          <a:headEnd/>
          <a:tailEnd/>
        </a:ln>
      </xdr:spPr>
      <xdr:txBody>
        <a:bodyPr vertOverflow="clip" wrap="square" lIns="27432" tIns="22860" rIns="0" bIns="0" anchor="ctr" upright="1"/>
        <a:lstStyle/>
        <a:p>
          <a:pPr algn="l" rtl="0">
            <a:defRPr sz="1000"/>
          </a:pPr>
          <a:fld id="{C56187B2-51F9-4DDC-A6CF-2BB9D128FF5E}" type="TxLink">
            <a:rPr lang="en-US" sz="1000" b="0" i="0" u="none" strike="noStrike">
              <a:solidFill>
                <a:srgbClr val="000000"/>
              </a:solidFill>
              <a:latin typeface="Arial"/>
              <a:cs typeface="Arial"/>
            </a:rPr>
            <a:pPr algn="l" rtl="0">
              <a:defRPr sz="1000"/>
            </a:pPr>
            <a:t>10nF</a:t>
          </a:fld>
          <a:endParaRPr lang="el-GR" sz="900" b="0" i="0" strike="noStrike">
            <a:solidFill>
              <a:srgbClr val="000000"/>
            </a:solidFill>
            <a:latin typeface="Arial" pitchFamily="34" charset="0"/>
            <a:cs typeface="Arial" pitchFamily="34" charset="0"/>
          </a:endParaRPr>
        </a:p>
      </xdr:txBody>
    </xdr:sp>
    <xdr:clientData/>
  </xdr:twoCellAnchor>
  <xdr:twoCellAnchor>
    <xdr:from>
      <xdr:col>15</xdr:col>
      <xdr:colOff>568093</xdr:colOff>
      <xdr:row>24</xdr:row>
      <xdr:rowOff>136854</xdr:rowOff>
    </xdr:from>
    <xdr:to>
      <xdr:col>16</xdr:col>
      <xdr:colOff>407410</xdr:colOff>
      <xdr:row>25</xdr:row>
      <xdr:rowOff>121802</xdr:rowOff>
    </xdr:to>
    <xdr:sp macro="" textlink="'Variable Mgmt'!D295">
      <xdr:nvSpPr>
        <xdr:cNvPr id="43" name="Text Box 268">
          <a:extLst>
            <a:ext uri="{FF2B5EF4-FFF2-40B4-BE49-F238E27FC236}">
              <a16:creationId xmlns:a16="http://schemas.microsoft.com/office/drawing/2014/main" id="{00000000-0008-0000-0000-00002B000000}"/>
            </a:ext>
          </a:extLst>
        </xdr:cNvPr>
        <xdr:cNvSpPr txBox="1">
          <a:spLocks noChangeArrowheads="1" noTextEdit="1"/>
        </xdr:cNvSpPr>
      </xdr:nvSpPr>
      <xdr:spPr bwMode="auto">
        <a:xfrm>
          <a:off x="10183807" y="5588783"/>
          <a:ext cx="546889" cy="229876"/>
        </a:xfrm>
        <a:prstGeom prst="rect">
          <a:avLst/>
        </a:prstGeom>
        <a:noFill/>
        <a:ln w="9525">
          <a:noFill/>
          <a:miter lim="800000"/>
          <a:headEnd/>
          <a:tailEnd/>
        </a:ln>
      </xdr:spPr>
      <xdr:txBody>
        <a:bodyPr vertOverflow="clip" wrap="square" lIns="27432" tIns="22860" rIns="0" bIns="0" anchor="ctr" upright="1"/>
        <a:lstStyle/>
        <a:p>
          <a:pPr algn="l" rtl="0">
            <a:defRPr sz="1000"/>
          </a:pPr>
          <a:fld id="{034E7522-50F8-4731-8BAA-BCAC1D84BE6B}" type="TxLink">
            <a:rPr lang="en-US" sz="1000" b="0" i="0" u="none" strike="noStrike">
              <a:solidFill>
                <a:srgbClr val="000000"/>
              </a:solidFill>
              <a:latin typeface="Arial"/>
              <a:cs typeface="Arial"/>
            </a:rPr>
            <a:pPr algn="l" rtl="0">
              <a:defRPr sz="1000"/>
            </a:pPr>
            <a:t>150pF</a:t>
          </a:fld>
          <a:endParaRPr lang="el-GR" sz="900" b="0" i="0" strike="noStrike">
            <a:solidFill>
              <a:srgbClr val="000000"/>
            </a:solidFill>
            <a:latin typeface="Arial" pitchFamily="34" charset="0"/>
            <a:cs typeface="Arial" pitchFamily="34" charset="0"/>
          </a:endParaRPr>
        </a:p>
      </xdr:txBody>
    </xdr:sp>
    <xdr:clientData/>
  </xdr:twoCellAnchor>
  <xdr:twoCellAnchor>
    <xdr:from>
      <xdr:col>19</xdr:col>
      <xdr:colOff>226786</xdr:colOff>
      <xdr:row>24</xdr:row>
      <xdr:rowOff>181428</xdr:rowOff>
    </xdr:from>
    <xdr:to>
      <xdr:col>20</xdr:col>
      <xdr:colOff>129604</xdr:colOff>
      <xdr:row>25</xdr:row>
      <xdr:rowOff>93527</xdr:rowOff>
    </xdr:to>
    <xdr:sp macro="" textlink="'Variable Mgmt'!D298">
      <xdr:nvSpPr>
        <xdr:cNvPr id="48" name="Text Box 268">
          <a:extLst>
            <a:ext uri="{FF2B5EF4-FFF2-40B4-BE49-F238E27FC236}">
              <a16:creationId xmlns:a16="http://schemas.microsoft.com/office/drawing/2014/main" id="{00000000-0008-0000-0000-000030000000}"/>
            </a:ext>
          </a:extLst>
        </xdr:cNvPr>
        <xdr:cNvSpPr txBox="1">
          <a:spLocks noChangeArrowheads="1" noTextEdit="1"/>
        </xdr:cNvSpPr>
      </xdr:nvSpPr>
      <xdr:spPr bwMode="auto">
        <a:xfrm>
          <a:off x="12663715" y="5633357"/>
          <a:ext cx="546889" cy="157027"/>
        </a:xfrm>
        <a:prstGeom prst="rect">
          <a:avLst/>
        </a:prstGeom>
        <a:noFill/>
        <a:ln w="9525">
          <a:noFill/>
          <a:miter lim="800000"/>
          <a:headEnd/>
          <a:tailEnd/>
        </a:ln>
      </xdr:spPr>
      <xdr:txBody>
        <a:bodyPr vertOverflow="clip" wrap="square" lIns="27432" tIns="22860" rIns="0" bIns="0" anchor="ctr" upright="1"/>
        <a:lstStyle/>
        <a:p>
          <a:pPr algn="l" rtl="0">
            <a:defRPr sz="1000"/>
          </a:pPr>
          <a:fld id="{65E2DED1-D9B2-469F-B0E4-11382DFF520D}" type="TxLink">
            <a:rPr lang="en-US" sz="1000" b="0" i="0" u="none" strike="noStrike">
              <a:solidFill>
                <a:srgbClr val="000000"/>
              </a:solidFill>
              <a:latin typeface="Arial"/>
              <a:cs typeface="Arial"/>
            </a:rPr>
            <a:pPr algn="l" rtl="0">
              <a:defRPr sz="1000"/>
            </a:pPr>
            <a:t>100pF</a:t>
          </a:fld>
          <a:endParaRPr lang="el-GR" sz="900" b="0" i="0" strike="noStrike">
            <a:solidFill>
              <a:srgbClr val="000000"/>
            </a:solidFill>
            <a:latin typeface="Arial" pitchFamily="34" charset="0"/>
            <a:cs typeface="Arial" pitchFamily="34" charset="0"/>
          </a:endParaRPr>
        </a:p>
      </xdr:txBody>
    </xdr:sp>
    <xdr:clientData/>
  </xdr:twoCellAnchor>
  <xdr:twoCellAnchor>
    <xdr:from>
      <xdr:col>20</xdr:col>
      <xdr:colOff>517071</xdr:colOff>
      <xdr:row>24</xdr:row>
      <xdr:rowOff>181428</xdr:rowOff>
    </xdr:from>
    <xdr:to>
      <xdr:col>21</xdr:col>
      <xdr:colOff>419889</xdr:colOff>
      <xdr:row>25</xdr:row>
      <xdr:rowOff>93527</xdr:rowOff>
    </xdr:to>
    <xdr:sp macro="" textlink="'Variable Mgmt'!D297">
      <xdr:nvSpPr>
        <xdr:cNvPr id="50" name="Text Box 268">
          <a:extLst>
            <a:ext uri="{FF2B5EF4-FFF2-40B4-BE49-F238E27FC236}">
              <a16:creationId xmlns:a16="http://schemas.microsoft.com/office/drawing/2014/main" id="{00000000-0008-0000-0000-000032000000}"/>
            </a:ext>
          </a:extLst>
        </xdr:cNvPr>
        <xdr:cNvSpPr txBox="1">
          <a:spLocks noChangeArrowheads="1" noTextEdit="1"/>
        </xdr:cNvSpPr>
      </xdr:nvSpPr>
      <xdr:spPr bwMode="auto">
        <a:xfrm>
          <a:off x="13598071" y="5633357"/>
          <a:ext cx="546889" cy="157027"/>
        </a:xfrm>
        <a:prstGeom prst="rect">
          <a:avLst/>
        </a:prstGeom>
        <a:noFill/>
        <a:ln w="9525">
          <a:noFill/>
          <a:miter lim="800000"/>
          <a:headEnd/>
          <a:tailEnd/>
        </a:ln>
      </xdr:spPr>
      <xdr:txBody>
        <a:bodyPr vertOverflow="clip" wrap="square" lIns="27432" tIns="22860" rIns="0" bIns="0" anchor="ctr" upright="1"/>
        <a:lstStyle/>
        <a:p>
          <a:pPr algn="l" rtl="0">
            <a:defRPr sz="1000"/>
          </a:pPr>
          <a:fld id="{D8C70A00-B4BA-4D0E-B7C0-1C653D01DC8E}" type="TxLink">
            <a:rPr lang="en-US" sz="1000" b="0" i="0" u="none" strike="noStrike">
              <a:solidFill>
                <a:srgbClr val="000000"/>
              </a:solidFill>
              <a:latin typeface="Arial"/>
              <a:cs typeface="Arial"/>
            </a:rPr>
            <a:pPr algn="l" rtl="0">
              <a:defRPr sz="1000"/>
            </a:pPr>
            <a:t>6mΩ</a:t>
          </a:fld>
          <a:endParaRPr lang="el-GR" sz="900" b="0" i="0" strike="noStrike">
            <a:solidFill>
              <a:srgbClr val="000000"/>
            </a:solidFill>
            <a:latin typeface="Arial" pitchFamily="34" charset="0"/>
            <a:cs typeface="Arial" pitchFamily="34" charset="0"/>
          </a:endParaRPr>
        </a:p>
      </xdr:txBody>
    </xdr:sp>
    <xdr:clientData/>
  </xdr:twoCellAnchor>
  <xdr:twoCellAnchor>
    <xdr:from>
      <xdr:col>19</xdr:col>
      <xdr:colOff>553356</xdr:colOff>
      <xdr:row>21</xdr:row>
      <xdr:rowOff>154214</xdr:rowOff>
    </xdr:from>
    <xdr:to>
      <xdr:col>20</xdr:col>
      <xdr:colOff>456174</xdr:colOff>
      <xdr:row>22</xdr:row>
      <xdr:rowOff>66313</xdr:rowOff>
    </xdr:to>
    <xdr:sp macro="" textlink="'Variable Mgmt'!D299">
      <xdr:nvSpPr>
        <xdr:cNvPr id="52" name="Text Box 268">
          <a:extLst>
            <a:ext uri="{FF2B5EF4-FFF2-40B4-BE49-F238E27FC236}">
              <a16:creationId xmlns:a16="http://schemas.microsoft.com/office/drawing/2014/main" id="{00000000-0008-0000-0000-000034000000}"/>
            </a:ext>
          </a:extLst>
        </xdr:cNvPr>
        <xdr:cNvSpPr txBox="1">
          <a:spLocks noChangeArrowheads="1" noTextEdit="1"/>
        </xdr:cNvSpPr>
      </xdr:nvSpPr>
      <xdr:spPr bwMode="auto">
        <a:xfrm>
          <a:off x="12990285" y="4871357"/>
          <a:ext cx="546889" cy="157027"/>
        </a:xfrm>
        <a:prstGeom prst="rect">
          <a:avLst/>
        </a:prstGeom>
        <a:noFill/>
        <a:ln w="9525">
          <a:noFill/>
          <a:miter lim="800000"/>
          <a:headEnd/>
          <a:tailEnd/>
        </a:ln>
      </xdr:spPr>
      <xdr:txBody>
        <a:bodyPr vertOverflow="clip" wrap="square" lIns="27432" tIns="22860" rIns="0" bIns="0" anchor="ctr" upright="1"/>
        <a:lstStyle/>
        <a:p>
          <a:pPr algn="l" rtl="0">
            <a:defRPr sz="1000"/>
          </a:pPr>
          <a:fld id="{BB34EA30-EAB2-4679-9155-FFBA36B17B65}" type="TxLink">
            <a:rPr lang="en-US" sz="1000" b="0" i="0" u="none" strike="noStrike">
              <a:solidFill>
                <a:srgbClr val="000000"/>
              </a:solidFill>
              <a:latin typeface="Arial"/>
              <a:cs typeface="Arial"/>
            </a:rPr>
            <a:pPr algn="l" rtl="0">
              <a:defRPr sz="1000"/>
            </a:pPr>
            <a:t>100Ω</a:t>
          </a:fld>
          <a:endParaRPr lang="el-GR" sz="900" b="0" i="0" strike="noStrike">
            <a:solidFill>
              <a:srgbClr val="000000"/>
            </a:solidFill>
            <a:latin typeface="Arial" pitchFamily="34" charset="0"/>
            <a:cs typeface="Arial"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581025</xdr:colOff>
      <xdr:row>7</xdr:row>
      <xdr:rowOff>47625</xdr:rowOff>
    </xdr:from>
    <xdr:to>
      <xdr:col>10</xdr:col>
      <xdr:colOff>539612</xdr:colOff>
      <xdr:row>62</xdr:row>
      <xdr:rowOff>153585</xdr:rowOff>
    </xdr:to>
    <xdr:grpSp>
      <xdr:nvGrpSpPr>
        <xdr:cNvPr id="4" name="Group 3">
          <a:extLst>
            <a:ext uri="{FF2B5EF4-FFF2-40B4-BE49-F238E27FC236}">
              <a16:creationId xmlns:a16="http://schemas.microsoft.com/office/drawing/2014/main" id="{00000000-0008-0000-0800-000004000000}"/>
            </a:ext>
          </a:extLst>
        </xdr:cNvPr>
        <xdr:cNvGrpSpPr/>
      </xdr:nvGrpSpPr>
      <xdr:grpSpPr>
        <a:xfrm>
          <a:off x="581025" y="1692275"/>
          <a:ext cx="6372087" cy="8837210"/>
          <a:chOff x="563217" y="1684406"/>
          <a:chExt cx="6372087" cy="8837210"/>
        </a:xfrm>
      </xdr:grpSpPr>
      <xdr:pic>
        <xdr:nvPicPr>
          <xdr:cNvPr id="5" name="Picture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1"/>
          <a:stretch>
            <a:fillRect/>
          </a:stretch>
        </xdr:blipFill>
        <xdr:spPr>
          <a:xfrm>
            <a:off x="587784" y="1684406"/>
            <a:ext cx="6343059" cy="4223855"/>
          </a:xfrm>
          <a:prstGeom prst="rect">
            <a:avLst/>
          </a:prstGeom>
        </xdr:spPr>
      </xdr:pic>
      <xdr:pic>
        <xdr:nvPicPr>
          <xdr:cNvPr id="6" name="Picture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2"/>
          <a:stretch>
            <a:fillRect/>
          </a:stretch>
        </xdr:blipFill>
        <xdr:spPr>
          <a:xfrm flipH="1">
            <a:off x="563217" y="6333434"/>
            <a:ext cx="6372087" cy="4188182"/>
          </a:xfrm>
          <a:prstGeom prst="rect">
            <a:avLst/>
          </a:prstGeom>
        </xdr:spPr>
      </xdr:pic>
    </xdr:grpSp>
    <xdr:clientData/>
  </xdr:twoCellAnchor>
</xdr:wsDr>
</file>

<file path=xl/drawings/drawing11.xml><?xml version="1.0" encoding="utf-8"?>
<xdr:wsDr xmlns:xdr="http://schemas.openxmlformats.org/drawingml/2006/spreadsheetDrawing" xmlns:a="http://schemas.openxmlformats.org/drawingml/2006/main">
  <xdr:twoCellAnchor>
    <xdr:from>
      <xdr:col>3</xdr:col>
      <xdr:colOff>38100</xdr:colOff>
      <xdr:row>6</xdr:row>
      <xdr:rowOff>819150</xdr:rowOff>
    </xdr:from>
    <xdr:to>
      <xdr:col>3</xdr:col>
      <xdr:colOff>561974</xdr:colOff>
      <xdr:row>6</xdr:row>
      <xdr:rowOff>1019175</xdr:rowOff>
    </xdr:to>
    <xdr:sp macro="" textlink="'Variable Mgmt'!$B$270">
      <xdr:nvSpPr>
        <xdr:cNvPr id="5" name="Text Box 24">
          <a:extLst>
            <a:ext uri="{FF2B5EF4-FFF2-40B4-BE49-F238E27FC236}">
              <a16:creationId xmlns:a16="http://schemas.microsoft.com/office/drawing/2014/main" id="{00000000-0008-0000-0900-000005000000}"/>
            </a:ext>
          </a:extLst>
        </xdr:cNvPr>
        <xdr:cNvSpPr txBox="1">
          <a:spLocks noChangeArrowheads="1" noTextEdit="1"/>
        </xdr:cNvSpPr>
      </xdr:nvSpPr>
      <xdr:spPr bwMode="auto">
        <a:xfrm>
          <a:off x="9686925" y="6934200"/>
          <a:ext cx="523874" cy="200025"/>
        </a:xfrm>
        <a:prstGeom prst="rect">
          <a:avLst/>
        </a:prstGeom>
        <a:solidFill>
          <a:schemeClr val="bg1"/>
        </a:solidFill>
        <a:ln w="9525">
          <a:noFill/>
          <a:miter lim="800000"/>
          <a:headEnd/>
          <a:tailEnd/>
        </a:ln>
      </xdr:spPr>
      <xdr:txBody>
        <a:bodyPr wrap="square" lIns="27432" tIns="22860" rIns="0" bIns="22860" anchor="b"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rtl="0">
            <a:defRPr sz="1000"/>
          </a:pPr>
          <a:fld id="{1F0AFB1C-0795-4024-9821-D34D86340D40}" type="TxLink">
            <a:rPr lang="en-US" sz="1100" b="0" i="0" u="none" strike="noStrike" baseline="0">
              <a:solidFill>
                <a:srgbClr val="000000"/>
              </a:solidFill>
              <a:latin typeface="Arial"/>
              <a:cs typeface="Arial"/>
            </a:rPr>
            <a:pPr algn="r" rtl="0">
              <a:defRPr sz="1000"/>
            </a:pPr>
            <a:t>69.2%</a:t>
          </a:fld>
          <a:endParaRPr lang="en-US" sz="1100" b="1" i="0" u="none" strike="noStrike" baseline="0">
            <a:solidFill>
              <a:srgbClr val="000000"/>
            </a:solidFill>
            <a:latin typeface="Arial" pitchFamily="34" charset="0"/>
            <a:cs typeface="Arial" pitchFamily="34" charset="0"/>
          </a:endParaRPr>
        </a:p>
      </xdr:txBody>
    </xdr:sp>
    <xdr:clientData/>
  </xdr:twoCellAnchor>
  <xdr:twoCellAnchor>
    <xdr:from>
      <xdr:col>3</xdr:col>
      <xdr:colOff>19050</xdr:colOff>
      <xdr:row>4</xdr:row>
      <xdr:rowOff>704850</xdr:rowOff>
    </xdr:from>
    <xdr:to>
      <xdr:col>3</xdr:col>
      <xdr:colOff>542924</xdr:colOff>
      <xdr:row>4</xdr:row>
      <xdr:rowOff>904875</xdr:rowOff>
    </xdr:to>
    <xdr:sp macro="" textlink="'Variable Mgmt'!$B$270">
      <xdr:nvSpPr>
        <xdr:cNvPr id="6" name="Text Box 24">
          <a:extLst>
            <a:ext uri="{FF2B5EF4-FFF2-40B4-BE49-F238E27FC236}">
              <a16:creationId xmlns:a16="http://schemas.microsoft.com/office/drawing/2014/main" id="{00000000-0008-0000-0900-000006000000}"/>
            </a:ext>
          </a:extLst>
        </xdr:cNvPr>
        <xdr:cNvSpPr txBox="1">
          <a:spLocks noChangeArrowheads="1" noTextEdit="1"/>
        </xdr:cNvSpPr>
      </xdr:nvSpPr>
      <xdr:spPr bwMode="auto">
        <a:xfrm>
          <a:off x="9667875" y="1409700"/>
          <a:ext cx="523874" cy="200025"/>
        </a:xfrm>
        <a:prstGeom prst="rect">
          <a:avLst/>
        </a:prstGeom>
        <a:noFill/>
        <a:ln w="9525">
          <a:noFill/>
          <a:miter lim="800000"/>
          <a:headEnd/>
          <a:tailEnd/>
        </a:ln>
      </xdr:spPr>
      <xdr:txBody>
        <a:bodyPr wrap="square" lIns="27432" tIns="22860" rIns="0" bIns="22860" anchor="b"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rtl="0">
            <a:defRPr sz="1000"/>
          </a:pPr>
          <a:fld id="{1F0AFB1C-0795-4024-9821-D34D86340D40}" type="TxLink">
            <a:rPr lang="en-US" sz="1100" b="0" i="0" u="none" strike="noStrike" baseline="0">
              <a:solidFill>
                <a:srgbClr val="000000"/>
              </a:solidFill>
              <a:latin typeface="Arial"/>
              <a:cs typeface="Arial"/>
            </a:rPr>
            <a:pPr algn="r" rtl="0">
              <a:defRPr sz="1000"/>
            </a:pPr>
            <a:t>69.2%</a:t>
          </a:fld>
          <a:endParaRPr lang="en-US" sz="1100" b="1" i="0" u="none" strike="noStrike" baseline="0">
            <a:solidFill>
              <a:srgbClr val="000000"/>
            </a:solidFill>
            <a:latin typeface="Arial" pitchFamily="34" charset="0"/>
            <a:cs typeface="Arial" pitchFamily="34" charset="0"/>
          </a:endParaRPr>
        </a:p>
      </xdr:txBody>
    </xdr:sp>
    <xdr:clientData/>
  </xdr:twoCellAnchor>
  <xdr:twoCellAnchor>
    <xdr:from>
      <xdr:col>1</xdr:col>
      <xdr:colOff>1</xdr:colOff>
      <xdr:row>4</xdr:row>
      <xdr:rowOff>0</xdr:rowOff>
    </xdr:from>
    <xdr:to>
      <xdr:col>1</xdr:col>
      <xdr:colOff>8275321</xdr:colOff>
      <xdr:row>4</xdr:row>
      <xdr:rowOff>5029200</xdr:rowOff>
    </xdr:to>
    <xdr:graphicFrame macro="">
      <xdr:nvGraphicFramePr>
        <xdr:cNvPr id="8" name="Chart 253">
          <a:extLst>
            <a:ext uri="{FF2B5EF4-FFF2-40B4-BE49-F238E27FC236}">
              <a16:creationId xmlns:a16="http://schemas.microsoft.com/office/drawing/2014/main" id="{00000000-0008-0000-09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6</xdr:row>
      <xdr:rowOff>0</xdr:rowOff>
    </xdr:from>
    <xdr:to>
      <xdr:col>1</xdr:col>
      <xdr:colOff>8275320</xdr:colOff>
      <xdr:row>6</xdr:row>
      <xdr:rowOff>5029200</xdr:rowOff>
    </xdr:to>
    <xdr:graphicFrame macro="">
      <xdr:nvGraphicFramePr>
        <xdr:cNvPr id="7" name="Chart 253">
          <a:extLst>
            <a:ext uri="{FF2B5EF4-FFF2-40B4-BE49-F238E27FC236}">
              <a16:creationId xmlns:a16="http://schemas.microsoft.com/office/drawing/2014/main" id="{00000000-0008-0000-0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16</xdr:col>
          <xdr:colOff>18166</xdr:colOff>
          <xdr:row>4</xdr:row>
          <xdr:rowOff>4138092</xdr:rowOff>
        </xdr:to>
        <xdr:pic>
          <xdr:nvPicPr>
            <xdr:cNvPr id="9" name="Picture 8888">
              <a:extLst>
                <a:ext uri="{FF2B5EF4-FFF2-40B4-BE49-F238E27FC236}">
                  <a16:creationId xmlns:a16="http://schemas.microsoft.com/office/drawing/2014/main" id="{00000000-0008-0000-0900-000009000000}"/>
                </a:ext>
              </a:extLst>
            </xdr:cNvPr>
            <xdr:cNvPicPr>
              <a:picLocks noChangeAspect="1" noChangeArrowheads="1"/>
              <a:extLst>
                <a:ext uri="{84589F7E-364E-4C9E-8A38-B11213B215E9}">
                  <a14:cameraTool cellRange="PICTURE3" spid="_x0000_s784625"/>
                </a:ext>
              </a:extLst>
            </xdr:cNvPicPr>
          </xdr:nvPicPr>
          <xdr:blipFill>
            <a:blip xmlns:r="http://schemas.openxmlformats.org/officeDocument/2006/relationships" r:embed="rId3"/>
            <a:srcRect/>
            <a:stretch>
              <a:fillRect/>
            </a:stretch>
          </xdr:blipFill>
          <xdr:spPr bwMode="auto">
            <a:xfrm>
              <a:off x="10868025" y="704850"/>
              <a:ext cx="6723766" cy="4138092"/>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18</xdr:col>
          <xdr:colOff>504825</xdr:colOff>
          <xdr:row>5</xdr:row>
          <xdr:rowOff>0</xdr:rowOff>
        </xdr:to>
        <xdr:pic>
          <xdr:nvPicPr>
            <xdr:cNvPr id="6" name="Picture 8888">
              <a:extLst>
                <a:ext uri="{FF2B5EF4-FFF2-40B4-BE49-F238E27FC236}">
                  <a16:creationId xmlns:a16="http://schemas.microsoft.com/office/drawing/2014/main" id="{00000000-0008-0000-0A00-000006000000}"/>
                </a:ext>
              </a:extLst>
            </xdr:cNvPr>
            <xdr:cNvPicPr>
              <a:picLocks noChangeAspect="1" noChangeArrowheads="1"/>
              <a:extLst>
                <a:ext uri="{84589F7E-364E-4C9E-8A38-B11213B215E9}">
                  <a14:cameraTool cellRange="PICTURE2" spid="_x0000_s785648"/>
                </a:ext>
              </a:extLst>
            </xdr:cNvPicPr>
          </xdr:nvPicPr>
          <xdr:blipFill>
            <a:blip xmlns:r="http://schemas.openxmlformats.org/officeDocument/2006/relationships" r:embed="rId1"/>
            <a:srcRect/>
            <a:stretch>
              <a:fillRect/>
            </a:stretch>
          </xdr:blipFill>
          <xdr:spPr bwMode="auto">
            <a:xfrm>
              <a:off x="10868025" y="704850"/>
              <a:ext cx="8429625" cy="5200650"/>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xdr:twoCellAnchor>
    <xdr:from>
      <xdr:col>1</xdr:col>
      <xdr:colOff>1</xdr:colOff>
      <xdr:row>4</xdr:row>
      <xdr:rowOff>0</xdr:rowOff>
    </xdr:from>
    <xdr:to>
      <xdr:col>1</xdr:col>
      <xdr:colOff>8275321</xdr:colOff>
      <xdr:row>4</xdr:row>
      <xdr:rowOff>5029200</xdr:rowOff>
    </xdr:to>
    <xdr:graphicFrame macro="">
      <xdr:nvGraphicFramePr>
        <xdr:cNvPr id="7" name="Chart 253">
          <a:extLst>
            <a:ext uri="{FF2B5EF4-FFF2-40B4-BE49-F238E27FC236}">
              <a16:creationId xmlns:a16="http://schemas.microsoft.com/office/drawing/2014/main" id="{00000000-0008-0000-0A00-000007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xdr:colOff>
      <xdr:row>6</xdr:row>
      <xdr:rowOff>19049</xdr:rowOff>
    </xdr:from>
    <xdr:to>
      <xdr:col>1</xdr:col>
      <xdr:colOff>8277225</xdr:colOff>
      <xdr:row>6</xdr:row>
      <xdr:rowOff>5048249</xdr:rowOff>
    </xdr:to>
    <xdr:graphicFrame macro="">
      <xdr:nvGraphicFramePr>
        <xdr:cNvPr id="8" name="Chart 253">
          <a:extLst>
            <a:ext uri="{FF2B5EF4-FFF2-40B4-BE49-F238E27FC236}">
              <a16:creationId xmlns:a16="http://schemas.microsoft.com/office/drawing/2014/main" id="{00000000-0008-0000-0A00-000008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15</xdr:col>
      <xdr:colOff>752475</xdr:colOff>
      <xdr:row>30</xdr:row>
      <xdr:rowOff>85725</xdr:rowOff>
    </xdr:from>
    <xdr:to>
      <xdr:col>15</xdr:col>
      <xdr:colOff>1200150</xdr:colOff>
      <xdr:row>31</xdr:row>
      <xdr:rowOff>133350</xdr:rowOff>
    </xdr:to>
    <xdr:sp macro="" textlink="">
      <xdr:nvSpPr>
        <xdr:cNvPr id="3" name="Text Box 2">
          <a:extLst>
            <a:ext uri="{FF2B5EF4-FFF2-40B4-BE49-F238E27FC236}">
              <a16:creationId xmlns:a16="http://schemas.microsoft.com/office/drawing/2014/main" id="{00000000-0008-0000-0B00-000003000000}"/>
            </a:ext>
          </a:extLst>
        </xdr:cNvPr>
        <xdr:cNvSpPr txBox="1">
          <a:spLocks noChangeArrowheads="1"/>
        </xdr:cNvSpPr>
      </xdr:nvSpPr>
      <xdr:spPr bwMode="auto">
        <a:xfrm>
          <a:off x="16906875" y="13973175"/>
          <a:ext cx="0" cy="2190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strike="noStrike">
              <a:solidFill>
                <a:srgbClr val="0000FF"/>
              </a:solidFill>
              <a:latin typeface="Arial"/>
              <a:cs typeface="Arial"/>
            </a:rPr>
            <a:t>V</a:t>
          </a:r>
          <a:r>
            <a:rPr lang="en-US" sz="1000" b="1" i="0" strike="noStrike" baseline="-25000">
              <a:solidFill>
                <a:srgbClr val="0000FF"/>
              </a:solidFill>
              <a:latin typeface="Arial"/>
              <a:cs typeface="Arial"/>
            </a:rPr>
            <a:t>OUT</a:t>
          </a:r>
        </a:p>
      </xdr:txBody>
    </xdr:sp>
    <xdr:clientData/>
  </xdr:twoCellAnchor>
  <xdr:twoCellAnchor>
    <xdr:from>
      <xdr:col>15</xdr:col>
      <xdr:colOff>752475</xdr:colOff>
      <xdr:row>31</xdr:row>
      <xdr:rowOff>104775</xdr:rowOff>
    </xdr:from>
    <xdr:to>
      <xdr:col>15</xdr:col>
      <xdr:colOff>1181100</xdr:colOff>
      <xdr:row>32</xdr:row>
      <xdr:rowOff>152400</xdr:rowOff>
    </xdr:to>
    <xdr:sp macro="" textlink="">
      <xdr:nvSpPr>
        <xdr:cNvPr id="4" name="Text Box 3">
          <a:extLst>
            <a:ext uri="{FF2B5EF4-FFF2-40B4-BE49-F238E27FC236}">
              <a16:creationId xmlns:a16="http://schemas.microsoft.com/office/drawing/2014/main" id="{00000000-0008-0000-0B00-000004000000}"/>
            </a:ext>
          </a:extLst>
        </xdr:cNvPr>
        <xdr:cNvSpPr txBox="1">
          <a:spLocks noChangeArrowheads="1" noTextEdit="1"/>
        </xdr:cNvSpPr>
      </xdr:nvSpPr>
      <xdr:spPr bwMode="auto">
        <a:xfrm>
          <a:off x="16906875" y="14163675"/>
          <a:ext cx="0" cy="219075"/>
        </a:xfrm>
        <a:prstGeom prst="rect">
          <a:avLst/>
        </a:prstGeom>
        <a:noFill/>
        <a:ln w="9525">
          <a:noFill/>
          <a:miter lim="800000"/>
          <a:headEnd/>
          <a:tailEnd/>
        </a:ln>
      </xdr:spPr>
      <xdr:txBody>
        <a:bodyPr vertOverflow="clip" wrap="square" lIns="27432" tIns="22860" rIns="0" bIns="0" anchor="t" upright="1"/>
        <a:lstStyle/>
        <a:p>
          <a:pPr algn="l" rtl="0">
            <a:defRPr sz="1000"/>
          </a:pPr>
          <a:fld id="{0F8B8801-C5EA-4FBD-95F5-162EB7ADACC8}" type="TxLink">
            <a:rPr lang="en-US" sz="1000" b="1" i="0" u="none" strike="noStrike">
              <a:solidFill>
                <a:srgbClr val="0000FF"/>
              </a:solidFill>
              <a:latin typeface="Arial"/>
              <a:cs typeface="Arial"/>
            </a:rPr>
            <a:pPr algn="l" rtl="0">
              <a:defRPr sz="1000"/>
            </a:pPr>
            <a:t>1.2V</a:t>
          </a:fld>
          <a:endParaRPr lang="en-US" sz="1000" b="1" i="0" strike="noStrike">
            <a:solidFill>
              <a:srgbClr val="0000FF"/>
            </a:solidFill>
            <a:latin typeface="Arial"/>
            <a:cs typeface="Arial"/>
          </a:endParaRPr>
        </a:p>
      </xdr:txBody>
    </xdr:sp>
    <xdr:clientData/>
  </xdr:twoCellAnchor>
  <xdr:twoCellAnchor>
    <xdr:from>
      <xdr:col>16</xdr:col>
      <xdr:colOff>0</xdr:colOff>
      <xdr:row>34</xdr:row>
      <xdr:rowOff>142875</xdr:rowOff>
    </xdr:from>
    <xdr:to>
      <xdr:col>16</xdr:col>
      <xdr:colOff>0</xdr:colOff>
      <xdr:row>36</xdr:row>
      <xdr:rowOff>152400</xdr:rowOff>
    </xdr:to>
    <xdr:grpSp>
      <xdr:nvGrpSpPr>
        <xdr:cNvPr id="5" name="Group 25">
          <a:extLst>
            <a:ext uri="{FF2B5EF4-FFF2-40B4-BE49-F238E27FC236}">
              <a16:creationId xmlns:a16="http://schemas.microsoft.com/office/drawing/2014/main" id="{00000000-0008-0000-0B00-000005000000}"/>
            </a:ext>
          </a:extLst>
        </xdr:cNvPr>
        <xdr:cNvGrpSpPr>
          <a:grpSpLocks/>
        </xdr:cNvGrpSpPr>
      </xdr:nvGrpSpPr>
      <xdr:grpSpPr bwMode="auto">
        <a:xfrm>
          <a:off x="34404300" y="65084325"/>
          <a:ext cx="0" cy="4340225"/>
          <a:chOff x="953" y="747"/>
          <a:chExt cx="76" cy="41"/>
        </a:xfrm>
      </xdr:grpSpPr>
      <xdr:sp macro="" textlink="">
        <xdr:nvSpPr>
          <xdr:cNvPr id="6" name="Text Box 26">
            <a:extLst>
              <a:ext uri="{FF2B5EF4-FFF2-40B4-BE49-F238E27FC236}">
                <a16:creationId xmlns:a16="http://schemas.microsoft.com/office/drawing/2014/main" id="{00000000-0008-0000-0B00-000006000000}"/>
              </a:ext>
            </a:extLst>
          </xdr:cNvPr>
          <xdr:cNvSpPr txBox="1">
            <a:spLocks noChangeArrowheads="1"/>
          </xdr:cNvSpPr>
        </xdr:nvSpPr>
        <xdr:spPr bwMode="auto">
          <a:xfrm>
            <a:off x="16906875" y="-6462072205698"/>
            <a:ext cx="0" cy="21"/>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strike="noStrike">
                <a:solidFill>
                  <a:srgbClr val="0000FF"/>
                </a:solidFill>
                <a:latin typeface="Arial"/>
                <a:cs typeface="Arial"/>
              </a:rPr>
              <a:t>C</a:t>
            </a:r>
            <a:r>
              <a:rPr lang="en-US" sz="1000" b="1" i="0" strike="noStrike" baseline="-25000">
                <a:solidFill>
                  <a:srgbClr val="0000FF"/>
                </a:solidFill>
                <a:latin typeface="Arial"/>
                <a:cs typeface="Arial"/>
              </a:rPr>
              <a:t>OUT</a:t>
            </a:r>
          </a:p>
        </xdr:txBody>
      </xdr:sp>
      <xdr:sp macro="" textlink="">
        <xdr:nvSpPr>
          <xdr:cNvPr id="7" name="Text Box 27">
            <a:extLst>
              <a:ext uri="{FF2B5EF4-FFF2-40B4-BE49-F238E27FC236}">
                <a16:creationId xmlns:a16="http://schemas.microsoft.com/office/drawing/2014/main" id="{00000000-0008-0000-0B00-000007000000}"/>
              </a:ext>
            </a:extLst>
          </xdr:cNvPr>
          <xdr:cNvSpPr txBox="1">
            <a:spLocks noChangeArrowheads="1" noTextEdit="1"/>
          </xdr:cNvSpPr>
        </xdr:nvSpPr>
        <xdr:spPr bwMode="auto">
          <a:xfrm>
            <a:off x="16906875" y="-11225863852848"/>
            <a:ext cx="0" cy="21"/>
          </a:xfrm>
          <a:prstGeom prst="rect">
            <a:avLst/>
          </a:prstGeom>
          <a:noFill/>
          <a:ln w="9525">
            <a:noFill/>
            <a:miter lim="800000"/>
            <a:headEnd/>
            <a:tailEnd/>
          </a:ln>
        </xdr:spPr>
        <xdr:txBody>
          <a:bodyPr vertOverflow="clip" wrap="square" lIns="27432" tIns="22860" rIns="0" bIns="0" anchor="t" upright="1"/>
          <a:lstStyle/>
          <a:p>
            <a:pPr algn="l" rtl="0">
              <a:defRPr sz="1000"/>
            </a:pPr>
            <a:fld id="{FA2B5858-D1A0-4A0D-80A7-2946C710A8EC}" type="TxLink">
              <a:rPr lang="en-US" sz="1000" b="1" i="0" u="none" strike="noStrike">
                <a:solidFill>
                  <a:srgbClr val="0000FF"/>
                </a:solidFill>
                <a:latin typeface="Arial"/>
                <a:cs typeface="Arial"/>
              </a:rPr>
              <a:pPr algn="l" rtl="0">
                <a:defRPr sz="1000"/>
              </a:pPr>
              <a:t>140µF</a:t>
            </a:fld>
            <a:endParaRPr lang="en-US" sz="1000" b="1" i="0" strike="noStrike">
              <a:solidFill>
                <a:srgbClr val="0000FF"/>
              </a:solidFill>
              <a:latin typeface="Arial"/>
              <a:cs typeface="Arial"/>
            </a:endParaRPr>
          </a:p>
        </xdr:txBody>
      </xdr:sp>
    </xdr:grpSp>
    <xdr:clientData/>
  </xdr:twoCellAnchor>
  <xdr:twoCellAnchor editAs="oneCell">
    <xdr:from>
      <xdr:col>4</xdr:col>
      <xdr:colOff>-1</xdr:colOff>
      <xdr:row>6</xdr:row>
      <xdr:rowOff>20481</xdr:rowOff>
    </xdr:from>
    <xdr:to>
      <xdr:col>4</xdr:col>
      <xdr:colOff>8229599</xdr:colOff>
      <xdr:row>6</xdr:row>
      <xdr:rowOff>4460244</xdr:rowOff>
    </xdr:to>
    <xdr:pic>
      <xdr:nvPicPr>
        <xdr:cNvPr id="82" name="Picture 81">
          <a:extLst>
            <a:ext uri="{FF2B5EF4-FFF2-40B4-BE49-F238E27FC236}">
              <a16:creationId xmlns:a16="http://schemas.microsoft.com/office/drawing/2014/main" id="{00000000-0008-0000-0B00-000052000000}"/>
            </a:ext>
          </a:extLst>
        </xdr:cNvPr>
        <xdr:cNvPicPr>
          <a:picLocks noChangeAspect="1" noChangeArrowheads="1"/>
        </xdr:cNvPicPr>
      </xdr:nvPicPr>
      <xdr:blipFill>
        <a:blip xmlns:r="http://schemas.openxmlformats.org/officeDocument/2006/relationships" r:embed="rId1"/>
        <a:stretch>
          <a:fillRect/>
        </a:stretch>
      </xdr:blipFill>
      <xdr:spPr bwMode="auto">
        <a:xfrm>
          <a:off x="10363199" y="10491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6</xdr:row>
      <xdr:rowOff>20481</xdr:rowOff>
    </xdr:from>
    <xdr:to>
      <xdr:col>7</xdr:col>
      <xdr:colOff>8229599</xdr:colOff>
      <xdr:row>6</xdr:row>
      <xdr:rowOff>4460244</xdr:rowOff>
    </xdr:to>
    <xdr:pic>
      <xdr:nvPicPr>
        <xdr:cNvPr id="84" name="Picture 83">
          <a:extLst>
            <a:ext uri="{FF2B5EF4-FFF2-40B4-BE49-F238E27FC236}">
              <a16:creationId xmlns:a16="http://schemas.microsoft.com/office/drawing/2014/main" id="{00000000-0008-0000-0B00-000054000000}"/>
            </a:ext>
          </a:extLst>
        </xdr:cNvPr>
        <xdr:cNvPicPr>
          <a:picLocks noChangeAspect="1" noChangeArrowheads="1"/>
        </xdr:cNvPicPr>
      </xdr:nvPicPr>
      <xdr:blipFill>
        <a:blip xmlns:r="http://schemas.openxmlformats.org/officeDocument/2006/relationships" r:embed="rId2"/>
        <a:stretch>
          <a:fillRect/>
        </a:stretch>
      </xdr:blipFill>
      <xdr:spPr bwMode="auto">
        <a:xfrm>
          <a:off x="19888199" y="10491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9524</xdr:colOff>
      <xdr:row>8</xdr:row>
      <xdr:rowOff>23050</xdr:rowOff>
    </xdr:from>
    <xdr:to>
      <xdr:col>1</xdr:col>
      <xdr:colOff>8229599</xdr:colOff>
      <xdr:row>8</xdr:row>
      <xdr:rowOff>4457675</xdr:rowOff>
    </xdr:to>
    <xdr:pic>
      <xdr:nvPicPr>
        <xdr:cNvPr id="51" name="Picture 50">
          <a:extLst>
            <a:ext uri="{FF2B5EF4-FFF2-40B4-BE49-F238E27FC236}">
              <a16:creationId xmlns:a16="http://schemas.microsoft.com/office/drawing/2014/main" id="{00000000-0008-0000-0B00-000033000000}"/>
            </a:ext>
          </a:extLst>
        </xdr:cNvPr>
        <xdr:cNvPicPr>
          <a:picLocks noChangeAspect="1" noChangeArrowheads="1"/>
        </xdr:cNvPicPr>
      </xdr:nvPicPr>
      <xdr:blipFill>
        <a:blip xmlns:r="http://schemas.openxmlformats.org/officeDocument/2006/relationships" r:embed="rId3"/>
        <a:stretch>
          <a:fillRect/>
        </a:stretch>
      </xdr:blipFill>
      <xdr:spPr bwMode="auto">
        <a:xfrm>
          <a:off x="847724" y="5814250"/>
          <a:ext cx="8220075" cy="4434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9524</xdr:colOff>
      <xdr:row>10</xdr:row>
      <xdr:rowOff>23050</xdr:rowOff>
    </xdr:from>
    <xdr:to>
      <xdr:col>1</xdr:col>
      <xdr:colOff>8229599</xdr:colOff>
      <xdr:row>10</xdr:row>
      <xdr:rowOff>4457675</xdr:rowOff>
    </xdr:to>
    <xdr:pic>
      <xdr:nvPicPr>
        <xdr:cNvPr id="52" name="Picture 51">
          <a:extLst>
            <a:ext uri="{FF2B5EF4-FFF2-40B4-BE49-F238E27FC236}">
              <a16:creationId xmlns:a16="http://schemas.microsoft.com/office/drawing/2014/main" id="{00000000-0008-0000-0B00-000034000000}"/>
            </a:ext>
          </a:extLst>
        </xdr:cNvPr>
        <xdr:cNvPicPr>
          <a:picLocks noChangeAspect="1" noChangeArrowheads="1"/>
        </xdr:cNvPicPr>
      </xdr:nvPicPr>
      <xdr:blipFill>
        <a:blip xmlns:r="http://schemas.openxmlformats.org/officeDocument/2006/relationships" r:embed="rId4"/>
        <a:stretch>
          <a:fillRect/>
        </a:stretch>
      </xdr:blipFill>
      <xdr:spPr bwMode="auto">
        <a:xfrm>
          <a:off x="847724" y="10500550"/>
          <a:ext cx="8220075" cy="4434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5442</xdr:colOff>
      <xdr:row>12</xdr:row>
      <xdr:rowOff>21949</xdr:rowOff>
    </xdr:from>
    <xdr:to>
      <xdr:col>1</xdr:col>
      <xdr:colOff>8229599</xdr:colOff>
      <xdr:row>12</xdr:row>
      <xdr:rowOff>4458776</xdr:rowOff>
    </xdr:to>
    <xdr:pic>
      <xdr:nvPicPr>
        <xdr:cNvPr id="53" name="Picture 52">
          <a:extLst>
            <a:ext uri="{FF2B5EF4-FFF2-40B4-BE49-F238E27FC236}">
              <a16:creationId xmlns:a16="http://schemas.microsoft.com/office/drawing/2014/main" id="{00000000-0008-0000-0B00-000035000000}"/>
            </a:ext>
          </a:extLst>
        </xdr:cNvPr>
        <xdr:cNvPicPr>
          <a:picLocks noChangeAspect="1" noChangeArrowheads="1"/>
        </xdr:cNvPicPr>
      </xdr:nvPicPr>
      <xdr:blipFill>
        <a:blip xmlns:r="http://schemas.openxmlformats.org/officeDocument/2006/relationships" r:embed="rId5"/>
        <a:stretch>
          <a:fillRect/>
        </a:stretch>
      </xdr:blipFill>
      <xdr:spPr bwMode="auto">
        <a:xfrm>
          <a:off x="843642" y="15185749"/>
          <a:ext cx="8224157" cy="44368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5442</xdr:colOff>
      <xdr:row>14</xdr:row>
      <xdr:rowOff>21948</xdr:rowOff>
    </xdr:from>
    <xdr:to>
      <xdr:col>1</xdr:col>
      <xdr:colOff>8229599</xdr:colOff>
      <xdr:row>14</xdr:row>
      <xdr:rowOff>4458775</xdr:rowOff>
    </xdr:to>
    <xdr:pic>
      <xdr:nvPicPr>
        <xdr:cNvPr id="73" name="Picture 72">
          <a:extLst>
            <a:ext uri="{FF2B5EF4-FFF2-40B4-BE49-F238E27FC236}">
              <a16:creationId xmlns:a16="http://schemas.microsoft.com/office/drawing/2014/main" id="{00000000-0008-0000-0B00-000049000000}"/>
            </a:ext>
          </a:extLst>
        </xdr:cNvPr>
        <xdr:cNvPicPr>
          <a:picLocks noChangeAspect="1" noChangeArrowheads="1"/>
        </xdr:cNvPicPr>
      </xdr:nvPicPr>
      <xdr:blipFill>
        <a:blip xmlns:r="http://schemas.openxmlformats.org/officeDocument/2006/relationships" r:embed="rId6"/>
        <a:stretch>
          <a:fillRect/>
        </a:stretch>
      </xdr:blipFill>
      <xdr:spPr bwMode="auto">
        <a:xfrm>
          <a:off x="843642" y="19872048"/>
          <a:ext cx="8224157" cy="44368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5442</xdr:colOff>
      <xdr:row>6</xdr:row>
      <xdr:rowOff>21949</xdr:rowOff>
    </xdr:from>
    <xdr:to>
      <xdr:col>1</xdr:col>
      <xdr:colOff>8229599</xdr:colOff>
      <xdr:row>6</xdr:row>
      <xdr:rowOff>4458776</xdr:rowOff>
    </xdr:to>
    <xdr:pic>
      <xdr:nvPicPr>
        <xdr:cNvPr id="76" name="Picture 75">
          <a:extLst>
            <a:ext uri="{FF2B5EF4-FFF2-40B4-BE49-F238E27FC236}">
              <a16:creationId xmlns:a16="http://schemas.microsoft.com/office/drawing/2014/main" id="{00000000-0008-0000-0B00-00004C000000}"/>
            </a:ext>
          </a:extLst>
        </xdr:cNvPr>
        <xdr:cNvPicPr>
          <a:picLocks noChangeAspect="1" noChangeArrowheads="1"/>
        </xdr:cNvPicPr>
      </xdr:nvPicPr>
      <xdr:blipFill>
        <a:blip xmlns:r="http://schemas.openxmlformats.org/officeDocument/2006/relationships" r:embed="rId7"/>
        <a:stretch>
          <a:fillRect/>
        </a:stretch>
      </xdr:blipFill>
      <xdr:spPr bwMode="auto">
        <a:xfrm>
          <a:off x="843642" y="1050649"/>
          <a:ext cx="8224157" cy="44368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5442</xdr:colOff>
      <xdr:row>16</xdr:row>
      <xdr:rowOff>21949</xdr:rowOff>
    </xdr:from>
    <xdr:to>
      <xdr:col>1</xdr:col>
      <xdr:colOff>8229599</xdr:colOff>
      <xdr:row>16</xdr:row>
      <xdr:rowOff>4458776</xdr:rowOff>
    </xdr:to>
    <xdr:pic>
      <xdr:nvPicPr>
        <xdr:cNvPr id="77" name="Picture 76">
          <a:extLst>
            <a:ext uri="{FF2B5EF4-FFF2-40B4-BE49-F238E27FC236}">
              <a16:creationId xmlns:a16="http://schemas.microsoft.com/office/drawing/2014/main" id="{00000000-0008-0000-0B00-00004D000000}"/>
            </a:ext>
          </a:extLst>
        </xdr:cNvPr>
        <xdr:cNvPicPr>
          <a:picLocks noChangeAspect="1" noChangeArrowheads="1"/>
        </xdr:cNvPicPr>
      </xdr:nvPicPr>
      <xdr:blipFill>
        <a:blip xmlns:r="http://schemas.openxmlformats.org/officeDocument/2006/relationships" r:embed="rId8"/>
        <a:stretch>
          <a:fillRect/>
        </a:stretch>
      </xdr:blipFill>
      <xdr:spPr bwMode="auto">
        <a:xfrm>
          <a:off x="843642" y="24558349"/>
          <a:ext cx="8224157" cy="44368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5442</xdr:colOff>
      <xdr:row>18</xdr:row>
      <xdr:rowOff>21949</xdr:rowOff>
    </xdr:from>
    <xdr:to>
      <xdr:col>1</xdr:col>
      <xdr:colOff>8229599</xdr:colOff>
      <xdr:row>18</xdr:row>
      <xdr:rowOff>4458776</xdr:rowOff>
    </xdr:to>
    <xdr:pic>
      <xdr:nvPicPr>
        <xdr:cNvPr id="85" name="Picture 84">
          <a:extLst>
            <a:ext uri="{FF2B5EF4-FFF2-40B4-BE49-F238E27FC236}">
              <a16:creationId xmlns:a16="http://schemas.microsoft.com/office/drawing/2014/main" id="{00000000-0008-0000-0B00-000055000000}"/>
            </a:ext>
          </a:extLst>
        </xdr:cNvPr>
        <xdr:cNvPicPr>
          <a:picLocks noChangeAspect="1" noChangeArrowheads="1"/>
        </xdr:cNvPicPr>
      </xdr:nvPicPr>
      <xdr:blipFill>
        <a:blip xmlns:r="http://schemas.openxmlformats.org/officeDocument/2006/relationships" r:embed="rId9"/>
        <a:stretch>
          <a:fillRect/>
        </a:stretch>
      </xdr:blipFill>
      <xdr:spPr bwMode="auto">
        <a:xfrm>
          <a:off x="843642" y="29244649"/>
          <a:ext cx="8224157" cy="44368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5442</xdr:colOff>
      <xdr:row>20</xdr:row>
      <xdr:rowOff>21949</xdr:rowOff>
    </xdr:from>
    <xdr:to>
      <xdr:col>1</xdr:col>
      <xdr:colOff>8229599</xdr:colOff>
      <xdr:row>20</xdr:row>
      <xdr:rowOff>4458776</xdr:rowOff>
    </xdr:to>
    <xdr:pic>
      <xdr:nvPicPr>
        <xdr:cNvPr id="86" name="Picture 85">
          <a:extLst>
            <a:ext uri="{FF2B5EF4-FFF2-40B4-BE49-F238E27FC236}">
              <a16:creationId xmlns:a16="http://schemas.microsoft.com/office/drawing/2014/main" id="{00000000-0008-0000-0B00-000056000000}"/>
            </a:ext>
          </a:extLst>
        </xdr:cNvPr>
        <xdr:cNvPicPr>
          <a:picLocks noChangeAspect="1" noChangeArrowheads="1"/>
        </xdr:cNvPicPr>
      </xdr:nvPicPr>
      <xdr:blipFill>
        <a:blip xmlns:r="http://schemas.openxmlformats.org/officeDocument/2006/relationships" r:embed="rId10"/>
        <a:stretch>
          <a:fillRect/>
        </a:stretch>
      </xdr:blipFill>
      <xdr:spPr bwMode="auto">
        <a:xfrm>
          <a:off x="843642" y="33969049"/>
          <a:ext cx="8224157" cy="44368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2720</xdr:colOff>
      <xdr:row>8</xdr:row>
      <xdr:rowOff>21215</xdr:rowOff>
    </xdr:from>
    <xdr:to>
      <xdr:col>4</xdr:col>
      <xdr:colOff>8229598</xdr:colOff>
      <xdr:row>8</xdr:row>
      <xdr:rowOff>4459511</xdr:rowOff>
    </xdr:to>
    <xdr:pic>
      <xdr:nvPicPr>
        <xdr:cNvPr id="17" name="Picture 16">
          <a:extLst>
            <a:ext uri="{FF2B5EF4-FFF2-40B4-BE49-F238E27FC236}">
              <a16:creationId xmlns:a16="http://schemas.microsoft.com/office/drawing/2014/main" id="{00000000-0008-0000-0B00-000011000000}"/>
            </a:ext>
          </a:extLst>
        </xdr:cNvPr>
        <xdr:cNvPicPr>
          <a:picLocks noChangeAspect="1" noChangeArrowheads="1"/>
        </xdr:cNvPicPr>
      </xdr:nvPicPr>
      <xdr:blipFill>
        <a:blip xmlns:r="http://schemas.openxmlformats.org/officeDocument/2006/relationships" r:embed="rId11"/>
        <a:stretch>
          <a:fillRect/>
        </a:stretch>
      </xdr:blipFill>
      <xdr:spPr bwMode="auto">
        <a:xfrm>
          <a:off x="10888434" y="5808786"/>
          <a:ext cx="8226878" cy="4438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2720</xdr:colOff>
      <xdr:row>10</xdr:row>
      <xdr:rowOff>21215</xdr:rowOff>
    </xdr:from>
    <xdr:to>
      <xdr:col>4</xdr:col>
      <xdr:colOff>8229598</xdr:colOff>
      <xdr:row>10</xdr:row>
      <xdr:rowOff>4459511</xdr:rowOff>
    </xdr:to>
    <xdr:pic>
      <xdr:nvPicPr>
        <xdr:cNvPr id="19" name="Picture 18">
          <a:extLst>
            <a:ext uri="{FF2B5EF4-FFF2-40B4-BE49-F238E27FC236}">
              <a16:creationId xmlns:a16="http://schemas.microsoft.com/office/drawing/2014/main" id="{00000000-0008-0000-0B00-000013000000}"/>
            </a:ext>
          </a:extLst>
        </xdr:cNvPr>
        <xdr:cNvPicPr>
          <a:picLocks noChangeAspect="1" noChangeArrowheads="1"/>
        </xdr:cNvPicPr>
      </xdr:nvPicPr>
      <xdr:blipFill>
        <a:blip xmlns:r="http://schemas.openxmlformats.org/officeDocument/2006/relationships" r:embed="rId12"/>
        <a:stretch>
          <a:fillRect/>
        </a:stretch>
      </xdr:blipFill>
      <xdr:spPr bwMode="auto">
        <a:xfrm>
          <a:off x="10877095" y="10498715"/>
          <a:ext cx="8226878" cy="4438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2720</xdr:colOff>
      <xdr:row>12</xdr:row>
      <xdr:rowOff>21215</xdr:rowOff>
    </xdr:from>
    <xdr:to>
      <xdr:col>4</xdr:col>
      <xdr:colOff>8229598</xdr:colOff>
      <xdr:row>12</xdr:row>
      <xdr:rowOff>4459511</xdr:rowOff>
    </xdr:to>
    <xdr:pic>
      <xdr:nvPicPr>
        <xdr:cNvPr id="20" name="Picture 19">
          <a:extLst>
            <a:ext uri="{FF2B5EF4-FFF2-40B4-BE49-F238E27FC236}">
              <a16:creationId xmlns:a16="http://schemas.microsoft.com/office/drawing/2014/main" id="{00000000-0008-0000-0B00-000014000000}"/>
            </a:ext>
          </a:extLst>
        </xdr:cNvPr>
        <xdr:cNvPicPr>
          <a:picLocks noChangeAspect="1" noChangeArrowheads="1"/>
        </xdr:cNvPicPr>
      </xdr:nvPicPr>
      <xdr:blipFill>
        <a:blip xmlns:r="http://schemas.openxmlformats.org/officeDocument/2006/relationships" r:embed="rId13"/>
        <a:stretch>
          <a:fillRect/>
        </a:stretch>
      </xdr:blipFill>
      <xdr:spPr bwMode="auto">
        <a:xfrm>
          <a:off x="10877095" y="15197715"/>
          <a:ext cx="8226878" cy="4438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2720</xdr:colOff>
      <xdr:row>14</xdr:row>
      <xdr:rowOff>21215</xdr:rowOff>
    </xdr:from>
    <xdr:to>
      <xdr:col>4</xdr:col>
      <xdr:colOff>8229598</xdr:colOff>
      <xdr:row>14</xdr:row>
      <xdr:rowOff>4459511</xdr:rowOff>
    </xdr:to>
    <xdr:pic>
      <xdr:nvPicPr>
        <xdr:cNvPr id="21" name="Picture 20">
          <a:extLst>
            <a:ext uri="{FF2B5EF4-FFF2-40B4-BE49-F238E27FC236}">
              <a16:creationId xmlns:a16="http://schemas.microsoft.com/office/drawing/2014/main" id="{00000000-0008-0000-0B00-000015000000}"/>
            </a:ext>
          </a:extLst>
        </xdr:cNvPr>
        <xdr:cNvPicPr>
          <a:picLocks noChangeAspect="1" noChangeArrowheads="1"/>
        </xdr:cNvPicPr>
      </xdr:nvPicPr>
      <xdr:blipFill>
        <a:blip xmlns:r="http://schemas.openxmlformats.org/officeDocument/2006/relationships" r:embed="rId14"/>
        <a:stretch>
          <a:fillRect/>
        </a:stretch>
      </xdr:blipFill>
      <xdr:spPr bwMode="auto">
        <a:xfrm>
          <a:off x="10877095" y="19896715"/>
          <a:ext cx="8226878" cy="4438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2720</xdr:colOff>
      <xdr:row>16</xdr:row>
      <xdr:rowOff>21215</xdr:rowOff>
    </xdr:from>
    <xdr:to>
      <xdr:col>4</xdr:col>
      <xdr:colOff>8229599</xdr:colOff>
      <xdr:row>16</xdr:row>
      <xdr:rowOff>4459511</xdr:rowOff>
    </xdr:to>
    <xdr:pic>
      <xdr:nvPicPr>
        <xdr:cNvPr id="22" name="Picture 21">
          <a:extLst>
            <a:ext uri="{FF2B5EF4-FFF2-40B4-BE49-F238E27FC236}">
              <a16:creationId xmlns:a16="http://schemas.microsoft.com/office/drawing/2014/main" id="{00000000-0008-0000-0B00-000016000000}"/>
            </a:ext>
          </a:extLst>
        </xdr:cNvPr>
        <xdr:cNvPicPr>
          <a:picLocks noChangeAspect="1" noChangeArrowheads="1"/>
        </xdr:cNvPicPr>
      </xdr:nvPicPr>
      <xdr:blipFill>
        <a:blip xmlns:r="http://schemas.openxmlformats.org/officeDocument/2006/relationships" r:embed="rId15"/>
        <a:stretch>
          <a:fillRect/>
        </a:stretch>
      </xdr:blipFill>
      <xdr:spPr bwMode="auto">
        <a:xfrm>
          <a:off x="10365920" y="24557615"/>
          <a:ext cx="8226879" cy="4438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2720</xdr:colOff>
      <xdr:row>18</xdr:row>
      <xdr:rowOff>21215</xdr:rowOff>
    </xdr:from>
    <xdr:to>
      <xdr:col>4</xdr:col>
      <xdr:colOff>8229599</xdr:colOff>
      <xdr:row>18</xdr:row>
      <xdr:rowOff>4459511</xdr:rowOff>
    </xdr:to>
    <xdr:pic>
      <xdr:nvPicPr>
        <xdr:cNvPr id="23" name="Picture 22">
          <a:extLst>
            <a:ext uri="{FF2B5EF4-FFF2-40B4-BE49-F238E27FC236}">
              <a16:creationId xmlns:a16="http://schemas.microsoft.com/office/drawing/2014/main" id="{00000000-0008-0000-0B00-000017000000}"/>
            </a:ext>
          </a:extLst>
        </xdr:cNvPr>
        <xdr:cNvPicPr>
          <a:picLocks noChangeAspect="1" noChangeArrowheads="1"/>
        </xdr:cNvPicPr>
      </xdr:nvPicPr>
      <xdr:blipFill>
        <a:blip xmlns:r="http://schemas.openxmlformats.org/officeDocument/2006/relationships" r:embed="rId16"/>
        <a:stretch>
          <a:fillRect/>
        </a:stretch>
      </xdr:blipFill>
      <xdr:spPr bwMode="auto">
        <a:xfrm>
          <a:off x="10365920" y="29243915"/>
          <a:ext cx="8226879" cy="4438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2720</xdr:colOff>
      <xdr:row>20</xdr:row>
      <xdr:rowOff>21215</xdr:rowOff>
    </xdr:from>
    <xdr:to>
      <xdr:col>4</xdr:col>
      <xdr:colOff>8229599</xdr:colOff>
      <xdr:row>20</xdr:row>
      <xdr:rowOff>4459511</xdr:rowOff>
    </xdr:to>
    <xdr:pic>
      <xdr:nvPicPr>
        <xdr:cNvPr id="24" name="Picture 23">
          <a:extLst>
            <a:ext uri="{FF2B5EF4-FFF2-40B4-BE49-F238E27FC236}">
              <a16:creationId xmlns:a16="http://schemas.microsoft.com/office/drawing/2014/main" id="{00000000-0008-0000-0B00-000018000000}"/>
            </a:ext>
          </a:extLst>
        </xdr:cNvPr>
        <xdr:cNvPicPr>
          <a:picLocks noChangeAspect="1" noChangeArrowheads="1"/>
        </xdr:cNvPicPr>
      </xdr:nvPicPr>
      <xdr:blipFill>
        <a:blip xmlns:r="http://schemas.openxmlformats.org/officeDocument/2006/relationships" r:embed="rId17"/>
        <a:stretch>
          <a:fillRect/>
        </a:stretch>
      </xdr:blipFill>
      <xdr:spPr bwMode="auto">
        <a:xfrm>
          <a:off x="10365920" y="33968315"/>
          <a:ext cx="8226879" cy="4438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8</xdr:row>
      <xdr:rowOff>20481</xdr:rowOff>
    </xdr:from>
    <xdr:to>
      <xdr:col>7</xdr:col>
      <xdr:colOff>8229599</xdr:colOff>
      <xdr:row>8</xdr:row>
      <xdr:rowOff>4460244</xdr:rowOff>
    </xdr:to>
    <xdr:pic>
      <xdr:nvPicPr>
        <xdr:cNvPr id="25" name="Picture 24">
          <a:extLst>
            <a:ext uri="{FF2B5EF4-FFF2-40B4-BE49-F238E27FC236}">
              <a16:creationId xmlns:a16="http://schemas.microsoft.com/office/drawing/2014/main" id="{00000000-0008-0000-0B00-000019000000}"/>
            </a:ext>
          </a:extLst>
        </xdr:cNvPr>
        <xdr:cNvPicPr>
          <a:picLocks noChangeAspect="1" noChangeArrowheads="1"/>
        </xdr:cNvPicPr>
      </xdr:nvPicPr>
      <xdr:blipFill>
        <a:blip xmlns:r="http://schemas.openxmlformats.org/officeDocument/2006/relationships" r:embed="rId18"/>
        <a:stretch>
          <a:fillRect/>
        </a:stretch>
      </xdr:blipFill>
      <xdr:spPr bwMode="auto">
        <a:xfrm>
          <a:off x="19888199" y="58116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10</xdr:row>
      <xdr:rowOff>20481</xdr:rowOff>
    </xdr:from>
    <xdr:to>
      <xdr:col>7</xdr:col>
      <xdr:colOff>8229599</xdr:colOff>
      <xdr:row>10</xdr:row>
      <xdr:rowOff>4460244</xdr:rowOff>
    </xdr:to>
    <xdr:pic>
      <xdr:nvPicPr>
        <xdr:cNvPr id="27" name="Picture 26">
          <a:extLst>
            <a:ext uri="{FF2B5EF4-FFF2-40B4-BE49-F238E27FC236}">
              <a16:creationId xmlns:a16="http://schemas.microsoft.com/office/drawing/2014/main" id="{00000000-0008-0000-0B00-00001B000000}"/>
            </a:ext>
          </a:extLst>
        </xdr:cNvPr>
        <xdr:cNvPicPr>
          <a:picLocks noChangeAspect="1" noChangeArrowheads="1"/>
        </xdr:cNvPicPr>
      </xdr:nvPicPr>
      <xdr:blipFill>
        <a:blip xmlns:r="http://schemas.openxmlformats.org/officeDocument/2006/relationships" r:embed="rId19"/>
        <a:stretch>
          <a:fillRect/>
        </a:stretch>
      </xdr:blipFill>
      <xdr:spPr bwMode="auto">
        <a:xfrm>
          <a:off x="19888199" y="104979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12</xdr:row>
      <xdr:rowOff>20481</xdr:rowOff>
    </xdr:from>
    <xdr:to>
      <xdr:col>7</xdr:col>
      <xdr:colOff>8229599</xdr:colOff>
      <xdr:row>12</xdr:row>
      <xdr:rowOff>4460244</xdr:rowOff>
    </xdr:to>
    <xdr:pic>
      <xdr:nvPicPr>
        <xdr:cNvPr id="28" name="Picture 27">
          <a:extLst>
            <a:ext uri="{FF2B5EF4-FFF2-40B4-BE49-F238E27FC236}">
              <a16:creationId xmlns:a16="http://schemas.microsoft.com/office/drawing/2014/main" id="{00000000-0008-0000-0B00-00001C000000}"/>
            </a:ext>
          </a:extLst>
        </xdr:cNvPr>
        <xdr:cNvPicPr>
          <a:picLocks noChangeAspect="1" noChangeArrowheads="1"/>
        </xdr:cNvPicPr>
      </xdr:nvPicPr>
      <xdr:blipFill>
        <a:blip xmlns:r="http://schemas.openxmlformats.org/officeDocument/2006/relationships" r:embed="rId20"/>
        <a:stretch>
          <a:fillRect/>
        </a:stretch>
      </xdr:blipFill>
      <xdr:spPr bwMode="auto">
        <a:xfrm>
          <a:off x="19888199" y="151842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14</xdr:row>
      <xdr:rowOff>20481</xdr:rowOff>
    </xdr:from>
    <xdr:to>
      <xdr:col>7</xdr:col>
      <xdr:colOff>8229599</xdr:colOff>
      <xdr:row>14</xdr:row>
      <xdr:rowOff>4460244</xdr:rowOff>
    </xdr:to>
    <xdr:pic>
      <xdr:nvPicPr>
        <xdr:cNvPr id="29" name="Picture 28">
          <a:extLst>
            <a:ext uri="{FF2B5EF4-FFF2-40B4-BE49-F238E27FC236}">
              <a16:creationId xmlns:a16="http://schemas.microsoft.com/office/drawing/2014/main" id="{00000000-0008-0000-0B00-00001D000000}"/>
            </a:ext>
          </a:extLst>
        </xdr:cNvPr>
        <xdr:cNvPicPr>
          <a:picLocks noChangeAspect="1" noChangeArrowheads="1"/>
        </xdr:cNvPicPr>
      </xdr:nvPicPr>
      <xdr:blipFill>
        <a:blip xmlns:r="http://schemas.openxmlformats.org/officeDocument/2006/relationships" r:embed="rId21"/>
        <a:stretch>
          <a:fillRect/>
        </a:stretch>
      </xdr:blipFill>
      <xdr:spPr bwMode="auto">
        <a:xfrm>
          <a:off x="19888199" y="198705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16</xdr:row>
      <xdr:rowOff>20481</xdr:rowOff>
    </xdr:from>
    <xdr:to>
      <xdr:col>7</xdr:col>
      <xdr:colOff>8229599</xdr:colOff>
      <xdr:row>16</xdr:row>
      <xdr:rowOff>4460244</xdr:rowOff>
    </xdr:to>
    <xdr:pic>
      <xdr:nvPicPr>
        <xdr:cNvPr id="31" name="Picture 30">
          <a:extLst>
            <a:ext uri="{FF2B5EF4-FFF2-40B4-BE49-F238E27FC236}">
              <a16:creationId xmlns:a16="http://schemas.microsoft.com/office/drawing/2014/main" id="{00000000-0008-0000-0B00-00001F000000}"/>
            </a:ext>
          </a:extLst>
        </xdr:cNvPr>
        <xdr:cNvPicPr>
          <a:picLocks noChangeAspect="1" noChangeArrowheads="1"/>
        </xdr:cNvPicPr>
      </xdr:nvPicPr>
      <xdr:blipFill>
        <a:blip xmlns:r="http://schemas.openxmlformats.org/officeDocument/2006/relationships" r:embed="rId22"/>
        <a:stretch>
          <a:fillRect/>
        </a:stretch>
      </xdr:blipFill>
      <xdr:spPr bwMode="auto">
        <a:xfrm>
          <a:off x="19888199" y="245568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18</xdr:row>
      <xdr:rowOff>20481</xdr:rowOff>
    </xdr:from>
    <xdr:to>
      <xdr:col>7</xdr:col>
      <xdr:colOff>8229599</xdr:colOff>
      <xdr:row>18</xdr:row>
      <xdr:rowOff>4460244</xdr:rowOff>
    </xdr:to>
    <xdr:pic>
      <xdr:nvPicPr>
        <xdr:cNvPr id="33" name="Picture 32">
          <a:extLst>
            <a:ext uri="{FF2B5EF4-FFF2-40B4-BE49-F238E27FC236}">
              <a16:creationId xmlns:a16="http://schemas.microsoft.com/office/drawing/2014/main" id="{00000000-0008-0000-0B00-000021000000}"/>
            </a:ext>
          </a:extLst>
        </xdr:cNvPr>
        <xdr:cNvPicPr>
          <a:picLocks noChangeAspect="1" noChangeArrowheads="1"/>
        </xdr:cNvPicPr>
      </xdr:nvPicPr>
      <xdr:blipFill>
        <a:blip xmlns:r="http://schemas.openxmlformats.org/officeDocument/2006/relationships" r:embed="rId23"/>
        <a:stretch>
          <a:fillRect/>
        </a:stretch>
      </xdr:blipFill>
      <xdr:spPr bwMode="auto">
        <a:xfrm>
          <a:off x="19888199" y="292431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20</xdr:row>
      <xdr:rowOff>20481</xdr:rowOff>
    </xdr:from>
    <xdr:to>
      <xdr:col>7</xdr:col>
      <xdr:colOff>8229599</xdr:colOff>
      <xdr:row>20</xdr:row>
      <xdr:rowOff>4460244</xdr:rowOff>
    </xdr:to>
    <xdr:pic>
      <xdr:nvPicPr>
        <xdr:cNvPr id="34" name="Picture 33">
          <a:extLst>
            <a:ext uri="{FF2B5EF4-FFF2-40B4-BE49-F238E27FC236}">
              <a16:creationId xmlns:a16="http://schemas.microsoft.com/office/drawing/2014/main" id="{00000000-0008-0000-0B00-000022000000}"/>
            </a:ext>
          </a:extLst>
        </xdr:cNvPr>
        <xdr:cNvPicPr>
          <a:picLocks noChangeAspect="1" noChangeArrowheads="1"/>
        </xdr:cNvPicPr>
      </xdr:nvPicPr>
      <xdr:blipFill>
        <a:blip xmlns:r="http://schemas.openxmlformats.org/officeDocument/2006/relationships" r:embed="rId24"/>
        <a:stretch>
          <a:fillRect/>
        </a:stretch>
      </xdr:blipFill>
      <xdr:spPr bwMode="auto">
        <a:xfrm>
          <a:off x="19888199" y="339675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229322</xdr:colOff>
      <xdr:row>33</xdr:row>
      <xdr:rowOff>37753</xdr:rowOff>
    </xdr:from>
    <xdr:to>
      <xdr:col>16</xdr:col>
      <xdr:colOff>381667</xdr:colOff>
      <xdr:row>61</xdr:row>
      <xdr:rowOff>144929</xdr:rowOff>
    </xdr:to>
    <xdr:graphicFrame macro="">
      <xdr:nvGraphicFramePr>
        <xdr:cNvPr id="2" name="Chart 1029">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38100</xdr:colOff>
          <xdr:row>2</xdr:row>
          <xdr:rowOff>127000</xdr:rowOff>
        </xdr:from>
        <xdr:to>
          <xdr:col>1</xdr:col>
          <xdr:colOff>107950</xdr:colOff>
          <xdr:row>4</xdr:row>
          <xdr:rowOff>38100</xdr:rowOff>
        </xdr:to>
        <xdr:sp macro="" textlink="">
          <xdr:nvSpPr>
            <xdr:cNvPr id="740353" name="Drop Down 1" hidden="1">
              <a:extLst>
                <a:ext uri="{63B3BB69-23CF-44E3-9099-C40C66FF867C}">
                  <a14:compatExt spid="_x0000_s740353"/>
                </a:ext>
                <a:ext uri="{FF2B5EF4-FFF2-40B4-BE49-F238E27FC236}">
                  <a16:creationId xmlns:a16="http://schemas.microsoft.com/office/drawing/2014/main" id="{00000000-0008-0000-0100-0000014C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xdr:from>
      <xdr:col>18</xdr:col>
      <xdr:colOff>18143</xdr:colOff>
      <xdr:row>33</xdr:row>
      <xdr:rowOff>18142</xdr:rowOff>
    </xdr:from>
    <xdr:to>
      <xdr:col>26</xdr:col>
      <xdr:colOff>808663</xdr:colOff>
      <xdr:row>61</xdr:row>
      <xdr:rowOff>128493</xdr:rowOff>
    </xdr:to>
    <xdr:graphicFrame macro="">
      <xdr:nvGraphicFramePr>
        <xdr:cNvPr id="4" name="Chart 1029">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85725</xdr:colOff>
      <xdr:row>111</xdr:row>
      <xdr:rowOff>114300</xdr:rowOff>
    </xdr:from>
    <xdr:to>
      <xdr:col>20</xdr:col>
      <xdr:colOff>161925</xdr:colOff>
      <xdr:row>144</xdr:row>
      <xdr:rowOff>76200</xdr:rowOff>
    </xdr:to>
    <xdr:graphicFrame macro="">
      <xdr:nvGraphicFramePr>
        <xdr:cNvPr id="3" name="Chart 3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1600199</xdr:colOff>
      <xdr:row>4</xdr:row>
      <xdr:rowOff>95250</xdr:rowOff>
    </xdr:from>
    <xdr:to>
      <xdr:col>4</xdr:col>
      <xdr:colOff>3267074</xdr:colOff>
      <xdr:row>4</xdr:row>
      <xdr:rowOff>535385</xdr:rowOff>
    </xdr:to>
    <xdr:pic>
      <xdr:nvPicPr>
        <xdr:cNvPr id="4" name="Picture 84">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857749" y="800100"/>
          <a:ext cx="1666875" cy="440135"/>
        </a:xfrm>
        <a:prstGeom prst="rect">
          <a:avLst/>
        </a:prstGeom>
        <a:noFill/>
        <a:ln w="1">
          <a:noFill/>
          <a:miter lim="800000"/>
          <a:headEnd/>
          <a:tailEnd type="none" w="med" len="med"/>
        </a:ln>
        <a:effectLst/>
      </xdr:spPr>
    </xdr:pic>
    <xdr:clientData/>
  </xdr:twoCellAnchor>
  <xdr:twoCellAnchor>
    <xdr:from>
      <xdr:col>0</xdr:col>
      <xdr:colOff>95250</xdr:colOff>
      <xdr:row>148</xdr:row>
      <xdr:rowOff>76200</xdr:rowOff>
    </xdr:from>
    <xdr:to>
      <xdr:col>20</xdr:col>
      <xdr:colOff>687917</xdr:colOff>
      <xdr:row>181</xdr:row>
      <xdr:rowOff>38100</xdr:rowOff>
    </xdr:to>
    <xdr:graphicFrame macro="">
      <xdr:nvGraphicFramePr>
        <xdr:cNvPr id="8" name="Chart 31">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22</xdr:col>
          <xdr:colOff>184150</xdr:colOff>
          <xdr:row>111</xdr:row>
          <xdr:rowOff>146050</xdr:rowOff>
        </xdr:from>
        <xdr:to>
          <xdr:col>36</xdr:col>
          <xdr:colOff>12700</xdr:colOff>
          <xdr:row>125</xdr:row>
          <xdr:rowOff>146050</xdr:rowOff>
        </xdr:to>
        <xdr:sp macro="" textlink="">
          <xdr:nvSpPr>
            <xdr:cNvPr id="683009" name="Object 1" hidden="1">
              <a:extLst>
                <a:ext uri="{63B3BB69-23CF-44E3-9099-C40C66FF867C}">
                  <a14:compatExt spid="_x0000_s683009"/>
                </a:ext>
                <a:ext uri="{FF2B5EF4-FFF2-40B4-BE49-F238E27FC236}">
                  <a16:creationId xmlns:a16="http://schemas.microsoft.com/office/drawing/2014/main" id="{00000000-0008-0000-0300-0000016C0A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0</xdr:col>
      <xdr:colOff>392906</xdr:colOff>
      <xdr:row>218</xdr:row>
      <xdr:rowOff>130969</xdr:rowOff>
    </xdr:from>
    <xdr:to>
      <xdr:col>19</xdr:col>
      <xdr:colOff>626267</xdr:colOff>
      <xdr:row>250</xdr:row>
      <xdr:rowOff>124619</xdr:rowOff>
    </xdr:to>
    <xdr:graphicFrame macro="">
      <xdr:nvGraphicFramePr>
        <xdr:cNvPr id="13" name="Chart 31">
          <a:extLst>
            <a:ext uri="{FF2B5EF4-FFF2-40B4-BE49-F238E27FC236}">
              <a16:creationId xmlns:a16="http://schemas.microsoft.com/office/drawing/2014/main" id="{00000000-0008-0000-0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35718</xdr:colOff>
      <xdr:row>255</xdr:row>
      <xdr:rowOff>47626</xdr:rowOff>
    </xdr:from>
    <xdr:to>
      <xdr:col>13</xdr:col>
      <xdr:colOff>16668</xdr:colOff>
      <xdr:row>287</xdr:row>
      <xdr:rowOff>104776</xdr:rowOff>
    </xdr:to>
    <xdr:graphicFrame macro="">
      <xdr:nvGraphicFramePr>
        <xdr:cNvPr id="16" name="Chart 253">
          <a:extLst>
            <a:ext uri="{FF2B5EF4-FFF2-40B4-BE49-F238E27FC236}">
              <a16:creationId xmlns:a16="http://schemas.microsoft.com/office/drawing/2014/main" id="{00000000-0008-0000-03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28575</xdr:colOff>
      <xdr:row>289</xdr:row>
      <xdr:rowOff>66675</xdr:rowOff>
    </xdr:from>
    <xdr:to>
      <xdr:col>13</xdr:col>
      <xdr:colOff>9525</xdr:colOff>
      <xdr:row>321</xdr:row>
      <xdr:rowOff>123825</xdr:rowOff>
    </xdr:to>
    <xdr:graphicFrame macro="">
      <xdr:nvGraphicFramePr>
        <xdr:cNvPr id="15" name="Chart 253">
          <a:extLst>
            <a:ext uri="{FF2B5EF4-FFF2-40B4-BE49-F238E27FC236}">
              <a16:creationId xmlns:a16="http://schemas.microsoft.com/office/drawing/2014/main" id="{00000000-0008-0000-03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95251</xdr:colOff>
      <xdr:row>182</xdr:row>
      <xdr:rowOff>100853</xdr:rowOff>
    </xdr:from>
    <xdr:to>
      <xdr:col>20</xdr:col>
      <xdr:colOff>708023</xdr:colOff>
      <xdr:row>215</xdr:row>
      <xdr:rowOff>62753</xdr:rowOff>
    </xdr:to>
    <xdr:graphicFrame macro="">
      <xdr:nvGraphicFramePr>
        <xdr:cNvPr id="17" name="Chart 31">
          <a:extLst>
            <a:ext uri="{FF2B5EF4-FFF2-40B4-BE49-F238E27FC236}">
              <a16:creationId xmlns:a16="http://schemas.microsoft.com/office/drawing/2014/main" id="{00000000-0008-0000-03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0.16877</cdr:x>
      <cdr:y>0.12917</cdr:y>
    </cdr:from>
    <cdr:to>
      <cdr:x>0.23482</cdr:x>
      <cdr:y>0.16636</cdr:y>
    </cdr:to>
    <cdr:sp macro="" textlink="'Variable Mgmt'!$B$272">
      <cdr:nvSpPr>
        <cdr:cNvPr id="2" name="Text Box 24"/>
        <cdr:cNvSpPr txBox="1">
          <a:spLocks xmlns:a="http://schemas.openxmlformats.org/drawingml/2006/main" noChangeArrowheads="1" noTextEdit="1"/>
        </cdr:cNvSpPr>
      </cdr:nvSpPr>
      <cdr:spPr bwMode="auto">
        <a:xfrm xmlns:a="http://schemas.openxmlformats.org/drawingml/2006/main">
          <a:off x="1403360" y="665601"/>
          <a:ext cx="549265" cy="1916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22860" rIns="0" bIns="22860" anchor="b"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fld id="{FB7B9190-533F-41A0-B9F6-41424F4E3D27}" type="TxLink">
            <a:rPr lang="en-US" sz="1100" b="0" i="0" u="none" strike="noStrike" baseline="0">
              <a:solidFill>
                <a:srgbClr val="000000"/>
              </a:solidFill>
              <a:latin typeface="Arial"/>
              <a:cs typeface="Arial"/>
            </a:rPr>
            <a:pPr algn="l" rtl="0">
              <a:defRPr sz="1000"/>
            </a:pPr>
            <a:t>68.7%</a:t>
          </a:fld>
          <a:endParaRPr lang="en-US" sz="1100" b="1" i="0" u="none" strike="noStrike" baseline="0">
            <a:solidFill>
              <a:srgbClr val="000000"/>
            </a:solidFill>
            <a:latin typeface="Arial" pitchFamily="34" charset="0"/>
            <a:cs typeface="Arial" pitchFamily="34" charset="0"/>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0.16877</cdr:x>
      <cdr:y>0.12917</cdr:y>
    </cdr:from>
    <cdr:to>
      <cdr:x>0.23482</cdr:x>
      <cdr:y>0.16636</cdr:y>
    </cdr:to>
    <cdr:sp macro="" textlink="'Variable Mgmt'!$B$272">
      <cdr:nvSpPr>
        <cdr:cNvPr id="2" name="Text Box 24"/>
        <cdr:cNvSpPr txBox="1">
          <a:spLocks xmlns:a="http://schemas.openxmlformats.org/drawingml/2006/main" noChangeArrowheads="1" noTextEdit="1"/>
        </cdr:cNvSpPr>
      </cdr:nvSpPr>
      <cdr:spPr bwMode="auto">
        <a:xfrm xmlns:a="http://schemas.openxmlformats.org/drawingml/2006/main">
          <a:off x="1403360" y="665601"/>
          <a:ext cx="549265" cy="1916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22860" rIns="0" bIns="22860" anchor="b"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fld id="{FB7B9190-533F-41A0-B9F6-41424F4E3D27}" type="TxLink">
            <a:rPr lang="en-US" sz="1100" b="0" i="0" u="none" strike="noStrike" baseline="0">
              <a:solidFill>
                <a:srgbClr val="000000"/>
              </a:solidFill>
              <a:latin typeface="Arial"/>
              <a:cs typeface="Arial"/>
            </a:rPr>
            <a:pPr algn="l" rtl="0">
              <a:defRPr sz="1000"/>
            </a:pPr>
            <a:t>68.7%</a:t>
          </a:fld>
          <a:endParaRPr lang="en-US" sz="1100" b="1" i="0" u="none" strike="noStrike" baseline="0">
            <a:solidFill>
              <a:srgbClr val="000000"/>
            </a:solidFill>
            <a:latin typeface="Arial" pitchFamily="34" charset="0"/>
            <a:cs typeface="Arial" pitchFamily="34" charset="0"/>
          </a:endParaRPr>
        </a:p>
      </cdr:txBody>
    </cdr:sp>
  </cdr:relSizeAnchor>
</c:userShapes>
</file>

<file path=xl/drawings/drawing6.xml><?xml version="1.0" encoding="utf-8"?>
<xdr:wsDr xmlns:xdr="http://schemas.openxmlformats.org/drawingml/2006/spreadsheetDrawing" xmlns:a="http://schemas.openxmlformats.org/drawingml/2006/main">
  <xdr:twoCellAnchor>
    <xdr:from>
      <xdr:col>8</xdr:col>
      <xdr:colOff>152400</xdr:colOff>
      <xdr:row>9</xdr:row>
      <xdr:rowOff>0</xdr:rowOff>
    </xdr:from>
    <xdr:to>
      <xdr:col>23</xdr:col>
      <xdr:colOff>38100</xdr:colOff>
      <xdr:row>40</xdr:row>
      <xdr:rowOff>1732</xdr:rowOff>
    </xdr:to>
    <xdr:graphicFrame macro="">
      <xdr:nvGraphicFramePr>
        <xdr:cNvPr id="3" name="Chart 253">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142875</xdr:colOff>
      <xdr:row>40</xdr:row>
      <xdr:rowOff>123825</xdr:rowOff>
    </xdr:from>
    <xdr:to>
      <xdr:col>23</xdr:col>
      <xdr:colOff>19050</xdr:colOff>
      <xdr:row>71</xdr:row>
      <xdr:rowOff>125557</xdr:rowOff>
    </xdr:to>
    <xdr:graphicFrame macro="">
      <xdr:nvGraphicFramePr>
        <xdr:cNvPr id="4" name="Chart 25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171450</xdr:colOff>
      <xdr:row>41</xdr:row>
      <xdr:rowOff>28575</xdr:rowOff>
    </xdr:from>
    <xdr:to>
      <xdr:col>46</xdr:col>
      <xdr:colOff>304800</xdr:colOff>
      <xdr:row>72</xdr:row>
      <xdr:rowOff>30307</xdr:rowOff>
    </xdr:to>
    <xdr:graphicFrame macro="">
      <xdr:nvGraphicFramePr>
        <xdr:cNvPr id="6" name="Chart 253">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28</xdr:col>
      <xdr:colOff>228600</xdr:colOff>
      <xdr:row>9</xdr:row>
      <xdr:rowOff>28575</xdr:rowOff>
    </xdr:from>
    <xdr:to>
      <xdr:col>46</xdr:col>
      <xdr:colOff>361950</xdr:colOff>
      <xdr:row>40</xdr:row>
      <xdr:rowOff>30307</xdr:rowOff>
    </xdr:to>
    <xdr:graphicFrame macro="">
      <xdr:nvGraphicFramePr>
        <xdr:cNvPr id="7" name="Chart 253">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159205</xdr:colOff>
      <xdr:row>72</xdr:row>
      <xdr:rowOff>141513</xdr:rowOff>
    </xdr:from>
    <xdr:to>
      <xdr:col>19</xdr:col>
      <xdr:colOff>371475</xdr:colOff>
      <xdr:row>101</xdr:row>
      <xdr:rowOff>123825</xdr:rowOff>
    </xdr:to>
    <xdr:graphicFrame macro="">
      <xdr:nvGraphicFramePr>
        <xdr:cNvPr id="9" name="Chart 253">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593913</xdr:colOff>
      <xdr:row>73</xdr:row>
      <xdr:rowOff>112061</xdr:rowOff>
    </xdr:from>
    <xdr:to>
      <xdr:col>31</xdr:col>
      <xdr:colOff>537882</xdr:colOff>
      <xdr:row>102</xdr:row>
      <xdr:rowOff>78441</xdr:rowOff>
    </xdr:to>
    <xdr:graphicFrame macro="">
      <xdr:nvGraphicFramePr>
        <xdr:cNvPr id="8" name="Chart 253">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90</xdr:col>
      <xdr:colOff>152400</xdr:colOff>
      <xdr:row>9</xdr:row>
      <xdr:rowOff>0</xdr:rowOff>
    </xdr:from>
    <xdr:to>
      <xdr:col>105</xdr:col>
      <xdr:colOff>38100</xdr:colOff>
      <xdr:row>40</xdr:row>
      <xdr:rowOff>1732</xdr:rowOff>
    </xdr:to>
    <xdr:graphicFrame macro="">
      <xdr:nvGraphicFramePr>
        <xdr:cNvPr id="10" name="Chart 253">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90</xdr:col>
      <xdr:colOff>142875</xdr:colOff>
      <xdr:row>40</xdr:row>
      <xdr:rowOff>123825</xdr:rowOff>
    </xdr:from>
    <xdr:to>
      <xdr:col>105</xdr:col>
      <xdr:colOff>19050</xdr:colOff>
      <xdr:row>71</xdr:row>
      <xdr:rowOff>125557</xdr:rowOff>
    </xdr:to>
    <xdr:graphicFrame macro="">
      <xdr:nvGraphicFramePr>
        <xdr:cNvPr id="11" name="Chart 253">
          <a:extLst>
            <a:ext uri="{FF2B5EF4-FFF2-40B4-BE49-F238E27FC236}">
              <a16:creationId xmlns:a16="http://schemas.microsoft.com/office/drawing/2014/main" id="{00000000-0008-0000-04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110</xdr:col>
      <xdr:colOff>171450</xdr:colOff>
      <xdr:row>41</xdr:row>
      <xdr:rowOff>28575</xdr:rowOff>
    </xdr:from>
    <xdr:to>
      <xdr:col>128</xdr:col>
      <xdr:colOff>304800</xdr:colOff>
      <xdr:row>72</xdr:row>
      <xdr:rowOff>30307</xdr:rowOff>
    </xdr:to>
    <xdr:graphicFrame macro="">
      <xdr:nvGraphicFramePr>
        <xdr:cNvPr id="12" name="Chart 253">
          <a:extLst>
            <a:ext uri="{FF2B5EF4-FFF2-40B4-BE49-F238E27FC236}">
              <a16:creationId xmlns:a16="http://schemas.microsoft.com/office/drawing/2014/main"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110</xdr:col>
      <xdr:colOff>228600</xdr:colOff>
      <xdr:row>9</xdr:row>
      <xdr:rowOff>28575</xdr:rowOff>
    </xdr:from>
    <xdr:to>
      <xdr:col>128</xdr:col>
      <xdr:colOff>361950</xdr:colOff>
      <xdr:row>40</xdr:row>
      <xdr:rowOff>30307</xdr:rowOff>
    </xdr:to>
    <xdr:graphicFrame macro="">
      <xdr:nvGraphicFramePr>
        <xdr:cNvPr id="13" name="Chart 253">
          <a:extLst>
            <a:ext uri="{FF2B5EF4-FFF2-40B4-BE49-F238E27FC236}">
              <a16:creationId xmlns:a16="http://schemas.microsoft.com/office/drawing/2014/main" id="{00000000-0008-0000-04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90</xdr:col>
      <xdr:colOff>159205</xdr:colOff>
      <xdr:row>72</xdr:row>
      <xdr:rowOff>141513</xdr:rowOff>
    </xdr:from>
    <xdr:to>
      <xdr:col>101</xdr:col>
      <xdr:colOff>371475</xdr:colOff>
      <xdr:row>101</xdr:row>
      <xdr:rowOff>123825</xdr:rowOff>
    </xdr:to>
    <xdr:graphicFrame macro="">
      <xdr:nvGraphicFramePr>
        <xdr:cNvPr id="14" name="Chart 253">
          <a:extLst>
            <a:ext uri="{FF2B5EF4-FFF2-40B4-BE49-F238E27FC236}">
              <a16:creationId xmlns:a16="http://schemas.microsoft.com/office/drawing/2014/main" id="{00000000-0008-0000-04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104</xdr:col>
      <xdr:colOff>33619</xdr:colOff>
      <xdr:row>72</xdr:row>
      <xdr:rowOff>52297</xdr:rowOff>
    </xdr:from>
    <xdr:to>
      <xdr:col>116</xdr:col>
      <xdr:colOff>328705</xdr:colOff>
      <xdr:row>101</xdr:row>
      <xdr:rowOff>26147</xdr:rowOff>
    </xdr:to>
    <xdr:graphicFrame macro="">
      <xdr:nvGraphicFramePr>
        <xdr:cNvPr id="15" name="Chart 253">
          <a:extLst>
            <a:ext uri="{FF2B5EF4-FFF2-40B4-BE49-F238E27FC236}">
              <a16:creationId xmlns:a16="http://schemas.microsoft.com/office/drawing/2014/main" id="{00000000-0008-0000-04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10</xdr:col>
      <xdr:colOff>342900</xdr:colOff>
      <xdr:row>9</xdr:row>
      <xdr:rowOff>19050</xdr:rowOff>
    </xdr:from>
    <xdr:to>
      <xdr:col>27</xdr:col>
      <xdr:colOff>47625</xdr:colOff>
      <xdr:row>40</xdr:row>
      <xdr:rowOff>20782</xdr:rowOff>
    </xdr:to>
    <xdr:graphicFrame macro="">
      <xdr:nvGraphicFramePr>
        <xdr:cNvPr id="2" name="Chart 253">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352425</xdr:colOff>
      <xdr:row>41</xdr:row>
      <xdr:rowOff>0</xdr:rowOff>
    </xdr:from>
    <xdr:to>
      <xdr:col>27</xdr:col>
      <xdr:colOff>57150</xdr:colOff>
      <xdr:row>72</xdr:row>
      <xdr:rowOff>1732</xdr:rowOff>
    </xdr:to>
    <xdr:graphicFrame macro="">
      <xdr:nvGraphicFramePr>
        <xdr:cNvPr id="3" name="Chart 253">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194582</xdr:colOff>
      <xdr:row>41</xdr:row>
      <xdr:rowOff>21771</xdr:rowOff>
    </xdr:from>
    <xdr:to>
      <xdr:col>47</xdr:col>
      <xdr:colOff>123825</xdr:colOff>
      <xdr:row>72</xdr:row>
      <xdr:rowOff>23503</xdr:rowOff>
    </xdr:to>
    <xdr:graphicFrame macro="">
      <xdr:nvGraphicFramePr>
        <xdr:cNvPr id="4" name="Chart 25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228600</xdr:colOff>
      <xdr:row>9</xdr:row>
      <xdr:rowOff>28575</xdr:rowOff>
    </xdr:from>
    <xdr:to>
      <xdr:col>47</xdr:col>
      <xdr:colOff>19050</xdr:colOff>
      <xdr:row>40</xdr:row>
      <xdr:rowOff>30307</xdr:rowOff>
    </xdr:to>
    <xdr:graphicFrame macro="">
      <xdr:nvGraphicFramePr>
        <xdr:cNvPr id="5" name="Chart 253">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329046</xdr:colOff>
      <xdr:row>72</xdr:row>
      <xdr:rowOff>84117</xdr:rowOff>
    </xdr:from>
    <xdr:to>
      <xdr:col>27</xdr:col>
      <xdr:colOff>673307</xdr:colOff>
      <xdr:row>103</xdr:row>
      <xdr:rowOff>85849</xdr:rowOff>
    </xdr:to>
    <xdr:graphicFrame macro="">
      <xdr:nvGraphicFramePr>
        <xdr:cNvPr id="6" name="Chart 253">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92</xdr:col>
      <xdr:colOff>342900</xdr:colOff>
      <xdr:row>9</xdr:row>
      <xdr:rowOff>19050</xdr:rowOff>
    </xdr:from>
    <xdr:to>
      <xdr:col>109</xdr:col>
      <xdr:colOff>47625</xdr:colOff>
      <xdr:row>40</xdr:row>
      <xdr:rowOff>20782</xdr:rowOff>
    </xdr:to>
    <xdr:graphicFrame macro="">
      <xdr:nvGraphicFramePr>
        <xdr:cNvPr id="7" name="Chart 253">
          <a:extLst>
            <a:ext uri="{FF2B5EF4-FFF2-40B4-BE49-F238E27FC236}">
              <a16:creationId xmlns:a16="http://schemas.microsoft.com/office/drawing/2014/main" id="{00000000-0008-0000-0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92</xdr:col>
      <xdr:colOff>352425</xdr:colOff>
      <xdr:row>41</xdr:row>
      <xdr:rowOff>0</xdr:rowOff>
    </xdr:from>
    <xdr:to>
      <xdr:col>109</xdr:col>
      <xdr:colOff>57150</xdr:colOff>
      <xdr:row>72</xdr:row>
      <xdr:rowOff>1732</xdr:rowOff>
    </xdr:to>
    <xdr:graphicFrame macro="">
      <xdr:nvGraphicFramePr>
        <xdr:cNvPr id="8" name="Chart 253">
          <a:extLst>
            <a:ext uri="{FF2B5EF4-FFF2-40B4-BE49-F238E27FC236}">
              <a16:creationId xmlns:a16="http://schemas.microsoft.com/office/drawing/2014/main" id="{00000000-0008-0000-0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109</xdr:col>
      <xdr:colOff>194582</xdr:colOff>
      <xdr:row>41</xdr:row>
      <xdr:rowOff>21771</xdr:rowOff>
    </xdr:from>
    <xdr:to>
      <xdr:col>129</xdr:col>
      <xdr:colOff>123825</xdr:colOff>
      <xdr:row>72</xdr:row>
      <xdr:rowOff>23503</xdr:rowOff>
    </xdr:to>
    <xdr:graphicFrame macro="">
      <xdr:nvGraphicFramePr>
        <xdr:cNvPr id="9" name="Chart 253">
          <a:extLst>
            <a:ext uri="{FF2B5EF4-FFF2-40B4-BE49-F238E27FC236}">
              <a16:creationId xmlns:a16="http://schemas.microsoft.com/office/drawing/2014/main" id="{00000000-0008-0000-0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109</xdr:col>
      <xdr:colOff>228600</xdr:colOff>
      <xdr:row>9</xdr:row>
      <xdr:rowOff>28575</xdr:rowOff>
    </xdr:from>
    <xdr:to>
      <xdr:col>129</xdr:col>
      <xdr:colOff>19050</xdr:colOff>
      <xdr:row>40</xdr:row>
      <xdr:rowOff>30307</xdr:rowOff>
    </xdr:to>
    <xdr:graphicFrame macro="">
      <xdr:nvGraphicFramePr>
        <xdr:cNvPr id="10" name="Chart 253">
          <a:extLst>
            <a:ext uri="{FF2B5EF4-FFF2-40B4-BE49-F238E27FC236}">
              <a16:creationId xmlns:a16="http://schemas.microsoft.com/office/drawing/2014/main" id="{00000000-0008-0000-0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92</xdr:col>
      <xdr:colOff>329046</xdr:colOff>
      <xdr:row>72</xdr:row>
      <xdr:rowOff>138546</xdr:rowOff>
    </xdr:from>
    <xdr:to>
      <xdr:col>109</xdr:col>
      <xdr:colOff>33771</xdr:colOff>
      <xdr:row>103</xdr:row>
      <xdr:rowOff>140278</xdr:rowOff>
    </xdr:to>
    <xdr:graphicFrame macro="">
      <xdr:nvGraphicFramePr>
        <xdr:cNvPr id="11" name="Chart 253">
          <a:extLst>
            <a:ext uri="{FF2B5EF4-FFF2-40B4-BE49-F238E27FC236}">
              <a16:creationId xmlns:a16="http://schemas.microsoft.com/office/drawing/2014/main" id="{00000000-0008-0000-05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19</xdr:col>
      <xdr:colOff>0</xdr:colOff>
      <xdr:row>12</xdr:row>
      <xdr:rowOff>0</xdr:rowOff>
    </xdr:from>
    <xdr:to>
      <xdr:col>33</xdr:col>
      <xdr:colOff>248709</xdr:colOff>
      <xdr:row>40</xdr:row>
      <xdr:rowOff>61288</xdr:rowOff>
    </xdr:to>
    <xdr:graphicFrame macro="">
      <xdr:nvGraphicFramePr>
        <xdr:cNvPr id="2" name="Chart 2">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30</xdr:row>
          <xdr:rowOff>12700</xdr:rowOff>
        </xdr:from>
        <xdr:to>
          <xdr:col>6</xdr:col>
          <xdr:colOff>876300</xdr:colOff>
          <xdr:row>31</xdr:row>
          <xdr:rowOff>0</xdr:rowOff>
        </xdr:to>
        <xdr:sp macro="" textlink="">
          <xdr:nvSpPr>
            <xdr:cNvPr id="674505" name="Drop Down 713" hidden="1">
              <a:extLst>
                <a:ext uri="{63B3BB69-23CF-44E3-9099-C40C66FF867C}">
                  <a14:compatExt spid="_x0000_s674505"/>
                </a:ext>
                <a:ext uri="{FF2B5EF4-FFF2-40B4-BE49-F238E27FC236}">
                  <a16:creationId xmlns:a16="http://schemas.microsoft.com/office/drawing/2014/main" id="{00000000-0008-0000-0700-0000C9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31</xdr:row>
          <xdr:rowOff>12700</xdr:rowOff>
        </xdr:from>
        <xdr:to>
          <xdr:col>6</xdr:col>
          <xdr:colOff>876300</xdr:colOff>
          <xdr:row>32</xdr:row>
          <xdr:rowOff>0</xdr:rowOff>
        </xdr:to>
        <xdr:sp macro="" textlink="">
          <xdr:nvSpPr>
            <xdr:cNvPr id="674508" name="Drop Down 716" hidden="1">
              <a:extLst>
                <a:ext uri="{63B3BB69-23CF-44E3-9099-C40C66FF867C}">
                  <a14:compatExt spid="_x0000_s674508"/>
                </a:ext>
                <a:ext uri="{FF2B5EF4-FFF2-40B4-BE49-F238E27FC236}">
                  <a16:creationId xmlns:a16="http://schemas.microsoft.com/office/drawing/2014/main" id="{00000000-0008-0000-0700-0000CC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39</xdr:row>
          <xdr:rowOff>12700</xdr:rowOff>
        </xdr:from>
        <xdr:to>
          <xdr:col>6</xdr:col>
          <xdr:colOff>876300</xdr:colOff>
          <xdr:row>40</xdr:row>
          <xdr:rowOff>0</xdr:rowOff>
        </xdr:to>
        <xdr:sp macro="" textlink="">
          <xdr:nvSpPr>
            <xdr:cNvPr id="674527" name="Drop Down 735" hidden="1">
              <a:extLst>
                <a:ext uri="{63B3BB69-23CF-44E3-9099-C40C66FF867C}">
                  <a14:compatExt spid="_x0000_s674527"/>
                </a:ext>
                <a:ext uri="{FF2B5EF4-FFF2-40B4-BE49-F238E27FC236}">
                  <a16:creationId xmlns:a16="http://schemas.microsoft.com/office/drawing/2014/main" id="{00000000-0008-0000-0700-0000DF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46</xdr:row>
          <xdr:rowOff>12700</xdr:rowOff>
        </xdr:from>
        <xdr:to>
          <xdr:col>6</xdr:col>
          <xdr:colOff>876300</xdr:colOff>
          <xdr:row>47</xdr:row>
          <xdr:rowOff>0</xdr:rowOff>
        </xdr:to>
        <xdr:sp macro="" textlink="">
          <xdr:nvSpPr>
            <xdr:cNvPr id="674534" name="Drop Down 742" hidden="1">
              <a:extLst>
                <a:ext uri="{63B3BB69-23CF-44E3-9099-C40C66FF867C}">
                  <a14:compatExt spid="_x0000_s674534"/>
                </a:ext>
                <a:ext uri="{FF2B5EF4-FFF2-40B4-BE49-F238E27FC236}">
                  <a16:creationId xmlns:a16="http://schemas.microsoft.com/office/drawing/2014/main" id="{00000000-0008-0000-0700-0000E6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41</xdr:row>
          <xdr:rowOff>12700</xdr:rowOff>
        </xdr:from>
        <xdr:to>
          <xdr:col>6</xdr:col>
          <xdr:colOff>876300</xdr:colOff>
          <xdr:row>42</xdr:row>
          <xdr:rowOff>0</xdr:rowOff>
        </xdr:to>
        <xdr:sp macro="" textlink="">
          <xdr:nvSpPr>
            <xdr:cNvPr id="674536" name="Drop Down 744" hidden="1">
              <a:extLst>
                <a:ext uri="{63B3BB69-23CF-44E3-9099-C40C66FF867C}">
                  <a14:compatExt spid="_x0000_s674536"/>
                </a:ext>
                <a:ext uri="{FF2B5EF4-FFF2-40B4-BE49-F238E27FC236}">
                  <a16:creationId xmlns:a16="http://schemas.microsoft.com/office/drawing/2014/main" id="{00000000-0008-0000-0700-0000E8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40</xdr:row>
          <xdr:rowOff>12700</xdr:rowOff>
        </xdr:from>
        <xdr:to>
          <xdr:col>6</xdr:col>
          <xdr:colOff>876300</xdr:colOff>
          <xdr:row>41</xdr:row>
          <xdr:rowOff>0</xdr:rowOff>
        </xdr:to>
        <xdr:sp macro="" textlink="">
          <xdr:nvSpPr>
            <xdr:cNvPr id="674539" name="Drop Down 747" hidden="1">
              <a:extLst>
                <a:ext uri="{63B3BB69-23CF-44E3-9099-C40C66FF867C}">
                  <a14:compatExt spid="_x0000_s674539"/>
                </a:ext>
                <a:ext uri="{FF2B5EF4-FFF2-40B4-BE49-F238E27FC236}">
                  <a16:creationId xmlns:a16="http://schemas.microsoft.com/office/drawing/2014/main" id="{00000000-0008-0000-0700-0000EB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45</xdr:row>
          <xdr:rowOff>12700</xdr:rowOff>
        </xdr:from>
        <xdr:to>
          <xdr:col>6</xdr:col>
          <xdr:colOff>876300</xdr:colOff>
          <xdr:row>46</xdr:row>
          <xdr:rowOff>0</xdr:rowOff>
        </xdr:to>
        <xdr:sp macro="" textlink="">
          <xdr:nvSpPr>
            <xdr:cNvPr id="674540" name="Drop Down 748" hidden="1">
              <a:extLst>
                <a:ext uri="{63B3BB69-23CF-44E3-9099-C40C66FF867C}">
                  <a14:compatExt spid="_x0000_s674540"/>
                </a:ext>
                <a:ext uri="{FF2B5EF4-FFF2-40B4-BE49-F238E27FC236}">
                  <a16:creationId xmlns:a16="http://schemas.microsoft.com/office/drawing/2014/main" id="{00000000-0008-0000-0700-0000EC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47</xdr:row>
          <xdr:rowOff>12700</xdr:rowOff>
        </xdr:from>
        <xdr:to>
          <xdr:col>6</xdr:col>
          <xdr:colOff>876300</xdr:colOff>
          <xdr:row>48</xdr:row>
          <xdr:rowOff>0</xdr:rowOff>
        </xdr:to>
        <xdr:sp macro="" textlink="">
          <xdr:nvSpPr>
            <xdr:cNvPr id="674541" name="Drop Down 749" hidden="1">
              <a:extLst>
                <a:ext uri="{63B3BB69-23CF-44E3-9099-C40C66FF867C}">
                  <a14:compatExt spid="_x0000_s674541"/>
                </a:ext>
                <a:ext uri="{FF2B5EF4-FFF2-40B4-BE49-F238E27FC236}">
                  <a16:creationId xmlns:a16="http://schemas.microsoft.com/office/drawing/2014/main" id="{00000000-0008-0000-0700-0000ED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48</xdr:row>
          <xdr:rowOff>12700</xdr:rowOff>
        </xdr:from>
        <xdr:to>
          <xdr:col>6</xdr:col>
          <xdr:colOff>876300</xdr:colOff>
          <xdr:row>49</xdr:row>
          <xdr:rowOff>0</xdr:rowOff>
        </xdr:to>
        <xdr:sp macro="" textlink="">
          <xdr:nvSpPr>
            <xdr:cNvPr id="674542" name="Drop Down 750" hidden="1">
              <a:extLst>
                <a:ext uri="{63B3BB69-23CF-44E3-9099-C40C66FF867C}">
                  <a14:compatExt spid="_x0000_s674542"/>
                </a:ext>
                <a:ext uri="{FF2B5EF4-FFF2-40B4-BE49-F238E27FC236}">
                  <a16:creationId xmlns:a16="http://schemas.microsoft.com/office/drawing/2014/main" id="{00000000-0008-0000-0700-0000EE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49</xdr:row>
          <xdr:rowOff>12700</xdr:rowOff>
        </xdr:from>
        <xdr:to>
          <xdr:col>6</xdr:col>
          <xdr:colOff>876300</xdr:colOff>
          <xdr:row>50</xdr:row>
          <xdr:rowOff>0</xdr:rowOff>
        </xdr:to>
        <xdr:sp macro="" textlink="">
          <xdr:nvSpPr>
            <xdr:cNvPr id="674543" name="Drop Down 751" hidden="1">
              <a:extLst>
                <a:ext uri="{63B3BB69-23CF-44E3-9099-C40C66FF867C}">
                  <a14:compatExt spid="_x0000_s674543"/>
                </a:ext>
                <a:ext uri="{FF2B5EF4-FFF2-40B4-BE49-F238E27FC236}">
                  <a16:creationId xmlns:a16="http://schemas.microsoft.com/office/drawing/2014/main" id="{00000000-0008-0000-0700-0000EF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38</xdr:row>
          <xdr:rowOff>12700</xdr:rowOff>
        </xdr:from>
        <xdr:to>
          <xdr:col>6</xdr:col>
          <xdr:colOff>876300</xdr:colOff>
          <xdr:row>39</xdr:row>
          <xdr:rowOff>0</xdr:rowOff>
        </xdr:to>
        <xdr:sp macro="" textlink="">
          <xdr:nvSpPr>
            <xdr:cNvPr id="674544" name="Drop Down 752" hidden="1">
              <a:extLst>
                <a:ext uri="{63B3BB69-23CF-44E3-9099-C40C66FF867C}">
                  <a14:compatExt spid="_x0000_s674544"/>
                </a:ext>
                <a:ext uri="{FF2B5EF4-FFF2-40B4-BE49-F238E27FC236}">
                  <a16:creationId xmlns:a16="http://schemas.microsoft.com/office/drawing/2014/main" id="{00000000-0008-0000-0700-0000F0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53</xdr:row>
          <xdr:rowOff>12700</xdr:rowOff>
        </xdr:from>
        <xdr:to>
          <xdr:col>6</xdr:col>
          <xdr:colOff>876300</xdr:colOff>
          <xdr:row>54</xdr:row>
          <xdr:rowOff>0</xdr:rowOff>
        </xdr:to>
        <xdr:sp macro="" textlink="">
          <xdr:nvSpPr>
            <xdr:cNvPr id="674632" name="Drop Down 840" hidden="1">
              <a:extLst>
                <a:ext uri="{63B3BB69-23CF-44E3-9099-C40C66FF867C}">
                  <a14:compatExt spid="_x0000_s674632"/>
                </a:ext>
                <a:ext uri="{FF2B5EF4-FFF2-40B4-BE49-F238E27FC236}">
                  <a16:creationId xmlns:a16="http://schemas.microsoft.com/office/drawing/2014/main" id="{00000000-0008-0000-0700-0000484B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370999</xdr:colOff>
          <xdr:row>0</xdr:row>
          <xdr:rowOff>95250</xdr:rowOff>
        </xdr:from>
        <xdr:to>
          <xdr:col>7</xdr:col>
          <xdr:colOff>906899</xdr:colOff>
          <xdr:row>26</xdr:row>
          <xdr:rowOff>57258</xdr:rowOff>
        </xdr:to>
        <xdr:pic>
          <xdr:nvPicPr>
            <xdr:cNvPr id="77" name="Picture 8888">
              <a:extLst>
                <a:ext uri="{FF2B5EF4-FFF2-40B4-BE49-F238E27FC236}">
                  <a16:creationId xmlns:a16="http://schemas.microsoft.com/office/drawing/2014/main" id="{00000000-0008-0000-0700-00004D000000}"/>
                </a:ext>
              </a:extLst>
            </xdr:cNvPr>
            <xdr:cNvPicPr>
              <a:picLocks noChangeAspect="1" noChangeArrowheads="1"/>
              <a:extLst>
                <a:ext uri="{84589F7E-364E-4C9E-8A38-B11213B215E9}">
                  <a14:cameraTool cellRange="PICTURE1" spid="_x0000_s764638"/>
                </a:ext>
              </a:extLst>
            </xdr:cNvPicPr>
          </xdr:nvPicPr>
          <xdr:blipFill>
            <a:blip xmlns:r="http://schemas.openxmlformats.org/officeDocument/2006/relationships" r:embed="rId1"/>
            <a:srcRect/>
            <a:stretch>
              <a:fillRect/>
            </a:stretch>
          </xdr:blipFill>
          <xdr:spPr bwMode="auto">
            <a:xfrm>
              <a:off x="370999" y="95250"/>
              <a:ext cx="7638131" cy="4153008"/>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xdr:twoCellAnchor>
    <xdr:from>
      <xdr:col>5</xdr:col>
      <xdr:colOff>368904</xdr:colOff>
      <xdr:row>7</xdr:row>
      <xdr:rowOff>122225</xdr:rowOff>
    </xdr:from>
    <xdr:to>
      <xdr:col>5</xdr:col>
      <xdr:colOff>915363</xdr:colOff>
      <xdr:row>8</xdr:row>
      <xdr:rowOff>143465</xdr:rowOff>
    </xdr:to>
    <xdr:sp macro="" textlink="'Variable Mgmt'!B229">
      <xdr:nvSpPr>
        <xdr:cNvPr id="79" name="Text Box 267">
          <a:extLst>
            <a:ext uri="{FF2B5EF4-FFF2-40B4-BE49-F238E27FC236}">
              <a16:creationId xmlns:a16="http://schemas.microsoft.com/office/drawing/2014/main" id="{00000000-0008-0000-0700-00004F000000}"/>
            </a:ext>
          </a:extLst>
        </xdr:cNvPr>
        <xdr:cNvSpPr txBox="1">
          <a:spLocks noChangeArrowheads="1" noTextEdit="1"/>
        </xdr:cNvSpPr>
      </xdr:nvSpPr>
      <xdr:spPr bwMode="auto">
        <a:xfrm>
          <a:off x="5395173" y="1250571"/>
          <a:ext cx="546459" cy="182432"/>
        </a:xfrm>
        <a:prstGeom prst="rect">
          <a:avLst/>
        </a:prstGeom>
        <a:noFill/>
        <a:ln w="9525">
          <a:noFill/>
          <a:miter lim="800000"/>
          <a:headEnd/>
          <a:tailEnd/>
        </a:ln>
      </xdr:spPr>
      <xdr:txBody>
        <a:bodyPr vertOverflow="clip" wrap="square" lIns="27432" tIns="22860" rIns="0" bIns="0" anchor="ctr" upright="1"/>
        <a:lstStyle/>
        <a:p>
          <a:pPr algn="l" rtl="0">
            <a:defRPr sz="1000"/>
          </a:pPr>
          <a:fld id="{DEF62FD0-959B-4627-B7E8-61CA1688D174}" type="TxLink">
            <a:rPr lang="en-US" sz="700" b="0" i="0" u="none" strike="noStrike" baseline="0">
              <a:solidFill>
                <a:srgbClr val="000000"/>
              </a:solidFill>
              <a:latin typeface="Arial" pitchFamily="34" charset="0"/>
              <a:cs typeface="Arial" pitchFamily="34" charset="0"/>
            </a:rPr>
            <a:pPr algn="l" rtl="0">
              <a:defRPr sz="1000"/>
            </a:pPr>
            <a:t>110µF</a:t>
          </a:fld>
          <a:endParaRPr lang="en-US" sz="700" b="0" i="0" u="none" strike="noStrike" baseline="0">
            <a:solidFill>
              <a:srgbClr val="000000"/>
            </a:solidFill>
            <a:latin typeface="Arial" pitchFamily="34" charset="0"/>
            <a:cs typeface="Arial" pitchFamily="34" charset="0"/>
          </a:endParaRPr>
        </a:p>
      </xdr:txBody>
    </xdr:sp>
    <xdr:clientData/>
  </xdr:twoCellAnchor>
  <xdr:twoCellAnchor>
    <xdr:from>
      <xdr:col>0</xdr:col>
      <xdr:colOff>593597</xdr:colOff>
      <xdr:row>7</xdr:row>
      <xdr:rowOff>47526</xdr:rowOff>
    </xdr:from>
    <xdr:to>
      <xdr:col>1</xdr:col>
      <xdr:colOff>433231</xdr:colOff>
      <xdr:row>8</xdr:row>
      <xdr:rowOff>83672</xdr:rowOff>
    </xdr:to>
    <xdr:sp macro="" textlink="'Variable Mgmt'!B234">
      <xdr:nvSpPr>
        <xdr:cNvPr id="81" name="Text Box 276">
          <a:extLst>
            <a:ext uri="{FF2B5EF4-FFF2-40B4-BE49-F238E27FC236}">
              <a16:creationId xmlns:a16="http://schemas.microsoft.com/office/drawing/2014/main" id="{00000000-0008-0000-0700-000051000000}"/>
            </a:ext>
          </a:extLst>
        </xdr:cNvPr>
        <xdr:cNvSpPr txBox="1">
          <a:spLocks noChangeArrowheads="1" noTextEdit="1"/>
        </xdr:cNvSpPr>
      </xdr:nvSpPr>
      <xdr:spPr bwMode="auto">
        <a:xfrm>
          <a:off x="593597" y="1175872"/>
          <a:ext cx="508826" cy="197338"/>
        </a:xfrm>
        <a:prstGeom prst="rect">
          <a:avLst/>
        </a:prstGeom>
        <a:noFill/>
        <a:ln w="9525">
          <a:noFill/>
          <a:miter lim="800000"/>
          <a:headEnd/>
          <a:tailEnd/>
        </a:ln>
      </xdr:spPr>
      <xdr:txBody>
        <a:bodyPr vertOverflow="clip" wrap="square" lIns="27432" tIns="22860" rIns="0" bIns="0" anchor="ctr" upright="1"/>
        <a:lstStyle/>
        <a:p>
          <a:pPr algn="ctr" rtl="0">
            <a:defRPr sz="1000"/>
          </a:pPr>
          <a:fld id="{7E8F3901-1453-4951-8E28-510E65401D4C}" type="TxLink">
            <a:rPr lang="en-US" sz="700" b="0" i="0" u="none" strike="noStrike" baseline="0">
              <a:solidFill>
                <a:srgbClr val="000000"/>
              </a:solidFill>
              <a:latin typeface="Arial" pitchFamily="34" charset="0"/>
              <a:cs typeface="Arial" pitchFamily="34" charset="0"/>
            </a:rPr>
            <a:pPr algn="ctr" rtl="0">
              <a:defRPr sz="1000"/>
            </a:pPr>
            <a:t>100µF</a:t>
          </a:fld>
          <a:endParaRPr lang="en-US" sz="700" b="0" i="0" u="none" strike="noStrike" baseline="0">
            <a:solidFill>
              <a:srgbClr val="000000"/>
            </a:solidFill>
            <a:latin typeface="Arial" pitchFamily="34" charset="0"/>
            <a:cs typeface="Arial" pitchFamily="34" charset="0"/>
          </a:endParaRPr>
        </a:p>
      </xdr:txBody>
    </xdr:sp>
    <xdr:clientData/>
  </xdr:twoCellAnchor>
  <xdr:twoCellAnchor>
    <xdr:from>
      <xdr:col>2</xdr:col>
      <xdr:colOff>198843</xdr:colOff>
      <xdr:row>21</xdr:row>
      <xdr:rowOff>104015</xdr:rowOff>
    </xdr:from>
    <xdr:to>
      <xdr:col>2</xdr:col>
      <xdr:colOff>642811</xdr:colOff>
      <xdr:row>23</xdr:row>
      <xdr:rowOff>62417</xdr:rowOff>
    </xdr:to>
    <xdr:sp macro="" textlink="'Variable Mgmt'!D261">
      <xdr:nvSpPr>
        <xdr:cNvPr id="82" name="Text Box 281">
          <a:extLst>
            <a:ext uri="{FF2B5EF4-FFF2-40B4-BE49-F238E27FC236}">
              <a16:creationId xmlns:a16="http://schemas.microsoft.com/office/drawing/2014/main" id="{00000000-0008-0000-0700-000052000000}"/>
            </a:ext>
          </a:extLst>
        </xdr:cNvPr>
        <xdr:cNvSpPr txBox="1">
          <a:spLocks noChangeArrowheads="1" noTextEdit="1"/>
        </xdr:cNvSpPr>
      </xdr:nvSpPr>
      <xdr:spPr bwMode="auto">
        <a:xfrm>
          <a:off x="1599018" y="3504440"/>
          <a:ext cx="443968" cy="282252"/>
        </a:xfrm>
        <a:prstGeom prst="rect">
          <a:avLst/>
        </a:prstGeom>
        <a:noFill/>
        <a:ln w="9525">
          <a:noFill/>
          <a:miter lim="800000"/>
          <a:headEnd/>
          <a:tailEnd/>
        </a:ln>
      </xdr:spPr>
      <xdr:txBody>
        <a:bodyPr vertOverflow="clip" wrap="square" lIns="27432" tIns="22860" rIns="0" bIns="0" anchor="ctr" upright="1"/>
        <a:lstStyle/>
        <a:p>
          <a:pPr algn="l" rtl="0">
            <a:defRPr sz="1000"/>
          </a:pPr>
          <a:fld id="{F2115F91-8BFD-4C9B-9969-8B2C04ADF4C5}" type="TxLink">
            <a:rPr lang="en-US" sz="1100" b="0" i="0" u="none" strike="noStrike">
              <a:solidFill>
                <a:srgbClr val="000000"/>
              </a:solidFill>
              <a:latin typeface="Arial"/>
              <a:cs typeface="Arial"/>
            </a:rPr>
            <a:pPr algn="l" rtl="0">
              <a:defRPr sz="1000"/>
            </a:pPr>
            <a:t> </a:t>
          </a:fld>
          <a:endParaRPr lang="en-US" sz="1100" b="0" i="0" strike="noStrike">
            <a:solidFill>
              <a:srgbClr val="000000"/>
            </a:solidFill>
            <a:latin typeface="Arial" pitchFamily="34" charset="0"/>
            <a:cs typeface="Arial" pitchFamily="34" charset="0"/>
          </a:endParaRPr>
        </a:p>
      </xdr:txBody>
    </xdr:sp>
    <xdr:clientData/>
  </xdr:twoCellAnchor>
  <xdr:twoCellAnchor>
    <xdr:from>
      <xdr:col>0</xdr:col>
      <xdr:colOff>457270</xdr:colOff>
      <xdr:row>2</xdr:row>
      <xdr:rowOff>59911</xdr:rowOff>
    </xdr:from>
    <xdr:to>
      <xdr:col>1</xdr:col>
      <xdr:colOff>331622</xdr:colOff>
      <xdr:row>5</xdr:row>
      <xdr:rowOff>32971</xdr:rowOff>
    </xdr:to>
    <xdr:sp macro="" textlink="'Variable Mgmt'!B221">
      <xdr:nvSpPr>
        <xdr:cNvPr id="85" name="Text Box 283">
          <a:extLst>
            <a:ext uri="{FF2B5EF4-FFF2-40B4-BE49-F238E27FC236}">
              <a16:creationId xmlns:a16="http://schemas.microsoft.com/office/drawing/2014/main" id="{00000000-0008-0000-0700-000055000000}"/>
            </a:ext>
          </a:extLst>
        </xdr:cNvPr>
        <xdr:cNvSpPr txBox="1">
          <a:spLocks noChangeArrowheads="1" noTextEdit="1"/>
        </xdr:cNvSpPr>
      </xdr:nvSpPr>
      <xdr:spPr bwMode="auto">
        <a:xfrm>
          <a:off x="457270" y="382296"/>
          <a:ext cx="543544" cy="456637"/>
        </a:xfrm>
        <a:prstGeom prst="rect">
          <a:avLst/>
        </a:prstGeom>
        <a:noFill/>
        <a:ln w="9525">
          <a:noFill/>
          <a:miter lim="800000"/>
          <a:headEnd/>
          <a:tailEnd/>
        </a:ln>
      </xdr:spPr>
      <xdr:txBody>
        <a:bodyPr vertOverflow="clip" wrap="square" lIns="27432" tIns="22860" rIns="0" bIns="0" anchor="ctr" upright="1"/>
        <a:lstStyle/>
        <a:p>
          <a:pPr algn="r" rtl="0">
            <a:defRPr sz="1000"/>
          </a:pPr>
          <a:fld id="{211B0151-B00E-493E-8C8F-6E492416D93B}" type="TxLink">
            <a:rPr lang="en-US" sz="1000" b="1" i="0" u="none" strike="noStrike">
              <a:solidFill>
                <a:srgbClr val="FF0000"/>
              </a:solidFill>
              <a:latin typeface="Arial" pitchFamily="34" charset="0"/>
              <a:cs typeface="Arial" pitchFamily="34" charset="0"/>
            </a:rPr>
            <a:pPr algn="r" rtl="0">
              <a:defRPr sz="1000"/>
            </a:pPr>
            <a:t>28V</a:t>
          </a:fld>
          <a:endParaRPr lang="en-US" sz="1000" b="1" i="0" strike="noStrike">
            <a:solidFill>
              <a:srgbClr val="FF0000"/>
            </a:solidFill>
            <a:latin typeface="Arial" pitchFamily="34" charset="0"/>
            <a:cs typeface="Arial" pitchFamily="34" charset="0"/>
          </a:endParaRPr>
        </a:p>
      </xdr:txBody>
    </xdr:sp>
    <xdr:clientData/>
  </xdr:twoCellAnchor>
  <xdr:twoCellAnchor>
    <xdr:from>
      <xdr:col>7</xdr:col>
      <xdr:colOff>132244</xdr:colOff>
      <xdr:row>3</xdr:row>
      <xdr:rowOff>3197</xdr:rowOff>
    </xdr:from>
    <xdr:to>
      <xdr:col>7</xdr:col>
      <xdr:colOff>798638</xdr:colOff>
      <xdr:row>5</xdr:row>
      <xdr:rowOff>25976</xdr:rowOff>
    </xdr:to>
    <xdr:sp macro="" textlink="'Variable Mgmt'!B224">
      <xdr:nvSpPr>
        <xdr:cNvPr id="87" name="Text Box 285">
          <a:extLst>
            <a:ext uri="{FF2B5EF4-FFF2-40B4-BE49-F238E27FC236}">
              <a16:creationId xmlns:a16="http://schemas.microsoft.com/office/drawing/2014/main" id="{00000000-0008-0000-0700-000057000000}"/>
            </a:ext>
          </a:extLst>
        </xdr:cNvPr>
        <xdr:cNvSpPr txBox="1">
          <a:spLocks noChangeArrowheads="1" noTextEdit="1"/>
        </xdr:cNvSpPr>
      </xdr:nvSpPr>
      <xdr:spPr bwMode="auto">
        <a:xfrm>
          <a:off x="7234475" y="486774"/>
          <a:ext cx="666394" cy="345164"/>
        </a:xfrm>
        <a:prstGeom prst="rect">
          <a:avLst/>
        </a:prstGeom>
        <a:noFill/>
        <a:ln w="9525">
          <a:noFill/>
          <a:miter lim="800000"/>
          <a:headEnd/>
          <a:tailEnd/>
        </a:ln>
      </xdr:spPr>
      <xdr:txBody>
        <a:bodyPr vertOverflow="clip" wrap="square" lIns="27432" tIns="22860" rIns="0" bIns="0" anchor="ctr" upright="1"/>
        <a:lstStyle/>
        <a:p>
          <a:pPr algn="l" rtl="0">
            <a:defRPr sz="1000"/>
          </a:pPr>
          <a:fld id="{702C2B8A-7C4B-4FDB-B229-3170089D9686}" type="TxLink">
            <a:rPr lang="en-US" sz="1000" b="1" i="0" u="none" strike="noStrike" baseline="0">
              <a:solidFill>
                <a:srgbClr val="FF0000"/>
              </a:solidFill>
              <a:latin typeface="Arial" pitchFamily="34" charset="0"/>
              <a:cs typeface="Arial" pitchFamily="34" charset="0"/>
            </a:rPr>
            <a:pPr algn="l" rtl="0">
              <a:defRPr sz="1000"/>
            </a:pPr>
            <a:t>28V</a:t>
          </a:fld>
          <a:endParaRPr lang="en-US" sz="1000" b="1" i="0" u="none" strike="noStrike" baseline="0">
            <a:solidFill>
              <a:srgbClr val="FF0000"/>
            </a:solidFill>
            <a:latin typeface="Arial" pitchFamily="34" charset="0"/>
            <a:cs typeface="Arial" pitchFamily="34" charset="0"/>
          </a:endParaRPr>
        </a:p>
      </xdr:txBody>
    </xdr:sp>
    <xdr:clientData/>
  </xdr:twoCellAnchor>
  <xdr:twoCellAnchor>
    <xdr:from>
      <xdr:col>6</xdr:col>
      <xdr:colOff>1117426</xdr:colOff>
      <xdr:row>4</xdr:row>
      <xdr:rowOff>112611</xdr:rowOff>
    </xdr:from>
    <xdr:to>
      <xdr:col>7</xdr:col>
      <xdr:colOff>541529</xdr:colOff>
      <xdr:row>6</xdr:row>
      <xdr:rowOff>93051</xdr:rowOff>
    </xdr:to>
    <xdr:sp macro="" textlink="'Variable Mgmt'!B279">
      <xdr:nvSpPr>
        <xdr:cNvPr id="88" name="Text Box 286">
          <a:extLst>
            <a:ext uri="{FF2B5EF4-FFF2-40B4-BE49-F238E27FC236}">
              <a16:creationId xmlns:a16="http://schemas.microsoft.com/office/drawing/2014/main" id="{00000000-0008-0000-0700-000058000000}"/>
            </a:ext>
          </a:extLst>
        </xdr:cNvPr>
        <xdr:cNvSpPr txBox="1">
          <a:spLocks noChangeArrowheads="1" noTextEdit="1"/>
        </xdr:cNvSpPr>
      </xdr:nvSpPr>
      <xdr:spPr bwMode="auto">
        <a:xfrm>
          <a:off x="7091311" y="757380"/>
          <a:ext cx="552449" cy="302825"/>
        </a:xfrm>
        <a:prstGeom prst="rect">
          <a:avLst/>
        </a:prstGeom>
        <a:noFill/>
        <a:ln w="9525">
          <a:noFill/>
          <a:miter lim="800000"/>
          <a:headEnd/>
          <a:tailEnd/>
        </a:ln>
      </xdr:spPr>
      <xdr:txBody>
        <a:bodyPr vertOverflow="clip" wrap="square" lIns="27432" tIns="22860" rIns="0" bIns="0" anchor="ctr" upright="1"/>
        <a:lstStyle/>
        <a:p>
          <a:pPr algn="ctr" rtl="0">
            <a:defRPr sz="1000"/>
          </a:pPr>
          <a:fld id="{E0FB88FA-F39E-4ACF-AB5E-DCB628763AAE}" type="TxLink">
            <a:rPr lang="en-US" sz="1000" b="1" i="0" u="none" strike="noStrike">
              <a:solidFill>
                <a:srgbClr val="FF0000"/>
              </a:solidFill>
              <a:latin typeface="Arial" pitchFamily="34" charset="0"/>
              <a:cs typeface="Arial" pitchFamily="34" charset="0"/>
            </a:rPr>
            <a:pPr algn="ctr" rtl="0">
              <a:defRPr sz="1000"/>
            </a:pPr>
            <a:t>2.5A</a:t>
          </a:fld>
          <a:endParaRPr lang="en-US" sz="1000" b="1" i="0" strike="noStrike">
            <a:solidFill>
              <a:srgbClr val="FF0000"/>
            </a:solidFill>
            <a:latin typeface="Arial" pitchFamily="34" charset="0"/>
            <a:cs typeface="Arial" pitchFamily="34" charset="0"/>
          </a:endParaRPr>
        </a:p>
      </xdr:txBody>
    </xdr:sp>
    <xdr:clientData/>
  </xdr:twoCellAnchor>
  <xdr:twoCellAnchor>
    <xdr:from>
      <xdr:col>2</xdr:col>
      <xdr:colOff>217360</xdr:colOff>
      <xdr:row>7</xdr:row>
      <xdr:rowOff>99362</xdr:rowOff>
    </xdr:from>
    <xdr:to>
      <xdr:col>2</xdr:col>
      <xdr:colOff>742058</xdr:colOff>
      <xdr:row>9</xdr:row>
      <xdr:rowOff>29041</xdr:rowOff>
    </xdr:to>
    <xdr:sp macro="" textlink="'Variable Mgmt'!C253">
      <xdr:nvSpPr>
        <xdr:cNvPr id="92" name="Text Box 268">
          <a:extLst>
            <a:ext uri="{FF2B5EF4-FFF2-40B4-BE49-F238E27FC236}">
              <a16:creationId xmlns:a16="http://schemas.microsoft.com/office/drawing/2014/main" id="{00000000-0008-0000-0700-00005C000000}"/>
            </a:ext>
          </a:extLst>
        </xdr:cNvPr>
        <xdr:cNvSpPr txBox="1">
          <a:spLocks noChangeArrowheads="1" noTextEdit="1"/>
        </xdr:cNvSpPr>
      </xdr:nvSpPr>
      <xdr:spPr bwMode="auto">
        <a:xfrm>
          <a:off x="1617535" y="1232837"/>
          <a:ext cx="524698" cy="253529"/>
        </a:xfrm>
        <a:prstGeom prst="rect">
          <a:avLst/>
        </a:prstGeom>
        <a:noFill/>
        <a:ln w="9525">
          <a:noFill/>
          <a:miter lim="800000"/>
          <a:headEnd/>
          <a:tailEnd/>
        </a:ln>
      </xdr:spPr>
      <xdr:txBody>
        <a:bodyPr vertOverflow="clip" wrap="square" lIns="27432" tIns="22860" rIns="0" bIns="0" anchor="ctr" upright="1"/>
        <a:lstStyle/>
        <a:p>
          <a:pPr algn="l" rtl="0">
            <a:defRPr sz="1000"/>
          </a:pPr>
          <a:fld id="{9F0ED324-D4DC-458E-AFDF-B2BC6995B894}" type="TxLink">
            <a:rPr lang="en-US" sz="1000" b="0" i="0" u="none" strike="noStrike">
              <a:solidFill>
                <a:srgbClr val="000000"/>
              </a:solidFill>
              <a:latin typeface="Arial"/>
              <a:cs typeface="Arial"/>
            </a:rPr>
            <a:pPr algn="l" rtl="0">
              <a:defRPr sz="1000"/>
            </a:pPr>
            <a:t>76.8kΩ</a:t>
          </a:fld>
          <a:endParaRPr lang="el-GR" sz="1000" b="0" i="0" strike="noStrike">
            <a:solidFill>
              <a:srgbClr val="000000"/>
            </a:solidFill>
            <a:latin typeface="Arial" pitchFamily="34" charset="0"/>
            <a:cs typeface="Arial" pitchFamily="34" charset="0"/>
          </a:endParaRPr>
        </a:p>
      </xdr:txBody>
    </xdr:sp>
    <xdr:clientData/>
  </xdr:twoCellAnchor>
  <xdr:twoCellAnchor>
    <xdr:from>
      <xdr:col>2</xdr:col>
      <xdr:colOff>198310</xdr:colOff>
      <xdr:row>13</xdr:row>
      <xdr:rowOff>137646</xdr:rowOff>
    </xdr:from>
    <xdr:to>
      <xdr:col>2</xdr:col>
      <xdr:colOff>723008</xdr:colOff>
      <xdr:row>15</xdr:row>
      <xdr:rowOff>31908</xdr:rowOff>
    </xdr:to>
    <xdr:sp macro="" textlink="'Variable Mgmt'!C254">
      <xdr:nvSpPr>
        <xdr:cNvPr id="93" name="Text Box 268">
          <a:extLst>
            <a:ext uri="{FF2B5EF4-FFF2-40B4-BE49-F238E27FC236}">
              <a16:creationId xmlns:a16="http://schemas.microsoft.com/office/drawing/2014/main" id="{00000000-0008-0000-0700-00005D000000}"/>
            </a:ext>
          </a:extLst>
        </xdr:cNvPr>
        <xdr:cNvSpPr txBox="1">
          <a:spLocks noChangeArrowheads="1" noTextEdit="1"/>
        </xdr:cNvSpPr>
      </xdr:nvSpPr>
      <xdr:spPr bwMode="auto">
        <a:xfrm>
          <a:off x="1598485" y="2242671"/>
          <a:ext cx="524698" cy="218112"/>
        </a:xfrm>
        <a:prstGeom prst="rect">
          <a:avLst/>
        </a:prstGeom>
        <a:noFill/>
        <a:ln w="9525">
          <a:noFill/>
          <a:miter lim="800000"/>
          <a:headEnd/>
          <a:tailEnd/>
        </a:ln>
      </xdr:spPr>
      <xdr:txBody>
        <a:bodyPr vertOverflow="clip" wrap="square" lIns="27432" tIns="22860" rIns="0" bIns="0" anchor="ctr" upright="1"/>
        <a:lstStyle/>
        <a:p>
          <a:pPr algn="l" rtl="0">
            <a:defRPr sz="1000"/>
          </a:pPr>
          <a:fld id="{34FF5C9F-E605-45FC-B7D1-F0CC0D61FE72}" type="TxLink">
            <a:rPr lang="en-US" sz="1000" b="0" i="0" u="none" strike="noStrike">
              <a:solidFill>
                <a:srgbClr val="000000"/>
              </a:solidFill>
              <a:latin typeface="Arial"/>
              <a:cs typeface="Arial"/>
            </a:rPr>
            <a:pPr algn="l" rtl="0">
              <a:defRPr sz="1000"/>
            </a:pPr>
            <a:t>6.81kΩ</a:t>
          </a:fld>
          <a:endParaRPr lang="el-GR" sz="1000" b="0" i="0" strike="noStrike">
            <a:solidFill>
              <a:srgbClr val="000000"/>
            </a:solidFill>
            <a:latin typeface="Arial" pitchFamily="34" charset="0"/>
            <a:cs typeface="Arial" pitchFamily="34" charset="0"/>
          </a:endParaRPr>
        </a:p>
      </xdr:txBody>
    </xdr:sp>
    <xdr:clientData/>
  </xdr:twoCellAnchor>
  <xdr:twoCellAnchor>
    <xdr:from>
      <xdr:col>3</xdr:col>
      <xdr:colOff>874674</xdr:colOff>
      <xdr:row>11</xdr:row>
      <xdr:rowOff>122026</xdr:rowOff>
    </xdr:from>
    <xdr:to>
      <xdr:col>4</xdr:col>
      <xdr:colOff>38961</xdr:colOff>
      <xdr:row>13</xdr:row>
      <xdr:rowOff>43406</xdr:rowOff>
    </xdr:to>
    <xdr:sp macro="" textlink="'Variable Mgmt'!C243">
      <xdr:nvSpPr>
        <xdr:cNvPr id="94" name="Text Box 268">
          <a:extLst>
            <a:ext uri="{FF2B5EF4-FFF2-40B4-BE49-F238E27FC236}">
              <a16:creationId xmlns:a16="http://schemas.microsoft.com/office/drawing/2014/main" id="{00000000-0008-0000-0700-00005E000000}"/>
            </a:ext>
          </a:extLst>
        </xdr:cNvPr>
        <xdr:cNvSpPr txBox="1">
          <a:spLocks noChangeArrowheads="1" noTextEdit="1"/>
        </xdr:cNvSpPr>
      </xdr:nvSpPr>
      <xdr:spPr bwMode="auto">
        <a:xfrm>
          <a:off x="3282789" y="1895141"/>
          <a:ext cx="575941" cy="243765"/>
        </a:xfrm>
        <a:prstGeom prst="rect">
          <a:avLst/>
        </a:prstGeom>
        <a:noFill/>
        <a:ln w="9525">
          <a:noFill/>
          <a:miter lim="800000"/>
          <a:headEnd/>
          <a:tailEnd/>
        </a:ln>
      </xdr:spPr>
      <xdr:txBody>
        <a:bodyPr vertOverflow="clip" wrap="square" lIns="27432" tIns="22860" rIns="0" bIns="0" anchor="ctr" upright="1"/>
        <a:lstStyle/>
        <a:p>
          <a:pPr algn="l" rtl="0">
            <a:defRPr sz="1000"/>
          </a:pPr>
          <a:fld id="{748954DB-E280-498C-BC91-9439B9EC7524}" type="TxLink">
            <a:rPr lang="en-US" sz="700" b="0" i="0" u="none" strike="noStrike">
              <a:solidFill>
                <a:srgbClr val="000000"/>
              </a:solidFill>
              <a:latin typeface="Arial"/>
              <a:cs typeface="Arial"/>
            </a:rPr>
            <a:pPr algn="l" rtl="0">
              <a:defRPr sz="1000"/>
            </a:pPr>
            <a:t>284kΩ</a:t>
          </a:fld>
          <a:endParaRPr lang="el-GR" sz="700" b="0" i="0" strike="noStrike">
            <a:solidFill>
              <a:srgbClr val="000000"/>
            </a:solidFill>
            <a:latin typeface="Arial" pitchFamily="34" charset="0"/>
            <a:cs typeface="Arial" pitchFamily="34" charset="0"/>
          </a:endParaRPr>
        </a:p>
      </xdr:txBody>
    </xdr:sp>
    <xdr:clientData/>
  </xdr:twoCellAnchor>
  <xdr:twoCellAnchor>
    <xdr:from>
      <xdr:col>2</xdr:col>
      <xdr:colOff>35816</xdr:colOff>
      <xdr:row>13</xdr:row>
      <xdr:rowOff>84072</xdr:rowOff>
    </xdr:from>
    <xdr:to>
      <xdr:col>2</xdr:col>
      <xdr:colOff>550300</xdr:colOff>
      <xdr:row>14</xdr:row>
      <xdr:rowOff>123568</xdr:rowOff>
    </xdr:to>
    <xdr:sp macro="" textlink="'Variable Mgmt'!C257">
      <xdr:nvSpPr>
        <xdr:cNvPr id="95" name="Text Box 265">
          <a:extLst>
            <a:ext uri="{FF2B5EF4-FFF2-40B4-BE49-F238E27FC236}">
              <a16:creationId xmlns:a16="http://schemas.microsoft.com/office/drawing/2014/main" id="{00000000-0008-0000-0700-00005F000000}"/>
            </a:ext>
          </a:extLst>
        </xdr:cNvPr>
        <xdr:cNvSpPr txBox="1">
          <a:spLocks noChangeArrowheads="1" noTextEdit="1"/>
        </xdr:cNvSpPr>
      </xdr:nvSpPr>
      <xdr:spPr bwMode="auto">
        <a:xfrm>
          <a:off x="1506085" y="2179572"/>
          <a:ext cx="514484" cy="200688"/>
        </a:xfrm>
        <a:prstGeom prst="rect">
          <a:avLst/>
        </a:prstGeom>
        <a:noFill/>
        <a:ln w="9525">
          <a:noFill/>
          <a:miter lim="800000"/>
          <a:headEnd/>
          <a:tailEnd/>
        </a:ln>
      </xdr:spPr>
      <xdr:txBody>
        <a:bodyPr vertOverflow="clip" wrap="square" lIns="27432" tIns="22860" rIns="0" bIns="0" anchor="t" upright="1"/>
        <a:lstStyle/>
        <a:p>
          <a:pPr algn="l" rtl="0">
            <a:defRPr sz="1000"/>
          </a:pPr>
          <a:fld id="{B2616B24-776D-472C-9328-875E07CFCCA9}" type="TxLink">
            <a:rPr lang="en-US" sz="700" b="0" i="0" u="none" strike="noStrike" baseline="0">
              <a:solidFill>
                <a:srgbClr val="000000"/>
              </a:solidFill>
              <a:latin typeface="Arial"/>
              <a:cs typeface="Arial"/>
            </a:rPr>
            <a:pPr algn="l" rtl="0">
              <a:defRPr sz="1000"/>
            </a:pPr>
            <a:t>10kΩ</a:t>
          </a:fld>
          <a:endParaRPr lang="el-GR" sz="700" b="0" i="0" u="none" strike="noStrike" baseline="0">
            <a:solidFill>
              <a:srgbClr val="000000"/>
            </a:solidFill>
            <a:latin typeface="Arial" pitchFamily="34" charset="0"/>
            <a:cs typeface="Arial" pitchFamily="34" charset="0"/>
          </a:endParaRPr>
        </a:p>
      </xdr:txBody>
    </xdr:sp>
    <xdr:clientData/>
  </xdr:twoCellAnchor>
  <xdr:twoCellAnchor>
    <xdr:from>
      <xdr:col>0</xdr:col>
      <xdr:colOff>376115</xdr:colOff>
      <xdr:row>5</xdr:row>
      <xdr:rowOff>94589</xdr:rowOff>
    </xdr:from>
    <xdr:to>
      <xdr:col>1</xdr:col>
      <xdr:colOff>490993</xdr:colOff>
      <xdr:row>7</xdr:row>
      <xdr:rowOff>60080</xdr:rowOff>
    </xdr:to>
    <xdr:sp macro="" textlink="'Variable Mgmt'!B222">
      <xdr:nvSpPr>
        <xdr:cNvPr id="96" name="Text Box 283">
          <a:extLst>
            <a:ext uri="{FF2B5EF4-FFF2-40B4-BE49-F238E27FC236}">
              <a16:creationId xmlns:a16="http://schemas.microsoft.com/office/drawing/2014/main" id="{00000000-0008-0000-0700-000060000000}"/>
            </a:ext>
          </a:extLst>
        </xdr:cNvPr>
        <xdr:cNvSpPr txBox="1">
          <a:spLocks noChangeArrowheads="1" noTextEdit="1"/>
        </xdr:cNvSpPr>
      </xdr:nvSpPr>
      <xdr:spPr bwMode="auto">
        <a:xfrm>
          <a:off x="376115" y="900551"/>
          <a:ext cx="784070" cy="287875"/>
        </a:xfrm>
        <a:prstGeom prst="rect">
          <a:avLst/>
        </a:prstGeom>
        <a:noFill/>
        <a:ln w="9525">
          <a:noFill/>
          <a:miter lim="800000"/>
          <a:headEnd/>
          <a:tailEnd/>
        </a:ln>
      </xdr:spPr>
      <xdr:txBody>
        <a:bodyPr vertOverflow="clip" wrap="square" lIns="27432" tIns="22860" rIns="0" bIns="0" anchor="t" upright="1"/>
        <a:lstStyle/>
        <a:p>
          <a:pPr algn="ctr" rtl="0">
            <a:defRPr sz="1000"/>
          </a:pPr>
          <a:fld id="{47315316-35F3-49E7-A4CE-EA42773D1FAE}" type="TxLink">
            <a:rPr lang="en-US" sz="800" b="1" i="0" u="none" strike="noStrike">
              <a:solidFill>
                <a:srgbClr val="000000"/>
              </a:solidFill>
              <a:latin typeface="Arial"/>
              <a:cs typeface="Arial"/>
            </a:rPr>
            <a:pPr algn="ctr" rtl="0">
              <a:defRPr sz="1000"/>
            </a:pPr>
            <a:t>19V...40V</a:t>
          </a:fld>
          <a:endParaRPr lang="en-US" sz="800" b="1" i="0" strike="noStrike">
            <a:solidFill>
              <a:srgbClr val="000000"/>
            </a:solidFill>
            <a:latin typeface="Arial" pitchFamily="34" charset="0"/>
            <a:cs typeface="Arial" pitchFamily="34" charset="0"/>
          </a:endParaRPr>
        </a:p>
      </xdr:txBody>
    </xdr:sp>
    <xdr:clientData/>
  </xdr:twoCellAnchor>
  <xdr:twoCellAnchor>
    <xdr:from>
      <xdr:col>4</xdr:col>
      <xdr:colOff>679229</xdr:colOff>
      <xdr:row>18</xdr:row>
      <xdr:rowOff>149860</xdr:rowOff>
    </xdr:from>
    <xdr:to>
      <xdr:col>4</xdr:col>
      <xdr:colOff>1010101</xdr:colOff>
      <xdr:row>20</xdr:row>
      <xdr:rowOff>77900</xdr:rowOff>
    </xdr:to>
    <xdr:sp macro="" textlink="'Variable Mgmt'!C249">
      <xdr:nvSpPr>
        <xdr:cNvPr id="97" name="Text Box 225">
          <a:extLst>
            <a:ext uri="{FF2B5EF4-FFF2-40B4-BE49-F238E27FC236}">
              <a16:creationId xmlns:a16="http://schemas.microsoft.com/office/drawing/2014/main" id="{00000000-0008-0000-0700-000061000000}"/>
            </a:ext>
          </a:extLst>
        </xdr:cNvPr>
        <xdr:cNvSpPr txBox="1">
          <a:spLocks noChangeArrowheads="1"/>
        </xdr:cNvSpPr>
      </xdr:nvSpPr>
      <xdr:spPr bwMode="auto">
        <a:xfrm>
          <a:off x="4317779" y="3064510"/>
          <a:ext cx="330872" cy="251890"/>
        </a:xfrm>
        <a:prstGeom prst="rect">
          <a:avLst/>
        </a:prstGeom>
        <a:noFill/>
        <a:ln w="9525">
          <a:noFill/>
          <a:miter lim="800000"/>
          <a:headEnd/>
          <a:tailEnd/>
        </a:ln>
      </xdr:spPr>
      <xdr:txBody>
        <a:bodyPr vertOverflow="clip" wrap="square" lIns="27432" tIns="27432" rIns="0" bIns="0" anchor="ctr" upright="1"/>
        <a:lstStyle/>
        <a:p>
          <a:pPr algn="l" rtl="0">
            <a:defRPr sz="1000"/>
          </a:pPr>
          <a:fld id="{C394427D-AAFB-4910-BFD4-26E4AF094E1D}" type="TxLink">
            <a:rPr lang="en-US" sz="1000" b="0" i="0" u="none" strike="noStrike">
              <a:solidFill>
                <a:srgbClr val="000000"/>
              </a:solidFill>
              <a:latin typeface="Arial"/>
              <a:cs typeface="Arial"/>
            </a:rPr>
            <a:pPr algn="l" rtl="0">
              <a:defRPr sz="1000"/>
            </a:pPr>
            <a:t> </a:t>
          </a:fld>
          <a:endParaRPr lang="en-US" sz="1100" b="0" i="0" strike="noStrike" baseline="-25000">
            <a:solidFill>
              <a:srgbClr val="000000"/>
            </a:solidFill>
            <a:latin typeface="Arial" pitchFamily="34" charset="0"/>
            <a:cs typeface="Arial" pitchFamily="34" charset="0"/>
          </a:endParaRPr>
        </a:p>
      </xdr:txBody>
    </xdr:sp>
    <xdr:clientData/>
  </xdr:twoCellAnchor>
  <xdr:twoCellAnchor>
    <xdr:from>
      <xdr:col>4</xdr:col>
      <xdr:colOff>631623</xdr:colOff>
      <xdr:row>20</xdr:row>
      <xdr:rowOff>71205</xdr:rowOff>
    </xdr:from>
    <xdr:to>
      <xdr:col>4</xdr:col>
      <xdr:colOff>1147003</xdr:colOff>
      <xdr:row>21</xdr:row>
      <xdr:rowOff>142012</xdr:rowOff>
    </xdr:to>
    <xdr:sp macro="" textlink="'Variable Mgmt'!B249">
      <xdr:nvSpPr>
        <xdr:cNvPr id="98" name="Text Box 268">
          <a:extLst>
            <a:ext uri="{FF2B5EF4-FFF2-40B4-BE49-F238E27FC236}">
              <a16:creationId xmlns:a16="http://schemas.microsoft.com/office/drawing/2014/main" id="{00000000-0008-0000-0700-000062000000}"/>
            </a:ext>
          </a:extLst>
        </xdr:cNvPr>
        <xdr:cNvSpPr txBox="1">
          <a:spLocks noChangeArrowheads="1" noTextEdit="1"/>
        </xdr:cNvSpPr>
      </xdr:nvSpPr>
      <xdr:spPr bwMode="auto">
        <a:xfrm>
          <a:off x="4270173" y="3309705"/>
          <a:ext cx="515380" cy="232732"/>
        </a:xfrm>
        <a:prstGeom prst="rect">
          <a:avLst/>
        </a:prstGeom>
        <a:noFill/>
        <a:ln w="9525">
          <a:noFill/>
          <a:miter lim="800000"/>
          <a:headEnd/>
          <a:tailEnd/>
        </a:ln>
      </xdr:spPr>
      <xdr:txBody>
        <a:bodyPr vertOverflow="clip" wrap="square" lIns="27432" tIns="22860" rIns="0" bIns="0" anchor="ctr" upright="1"/>
        <a:lstStyle/>
        <a:p>
          <a:pPr algn="l" rtl="0">
            <a:defRPr sz="1000"/>
          </a:pPr>
          <a:fld id="{35437053-6AF1-4CB6-8BC9-CEEF911045AA}" type="TxLink">
            <a:rPr lang="en-US" sz="1100" b="0" i="0" u="none" strike="noStrike">
              <a:solidFill>
                <a:srgbClr val="000000"/>
              </a:solidFill>
              <a:latin typeface="Arial"/>
              <a:cs typeface="Arial"/>
            </a:rPr>
            <a:pPr algn="l" rtl="0">
              <a:defRPr sz="1000"/>
            </a:pPr>
            <a:t> </a:t>
          </a:fld>
          <a:endParaRPr lang="el-GR" sz="1100" b="0" i="0" strike="noStrike">
            <a:solidFill>
              <a:srgbClr val="000000"/>
            </a:solidFill>
            <a:latin typeface="Arial" pitchFamily="34" charset="0"/>
            <a:cs typeface="Arial" pitchFamily="34" charset="0"/>
          </a:endParaRPr>
        </a:p>
      </xdr:txBody>
    </xdr:sp>
    <xdr:clientData/>
  </xdr:twoCellAnchor>
  <xdr:twoCellAnchor>
    <xdr:from>
      <xdr:col>2</xdr:col>
      <xdr:colOff>237557</xdr:colOff>
      <xdr:row>6</xdr:row>
      <xdr:rowOff>57806</xdr:rowOff>
    </xdr:from>
    <xdr:to>
      <xdr:col>2</xdr:col>
      <xdr:colOff>639607</xdr:colOff>
      <xdr:row>7</xdr:row>
      <xdr:rowOff>125922</xdr:rowOff>
    </xdr:to>
    <xdr:sp macro="" textlink="'Variable Mgmt'!C252">
      <xdr:nvSpPr>
        <xdr:cNvPr id="99" name="Text Box 264">
          <a:extLst>
            <a:ext uri="{FF2B5EF4-FFF2-40B4-BE49-F238E27FC236}">
              <a16:creationId xmlns:a16="http://schemas.microsoft.com/office/drawing/2014/main" id="{00000000-0008-0000-0700-000063000000}"/>
            </a:ext>
          </a:extLst>
        </xdr:cNvPr>
        <xdr:cNvSpPr txBox="1">
          <a:spLocks noChangeArrowheads="1" noTextEdit="1"/>
        </xdr:cNvSpPr>
      </xdr:nvSpPr>
      <xdr:spPr bwMode="auto">
        <a:xfrm>
          <a:off x="1637732" y="1029356"/>
          <a:ext cx="402050" cy="230041"/>
        </a:xfrm>
        <a:prstGeom prst="rect">
          <a:avLst/>
        </a:prstGeom>
        <a:noFill/>
        <a:ln w="9525">
          <a:noFill/>
          <a:miter lim="800000"/>
          <a:headEnd/>
          <a:tailEnd/>
        </a:ln>
      </xdr:spPr>
      <xdr:txBody>
        <a:bodyPr vertOverflow="clip" wrap="square" lIns="27432" tIns="22860" rIns="0" bIns="0" anchor="ctr" upright="1"/>
        <a:lstStyle/>
        <a:p>
          <a:pPr algn="l" rtl="0">
            <a:defRPr sz="1000"/>
          </a:pPr>
          <a:fld id="{31380AD2-7EE8-49DF-ADF3-9022D781233D}" type="TxLink">
            <a:rPr lang="en-US" sz="1000" b="0" i="0" u="none" strike="noStrike" baseline="0">
              <a:solidFill>
                <a:srgbClr val="000000"/>
              </a:solidFill>
              <a:latin typeface="Arial"/>
              <a:cs typeface="Arial"/>
            </a:rPr>
            <a:pPr algn="l" rtl="0">
              <a:defRPr sz="1000"/>
            </a:pPr>
            <a:t>Ruv1</a:t>
          </a:fld>
          <a:endParaRPr lang="el-GR" sz="1000" b="0" i="0" u="none" strike="noStrike" baseline="0">
            <a:solidFill>
              <a:srgbClr val="000000"/>
            </a:solidFill>
            <a:latin typeface="Arial" pitchFamily="34" charset="0"/>
            <a:cs typeface="Arial" pitchFamily="34" charset="0"/>
          </a:endParaRPr>
        </a:p>
      </xdr:txBody>
    </xdr:sp>
    <xdr:clientData/>
  </xdr:twoCellAnchor>
  <xdr:twoCellAnchor>
    <xdr:from>
      <xdr:col>2</xdr:col>
      <xdr:colOff>237557</xdr:colOff>
      <xdr:row>12</xdr:row>
      <xdr:rowOff>115234</xdr:rowOff>
    </xdr:from>
    <xdr:to>
      <xdr:col>2</xdr:col>
      <xdr:colOff>661587</xdr:colOff>
      <xdr:row>13</xdr:row>
      <xdr:rowOff>135750</xdr:rowOff>
    </xdr:to>
    <xdr:sp macro="" textlink="'Variable Mgmt'!D252">
      <xdr:nvSpPr>
        <xdr:cNvPr id="100" name="Text Box 264">
          <a:extLst>
            <a:ext uri="{FF2B5EF4-FFF2-40B4-BE49-F238E27FC236}">
              <a16:creationId xmlns:a16="http://schemas.microsoft.com/office/drawing/2014/main" id="{00000000-0008-0000-0700-000064000000}"/>
            </a:ext>
          </a:extLst>
        </xdr:cNvPr>
        <xdr:cNvSpPr txBox="1">
          <a:spLocks noChangeArrowheads="1" noTextEdit="1"/>
        </xdr:cNvSpPr>
      </xdr:nvSpPr>
      <xdr:spPr bwMode="auto">
        <a:xfrm>
          <a:off x="1637732" y="2058334"/>
          <a:ext cx="424030" cy="182441"/>
        </a:xfrm>
        <a:prstGeom prst="rect">
          <a:avLst/>
        </a:prstGeom>
        <a:noFill/>
        <a:ln w="9525">
          <a:noFill/>
          <a:miter lim="800000"/>
          <a:headEnd/>
          <a:tailEnd/>
        </a:ln>
      </xdr:spPr>
      <xdr:txBody>
        <a:bodyPr vertOverflow="clip" wrap="square" lIns="27432" tIns="22860" rIns="0" bIns="0" anchor="ctr" upright="1"/>
        <a:lstStyle/>
        <a:p>
          <a:pPr algn="l" rtl="0">
            <a:defRPr sz="1000"/>
          </a:pPr>
          <a:fld id="{873432C6-E14A-45C8-BEDA-C8EFF8641C5C}" type="TxLink">
            <a:rPr lang="en-US" sz="1000" b="0" i="0" u="none" strike="noStrike" baseline="0">
              <a:solidFill>
                <a:srgbClr val="000000"/>
              </a:solidFill>
              <a:latin typeface="Arial"/>
              <a:cs typeface="Arial"/>
            </a:rPr>
            <a:pPr algn="l" rtl="0">
              <a:defRPr sz="1000"/>
            </a:pPr>
            <a:t>Ruv2</a:t>
          </a:fld>
          <a:endParaRPr lang="el-GR" sz="1000" b="0" i="0" u="none" strike="noStrike" baseline="0">
            <a:solidFill>
              <a:srgbClr val="000000"/>
            </a:solidFill>
            <a:latin typeface="Arial" pitchFamily="34" charset="0"/>
            <a:cs typeface="Arial" pitchFamily="34" charset="0"/>
          </a:endParaRPr>
        </a:p>
      </xdr:txBody>
    </xdr:sp>
    <xdr:clientData/>
  </xdr:twoCellAnchor>
  <xdr:twoCellAnchor>
    <xdr:from>
      <xdr:col>2</xdr:col>
      <xdr:colOff>216427</xdr:colOff>
      <xdr:row>20</xdr:row>
      <xdr:rowOff>331</xdr:rowOff>
    </xdr:from>
    <xdr:to>
      <xdr:col>2</xdr:col>
      <xdr:colOff>660395</xdr:colOff>
      <xdr:row>22</xdr:row>
      <xdr:rowOff>12593</xdr:rowOff>
    </xdr:to>
    <xdr:sp macro="" textlink="'Variable Mgmt'!C262">
      <xdr:nvSpPr>
        <xdr:cNvPr id="101" name="Text Box 281">
          <a:extLst>
            <a:ext uri="{FF2B5EF4-FFF2-40B4-BE49-F238E27FC236}">
              <a16:creationId xmlns:a16="http://schemas.microsoft.com/office/drawing/2014/main" id="{00000000-0008-0000-0700-000065000000}"/>
            </a:ext>
          </a:extLst>
        </xdr:cNvPr>
        <xdr:cNvSpPr txBox="1">
          <a:spLocks noChangeArrowheads="1" noTextEdit="1"/>
        </xdr:cNvSpPr>
      </xdr:nvSpPr>
      <xdr:spPr bwMode="auto">
        <a:xfrm>
          <a:off x="1616602" y="3238831"/>
          <a:ext cx="443968" cy="336112"/>
        </a:xfrm>
        <a:prstGeom prst="rect">
          <a:avLst/>
        </a:prstGeom>
        <a:noFill/>
        <a:ln w="9525">
          <a:noFill/>
          <a:miter lim="800000"/>
          <a:headEnd/>
          <a:tailEnd/>
        </a:ln>
      </xdr:spPr>
      <xdr:txBody>
        <a:bodyPr vertOverflow="clip" wrap="square" lIns="27432" tIns="22860" rIns="0" bIns="0" anchor="ctr" upright="1"/>
        <a:lstStyle/>
        <a:p>
          <a:pPr algn="l" rtl="0">
            <a:defRPr sz="1000"/>
          </a:pPr>
          <a:fld id="{B81C36CF-66FD-4734-B04F-DAE82AF849A9}" type="TxLink">
            <a:rPr lang="en-US" sz="1100" b="0" i="0" u="none" strike="noStrike">
              <a:solidFill>
                <a:srgbClr val="000000"/>
              </a:solidFill>
              <a:latin typeface="Arial"/>
              <a:cs typeface="Arial"/>
            </a:rPr>
            <a:pPr algn="l" rtl="0">
              <a:defRPr sz="1000"/>
            </a:pPr>
            <a:t> </a:t>
          </a:fld>
          <a:endParaRPr lang="en-US" sz="1100" b="0" i="0" strike="noStrike">
            <a:solidFill>
              <a:srgbClr val="000000"/>
            </a:solidFill>
            <a:latin typeface="Arial" pitchFamily="34" charset="0"/>
            <a:cs typeface="Arial" pitchFamily="34" charset="0"/>
          </a:endParaRPr>
        </a:p>
      </xdr:txBody>
    </xdr:sp>
    <xdr:clientData/>
  </xdr:twoCellAnchor>
  <xdr:twoCellAnchor>
    <xdr:from>
      <xdr:col>7</xdr:col>
      <xdr:colOff>288063</xdr:colOff>
      <xdr:row>11</xdr:row>
      <xdr:rowOff>136547</xdr:rowOff>
    </xdr:from>
    <xdr:to>
      <xdr:col>7</xdr:col>
      <xdr:colOff>954457</xdr:colOff>
      <xdr:row>13</xdr:row>
      <xdr:rowOff>159326</xdr:rowOff>
    </xdr:to>
    <xdr:sp macro="" textlink="'Variable Mgmt'!B225">
      <xdr:nvSpPr>
        <xdr:cNvPr id="128" name="Text Box 285">
          <a:extLst>
            <a:ext uri="{FF2B5EF4-FFF2-40B4-BE49-F238E27FC236}">
              <a16:creationId xmlns:a16="http://schemas.microsoft.com/office/drawing/2014/main" id="{00000000-0008-0000-0700-000080000000}"/>
            </a:ext>
          </a:extLst>
        </xdr:cNvPr>
        <xdr:cNvSpPr txBox="1">
          <a:spLocks noChangeArrowheads="1" noTextEdit="1"/>
        </xdr:cNvSpPr>
      </xdr:nvSpPr>
      <xdr:spPr bwMode="auto">
        <a:xfrm>
          <a:off x="7060338" y="1917722"/>
          <a:ext cx="666394" cy="346629"/>
        </a:xfrm>
        <a:prstGeom prst="rect">
          <a:avLst/>
        </a:prstGeom>
        <a:noFill/>
        <a:ln w="9525">
          <a:noFill/>
          <a:miter lim="800000"/>
          <a:headEnd/>
          <a:tailEnd/>
        </a:ln>
      </xdr:spPr>
      <xdr:txBody>
        <a:bodyPr vertOverflow="clip" wrap="square" lIns="27432" tIns="22860" rIns="0" bIns="0" anchor="ctr" upright="1"/>
        <a:lstStyle/>
        <a:p>
          <a:pPr algn="l" rtl="0">
            <a:defRPr sz="1000"/>
          </a:pPr>
          <a:fld id="{1EB32AF4-7354-4114-B6DF-5AD8FEB0166D}" type="TxLink">
            <a:rPr lang="en-US" sz="1000" b="1" i="0" u="none" strike="noStrike" baseline="0">
              <a:solidFill>
                <a:srgbClr val="FF0000"/>
              </a:solidFill>
              <a:latin typeface="Arial"/>
              <a:cs typeface="Arial"/>
            </a:rPr>
            <a:pPr algn="l" rtl="0">
              <a:defRPr sz="1000"/>
            </a:pPr>
            <a:t> </a:t>
          </a:fld>
          <a:endParaRPr lang="en-US" sz="1000" b="1" i="0" u="none" strike="noStrike" baseline="0">
            <a:solidFill>
              <a:srgbClr val="FF0000"/>
            </a:solidFill>
            <a:latin typeface="Arial" pitchFamily="34" charset="0"/>
            <a:cs typeface="Arial" pitchFamily="34" charset="0"/>
          </a:endParaRPr>
        </a:p>
      </xdr:txBody>
    </xdr:sp>
    <xdr:clientData/>
  </xdr:twoCellAnchor>
  <xdr:twoCellAnchor>
    <xdr:from>
      <xdr:col>7</xdr:col>
      <xdr:colOff>133350</xdr:colOff>
      <xdr:row>13</xdr:row>
      <xdr:rowOff>74511</xdr:rowOff>
    </xdr:from>
    <xdr:to>
      <xdr:col>7</xdr:col>
      <xdr:colOff>733425</xdr:colOff>
      <xdr:row>15</xdr:row>
      <xdr:rowOff>54951</xdr:rowOff>
    </xdr:to>
    <xdr:sp macro="" textlink="'Variable Mgmt'!B280">
      <xdr:nvSpPr>
        <xdr:cNvPr id="129" name="Text Box 286">
          <a:extLst>
            <a:ext uri="{FF2B5EF4-FFF2-40B4-BE49-F238E27FC236}">
              <a16:creationId xmlns:a16="http://schemas.microsoft.com/office/drawing/2014/main" id="{00000000-0008-0000-0700-000081000000}"/>
            </a:ext>
          </a:extLst>
        </xdr:cNvPr>
        <xdr:cNvSpPr txBox="1">
          <a:spLocks noChangeArrowheads="1" noTextEdit="1"/>
        </xdr:cNvSpPr>
      </xdr:nvSpPr>
      <xdr:spPr bwMode="auto">
        <a:xfrm>
          <a:off x="6905625" y="2179536"/>
          <a:ext cx="600075" cy="304290"/>
        </a:xfrm>
        <a:prstGeom prst="rect">
          <a:avLst/>
        </a:prstGeom>
        <a:noFill/>
        <a:ln w="9525">
          <a:noFill/>
          <a:miter lim="800000"/>
          <a:headEnd/>
          <a:tailEnd/>
        </a:ln>
      </xdr:spPr>
      <xdr:txBody>
        <a:bodyPr vertOverflow="clip" wrap="square" lIns="27432" tIns="22860" rIns="0" bIns="0" anchor="ctr" upright="1"/>
        <a:lstStyle/>
        <a:p>
          <a:pPr algn="ctr" rtl="0">
            <a:defRPr sz="1000"/>
          </a:pPr>
          <a:fld id="{F430775D-5566-4B2B-9D86-4FABD1E02F13}" type="TxLink">
            <a:rPr lang="en-US" sz="1000" b="1" i="0" u="none" strike="noStrike">
              <a:solidFill>
                <a:srgbClr val="FF0000"/>
              </a:solidFill>
              <a:latin typeface="Arial"/>
              <a:cs typeface="Arial"/>
            </a:rPr>
            <a:pPr algn="ctr" rtl="0">
              <a:defRPr sz="1000"/>
            </a:pPr>
            <a:t> </a:t>
          </a:fld>
          <a:endParaRPr lang="en-US" sz="1000" b="1" i="0" strike="noStrike">
            <a:solidFill>
              <a:srgbClr val="FF0000"/>
            </a:solidFill>
            <a:latin typeface="Arial" pitchFamily="34" charset="0"/>
            <a:cs typeface="Arial" pitchFamily="34" charset="0"/>
          </a:endParaRPr>
        </a:p>
      </xdr:txBody>
    </xdr:sp>
    <xdr:clientData/>
  </xdr:twoCellAnchor>
  <xdr:twoCellAnchor>
    <xdr:from>
      <xdr:col>7</xdr:col>
      <xdr:colOff>141769</xdr:colOff>
      <xdr:row>13</xdr:row>
      <xdr:rowOff>19072</xdr:rowOff>
    </xdr:from>
    <xdr:to>
      <xdr:col>7</xdr:col>
      <xdr:colOff>808163</xdr:colOff>
      <xdr:row>15</xdr:row>
      <xdr:rowOff>41118</xdr:rowOff>
    </xdr:to>
    <xdr:sp macro="" textlink="'Variable Mgmt'!B226">
      <xdr:nvSpPr>
        <xdr:cNvPr id="130" name="Text Box 285">
          <a:extLst>
            <a:ext uri="{FF2B5EF4-FFF2-40B4-BE49-F238E27FC236}">
              <a16:creationId xmlns:a16="http://schemas.microsoft.com/office/drawing/2014/main" id="{00000000-0008-0000-0700-000082000000}"/>
            </a:ext>
          </a:extLst>
        </xdr:cNvPr>
        <xdr:cNvSpPr txBox="1">
          <a:spLocks noChangeArrowheads="1" noTextEdit="1"/>
        </xdr:cNvSpPr>
      </xdr:nvSpPr>
      <xdr:spPr bwMode="auto">
        <a:xfrm>
          <a:off x="7244000" y="2114572"/>
          <a:ext cx="666394" cy="344431"/>
        </a:xfrm>
        <a:prstGeom prst="rect">
          <a:avLst/>
        </a:prstGeom>
        <a:noFill/>
        <a:ln w="9525">
          <a:noFill/>
          <a:miter lim="800000"/>
          <a:headEnd/>
          <a:tailEnd/>
        </a:ln>
      </xdr:spPr>
      <xdr:txBody>
        <a:bodyPr vertOverflow="clip" wrap="square" lIns="27432" tIns="22860" rIns="0" bIns="0" anchor="ctr" upright="1"/>
        <a:lstStyle/>
        <a:p>
          <a:pPr algn="l" rtl="0">
            <a:defRPr sz="1000"/>
          </a:pPr>
          <a:fld id="{6CC6AC32-C574-4CE6-AE26-39476DAD0777}" type="TxLink">
            <a:rPr lang="en-US" sz="1000" b="1" i="0" u="none" strike="noStrike" baseline="0">
              <a:solidFill>
                <a:srgbClr val="FF0000"/>
              </a:solidFill>
              <a:latin typeface="Arial"/>
              <a:cs typeface="Arial"/>
            </a:rPr>
            <a:pPr algn="l" rtl="0">
              <a:defRPr sz="1000"/>
            </a:pPr>
            <a:t> </a:t>
          </a:fld>
          <a:endParaRPr lang="en-US" sz="1000" b="1" i="0" u="none" strike="noStrike" baseline="0">
            <a:solidFill>
              <a:srgbClr val="FF0000"/>
            </a:solidFill>
            <a:latin typeface="Arial" pitchFamily="34" charset="0"/>
            <a:cs typeface="Arial" pitchFamily="34" charset="0"/>
          </a:endParaRPr>
        </a:p>
      </xdr:txBody>
    </xdr:sp>
    <xdr:clientData/>
  </xdr:twoCellAnchor>
  <xdr:twoCellAnchor>
    <xdr:from>
      <xdr:col>6</xdr:col>
      <xdr:colOff>1097443</xdr:colOff>
      <xdr:row>14</xdr:row>
      <xdr:rowOff>118229</xdr:rowOff>
    </xdr:from>
    <xdr:to>
      <xdr:col>7</xdr:col>
      <xdr:colOff>723171</xdr:colOff>
      <xdr:row>16</xdr:row>
      <xdr:rowOff>98669</xdr:rowOff>
    </xdr:to>
    <xdr:sp macro="" textlink="'Variable Mgmt'!B281">
      <xdr:nvSpPr>
        <xdr:cNvPr id="131" name="Text Box 286">
          <a:extLst>
            <a:ext uri="{FF2B5EF4-FFF2-40B4-BE49-F238E27FC236}">
              <a16:creationId xmlns:a16="http://schemas.microsoft.com/office/drawing/2014/main" id="{00000000-0008-0000-0700-000083000000}"/>
            </a:ext>
          </a:extLst>
        </xdr:cNvPr>
        <xdr:cNvSpPr txBox="1">
          <a:spLocks noChangeArrowheads="1" noTextEdit="1"/>
        </xdr:cNvSpPr>
      </xdr:nvSpPr>
      <xdr:spPr bwMode="auto">
        <a:xfrm>
          <a:off x="7071328" y="2374921"/>
          <a:ext cx="754074" cy="302825"/>
        </a:xfrm>
        <a:prstGeom prst="rect">
          <a:avLst/>
        </a:prstGeom>
        <a:noFill/>
        <a:ln w="9525">
          <a:noFill/>
          <a:miter lim="800000"/>
          <a:headEnd/>
          <a:tailEnd/>
        </a:ln>
      </xdr:spPr>
      <xdr:txBody>
        <a:bodyPr vertOverflow="clip" wrap="square" lIns="27432" tIns="22860" rIns="0" bIns="0" anchor="ctr" upright="1"/>
        <a:lstStyle/>
        <a:p>
          <a:pPr algn="ctr" rtl="0">
            <a:defRPr sz="1000"/>
          </a:pPr>
          <a:fld id="{21AE0BE5-7426-43AE-A5A8-768A4DEE6C58}" type="TxLink">
            <a:rPr lang="en-US" sz="1000" b="1" i="0" u="none" strike="noStrike">
              <a:solidFill>
                <a:srgbClr val="FF0000"/>
              </a:solidFill>
              <a:latin typeface="Arial"/>
              <a:cs typeface="Arial"/>
            </a:rPr>
            <a:pPr algn="ctr" rtl="0">
              <a:defRPr sz="1000"/>
            </a:pPr>
            <a:t> </a:t>
          </a:fld>
          <a:endParaRPr lang="en-US" sz="1000" b="1" i="0" strike="noStrike">
            <a:solidFill>
              <a:srgbClr val="FF0000"/>
            </a:solidFill>
            <a:latin typeface="Arial" pitchFamily="34" charset="0"/>
            <a:cs typeface="Arial" pitchFamily="34" charset="0"/>
          </a:endParaRPr>
        </a:p>
      </xdr:txBody>
    </xdr:sp>
    <xdr:clientData/>
  </xdr:twoCellAnchor>
  <xdr:twoCellAnchor>
    <xdr:from>
      <xdr:col>5</xdr:col>
      <xdr:colOff>417750</xdr:colOff>
      <xdr:row>12</xdr:row>
      <xdr:rowOff>106350</xdr:rowOff>
    </xdr:from>
    <xdr:to>
      <xdr:col>6</xdr:col>
      <xdr:colOff>16593</xdr:colOff>
      <xdr:row>13</xdr:row>
      <xdr:rowOff>127590</xdr:rowOff>
    </xdr:to>
    <xdr:sp macro="" textlink="'Variable Mgmt'!D229">
      <xdr:nvSpPr>
        <xdr:cNvPr id="132" name="Text Box 267">
          <a:extLst>
            <a:ext uri="{FF2B5EF4-FFF2-40B4-BE49-F238E27FC236}">
              <a16:creationId xmlns:a16="http://schemas.microsoft.com/office/drawing/2014/main" id="{00000000-0008-0000-0700-000084000000}"/>
            </a:ext>
          </a:extLst>
        </xdr:cNvPr>
        <xdr:cNvSpPr txBox="1">
          <a:spLocks noChangeArrowheads="1" noTextEdit="1"/>
        </xdr:cNvSpPr>
      </xdr:nvSpPr>
      <xdr:spPr bwMode="auto">
        <a:xfrm>
          <a:off x="5444019" y="2040658"/>
          <a:ext cx="546459" cy="182432"/>
        </a:xfrm>
        <a:prstGeom prst="rect">
          <a:avLst/>
        </a:prstGeom>
        <a:noFill/>
        <a:ln w="9525">
          <a:noFill/>
          <a:miter lim="800000"/>
          <a:headEnd/>
          <a:tailEnd/>
        </a:ln>
      </xdr:spPr>
      <xdr:txBody>
        <a:bodyPr vertOverflow="clip" wrap="square" lIns="27432" tIns="22860" rIns="0" bIns="0" anchor="ctr" upright="1"/>
        <a:lstStyle/>
        <a:p>
          <a:pPr algn="l" rtl="0">
            <a:defRPr sz="1000"/>
          </a:pPr>
          <a:fld id="{1BBBBB7F-554B-4BC8-BF86-B8FB4EA76457}" type="TxLink">
            <a:rPr lang="en-US" sz="700" b="0" i="0" u="none" strike="noStrike" baseline="0">
              <a:solidFill>
                <a:srgbClr val="000000"/>
              </a:solidFill>
              <a:latin typeface="Arial"/>
              <a:cs typeface="Arial"/>
            </a:rPr>
            <a:pPr algn="l" rtl="0">
              <a:defRPr sz="1000"/>
            </a:pPr>
            <a:t> </a:t>
          </a:fld>
          <a:endParaRPr lang="en-US" sz="700" b="0" i="0" u="none" strike="noStrike" baseline="0">
            <a:solidFill>
              <a:srgbClr val="000000"/>
            </a:solidFill>
            <a:latin typeface="Arial" pitchFamily="34" charset="0"/>
            <a:cs typeface="Arial" pitchFamily="34" charset="0"/>
          </a:endParaRPr>
        </a:p>
      </xdr:txBody>
    </xdr:sp>
    <xdr:clientData/>
  </xdr:twoCellAnchor>
  <xdr:twoCellAnchor>
    <xdr:from>
      <xdr:col>5</xdr:col>
      <xdr:colOff>398212</xdr:colOff>
      <xdr:row>15</xdr:row>
      <xdr:rowOff>113188</xdr:rowOff>
    </xdr:from>
    <xdr:to>
      <xdr:col>5</xdr:col>
      <xdr:colOff>944671</xdr:colOff>
      <xdr:row>16</xdr:row>
      <xdr:rowOff>134428</xdr:rowOff>
    </xdr:to>
    <xdr:sp macro="" textlink="'Variable Mgmt'!C229">
      <xdr:nvSpPr>
        <xdr:cNvPr id="133" name="Text Box 267">
          <a:extLst>
            <a:ext uri="{FF2B5EF4-FFF2-40B4-BE49-F238E27FC236}">
              <a16:creationId xmlns:a16="http://schemas.microsoft.com/office/drawing/2014/main" id="{00000000-0008-0000-0700-000085000000}"/>
            </a:ext>
          </a:extLst>
        </xdr:cNvPr>
        <xdr:cNvSpPr txBox="1">
          <a:spLocks noChangeArrowheads="1" noTextEdit="1"/>
        </xdr:cNvSpPr>
      </xdr:nvSpPr>
      <xdr:spPr bwMode="auto">
        <a:xfrm>
          <a:off x="5424481" y="2531073"/>
          <a:ext cx="546459" cy="182432"/>
        </a:xfrm>
        <a:prstGeom prst="rect">
          <a:avLst/>
        </a:prstGeom>
        <a:noFill/>
        <a:ln w="9525">
          <a:noFill/>
          <a:miter lim="800000"/>
          <a:headEnd/>
          <a:tailEnd/>
        </a:ln>
      </xdr:spPr>
      <xdr:txBody>
        <a:bodyPr vertOverflow="clip" wrap="square" lIns="27432" tIns="22860" rIns="0" bIns="0" anchor="ctr" upright="1"/>
        <a:lstStyle/>
        <a:p>
          <a:pPr algn="l" rtl="0">
            <a:defRPr sz="1000"/>
          </a:pPr>
          <a:fld id="{EB8BEA1C-AFA8-40F4-BE4F-A41F4D085390}" type="TxLink">
            <a:rPr lang="en-US" sz="700" b="0" i="0" u="none" strike="noStrike" baseline="0">
              <a:solidFill>
                <a:srgbClr val="000000"/>
              </a:solidFill>
              <a:latin typeface="Arial"/>
              <a:cs typeface="Arial"/>
            </a:rPr>
            <a:pPr algn="l" rtl="0">
              <a:defRPr sz="1000"/>
            </a:pPr>
            <a:t> </a:t>
          </a:fld>
          <a:endParaRPr lang="en-US" sz="700" b="0" i="0" u="none" strike="noStrike" baseline="0">
            <a:solidFill>
              <a:srgbClr val="00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5</xdr:col>
          <xdr:colOff>895350</xdr:colOff>
          <xdr:row>32</xdr:row>
          <xdr:rowOff>12700</xdr:rowOff>
        </xdr:from>
        <xdr:to>
          <xdr:col>6</xdr:col>
          <xdr:colOff>869950</xdr:colOff>
          <xdr:row>33</xdr:row>
          <xdr:rowOff>0</xdr:rowOff>
        </xdr:to>
        <xdr:sp macro="" textlink="">
          <xdr:nvSpPr>
            <xdr:cNvPr id="706019" name="Drop Down 1507" hidden="1">
              <a:extLst>
                <a:ext uri="{63B3BB69-23CF-44E3-9099-C40C66FF867C}">
                  <a14:compatExt spid="_x0000_s706019"/>
                </a:ext>
                <a:ext uri="{FF2B5EF4-FFF2-40B4-BE49-F238E27FC236}">
                  <a16:creationId xmlns:a16="http://schemas.microsoft.com/office/drawing/2014/main" id="{00000000-0008-0000-0700-0000E3C5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xdr:col>
      <xdr:colOff>895527</xdr:colOff>
      <xdr:row>24</xdr:row>
      <xdr:rowOff>49871</xdr:rowOff>
    </xdr:from>
    <xdr:to>
      <xdr:col>3</xdr:col>
      <xdr:colOff>280521</xdr:colOff>
      <xdr:row>25</xdr:row>
      <xdr:rowOff>121252</xdr:rowOff>
    </xdr:to>
    <xdr:sp macro="" textlink="">
      <xdr:nvSpPr>
        <xdr:cNvPr id="47" name="Text Box 244">
          <a:extLst>
            <a:ext uri="{FF2B5EF4-FFF2-40B4-BE49-F238E27FC236}">
              <a16:creationId xmlns:a16="http://schemas.microsoft.com/office/drawing/2014/main" id="{00000000-0008-0000-0700-00002F000000}"/>
            </a:ext>
          </a:extLst>
        </xdr:cNvPr>
        <xdr:cNvSpPr txBox="1">
          <a:spLocks noChangeArrowheads="1"/>
        </xdr:cNvSpPr>
      </xdr:nvSpPr>
      <xdr:spPr bwMode="auto">
        <a:xfrm>
          <a:off x="2365796" y="3918486"/>
          <a:ext cx="322840" cy="232574"/>
        </a:xfrm>
        <a:prstGeom prst="rect">
          <a:avLst/>
        </a:prstGeom>
        <a:noFill/>
        <a:ln w="9525">
          <a:noFill/>
          <a:miter lim="800000"/>
          <a:headEnd/>
          <a:tailEnd/>
        </a:ln>
      </xdr:spPr>
      <xdr:txBody>
        <a:bodyPr vertOverflow="clip" wrap="square" lIns="27432" tIns="27432" rIns="0" bIns="0" anchor="t" upright="1"/>
        <a:lstStyle/>
        <a:p>
          <a:pPr algn="l" rtl="0">
            <a:defRPr sz="1000"/>
          </a:pPr>
          <a:r>
            <a:rPr lang="en-US" sz="1100" b="0" i="0" strike="noStrike">
              <a:solidFill>
                <a:srgbClr val="000000"/>
              </a:solidFill>
              <a:latin typeface="Arial" pitchFamily="34" charset="0"/>
              <a:cs typeface="Arial" pitchFamily="34" charset="0"/>
            </a:rPr>
            <a:t>U</a:t>
          </a:r>
          <a:r>
            <a:rPr lang="en-US" sz="1100" b="0" i="0" strike="noStrike" baseline="-25000">
              <a:solidFill>
                <a:srgbClr val="000000"/>
              </a:solidFill>
              <a:latin typeface="Arial" pitchFamily="34" charset="0"/>
              <a:cs typeface="Arial" pitchFamily="34" charset="0"/>
            </a:rPr>
            <a:t>1</a:t>
          </a:r>
        </a:p>
      </xdr:txBody>
    </xdr:sp>
    <xdr:clientData/>
  </xdr:twoCellAnchor>
  <mc:AlternateContent xmlns:mc="http://schemas.openxmlformats.org/markup-compatibility/2006">
    <mc:Choice xmlns:a14="http://schemas.microsoft.com/office/drawing/2010/main" Requires="a14">
      <xdr:twoCellAnchor editAs="oneCell">
        <xdr:from>
          <xdr:col>6</xdr:col>
          <xdr:colOff>0</xdr:colOff>
          <xdr:row>42</xdr:row>
          <xdr:rowOff>12700</xdr:rowOff>
        </xdr:from>
        <xdr:to>
          <xdr:col>6</xdr:col>
          <xdr:colOff>882650</xdr:colOff>
          <xdr:row>43</xdr:row>
          <xdr:rowOff>0</xdr:rowOff>
        </xdr:to>
        <xdr:sp macro="" textlink="">
          <xdr:nvSpPr>
            <xdr:cNvPr id="706028" name="Drop Down 1516" hidden="1">
              <a:extLst>
                <a:ext uri="{63B3BB69-23CF-44E3-9099-C40C66FF867C}">
                  <a14:compatExt spid="_x0000_s706028"/>
                </a:ext>
                <a:ext uri="{FF2B5EF4-FFF2-40B4-BE49-F238E27FC236}">
                  <a16:creationId xmlns:a16="http://schemas.microsoft.com/office/drawing/2014/main" id="{00000000-0008-0000-0700-0000ECC5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3</xdr:col>
      <xdr:colOff>1328384</xdr:colOff>
      <xdr:row>2</xdr:row>
      <xdr:rowOff>124558</xdr:rowOff>
    </xdr:from>
    <xdr:to>
      <xdr:col>4</xdr:col>
      <xdr:colOff>946637</xdr:colOff>
      <xdr:row>4</xdr:row>
      <xdr:rowOff>55843</xdr:rowOff>
    </xdr:to>
    <xdr:sp macro="" textlink="'Variable Mgmt'!B217">
      <xdr:nvSpPr>
        <xdr:cNvPr id="49" name="Text Box 265">
          <a:extLst>
            <a:ext uri="{FF2B5EF4-FFF2-40B4-BE49-F238E27FC236}">
              <a16:creationId xmlns:a16="http://schemas.microsoft.com/office/drawing/2014/main" id="{00000000-0008-0000-0700-000031000000}"/>
            </a:ext>
          </a:extLst>
        </xdr:cNvPr>
        <xdr:cNvSpPr txBox="1">
          <a:spLocks noChangeArrowheads="1" noTextEdit="1"/>
        </xdr:cNvSpPr>
      </xdr:nvSpPr>
      <xdr:spPr bwMode="auto">
        <a:xfrm>
          <a:off x="3736499" y="446943"/>
          <a:ext cx="1029907" cy="253669"/>
        </a:xfrm>
        <a:prstGeom prst="rect">
          <a:avLst/>
        </a:prstGeom>
        <a:noFill/>
        <a:ln w="9525">
          <a:noFill/>
          <a:miter lim="800000"/>
          <a:headEnd/>
          <a:tailEnd/>
        </a:ln>
      </xdr:spPr>
      <xdr:txBody>
        <a:bodyPr vertOverflow="clip" wrap="square" lIns="27432" tIns="22860" rIns="0" bIns="0" anchor="t" upright="1"/>
        <a:lstStyle/>
        <a:p>
          <a:pPr algn="ctr" rtl="0">
            <a:defRPr sz="1000"/>
          </a:pPr>
          <a:fld id="{4DF3E085-FEDD-406F-9003-D894075812A3}" type="TxLink">
            <a:rPr lang="en-US" sz="700" b="0" i="0" u="none" strike="noStrike" baseline="0">
              <a:solidFill>
                <a:srgbClr val="000000"/>
              </a:solidFill>
              <a:latin typeface="Arial"/>
              <a:cs typeface="Arial"/>
            </a:rPr>
            <a:pPr algn="ctr" rtl="0">
              <a:defRPr sz="1000"/>
            </a:pPr>
            <a:t>1 : 1</a:t>
          </a:fld>
          <a:endParaRPr lang="el-GR" sz="700" b="0" i="0" u="none" strike="noStrike" baseline="0">
            <a:solidFill>
              <a:srgbClr val="000000"/>
            </a:solidFill>
            <a:latin typeface="Arial" pitchFamily="34" charset="0"/>
            <a:cs typeface="Arial" pitchFamily="34" charset="0"/>
          </a:endParaRPr>
        </a:p>
      </xdr:txBody>
    </xdr:sp>
    <xdr:clientData/>
  </xdr:twoCellAnchor>
  <xdr:twoCellAnchor>
    <xdr:from>
      <xdr:col>2</xdr:col>
      <xdr:colOff>212599</xdr:colOff>
      <xdr:row>18</xdr:row>
      <xdr:rowOff>21980</xdr:rowOff>
    </xdr:from>
    <xdr:to>
      <xdr:col>2</xdr:col>
      <xdr:colOff>759488</xdr:colOff>
      <xdr:row>19</xdr:row>
      <xdr:rowOff>90664</xdr:rowOff>
    </xdr:to>
    <xdr:sp macro="" textlink="'Variable Mgmt'!D293">
      <xdr:nvSpPr>
        <xdr:cNvPr id="50" name="Text Box 268">
          <a:extLst>
            <a:ext uri="{FF2B5EF4-FFF2-40B4-BE49-F238E27FC236}">
              <a16:creationId xmlns:a16="http://schemas.microsoft.com/office/drawing/2014/main" id="{00000000-0008-0000-0700-000032000000}"/>
            </a:ext>
          </a:extLst>
        </xdr:cNvPr>
        <xdr:cNvSpPr txBox="1">
          <a:spLocks noChangeArrowheads="1" noTextEdit="1"/>
        </xdr:cNvSpPr>
      </xdr:nvSpPr>
      <xdr:spPr bwMode="auto">
        <a:xfrm>
          <a:off x="1682868" y="2923442"/>
          <a:ext cx="546889" cy="229876"/>
        </a:xfrm>
        <a:prstGeom prst="rect">
          <a:avLst/>
        </a:prstGeom>
        <a:noFill/>
        <a:ln w="9525">
          <a:noFill/>
          <a:miter lim="800000"/>
          <a:headEnd/>
          <a:tailEnd/>
        </a:ln>
      </xdr:spPr>
      <xdr:txBody>
        <a:bodyPr vertOverflow="clip" wrap="square" lIns="27432" tIns="22860" rIns="0" bIns="0" anchor="ctr" upright="1"/>
        <a:lstStyle/>
        <a:p>
          <a:pPr algn="l" rtl="0">
            <a:defRPr sz="1000"/>
          </a:pPr>
          <a:fld id="{4F5B9A66-0160-41DB-924C-2BCEAAE1ECE7}" type="TxLink">
            <a:rPr lang="en-US" sz="700" b="0" i="0" u="none" strike="noStrike">
              <a:solidFill>
                <a:srgbClr val="000000"/>
              </a:solidFill>
              <a:latin typeface="Arial"/>
              <a:cs typeface="Arial"/>
            </a:rPr>
            <a:pPr algn="l" rtl="0">
              <a:defRPr sz="1000"/>
            </a:pPr>
            <a:t>40.2kΩ</a:t>
          </a:fld>
          <a:endParaRPr lang="el-GR" sz="700" b="0" i="0" strike="noStrike">
            <a:solidFill>
              <a:srgbClr val="000000"/>
            </a:solidFill>
            <a:latin typeface="Arial" pitchFamily="34" charset="0"/>
            <a:cs typeface="Arial" pitchFamily="34" charset="0"/>
          </a:endParaRPr>
        </a:p>
      </xdr:txBody>
    </xdr:sp>
    <xdr:clientData/>
  </xdr:twoCellAnchor>
  <xdr:twoCellAnchor>
    <xdr:from>
      <xdr:col>1</xdr:col>
      <xdr:colOff>449152</xdr:colOff>
      <xdr:row>21</xdr:row>
      <xdr:rowOff>35238</xdr:rowOff>
    </xdr:from>
    <xdr:to>
      <xdr:col>2</xdr:col>
      <xdr:colOff>194965</xdr:colOff>
      <xdr:row>22</xdr:row>
      <xdr:rowOff>103921</xdr:rowOff>
    </xdr:to>
    <xdr:sp macro="" textlink="'Variable Mgmt'!D294">
      <xdr:nvSpPr>
        <xdr:cNvPr id="51" name="Text Box 268">
          <a:extLst>
            <a:ext uri="{FF2B5EF4-FFF2-40B4-BE49-F238E27FC236}">
              <a16:creationId xmlns:a16="http://schemas.microsoft.com/office/drawing/2014/main" id="{00000000-0008-0000-0700-000033000000}"/>
            </a:ext>
          </a:extLst>
        </xdr:cNvPr>
        <xdr:cNvSpPr txBox="1">
          <a:spLocks noChangeArrowheads="1" noTextEdit="1"/>
        </xdr:cNvSpPr>
      </xdr:nvSpPr>
      <xdr:spPr bwMode="auto">
        <a:xfrm>
          <a:off x="1118344" y="3420276"/>
          <a:ext cx="546890" cy="229876"/>
        </a:xfrm>
        <a:prstGeom prst="rect">
          <a:avLst/>
        </a:prstGeom>
        <a:noFill/>
        <a:ln w="9525">
          <a:noFill/>
          <a:miter lim="800000"/>
          <a:headEnd/>
          <a:tailEnd/>
        </a:ln>
      </xdr:spPr>
      <xdr:txBody>
        <a:bodyPr vertOverflow="clip" wrap="square" lIns="27432" tIns="22860" rIns="0" bIns="0" anchor="ctr" upright="1"/>
        <a:lstStyle/>
        <a:p>
          <a:pPr algn="l" rtl="0">
            <a:defRPr sz="1000"/>
          </a:pPr>
          <a:fld id="{C56187B2-51F9-4DDC-A6CF-2BB9D128FF5E}" type="TxLink">
            <a:rPr lang="en-US" sz="700" b="0" i="0" u="none" strike="noStrike">
              <a:solidFill>
                <a:srgbClr val="000000"/>
              </a:solidFill>
              <a:latin typeface="Arial"/>
              <a:cs typeface="Arial"/>
            </a:rPr>
            <a:pPr algn="l" rtl="0">
              <a:defRPr sz="1000"/>
            </a:pPr>
            <a:t>10nF</a:t>
          </a:fld>
          <a:endParaRPr lang="el-GR" sz="700" b="0" i="0" strike="noStrike">
            <a:solidFill>
              <a:srgbClr val="000000"/>
            </a:solidFill>
            <a:latin typeface="Arial" pitchFamily="34" charset="0"/>
            <a:cs typeface="Arial" pitchFamily="34" charset="0"/>
          </a:endParaRPr>
        </a:p>
      </xdr:txBody>
    </xdr:sp>
    <xdr:clientData/>
  </xdr:twoCellAnchor>
  <xdr:twoCellAnchor>
    <xdr:from>
      <xdr:col>2</xdr:col>
      <xdr:colOff>164452</xdr:colOff>
      <xdr:row>21</xdr:row>
      <xdr:rowOff>126649</xdr:rowOff>
    </xdr:from>
    <xdr:to>
      <xdr:col>2</xdr:col>
      <xdr:colOff>711340</xdr:colOff>
      <xdr:row>23</xdr:row>
      <xdr:rowOff>34140</xdr:rowOff>
    </xdr:to>
    <xdr:sp macro="" textlink="'Variable Mgmt'!D295">
      <xdr:nvSpPr>
        <xdr:cNvPr id="52" name="Text Box 268">
          <a:extLst>
            <a:ext uri="{FF2B5EF4-FFF2-40B4-BE49-F238E27FC236}">
              <a16:creationId xmlns:a16="http://schemas.microsoft.com/office/drawing/2014/main" id="{00000000-0008-0000-0700-000034000000}"/>
            </a:ext>
          </a:extLst>
        </xdr:cNvPr>
        <xdr:cNvSpPr txBox="1">
          <a:spLocks noChangeArrowheads="1" noTextEdit="1"/>
        </xdr:cNvSpPr>
      </xdr:nvSpPr>
      <xdr:spPr bwMode="auto">
        <a:xfrm>
          <a:off x="1634721" y="3511687"/>
          <a:ext cx="546888" cy="229876"/>
        </a:xfrm>
        <a:prstGeom prst="rect">
          <a:avLst/>
        </a:prstGeom>
        <a:noFill/>
        <a:ln w="9525">
          <a:noFill/>
          <a:miter lim="800000"/>
          <a:headEnd/>
          <a:tailEnd/>
        </a:ln>
      </xdr:spPr>
      <xdr:txBody>
        <a:bodyPr vertOverflow="clip" wrap="square" lIns="27432" tIns="22860" rIns="0" bIns="0" anchor="ctr" upright="1"/>
        <a:lstStyle/>
        <a:p>
          <a:pPr algn="l" rtl="0">
            <a:defRPr sz="1000"/>
          </a:pPr>
          <a:fld id="{034E7522-50F8-4731-8BAA-BCAC1D84BE6B}" type="TxLink">
            <a:rPr lang="en-US" sz="700" b="0" i="0" u="none" strike="noStrike">
              <a:solidFill>
                <a:srgbClr val="000000"/>
              </a:solidFill>
              <a:latin typeface="Arial"/>
              <a:cs typeface="Arial"/>
            </a:rPr>
            <a:pPr algn="l" rtl="0">
              <a:defRPr sz="1000"/>
            </a:pPr>
            <a:t>150pF</a:t>
          </a:fld>
          <a:endParaRPr lang="el-GR" sz="700" b="0" i="0" strike="noStrike">
            <a:solidFill>
              <a:srgbClr val="000000"/>
            </a:solidFill>
            <a:latin typeface="Arial" pitchFamily="34" charset="0"/>
            <a:cs typeface="Arial" pitchFamily="34" charset="0"/>
          </a:endParaRPr>
        </a:p>
      </xdr:txBody>
    </xdr:sp>
    <xdr:clientData/>
  </xdr:twoCellAnchor>
  <xdr:twoCellAnchor>
    <xdr:from>
      <xdr:col>3</xdr:col>
      <xdr:colOff>1093922</xdr:colOff>
      <xdr:row>21</xdr:row>
      <xdr:rowOff>148980</xdr:rowOff>
    </xdr:from>
    <xdr:to>
      <xdr:col>4</xdr:col>
      <xdr:colOff>229158</xdr:colOff>
      <xdr:row>22</xdr:row>
      <xdr:rowOff>144814</xdr:rowOff>
    </xdr:to>
    <xdr:sp macro="" textlink="'Variable Mgmt'!D298">
      <xdr:nvSpPr>
        <xdr:cNvPr id="53" name="Text Box 268">
          <a:extLst>
            <a:ext uri="{FF2B5EF4-FFF2-40B4-BE49-F238E27FC236}">
              <a16:creationId xmlns:a16="http://schemas.microsoft.com/office/drawing/2014/main" id="{00000000-0008-0000-0700-000035000000}"/>
            </a:ext>
          </a:extLst>
        </xdr:cNvPr>
        <xdr:cNvSpPr txBox="1">
          <a:spLocks noChangeArrowheads="1" noTextEdit="1"/>
        </xdr:cNvSpPr>
      </xdr:nvSpPr>
      <xdr:spPr bwMode="auto">
        <a:xfrm>
          <a:off x="3502037" y="3534018"/>
          <a:ext cx="546890" cy="157027"/>
        </a:xfrm>
        <a:prstGeom prst="rect">
          <a:avLst/>
        </a:prstGeom>
        <a:noFill/>
        <a:ln w="9525">
          <a:noFill/>
          <a:miter lim="800000"/>
          <a:headEnd/>
          <a:tailEnd/>
        </a:ln>
      </xdr:spPr>
      <xdr:txBody>
        <a:bodyPr vertOverflow="clip" wrap="square" lIns="27432" tIns="22860" rIns="0" bIns="0" anchor="ctr" upright="1"/>
        <a:lstStyle/>
        <a:p>
          <a:pPr algn="l" rtl="0">
            <a:defRPr sz="1000"/>
          </a:pPr>
          <a:fld id="{65E2DED1-D9B2-469F-B0E4-11382DFF520D}" type="TxLink">
            <a:rPr lang="en-US" sz="700" b="0" i="0" u="none" strike="noStrike">
              <a:solidFill>
                <a:srgbClr val="000000"/>
              </a:solidFill>
              <a:latin typeface="Arial"/>
              <a:cs typeface="Arial"/>
            </a:rPr>
            <a:pPr algn="l" rtl="0">
              <a:defRPr sz="1000"/>
            </a:pPr>
            <a:t>100pF</a:t>
          </a:fld>
          <a:endParaRPr lang="el-GR" sz="700" b="0" i="0" strike="noStrike">
            <a:solidFill>
              <a:srgbClr val="000000"/>
            </a:solidFill>
            <a:latin typeface="Arial" pitchFamily="34" charset="0"/>
            <a:cs typeface="Arial" pitchFamily="34" charset="0"/>
          </a:endParaRPr>
        </a:p>
      </xdr:txBody>
    </xdr:sp>
    <xdr:clientData/>
  </xdr:twoCellAnchor>
  <xdr:twoCellAnchor>
    <xdr:from>
      <xdr:col>4</xdr:col>
      <xdr:colOff>426125</xdr:colOff>
      <xdr:row>21</xdr:row>
      <xdr:rowOff>129442</xdr:rowOff>
    </xdr:from>
    <xdr:to>
      <xdr:col>4</xdr:col>
      <xdr:colOff>973014</xdr:colOff>
      <xdr:row>22</xdr:row>
      <xdr:rowOff>125276</xdr:rowOff>
    </xdr:to>
    <xdr:sp macro="" textlink="'Variable Mgmt'!D297">
      <xdr:nvSpPr>
        <xdr:cNvPr id="54" name="Text Box 268">
          <a:extLst>
            <a:ext uri="{FF2B5EF4-FFF2-40B4-BE49-F238E27FC236}">
              <a16:creationId xmlns:a16="http://schemas.microsoft.com/office/drawing/2014/main" id="{00000000-0008-0000-0700-000036000000}"/>
            </a:ext>
          </a:extLst>
        </xdr:cNvPr>
        <xdr:cNvSpPr txBox="1">
          <a:spLocks noChangeArrowheads="1" noTextEdit="1"/>
        </xdr:cNvSpPr>
      </xdr:nvSpPr>
      <xdr:spPr bwMode="auto">
        <a:xfrm>
          <a:off x="4245894" y="3514480"/>
          <a:ext cx="546889" cy="157027"/>
        </a:xfrm>
        <a:prstGeom prst="rect">
          <a:avLst/>
        </a:prstGeom>
        <a:noFill/>
        <a:ln w="9525">
          <a:noFill/>
          <a:miter lim="800000"/>
          <a:headEnd/>
          <a:tailEnd/>
        </a:ln>
      </xdr:spPr>
      <xdr:txBody>
        <a:bodyPr vertOverflow="clip" wrap="square" lIns="27432" tIns="22860" rIns="0" bIns="0" anchor="ctr" upright="1"/>
        <a:lstStyle/>
        <a:p>
          <a:pPr algn="l" rtl="0">
            <a:defRPr sz="1000"/>
          </a:pPr>
          <a:fld id="{D8C70A00-B4BA-4D0E-B7C0-1C653D01DC8E}" type="TxLink">
            <a:rPr lang="en-US" sz="700" b="0" i="0" u="none" strike="noStrike">
              <a:solidFill>
                <a:srgbClr val="000000"/>
              </a:solidFill>
              <a:latin typeface="Arial"/>
              <a:cs typeface="Arial"/>
            </a:rPr>
            <a:pPr algn="l" rtl="0">
              <a:defRPr sz="1000"/>
            </a:pPr>
            <a:t>6mΩ</a:t>
          </a:fld>
          <a:endParaRPr lang="el-GR" sz="700" b="0" i="0" strike="noStrike">
            <a:solidFill>
              <a:srgbClr val="000000"/>
            </a:solidFill>
            <a:latin typeface="Arial" pitchFamily="34" charset="0"/>
            <a:cs typeface="Arial" pitchFamily="34" charset="0"/>
          </a:endParaRPr>
        </a:p>
      </xdr:txBody>
    </xdr:sp>
    <xdr:clientData/>
  </xdr:twoCellAnchor>
  <xdr:twoCellAnchor>
    <xdr:from>
      <xdr:col>3</xdr:col>
      <xdr:colOff>1332569</xdr:colOff>
      <xdr:row>18</xdr:row>
      <xdr:rowOff>12210</xdr:rowOff>
    </xdr:from>
    <xdr:to>
      <xdr:col>4</xdr:col>
      <xdr:colOff>467805</xdr:colOff>
      <xdr:row>19</xdr:row>
      <xdr:rowOff>8045</xdr:rowOff>
    </xdr:to>
    <xdr:sp macro="" textlink="'Variable Mgmt'!D299">
      <xdr:nvSpPr>
        <xdr:cNvPr id="55" name="Text Box 268">
          <a:extLst>
            <a:ext uri="{FF2B5EF4-FFF2-40B4-BE49-F238E27FC236}">
              <a16:creationId xmlns:a16="http://schemas.microsoft.com/office/drawing/2014/main" id="{00000000-0008-0000-0700-000037000000}"/>
            </a:ext>
          </a:extLst>
        </xdr:cNvPr>
        <xdr:cNvSpPr txBox="1">
          <a:spLocks noChangeArrowheads="1" noTextEdit="1"/>
        </xdr:cNvSpPr>
      </xdr:nvSpPr>
      <xdr:spPr bwMode="auto">
        <a:xfrm>
          <a:off x="3740684" y="2913672"/>
          <a:ext cx="546890" cy="157027"/>
        </a:xfrm>
        <a:prstGeom prst="rect">
          <a:avLst/>
        </a:prstGeom>
        <a:noFill/>
        <a:ln w="9525">
          <a:noFill/>
          <a:miter lim="800000"/>
          <a:headEnd/>
          <a:tailEnd/>
        </a:ln>
      </xdr:spPr>
      <xdr:txBody>
        <a:bodyPr vertOverflow="clip" wrap="square" lIns="27432" tIns="22860" rIns="0" bIns="0" anchor="ctr" upright="1"/>
        <a:lstStyle/>
        <a:p>
          <a:pPr algn="l" rtl="0">
            <a:defRPr sz="1000"/>
          </a:pPr>
          <a:fld id="{BB34EA30-EAB2-4679-9155-FFBA36B17B65}" type="TxLink">
            <a:rPr lang="en-US" sz="700" b="0" i="0" u="none" strike="noStrike">
              <a:solidFill>
                <a:srgbClr val="000000"/>
              </a:solidFill>
              <a:latin typeface="Arial"/>
              <a:cs typeface="Arial"/>
            </a:rPr>
            <a:pPr algn="l" rtl="0">
              <a:defRPr sz="1000"/>
            </a:pPr>
            <a:t>100Ω</a:t>
          </a:fld>
          <a:endParaRPr lang="el-GR" sz="700" b="0" i="0" strike="noStrike">
            <a:solidFill>
              <a:srgbClr val="00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6</xdr:col>
          <xdr:colOff>0</xdr:colOff>
          <xdr:row>51</xdr:row>
          <xdr:rowOff>12700</xdr:rowOff>
        </xdr:from>
        <xdr:to>
          <xdr:col>6</xdr:col>
          <xdr:colOff>876300</xdr:colOff>
          <xdr:row>51</xdr:row>
          <xdr:rowOff>215900</xdr:rowOff>
        </xdr:to>
        <xdr:sp macro="" textlink="">
          <xdr:nvSpPr>
            <xdr:cNvPr id="764426" name="Drop Down 2570" hidden="1">
              <a:extLst>
                <a:ext uri="{63B3BB69-23CF-44E3-9099-C40C66FF867C}">
                  <a14:compatExt spid="_x0000_s764426"/>
                </a:ext>
                <a:ext uri="{FF2B5EF4-FFF2-40B4-BE49-F238E27FC236}">
                  <a16:creationId xmlns:a16="http://schemas.microsoft.com/office/drawing/2014/main" id="{00000000-0008-0000-0700-00000AAA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52</xdr:row>
          <xdr:rowOff>12700</xdr:rowOff>
        </xdr:from>
        <xdr:to>
          <xdr:col>6</xdr:col>
          <xdr:colOff>876300</xdr:colOff>
          <xdr:row>52</xdr:row>
          <xdr:rowOff>215900</xdr:rowOff>
        </xdr:to>
        <xdr:sp macro="" textlink="">
          <xdr:nvSpPr>
            <xdr:cNvPr id="764430" name="Drop Down 2574" hidden="1">
              <a:extLst>
                <a:ext uri="{63B3BB69-23CF-44E3-9099-C40C66FF867C}">
                  <a14:compatExt spid="_x0000_s764430"/>
                </a:ext>
                <a:ext uri="{FF2B5EF4-FFF2-40B4-BE49-F238E27FC236}">
                  <a16:creationId xmlns:a16="http://schemas.microsoft.com/office/drawing/2014/main" id="{00000000-0008-0000-0700-00000EAA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34</xdr:row>
          <xdr:rowOff>12700</xdr:rowOff>
        </xdr:from>
        <xdr:to>
          <xdr:col>6</xdr:col>
          <xdr:colOff>882650</xdr:colOff>
          <xdr:row>35</xdr:row>
          <xdr:rowOff>0</xdr:rowOff>
        </xdr:to>
        <xdr:sp macro="" textlink="">
          <xdr:nvSpPr>
            <xdr:cNvPr id="764447" name="Drop Down 2591" hidden="1">
              <a:extLst>
                <a:ext uri="{63B3BB69-23CF-44E3-9099-C40C66FF867C}">
                  <a14:compatExt spid="_x0000_s764447"/>
                </a:ext>
                <a:ext uri="{FF2B5EF4-FFF2-40B4-BE49-F238E27FC236}">
                  <a16:creationId xmlns:a16="http://schemas.microsoft.com/office/drawing/2014/main" id="{00000000-0008-0000-0700-00001FAA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43</xdr:row>
          <xdr:rowOff>12700</xdr:rowOff>
        </xdr:from>
        <xdr:to>
          <xdr:col>6</xdr:col>
          <xdr:colOff>876300</xdr:colOff>
          <xdr:row>44</xdr:row>
          <xdr:rowOff>0</xdr:rowOff>
        </xdr:to>
        <xdr:sp macro="" textlink="">
          <xdr:nvSpPr>
            <xdr:cNvPr id="764451" name="Drop Down 2595" hidden="1">
              <a:extLst>
                <a:ext uri="{63B3BB69-23CF-44E3-9099-C40C66FF867C}">
                  <a14:compatExt spid="_x0000_s764451"/>
                </a:ext>
                <a:ext uri="{FF2B5EF4-FFF2-40B4-BE49-F238E27FC236}">
                  <a16:creationId xmlns:a16="http://schemas.microsoft.com/office/drawing/2014/main" id="{00000000-0008-0000-0700-000023AA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35</xdr:row>
          <xdr:rowOff>12700</xdr:rowOff>
        </xdr:from>
        <xdr:to>
          <xdr:col>6</xdr:col>
          <xdr:colOff>876300</xdr:colOff>
          <xdr:row>36</xdr:row>
          <xdr:rowOff>0</xdr:rowOff>
        </xdr:to>
        <xdr:sp macro="" textlink="">
          <xdr:nvSpPr>
            <xdr:cNvPr id="764454" name="Drop Down 2598" hidden="1">
              <a:extLst>
                <a:ext uri="{63B3BB69-23CF-44E3-9099-C40C66FF867C}">
                  <a14:compatExt spid="_x0000_s764454"/>
                </a:ext>
                <a:ext uri="{FF2B5EF4-FFF2-40B4-BE49-F238E27FC236}">
                  <a16:creationId xmlns:a16="http://schemas.microsoft.com/office/drawing/2014/main" id="{00000000-0008-0000-0700-000026AA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36</xdr:row>
          <xdr:rowOff>12700</xdr:rowOff>
        </xdr:from>
        <xdr:to>
          <xdr:col>6</xdr:col>
          <xdr:colOff>876300</xdr:colOff>
          <xdr:row>37</xdr:row>
          <xdr:rowOff>0</xdr:rowOff>
        </xdr:to>
        <xdr:sp macro="" textlink="">
          <xdr:nvSpPr>
            <xdr:cNvPr id="764455" name="Drop Down 2599" hidden="1">
              <a:extLst>
                <a:ext uri="{63B3BB69-23CF-44E3-9099-C40C66FF867C}">
                  <a14:compatExt spid="_x0000_s764455"/>
                </a:ext>
                <a:ext uri="{FF2B5EF4-FFF2-40B4-BE49-F238E27FC236}">
                  <a16:creationId xmlns:a16="http://schemas.microsoft.com/office/drawing/2014/main" id="{00000000-0008-0000-0700-000027AA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37</xdr:row>
          <xdr:rowOff>12700</xdr:rowOff>
        </xdr:from>
        <xdr:to>
          <xdr:col>6</xdr:col>
          <xdr:colOff>876300</xdr:colOff>
          <xdr:row>38</xdr:row>
          <xdr:rowOff>0</xdr:rowOff>
        </xdr:to>
        <xdr:sp macro="" textlink="">
          <xdr:nvSpPr>
            <xdr:cNvPr id="764456" name="Drop Down 2600" hidden="1">
              <a:extLst>
                <a:ext uri="{63B3BB69-23CF-44E3-9099-C40C66FF867C}">
                  <a14:compatExt spid="_x0000_s764456"/>
                </a:ext>
                <a:ext uri="{FF2B5EF4-FFF2-40B4-BE49-F238E27FC236}">
                  <a16:creationId xmlns:a16="http://schemas.microsoft.com/office/drawing/2014/main" id="{00000000-0008-0000-0700-000028AA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50</xdr:row>
          <xdr:rowOff>12700</xdr:rowOff>
        </xdr:from>
        <xdr:to>
          <xdr:col>6</xdr:col>
          <xdr:colOff>876300</xdr:colOff>
          <xdr:row>51</xdr:row>
          <xdr:rowOff>0</xdr:rowOff>
        </xdr:to>
        <xdr:sp macro="" textlink="">
          <xdr:nvSpPr>
            <xdr:cNvPr id="764458" name="Drop Down 2602" hidden="1">
              <a:extLst>
                <a:ext uri="{63B3BB69-23CF-44E3-9099-C40C66FF867C}">
                  <a14:compatExt spid="_x0000_s764458"/>
                </a:ext>
                <a:ext uri="{FF2B5EF4-FFF2-40B4-BE49-F238E27FC236}">
                  <a16:creationId xmlns:a16="http://schemas.microsoft.com/office/drawing/2014/main" id="{00000000-0008-0000-0700-00002AAA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bwMode="auto">
        <a:noFill/>
        <a:ln w="9525">
          <a:noFill/>
          <a:miter lim="800000"/>
          <a:headEnd/>
          <a:tailEnd/>
        </a:ln>
      </a:spPr>
      <a:bodyPr vertOverflow="clip" wrap="square" lIns="27432" tIns="27432" rIns="0" bIns="0" anchor="t" upright="1"/>
      <a:lstStyle>
        <a:defPPr algn="l" rtl="0">
          <a:defRPr sz="1100" b="0" i="0" strike="noStrike">
            <a:solidFill>
              <a:srgbClr val="000000"/>
            </a:solidFill>
            <a:latin typeface="Calibri"/>
          </a:defRPr>
        </a:defPPr>
      </a:lstStyle>
    </a:tx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3" Type="http://schemas.openxmlformats.org/officeDocument/2006/relationships/drawing" Target="../drawings/drawing1.xml"/><Relationship Id="rId7" Type="http://schemas.openxmlformats.org/officeDocument/2006/relationships/ctrlProp" Target="../ctrlProps/ctrlProp2.xml"/><Relationship Id="rId12" Type="http://schemas.openxmlformats.org/officeDocument/2006/relationships/ctrlProp" Target="../ctrlProps/ctrlProp7.xml"/><Relationship Id="rId2" Type="http://schemas.openxmlformats.org/officeDocument/2006/relationships/printerSettings" Target="../printerSettings/printerSettings1.bin"/><Relationship Id="rId1" Type="http://schemas.openxmlformats.org/officeDocument/2006/relationships/hyperlink" Target="http://www.ti.com/widevin" TargetMode="External"/><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vmlDrawing" Target="../drawings/vmlDrawing2.vml"/><Relationship Id="rId10" Type="http://schemas.openxmlformats.org/officeDocument/2006/relationships/ctrlProp" Target="../ctrlProps/ctrlProp5.xml"/><Relationship Id="rId4" Type="http://schemas.openxmlformats.org/officeDocument/2006/relationships/vmlDrawing" Target="../drawings/vmlDrawing1.vml"/><Relationship Id="rId9" Type="http://schemas.openxmlformats.org/officeDocument/2006/relationships/ctrlProp" Target="../ctrlProps/ctrlProp4.xml"/><Relationship Id="rId1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Gpwr_@Fco" TargetMode="External"/><Relationship Id="rId5" Type="http://schemas.openxmlformats.org/officeDocument/2006/relationships/ctrlProp" Target="../ctrlProps/ctrlProp9.xml"/><Relationship Id="rId4" Type="http://schemas.openxmlformats.org/officeDocument/2006/relationships/vmlDrawing" Target="../drawings/vmlDrawing3.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omments" Target="../comments2.xml"/><Relationship Id="rId5" Type="http://schemas.openxmlformats.org/officeDocument/2006/relationships/image" Target="../media/image11.emf"/><Relationship Id="rId4" Type="http://schemas.openxmlformats.org/officeDocument/2006/relationships/oleObject" Target="../embeddings/Microsoft_Visio_2003-2010_Drawing.vsd"/></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4.xml"/><Relationship Id="rId13" Type="http://schemas.openxmlformats.org/officeDocument/2006/relationships/ctrlProp" Target="../ctrlProps/ctrlProp19.xml"/><Relationship Id="rId18" Type="http://schemas.openxmlformats.org/officeDocument/2006/relationships/ctrlProp" Target="../ctrlProps/ctrlProp24.xml"/><Relationship Id="rId3" Type="http://schemas.openxmlformats.org/officeDocument/2006/relationships/vmlDrawing" Target="../drawings/vmlDrawing5.vml"/><Relationship Id="rId21" Type="http://schemas.openxmlformats.org/officeDocument/2006/relationships/ctrlProp" Target="../ctrlProps/ctrlProp27.xml"/><Relationship Id="rId7" Type="http://schemas.openxmlformats.org/officeDocument/2006/relationships/ctrlProp" Target="../ctrlProps/ctrlProp13.xml"/><Relationship Id="rId12" Type="http://schemas.openxmlformats.org/officeDocument/2006/relationships/ctrlProp" Target="../ctrlProps/ctrlProp18.xml"/><Relationship Id="rId17" Type="http://schemas.openxmlformats.org/officeDocument/2006/relationships/ctrlProp" Target="../ctrlProps/ctrlProp23.xml"/><Relationship Id="rId25" Type="http://schemas.openxmlformats.org/officeDocument/2006/relationships/ctrlProp" Target="../ctrlProps/ctrlProp31.xml"/><Relationship Id="rId2" Type="http://schemas.openxmlformats.org/officeDocument/2006/relationships/drawing" Target="../drawings/drawing9.xml"/><Relationship Id="rId16" Type="http://schemas.openxmlformats.org/officeDocument/2006/relationships/ctrlProp" Target="../ctrlProps/ctrlProp22.xml"/><Relationship Id="rId20" Type="http://schemas.openxmlformats.org/officeDocument/2006/relationships/ctrlProp" Target="../ctrlProps/ctrlProp26.xml"/><Relationship Id="rId1" Type="http://schemas.openxmlformats.org/officeDocument/2006/relationships/printerSettings" Target="../printerSettings/printerSettings7.bin"/><Relationship Id="rId6" Type="http://schemas.openxmlformats.org/officeDocument/2006/relationships/ctrlProp" Target="../ctrlProps/ctrlProp12.xml"/><Relationship Id="rId11" Type="http://schemas.openxmlformats.org/officeDocument/2006/relationships/ctrlProp" Target="../ctrlProps/ctrlProp17.xml"/><Relationship Id="rId24" Type="http://schemas.openxmlformats.org/officeDocument/2006/relationships/ctrlProp" Target="../ctrlProps/ctrlProp30.xml"/><Relationship Id="rId5" Type="http://schemas.openxmlformats.org/officeDocument/2006/relationships/ctrlProp" Target="../ctrlProps/ctrlProp11.xml"/><Relationship Id="rId15" Type="http://schemas.openxmlformats.org/officeDocument/2006/relationships/ctrlProp" Target="../ctrlProps/ctrlProp21.xml"/><Relationship Id="rId23" Type="http://schemas.openxmlformats.org/officeDocument/2006/relationships/ctrlProp" Target="../ctrlProps/ctrlProp29.xml"/><Relationship Id="rId10" Type="http://schemas.openxmlformats.org/officeDocument/2006/relationships/ctrlProp" Target="../ctrlProps/ctrlProp16.xml"/><Relationship Id="rId19" Type="http://schemas.openxmlformats.org/officeDocument/2006/relationships/ctrlProp" Target="../ctrlProps/ctrlProp25.xml"/><Relationship Id="rId4" Type="http://schemas.openxmlformats.org/officeDocument/2006/relationships/ctrlProp" Target="../ctrlProps/ctrlProp10.xml"/><Relationship Id="rId9" Type="http://schemas.openxmlformats.org/officeDocument/2006/relationships/ctrlProp" Target="../ctrlProps/ctrlProp15.xml"/><Relationship Id="rId14" Type="http://schemas.openxmlformats.org/officeDocument/2006/relationships/ctrlProp" Target="../ctrlProps/ctrlProp20.xml"/><Relationship Id="rId22" Type="http://schemas.openxmlformats.org/officeDocument/2006/relationships/ctrlProp" Target="../ctrlProps/ctrlProp2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sheetPr>
  <dimension ref="A1:AI92"/>
  <sheetViews>
    <sheetView tabSelected="1" zoomScale="85" zoomScaleNormal="85" zoomScaleSheetLayoutView="70" zoomScalePageLayoutView="10" workbookViewId="0">
      <selection activeCell="E62" sqref="E62"/>
    </sheetView>
  </sheetViews>
  <sheetFormatPr defaultColWidth="9.1796875" defaultRowHeight="13"/>
  <cols>
    <col min="1" max="1" width="8.26953125" style="107" customWidth="1"/>
    <col min="2" max="2" width="8.26953125" style="46" customWidth="1"/>
    <col min="3" max="3" width="13.54296875" style="46" customWidth="1"/>
    <col min="4" max="4" width="9.81640625" style="46" customWidth="1"/>
    <col min="5" max="5" width="9.1796875" style="46" customWidth="1"/>
    <col min="6" max="6" width="8.7265625" style="46" customWidth="1"/>
    <col min="7" max="7" width="2.7265625" style="46" customWidth="1"/>
    <col min="8" max="9" width="8.26953125" style="46" customWidth="1"/>
    <col min="10" max="10" width="13.7265625" style="46" customWidth="1"/>
    <col min="11" max="11" width="10" style="46" customWidth="1"/>
    <col min="12" max="12" width="9.453125" style="46" customWidth="1"/>
    <col min="13" max="13" width="8.7265625" style="46" customWidth="1"/>
    <col min="14" max="14" width="2.7265625" style="46" customWidth="1"/>
    <col min="15" max="15" width="9.1796875" style="46"/>
    <col min="16" max="18" width="10.1796875" style="46" customWidth="1"/>
    <col min="19" max="19" width="10" style="46" bestFit="1" customWidth="1"/>
    <col min="20" max="25" width="9.1796875" style="46"/>
    <col min="26" max="26" width="29.6328125" style="46" customWidth="1"/>
    <col min="27" max="27" width="3.1796875" style="46" customWidth="1"/>
    <col min="28" max="16384" width="9.1796875" style="46"/>
  </cols>
  <sheetData>
    <row r="1" spans="1:27" ht="47.25" customHeight="1">
      <c r="A1" s="516" t="s">
        <v>831</v>
      </c>
      <c r="B1" s="514"/>
      <c r="C1" s="514"/>
      <c r="D1" s="514"/>
      <c r="E1" s="514"/>
      <c r="F1" s="514"/>
      <c r="G1" s="514"/>
      <c r="H1" s="514"/>
      <c r="I1" s="514"/>
      <c r="J1" s="514"/>
      <c r="K1" s="514"/>
      <c r="L1" s="514"/>
      <c r="M1" s="514"/>
      <c r="N1" s="514"/>
      <c r="O1" s="514"/>
      <c r="P1" s="514"/>
      <c r="Q1" s="514"/>
      <c r="R1" s="515"/>
      <c r="S1" s="515"/>
      <c r="T1" s="515"/>
      <c r="U1" s="515"/>
      <c r="V1" s="417"/>
      <c r="W1" s="417"/>
      <c r="X1" s="417"/>
      <c r="Y1" s="417"/>
      <c r="Z1" s="417"/>
      <c r="AA1" s="417"/>
    </row>
    <row r="2" spans="1:27" ht="14.15" customHeight="1">
      <c r="A2" s="398"/>
      <c r="B2" s="399"/>
      <c r="C2" s="399"/>
      <c r="D2" s="399"/>
      <c r="E2" s="399"/>
      <c r="F2" s="399"/>
      <c r="G2" s="399"/>
      <c r="H2" s="399"/>
      <c r="I2" s="399"/>
      <c r="J2" s="399"/>
      <c r="K2" s="399"/>
      <c r="L2" s="399"/>
      <c r="M2" s="399"/>
      <c r="N2" s="399"/>
      <c r="O2" s="412"/>
      <c r="P2" s="399"/>
      <c r="Q2" s="399"/>
      <c r="R2" s="407"/>
      <c r="S2" s="500"/>
      <c r="T2" s="500"/>
      <c r="U2" s="500"/>
      <c r="V2" s="500"/>
      <c r="W2" s="500"/>
      <c r="X2" s="500"/>
      <c r="Y2" s="500"/>
      <c r="Z2" s="500"/>
      <c r="AA2" s="500"/>
    </row>
    <row r="3" spans="1:27" ht="16" customHeight="1">
      <c r="A3" s="400" t="s">
        <v>105</v>
      </c>
      <c r="B3" s="401"/>
      <c r="C3" s="413" t="s">
        <v>106</v>
      </c>
      <c r="D3" s="402"/>
      <c r="E3" s="83"/>
      <c r="F3" s="404" t="s">
        <v>59</v>
      </c>
      <c r="G3" s="403"/>
      <c r="H3" s="399"/>
      <c r="I3" s="399"/>
      <c r="J3" s="403"/>
      <c r="K3" s="405"/>
      <c r="L3" s="406"/>
      <c r="M3" s="407"/>
      <c r="N3" s="407"/>
      <c r="O3" s="500"/>
      <c r="P3" s="1"/>
      <c r="Q3" s="407" t="s">
        <v>77</v>
      </c>
      <c r="R3" s="407"/>
      <c r="S3" s="500"/>
      <c r="T3" s="500"/>
      <c r="U3" s="517" t="s">
        <v>315</v>
      </c>
      <c r="V3" s="500"/>
      <c r="W3" s="500"/>
      <c r="X3" s="500"/>
      <c r="Y3" s="500"/>
      <c r="Z3" s="500"/>
      <c r="AA3" s="500"/>
    </row>
    <row r="4" spans="1:27" ht="14.15" customHeight="1" thickBot="1">
      <c r="A4" s="408"/>
      <c r="B4" s="409"/>
      <c r="C4" s="410"/>
      <c r="D4" s="410"/>
      <c r="E4" s="410"/>
      <c r="F4" s="410"/>
      <c r="G4" s="410"/>
      <c r="H4" s="410"/>
      <c r="I4" s="410"/>
      <c r="J4" s="410"/>
      <c r="K4" s="410"/>
      <c r="L4" s="410"/>
      <c r="M4" s="411"/>
      <c r="N4" s="411"/>
      <c r="O4" s="411"/>
      <c r="P4" s="411"/>
      <c r="Q4" s="411"/>
      <c r="R4" s="407"/>
      <c r="S4" s="500"/>
      <c r="T4" s="500"/>
      <c r="U4" s="500"/>
      <c r="V4" s="500"/>
      <c r="W4" s="500"/>
      <c r="X4" s="500"/>
      <c r="Y4" s="500"/>
      <c r="Z4" s="500"/>
      <c r="AA4" s="500"/>
    </row>
    <row r="5" spans="1:27" ht="19.5" customHeight="1" thickBot="1">
      <c r="A5" s="106" t="s">
        <v>101</v>
      </c>
      <c r="B5" s="81"/>
      <c r="C5" s="47"/>
      <c r="D5" s="47"/>
      <c r="E5" s="48"/>
      <c r="F5" s="47"/>
      <c r="G5" s="72"/>
      <c r="H5" s="583" t="s">
        <v>360</v>
      </c>
      <c r="I5" s="92"/>
      <c r="J5" s="93"/>
      <c r="K5" s="93"/>
      <c r="L5" s="94"/>
      <c r="M5" s="356"/>
      <c r="N5" s="49"/>
      <c r="O5" s="49"/>
      <c r="P5" s="49"/>
      <c r="Q5" s="49"/>
      <c r="R5" s="501"/>
      <c r="S5" s="501"/>
      <c r="T5" s="501"/>
      <c r="U5" s="501"/>
      <c r="V5" s="501"/>
      <c r="W5" s="501"/>
      <c r="X5" s="501"/>
      <c r="Y5" s="501"/>
      <c r="Z5" s="505"/>
      <c r="AA5" s="500"/>
    </row>
    <row r="6" spans="1:27" ht="15.75" customHeight="1">
      <c r="A6" s="454"/>
      <c r="B6" s="508"/>
      <c r="C6" s="206"/>
      <c r="D6" s="788" t="s">
        <v>367</v>
      </c>
      <c r="E6" s="728">
        <v>19</v>
      </c>
      <c r="F6" s="789" t="s">
        <v>0</v>
      </c>
      <c r="G6" s="90"/>
      <c r="H6" s="454"/>
      <c r="I6" s="508"/>
      <c r="J6" s="206"/>
      <c r="K6" s="509" t="s">
        <v>835</v>
      </c>
      <c r="L6" s="785">
        <f>Lmin</f>
        <v>3.693438656205966</v>
      </c>
      <c r="M6" s="624" t="s">
        <v>96</v>
      </c>
      <c r="N6" s="49"/>
      <c r="O6" s="49"/>
      <c r="P6" s="49"/>
      <c r="Q6" s="49"/>
      <c r="R6" s="82"/>
      <c r="S6" s="82"/>
      <c r="T6" s="75"/>
      <c r="U6" s="75"/>
      <c r="V6" s="75"/>
      <c r="W6" s="75"/>
      <c r="X6" s="75"/>
      <c r="Y6" s="75"/>
      <c r="Z6" s="506"/>
      <c r="AA6" s="500"/>
    </row>
    <row r="7" spans="1:27" ht="14.25" customHeight="1">
      <c r="A7" s="134"/>
      <c r="B7" s="133"/>
      <c r="C7" s="845"/>
      <c r="D7" s="846" t="s">
        <v>882</v>
      </c>
      <c r="E7" s="143">
        <v>28</v>
      </c>
      <c r="F7" s="427" t="s">
        <v>0</v>
      </c>
      <c r="G7" s="90"/>
      <c r="H7" s="88"/>
      <c r="I7" s="89"/>
      <c r="J7" s="87"/>
      <c r="K7" s="100" t="s">
        <v>836</v>
      </c>
      <c r="L7" s="143">
        <v>4.7</v>
      </c>
      <c r="M7" s="427" t="s">
        <v>96</v>
      </c>
      <c r="N7" s="49"/>
      <c r="O7" s="49"/>
      <c r="P7" s="49"/>
      <c r="Q7" s="49"/>
      <c r="R7" s="82"/>
      <c r="S7" s="82"/>
      <c r="T7" s="75"/>
      <c r="U7" s="75"/>
      <c r="V7" s="75"/>
      <c r="W7" s="75"/>
      <c r="X7" s="75"/>
      <c r="Y7" s="75"/>
      <c r="Z7" s="506"/>
      <c r="AA7" s="500"/>
    </row>
    <row r="8" spans="1:27" ht="15.75" customHeight="1">
      <c r="A8" s="134"/>
      <c r="B8" s="133"/>
      <c r="C8" s="135"/>
      <c r="D8" s="142" t="s">
        <v>368</v>
      </c>
      <c r="E8" s="143">
        <v>40</v>
      </c>
      <c r="F8" s="427" t="s">
        <v>0</v>
      </c>
      <c r="G8" s="90"/>
      <c r="H8" s="88"/>
      <c r="I8" s="89"/>
      <c r="J8" s="87"/>
      <c r="K8" s="100" t="s">
        <v>525</v>
      </c>
      <c r="L8" s="143">
        <v>14</v>
      </c>
      <c r="M8" s="427" t="s">
        <v>20</v>
      </c>
      <c r="N8" s="49"/>
      <c r="O8" s="49"/>
      <c r="P8" s="49"/>
      <c r="Q8" s="49"/>
      <c r="R8" s="82"/>
      <c r="S8" s="82"/>
      <c r="T8" s="75"/>
      <c r="U8" s="75"/>
      <c r="V8" s="75"/>
      <c r="W8" s="75"/>
      <c r="X8" s="75"/>
      <c r="Y8" s="75"/>
      <c r="Z8" s="506"/>
      <c r="AA8" s="500"/>
    </row>
    <row r="9" spans="1:27" ht="15.75" customHeight="1">
      <c r="A9" s="134"/>
      <c r="B9" s="133"/>
      <c r="C9" s="135"/>
      <c r="D9" s="142" t="s">
        <v>366</v>
      </c>
      <c r="E9" s="581">
        <v>32</v>
      </c>
      <c r="F9" s="144"/>
      <c r="G9" s="90"/>
      <c r="H9" s="88"/>
      <c r="I9" s="89"/>
      <c r="J9" s="87"/>
      <c r="K9" s="100" t="str">
        <f>CHOOSE(MODE, "Secondary Winding DCR", "Secondary Winding #1 DCR")</f>
        <v>Secondary Winding DCR</v>
      </c>
      <c r="L9" s="143">
        <v>14</v>
      </c>
      <c r="M9" s="427" t="s">
        <v>20</v>
      </c>
      <c r="N9" s="49"/>
      <c r="O9" s="49"/>
      <c r="P9" s="49"/>
      <c r="Q9" s="49"/>
      <c r="R9" s="82"/>
      <c r="S9" s="82"/>
      <c r="T9" s="75"/>
      <c r="U9" s="75"/>
      <c r="V9" s="75"/>
      <c r="W9" s="75"/>
      <c r="X9" s="75"/>
      <c r="Y9" s="75"/>
      <c r="Z9" s="506"/>
      <c r="AA9" s="500"/>
    </row>
    <row r="10" spans="1:27" ht="15.75" customHeight="1">
      <c r="A10" s="134"/>
      <c r="B10" s="133"/>
      <c r="C10" s="135"/>
      <c r="D10" s="142" t="str">
        <f>CHOOSE(MODE, "Output Voltage, VOUT ", "Output Voltage, VOUT1")</f>
        <v xml:space="preserve">Output Voltage, VOUT </v>
      </c>
      <c r="E10" s="143">
        <v>28</v>
      </c>
      <c r="F10" s="427" t="s">
        <v>0</v>
      </c>
      <c r="G10" s="90"/>
      <c r="H10" s="88"/>
      <c r="I10" s="89"/>
      <c r="J10" s="87"/>
      <c r="K10" s="100" t="str">
        <f>CHOOSE(MODE, "", "Secondary Winding #2 DCR")</f>
        <v/>
      </c>
      <c r="L10" s="143">
        <v>5</v>
      </c>
      <c r="M10" s="427" t="str">
        <f>CHOOSE(MODE, "", "mΩ")</f>
        <v/>
      </c>
      <c r="N10" s="49"/>
      <c r="O10" s="49"/>
      <c r="P10" s="49"/>
      <c r="Q10" s="49"/>
      <c r="R10" s="82"/>
      <c r="S10" s="82"/>
      <c r="T10" s="75"/>
      <c r="U10" s="75"/>
      <c r="V10" s="75"/>
      <c r="W10" s="75"/>
      <c r="X10" s="75"/>
      <c r="Y10" s="75"/>
      <c r="Z10" s="506"/>
      <c r="AA10" s="500"/>
    </row>
    <row r="11" spans="1:27" ht="15.75" customHeight="1" thickBot="1">
      <c r="A11" s="787"/>
      <c r="B11" s="151"/>
      <c r="C11" s="507"/>
      <c r="D11" s="510" t="str">
        <f>CHOOSE(MODE, "Rated Output Current, IOUT ", "Rated Output Current, IOUT1")</f>
        <v xml:space="preserve">Rated Output Current, IOUT </v>
      </c>
      <c r="E11" s="511">
        <v>2.5</v>
      </c>
      <c r="F11" s="730" t="s">
        <v>1</v>
      </c>
      <c r="G11" s="90"/>
      <c r="H11" s="88"/>
      <c r="I11" s="75"/>
      <c r="J11" s="75"/>
      <c r="K11" s="100" t="s">
        <v>663</v>
      </c>
      <c r="L11" s="143">
        <v>200</v>
      </c>
      <c r="M11" s="427" t="s">
        <v>662</v>
      </c>
      <c r="N11" s="49"/>
      <c r="O11" s="49"/>
      <c r="P11" s="49"/>
      <c r="Q11" s="49"/>
      <c r="R11" s="82"/>
      <c r="S11" s="82"/>
      <c r="T11" s="75"/>
      <c r="U11" s="75"/>
      <c r="V11" s="75"/>
      <c r="W11" s="75"/>
      <c r="X11" s="75"/>
      <c r="Y11" s="75"/>
      <c r="Z11" s="506"/>
      <c r="AA11" s="500"/>
    </row>
    <row r="12" spans="1:27" ht="15.75" customHeight="1">
      <c r="A12" s="425"/>
      <c r="B12" s="82"/>
      <c r="C12" s="82"/>
      <c r="D12" s="142" t="str">
        <f>CHOOSE(MODE, "", "Output Voltage, VOUT2")</f>
        <v/>
      </c>
      <c r="E12" s="143">
        <v>30</v>
      </c>
      <c r="F12" s="427" t="str">
        <f>CHOOSE(MODE, "", "V", "V")</f>
        <v/>
      </c>
      <c r="G12" s="90"/>
      <c r="H12" s="134"/>
      <c r="I12" s="133"/>
      <c r="J12" s="600"/>
      <c r="K12" s="135" t="s">
        <v>843</v>
      </c>
      <c r="L12" s="780" t="str">
        <f>"1 : "&amp;(ROUND(1/ktr_rcmd*10,0)/10)</f>
        <v>1 : 1.5</v>
      </c>
      <c r="M12" s="626"/>
      <c r="N12" s="49"/>
      <c r="O12" s="49"/>
      <c r="P12" s="49"/>
      <c r="Q12" s="49"/>
      <c r="R12" s="82"/>
      <c r="S12" s="82"/>
      <c r="T12" s="75"/>
      <c r="U12" s="75"/>
      <c r="V12" s="75"/>
      <c r="W12" s="75"/>
      <c r="X12" s="75"/>
      <c r="Y12" s="75"/>
      <c r="Z12" s="506"/>
      <c r="AA12" s="500"/>
    </row>
    <row r="13" spans="1:27" ht="15.75" customHeight="1" thickBot="1">
      <c r="A13" s="787"/>
      <c r="B13" s="151"/>
      <c r="C13" s="507"/>
      <c r="D13" s="510" t="str">
        <f>CHOOSE(MODE, "", "Rated Output Current, IOUT2")</f>
        <v/>
      </c>
      <c r="E13" s="511">
        <v>0.25</v>
      </c>
      <c r="F13" s="730" t="str">
        <f>CHOOSE(MODE, "", "A", "A")</f>
        <v/>
      </c>
      <c r="G13" s="90"/>
      <c r="H13" s="88"/>
      <c r="I13" s="89"/>
      <c r="J13" s="87"/>
      <c r="K13" s="86" t="str">
        <f>IF(MODE=1, "Transformer Turns Ratio, Pri : Sec", "Turns Ratio, PRI : SEC1")</f>
        <v>Transformer Turns Ratio, Pri : Sec</v>
      </c>
      <c r="L13" s="432"/>
      <c r="M13" s="453"/>
      <c r="N13" s="49"/>
      <c r="O13" s="49"/>
      <c r="P13" s="49"/>
      <c r="Q13" s="49"/>
      <c r="R13" s="82"/>
      <c r="S13" s="82"/>
      <c r="T13" s="75"/>
      <c r="U13" s="75"/>
      <c r="V13" s="75"/>
      <c r="W13" s="75"/>
      <c r="X13" s="75"/>
      <c r="Y13" s="75"/>
      <c r="Z13" s="506"/>
      <c r="AA13" s="500"/>
    </row>
    <row r="14" spans="1:27" ht="15.75" customHeight="1">
      <c r="A14" s="133"/>
      <c r="B14" s="133"/>
      <c r="C14" s="135"/>
      <c r="D14" s="142"/>
      <c r="E14" s="94"/>
      <c r="F14" s="757"/>
      <c r="G14" s="90"/>
      <c r="H14" s="134"/>
      <c r="I14" s="133"/>
      <c r="J14" s="135"/>
      <c r="K14" s="87" t="str">
        <f>CHOOSE(MODE, "Diode Max Rev Voltage (Spike Not Included)", "Turns Ratio, SEC2 : SEC1")</f>
        <v>Diode Max Rev Voltage (Spike Not Included)</v>
      </c>
      <c r="L14" s="622">
        <f>CHOOSE(MODE, ROUND(VRRM_DIODE,0), ROUND(Nsec1sec2,2))</f>
        <v>68</v>
      </c>
      <c r="M14" s="453" t="str">
        <f>CHOOSE(MODE, "V", "")</f>
        <v>V</v>
      </c>
      <c r="N14" s="49"/>
      <c r="O14" s="49"/>
      <c r="P14" s="49"/>
      <c r="Q14" s="49"/>
      <c r="R14" s="82"/>
      <c r="S14" s="82"/>
      <c r="T14" s="75"/>
      <c r="U14" s="75"/>
      <c r="V14" s="75"/>
      <c r="W14" s="75"/>
      <c r="X14" s="75"/>
      <c r="Y14" s="75"/>
      <c r="Z14" s="506"/>
      <c r="AA14" s="500"/>
    </row>
    <row r="15" spans="1:27" ht="15.75" customHeight="1" thickBot="1">
      <c r="A15" s="758" t="s">
        <v>873</v>
      </c>
      <c r="B15" s="49"/>
      <c r="C15" s="49"/>
      <c r="D15" s="87"/>
      <c r="E15" s="49"/>
      <c r="F15" s="89"/>
      <c r="G15" s="90"/>
      <c r="H15" s="134"/>
      <c r="I15" s="133"/>
      <c r="J15" s="600"/>
      <c r="K15" s="135" t="s">
        <v>658</v>
      </c>
      <c r="L15" s="780">
        <f>CHOOSE(MODE, 'Calculations - Single'!M212, 'Calculations - Dual'!N212)*100</f>
        <v>60.30415005931161</v>
      </c>
      <c r="M15" s="626" t="s">
        <v>659</v>
      </c>
      <c r="N15" s="49"/>
      <c r="O15" s="49"/>
      <c r="P15" s="49"/>
      <c r="Q15" s="49"/>
      <c r="R15" s="82"/>
      <c r="S15" s="82"/>
      <c r="T15" s="75"/>
      <c r="U15" s="75"/>
      <c r="V15" s="75"/>
      <c r="W15" s="75"/>
      <c r="X15" s="75"/>
      <c r="Y15" s="75"/>
      <c r="Z15" s="506"/>
      <c r="AA15" s="500"/>
    </row>
    <row r="16" spans="1:27" ht="15.75" customHeight="1" thickBot="1">
      <c r="A16" s="422"/>
      <c r="B16" s="584"/>
      <c r="C16" s="584"/>
      <c r="D16" s="509" t="s">
        <v>847</v>
      </c>
      <c r="E16" s="786">
        <f>RCSmin*1000</f>
        <v>6.776170383765324</v>
      </c>
      <c r="F16" s="729" t="s">
        <v>20</v>
      </c>
      <c r="G16" s="90"/>
      <c r="H16" s="601"/>
      <c r="I16" s="504"/>
      <c r="J16" s="104"/>
      <c r="K16" s="507" t="s">
        <v>605</v>
      </c>
      <c r="L16" s="628">
        <f>CHOOSE(MODE, 'Calculations - Single'!N212,'Calculations - Dual'!O212+'Calculations - Dual'!P212)</f>
        <v>95.027620638549877</v>
      </c>
      <c r="M16" s="627" t="s">
        <v>45</v>
      </c>
      <c r="N16" s="49"/>
      <c r="O16" s="49"/>
      <c r="P16" s="49"/>
      <c r="Q16" s="49"/>
      <c r="R16" s="82"/>
      <c r="S16" s="82"/>
      <c r="T16" s="75"/>
      <c r="U16" s="75"/>
      <c r="V16" s="75"/>
      <c r="W16" s="75"/>
      <c r="X16" s="75"/>
      <c r="Y16" s="75"/>
      <c r="Z16" s="506"/>
      <c r="AA16" s="500"/>
    </row>
    <row r="17" spans="1:27" ht="15.75" customHeight="1" thickBot="1">
      <c r="A17" s="88"/>
      <c r="B17" s="49"/>
      <c r="C17" s="49"/>
      <c r="D17" s="100" t="s">
        <v>772</v>
      </c>
      <c r="E17" s="150">
        <v>6</v>
      </c>
      <c r="F17" s="427" t="s">
        <v>20</v>
      </c>
      <c r="G17" s="91"/>
      <c r="H17" s="82"/>
      <c r="I17" s="82"/>
      <c r="J17" s="82"/>
      <c r="K17" s="82"/>
      <c r="L17" s="82"/>
      <c r="M17" s="82"/>
      <c r="N17" s="49"/>
      <c r="O17" s="49"/>
      <c r="P17" s="49"/>
      <c r="Q17" s="49"/>
      <c r="R17" s="82"/>
      <c r="S17" s="82"/>
      <c r="T17" s="75"/>
      <c r="U17" s="75"/>
      <c r="V17" s="75"/>
      <c r="W17" s="75"/>
      <c r="X17" s="75"/>
      <c r="Y17" s="75"/>
      <c r="Z17" s="506"/>
      <c r="AA17" s="500"/>
    </row>
    <row r="18" spans="1:27" ht="15.75" customHeight="1">
      <c r="A18" s="106"/>
      <c r="B18" s="92"/>
      <c r="C18" s="790"/>
      <c r="D18" s="87" t="s">
        <v>795</v>
      </c>
      <c r="E18" s="791">
        <f>Isw_max</f>
        <v>16.666666666666668</v>
      </c>
      <c r="F18" s="453" t="s">
        <v>1</v>
      </c>
      <c r="G18" s="586"/>
      <c r="H18" s="799"/>
      <c r="I18" s="584"/>
      <c r="J18" s="575"/>
      <c r="K18" s="509" t="s">
        <v>871</v>
      </c>
      <c r="L18" s="575">
        <v>100</v>
      </c>
      <c r="M18" s="815" t="s">
        <v>136</v>
      </c>
      <c r="N18" s="49"/>
      <c r="O18" s="49"/>
      <c r="P18" s="49"/>
      <c r="Q18" s="49"/>
      <c r="R18" s="82"/>
      <c r="S18" s="82"/>
      <c r="T18" s="75"/>
      <c r="U18" s="75"/>
      <c r="V18" s="75"/>
      <c r="W18" s="75"/>
      <c r="X18" s="75"/>
      <c r="Y18" s="75"/>
      <c r="Z18" s="506"/>
      <c r="AA18" s="500"/>
    </row>
    <row r="19" spans="1:27" ht="19.5" customHeight="1" thickBot="1">
      <c r="A19" s="753"/>
      <c r="B19" s="792"/>
      <c r="C19" s="793"/>
      <c r="D19" s="794" t="s">
        <v>844</v>
      </c>
      <c r="E19" s="795">
        <f>IF(MODE, RCS*'Calculations - Single'!BD210^2, RCS*'Calculations - Dual'!BA210^2)*1.21</f>
        <v>221.42871865620776</v>
      </c>
      <c r="F19" s="796" t="s">
        <v>293</v>
      </c>
      <c r="G19" s="587"/>
      <c r="H19" s="806"/>
      <c r="I19" s="503"/>
      <c r="J19" s="560"/>
      <c r="K19" s="208" t="s">
        <v>872</v>
      </c>
      <c r="L19" s="560">
        <v>100</v>
      </c>
      <c r="M19" s="816" t="s">
        <v>15</v>
      </c>
      <c r="N19" s="49"/>
      <c r="O19" s="49"/>
      <c r="P19" s="49"/>
      <c r="Q19" s="49"/>
      <c r="R19" s="82"/>
      <c r="S19" s="82"/>
      <c r="T19" s="75"/>
      <c r="U19" s="75"/>
      <c r="V19" s="75"/>
      <c r="W19" s="75"/>
      <c r="X19" s="75"/>
      <c r="Y19" s="75"/>
      <c r="Z19" s="506"/>
      <c r="AA19" s="500"/>
    </row>
    <row r="20" spans="1:27" ht="19.5" customHeight="1">
      <c r="A20" s="75"/>
      <c r="B20" s="92"/>
      <c r="C20" s="93"/>
      <c r="D20" s="93"/>
      <c r="E20" s="94"/>
      <c r="F20" s="93"/>
      <c r="G20" s="90"/>
      <c r="H20" s="82"/>
      <c r="I20" s="82"/>
      <c r="J20" s="82"/>
      <c r="K20" s="82"/>
      <c r="L20" s="82"/>
      <c r="M20" s="82"/>
      <c r="N20" s="49"/>
      <c r="O20" s="49"/>
      <c r="P20" s="49"/>
      <c r="Q20" s="49"/>
      <c r="R20" s="82"/>
      <c r="S20" s="82"/>
      <c r="T20" s="75"/>
      <c r="U20" s="75"/>
      <c r="V20" s="75"/>
      <c r="W20" s="75"/>
      <c r="X20" s="75"/>
      <c r="Y20" s="75"/>
      <c r="Z20" s="506"/>
      <c r="AA20" s="500"/>
    </row>
    <row r="21" spans="1:27" ht="19.5" customHeight="1" thickBot="1">
      <c r="A21" s="758" t="s">
        <v>860</v>
      </c>
      <c r="B21" s="92"/>
      <c r="C21" s="93"/>
      <c r="D21" s="93"/>
      <c r="E21" s="94"/>
      <c r="F21" s="93"/>
      <c r="G21" s="90"/>
      <c r="H21" s="82"/>
      <c r="I21" s="82"/>
      <c r="J21" s="82"/>
      <c r="K21" s="82"/>
      <c r="L21" s="82"/>
      <c r="M21" s="82"/>
      <c r="N21" s="49"/>
      <c r="O21" s="49"/>
      <c r="P21" s="49"/>
      <c r="Q21" s="49"/>
      <c r="R21" s="82"/>
      <c r="S21" s="82"/>
      <c r="T21" s="75"/>
      <c r="U21" s="75"/>
      <c r="V21" s="75"/>
      <c r="W21" s="75"/>
      <c r="X21" s="75"/>
      <c r="Y21" s="75"/>
      <c r="Z21" s="506"/>
      <c r="AA21" s="500"/>
    </row>
    <row r="22" spans="1:27" ht="19.5" customHeight="1">
      <c r="A22" s="799"/>
      <c r="B22" s="800"/>
      <c r="C22" s="801"/>
      <c r="D22" s="802" t="s">
        <v>855</v>
      </c>
      <c r="E22" s="803">
        <f>MAX(Vout_eff*Nps,Vout2_actual*Nps/Nsec1sec2)*1.2</f>
        <v>34.08</v>
      </c>
      <c r="F22" s="804" t="s">
        <v>0</v>
      </c>
      <c r="G22" s="90"/>
      <c r="H22" s="834"/>
      <c r="I22" s="584"/>
      <c r="J22" s="584"/>
      <c r="K22" s="850" t="s">
        <v>848</v>
      </c>
      <c r="L22" s="728">
        <v>12</v>
      </c>
      <c r="M22" s="729" t="s">
        <v>20</v>
      </c>
      <c r="N22" s="49"/>
      <c r="O22" s="49"/>
      <c r="P22" s="49"/>
      <c r="Q22" s="49"/>
      <c r="R22" s="82"/>
      <c r="S22" s="82"/>
      <c r="T22" s="75"/>
      <c r="U22" s="75"/>
      <c r="V22" s="75"/>
      <c r="W22" s="75"/>
      <c r="X22" s="75"/>
      <c r="Y22" s="75"/>
      <c r="Z22" s="506"/>
      <c r="AA22" s="500"/>
    </row>
    <row r="23" spans="1:27" ht="19.5" customHeight="1" thickBot="1">
      <c r="A23" s="805"/>
      <c r="B23" s="92"/>
      <c r="C23" s="93"/>
      <c r="D23" s="86" t="s">
        <v>856</v>
      </c>
      <c r="E23" s="817">
        <v>36</v>
      </c>
      <c r="F23" s="752" t="s">
        <v>0</v>
      </c>
      <c r="G23" s="90"/>
      <c r="H23" s="88"/>
      <c r="I23" s="49"/>
      <c r="J23" s="814"/>
      <c r="K23" s="835" t="s">
        <v>857</v>
      </c>
      <c r="L23" s="840">
        <f>0.00000005*1*1000000000</f>
        <v>50</v>
      </c>
      <c r="M23" s="851" t="s">
        <v>31</v>
      </c>
      <c r="N23" s="49"/>
      <c r="O23" s="49"/>
      <c r="P23" s="49"/>
      <c r="Q23" s="49"/>
      <c r="R23" s="82"/>
      <c r="S23" s="82"/>
      <c r="T23" s="75"/>
      <c r="U23" s="75"/>
      <c r="V23" s="75"/>
      <c r="W23" s="75"/>
      <c r="X23" s="75"/>
      <c r="Y23" s="75"/>
      <c r="Z23" s="506"/>
      <c r="AA23" s="500"/>
    </row>
    <row r="24" spans="1:27" ht="19.5" customHeight="1">
      <c r="A24" s="425"/>
      <c r="B24" s="92"/>
      <c r="C24" s="790"/>
      <c r="D24" s="87" t="s">
        <v>851</v>
      </c>
      <c r="E24" s="791">
        <f>E8+E23*1.25</f>
        <v>85</v>
      </c>
      <c r="F24" s="453" t="s">
        <v>0</v>
      </c>
      <c r="G24" s="832"/>
      <c r="H24" s="798"/>
      <c r="I24" s="49"/>
      <c r="J24" s="49"/>
      <c r="K24" s="100" t="s">
        <v>858</v>
      </c>
      <c r="L24" s="143">
        <v>23</v>
      </c>
      <c r="M24" s="852" t="s">
        <v>31</v>
      </c>
      <c r="N24" s="49"/>
      <c r="O24" s="49"/>
      <c r="P24" s="49"/>
      <c r="Q24" s="49"/>
      <c r="R24" s="82"/>
      <c r="S24" s="82"/>
      <c r="T24" s="75"/>
      <c r="U24" s="75"/>
      <c r="V24" s="75"/>
      <c r="W24" s="75"/>
      <c r="X24" s="75"/>
      <c r="Y24" s="75"/>
      <c r="Z24" s="506"/>
      <c r="AA24" s="500"/>
    </row>
    <row r="25" spans="1:27" ht="19.5" customHeight="1" thickBot="1">
      <c r="A25" s="425"/>
      <c r="B25" s="92"/>
      <c r="C25" s="93"/>
      <c r="D25" s="87" t="s">
        <v>852</v>
      </c>
      <c r="E25" s="807" t="s">
        <v>854</v>
      </c>
      <c r="F25" s="752"/>
      <c r="G25" s="833"/>
      <c r="H25" s="88"/>
      <c r="I25" s="49"/>
      <c r="J25" s="49"/>
      <c r="K25" s="149" t="s">
        <v>859</v>
      </c>
      <c r="L25" s="143">
        <v>935</v>
      </c>
      <c r="M25" s="852" t="s">
        <v>15</v>
      </c>
      <c r="N25" s="49"/>
      <c r="O25" s="49"/>
      <c r="P25" s="49"/>
      <c r="Q25" s="49"/>
      <c r="R25" s="82"/>
      <c r="S25" s="82"/>
      <c r="T25" s="75"/>
      <c r="U25" s="75"/>
      <c r="V25" s="75"/>
      <c r="W25" s="75"/>
      <c r="X25" s="75"/>
      <c r="Y25" s="75"/>
      <c r="Z25" s="506"/>
      <c r="AA25" s="500"/>
    </row>
    <row r="26" spans="1:27" ht="19.5" customHeight="1" thickBot="1">
      <c r="A26" s="806"/>
      <c r="B26" s="754"/>
      <c r="C26" s="755"/>
      <c r="D26" s="208" t="s">
        <v>853</v>
      </c>
      <c r="E26" s="808" t="str">
        <f>IF(VIN_min&lt;7, "No", "Yes")</f>
        <v>Yes</v>
      </c>
      <c r="F26" s="756"/>
      <c r="G26" s="90"/>
      <c r="H26" s="853"/>
      <c r="I26" s="504"/>
      <c r="J26" s="854"/>
      <c r="K26" s="855" t="s">
        <v>887</v>
      </c>
      <c r="L26" s="857">
        <f>'Variable Mgmt'!L96</f>
        <v>5.1983912681878488</v>
      </c>
      <c r="M26" s="856" t="s">
        <v>45</v>
      </c>
      <c r="N26" s="49"/>
      <c r="O26" s="49"/>
      <c r="P26" s="49"/>
      <c r="Q26" s="49"/>
      <c r="R26" s="82"/>
      <c r="S26" s="82"/>
      <c r="T26" s="75"/>
      <c r="U26" s="75"/>
      <c r="V26" s="75"/>
      <c r="W26" s="75"/>
      <c r="X26" s="75"/>
      <c r="Y26" s="75"/>
      <c r="Z26" s="506"/>
      <c r="AA26" s="500"/>
    </row>
    <row r="27" spans="1:27" ht="19.5" customHeight="1">
      <c r="A27" s="75"/>
      <c r="B27" s="92"/>
      <c r="C27" s="93"/>
      <c r="D27" s="87"/>
      <c r="E27" s="797"/>
      <c r="F27" s="93"/>
      <c r="G27" s="90"/>
      <c r="H27" s="82"/>
      <c r="I27" s="82"/>
      <c r="J27" s="82"/>
      <c r="K27" s="82"/>
      <c r="L27" s="82"/>
      <c r="M27" s="82"/>
      <c r="N27" s="49"/>
      <c r="O27" s="49"/>
      <c r="P27" s="49"/>
      <c r="Q27" s="49"/>
      <c r="R27" s="82"/>
      <c r="S27" s="82"/>
      <c r="T27" s="75"/>
      <c r="U27" s="75"/>
      <c r="V27" s="75"/>
      <c r="W27" s="75"/>
      <c r="X27" s="75"/>
      <c r="Y27" s="75"/>
      <c r="Z27" s="506"/>
      <c r="AA27" s="500"/>
    </row>
    <row r="28" spans="1:27" ht="19.5" customHeight="1" thickBot="1">
      <c r="A28" s="106" t="s">
        <v>861</v>
      </c>
      <c r="B28" s="92"/>
      <c r="C28" s="93"/>
      <c r="D28" s="93"/>
      <c r="E28" s="94"/>
      <c r="F28" s="93"/>
      <c r="G28" s="90"/>
      <c r="H28" s="831" t="s">
        <v>874</v>
      </c>
      <c r="I28" s="82"/>
      <c r="J28" s="82"/>
      <c r="K28" s="82"/>
      <c r="L28" s="82"/>
      <c r="M28" s="82"/>
      <c r="N28" s="49"/>
      <c r="O28" s="49"/>
      <c r="P28" s="49"/>
      <c r="Q28" s="49"/>
      <c r="R28" s="82"/>
      <c r="S28" s="82"/>
      <c r="T28" s="75"/>
      <c r="U28" s="75"/>
      <c r="V28" s="75"/>
      <c r="W28" s="75"/>
      <c r="X28" s="75"/>
      <c r="Y28" s="75"/>
      <c r="Z28" s="506"/>
      <c r="AA28" s="500"/>
    </row>
    <row r="29" spans="1:27" ht="15.75" customHeight="1" thickBot="1">
      <c r="A29" s="385"/>
      <c r="B29" s="574"/>
      <c r="C29" s="575"/>
      <c r="D29" s="206" t="s">
        <v>314</v>
      </c>
      <c r="E29" s="609">
        <f>'Variable Mgmt'!B135</f>
        <v>3.3530264193144292</v>
      </c>
      <c r="F29" s="428" t="s">
        <v>97</v>
      </c>
      <c r="G29" s="90"/>
      <c r="H29" s="566"/>
      <c r="I29" s="501"/>
      <c r="J29" s="501"/>
      <c r="K29" s="837" t="str">
        <f>CHOOSE(MODE, "Min Diode Voltage Rating","Min Diode Voltage Rating, Output #1")</f>
        <v>Min Diode Voltage Rating</v>
      </c>
      <c r="L29" s="859">
        <f>(VIN_max/Nps+Vout)*1.3</f>
        <v>88.4</v>
      </c>
      <c r="M29" s="860" t="s">
        <v>0</v>
      </c>
      <c r="N29" s="49"/>
      <c r="O29" s="566"/>
      <c r="P29" s="501"/>
      <c r="Q29" s="501"/>
      <c r="R29" s="837" t="s">
        <v>877</v>
      </c>
      <c r="S29" s="859">
        <f>(VIN_max/Npri_sec2+Vout2)*1.3</f>
        <v>94.261324041811861</v>
      </c>
      <c r="T29" s="860" t="s">
        <v>0</v>
      </c>
      <c r="U29" s="75"/>
      <c r="V29" s="75"/>
      <c r="W29" s="75"/>
      <c r="X29" s="75"/>
      <c r="Y29" s="75"/>
      <c r="Z29" s="506"/>
      <c r="AA29" s="500"/>
    </row>
    <row r="30" spans="1:27" ht="15.75" customHeight="1" thickBot="1">
      <c r="A30" s="97"/>
      <c r="B30" s="89"/>
      <c r="C30" s="96"/>
      <c r="D30" s="100" t="s">
        <v>141</v>
      </c>
      <c r="E30" s="98">
        <v>100</v>
      </c>
      <c r="F30" s="429" t="s">
        <v>97</v>
      </c>
      <c r="G30" s="90"/>
      <c r="H30" s="425"/>
      <c r="I30" s="82"/>
      <c r="J30" s="82"/>
      <c r="K30" s="836" t="str">
        <f>CHOOSE(MODE, "Min Diode DC Current Rating","Min Diode DC Current Rating, Output #1")</f>
        <v>Min Diode DC Current Rating</v>
      </c>
      <c r="L30" s="861">
        <f>MAX(E11*3,0.5)</f>
        <v>7.5</v>
      </c>
      <c r="M30" s="862" t="s">
        <v>1</v>
      </c>
      <c r="N30" s="841"/>
      <c r="O30" s="425"/>
      <c r="P30" s="82"/>
      <c r="Q30" s="82"/>
      <c r="R30" s="836" t="s">
        <v>878</v>
      </c>
      <c r="S30" s="861">
        <f>MAX(E13*3,0.5)</f>
        <v>0.75</v>
      </c>
      <c r="T30" s="862" t="s">
        <v>1</v>
      </c>
      <c r="U30" s="75"/>
      <c r="V30" s="75"/>
      <c r="W30" s="75"/>
      <c r="X30" s="75"/>
      <c r="Y30" s="75"/>
      <c r="Z30" s="506"/>
      <c r="AA30" s="500"/>
    </row>
    <row r="31" spans="1:27" ht="15.75" customHeight="1" thickBot="1">
      <c r="A31" s="97"/>
      <c r="B31" s="89"/>
      <c r="C31" s="148"/>
      <c r="D31" s="142" t="s">
        <v>104</v>
      </c>
      <c r="E31" s="147">
        <v>3</v>
      </c>
      <c r="F31" s="430" t="s">
        <v>20</v>
      </c>
      <c r="G31" s="90"/>
      <c r="H31" s="806"/>
      <c r="I31" s="503"/>
      <c r="J31" s="503"/>
      <c r="K31" s="839" t="str">
        <f>CHOOSE(MODE, "Select  Diode Forward Drop VF","Select  Diode Forward Drop VF, Output #1")</f>
        <v>Select  Diode Forward Drop VF</v>
      </c>
      <c r="L31" s="863">
        <v>0.7</v>
      </c>
      <c r="M31" s="864" t="s">
        <v>0</v>
      </c>
      <c r="N31" s="49"/>
      <c r="O31" s="806"/>
      <c r="P31" s="503"/>
      <c r="Q31" s="503"/>
      <c r="R31" s="839" t="s">
        <v>923</v>
      </c>
      <c r="S31" s="863">
        <v>0.5</v>
      </c>
      <c r="T31" s="864" t="s">
        <v>0</v>
      </c>
      <c r="U31" s="75"/>
      <c r="V31" s="75"/>
      <c r="W31" s="75"/>
      <c r="X31" s="75"/>
      <c r="Y31" s="75"/>
      <c r="Z31" s="506"/>
      <c r="AA31" s="500"/>
    </row>
    <row r="32" spans="1:27" ht="15.75" customHeight="1" thickBot="1">
      <c r="A32" s="101"/>
      <c r="B32" s="102"/>
      <c r="C32" s="108"/>
      <c r="D32" s="208" t="s">
        <v>496</v>
      </c>
      <c r="E32" s="209">
        <f>Vinripple2*1000</f>
        <v>77.041945030264657</v>
      </c>
      <c r="F32" s="105" t="s">
        <v>103</v>
      </c>
      <c r="G32" s="90"/>
      <c r="H32" s="902" t="s">
        <v>926</v>
      </c>
      <c r="I32" s="49"/>
      <c r="J32" s="49"/>
      <c r="K32" s="49"/>
      <c r="L32" s="49"/>
      <c r="M32" s="49"/>
      <c r="N32" s="49"/>
      <c r="O32" s="49"/>
      <c r="P32" s="49"/>
      <c r="Q32" s="49"/>
      <c r="R32" s="82"/>
      <c r="S32" s="82"/>
      <c r="T32" s="75"/>
      <c r="U32" s="75"/>
      <c r="V32" s="75"/>
      <c r="W32" s="75"/>
      <c r="X32" s="75"/>
      <c r="Y32" s="75"/>
      <c r="Z32" s="506"/>
      <c r="AA32" s="500"/>
    </row>
    <row r="33" spans="1:27" ht="15.75" customHeight="1" thickBot="1">
      <c r="A33" s="422"/>
      <c r="B33" s="423"/>
      <c r="C33" s="424"/>
      <c r="D33" s="424" t="str">
        <f>CHOOSE(MODE, "Minimum Output Capacitance", "Minimum Output Capacitance, Output #1")</f>
        <v>Minimum Output Capacitance</v>
      </c>
      <c r="E33" s="621">
        <f>'Variable Mgmt'!B110</f>
        <v>27.16193281573095</v>
      </c>
      <c r="F33" s="428" t="s">
        <v>97</v>
      </c>
      <c r="G33" s="585"/>
      <c r="H33" s="575"/>
      <c r="I33" s="584"/>
      <c r="J33" s="501"/>
      <c r="K33" s="424" t="str">
        <f>CHOOSE(MODE, "", "Minimum Output Capacitance, Output #2")</f>
        <v/>
      </c>
      <c r="L33" s="621">
        <f>'Variable Mgmt'!B120</f>
        <v>4.7</v>
      </c>
      <c r="M33" s="428" t="s">
        <v>97</v>
      </c>
      <c r="N33" s="49"/>
      <c r="O33" s="49"/>
      <c r="P33" s="49"/>
      <c r="Q33" s="49"/>
      <c r="R33" s="82"/>
      <c r="S33" s="82"/>
      <c r="T33" s="75"/>
      <c r="U33" s="75"/>
      <c r="V33" s="75"/>
      <c r="W33" s="75"/>
      <c r="X33" s="75"/>
      <c r="Y33" s="75"/>
      <c r="Z33" s="506"/>
      <c r="AA33" s="500"/>
    </row>
    <row r="34" spans="1:27" ht="15.75" customHeight="1">
      <c r="A34" s="88"/>
      <c r="B34" s="89"/>
      <c r="C34" s="135"/>
      <c r="D34" s="149" t="s">
        <v>140</v>
      </c>
      <c r="E34" s="143">
        <v>110</v>
      </c>
      <c r="F34" s="427" t="s">
        <v>97</v>
      </c>
      <c r="G34" s="586"/>
      <c r="H34" s="89"/>
      <c r="I34" s="49"/>
      <c r="J34" s="75"/>
      <c r="K34" s="149" t="s">
        <v>532</v>
      </c>
      <c r="L34" s="143">
        <v>55</v>
      </c>
      <c r="M34" s="427" t="s">
        <v>97</v>
      </c>
      <c r="N34" s="49"/>
      <c r="O34" s="902" t="s">
        <v>922</v>
      </c>
      <c r="P34" s="49"/>
      <c r="Q34" s="49"/>
      <c r="R34" s="82"/>
      <c r="S34" s="82"/>
      <c r="T34" s="75"/>
      <c r="U34" s="75"/>
      <c r="V34" s="75"/>
      <c r="W34" s="75"/>
      <c r="X34" s="75"/>
      <c r="Y34" s="75"/>
      <c r="Z34" s="506"/>
      <c r="AA34" s="500"/>
    </row>
    <row r="35" spans="1:27" ht="16.5" customHeight="1" thickBot="1">
      <c r="A35" s="88"/>
      <c r="B35" s="89"/>
      <c r="C35" s="148"/>
      <c r="D35" s="142" t="s">
        <v>533</v>
      </c>
      <c r="E35" s="147">
        <v>2</v>
      </c>
      <c r="F35" s="430" t="s">
        <v>20</v>
      </c>
      <c r="G35" s="587"/>
      <c r="H35" s="89"/>
      <c r="I35" s="49"/>
      <c r="J35" s="75"/>
      <c r="K35" s="142" t="s">
        <v>533</v>
      </c>
      <c r="L35" s="147">
        <v>8</v>
      </c>
      <c r="M35" s="430" t="s">
        <v>20</v>
      </c>
      <c r="N35" s="49"/>
      <c r="O35" s="49"/>
      <c r="P35" s="49"/>
      <c r="Q35" s="49"/>
      <c r="R35" s="82"/>
      <c r="S35" s="82"/>
      <c r="T35" s="75"/>
      <c r="U35" s="75"/>
      <c r="V35" s="75"/>
      <c r="W35" s="75"/>
      <c r="X35" s="75"/>
      <c r="Y35" s="75"/>
      <c r="Z35" s="506"/>
      <c r="AA35" s="500"/>
    </row>
    <row r="36" spans="1:27" ht="15.75" customHeight="1" thickBot="1">
      <c r="A36" s="101"/>
      <c r="B36" s="104"/>
      <c r="C36" s="104"/>
      <c r="D36" s="208" t="str">
        <f>CHOOSE(MODE, "Resulting Output Voltage Ripple", "Resulting Output Voltage Ripple, Output #1")</f>
        <v>Resulting Output Voltage Ripple</v>
      </c>
      <c r="E36" s="209">
        <f>Vripple1_actual</f>
        <v>43.750750737569724</v>
      </c>
      <c r="F36" s="105" t="s">
        <v>103</v>
      </c>
      <c r="G36" s="585"/>
      <c r="H36" s="104"/>
      <c r="I36" s="504"/>
      <c r="J36" s="503"/>
      <c r="K36" s="208" t="str">
        <f>CHOOSE(MODE, "", "Resulting Output Voltage Ripple, Output #2")</f>
        <v/>
      </c>
      <c r="L36" s="209">
        <f>Vripple2_actual</f>
        <v>19.461418117237503</v>
      </c>
      <c r="M36" s="105" t="s">
        <v>103</v>
      </c>
      <c r="N36" s="49"/>
      <c r="O36" s="49"/>
      <c r="P36" s="49"/>
      <c r="Q36" s="49"/>
      <c r="R36" s="82"/>
      <c r="S36" s="82"/>
      <c r="T36" s="75"/>
      <c r="U36" s="75"/>
      <c r="V36" s="75"/>
      <c r="W36" s="75"/>
      <c r="X36" s="75"/>
      <c r="Y36" s="75"/>
      <c r="Z36" s="506"/>
      <c r="AA36" s="500"/>
    </row>
    <row r="37" spans="1:27" ht="13.5" customHeight="1">
      <c r="A37" s="425"/>
      <c r="B37" s="75"/>
      <c r="C37" s="75"/>
      <c r="D37" s="75"/>
      <c r="E37" s="75"/>
      <c r="F37" s="75"/>
      <c r="G37" s="75"/>
      <c r="H37" s="75"/>
      <c r="I37" s="75"/>
      <c r="J37" s="75"/>
      <c r="K37" s="75"/>
      <c r="L37" s="75"/>
      <c r="M37" s="75"/>
      <c r="N37" s="49"/>
      <c r="O37" s="49"/>
      <c r="P37" s="49"/>
      <c r="Q37" s="49"/>
      <c r="R37" s="82"/>
      <c r="S37" s="82"/>
      <c r="T37" s="75"/>
      <c r="U37" s="75"/>
      <c r="V37" s="75"/>
      <c r="W37" s="75"/>
      <c r="X37" s="75"/>
      <c r="Y37" s="75"/>
      <c r="Z37" s="506"/>
      <c r="AA37" s="500"/>
    </row>
    <row r="38" spans="1:27" ht="19.5" customHeight="1" thickBot="1">
      <c r="A38" s="106" t="s">
        <v>879</v>
      </c>
      <c r="B38" s="95"/>
      <c r="C38" s="89"/>
      <c r="D38" s="87"/>
      <c r="E38" s="89"/>
      <c r="F38" s="89"/>
      <c r="G38" s="89"/>
      <c r="H38" s="89"/>
      <c r="I38" s="49"/>
      <c r="J38" s="49"/>
      <c r="K38" s="49"/>
      <c r="L38" s="49"/>
      <c r="M38" s="49"/>
      <c r="N38" s="49"/>
      <c r="O38" s="49"/>
      <c r="P38" s="49"/>
      <c r="Q38" s="49"/>
      <c r="R38" s="82"/>
      <c r="S38" s="82"/>
      <c r="T38" s="75"/>
      <c r="U38" s="75"/>
      <c r="V38" s="75"/>
      <c r="W38" s="75"/>
      <c r="X38" s="75"/>
      <c r="Y38" s="75"/>
      <c r="Z38" s="506"/>
      <c r="AA38" s="500"/>
    </row>
    <row r="39" spans="1:27" ht="15.75" customHeight="1">
      <c r="A39" s="140"/>
      <c r="B39" s="141"/>
      <c r="C39" s="206"/>
      <c r="D39" s="206" t="s">
        <v>370</v>
      </c>
      <c r="E39" s="578">
        <f>Rfb_recommend</f>
        <v>284</v>
      </c>
      <c r="F39" s="513" t="s">
        <v>21</v>
      </c>
      <c r="G39" s="89"/>
      <c r="H39" s="89"/>
      <c r="I39" s="49"/>
      <c r="J39" s="49"/>
      <c r="K39" s="49"/>
      <c r="L39" s="49"/>
      <c r="M39" s="49"/>
      <c r="N39" s="49"/>
      <c r="O39" s="49"/>
      <c r="P39" s="49"/>
      <c r="Q39" s="49"/>
      <c r="R39" s="82"/>
      <c r="S39" s="82"/>
      <c r="T39" s="75"/>
      <c r="U39" s="75"/>
      <c r="V39" s="75"/>
      <c r="W39" s="75"/>
      <c r="X39" s="75"/>
      <c r="Y39" s="75"/>
      <c r="Z39" s="506"/>
      <c r="AA39" s="500"/>
    </row>
    <row r="40" spans="1:27" ht="15.75" customHeight="1" thickBot="1">
      <c r="A40" s="134"/>
      <c r="B40" s="133"/>
      <c r="C40" s="135"/>
      <c r="D40" s="149" t="s">
        <v>369</v>
      </c>
      <c r="E40" s="150">
        <v>284</v>
      </c>
      <c r="F40" s="144" t="str">
        <f>IF(Vout=Vref,"","kΩ")</f>
        <v>kΩ</v>
      </c>
      <c r="G40" s="89"/>
      <c r="H40" s="89"/>
      <c r="I40" s="49"/>
      <c r="J40" s="49"/>
      <c r="K40" s="49"/>
      <c r="L40" s="49"/>
      <c r="M40" s="49"/>
      <c r="N40" s="49"/>
      <c r="O40" s="49"/>
      <c r="P40" s="49"/>
      <c r="Q40" s="49"/>
      <c r="R40" s="82"/>
      <c r="S40" s="82"/>
      <c r="T40" s="75"/>
      <c r="U40" s="75"/>
      <c r="V40" s="75"/>
      <c r="W40" s="75"/>
      <c r="X40" s="75"/>
      <c r="Y40" s="75"/>
      <c r="Z40" s="506"/>
      <c r="AA40" s="500"/>
    </row>
    <row r="41" spans="1:27" ht="14.15" customHeight="1">
      <c r="A41" s="389"/>
      <c r="B41" s="390"/>
      <c r="C41" s="391"/>
      <c r="D41" s="392" t="s">
        <v>292</v>
      </c>
      <c r="E41" s="393" t="s">
        <v>682</v>
      </c>
      <c r="F41" s="394"/>
      <c r="G41" s="90"/>
      <c r="H41" s="89"/>
      <c r="I41" s="49"/>
      <c r="J41" s="49"/>
      <c r="K41" s="49"/>
      <c r="L41" s="49"/>
      <c r="M41" s="49"/>
      <c r="N41" s="49"/>
      <c r="O41" s="49"/>
      <c r="P41" s="49"/>
      <c r="Q41" s="49"/>
      <c r="R41" s="82"/>
      <c r="S41" s="82"/>
      <c r="T41" s="75"/>
      <c r="U41" s="75"/>
      <c r="V41" s="75"/>
      <c r="W41" s="75"/>
      <c r="X41" s="75"/>
      <c r="Y41" s="75"/>
      <c r="Z41" s="506"/>
      <c r="AA41" s="500"/>
    </row>
    <row r="42" spans="1:27" ht="16.5" customHeight="1">
      <c r="A42" s="134"/>
      <c r="B42" s="133"/>
      <c r="C42" s="133"/>
      <c r="D42" s="146" t="str">
        <f>CHOOSE(MODE_SS,"Soft-Start Time","*Leave SS Pin Open or Supply by Ext. Bias")</f>
        <v>*Leave SS Pin Open or Supply by Ext. Bias</v>
      </c>
      <c r="E42" s="147">
        <v>33.5</v>
      </c>
      <c r="F42" s="144" t="s">
        <v>63</v>
      </c>
      <c r="G42" s="90"/>
      <c r="H42" s="89"/>
      <c r="I42" s="49"/>
      <c r="J42" s="49"/>
      <c r="K42" s="49"/>
      <c r="L42" s="49"/>
      <c r="M42" s="49"/>
      <c r="N42" s="49"/>
      <c r="O42" s="49"/>
      <c r="P42" s="49"/>
      <c r="Q42" s="49"/>
      <c r="R42" s="82"/>
      <c r="S42" s="82"/>
      <c r="T42" s="75"/>
      <c r="U42" s="75"/>
      <c r="V42" s="75"/>
      <c r="W42" s="75"/>
      <c r="X42" s="75"/>
      <c r="Y42" s="75"/>
      <c r="Z42" s="506"/>
      <c r="AA42" s="500"/>
    </row>
    <row r="43" spans="1:27" ht="16.5" customHeight="1" thickBot="1">
      <c r="A43" s="137"/>
      <c r="B43" s="138"/>
      <c r="C43" s="138"/>
      <c r="D43" s="373" t="s">
        <v>142</v>
      </c>
      <c r="E43" s="388">
        <f>IF(Tss&gt;0.0001,Css_u*1000000000,"N/A")</f>
        <v>180</v>
      </c>
      <c r="F43" s="139" t="s">
        <v>56</v>
      </c>
      <c r="G43" s="90"/>
      <c r="H43" s="89"/>
      <c r="I43" s="49"/>
      <c r="J43" s="49"/>
      <c r="K43" s="49"/>
      <c r="L43" s="49"/>
      <c r="M43" s="49"/>
      <c r="N43" s="49"/>
      <c r="O43" s="49"/>
      <c r="P43" s="49"/>
      <c r="Q43" s="49"/>
      <c r="R43" s="82"/>
      <c r="S43" s="82"/>
      <c r="T43" s="75"/>
      <c r="U43" s="75"/>
      <c r="V43" s="75"/>
      <c r="W43" s="75"/>
      <c r="X43" s="75"/>
      <c r="Y43" s="75"/>
      <c r="Z43" s="506"/>
      <c r="AA43" s="500"/>
    </row>
    <row r="44" spans="1:27" ht="15.75" customHeight="1">
      <c r="A44" s="134"/>
      <c r="B44" s="133"/>
      <c r="C44" s="133"/>
      <c r="D44" s="86" t="s">
        <v>381</v>
      </c>
      <c r="E44" s="145"/>
      <c r="F44" s="136"/>
      <c r="G44" s="89"/>
      <c r="H44" s="89"/>
      <c r="I44" s="49"/>
      <c r="J44" s="49"/>
      <c r="K44" s="49"/>
      <c r="L44" s="49"/>
      <c r="M44" s="49"/>
      <c r="N44" s="49"/>
      <c r="O44" s="49"/>
      <c r="P44" s="49"/>
      <c r="Q44" s="49"/>
      <c r="R44" s="82"/>
      <c r="S44" s="82"/>
      <c r="T44" s="75"/>
      <c r="U44" s="75"/>
      <c r="V44" s="75"/>
      <c r="W44" s="75"/>
      <c r="X44" s="75"/>
      <c r="Y44" s="75"/>
      <c r="Z44" s="506"/>
      <c r="AA44" s="500"/>
    </row>
    <row r="45" spans="1:27" ht="15.75" customHeight="1">
      <c r="A45" s="134"/>
      <c r="B45" s="133"/>
      <c r="C45" s="133"/>
      <c r="D45" s="86" t="str">
        <f>CHOOSE(TC,"Diode Voltage Drop Thermal Coefficient","*Leave TC Pin Open")</f>
        <v>*Leave TC Pin Open</v>
      </c>
      <c r="E45" s="582">
        <v>-0.7</v>
      </c>
      <c r="F45" s="136" t="s">
        <v>380</v>
      </c>
      <c r="G45" s="89"/>
      <c r="H45" s="89"/>
      <c r="I45" s="49"/>
      <c r="J45" s="49"/>
      <c r="K45" s="49"/>
      <c r="L45" s="49"/>
      <c r="M45" s="49"/>
      <c r="N45" s="49"/>
      <c r="O45" s="49"/>
      <c r="P45" s="49"/>
      <c r="Q45" s="49"/>
      <c r="R45" s="82"/>
      <c r="S45" s="82"/>
      <c r="T45" s="75"/>
      <c r="U45" s="75"/>
      <c r="V45" s="75"/>
      <c r="W45" s="75"/>
      <c r="X45" s="75"/>
      <c r="Y45" s="75"/>
      <c r="Z45" s="506"/>
      <c r="AA45" s="500"/>
    </row>
    <row r="46" spans="1:27" ht="15.75" customHeight="1" thickBot="1">
      <c r="A46" s="137"/>
      <c r="B46" s="151"/>
      <c r="C46" s="151"/>
      <c r="D46" s="507" t="s">
        <v>382</v>
      </c>
      <c r="E46" s="522">
        <f>RTC</f>
        <v>1620</v>
      </c>
      <c r="F46" s="523" t="s">
        <v>21</v>
      </c>
      <c r="G46" s="89"/>
      <c r="H46" s="89"/>
      <c r="I46" s="49"/>
      <c r="J46" s="49"/>
      <c r="K46" s="73"/>
      <c r="L46" s="49"/>
      <c r="M46" s="49"/>
      <c r="N46" s="49"/>
      <c r="O46" s="49"/>
      <c r="P46" s="49"/>
      <c r="Q46" s="49"/>
      <c r="R46" s="82"/>
      <c r="S46" s="82"/>
      <c r="T46" s="75"/>
      <c r="U46" s="75"/>
      <c r="V46" s="75"/>
      <c r="W46" s="75"/>
      <c r="X46" s="75"/>
      <c r="Y46" s="75"/>
      <c r="Z46" s="506"/>
      <c r="AA46" s="500"/>
    </row>
    <row r="47" spans="1:27" ht="16.5" customHeight="1">
      <c r="A47" s="454"/>
      <c r="B47" s="508"/>
      <c r="C47" s="508"/>
      <c r="D47" s="818" t="s">
        <v>303</v>
      </c>
      <c r="E47" s="819"/>
      <c r="F47" s="809"/>
      <c r="G47" s="89"/>
      <c r="H47" s="89"/>
      <c r="I47" s="49"/>
      <c r="J47" s="49"/>
      <c r="K47" s="49"/>
      <c r="L47" s="49"/>
      <c r="M47" s="49"/>
      <c r="N47" s="49"/>
      <c r="O47" s="49"/>
      <c r="P47" s="49"/>
      <c r="Q47" s="49"/>
      <c r="R47" s="82"/>
      <c r="S47" s="82"/>
      <c r="T47" s="75"/>
      <c r="U47" s="75"/>
      <c r="V47" s="75"/>
      <c r="W47" s="75"/>
      <c r="X47" s="75"/>
      <c r="Y47" s="75"/>
      <c r="Z47" s="506"/>
      <c r="AA47" s="500"/>
    </row>
    <row r="48" spans="1:27" ht="15.75" customHeight="1">
      <c r="A48" s="134"/>
      <c r="B48" s="133"/>
      <c r="C48" s="148"/>
      <c r="D48" s="149" t="str">
        <f>CHOOSE(MODE_UVLO, "Input UVLO Turn-On Threshold", "*Connect EN pin to VIN or Logic HIGH")</f>
        <v>Input UVLO Turn-On Threshold</v>
      </c>
      <c r="E48" s="150">
        <v>18.5</v>
      </c>
      <c r="F48" s="144" t="s">
        <v>0</v>
      </c>
      <c r="G48" s="89"/>
      <c r="H48" s="89"/>
      <c r="I48" s="82"/>
      <c r="J48" s="82"/>
      <c r="K48" s="82"/>
      <c r="L48" s="210"/>
      <c r="M48" s="49"/>
      <c r="N48" s="49"/>
      <c r="O48" s="49"/>
      <c r="P48" s="49"/>
      <c r="Q48" s="49"/>
      <c r="R48" s="82"/>
      <c r="S48" s="82"/>
      <c r="T48" s="75"/>
      <c r="U48" s="75"/>
      <c r="V48" s="75"/>
      <c r="W48" s="75"/>
      <c r="X48" s="75"/>
      <c r="Y48" s="75"/>
      <c r="Z48" s="506"/>
      <c r="AA48" s="500"/>
    </row>
    <row r="49" spans="1:27" ht="15.75" customHeight="1">
      <c r="A49" s="134"/>
      <c r="B49" s="133"/>
      <c r="C49" s="133"/>
      <c r="D49" s="149" t="str">
        <f>CHOOSE(MODE_UVLO, "Input UVLO Turn-Off Threshold", "")</f>
        <v>Input UVLO Turn-Off Threshold</v>
      </c>
      <c r="E49" s="150">
        <v>17.5</v>
      </c>
      <c r="F49" s="144" t="s">
        <v>0</v>
      </c>
      <c r="G49" s="89"/>
      <c r="H49" s="135"/>
      <c r="I49" s="211"/>
      <c r="J49" s="213"/>
      <c r="K49" s="82"/>
      <c r="L49" s="82"/>
      <c r="M49" s="49"/>
      <c r="N49" s="49"/>
      <c r="O49" s="49"/>
      <c r="P49" s="49"/>
      <c r="Q49" s="49"/>
      <c r="R49" s="82"/>
      <c r="S49" s="82"/>
      <c r="T49" s="75"/>
      <c r="U49" s="75"/>
      <c r="V49" s="75"/>
      <c r="W49" s="75"/>
      <c r="X49" s="75"/>
      <c r="Y49" s="75"/>
      <c r="Z49" s="506"/>
      <c r="AA49" s="500"/>
    </row>
    <row r="50" spans="1:27" ht="15.75" customHeight="1">
      <c r="A50" s="820"/>
      <c r="B50" s="821"/>
      <c r="C50" s="822"/>
      <c r="D50" s="823" t="s">
        <v>821</v>
      </c>
      <c r="E50" s="824">
        <f>'Variable Mgmt'!F165</f>
        <v>76.800000000000011</v>
      </c>
      <c r="F50" s="825" t="s">
        <v>21</v>
      </c>
      <c r="G50" s="89"/>
      <c r="H50" s="135"/>
      <c r="I50" s="211"/>
      <c r="J50" s="213"/>
      <c r="K50" s="82"/>
      <c r="L50" s="82"/>
      <c r="M50" s="49"/>
      <c r="N50" s="49"/>
      <c r="O50" s="49"/>
      <c r="P50" s="49"/>
      <c r="Q50" s="49"/>
      <c r="R50" s="82"/>
      <c r="S50" s="82"/>
      <c r="T50" s="75"/>
      <c r="U50" s="75"/>
      <c r="V50" s="75"/>
      <c r="W50" s="75"/>
      <c r="X50" s="75"/>
      <c r="Y50" s="75"/>
      <c r="Z50" s="506"/>
      <c r="AA50" s="500"/>
    </row>
    <row r="51" spans="1:27" ht="15.75" customHeight="1">
      <c r="A51" s="826"/>
      <c r="B51" s="827"/>
      <c r="C51" s="827"/>
      <c r="D51" s="828" t="s">
        <v>822</v>
      </c>
      <c r="E51" s="829">
        <f>'Variable Mgmt'!F166</f>
        <v>6.8100000000000005</v>
      </c>
      <c r="F51" s="830" t="s">
        <v>21</v>
      </c>
      <c r="G51" s="89"/>
      <c r="H51" s="215"/>
      <c r="I51" s="146"/>
      <c r="J51" s="580"/>
      <c r="K51" s="214"/>
      <c r="L51" s="82"/>
      <c r="M51" s="49"/>
      <c r="N51" s="49"/>
      <c r="O51" s="49"/>
      <c r="P51" s="49"/>
      <c r="Q51" s="49"/>
      <c r="R51" s="82"/>
      <c r="S51" s="82"/>
      <c r="T51" s="75"/>
      <c r="U51" s="75"/>
      <c r="V51" s="75"/>
      <c r="W51" s="75"/>
      <c r="X51" s="75"/>
      <c r="Y51" s="75"/>
      <c r="Z51" s="506"/>
      <c r="AA51" s="500"/>
    </row>
    <row r="52" spans="1:27" ht="15.75" customHeight="1">
      <c r="A52" s="134"/>
      <c r="B52" s="133"/>
      <c r="C52" s="133"/>
      <c r="D52" s="135"/>
      <c r="E52" s="777"/>
      <c r="F52" s="75"/>
      <c r="G52" s="89"/>
      <c r="H52" s="215"/>
      <c r="I52" s="146"/>
      <c r="J52" s="580"/>
      <c r="K52" s="214"/>
      <c r="L52" s="82"/>
      <c r="M52" s="49"/>
      <c r="N52" s="49"/>
      <c r="O52" s="49"/>
      <c r="P52" s="49"/>
      <c r="Q52" s="49"/>
      <c r="R52" s="82"/>
      <c r="S52" s="82"/>
      <c r="T52" s="75"/>
      <c r="U52" s="75"/>
      <c r="V52" s="75"/>
      <c r="W52" s="75"/>
      <c r="X52" s="75"/>
      <c r="Y52" s="75"/>
      <c r="Z52" s="506"/>
      <c r="AA52" s="500"/>
    </row>
    <row r="53" spans="1:27" ht="15.75" customHeight="1" thickBot="1">
      <c r="A53" s="106" t="s">
        <v>889</v>
      </c>
      <c r="B53" s="133"/>
      <c r="C53" s="133"/>
      <c r="D53" s="149" t="s">
        <v>862</v>
      </c>
      <c r="E53" s="777"/>
      <c r="F53" s="89"/>
      <c r="G53" s="89"/>
      <c r="H53" s="89"/>
      <c r="I53" s="82"/>
      <c r="J53" s="212"/>
      <c r="K53" s="82"/>
      <c r="L53" s="82"/>
      <c r="M53" s="49"/>
      <c r="N53" s="49"/>
      <c r="O53" s="49"/>
      <c r="P53" s="49"/>
      <c r="Q53" s="49" t="s">
        <v>78</v>
      </c>
      <c r="R53" s="82"/>
      <c r="S53" s="82"/>
      <c r="T53" s="75"/>
      <c r="U53" s="75"/>
      <c r="V53" s="75"/>
      <c r="W53" s="75"/>
      <c r="X53" s="75"/>
      <c r="Y53" s="75"/>
      <c r="Z53" s="506"/>
      <c r="AA53" s="500"/>
    </row>
    <row r="54" spans="1:27" ht="15.75" hidden="1" customHeight="1">
      <c r="A54" s="454"/>
      <c r="B54" s="508"/>
      <c r="C54" s="206"/>
      <c r="D54" s="206" t="s">
        <v>800</v>
      </c>
      <c r="E54" s="578">
        <f>pole1/1000</f>
        <v>0.19149871490245024</v>
      </c>
      <c r="F54" s="809" t="s">
        <v>2</v>
      </c>
      <c r="G54" s="89"/>
      <c r="H54" s="89"/>
      <c r="I54" s="82"/>
      <c r="J54" s="212"/>
      <c r="K54" s="82"/>
      <c r="L54" s="82"/>
      <c r="M54" s="49"/>
      <c r="N54" s="49"/>
      <c r="O54" s="49"/>
      <c r="P54" s="49"/>
      <c r="Q54" s="49"/>
      <c r="R54" s="82"/>
      <c r="S54" s="82"/>
      <c r="T54" s="75"/>
      <c r="U54" s="75"/>
      <c r="V54" s="75"/>
      <c r="W54" s="75"/>
      <c r="X54" s="75"/>
      <c r="Y54" s="75"/>
      <c r="Z54" s="506"/>
      <c r="AA54" s="500"/>
    </row>
    <row r="55" spans="1:27" ht="15.75" hidden="1" customHeight="1">
      <c r="A55" s="134"/>
      <c r="B55" s="133"/>
      <c r="C55" s="135"/>
      <c r="D55" s="135" t="s">
        <v>797</v>
      </c>
      <c r="E55" s="759">
        <f>Zero1/1000</f>
        <v>723.43156033525634</v>
      </c>
      <c r="F55" s="136" t="s">
        <v>2</v>
      </c>
      <c r="G55" s="89"/>
      <c r="H55" s="135"/>
      <c r="I55" s="211"/>
      <c r="J55" s="213"/>
      <c r="K55" s="82"/>
      <c r="L55" s="82"/>
      <c r="M55" s="49"/>
      <c r="N55" s="49"/>
      <c r="O55" s="49"/>
      <c r="P55" s="49"/>
      <c r="Q55" s="49"/>
      <c r="R55" s="82"/>
      <c r="S55" s="82"/>
      <c r="T55" s="75"/>
      <c r="U55" s="75"/>
      <c r="V55" s="75"/>
      <c r="W55" s="75"/>
      <c r="X55" s="75"/>
      <c r="Y55" s="75"/>
      <c r="Z55" s="506"/>
      <c r="AA55" s="500"/>
    </row>
    <row r="56" spans="1:27" ht="15.75" hidden="1" customHeight="1">
      <c r="A56" s="134"/>
      <c r="B56" s="133"/>
      <c r="C56" s="135"/>
      <c r="D56" s="135" t="s">
        <v>798</v>
      </c>
      <c r="E56" s="759">
        <f>z_RHP/1000</f>
        <v>188.28651807246868</v>
      </c>
      <c r="F56" s="136" t="s">
        <v>2</v>
      </c>
      <c r="G56" s="89"/>
      <c r="H56" s="135"/>
      <c r="I56" s="211"/>
      <c r="J56" s="213"/>
      <c r="K56" s="82"/>
      <c r="L56" s="82"/>
      <c r="M56" s="49"/>
      <c r="N56" s="49"/>
      <c r="O56" s="49"/>
      <c r="P56" s="49"/>
      <c r="Q56" s="49"/>
      <c r="R56" s="82"/>
      <c r="S56" s="82"/>
      <c r="T56" s="75"/>
      <c r="U56" s="75"/>
      <c r="V56" s="75"/>
      <c r="W56" s="75"/>
      <c r="X56" s="75"/>
      <c r="Y56" s="75"/>
      <c r="Z56" s="506"/>
      <c r="AA56" s="500"/>
    </row>
    <row r="57" spans="1:27" ht="15.75" customHeight="1">
      <c r="A57" s="454"/>
      <c r="B57" s="508"/>
      <c r="C57" s="206"/>
      <c r="D57" s="206" t="s">
        <v>799</v>
      </c>
      <c r="E57" s="578">
        <f>MIN(E56/10,'Calculations - Single'!DC212/10)*0+MIN(E56/10,CHOOSE(MODE,'Calculations - Single'!DC212/10,'Calculations - Dual'!DQ212/10))</f>
        <v>18.828651807246867</v>
      </c>
      <c r="F57" s="809" t="s">
        <v>2</v>
      </c>
      <c r="G57" s="89"/>
      <c r="H57" s="89"/>
      <c r="I57" s="49"/>
      <c r="J57" s="49"/>
      <c r="K57" s="49"/>
      <c r="L57" s="49"/>
      <c r="M57" s="49"/>
      <c r="N57" s="49"/>
      <c r="O57" s="49"/>
      <c r="P57" s="49"/>
      <c r="Q57" s="49"/>
      <c r="R57" s="82"/>
      <c r="S57" s="82"/>
      <c r="T57" s="75"/>
      <c r="U57" s="75"/>
      <c r="V57" s="75"/>
      <c r="W57" s="75"/>
      <c r="X57" s="75"/>
      <c r="Y57" s="75"/>
      <c r="Z57" s="506"/>
      <c r="AA57" s="500"/>
    </row>
    <row r="58" spans="1:27" ht="15.75" customHeight="1">
      <c r="A58" s="134"/>
      <c r="B58" s="133"/>
      <c r="C58" s="133"/>
      <c r="D58" s="149" t="s">
        <v>864</v>
      </c>
      <c r="E58" s="582">
        <v>5</v>
      </c>
      <c r="F58" s="866" t="s">
        <v>2</v>
      </c>
      <c r="G58" s="89"/>
      <c r="H58" s="89"/>
      <c r="I58" s="49"/>
      <c r="J58" s="49"/>
      <c r="K58" s="49"/>
      <c r="L58" s="49"/>
      <c r="M58" s="49"/>
      <c r="N58" s="49"/>
      <c r="O58" s="49"/>
      <c r="P58" s="49"/>
      <c r="Q58" s="49"/>
      <c r="R58" s="82"/>
      <c r="S58" s="82"/>
      <c r="T58" s="75"/>
      <c r="U58" s="75"/>
      <c r="V58" s="75"/>
      <c r="W58" s="75"/>
      <c r="X58" s="75"/>
      <c r="Y58" s="75"/>
      <c r="Z58" s="506"/>
      <c r="AA58" s="500"/>
    </row>
    <row r="59" spans="1:27" ht="15.75" customHeight="1">
      <c r="A59" s="134"/>
      <c r="B59" s="133"/>
      <c r="C59" s="135"/>
      <c r="D59" s="135" t="s">
        <v>815</v>
      </c>
      <c r="E59" s="759">
        <f>'Stability Calculations'!D64</f>
        <v>39.455698268487126</v>
      </c>
      <c r="F59" s="867" t="s">
        <v>813</v>
      </c>
      <c r="G59" s="89"/>
      <c r="H59" s="89"/>
      <c r="I59" s="49"/>
      <c r="J59" s="49"/>
      <c r="K59" s="49"/>
      <c r="L59" s="49"/>
      <c r="M59" s="49"/>
      <c r="N59" s="49"/>
      <c r="O59" s="49"/>
      <c r="P59" s="49"/>
      <c r="Q59" s="49"/>
      <c r="R59" s="82"/>
      <c r="S59" s="82"/>
      <c r="T59" s="75"/>
      <c r="U59" s="75"/>
      <c r="V59" s="75"/>
      <c r="W59" s="75"/>
      <c r="X59" s="75"/>
      <c r="Y59" s="75"/>
      <c r="Z59" s="506"/>
      <c r="AA59" s="500"/>
    </row>
    <row r="60" spans="1:27" ht="15.75" customHeight="1">
      <c r="A60" s="134"/>
      <c r="B60" s="133"/>
      <c r="C60" s="135"/>
      <c r="D60" s="149" t="s">
        <v>816</v>
      </c>
      <c r="E60" s="778">
        <v>40.200000000000003</v>
      </c>
      <c r="F60" s="866" t="s">
        <v>814</v>
      </c>
      <c r="G60" s="89"/>
      <c r="H60" s="89"/>
      <c r="I60" s="49"/>
      <c r="J60" s="49"/>
      <c r="K60" s="49"/>
      <c r="L60" s="49"/>
      <c r="M60" s="49"/>
      <c r="N60" s="49"/>
      <c r="O60" s="49"/>
      <c r="P60" s="49"/>
      <c r="Q60" s="49"/>
      <c r="R60" s="82"/>
      <c r="S60" s="82"/>
      <c r="T60" s="75"/>
      <c r="U60" s="75"/>
      <c r="V60" s="75"/>
      <c r="W60" s="75"/>
      <c r="X60" s="75"/>
      <c r="Y60" s="75"/>
      <c r="Z60" s="506"/>
      <c r="AA60" s="500"/>
    </row>
    <row r="61" spans="1:27" ht="16.5" customHeight="1">
      <c r="A61" s="134"/>
      <c r="B61" s="133"/>
      <c r="C61" s="135"/>
      <c r="D61" s="135" t="s">
        <v>817</v>
      </c>
      <c r="E61" s="759">
        <f>'Stability Calculations'!D65</f>
        <v>10.537431464623358</v>
      </c>
      <c r="F61" s="868" t="s">
        <v>56</v>
      </c>
      <c r="G61" s="89"/>
      <c r="H61" s="89"/>
      <c r="I61" s="49"/>
      <c r="J61" s="49"/>
      <c r="K61" s="49"/>
      <c r="L61" s="49"/>
      <c r="M61" s="49"/>
      <c r="N61" s="49"/>
      <c r="O61" s="49"/>
      <c r="P61" s="49"/>
      <c r="Q61" s="49"/>
      <c r="R61" s="82"/>
      <c r="S61" s="82"/>
      <c r="T61" s="75"/>
      <c r="U61" s="75"/>
      <c r="V61" s="75"/>
      <c r="W61" s="75"/>
      <c r="X61" s="75"/>
      <c r="Y61" s="75"/>
      <c r="Z61" s="506"/>
      <c r="AA61" s="500"/>
    </row>
    <row r="62" spans="1:27" ht="15.75" customHeight="1">
      <c r="A62" s="134"/>
      <c r="B62" s="133"/>
      <c r="C62" s="135"/>
      <c r="D62" s="149" t="s">
        <v>818</v>
      </c>
      <c r="E62" s="778">
        <v>10</v>
      </c>
      <c r="F62" s="866" t="s">
        <v>56</v>
      </c>
      <c r="G62" s="89"/>
      <c r="H62" s="89"/>
      <c r="I62" s="49"/>
      <c r="J62" s="49"/>
      <c r="K62" s="49"/>
      <c r="L62" s="49"/>
      <c r="M62" s="49"/>
      <c r="N62" s="49"/>
      <c r="O62" s="49"/>
      <c r="P62" s="49"/>
      <c r="Q62" s="49"/>
      <c r="R62" s="82"/>
      <c r="S62" s="82"/>
      <c r="T62" s="75"/>
      <c r="U62" s="75"/>
      <c r="V62" s="75"/>
      <c r="W62" s="75"/>
      <c r="X62" s="75"/>
      <c r="Y62" s="75"/>
      <c r="Z62" s="506"/>
      <c r="AA62" s="500"/>
    </row>
    <row r="63" spans="1:27" ht="15.75" customHeight="1">
      <c r="A63" s="134"/>
      <c r="B63" s="133"/>
      <c r="C63" s="135"/>
      <c r="D63" s="135" t="s">
        <v>819</v>
      </c>
      <c r="E63" s="776">
        <f>'Stability Calculations'!D66</f>
        <v>70.249543097489052</v>
      </c>
      <c r="F63" s="868" t="s">
        <v>15</v>
      </c>
      <c r="G63" s="89"/>
      <c r="H63" s="89"/>
      <c r="I63" s="49"/>
      <c r="J63" s="49"/>
      <c r="K63" s="49"/>
      <c r="L63" s="49"/>
      <c r="M63" s="49"/>
      <c r="N63" s="49"/>
      <c r="O63" s="49"/>
      <c r="P63" s="49"/>
      <c r="Q63" s="49"/>
      <c r="R63" s="82"/>
      <c r="S63" s="82"/>
      <c r="T63" s="75"/>
      <c r="U63" s="75"/>
      <c r="V63" s="812" t="s">
        <v>863</v>
      </c>
      <c r="W63" s="813">
        <f>Vin</f>
        <v>28</v>
      </c>
      <c r="X63" s="734" t="s">
        <v>0</v>
      </c>
      <c r="Y63" s="75"/>
      <c r="Z63" s="506"/>
      <c r="AA63" s="500"/>
    </row>
    <row r="64" spans="1:27" ht="15.75" customHeight="1" thickBot="1">
      <c r="A64" s="787"/>
      <c r="B64" s="151"/>
      <c r="C64" s="151"/>
      <c r="D64" s="510" t="s">
        <v>820</v>
      </c>
      <c r="E64" s="810">
        <v>150</v>
      </c>
      <c r="F64" s="811" t="s">
        <v>15</v>
      </c>
      <c r="G64" s="89"/>
      <c r="H64" s="89"/>
      <c r="I64" s="49"/>
      <c r="J64" s="49"/>
      <c r="K64" s="49"/>
      <c r="L64" s="49"/>
      <c r="M64" s="49"/>
      <c r="N64" s="49"/>
      <c r="O64" s="49"/>
      <c r="P64" s="49"/>
      <c r="Q64" s="49"/>
      <c r="R64" s="82"/>
      <c r="S64" s="82"/>
      <c r="T64" s="75"/>
      <c r="U64" s="75"/>
      <c r="V64" s="75"/>
      <c r="W64" s="75"/>
      <c r="X64" s="75"/>
      <c r="Y64" s="75"/>
      <c r="Z64" s="506"/>
      <c r="AA64" s="500"/>
    </row>
    <row r="65" spans="1:27" ht="15.75" customHeight="1">
      <c r="A65" s="134"/>
      <c r="B65" s="133"/>
      <c r="C65" s="133"/>
      <c r="D65" s="135"/>
      <c r="E65" s="777"/>
      <c r="F65" s="75"/>
      <c r="G65" s="89"/>
      <c r="H65" s="89"/>
      <c r="I65" s="49"/>
      <c r="J65" s="49"/>
      <c r="K65" s="49"/>
      <c r="L65" s="49"/>
      <c r="M65" s="49"/>
      <c r="N65" s="49"/>
      <c r="O65" s="49"/>
      <c r="P65" s="49"/>
      <c r="Q65" s="49"/>
      <c r="R65" s="82"/>
      <c r="S65" s="82"/>
      <c r="T65" s="75"/>
      <c r="U65" s="75"/>
      <c r="V65" s="75"/>
      <c r="W65" s="75"/>
      <c r="X65" s="75"/>
      <c r="Y65" s="75"/>
      <c r="Z65" s="506"/>
      <c r="AA65" s="500"/>
    </row>
    <row r="66" spans="1:27" ht="15.75" customHeight="1" thickBot="1">
      <c r="A66" s="106" t="s">
        <v>894</v>
      </c>
      <c r="B66" s="133"/>
      <c r="C66" s="133"/>
      <c r="D66" s="135"/>
      <c r="E66" s="777"/>
      <c r="F66" s="75"/>
      <c r="G66" s="903" t="s">
        <v>945</v>
      </c>
      <c r="H66" s="89"/>
      <c r="I66" s="49"/>
      <c r="J66" s="49"/>
      <c r="K66" s="49"/>
      <c r="L66" s="49"/>
      <c r="M66" s="49"/>
      <c r="N66" s="49"/>
      <c r="O66" s="49"/>
      <c r="P66" s="49"/>
      <c r="Q66" s="49"/>
      <c r="R66" s="82"/>
      <c r="S66" s="82"/>
      <c r="T66" s="75"/>
      <c r="U66" s="75"/>
      <c r="V66" s="75"/>
      <c r="W66" s="75"/>
      <c r="X66" s="75"/>
      <c r="Y66" s="75"/>
      <c r="Z66" s="506"/>
      <c r="AA66" s="500"/>
    </row>
    <row r="67" spans="1:27" ht="15.75" customHeight="1" thickBot="1">
      <c r="A67" s="454"/>
      <c r="B67" s="508"/>
      <c r="C67" s="508"/>
      <c r="D67" s="206" t="str">
        <f>CHOOSE(MODE, "Initial Csnb", "Inisitial Csnb1")</f>
        <v>Initial Csnb</v>
      </c>
      <c r="E67" s="869">
        <v>22</v>
      </c>
      <c r="F67" s="860" t="s">
        <v>15</v>
      </c>
      <c r="G67" s="89"/>
      <c r="H67" s="872"/>
      <c r="I67" s="873"/>
      <c r="J67" s="874"/>
      <c r="K67" s="875" t="s">
        <v>892</v>
      </c>
      <c r="L67" s="875">
        <v>22</v>
      </c>
      <c r="M67" s="815" t="s">
        <v>15</v>
      </c>
      <c r="N67" s="733"/>
      <c r="O67" s="49"/>
      <c r="P67" s="734"/>
      <c r="Q67" s="49"/>
      <c r="R67" s="82"/>
      <c r="S67" s="82"/>
      <c r="T67" s="75"/>
      <c r="U67" s="75"/>
      <c r="V67" s="75"/>
      <c r="W67" s="75"/>
      <c r="X67" s="75"/>
      <c r="Y67" s="75"/>
      <c r="Z67" s="506"/>
      <c r="AA67" s="500"/>
    </row>
    <row r="68" spans="1:27" ht="15.75" customHeight="1">
      <c r="A68" s="134"/>
      <c r="B68" s="133"/>
      <c r="C68" s="133"/>
      <c r="D68" s="135" t="s">
        <v>890</v>
      </c>
      <c r="E68" s="777">
        <f>(VIN_max/Npri_sec1+E10)*1.3</f>
        <v>88.4</v>
      </c>
      <c r="F68" s="867" t="s">
        <v>0</v>
      </c>
      <c r="G68" s="881"/>
      <c r="H68" s="876"/>
      <c r="I68" s="211"/>
      <c r="J68" s="213"/>
      <c r="K68" s="135" t="s">
        <v>890</v>
      </c>
      <c r="L68" s="865">
        <f>E8/Nps*Nsec1sec2+Vout</f>
        <v>70.508710801393732</v>
      </c>
      <c r="M68" s="877" t="s">
        <v>0</v>
      </c>
      <c r="N68" s="49"/>
      <c r="O68" s="49"/>
      <c r="P68" s="49"/>
      <c r="Q68" s="49"/>
      <c r="R68" s="82"/>
      <c r="S68" s="82"/>
      <c r="T68" s="75"/>
      <c r="U68" s="75"/>
      <c r="V68" s="75"/>
      <c r="W68" s="75"/>
      <c r="X68" s="75"/>
      <c r="Y68" s="75"/>
      <c r="Z68" s="506"/>
      <c r="AA68" s="500"/>
    </row>
    <row r="69" spans="1:27" ht="16.5" customHeight="1" thickBot="1">
      <c r="A69" s="134"/>
      <c r="B69" s="133"/>
      <c r="C69" s="133"/>
      <c r="D69" s="135" t="str">
        <f>CHOOSE(MODE, "Initial Rsnb", "Inisitial Rsnb1")</f>
        <v>Initial Rsnb</v>
      </c>
      <c r="E69" s="777">
        <v>100</v>
      </c>
      <c r="F69" s="867" t="s">
        <v>136</v>
      </c>
      <c r="G69" s="882"/>
      <c r="H69" s="88"/>
      <c r="I69" s="49"/>
      <c r="J69" s="74"/>
      <c r="K69" s="89" t="s">
        <v>893</v>
      </c>
      <c r="L69" s="89">
        <v>100</v>
      </c>
      <c r="M69" s="867" t="s">
        <v>136</v>
      </c>
      <c r="N69" s="49"/>
      <c r="O69" s="49"/>
      <c r="P69" s="49"/>
      <c r="Q69" s="49"/>
      <c r="R69" s="82"/>
      <c r="S69" s="82"/>
      <c r="T69" s="75"/>
      <c r="U69" s="75"/>
      <c r="V69" s="75"/>
      <c r="W69" s="75"/>
      <c r="X69" s="75"/>
      <c r="Y69" s="75"/>
      <c r="Z69" s="506"/>
      <c r="AA69" s="500"/>
    </row>
    <row r="70" spans="1:27" ht="15.75" customHeight="1" thickBot="1">
      <c r="A70" s="787"/>
      <c r="B70" s="151"/>
      <c r="C70" s="151"/>
      <c r="D70" s="507" t="s">
        <v>891</v>
      </c>
      <c r="E70" s="880">
        <f>E68*E68*E67*0.000000000001*350000*3</f>
        <v>0.18051633600000005</v>
      </c>
      <c r="F70" s="871" t="s">
        <v>45</v>
      </c>
      <c r="G70" s="89"/>
      <c r="H70" s="853"/>
      <c r="I70" s="504"/>
      <c r="J70" s="878"/>
      <c r="K70" s="507" t="s">
        <v>891</v>
      </c>
      <c r="L70" s="879">
        <f>L68*L68*L67*0.000000000001*350000*3</f>
        <v>0.11484114870400274</v>
      </c>
      <c r="M70" s="105" t="s">
        <v>45</v>
      </c>
      <c r="N70" s="49"/>
      <c r="O70" s="49"/>
      <c r="P70" s="49"/>
      <c r="Q70" s="49"/>
      <c r="R70" s="82"/>
      <c r="S70" s="82"/>
      <c r="T70" s="75"/>
      <c r="U70" s="75"/>
      <c r="V70" s="75"/>
      <c r="W70" s="75"/>
      <c r="X70" s="75"/>
      <c r="Y70" s="75"/>
      <c r="Z70" s="506"/>
      <c r="AA70" s="500"/>
    </row>
    <row r="71" spans="1:27" ht="15.75" customHeight="1">
      <c r="A71" s="134"/>
      <c r="B71" s="133"/>
      <c r="C71" s="133"/>
      <c r="D71" s="135"/>
      <c r="E71" s="777"/>
      <c r="F71" s="75"/>
      <c r="G71" s="89"/>
      <c r="H71" s="89"/>
      <c r="I71" s="49"/>
      <c r="J71" s="74"/>
      <c r="K71" s="49"/>
      <c r="L71" s="49"/>
      <c r="M71" s="49"/>
      <c r="N71" s="49"/>
      <c r="O71" s="49"/>
      <c r="P71" s="49"/>
      <c r="Q71" s="49"/>
      <c r="R71" s="82"/>
      <c r="S71" s="82"/>
      <c r="T71" s="75"/>
      <c r="U71" s="75"/>
      <c r="V71" s="75"/>
      <c r="W71" s="75"/>
      <c r="X71" s="75"/>
      <c r="Y71" s="75"/>
      <c r="Z71" s="506"/>
      <c r="AA71" s="500"/>
    </row>
    <row r="72" spans="1:27" ht="15.75" customHeight="1" thickBot="1">
      <c r="A72" s="106" t="s">
        <v>895</v>
      </c>
      <c r="B72" s="133"/>
      <c r="C72" s="133"/>
      <c r="D72" s="135"/>
      <c r="E72" s="777"/>
      <c r="F72" s="75"/>
      <c r="G72" s="89"/>
      <c r="H72" s="89"/>
      <c r="I72" s="49"/>
      <c r="J72" s="74"/>
      <c r="K72" s="49"/>
      <c r="L72" s="49"/>
      <c r="M72" s="49"/>
      <c r="N72" s="49"/>
      <c r="O72" s="49"/>
      <c r="P72" s="49"/>
      <c r="Q72" s="49"/>
      <c r="R72" s="82"/>
      <c r="S72" s="82"/>
      <c r="T72" s="75"/>
      <c r="U72" s="75"/>
      <c r="V72" s="75"/>
      <c r="W72" s="75"/>
      <c r="X72" s="75"/>
      <c r="Y72" s="75"/>
      <c r="Z72" s="506"/>
      <c r="AA72" s="500"/>
    </row>
    <row r="73" spans="1:27" ht="15.75" customHeight="1" thickBot="1">
      <c r="A73" s="454"/>
      <c r="B73" s="508"/>
      <c r="C73" s="508"/>
      <c r="D73" s="818" t="str">
        <f>CHOOSE(MODE, "Min Load Current, IOUT_min ", "Min Load Current, IOUT1_min")</f>
        <v xml:space="preserve">Min Load Current, IOUT_min </v>
      </c>
      <c r="E73" s="886">
        <v>1E-3</v>
      </c>
      <c r="F73" s="887" t="s">
        <v>1</v>
      </c>
      <c r="G73" s="89"/>
      <c r="H73" s="422"/>
      <c r="I73" s="584"/>
      <c r="J73" s="584"/>
      <c r="K73" s="788" t="str">
        <f>CHOOSE(MODE, " ", "Min Load Current, IOUT2min")</f>
        <v xml:space="preserve"> </v>
      </c>
      <c r="L73" s="897">
        <v>5.0000000000000001E-4</v>
      </c>
      <c r="M73" s="890" t="str">
        <f>CHOOSE(MODE, "", "A")</f>
        <v/>
      </c>
      <c r="N73" s="49"/>
      <c r="O73" s="49"/>
      <c r="P73" s="49"/>
      <c r="Q73" s="49"/>
      <c r="R73" s="82"/>
      <c r="S73" s="82"/>
      <c r="T73" s="75"/>
      <c r="U73" s="75"/>
      <c r="V73" s="75"/>
      <c r="W73" s="75"/>
      <c r="X73" s="75"/>
      <c r="Y73" s="75"/>
      <c r="Z73" s="506"/>
      <c r="AA73" s="500"/>
    </row>
    <row r="74" spans="1:27" ht="15.75" customHeight="1">
      <c r="A74" s="134"/>
      <c r="B74" s="133"/>
      <c r="C74" s="133"/>
      <c r="D74" s="149" t="str">
        <f>CHOOSE(MODE, "Max VOUT Limit","Max VOUT1 Limit")</f>
        <v>Max VOUT Limit</v>
      </c>
      <c r="E74" s="883">
        <v>29</v>
      </c>
      <c r="F74" s="888" t="s">
        <v>0</v>
      </c>
      <c r="G74" s="881"/>
      <c r="H74" s="88"/>
      <c r="I74" s="49"/>
      <c r="J74" s="49"/>
      <c r="K74" s="86" t="str">
        <f>CHOOSE(MODE,"","Max Output Voltage Limit, VOUT2max")</f>
        <v/>
      </c>
      <c r="L74" s="898">
        <v>31</v>
      </c>
      <c r="M74" s="891" t="str">
        <f>CHOOSE(MODE,"","V")</f>
        <v/>
      </c>
      <c r="N74" s="49"/>
      <c r="O74" s="49"/>
      <c r="P74" s="49"/>
      <c r="Q74" s="49"/>
      <c r="R74" s="82"/>
      <c r="S74" s="82"/>
      <c r="T74" s="75"/>
      <c r="U74" s="75"/>
      <c r="V74" s="75"/>
      <c r="W74" s="75"/>
      <c r="X74" s="75"/>
      <c r="Y74" s="75"/>
      <c r="Z74" s="506"/>
      <c r="AA74" s="500"/>
    </row>
    <row r="75" spans="1:27" ht="15.75" customHeight="1">
      <c r="A75" s="134"/>
      <c r="B75" s="133"/>
      <c r="C75" s="133"/>
      <c r="D75" s="135" t="str">
        <f>CHOOSE(MODE," Zener Clamp Dz or Dymmy Load Rdmy","Zener Clamp Dz1 or Dummy Load Rdmy1")</f>
        <v xml:space="preserve"> Zener Clamp Dz or Dymmy Load Rdmy</v>
      </c>
      <c r="E75" s="889" t="str">
        <f>CHOOSE(MODE, IF('Calculations - Single'!G329="Yes",IF(E74&gt;ROUND(Vout*11.25,0)/10, IF(E74/E10&gt;1.4,"None", "Dz"), "Rdmy"), "None"), IF('Calculations - Dual'!G329="Yes",IF(E74&gt;ROUND(Vout*11.25,0)/10, IF(E74/E10&gt;1.4,"None","Dz1"), "Rdmy1"), "None"))</f>
        <v>Rdmy</v>
      </c>
      <c r="F75" s="867"/>
      <c r="G75" s="896"/>
      <c r="H75" s="88"/>
      <c r="I75" s="49"/>
      <c r="J75" s="49"/>
      <c r="K75" s="87" t="str">
        <f>CHOOSE(MODE,"","Zener Clamp Dz2 or Dummy Load Rdmy2")</f>
        <v/>
      </c>
      <c r="L75" s="899" t="str">
        <f>CHOOSE(MODE, "", IF('Calculations - Dual'!N329="Yes",IF(ABS(L74)&gt;ROUND(Vout2*11.25,0)/10, IF(L74/Vout2&gt;1.4,"None","Dz2"), "Rdmy2"), "None"))</f>
        <v/>
      </c>
      <c r="M75" s="892"/>
      <c r="N75" s="49"/>
      <c r="O75" s="49"/>
      <c r="P75" s="49"/>
      <c r="Q75" s="49"/>
      <c r="R75" s="82"/>
      <c r="S75" s="82"/>
      <c r="T75" s="75"/>
      <c r="U75" s="75"/>
      <c r="V75" s="75"/>
      <c r="W75" s="75"/>
      <c r="X75" s="75"/>
      <c r="Y75" s="75"/>
      <c r="Z75" s="506"/>
      <c r="AA75" s="500"/>
    </row>
    <row r="76" spans="1:27" ht="15.75" customHeight="1" thickBot="1">
      <c r="A76" s="134"/>
      <c r="B76" s="133"/>
      <c r="C76" s="133"/>
      <c r="D76" s="135" t="s">
        <v>959</v>
      </c>
      <c r="E76" s="916">
        <f>CHOOSE(MODE,IF(OR(E75="Rdmy",E75="Rdmy1"),'Standard Value Calculator'!J23,IF(E75="None","None",ROUND(E74/0.0105,0)/100)),IF(OR(E75="Rdmy",E75="Rdmy1"),'Standard Value Calculator'!J24,IF(E75="None","None",ROUND(E74/0.0105,0)/100)))</f>
        <v>10200</v>
      </c>
      <c r="F76" s="867" t="str">
        <f>IF(OR(E75="DZ", E75="DZ1"), "V", IF(OR(E75="Rdmy", E75="Rdmy1"),"Ohm", ""))</f>
        <v>Ohm</v>
      </c>
      <c r="G76" s="882"/>
      <c r="H76" s="876"/>
      <c r="I76" s="211"/>
      <c r="J76" s="213"/>
      <c r="K76" s="87" t="str">
        <f>CHOOSE(MODE, "", "Selection "&amp;IF(L75="Dz", "Zener Clamp (5%)", IF(L75="Rdym", "Dummy Load (1%)", "")))</f>
        <v/>
      </c>
      <c r="L76" s="858" t="str">
        <f>CHOOSE(MODE,"",IF(L75="Rdmy2",'Standard Value Calculator'!J25,IF(L75="None","None",ROUND(ABS(L74)/0.0105,0)/100)))</f>
        <v/>
      </c>
      <c r="M76" s="838" t="str">
        <f>IF(L75="DZ2", "V", IF(L75="Rdmy2","Ohm", ""))</f>
        <v/>
      </c>
      <c r="N76" s="49"/>
      <c r="O76" s="49"/>
      <c r="P76" s="49"/>
      <c r="Q76" s="49"/>
      <c r="R76" s="82"/>
      <c r="S76" s="82"/>
      <c r="T76" s="75"/>
      <c r="U76" s="75"/>
      <c r="V76" s="75"/>
      <c r="W76" s="75"/>
      <c r="X76" s="75"/>
      <c r="Y76" s="75"/>
      <c r="Z76" s="506"/>
      <c r="AA76" s="500"/>
    </row>
    <row r="77" spans="1:27" ht="15.75" customHeight="1" thickBot="1">
      <c r="A77" s="787"/>
      <c r="B77" s="151"/>
      <c r="C77" s="151"/>
      <c r="D77" s="507" t="s">
        <v>897</v>
      </c>
      <c r="E77" s="870">
        <f>IF(OR(E75="Rdmy",E75="Rdmy1"),(Vout*1.08)^2/E76*4, IF(OR(E75="Dz",E75="Dz1"), E76*1.065*E73*4*1*0+'Standard Value Calculator'!I27*5, "N/A"))</f>
        <v>0.35861082352941182</v>
      </c>
      <c r="F77" s="871" t="s">
        <v>45</v>
      </c>
      <c r="G77" s="89"/>
      <c r="H77" s="893"/>
      <c r="I77" s="894"/>
      <c r="J77" s="895"/>
      <c r="K77" s="208" t="str">
        <f>CHOOSE(MODE, "", "Selected Device Min Power Rating&gt;")</f>
        <v/>
      </c>
      <c r="L77" s="560" t="str">
        <f>CHOOSE(MODE, "", IF(L75="Rdmy2",(Vout2*1.08)^2/L76*4, IF(L75="Dz2", ABS(L60*1.065*L73*4*0+'Standard Value Calculator'!I29*5), "")))</f>
        <v/>
      </c>
      <c r="M77" s="816" t="str">
        <f>CHOOSE(MODE, "", "W")</f>
        <v/>
      </c>
      <c r="N77" s="49"/>
      <c r="O77" s="49"/>
      <c r="P77" s="49"/>
      <c r="Q77" s="49"/>
      <c r="R77" s="82"/>
      <c r="S77" s="82"/>
      <c r="T77" s="75"/>
      <c r="U77" s="75"/>
      <c r="V77" s="75"/>
      <c r="W77" s="75"/>
      <c r="X77" s="75"/>
      <c r="Y77" s="75"/>
      <c r="Z77" s="506"/>
      <c r="AA77" s="500"/>
    </row>
    <row r="78" spans="1:27" ht="15.75" customHeight="1">
      <c r="A78" s="134"/>
      <c r="B78" s="133"/>
      <c r="C78" s="133"/>
      <c r="D78" s="135"/>
      <c r="E78" s="777"/>
      <c r="F78" s="75"/>
      <c r="G78" s="89"/>
      <c r="H78" s="135"/>
      <c r="I78" s="211"/>
      <c r="J78" s="213"/>
      <c r="K78" s="82"/>
      <c r="L78" s="82"/>
      <c r="M78" s="49"/>
      <c r="N78" s="49"/>
      <c r="O78" s="49"/>
      <c r="P78" s="49"/>
      <c r="Q78" s="49"/>
      <c r="R78" s="82"/>
      <c r="S78" s="82"/>
      <c r="T78" s="75"/>
      <c r="U78" s="75"/>
      <c r="V78" s="75"/>
      <c r="W78" s="75"/>
      <c r="X78" s="75"/>
      <c r="Y78" s="75"/>
      <c r="Z78" s="506"/>
      <c r="AA78" s="500"/>
    </row>
    <row r="79" spans="1:27" ht="15.75" customHeight="1" thickBot="1">
      <c r="A79" s="455" t="s">
        <v>896</v>
      </c>
      <c r="B79" s="89"/>
      <c r="C79" s="89"/>
      <c r="D79" s="87"/>
      <c r="E79" s="99"/>
      <c r="F79" s="89"/>
      <c r="G79" s="89"/>
      <c r="H79" s="135"/>
      <c r="I79" s="211"/>
      <c r="J79" s="213"/>
      <c r="K79" s="82"/>
      <c r="L79" s="82"/>
      <c r="M79" s="49"/>
      <c r="N79" s="49"/>
      <c r="O79" s="49"/>
      <c r="P79" s="49"/>
      <c r="Q79" s="49"/>
      <c r="R79" s="82"/>
      <c r="S79" s="82"/>
      <c r="T79" s="75"/>
      <c r="U79" s="75"/>
      <c r="V79" s="75"/>
      <c r="W79" s="75"/>
      <c r="X79" s="75"/>
      <c r="Y79" s="75"/>
      <c r="Z79" s="506"/>
      <c r="AA79" s="500"/>
    </row>
    <row r="80" spans="1:27" ht="15.75" customHeight="1">
      <c r="A80" s="566"/>
      <c r="B80" s="501"/>
      <c r="C80" s="501"/>
      <c r="D80" s="567" t="s">
        <v>924</v>
      </c>
      <c r="E80" s="570">
        <v>0.4</v>
      </c>
      <c r="F80" s="568" t="s">
        <v>0</v>
      </c>
      <c r="G80" s="89"/>
      <c r="H80" s="135"/>
      <c r="I80" s="211"/>
      <c r="J80" s="213"/>
      <c r="K80" s="82"/>
      <c r="L80" s="82"/>
      <c r="M80" s="49"/>
      <c r="N80" s="49"/>
      <c r="O80" s="49"/>
      <c r="P80" s="49"/>
      <c r="Q80" s="49"/>
      <c r="R80" s="82"/>
      <c r="S80" s="82"/>
      <c r="T80" s="75"/>
      <c r="U80" s="75"/>
      <c r="V80" s="75"/>
      <c r="W80" s="75"/>
      <c r="X80" s="75"/>
      <c r="Y80" s="75"/>
      <c r="Z80" s="506"/>
      <c r="AA80" s="500"/>
    </row>
    <row r="81" spans="1:35" ht="15.75" customHeight="1">
      <c r="A81" s="425"/>
      <c r="B81" s="75"/>
      <c r="C81" s="75"/>
      <c r="D81" s="842" t="s">
        <v>925</v>
      </c>
      <c r="E81" s="844">
        <f>L31</f>
        <v>0.7</v>
      </c>
      <c r="F81" s="843" t="s">
        <v>0</v>
      </c>
      <c r="G81" s="89"/>
      <c r="H81" s="135"/>
      <c r="I81" s="211"/>
      <c r="J81" s="213"/>
      <c r="K81" s="82"/>
      <c r="L81" s="82"/>
      <c r="M81" s="49"/>
      <c r="N81" s="49"/>
      <c r="O81" s="49"/>
      <c r="P81" s="49"/>
      <c r="Q81" s="49"/>
      <c r="R81" s="82"/>
      <c r="S81" s="82"/>
      <c r="T81" s="75"/>
      <c r="U81" s="75"/>
      <c r="V81" s="75"/>
      <c r="W81" s="75"/>
      <c r="X81" s="75"/>
      <c r="Y81" s="75"/>
      <c r="Z81" s="506"/>
      <c r="AA81" s="500"/>
    </row>
    <row r="82" spans="1:35" ht="15.75" customHeight="1">
      <c r="A82" s="88"/>
      <c r="B82" s="133"/>
      <c r="C82" s="133"/>
      <c r="D82" s="135" t="s">
        <v>958</v>
      </c>
      <c r="E82" s="915">
        <v>52.8</v>
      </c>
      <c r="F82" s="914" t="s">
        <v>84</v>
      </c>
      <c r="G82" s="89"/>
      <c r="H82" s="135"/>
      <c r="I82" s="211"/>
      <c r="J82" s="213"/>
      <c r="K82" s="82"/>
      <c r="L82" s="82"/>
      <c r="M82" s="49"/>
      <c r="N82" s="49"/>
      <c r="O82" s="49"/>
      <c r="P82" s="49"/>
      <c r="Q82" s="49"/>
      <c r="R82" s="82"/>
      <c r="S82" s="82"/>
      <c r="T82" s="75"/>
      <c r="U82" s="75"/>
      <c r="V82" s="75"/>
      <c r="W82" s="75"/>
      <c r="X82" s="75"/>
      <c r="Y82" s="75"/>
      <c r="Z82" s="506"/>
      <c r="AA82" s="500"/>
    </row>
    <row r="83" spans="1:35" ht="15.75" customHeight="1">
      <c r="A83" s="88"/>
      <c r="B83" s="89"/>
      <c r="C83" s="89"/>
      <c r="D83" s="86" t="s">
        <v>505</v>
      </c>
      <c r="E83" s="565">
        <v>85</v>
      </c>
      <c r="F83" s="430" t="s">
        <v>102</v>
      </c>
      <c r="G83" s="89"/>
      <c r="H83" s="135"/>
      <c r="I83" s="211"/>
      <c r="J83" s="213"/>
      <c r="K83" s="82"/>
      <c r="L83" s="82"/>
      <c r="M83" s="49"/>
      <c r="N83" s="49"/>
      <c r="O83" s="49"/>
      <c r="P83" s="49"/>
      <c r="Q83" s="49"/>
      <c r="R83" s="82"/>
      <c r="S83" s="82"/>
      <c r="T83" s="75"/>
      <c r="U83" s="75"/>
      <c r="V83" s="75"/>
      <c r="W83" s="75"/>
      <c r="X83" s="75"/>
      <c r="Y83" s="75"/>
      <c r="Z83" s="506"/>
      <c r="AA83" s="500"/>
    </row>
    <row r="84" spans="1:35" ht="15.75" customHeight="1">
      <c r="A84" s="88"/>
      <c r="B84" s="89"/>
      <c r="C84" s="89"/>
      <c r="D84" s="87" t="s">
        <v>779</v>
      </c>
      <c r="E84" s="370">
        <f>CHOOSE(MODE, 'Calculations - Single'!BL105, 'Calculations - Dual'!BJ105)</f>
        <v>44.719017777748597</v>
      </c>
      <c r="F84" s="103" t="s">
        <v>293</v>
      </c>
      <c r="G84" s="89"/>
      <c r="H84" s="135"/>
      <c r="I84" s="211"/>
      <c r="J84" s="213"/>
      <c r="K84" s="82"/>
      <c r="L84" s="82"/>
      <c r="M84" s="49"/>
      <c r="N84" s="49"/>
      <c r="O84" s="49"/>
      <c r="P84" s="49"/>
      <c r="Q84" s="49"/>
      <c r="R84" s="82"/>
      <c r="S84" s="82"/>
      <c r="T84" s="75"/>
      <c r="U84" s="75"/>
      <c r="V84" s="75"/>
      <c r="W84" s="75"/>
      <c r="X84" s="75"/>
      <c r="Y84" s="75"/>
      <c r="Z84" s="506"/>
      <c r="AA84" s="500"/>
    </row>
    <row r="85" spans="1:35" ht="15.75" customHeight="1" thickBot="1">
      <c r="A85" s="101"/>
      <c r="B85" s="102"/>
      <c r="C85" s="102"/>
      <c r="D85" s="373" t="s">
        <v>780</v>
      </c>
      <c r="E85" s="512">
        <f>E83+E84/1000*ThetaJA</f>
        <v>87.361164138665131</v>
      </c>
      <c r="F85" s="431" t="s">
        <v>102</v>
      </c>
      <c r="G85" s="89"/>
      <c r="H85" s="135"/>
      <c r="I85" s="211"/>
      <c r="J85" s="213"/>
      <c r="K85" s="82"/>
      <c r="L85" s="82"/>
      <c r="M85" s="49"/>
      <c r="N85" s="49"/>
      <c r="O85" s="49"/>
      <c r="P85" s="49"/>
      <c r="Q85" s="49"/>
      <c r="R85" s="82"/>
      <c r="S85" s="82"/>
      <c r="T85" s="75"/>
      <c r="U85" s="75"/>
      <c r="V85" s="75"/>
      <c r="W85" s="75"/>
      <c r="X85" s="75"/>
      <c r="Y85" s="75"/>
      <c r="Z85" s="506"/>
      <c r="AA85" s="500"/>
    </row>
    <row r="86" spans="1:35" ht="15.75" customHeight="1" thickBot="1">
      <c r="A86" s="101"/>
      <c r="B86" s="104"/>
      <c r="C86" s="104"/>
      <c r="D86" s="104"/>
      <c r="E86" s="560"/>
      <c r="F86" s="104"/>
      <c r="G86" s="104"/>
      <c r="H86" s="104"/>
      <c r="I86" s="504"/>
      <c r="J86" s="504"/>
      <c r="K86" s="504"/>
      <c r="L86" s="504"/>
      <c r="M86" s="504"/>
      <c r="N86" s="504"/>
      <c r="O86" s="504"/>
      <c r="P86" s="504"/>
      <c r="Q86" s="504"/>
      <c r="R86" s="502"/>
      <c r="S86" s="502"/>
      <c r="T86" s="502"/>
      <c r="U86" s="503"/>
      <c r="V86" s="503"/>
      <c r="W86" s="502"/>
      <c r="X86" s="502"/>
      <c r="Y86" s="502"/>
      <c r="Z86" s="561"/>
      <c r="AA86" s="500"/>
      <c r="AB86" s="23"/>
      <c r="AC86" s="23"/>
      <c r="AD86" s="23"/>
      <c r="AG86" s="23"/>
      <c r="AH86" s="23"/>
      <c r="AI86" s="23"/>
    </row>
    <row r="87" spans="1:35">
      <c r="A87" s="415"/>
      <c r="B87" s="416"/>
      <c r="C87" s="417"/>
      <c r="D87" s="417"/>
      <c r="E87" s="417"/>
      <c r="F87" s="417"/>
      <c r="G87" s="417"/>
      <c r="H87" s="417"/>
      <c r="I87" s="417"/>
      <c r="J87" s="417"/>
      <c r="K87" s="417"/>
      <c r="L87" s="417"/>
      <c r="M87" s="417"/>
      <c r="N87" s="417"/>
      <c r="O87" s="417"/>
      <c r="P87" s="417"/>
      <c r="Q87" s="417"/>
      <c r="R87" s="414"/>
      <c r="S87" s="414"/>
      <c r="T87" s="414"/>
      <c r="U87" s="500"/>
      <c r="V87" s="500"/>
      <c r="W87" s="414"/>
      <c r="X87" s="414"/>
      <c r="Y87" s="414"/>
      <c r="Z87" s="500"/>
      <c r="AA87" s="500"/>
      <c r="AB87" s="23"/>
      <c r="AC87" s="23"/>
      <c r="AD87" s="23"/>
      <c r="AG87" s="23"/>
      <c r="AH87" s="23"/>
      <c r="AI87" s="23"/>
    </row>
    <row r="88" spans="1:35">
      <c r="A88" s="45"/>
      <c r="B88" s="45"/>
      <c r="C88" s="45"/>
      <c r="D88" s="45"/>
      <c r="E88" s="45"/>
      <c r="F88" s="45"/>
      <c r="G88" s="45"/>
      <c r="H88" s="45"/>
      <c r="I88" s="45"/>
      <c r="J88" s="45"/>
      <c r="K88" s="45" t="s">
        <v>849</v>
      </c>
      <c r="L88" s="45"/>
      <c r="M88" s="45"/>
      <c r="N88" s="45"/>
      <c r="O88" s="45"/>
      <c r="P88" s="45"/>
      <c r="Q88" s="45"/>
      <c r="R88" s="23"/>
      <c r="S88" s="23"/>
      <c r="T88" s="23"/>
      <c r="W88" s="23"/>
      <c r="X88" s="23"/>
      <c r="Y88" s="23"/>
      <c r="AB88" s="23"/>
      <c r="AC88" s="23"/>
      <c r="AD88" s="23"/>
      <c r="AG88" s="23"/>
      <c r="AH88" s="23"/>
      <c r="AI88" s="23"/>
    </row>
    <row r="89" spans="1:35">
      <c r="B89" s="45"/>
      <c r="C89" s="45"/>
      <c r="D89" s="45"/>
      <c r="E89" s="45"/>
      <c r="F89" s="45"/>
      <c r="G89" s="45"/>
      <c r="H89" s="45"/>
      <c r="I89" s="45"/>
      <c r="J89" s="45"/>
      <c r="K89" s="45"/>
      <c r="L89" s="45"/>
      <c r="R89" s="23"/>
      <c r="S89" s="23"/>
      <c r="T89" s="23"/>
      <c r="W89" s="23"/>
      <c r="X89" s="23"/>
      <c r="Y89" s="23"/>
      <c r="AB89" s="23"/>
      <c r="AC89" s="23"/>
      <c r="AD89" s="23"/>
      <c r="AG89" s="23"/>
      <c r="AH89" s="23"/>
      <c r="AI89" s="23"/>
    </row>
    <row r="90" spans="1:35">
      <c r="B90" s="45"/>
      <c r="C90" s="45"/>
      <c r="D90" s="45"/>
      <c r="E90" s="45"/>
      <c r="F90" s="45"/>
      <c r="G90" s="45"/>
      <c r="H90" s="45"/>
      <c r="I90" s="45"/>
      <c r="J90" s="45"/>
      <c r="K90" s="45"/>
      <c r="L90" s="45"/>
      <c r="R90" s="23"/>
      <c r="S90" s="23"/>
      <c r="T90" s="23"/>
      <c r="W90" s="23"/>
      <c r="X90" s="23"/>
      <c r="Y90" s="23"/>
      <c r="AB90" s="23"/>
      <c r="AC90" s="23"/>
      <c r="AD90" s="23"/>
      <c r="AG90" s="23"/>
      <c r="AH90" s="23"/>
      <c r="AI90" s="23"/>
    </row>
    <row r="91" spans="1:35">
      <c r="B91" s="45"/>
      <c r="C91" s="45"/>
      <c r="D91" s="45"/>
      <c r="E91" s="45"/>
      <c r="F91" s="45"/>
      <c r="G91" s="45"/>
      <c r="H91" s="45"/>
      <c r="I91" s="45"/>
      <c r="J91" s="45"/>
      <c r="K91" s="45"/>
      <c r="L91" s="45"/>
      <c r="R91" s="23"/>
      <c r="S91" s="23"/>
      <c r="T91" s="23"/>
      <c r="W91" s="23"/>
      <c r="X91" s="23"/>
      <c r="Y91" s="23"/>
      <c r="AB91" s="23"/>
      <c r="AC91" s="23"/>
      <c r="AD91" s="23"/>
      <c r="AG91" s="23"/>
      <c r="AH91" s="23"/>
      <c r="AI91" s="23"/>
    </row>
    <row r="92" spans="1:35">
      <c r="B92" s="45"/>
      <c r="C92" s="45"/>
      <c r="D92" s="45"/>
      <c r="E92" s="45"/>
      <c r="F92" s="45"/>
      <c r="G92" s="45"/>
      <c r="H92" s="45"/>
      <c r="I92" s="45"/>
      <c r="J92" s="45"/>
      <c r="K92" s="45"/>
      <c r="L92" s="45"/>
      <c r="R92" s="23"/>
      <c r="S92" s="23"/>
      <c r="T92" s="23"/>
      <c r="W92" s="23"/>
      <c r="X92" s="23"/>
      <c r="Y92" s="23"/>
      <c r="AB92" s="23"/>
      <c r="AC92" s="23"/>
      <c r="AD92" s="23"/>
      <c r="AG92" s="23"/>
      <c r="AH92" s="23"/>
      <c r="AI92" s="23"/>
    </row>
  </sheetData>
  <sheetProtection algorithmName="SHA-512" hashValue="zP62NDrkP8k5beUd8zbudD5+Cxq+zARJC+DJNmCi0W+OtQoQR4RuTACcQOInFXp2VG5BXHw1G1+UE4Md1FzDog==" saltValue="wVPJQJLAvC5dKrVQGZJdFQ==" spinCount="100000" sheet="1" objects="1" scenarios="1" selectLockedCells="1"/>
  <phoneticPr fontId="6" type="noConversion"/>
  <conditionalFormatting sqref="E10">
    <cfRule type="cellIs" dxfId="75" priority="145" stopIfTrue="1" operator="notBetween">
      <formula>-200</formula>
      <formula>200</formula>
    </cfRule>
  </conditionalFormatting>
  <conditionalFormatting sqref="E34">
    <cfRule type="cellIs" dxfId="74" priority="142" stopIfTrue="1" operator="lessThan">
      <formula>$E$33</formula>
    </cfRule>
  </conditionalFormatting>
  <conditionalFormatting sqref="E30">
    <cfRule type="cellIs" dxfId="73" priority="138" stopIfTrue="1" operator="lessThan">
      <formula>$E$29</formula>
    </cfRule>
  </conditionalFormatting>
  <conditionalFormatting sqref="E31">
    <cfRule type="cellIs" dxfId="72" priority="137" stopIfTrue="1" operator="equal">
      <formula>0</formula>
    </cfRule>
  </conditionalFormatting>
  <conditionalFormatting sqref="E48">
    <cfRule type="cellIs" dxfId="71" priority="134" operator="notBetween">
      <formula>100</formula>
      <formula>4.5</formula>
    </cfRule>
  </conditionalFormatting>
  <conditionalFormatting sqref="E42">
    <cfRule type="cellIs" dxfId="70" priority="132" operator="lessThan">
      <formula>6</formula>
    </cfRule>
  </conditionalFormatting>
  <conditionalFormatting sqref="E42:F42">
    <cfRule type="expression" dxfId="69" priority="116">
      <formula>OR(MODE_SS=2,MODE_SS=3)</formula>
    </cfRule>
  </conditionalFormatting>
  <conditionalFormatting sqref="D42">
    <cfRule type="expression" dxfId="68" priority="115">
      <formula>OR(MODE_SS=2,MODE_SS=3)</formula>
    </cfRule>
  </conditionalFormatting>
  <conditionalFormatting sqref="D43:F43">
    <cfRule type="expression" dxfId="67" priority="114">
      <formula>OR(MODE_SS=2,MODE_SS=3)</formula>
    </cfRule>
  </conditionalFormatting>
  <conditionalFormatting sqref="D48">
    <cfRule type="expression" dxfId="66" priority="112">
      <formula>MODE_UVLO=2</formula>
    </cfRule>
  </conditionalFormatting>
  <conditionalFormatting sqref="E85">
    <cfRule type="cellIs" dxfId="65" priority="94" operator="notBetween">
      <formula>-40</formula>
      <formula>150</formula>
    </cfRule>
  </conditionalFormatting>
  <conditionalFormatting sqref="E83">
    <cfRule type="cellIs" dxfId="64" priority="93" operator="notBetween">
      <formula>-40</formula>
      <formula>150</formula>
    </cfRule>
  </conditionalFormatting>
  <conditionalFormatting sqref="F33">
    <cfRule type="cellIs" dxfId="63" priority="92" stopIfTrue="1" operator="lessThanOrEqual">
      <formula>0</formula>
    </cfRule>
  </conditionalFormatting>
  <conditionalFormatting sqref="F50:F51">
    <cfRule type="expression" dxfId="62" priority="84">
      <formula>MODE_UVLO=2</formula>
    </cfRule>
  </conditionalFormatting>
  <conditionalFormatting sqref="F29">
    <cfRule type="cellIs" dxfId="61" priority="74" stopIfTrue="1" operator="lessThanOrEqual">
      <formula>0</formula>
    </cfRule>
  </conditionalFormatting>
  <conditionalFormatting sqref="J51:J52">
    <cfRule type="cellIs" dxfId="60" priority="156" stopIfTrue="1" operator="notBetween">
      <formula>600</formula>
      <formula>50</formula>
    </cfRule>
    <cfRule type="cellIs" dxfId="59" priority="157" stopIfTrue="1" operator="greaterThan">
      <formula>$E$9</formula>
    </cfRule>
  </conditionalFormatting>
  <conditionalFormatting sqref="E12">
    <cfRule type="cellIs" dxfId="58" priority="72" operator="notBetween">
      <formula>-200</formula>
      <formula>200</formula>
    </cfRule>
  </conditionalFormatting>
  <conditionalFormatting sqref="E13">
    <cfRule type="expression" dxfId="57" priority="71">
      <formula>($E$12*$E$13)&lt;0</formula>
    </cfRule>
  </conditionalFormatting>
  <conditionalFormatting sqref="E35">
    <cfRule type="cellIs" dxfId="56" priority="66" stopIfTrue="1" operator="equal">
      <formula>0</formula>
    </cfRule>
  </conditionalFormatting>
  <conditionalFormatting sqref="D45">
    <cfRule type="expression" dxfId="55" priority="61">
      <formula>OR(TC=2)</formula>
    </cfRule>
  </conditionalFormatting>
  <conditionalFormatting sqref="D46:F46 E45:F45">
    <cfRule type="expression" dxfId="54" priority="60">
      <formula>OR(TC=2)</formula>
    </cfRule>
  </conditionalFormatting>
  <conditionalFormatting sqref="L35">
    <cfRule type="cellIs" dxfId="53" priority="54" stopIfTrue="1" operator="equal">
      <formula>0</formula>
    </cfRule>
  </conditionalFormatting>
  <conditionalFormatting sqref="L34">
    <cfRule type="cellIs" dxfId="52" priority="56" stopIfTrue="1" operator="lessThan">
      <formula>$L$33</formula>
    </cfRule>
  </conditionalFormatting>
  <conditionalFormatting sqref="M33">
    <cfRule type="cellIs" dxfId="51" priority="55" stopIfTrue="1" operator="lessThanOrEqual">
      <formula>0</formula>
    </cfRule>
  </conditionalFormatting>
  <conditionalFormatting sqref="W63">
    <cfRule type="cellIs" dxfId="50" priority="41" stopIfTrue="1" operator="notBetween">
      <formula>100</formula>
      <formula>4.5</formula>
    </cfRule>
  </conditionalFormatting>
  <conditionalFormatting sqref="E7">
    <cfRule type="cellIs" dxfId="49" priority="4" operator="notBetween">
      <formula>$E$6</formula>
      <formula>100</formula>
    </cfRule>
  </conditionalFormatting>
  <conditionalFormatting sqref="E8">
    <cfRule type="cellIs" dxfId="48" priority="38" operator="notBetween">
      <formula>$E$7</formula>
      <formula>100</formula>
    </cfRule>
  </conditionalFormatting>
  <conditionalFormatting sqref="E17">
    <cfRule type="cellIs" dxfId="47" priority="35" stopIfTrue="1" operator="greaterThan">
      <formula>$E$16</formula>
    </cfRule>
  </conditionalFormatting>
  <conditionalFormatting sqref="E58">
    <cfRule type="cellIs" dxfId="46" priority="22" operator="greaterThan">
      <formula>$E$57</formula>
    </cfRule>
  </conditionalFormatting>
  <conditionalFormatting sqref="E23">
    <cfRule type="cellIs" dxfId="45" priority="195" stopIfTrue="1" operator="lessThan">
      <formula>$E$22</formula>
    </cfRule>
  </conditionalFormatting>
  <conditionalFormatting sqref="E48:F49">
    <cfRule type="expression" dxfId="44" priority="18">
      <formula>OR(MODE_UVLO=2)</formula>
    </cfRule>
  </conditionalFormatting>
  <conditionalFormatting sqref="C50:E50">
    <cfRule type="expression" dxfId="43" priority="17">
      <formula>OR(MODE_UVLO=2)</formula>
    </cfRule>
  </conditionalFormatting>
  <conditionalFormatting sqref="C51:E51">
    <cfRule type="expression" dxfId="42" priority="16">
      <formula>OR(MODE_UVLO=2)</formula>
    </cfRule>
  </conditionalFormatting>
  <conditionalFormatting sqref="S31">
    <cfRule type="cellIs" dxfId="41" priority="10" operator="notBetween">
      <formula>0.3</formula>
      <formula>1.5</formula>
    </cfRule>
  </conditionalFormatting>
  <conditionalFormatting sqref="E80">
    <cfRule type="cellIs" dxfId="40" priority="9" operator="greaterThan">
      <formula>$E$81</formula>
    </cfRule>
  </conditionalFormatting>
  <conditionalFormatting sqref="E6">
    <cfRule type="cellIs" dxfId="39" priority="5" operator="notBetween">
      <formula>4.5</formula>
      <formula>100</formula>
    </cfRule>
  </conditionalFormatting>
  <conditionalFormatting sqref="E74">
    <cfRule type="cellIs" dxfId="38" priority="3" operator="lessThan">
      <formula>$E$10*1.03</formula>
    </cfRule>
  </conditionalFormatting>
  <conditionalFormatting sqref="L74">
    <cfRule type="cellIs" dxfId="37" priority="2" operator="lessThan">
      <formula>$E$12*1.03</formula>
    </cfRule>
  </conditionalFormatting>
  <conditionalFormatting sqref="E40">
    <cfRule type="cellIs" dxfId="36" priority="1" operator="notBetween">
      <formula>$E$39*0.969</formula>
      <formula>$E$39*1.031</formula>
    </cfRule>
  </conditionalFormatting>
  <hyperlinks>
    <hyperlink ref="C3" r:id="rId1" xr:uid="{00000000-0004-0000-0000-000000000000}"/>
  </hyperlinks>
  <printOptions horizontalCentered="1" verticalCentered="1"/>
  <pageMargins left="0.1" right="0.1" top="0.1" bottom="0.1" header="0.25" footer="0.25"/>
  <pageSetup scale="61" orientation="landscape" r:id="rId2"/>
  <headerFooter alignWithMargins="0"/>
  <rowBreaks count="1" manualBreakCount="1">
    <brk id="87" max="16383" man="1"/>
  </rowBreaks>
  <drawing r:id="rId3"/>
  <legacyDrawing r:id="rId4"/>
  <legacyDrawingHF r:id="rId5"/>
  <mc:AlternateContent xmlns:mc="http://schemas.openxmlformats.org/markup-compatibility/2006">
    <mc:Choice Requires="x14">
      <controls>
        <mc:AlternateContent xmlns:mc="http://schemas.openxmlformats.org/markup-compatibility/2006">
          <mc:Choice Requires="x14">
            <control shapeId="751583" r:id="rId6" name="Drop Down 6111">
              <controlPr defaultSize="0" autoLine="0" autoPict="0">
                <anchor moveWithCells="1">
                  <from>
                    <xdr:col>24</xdr:col>
                    <xdr:colOff>304800</xdr:colOff>
                    <xdr:row>0</xdr:row>
                    <xdr:rowOff>412750</xdr:rowOff>
                  </from>
                  <to>
                    <xdr:col>25</xdr:col>
                    <xdr:colOff>222250</xdr:colOff>
                    <xdr:row>1</xdr:row>
                    <xdr:rowOff>63500</xdr:rowOff>
                  </to>
                </anchor>
              </controlPr>
            </control>
          </mc:Choice>
        </mc:AlternateContent>
        <mc:AlternateContent xmlns:mc="http://schemas.openxmlformats.org/markup-compatibility/2006">
          <mc:Choice Requires="x14">
            <control shapeId="672935" r:id="rId7" name="Drop Down 167">
              <controlPr defaultSize="0" autoLine="0" autoPict="0">
                <anchor moveWithCells="1">
                  <from>
                    <xdr:col>4</xdr:col>
                    <xdr:colOff>12700</xdr:colOff>
                    <xdr:row>40</xdr:row>
                    <xdr:rowOff>0</xdr:rowOff>
                  </from>
                  <to>
                    <xdr:col>5</xdr:col>
                    <xdr:colOff>279400</xdr:colOff>
                    <xdr:row>41</xdr:row>
                    <xdr:rowOff>31750</xdr:rowOff>
                  </to>
                </anchor>
              </controlPr>
            </control>
          </mc:Choice>
        </mc:AlternateContent>
        <mc:AlternateContent xmlns:mc="http://schemas.openxmlformats.org/markup-compatibility/2006">
          <mc:Choice Requires="x14">
            <control shapeId="673043" r:id="rId8" name="Drop Down 275">
              <controlPr defaultSize="0" autoLine="0" autoPict="0">
                <anchor moveWithCells="1">
                  <from>
                    <xdr:col>4</xdr:col>
                    <xdr:colOff>12700</xdr:colOff>
                    <xdr:row>46</xdr:row>
                    <xdr:rowOff>0</xdr:rowOff>
                  </from>
                  <to>
                    <xdr:col>5</xdr:col>
                    <xdr:colOff>260350</xdr:colOff>
                    <xdr:row>46</xdr:row>
                    <xdr:rowOff>203200</xdr:rowOff>
                  </to>
                </anchor>
              </controlPr>
            </control>
          </mc:Choice>
        </mc:AlternateContent>
        <mc:AlternateContent xmlns:mc="http://schemas.openxmlformats.org/markup-compatibility/2006">
          <mc:Choice Requires="x14">
            <control shapeId="697343" r:id="rId9" name="Drop Down 3071">
              <controlPr defaultSize="0" autoLine="0" autoPict="0">
                <anchor moveWithCells="1">
                  <from>
                    <xdr:col>11</xdr:col>
                    <xdr:colOff>12700</xdr:colOff>
                    <xdr:row>12</xdr:row>
                    <xdr:rowOff>0</xdr:rowOff>
                  </from>
                  <to>
                    <xdr:col>12</xdr:col>
                    <xdr:colOff>69850</xdr:colOff>
                    <xdr:row>13</xdr:row>
                    <xdr:rowOff>6350</xdr:rowOff>
                  </to>
                </anchor>
              </controlPr>
            </control>
          </mc:Choice>
        </mc:AlternateContent>
        <mc:AlternateContent xmlns:mc="http://schemas.openxmlformats.org/markup-compatibility/2006">
          <mc:Choice Requires="x14">
            <control shapeId="714798" r:id="rId10" name="Drop Down 3118">
              <controlPr defaultSize="0" autoLine="0" autoPict="0">
                <anchor moveWithCells="1">
                  <from>
                    <xdr:col>4</xdr:col>
                    <xdr:colOff>0</xdr:colOff>
                    <xdr:row>43</xdr:row>
                    <xdr:rowOff>12700</xdr:rowOff>
                  </from>
                  <to>
                    <xdr:col>5</xdr:col>
                    <xdr:colOff>266700</xdr:colOff>
                    <xdr:row>44</xdr:row>
                    <xdr:rowOff>12700</xdr:rowOff>
                  </to>
                </anchor>
              </controlPr>
            </control>
          </mc:Choice>
        </mc:AlternateContent>
        <mc:AlternateContent xmlns:mc="http://schemas.openxmlformats.org/markup-compatibility/2006">
          <mc:Choice Requires="x14">
            <control shapeId="715085" r:id="rId11" name="Drop Down 3405">
              <controlPr locked="0" defaultSize="0" autoLine="0" autoPict="0">
                <anchor moveWithCells="1">
                  <from>
                    <xdr:col>4</xdr:col>
                    <xdr:colOff>0</xdr:colOff>
                    <xdr:row>7</xdr:row>
                    <xdr:rowOff>190500</xdr:rowOff>
                  </from>
                  <to>
                    <xdr:col>5</xdr:col>
                    <xdr:colOff>76200</xdr:colOff>
                    <xdr:row>8</xdr:row>
                    <xdr:rowOff>190500</xdr:rowOff>
                  </to>
                </anchor>
              </controlPr>
            </control>
          </mc:Choice>
        </mc:AlternateContent>
        <mc:AlternateContent xmlns:mc="http://schemas.openxmlformats.org/markup-compatibility/2006">
          <mc:Choice Requires="x14">
            <control shapeId="672895" r:id="rId12" name="Spinner 127">
              <controlPr defaultSize="0" autoPict="0">
                <anchor moveWithCells="1" sizeWithCells="1">
                  <from>
                    <xdr:col>5</xdr:col>
                    <xdr:colOff>127000</xdr:colOff>
                    <xdr:row>6</xdr:row>
                    <xdr:rowOff>12700</xdr:rowOff>
                  </from>
                  <to>
                    <xdr:col>5</xdr:col>
                    <xdr:colOff>304800</xdr:colOff>
                    <xdr:row>7</xdr:row>
                    <xdr:rowOff>31750</xdr:rowOff>
                  </to>
                </anchor>
              </controlPr>
            </control>
          </mc:Choice>
        </mc:AlternateContent>
        <mc:AlternateContent xmlns:mc="http://schemas.openxmlformats.org/markup-compatibility/2006">
          <mc:Choice Requires="x14">
            <control shapeId="751280" r:id="rId13" name="Spinner 5808">
              <controlPr defaultSize="0" autoPict="0">
                <anchor moveWithCells="1" sizeWithCells="1">
                  <from>
                    <xdr:col>23</xdr:col>
                    <xdr:colOff>127000</xdr:colOff>
                    <xdr:row>62</xdr:row>
                    <xdr:rowOff>12700</xdr:rowOff>
                  </from>
                  <to>
                    <xdr:col>23</xdr:col>
                    <xdr:colOff>304800</xdr:colOff>
                    <xdr:row>63</xdr:row>
                    <xdr:rowOff>31750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6" id="{2F97F2FF-95A0-40C5-B045-6ADA68EA7C2F}">
            <xm:f>'Variable Mgmt'!$B$58</xm:f>
            <x14:dxf>
              <font>
                <strike val="0"/>
                <color theme="0"/>
              </font>
              <fill>
                <patternFill>
                  <bgColor theme="0"/>
                </patternFill>
              </fill>
            </x14:dxf>
          </x14:cfRule>
          <xm:sqref>E12:E13</xm:sqref>
        </x14:conditionalFormatting>
        <x14:conditionalFormatting xmlns:xm="http://schemas.microsoft.com/office/excel/2006/main">
          <x14:cfRule type="expression" priority="188" id="{9B976DD7-FFA8-454F-A63D-186A721FDF9C}">
            <xm:f>'Variable Mgmt'!$B$58</xm:f>
            <x14:dxf>
              <border>
                <bottom/>
                <vertical/>
                <horizontal/>
              </border>
            </x14:dxf>
          </x14:cfRule>
          <xm:sqref>A12:F13 A14:D14 F14</xm:sqref>
        </x14:conditionalFormatting>
        <x14:conditionalFormatting xmlns:xm="http://schemas.microsoft.com/office/excel/2006/main">
          <x14:cfRule type="expression" priority="189" id="{25C53C6F-CE07-4419-8FCF-F6B8FCD8434A}">
            <xm:f>'Variable Mgmt'!$B$58</xm:f>
            <x14:dxf>
              <border>
                <right/>
                <vertical/>
                <horizontal/>
              </border>
            </x14:dxf>
          </x14:cfRule>
          <xm:sqref>F12:F14</xm:sqref>
        </x14:conditionalFormatting>
        <x14:conditionalFormatting xmlns:xm="http://schemas.microsoft.com/office/excel/2006/main">
          <x14:cfRule type="expression" priority="59" id="{56BB0655-3B2C-4E9D-AD05-7700A46C30F4}">
            <xm:f>'Variable Mgmt'!$B$58=FALSE</xm:f>
            <x14:dxf>
              <border>
                <bottom/>
                <vertical/>
                <horizontal/>
              </border>
            </x14:dxf>
          </x14:cfRule>
          <xm:sqref>A12:F12</xm:sqref>
        </x14:conditionalFormatting>
        <x14:conditionalFormatting xmlns:xm="http://schemas.microsoft.com/office/excel/2006/main">
          <x14:cfRule type="expression" priority="58" id="{7DE853EF-1754-4C48-A140-FF26B3EC5CF8}">
            <xm:f>'Variable Mgmt'!$B$58=FALSE</xm:f>
            <x14:dxf>
              <border>
                <bottom/>
                <vertical/>
                <horizontal/>
              </border>
            </x14:dxf>
          </x14:cfRule>
          <xm:sqref>A11:F11</xm:sqref>
        </x14:conditionalFormatting>
        <x14:conditionalFormatting xmlns:xm="http://schemas.microsoft.com/office/excel/2006/main">
          <x14:cfRule type="expression" priority="53" id="{18CE8F81-B526-43C7-B5F1-BAA9C73809CD}">
            <xm:f>'Variable Mgmt'!$B$58=TRUE</xm:f>
            <x14:dxf>
              <font>
                <color theme="0"/>
              </font>
              <fill>
                <patternFill>
                  <bgColor theme="0"/>
                </patternFill>
              </fill>
              <border>
                <right/>
                <top/>
                <bottom/>
              </border>
            </x14:dxf>
          </x14:cfRule>
          <xm:sqref>K33:M36</xm:sqref>
        </x14:conditionalFormatting>
        <x14:conditionalFormatting xmlns:xm="http://schemas.microsoft.com/office/excel/2006/main">
          <x14:cfRule type="expression" priority="52" id="{B42E45EE-F49B-4512-9DB9-8B85B95C6919}">
            <xm:f>'Variable Mgmt'!$B$58=TRUE</xm:f>
            <x14:dxf>
              <border>
                <left/>
                <right/>
                <top/>
                <bottom/>
                <vertical/>
                <horizontal/>
              </border>
            </x14:dxf>
          </x14:cfRule>
          <xm:sqref>H33:J36</xm:sqref>
        </x14:conditionalFormatting>
        <x14:conditionalFormatting xmlns:xm="http://schemas.microsoft.com/office/excel/2006/main">
          <x14:cfRule type="expression" priority="51" id="{8076779E-531E-4945-9FF1-9C72CDB0D6DC}">
            <xm:f>'Variable Mgmt'!$B$58=TRUE</xm:f>
            <x14:dxf>
              <border>
                <top/>
                <bottom/>
                <vertical/>
                <horizontal/>
              </border>
            </x14:dxf>
          </x14:cfRule>
          <xm:sqref>G34:G35</xm:sqref>
        </x14:conditionalFormatting>
        <x14:conditionalFormatting xmlns:xm="http://schemas.microsoft.com/office/excel/2006/main">
          <x14:cfRule type="expression" priority="192" id="{2E385B5D-C8C9-48C7-B4AE-E1A8F27EB6E6}">
            <xm:f>Lmin_abs*0.000001&gt;'Variable Mgmt'!$B$80</xm:f>
            <x14:dxf>
              <font>
                <strike/>
                <color rgb="FFFF0000"/>
              </font>
            </x14:dxf>
          </x14:cfRule>
          <xm:sqref>L7</xm:sqref>
        </x14:conditionalFormatting>
        <x14:conditionalFormatting xmlns:xm="http://schemas.microsoft.com/office/excel/2006/main">
          <x14:cfRule type="expression" priority="193" id="{EE277573-B7FD-4D2F-97C3-CC46EAD89E7B}">
            <xm:f>AND('Variable Mgmt'!#REF!&gt;'Variable Mgmt'!$B$62*1/1000, MODE=1)</xm:f>
            <x14:dxf>
              <font>
                <b/>
                <i val="0"/>
                <color rgb="FFFF0000"/>
              </font>
            </x14:dxf>
          </x14:cfRule>
          <xm:sqref>L13</xm:sqref>
        </x14:conditionalFormatting>
        <x14:conditionalFormatting xmlns:xm="http://schemas.microsoft.com/office/excel/2006/main">
          <x14:cfRule type="expression" priority="50" id="{DA50B535-B6B5-4DFB-9CBC-C505A48C7EB5}">
            <xm:f>'Variable Mgmt'!$B$58=TRUE</xm:f>
            <x14:dxf>
              <font>
                <color theme="0"/>
              </font>
              <fill>
                <patternFill>
                  <bgColor theme="0"/>
                </patternFill>
              </fill>
            </x14:dxf>
          </x14:cfRule>
          <xm:sqref>L10</xm:sqref>
        </x14:conditionalFormatting>
        <x14:conditionalFormatting xmlns:xm="http://schemas.microsoft.com/office/excel/2006/main">
          <x14:cfRule type="expression" priority="48" id="{2E35C64D-1122-4B17-B495-E52D781938E1}">
            <xm:f>'Variable Mgmt'!$D$67=TRUE</xm:f>
            <x14:dxf>
              <font>
                <strike val="0"/>
                <color theme="0"/>
              </font>
              <fill>
                <patternFill>
                  <bgColor rgb="FFFF0000"/>
                </patternFill>
              </fill>
            </x14:dxf>
          </x14:cfRule>
          <xm:sqref>L15:M16</xm:sqref>
        </x14:conditionalFormatting>
        <x14:conditionalFormatting xmlns:xm="http://schemas.microsoft.com/office/excel/2006/main">
          <x14:cfRule type="expression" priority="46" id="{961AC190-666C-40F1-AF0E-45247CECAC28}">
            <xm:f>AND('Variable Mgmt'!#REF!&gt;'Variable Mgmt'!$B$62*1/1000, MODE=1)</xm:f>
            <x14:dxf>
              <font>
                <color rgb="FFFF0000"/>
              </font>
            </x14:dxf>
          </x14:cfRule>
          <xm:sqref>L24</xm:sqref>
        </x14:conditionalFormatting>
        <x14:conditionalFormatting xmlns:xm="http://schemas.microsoft.com/office/excel/2006/main">
          <x14:cfRule type="expression" priority="45" id="{461050CF-E84A-487F-98EC-3FE96E53D0D0}">
            <xm:f>AND('Variable Mgmt'!#REF!&gt;'Variable Mgmt'!$B$62*1/1000, MODE=1)</xm:f>
            <x14:dxf>
              <font>
                <color rgb="FFFF0000"/>
              </font>
            </x14:dxf>
          </x14:cfRule>
          <xm:sqref>L22</xm:sqref>
        </x14:conditionalFormatting>
        <x14:conditionalFormatting xmlns:xm="http://schemas.microsoft.com/office/excel/2006/main">
          <x14:cfRule type="expression" priority="44" id="{901FFC11-0194-41BF-B5C0-646916E32353}">
            <xm:f>AND('Variable Mgmt'!#REF!&gt;'Variable Mgmt'!$B$62*1/1000, MODE=1)</xm:f>
            <x14:dxf>
              <font>
                <color rgb="FFFF0000"/>
              </font>
            </x14:dxf>
          </x14:cfRule>
          <xm:sqref>L25</xm:sqref>
        </x14:conditionalFormatting>
        <x14:conditionalFormatting xmlns:xm="http://schemas.microsoft.com/office/excel/2006/main">
          <x14:cfRule type="expression" priority="194" id="{FB76FAF3-E114-4E5D-9585-0FED8547CF75}">
            <xm:f>'Variable Mgmt'!$D$43=TRUE</xm:f>
            <x14:dxf>
              <font>
                <b/>
                <i val="0"/>
                <color theme="0"/>
              </font>
              <fill>
                <patternFill patternType="solid">
                  <fgColor auto="1"/>
                  <bgColor rgb="FFFF0000"/>
                </patternFill>
              </fill>
            </x14:dxf>
          </x14:cfRule>
          <xm:sqref>L16:M16</xm:sqref>
        </x14:conditionalFormatting>
        <x14:conditionalFormatting xmlns:xm="http://schemas.microsoft.com/office/excel/2006/main">
          <x14:cfRule type="expression" priority="33" id="{FDC5A767-D495-475A-B6AD-F3FAFB5256A1}">
            <xm:f>AND('Variable Mgmt'!#REF!&gt;'Variable Mgmt'!$B$62*1/1000, MODE=1)</xm:f>
            <x14:dxf>
              <font>
                <color rgb="FFFF0000"/>
              </font>
            </x14:dxf>
          </x14:cfRule>
          <xm:sqref>L11</xm:sqref>
        </x14:conditionalFormatting>
        <x14:conditionalFormatting xmlns:xm="http://schemas.microsoft.com/office/excel/2006/main">
          <x14:cfRule type="expression" priority="32" id="{004998DE-C112-4A16-9357-8F0E103D9C84}">
            <xm:f>'Variable Mgmt'!$D$67=TRUE</xm:f>
            <x14:dxf>
              <font>
                <strike val="0"/>
                <color theme="0"/>
              </font>
              <fill>
                <patternFill>
                  <bgColor rgb="FFFF0000"/>
                </patternFill>
              </fill>
            </x14:dxf>
          </x14:cfRule>
          <xm:sqref>L12:M12</xm:sqref>
        </x14:conditionalFormatting>
        <x14:conditionalFormatting xmlns:xm="http://schemas.microsoft.com/office/excel/2006/main">
          <x14:cfRule type="expression" priority="25" id="{F1CB057B-DEBD-4CC6-A39A-8CCF4EB9AEA4}">
            <xm:f>AND('Variable Mgmt'!#REF!&gt;'Variable Mgmt'!$B$62*1/1000, MODE=1)</xm:f>
            <x14:dxf>
              <font>
                <color rgb="FFFF0000"/>
              </font>
            </x14:dxf>
          </x14:cfRule>
          <xm:sqref>L23</xm:sqref>
        </x14:conditionalFormatting>
        <x14:conditionalFormatting xmlns:xm="http://schemas.microsoft.com/office/excel/2006/main">
          <x14:cfRule type="expression" priority="11" id="{3BB56539-2E3C-47E6-AE6B-0D4CFCA3E58F}">
            <xm:f>'Variable Mgmt'!$B$58=TRUE</xm:f>
            <x14:dxf>
              <font>
                <color theme="0"/>
              </font>
              <fill>
                <patternFill>
                  <bgColor theme="0"/>
                </patternFill>
              </fill>
              <border>
                <right/>
                <top/>
                <bottom/>
                <vertical/>
                <horizontal/>
              </border>
            </x14:dxf>
          </x14:cfRule>
          <xm:sqref>N29:T31</xm:sqref>
        </x14:conditionalFormatting>
        <x14:conditionalFormatting xmlns:xm="http://schemas.microsoft.com/office/excel/2006/main">
          <x14:cfRule type="expression" priority="8" id="{39327DC7-FED1-4A11-B0EB-9DA33BE59322}">
            <xm:f>AND('Variable Mgmt'!#REF!&gt;'Variable Mgmt'!$B$62*1/1000, MODE=1)</xm:f>
            <x14:dxf>
              <font>
                <color rgb="FFFF0000"/>
              </font>
            </x14:dxf>
          </x14:cfRule>
          <xm:sqref>L26</xm:sqref>
        </x14:conditionalFormatting>
        <x14:conditionalFormatting xmlns:xm="http://schemas.microsoft.com/office/excel/2006/main">
          <x14:cfRule type="expression" priority="7" id="{0343908F-1CE4-4778-868E-05BB939E0494}">
            <xm:f>'Variable Mgmt'!$B$58=TRUE</xm:f>
            <x14:dxf>
              <font>
                <color theme="0"/>
              </font>
              <fill>
                <patternFill>
                  <bgColor theme="0"/>
                </patternFill>
              </fill>
              <border>
                <right/>
                <top/>
                <bottom/>
                <vertical/>
                <horizontal/>
              </border>
            </x14:dxf>
          </x14:cfRule>
          <xm:sqref>G67:M70</xm:sqref>
        </x14:conditionalFormatting>
        <x14:conditionalFormatting xmlns:xm="http://schemas.microsoft.com/office/excel/2006/main">
          <x14:cfRule type="expression" priority="6" id="{1E57FB43-6A30-4541-BAF2-E52CAF5FFFA7}">
            <xm:f>'Variable Mgmt'!$B$58=TRUE</xm:f>
            <x14:dxf>
              <font>
                <color theme="0"/>
              </font>
              <fill>
                <patternFill>
                  <bgColor theme="0"/>
                </patternFill>
              </fill>
              <border>
                <right/>
                <top/>
                <bottom/>
                <vertical/>
                <horizontal/>
              </border>
            </x14:dxf>
          </x14:cfRule>
          <xm:sqref>G73:M77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error="Selection is out of reasonable range!" xr:uid="{DB9BF754-8A1C-46C6-8BD1-90DBE37CFCCE}">
          <x14:formula1>
            <xm:f>'Stability Calculations'!$A$49:$A$96</xm:f>
          </x14:formula1>
          <xm:sqref>E58</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2:B7"/>
  <sheetViews>
    <sheetView zoomScaleNormal="100" workbookViewId="0">
      <selection activeCell="D5" sqref="D5"/>
    </sheetView>
  </sheetViews>
  <sheetFormatPr defaultRowHeight="12.5"/>
  <cols>
    <col min="2" max="2" width="126.453125" customWidth="1"/>
  </cols>
  <sheetData>
    <row r="2" spans="1:2" ht="17.25" customHeight="1">
      <c r="A2" s="76" t="str">
        <f>CHOOSE(MODE, "EFF_SINGLE", "EFF_DUAL")</f>
        <v>EFF_SINGLE</v>
      </c>
    </row>
    <row r="5" spans="1:2" ht="409.5" customHeight="1">
      <c r="B5" s="360"/>
    </row>
    <row r="6" spans="1:2" ht="17.149999999999999" customHeight="1"/>
    <row r="7" spans="1:2" ht="409.5" customHeight="1">
      <c r="B7" s="360"/>
    </row>
  </sheetData>
  <phoneticPr fontId="83"/>
  <pageMargins left="0.7" right="0.7" top="0.75" bottom="0.75" header="0.3" footer="0.3"/>
  <pageSetup orientation="portrait"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2:B7"/>
  <sheetViews>
    <sheetView zoomScaleNormal="100" workbookViewId="0">
      <selection activeCell="B12" sqref="B12"/>
    </sheetView>
  </sheetViews>
  <sheetFormatPr defaultRowHeight="12.5"/>
  <cols>
    <col min="2" max="2" width="126.453125" customWidth="1"/>
  </cols>
  <sheetData>
    <row r="2" spans="1:2" ht="17.25" customHeight="1">
      <c r="A2" s="76" t="str">
        <f>CHOOSE(MODE, "Fsw_SINGLE", "Fsw_DUAL")</f>
        <v>Fsw_SINGLE</v>
      </c>
    </row>
    <row r="5" spans="1:2" ht="409.5" customHeight="1">
      <c r="B5" s="360"/>
    </row>
    <row r="6" spans="1:2" ht="17.149999999999999" customHeight="1"/>
    <row r="7" spans="1:2" ht="409.5" customHeight="1">
      <c r="B7" s="360"/>
    </row>
  </sheetData>
  <phoneticPr fontId="83"/>
  <pageMargins left="0.7" right="0.7" top="0.75" bottom="0.75" header="0.3" footer="0.3"/>
  <pageSetup orientation="portrait" r:id="rId1"/>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rgb="FF00B050"/>
  </sheetPr>
  <dimension ref="A2:T67"/>
  <sheetViews>
    <sheetView topLeftCell="A8" zoomScale="40" zoomScaleNormal="40" zoomScaleSheetLayoutView="145" workbookViewId="0">
      <selection activeCell="N13" sqref="N13"/>
    </sheetView>
  </sheetViews>
  <sheetFormatPr defaultRowHeight="12.5"/>
  <cols>
    <col min="1" max="1" width="12.7265625" style="360" customWidth="1"/>
    <col min="2" max="2" width="124.7265625" style="11" customWidth="1"/>
    <col min="3" max="4" width="9.1796875" style="360"/>
    <col min="5" max="5" width="124.7265625" style="7" customWidth="1"/>
    <col min="8" max="8" width="124.7265625" style="361" customWidth="1"/>
  </cols>
  <sheetData>
    <row r="2" spans="1:15">
      <c r="A2" s="360" t="str">
        <f>'Variable Mgmt'!K50</f>
        <v>SCH_SINGLE_UVLOadj_SSint_TCno</v>
      </c>
    </row>
    <row r="5" spans="1:15" s="360" customFormat="1" ht="13.5" customHeight="1">
      <c r="E5" s="361"/>
      <c r="H5" s="361"/>
    </row>
    <row r="6" spans="1:15" s="360" customFormat="1" ht="16.5" customHeight="1">
      <c r="E6" s="361"/>
      <c r="H6" s="361"/>
    </row>
    <row r="7" spans="1:15" ht="357" customHeight="1">
      <c r="B7" s="12"/>
      <c r="E7" s="387"/>
      <c r="F7" s="11"/>
      <c r="G7" s="11"/>
      <c r="I7" s="11"/>
      <c r="J7" s="11"/>
      <c r="K7" s="11"/>
      <c r="L7" s="11"/>
      <c r="M7" s="11"/>
      <c r="N7" s="11"/>
    </row>
    <row r="8" spans="1:15" s="360" customFormat="1" ht="17.25" customHeight="1">
      <c r="B8" s="361"/>
      <c r="E8" s="361"/>
      <c r="H8" s="361"/>
      <c r="O8" s="362"/>
    </row>
    <row r="9" spans="1:15" ht="357" customHeight="1">
      <c r="B9" s="111"/>
      <c r="D9" s="361"/>
      <c r="E9" s="387"/>
      <c r="F9" s="360"/>
      <c r="G9" s="11"/>
      <c r="I9" s="11"/>
      <c r="J9" s="11"/>
      <c r="K9" s="11"/>
      <c r="L9" s="11"/>
      <c r="M9" s="11"/>
      <c r="N9" s="11"/>
      <c r="O9" s="363"/>
    </row>
    <row r="10" spans="1:15" s="360" customFormat="1">
      <c r="E10" s="361"/>
      <c r="H10" s="361"/>
    </row>
    <row r="11" spans="1:15" ht="357" customHeight="1">
      <c r="B11" s="387"/>
      <c r="D11" s="361"/>
      <c r="E11" s="361"/>
      <c r="F11" s="360"/>
      <c r="G11" s="11"/>
      <c r="I11" s="11"/>
      <c r="J11" s="11"/>
      <c r="K11" s="11"/>
      <c r="L11" s="11"/>
      <c r="M11" s="11"/>
      <c r="N11" s="11"/>
      <c r="O11" s="363"/>
    </row>
    <row r="12" spans="1:15">
      <c r="B12" s="360"/>
      <c r="E12" s="361"/>
      <c r="F12" s="360"/>
      <c r="G12" s="11"/>
      <c r="I12" s="11"/>
      <c r="J12" s="11"/>
      <c r="K12" s="11"/>
      <c r="L12" s="11"/>
      <c r="M12" s="11"/>
      <c r="N12" s="11"/>
    </row>
    <row r="13" spans="1:15" ht="357" customHeight="1">
      <c r="B13" s="387"/>
      <c r="E13" s="361"/>
      <c r="F13" s="360"/>
      <c r="G13" s="11"/>
      <c r="I13" s="11"/>
      <c r="J13" s="11"/>
      <c r="K13" s="11"/>
      <c r="L13" s="11"/>
      <c r="M13" s="11"/>
      <c r="N13" s="11"/>
      <c r="O13" s="363"/>
    </row>
    <row r="14" spans="1:15">
      <c r="B14" s="360"/>
      <c r="E14" s="361"/>
      <c r="F14" s="360"/>
      <c r="G14" s="11"/>
      <c r="I14" s="11"/>
      <c r="J14" s="11"/>
      <c r="K14" s="11"/>
      <c r="L14" s="11"/>
      <c r="M14" s="11"/>
      <c r="N14" s="11"/>
    </row>
    <row r="15" spans="1:15" ht="357" customHeight="1">
      <c r="E15" s="361"/>
      <c r="F15" s="360"/>
      <c r="G15" s="11"/>
      <c r="I15" s="11"/>
      <c r="J15" s="11"/>
      <c r="K15" s="11"/>
      <c r="L15" s="11"/>
      <c r="M15" s="11"/>
      <c r="N15" s="11"/>
      <c r="O15" s="363"/>
    </row>
    <row r="16" spans="1:15">
      <c r="B16" s="360"/>
      <c r="E16" s="361"/>
      <c r="F16" s="11"/>
      <c r="G16" s="11"/>
      <c r="I16" s="11"/>
      <c r="J16" s="11"/>
      <c r="K16" s="11"/>
      <c r="L16" s="11"/>
      <c r="M16" s="11"/>
      <c r="N16" s="11"/>
    </row>
    <row r="17" spans="2:15" ht="357" customHeight="1">
      <c r="B17" s="387"/>
      <c r="E17" s="361"/>
      <c r="F17" s="360"/>
      <c r="G17" s="11"/>
      <c r="I17" s="11"/>
      <c r="J17" s="11"/>
      <c r="K17" s="11"/>
      <c r="L17" s="11"/>
      <c r="M17" s="11"/>
      <c r="N17" s="11"/>
      <c r="O17" s="363"/>
    </row>
    <row r="18" spans="2:15" ht="12" customHeight="1">
      <c r="B18" s="360"/>
      <c r="E18" s="361"/>
      <c r="F18" s="11"/>
      <c r="G18" s="11"/>
      <c r="I18" s="11"/>
      <c r="J18" s="11"/>
      <c r="K18" s="11"/>
      <c r="L18" s="11"/>
      <c r="M18" s="11"/>
      <c r="N18" s="11"/>
    </row>
    <row r="19" spans="2:15" ht="357" customHeight="1">
      <c r="B19" s="360"/>
      <c r="E19" s="361"/>
      <c r="F19" s="11"/>
      <c r="G19" s="11"/>
      <c r="I19" s="11"/>
      <c r="J19" s="11"/>
      <c r="K19" s="11"/>
      <c r="L19" s="11"/>
      <c r="M19" s="11"/>
      <c r="N19" s="11"/>
    </row>
    <row r="20" spans="2:15" ht="13.5" customHeight="1">
      <c r="B20" s="360"/>
      <c r="E20" s="361"/>
      <c r="F20" s="11"/>
      <c r="G20" s="11"/>
      <c r="I20" s="11"/>
      <c r="J20" s="11"/>
      <c r="K20" s="11"/>
      <c r="L20" s="11"/>
      <c r="M20" s="11"/>
      <c r="N20" s="11"/>
    </row>
    <row r="21" spans="2:15" ht="357" customHeight="1">
      <c r="B21" s="360"/>
      <c r="E21" s="361"/>
      <c r="F21" s="11"/>
      <c r="G21" s="11"/>
      <c r="I21" s="11"/>
      <c r="J21" s="11"/>
      <c r="K21" s="11"/>
      <c r="L21" s="11"/>
      <c r="M21" s="11"/>
      <c r="N21" s="11"/>
    </row>
    <row r="22" spans="2:15">
      <c r="B22" s="360"/>
      <c r="E22" s="361"/>
      <c r="F22" s="11"/>
      <c r="G22" s="11"/>
      <c r="I22" s="11"/>
      <c r="J22" s="11"/>
      <c r="K22" s="11"/>
      <c r="L22" s="11"/>
      <c r="M22" s="11"/>
      <c r="N22" s="11"/>
    </row>
    <row r="23" spans="2:15" ht="357" customHeight="1">
      <c r="B23" s="360"/>
      <c r="E23" s="361"/>
      <c r="F23" s="11"/>
      <c r="G23" s="11"/>
      <c r="I23" s="11"/>
      <c r="J23" s="11"/>
      <c r="K23" s="11"/>
      <c r="L23" s="11"/>
      <c r="M23" s="11"/>
      <c r="N23" s="11"/>
    </row>
    <row r="24" spans="2:15">
      <c r="B24" s="360"/>
      <c r="E24" s="361"/>
      <c r="F24" s="11"/>
      <c r="G24" s="11"/>
      <c r="I24" s="11"/>
      <c r="J24" s="11"/>
      <c r="K24" s="11"/>
      <c r="L24" s="11"/>
      <c r="M24" s="11"/>
      <c r="N24" s="11"/>
    </row>
    <row r="25" spans="2:15" ht="327.75" customHeight="1">
      <c r="B25" s="360"/>
      <c r="E25" s="361"/>
      <c r="F25" s="11"/>
      <c r="G25" s="11"/>
      <c r="I25" s="11"/>
      <c r="J25" s="11"/>
      <c r="K25" s="11"/>
      <c r="L25" s="11"/>
      <c r="M25" s="11"/>
      <c r="N25" s="11"/>
    </row>
    <row r="26" spans="2:15">
      <c r="E26" s="361"/>
      <c r="F26" s="11"/>
      <c r="G26" s="11"/>
      <c r="I26" s="11"/>
      <c r="J26" s="11"/>
      <c r="K26" s="11"/>
      <c r="L26" s="11"/>
      <c r="M26" s="11"/>
      <c r="N26" s="11"/>
    </row>
    <row r="27" spans="2:15" ht="327.64999999999998" customHeight="1">
      <c r="B27" s="360"/>
      <c r="E27" s="361"/>
      <c r="F27" s="11"/>
      <c r="G27" s="11"/>
      <c r="I27" s="11"/>
      <c r="J27" s="11"/>
      <c r="K27" s="11"/>
      <c r="L27" s="11"/>
      <c r="M27" s="11"/>
      <c r="N27" s="11"/>
    </row>
    <row r="28" spans="2:15">
      <c r="B28" s="360"/>
      <c r="E28" s="361"/>
      <c r="F28" s="11"/>
      <c r="G28" s="11"/>
      <c r="I28" s="11"/>
      <c r="J28" s="11"/>
      <c r="K28" s="11"/>
      <c r="L28" s="11"/>
      <c r="M28" s="11"/>
      <c r="N28" s="11"/>
    </row>
    <row r="29" spans="2:15" ht="327.75" customHeight="1">
      <c r="B29" s="360"/>
      <c r="E29" s="361"/>
      <c r="F29" s="11"/>
      <c r="G29" s="11"/>
      <c r="I29" s="11"/>
      <c r="J29" s="11"/>
      <c r="K29" s="11"/>
      <c r="L29" s="11"/>
      <c r="M29" s="11"/>
      <c r="N29" s="11"/>
    </row>
    <row r="30" spans="2:15" ht="13.5" customHeight="1">
      <c r="B30" s="360"/>
      <c r="E30" s="361"/>
      <c r="F30" s="11"/>
      <c r="G30" s="11"/>
      <c r="I30" s="11"/>
      <c r="J30" s="11"/>
      <c r="K30" s="11"/>
      <c r="L30" s="11"/>
      <c r="M30" s="11"/>
      <c r="N30" s="11"/>
    </row>
    <row r="31" spans="2:15" ht="327.75" customHeight="1">
      <c r="B31" s="360"/>
      <c r="E31" s="361"/>
      <c r="F31" s="11"/>
      <c r="G31" s="11"/>
      <c r="I31" s="11"/>
      <c r="J31" s="11"/>
      <c r="K31" s="11"/>
      <c r="L31" s="11"/>
      <c r="M31" s="11"/>
      <c r="N31" s="11"/>
    </row>
    <row r="32" spans="2:15" ht="13.5" customHeight="1">
      <c r="B32" s="360"/>
      <c r="E32" s="361"/>
      <c r="F32" s="11"/>
      <c r="G32" s="11"/>
      <c r="I32" s="11"/>
      <c r="J32" s="11"/>
      <c r="K32" s="11"/>
      <c r="L32" s="11"/>
      <c r="M32" s="11"/>
      <c r="N32" s="11"/>
    </row>
    <row r="33" spans="2:20" ht="327.75" customHeight="1">
      <c r="B33" s="360"/>
      <c r="E33" s="361"/>
      <c r="F33" s="11"/>
      <c r="G33" s="11"/>
      <c r="I33" s="11"/>
      <c r="J33" s="11"/>
      <c r="K33" s="11"/>
      <c r="L33" s="11"/>
      <c r="M33" s="11"/>
      <c r="N33" s="11"/>
    </row>
    <row r="34" spans="2:20" ht="13.5" customHeight="1">
      <c r="B34" s="360"/>
      <c r="E34" s="361"/>
      <c r="F34" s="11"/>
      <c r="G34" s="11"/>
      <c r="I34" s="11"/>
      <c r="J34" s="11"/>
      <c r="K34" s="11"/>
      <c r="L34" s="11"/>
      <c r="M34" s="11"/>
      <c r="N34" s="11"/>
    </row>
    <row r="35" spans="2:20" ht="327.64999999999998" customHeight="1">
      <c r="B35" s="360"/>
      <c r="E35" s="361"/>
      <c r="F35" s="11"/>
      <c r="G35" s="11"/>
      <c r="I35" s="11"/>
      <c r="J35" s="11"/>
      <c r="K35" s="11"/>
      <c r="L35" s="11"/>
      <c r="M35" s="11"/>
      <c r="N35" s="11"/>
    </row>
    <row r="36" spans="2:20" ht="13.5" customHeight="1">
      <c r="B36" s="360"/>
      <c r="E36" s="361"/>
      <c r="F36" s="11"/>
      <c r="G36" s="11"/>
      <c r="I36" s="11"/>
      <c r="J36" s="11"/>
      <c r="K36" s="11"/>
      <c r="L36" s="11"/>
      <c r="M36" s="11"/>
      <c r="N36" s="11"/>
    </row>
    <row r="37" spans="2:20" ht="327.75" customHeight="1">
      <c r="B37" s="360"/>
      <c r="E37" s="361"/>
      <c r="F37" s="11"/>
      <c r="G37" s="11"/>
      <c r="I37" s="11"/>
      <c r="J37" s="11"/>
      <c r="K37" s="11"/>
      <c r="L37" s="11"/>
      <c r="M37" s="11"/>
      <c r="N37" s="11"/>
    </row>
    <row r="38" spans="2:20" ht="13.5" customHeight="1">
      <c r="B38" s="360"/>
      <c r="E38" s="361"/>
      <c r="F38" s="11"/>
      <c r="G38" s="364"/>
      <c r="I38" s="365"/>
      <c r="J38" s="11"/>
      <c r="K38" s="11"/>
      <c r="L38" s="11"/>
      <c r="M38" s="11"/>
      <c r="N38" s="11"/>
    </row>
    <row r="39" spans="2:20" ht="327.75" customHeight="1">
      <c r="B39" s="360"/>
      <c r="E39" s="361"/>
      <c r="F39" s="11"/>
      <c r="G39" s="11"/>
      <c r="I39" s="365"/>
      <c r="J39" s="11"/>
      <c r="K39" s="11"/>
      <c r="L39" s="11"/>
      <c r="M39" s="11"/>
      <c r="N39" s="11"/>
    </row>
    <row r="40" spans="2:20">
      <c r="B40" s="360"/>
      <c r="E40" s="361"/>
      <c r="F40" s="11"/>
      <c r="G40" s="11"/>
      <c r="I40" s="11"/>
      <c r="J40" s="11"/>
      <c r="K40" s="11"/>
      <c r="L40" s="11"/>
      <c r="M40" s="11"/>
      <c r="N40" s="11"/>
      <c r="O40" s="11"/>
      <c r="P40" s="11"/>
      <c r="Q40" s="13"/>
      <c r="S40" s="366"/>
      <c r="T40" s="366"/>
    </row>
    <row r="41" spans="2:20" ht="327.75" customHeight="1">
      <c r="B41" s="360"/>
      <c r="E41" s="361"/>
      <c r="F41" s="11"/>
      <c r="G41" s="11"/>
      <c r="I41" s="11"/>
      <c r="J41" s="11"/>
      <c r="K41" s="11"/>
      <c r="L41" s="11"/>
      <c r="M41" s="11"/>
      <c r="N41" s="11"/>
      <c r="O41" s="11"/>
      <c r="P41" s="11"/>
      <c r="Q41" s="13"/>
      <c r="S41" s="366"/>
    </row>
    <row r="42" spans="2:20">
      <c r="B42" s="360"/>
      <c r="E42" s="361"/>
      <c r="F42" s="11"/>
      <c r="G42" s="11"/>
      <c r="I42" s="11"/>
      <c r="J42" s="11"/>
      <c r="K42" s="11"/>
      <c r="L42" s="11"/>
      <c r="M42" s="11"/>
      <c r="N42" s="11"/>
      <c r="O42" s="11"/>
      <c r="P42" s="11"/>
      <c r="Q42" s="13"/>
      <c r="S42" s="366"/>
    </row>
    <row r="43" spans="2:20" ht="327.75" customHeight="1">
      <c r="B43" s="360"/>
      <c r="E43" s="361"/>
      <c r="F43" s="11"/>
      <c r="G43" s="11"/>
      <c r="I43" s="11"/>
      <c r="J43" s="11"/>
      <c r="K43" s="11"/>
      <c r="L43" s="11"/>
      <c r="M43" s="11"/>
      <c r="N43" s="11"/>
      <c r="O43" s="11"/>
      <c r="P43" s="11"/>
      <c r="Q43" s="13"/>
      <c r="S43" s="366"/>
    </row>
    <row r="44" spans="2:20">
      <c r="B44" s="360"/>
      <c r="E44" s="361"/>
      <c r="F44" s="11"/>
      <c r="G44" s="11"/>
      <c r="I44" s="11"/>
      <c r="J44" s="11"/>
      <c r="K44" s="11"/>
      <c r="L44" s="11"/>
      <c r="M44" s="11"/>
      <c r="N44" s="11"/>
      <c r="O44" s="11"/>
      <c r="P44" s="11"/>
      <c r="Q44" s="13"/>
      <c r="S44" s="366"/>
    </row>
    <row r="45" spans="2:20" ht="327.75" customHeight="1">
      <c r="B45" s="360"/>
      <c r="E45" s="361"/>
      <c r="F45" s="11"/>
      <c r="G45" s="11"/>
      <c r="I45" s="11"/>
      <c r="J45" s="11"/>
      <c r="K45" s="11"/>
      <c r="L45" s="11"/>
      <c r="M45" s="11"/>
      <c r="N45" s="11"/>
      <c r="O45" s="11"/>
      <c r="P45" s="11"/>
      <c r="Q45" s="13"/>
      <c r="S45" s="366"/>
    </row>
    <row r="46" spans="2:20">
      <c r="B46" s="360"/>
      <c r="E46" s="361"/>
      <c r="F46" s="11"/>
      <c r="G46" s="11"/>
      <c r="I46" s="11"/>
      <c r="J46" s="11"/>
      <c r="K46" s="11"/>
      <c r="L46" s="11"/>
      <c r="M46" s="11"/>
      <c r="N46" s="11"/>
      <c r="O46" s="11"/>
      <c r="P46" s="11"/>
      <c r="Q46" s="13"/>
      <c r="S46" s="366"/>
    </row>
    <row r="47" spans="2:20" ht="327.75" customHeight="1">
      <c r="B47" s="360"/>
      <c r="E47" s="361"/>
      <c r="F47" s="11"/>
      <c r="G47" s="11"/>
      <c r="I47" s="11"/>
      <c r="J47" s="11"/>
      <c r="K47" s="11"/>
      <c r="L47" s="11"/>
      <c r="M47" s="11"/>
      <c r="N47" s="11"/>
      <c r="O47" s="11"/>
      <c r="P47" s="11"/>
      <c r="Q47" s="13"/>
      <c r="S47" s="367"/>
    </row>
    <row r="48" spans="2:20">
      <c r="B48" s="360"/>
      <c r="E48" s="361"/>
      <c r="F48" s="11"/>
      <c r="G48" s="11"/>
      <c r="I48" s="11"/>
      <c r="J48" s="11"/>
      <c r="K48" s="11"/>
      <c r="L48" s="11"/>
      <c r="M48" s="11"/>
      <c r="N48" s="11"/>
      <c r="O48" s="11"/>
      <c r="P48" s="11"/>
      <c r="Q48" s="13"/>
      <c r="S48" s="366"/>
    </row>
    <row r="49" spans="2:19" ht="327.75" customHeight="1">
      <c r="B49" s="360"/>
      <c r="E49" s="361"/>
      <c r="F49" s="11"/>
      <c r="G49" s="11"/>
      <c r="I49" s="11"/>
      <c r="J49" s="11"/>
      <c r="K49" s="11"/>
      <c r="L49" s="11"/>
      <c r="M49" s="11"/>
      <c r="N49" s="11"/>
      <c r="O49" s="11"/>
      <c r="P49" s="11"/>
      <c r="Q49" s="13"/>
      <c r="S49" s="366"/>
    </row>
    <row r="50" spans="2:19">
      <c r="B50" s="360"/>
      <c r="E50" s="361"/>
      <c r="F50" s="11"/>
      <c r="G50" s="11"/>
      <c r="I50" s="11"/>
      <c r="J50" s="11"/>
      <c r="K50" s="11"/>
      <c r="L50" s="11"/>
      <c r="M50" s="11"/>
      <c r="N50" s="11"/>
      <c r="O50" s="11"/>
      <c r="P50" s="11"/>
      <c r="Q50" s="13"/>
      <c r="S50" s="366"/>
    </row>
    <row r="51" spans="2:19">
      <c r="B51" s="360"/>
      <c r="E51" s="361"/>
      <c r="F51" s="11"/>
      <c r="G51" s="11"/>
      <c r="I51" s="11"/>
      <c r="J51" s="11"/>
      <c r="K51" s="11"/>
      <c r="L51" s="11"/>
      <c r="M51" s="11"/>
      <c r="N51" s="11"/>
      <c r="O51" s="11"/>
      <c r="P51" s="11"/>
      <c r="Q51" s="13"/>
      <c r="S51" s="366"/>
    </row>
    <row r="52" spans="2:19">
      <c r="B52" s="360"/>
      <c r="E52" s="361"/>
      <c r="F52" s="11"/>
      <c r="G52" s="11"/>
      <c r="I52" s="11"/>
      <c r="J52" s="11"/>
      <c r="K52" s="11"/>
      <c r="L52" s="11"/>
      <c r="M52" s="11"/>
      <c r="N52" s="11"/>
      <c r="O52" s="11"/>
      <c r="P52" s="11"/>
      <c r="Q52" s="13"/>
      <c r="S52" s="366"/>
    </row>
    <row r="53" spans="2:19">
      <c r="B53" s="360"/>
      <c r="E53" s="361"/>
      <c r="F53" s="11"/>
      <c r="G53" s="11"/>
      <c r="I53" s="11"/>
      <c r="J53" s="11"/>
      <c r="K53" s="11"/>
      <c r="L53" s="11"/>
      <c r="M53" s="11"/>
      <c r="N53" s="11"/>
    </row>
    <row r="54" spans="2:19">
      <c r="B54" s="360"/>
      <c r="E54" s="361"/>
      <c r="F54" s="11"/>
      <c r="G54" s="11"/>
      <c r="I54" s="11"/>
      <c r="J54" s="11"/>
      <c r="K54" s="11"/>
      <c r="L54" s="11"/>
      <c r="M54" s="11"/>
      <c r="N54" s="11"/>
    </row>
    <row r="55" spans="2:19" ht="13">
      <c r="B55" s="360"/>
      <c r="E55" s="361"/>
      <c r="F55" s="11"/>
      <c r="G55" s="11"/>
      <c r="I55" s="11"/>
      <c r="J55" s="11"/>
      <c r="K55" s="11"/>
      <c r="L55" s="11"/>
      <c r="M55" s="11"/>
      <c r="N55" s="11"/>
      <c r="R55" s="14"/>
    </row>
    <row r="56" spans="2:19">
      <c r="B56" s="360"/>
      <c r="E56" s="361"/>
      <c r="F56" s="11"/>
      <c r="G56" s="11"/>
      <c r="I56" s="11"/>
      <c r="J56" s="11"/>
      <c r="K56" s="11"/>
      <c r="L56" s="11"/>
      <c r="M56" s="11"/>
      <c r="N56" s="11"/>
    </row>
    <row r="57" spans="2:19">
      <c r="B57" s="360"/>
      <c r="E57" s="361"/>
      <c r="F57" s="11"/>
      <c r="G57" s="11"/>
      <c r="I57" s="11"/>
      <c r="J57" s="11"/>
      <c r="K57" s="11"/>
      <c r="L57" s="11"/>
      <c r="M57" s="11"/>
      <c r="N57" s="11"/>
    </row>
    <row r="58" spans="2:19">
      <c r="E58" s="12"/>
      <c r="F58" s="11"/>
      <c r="G58" s="11"/>
      <c r="I58" s="11"/>
      <c r="J58" s="11"/>
      <c r="K58" s="11"/>
      <c r="L58" s="11"/>
      <c r="M58" s="11"/>
      <c r="N58" s="11"/>
    </row>
    <row r="59" spans="2:19">
      <c r="E59" s="12"/>
      <c r="F59" s="11"/>
      <c r="G59" s="11"/>
      <c r="I59" s="11"/>
      <c r="J59" s="11"/>
      <c r="K59" s="11"/>
      <c r="L59" s="11"/>
      <c r="M59" s="11"/>
      <c r="N59" s="11"/>
    </row>
    <row r="60" spans="2:19">
      <c r="E60" s="12"/>
      <c r="F60" s="11"/>
      <c r="G60" s="11"/>
      <c r="I60" s="11"/>
      <c r="J60" s="11"/>
      <c r="K60" s="11"/>
      <c r="L60" s="11"/>
      <c r="M60" s="11"/>
      <c r="N60" s="11"/>
    </row>
    <row r="61" spans="2:19">
      <c r="E61" s="12"/>
      <c r="F61" s="11"/>
      <c r="G61" s="11"/>
      <c r="I61" s="11"/>
      <c r="J61" s="11"/>
      <c r="K61" s="11"/>
      <c r="L61" s="11"/>
      <c r="M61" s="11"/>
      <c r="N61" s="11"/>
    </row>
    <row r="62" spans="2:19">
      <c r="E62" s="12"/>
      <c r="F62" s="11"/>
      <c r="G62" s="11"/>
      <c r="I62" s="11"/>
      <c r="J62" s="11"/>
      <c r="K62" s="11"/>
      <c r="L62" s="11"/>
      <c r="M62" s="11"/>
      <c r="N62" s="11"/>
    </row>
    <row r="63" spans="2:19">
      <c r="E63" s="12"/>
      <c r="F63" s="11"/>
      <c r="G63" s="11"/>
      <c r="I63" s="11"/>
      <c r="J63" s="11"/>
      <c r="K63" s="11"/>
      <c r="L63" s="11"/>
      <c r="M63" s="11"/>
      <c r="N63" s="11"/>
    </row>
    <row r="64" spans="2:19">
      <c r="E64" s="12"/>
      <c r="F64" s="11"/>
      <c r="G64" s="11"/>
      <c r="I64" s="11"/>
      <c r="J64" s="11"/>
      <c r="K64" s="11"/>
      <c r="L64" s="11"/>
      <c r="M64" s="11"/>
      <c r="N64" s="11"/>
    </row>
    <row r="65" spans="5:18">
      <c r="E65" s="12"/>
      <c r="F65" s="11"/>
      <c r="G65" s="11"/>
      <c r="I65" s="11"/>
      <c r="J65" s="11"/>
      <c r="K65" s="11"/>
      <c r="L65" s="11"/>
      <c r="M65" s="11"/>
      <c r="N65" s="11"/>
    </row>
    <row r="66" spans="5:18" ht="13">
      <c r="E66" s="12"/>
      <c r="F66" s="11"/>
      <c r="G66" s="11"/>
      <c r="I66" s="11"/>
      <c r="J66" s="11"/>
      <c r="K66" s="11"/>
      <c r="L66" s="11"/>
      <c r="M66" s="11"/>
      <c r="N66" s="11"/>
      <c r="R66" s="14"/>
    </row>
    <row r="67" spans="5:18">
      <c r="E67" s="12"/>
      <c r="F67" s="11"/>
      <c r="G67" s="11"/>
      <c r="I67" s="11"/>
      <c r="J67" s="11"/>
      <c r="K67" s="11"/>
      <c r="L67" s="11"/>
      <c r="M67" s="11"/>
      <c r="N67" s="11"/>
    </row>
  </sheetData>
  <sheetProtection sheet="1" objects="1" scenarios="1"/>
  <phoneticPr fontId="83"/>
  <conditionalFormatting sqref="O6">
    <cfRule type="cellIs" dxfId="0" priority="1" stopIfTrue="1" operator="equal">
      <formula>"n"</formula>
    </cfRule>
  </conditionalFormatting>
  <pageMargins left="0.75" right="0.75" top="1" bottom="1" header="0.5" footer="0.5"/>
  <pageSetup scale="83"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2:K159"/>
  <sheetViews>
    <sheetView workbookViewId="0">
      <selection activeCell="O25" sqref="O25"/>
    </sheetView>
  </sheetViews>
  <sheetFormatPr defaultRowHeight="12.5"/>
  <cols>
    <col min="1" max="1" width="17.26953125" customWidth="1"/>
    <col min="2" max="2" width="12" bestFit="1" customWidth="1"/>
    <col min="8" max="8" width="12.1796875" customWidth="1"/>
    <col min="9" max="9" width="12.453125" bestFit="1" customWidth="1"/>
    <col min="10" max="10" width="15.453125" customWidth="1"/>
  </cols>
  <sheetData>
    <row r="2" spans="1:11">
      <c r="A2" t="s">
        <v>68</v>
      </c>
      <c r="B2" t="s">
        <v>66</v>
      </c>
      <c r="C2" t="s">
        <v>14</v>
      </c>
      <c r="D2" t="s">
        <v>28</v>
      </c>
      <c r="E2" t="s">
        <v>75</v>
      </c>
    </row>
    <row r="3" spans="1:11" ht="13">
      <c r="A3" t="s">
        <v>71</v>
      </c>
      <c r="B3">
        <f>Css</f>
        <v>1.6750000000000001E-7</v>
      </c>
      <c r="C3">
        <f>Cout</f>
        <v>110</v>
      </c>
      <c r="D3">
        <f>Cin</f>
        <v>100</v>
      </c>
      <c r="E3">
        <f>Cb</f>
        <v>0</v>
      </c>
      <c r="H3" t="s">
        <v>73</v>
      </c>
      <c r="I3" t="s">
        <v>74</v>
      </c>
      <c r="J3" s="3" t="s">
        <v>70</v>
      </c>
    </row>
    <row r="4" spans="1:11" ht="13">
      <c r="A4" s="6" t="s">
        <v>70</v>
      </c>
      <c r="B4" s="6">
        <f>SUM(B6:B158)/1000000000000</f>
        <v>1.8E-7</v>
      </c>
      <c r="C4" s="6">
        <f>SUM(C6:C158)/1000000000000</f>
        <v>0</v>
      </c>
      <c r="D4" s="6">
        <f>SUM(D6:D158)/1000000000000</f>
        <v>0</v>
      </c>
      <c r="E4" s="6">
        <f>IF(E3="OPEN","OPEN",SUM(E6:E158)/1000000000000)</f>
        <v>0</v>
      </c>
      <c r="H4" s="76" t="s">
        <v>139</v>
      </c>
      <c r="I4" t="e">
        <f>Rt</f>
        <v>#NAME?</v>
      </c>
      <c r="J4" s="3" t="e">
        <f t="shared" ref="J4:J9" si="0">IF(I4&gt;(INT(0.5+100*POWER(10,IF(96*(LOG(I4)-INT(LOG(I4)))-ROUND(96*(LOG(I4)-INT(LOG(I4))),0)&lt;0,ROUND(96*(LOG(I4)-INT(LOG(I4))),0)-1,ROUND(96*(LOG(I4)-INT(LOG(I4))),0))/96))*POWER(10,INT(LOG(I4))-2)+INT(0.5+100*POWER(10,(IF(96*(LOG(I4)-INT(LOG(I4)))-ROUND(96*(LOG(I4)-INT(LOG(I4))),0)&lt;0,ROUND(96*(LOG(I4)-INT(LOG(I4))),0)-1,ROUND(96*(LOG(I4)-INT(LOG(I4))),0))+1)/96))*POWER(10,INT(LOG(I4))-2))/2,INT(0.5+100*POWER(10,(IF(96*(LOG(I4)-INT(LOG(I4)))-ROUND(96*(LOG(I4)-INT(LOG(I4))),0)&lt;0,ROUND(96*(LOG(I4)-INT(LOG(I4))),0)-1,ROUND(96*(LOG(I4)-INT(LOG(I4))),0))+1)/96))*POWER(10,INT(LOG(I4))-2),INT(0.5+100*POWER(10,IF(96*(LOG(I4)-INT(LOG(I4)))-ROUND(96*(LOG(I4)-INT(LOG(I4))),0)&lt;0,ROUND(96*(LOG(I4)-INT(LOG(I4))),0)-1,ROUND(96*(LOG(I4)-INT(LOG(I4))),0))/96))*POWER(10,INT(LOG(I4))-2))</f>
        <v>#NAME?</v>
      </c>
      <c r="K4" s="17" t="s">
        <v>136</v>
      </c>
    </row>
    <row r="5" spans="1:11" ht="13">
      <c r="A5" t="s">
        <v>69</v>
      </c>
      <c r="J5" s="3"/>
      <c r="K5" s="17"/>
    </row>
    <row r="6" spans="1:11" ht="13">
      <c r="A6">
        <v>0.47</v>
      </c>
      <c r="B6">
        <f>IF(IF((B$3*10^12-$A7)*(B$3*10^12-$A6)*-1&lt;0,0,1)*IF(ABS(B$3*10^12-$A7)&gt;(B$3*10^12-$A6),$A6,$A7)=B7,0,IF((B$3*10^12-$A7)*(B$3*10^12-$A6)*-1&lt;0,0,1)*IF(ABS(B$3*10^12-$A7)&gt;(B$3*10^12-$A6),$A6,$A7))</f>
        <v>0</v>
      </c>
      <c r="C6">
        <f>IF(IF((C$3*10^12-$A7)*(C$3*10^12-$A6)*-1&lt;0,0,1)*IF(ABS(C$3*10^12-$A7)&gt;(C$3*10^12-$A6),$A6,$A7)=C7,0,IF((C$3*10^12-$A7)*(C$3*10^12-$A6)*-1&lt;0,0,1)*IF(ABS(C$3*10^12-$A7)&gt;(C$3*10^12-$A6),$A6,$A7))</f>
        <v>0</v>
      </c>
      <c r="D6">
        <f>IF(IF((D$3*10^12-$A7)*(D$3*10^12-$A6)*-1&lt;0,0,1)*IF(ABS(D$3*10^12-$A7)&gt;(D$3*10^12-$A6),$A6,$A7)=D7,0,IF((D$3*10^12-$A7)*(D$3*10^12-$A6)*-1&lt;0,0,1)*IF(ABS(D$3*10^12-$A7)&gt;(D$3*10^12-$A6),$A6,$A7))</f>
        <v>0</v>
      </c>
      <c r="E6">
        <f>IF(IF((E$3*10^12-$A7)*(E$3*10^12-$A6)*-1&lt;0,0,1)*IF(ABS(E$3*10^12-$A7)&gt;(E$3*10^12-$A6),$A6,$A7)=E7,0,IF((E$3*10^12-$A7)*(E$3*10^12-$A6)*-1&lt;0,0,1)*IF(ABS(E$3*10^12-$A7)&gt;(E$3*10^12-$A6),$A6,$A7))</f>
        <v>0</v>
      </c>
      <c r="H6" s="76" t="s">
        <v>162</v>
      </c>
      <c r="I6" t="e">
        <f>Rshunt</f>
        <v>#NAME?</v>
      </c>
      <c r="J6" s="3" t="e">
        <f t="shared" si="0"/>
        <v>#NAME?</v>
      </c>
      <c r="K6" s="17" t="s">
        <v>136</v>
      </c>
    </row>
    <row r="7" spans="1:11" ht="13">
      <c r="A7">
        <v>0.56000000000000005</v>
      </c>
      <c r="B7">
        <f t="shared" ref="B7:B70" si="1">IF(IF((B$3*10^12-$A8)*(B$3*10^12-$A7)*-1&lt;0,0,1)*IF(ABS(B$3*10^12-$A8)&gt;(B$3*10^12-$A7),$A7,$A8)=B8,0,IF((B$3*10^12-$A8)*(B$3*10^12-$A7)*-1&lt;0,0,1)*IF(ABS(B$3*10^12-$A8)&gt;(B$3*10^12-$A7),$A7,$A8))</f>
        <v>0</v>
      </c>
      <c r="C7">
        <f t="shared" ref="C7:C69" si="2">IF(IF((C$3*10^12-$A8)*(C$3*10^12-$A7)*-1&lt;0,0,1)*IF(ABS(C$3*10^12-$A8)&gt;(C$3*10^12-$A7),$A7,$A8)=C8,0,IF((C$3*10^12-$A8)*(C$3*10^12-$A7)*-1&lt;0,0,1)*IF(ABS(C$3*10^12-$A8)&gt;(C$3*10^12-$A7),$A7,$A8))</f>
        <v>0</v>
      </c>
      <c r="D7">
        <f t="shared" ref="D7:D69" si="3">IF(IF((D$3*10^12-$A8)*(D$3*10^12-$A7)*-1&lt;0,0,1)*IF(ABS(D$3*10^12-$A8)&gt;(D$3*10^12-$A7),$A7,$A8)=D8,0,IF((D$3*10^12-$A8)*(D$3*10^12-$A7)*-1&lt;0,0,1)*IF(ABS(D$3*10^12-$A8)&gt;(D$3*10^12-$A7),$A7,$A8))</f>
        <v>0</v>
      </c>
      <c r="E7">
        <f t="shared" ref="E7:E37" si="4">IF(IF((E$3*10^12-$A8)*(E$3*10^12-$A7)*-1&lt;0,0,1)*IF(ABS(E$3*10^12-$A8)&gt;(E$3*10^12-$A7),$A7,$A8)=E8,0,IF((E$3*10^12-$A8)*(E$3*10^12-$A7)*-1&lt;0,0,1)*IF(ABS(E$3*10^12-$A8)&gt;(E$3*10^12-$A7),$A7,$A8))</f>
        <v>0</v>
      </c>
      <c r="H7" t="s">
        <v>79</v>
      </c>
      <c r="I7">
        <v>6220.3534470000013</v>
      </c>
      <c r="J7" s="3">
        <f t="shared" si="0"/>
        <v>6190</v>
      </c>
      <c r="K7" s="17" t="s">
        <v>136</v>
      </c>
    </row>
    <row r="8" spans="1:11" ht="13">
      <c r="A8">
        <v>0.68</v>
      </c>
      <c r="B8">
        <f t="shared" si="1"/>
        <v>0</v>
      </c>
      <c r="C8">
        <f t="shared" si="2"/>
        <v>0</v>
      </c>
      <c r="D8">
        <f t="shared" si="3"/>
        <v>0</v>
      </c>
      <c r="E8">
        <f t="shared" si="4"/>
        <v>0</v>
      </c>
      <c r="J8" s="3"/>
      <c r="K8" s="17"/>
    </row>
    <row r="9" spans="1:11" ht="13">
      <c r="A9">
        <v>0.82</v>
      </c>
      <c r="B9">
        <f t="shared" si="1"/>
        <v>0</v>
      </c>
      <c r="C9">
        <f t="shared" si="2"/>
        <v>0</v>
      </c>
      <c r="D9">
        <f t="shared" si="3"/>
        <v>0</v>
      </c>
      <c r="E9">
        <f t="shared" si="4"/>
        <v>0</v>
      </c>
      <c r="H9" t="s">
        <v>377</v>
      </c>
      <c r="I9">
        <f>RTC_1</f>
        <v>1622857.142857143</v>
      </c>
      <c r="J9" s="3">
        <f t="shared" si="0"/>
        <v>1620000</v>
      </c>
      <c r="K9" s="17" t="s">
        <v>136</v>
      </c>
    </row>
    <row r="10" spans="1:11" ht="13">
      <c r="A10">
        <v>1</v>
      </c>
      <c r="B10">
        <f t="shared" si="1"/>
        <v>0</v>
      </c>
      <c r="C10">
        <f t="shared" si="2"/>
        <v>0</v>
      </c>
      <c r="D10">
        <f t="shared" si="3"/>
        <v>0</v>
      </c>
      <c r="E10">
        <f t="shared" si="4"/>
        <v>0</v>
      </c>
      <c r="H10" t="s">
        <v>17</v>
      </c>
      <c r="I10">
        <f>Rfb</f>
        <v>284000</v>
      </c>
      <c r="J10" s="3">
        <f>IF(I10="OPEN","OPEN",IF(I10&gt;(INT(0.5+100*POWER(10,IF(96*(LOG(I10)-INT(LOG(I10)))-ROUND(96*(LOG(I10)-INT(LOG(I10))),0)&lt;0,ROUND(96*(LOG(I10)-INT(LOG(I10))),0)-1,ROUND(96*(LOG(I10)-INT(LOG(I10))),0))/96))*POWER(10,INT(LOG(I10))-2)+INT(0.5+100*POWER(10,(IF(96*(LOG(I10)-INT(LOG(I10)))-ROUND(96*(LOG(I10)-INT(LOG(I10))),0)&lt;0,ROUND(96*(LOG(I10)-INT(LOG(I10))),0)-1,ROUND(96*(LOG(I10)-INT(LOG(I10))),0))+1)/96))*POWER(10,INT(LOG(I10))-2))/2,INT(0.5+100*POWER(10,(IF(96*(LOG(I10)-INT(LOG(I10)))-ROUND(96*(LOG(I10)-INT(LOG(I10))),0)&lt;0,ROUND(96*(LOG(I10)-INT(LOG(I10))),0)-1,ROUND(96*(LOG(I10)-INT(LOG(I10))),0))+1)/96))*POWER(10,INT(LOG(I10))-2),INT(0.5+100*POWER(10,IF(96*(LOG(I10)-INT(LOG(I10)))-ROUND(96*(LOG(I10)-INT(LOG(I10))),0)&lt;0,ROUND(96*(LOG(I10)-INT(LOG(I10))),0)-1,ROUND(96*(LOG(I10)-INT(LOG(I10))),0))/96))*POWER(10,INT(LOG(I10))-2)))</f>
        <v>287000</v>
      </c>
      <c r="K10" s="17" t="s">
        <v>136</v>
      </c>
    </row>
    <row r="11" spans="1:11" ht="13">
      <c r="A11">
        <v>1.2</v>
      </c>
      <c r="B11">
        <f t="shared" si="1"/>
        <v>0</v>
      </c>
      <c r="C11">
        <f t="shared" si="2"/>
        <v>0</v>
      </c>
      <c r="D11">
        <f t="shared" si="3"/>
        <v>0</v>
      </c>
      <c r="E11">
        <f t="shared" si="4"/>
        <v>0</v>
      </c>
      <c r="J11" s="3"/>
    </row>
    <row r="12" spans="1:11" ht="13">
      <c r="A12">
        <v>1.5</v>
      </c>
      <c r="B12">
        <f t="shared" si="1"/>
        <v>0</v>
      </c>
      <c r="C12">
        <f t="shared" si="2"/>
        <v>0</v>
      </c>
      <c r="D12">
        <f t="shared" si="3"/>
        <v>0</v>
      </c>
      <c r="E12">
        <f t="shared" si="4"/>
        <v>0</v>
      </c>
      <c r="J12" s="3"/>
    </row>
    <row r="13" spans="1:11" ht="13">
      <c r="A13">
        <v>1.8</v>
      </c>
      <c r="B13">
        <f t="shared" si="1"/>
        <v>0</v>
      </c>
      <c r="C13">
        <f t="shared" si="2"/>
        <v>0</v>
      </c>
      <c r="D13">
        <f t="shared" si="3"/>
        <v>0</v>
      </c>
      <c r="E13">
        <f t="shared" si="4"/>
        <v>0</v>
      </c>
      <c r="H13" s="76" t="s">
        <v>76</v>
      </c>
      <c r="I13">
        <v>6.3765361949159995</v>
      </c>
      <c r="J13" s="3">
        <f>IF(I13=0,0,IF(I13&gt;(INT(0.5+100*POWER(10,IF(96*(LOG(I13)-INT(LOG(I13)))-ROUND(96*(LOG(I13)-INT(LOG(I13))),0)&lt;0,ROUND(96*(LOG(I13)-INT(LOG(I13))),0)-1,ROUND(96*(LOG(I13)-INT(LOG(I13))),0))/96))*POWER(10,INT(LOG(I13))-2)+INT(0.5+100*POWER(10,(IF(96*(LOG(I13)-INT(LOG(I13)))-ROUND(96*(LOG(I13)-INT(LOG(I13))),0)&lt;0,ROUND(96*(LOG(I13)-INT(LOG(I13))),0)-1,ROUND(96*(LOG(I13)-INT(LOG(I13))),0))+1)/96))*POWER(10,INT(LOG(I13))-2))/2,INT(0.5+100*POWER(10,(IF(96*(LOG(I13)-INT(LOG(I13)))-ROUND(96*(LOG(I13)-INT(LOG(I13))),0)&lt;0,ROUND(96*(LOG(I13)-INT(LOG(I13))),0)-1,ROUND(96*(LOG(I13)-INT(LOG(I13))),0))+1)/96))*POWER(10,INT(LOG(I13))-2),INT(0.5+100*POWER(10,IF(96*(LOG(I13)-INT(LOG(I13)))-ROUND(96*(LOG(I13)-INT(LOG(I13))),0)&lt;0,ROUND(96*(LOG(I13)-INT(LOG(I13))),0)-1,ROUND(96*(LOG(I13)-INT(LOG(I13))),0))/96))*POWER(10,INT(LOG(I13))-2)))</f>
        <v>6.34</v>
      </c>
      <c r="K13" s="17" t="s">
        <v>161</v>
      </c>
    </row>
    <row r="14" spans="1:11">
      <c r="A14">
        <v>2.2000000000000002</v>
      </c>
      <c r="B14">
        <f>IF(IF((B$3*10^12-$A15)*(B$3*10^12-$A14)*-1&lt;0,0,1)*IF(ABS(B$3*10^12-$A15)&gt;(B$3*10^12-$A14),$A14,$A15)=B15,0,IF((B$3*10^12-$A15)*(B$3*10^12-$A14)*-1&lt;0,0,1)*IF(ABS(B$3*10^12-$A15)&gt;(B$3*10^12-$A14),$A14,$A15))</f>
        <v>0</v>
      </c>
      <c r="C14">
        <f>IF(IF((C$3*10^12-$A15)*(C$3*10^12-$A14)*-1&lt;0,0,1)*IF(ABS(C$3*10^12-$A15)&gt;(C$3*10^12-$A14),$A14,$A15)=C15,0,IF((C$3*10^12-$A15)*(C$3*10^12-$A14)*-1&lt;0,0,1)*IF(ABS(C$3*10^12-$A15)&gt;(C$3*10^12-$A14),$A14,$A15))</f>
        <v>0</v>
      </c>
      <c r="D14">
        <f>IF(IF((D$3*10^12-$A15)*(D$3*10^12-$A14)*-1&lt;0,0,1)*IF(ABS(D$3*10^12-$A15)&gt;(D$3*10^12-$A14),$A14,$A15)=D15,0,IF((D$3*10^12-$A15)*(D$3*10^12-$A14)*-1&lt;0,0,1)*IF(ABS(D$3*10^12-$A15)&gt;(D$3*10^12-$A14),$A14,$A15))</f>
        <v>0</v>
      </c>
      <c r="E14">
        <f>IF(IF((E$3*10^12-$A15)*(E$3*10^12-$A14)*-1&lt;0,0,1)*IF(ABS(E$3*10^12-$A15)&gt;(E$3*10^12-$A14),$A14,$A15)=E15,0,IF((E$3*10^12-$A15)*(E$3*10^12-$A14)*-1&lt;0,0,1)*IF(ABS(E$3*10^12-$A15)&gt;(E$3*10^12-$A14),$A14,$A15))</f>
        <v>0</v>
      </c>
      <c r="H14" s="76" t="s">
        <v>160</v>
      </c>
      <c r="I14" t="e">
        <f>Cslope_ideal</f>
        <v>#NAME?</v>
      </c>
      <c r="J14" t="e">
        <f>#REF!*1000000000000</f>
        <v>#REF!</v>
      </c>
      <c r="K14" s="76" t="s">
        <v>15</v>
      </c>
    </row>
    <row r="15" spans="1:11">
      <c r="A15">
        <v>2.7</v>
      </c>
      <c r="B15">
        <f t="shared" si="1"/>
        <v>0</v>
      </c>
      <c r="C15">
        <f t="shared" si="2"/>
        <v>0</v>
      </c>
      <c r="D15">
        <f t="shared" si="3"/>
        <v>0</v>
      </c>
      <c r="E15">
        <f t="shared" si="4"/>
        <v>0</v>
      </c>
    </row>
    <row r="16" spans="1:11" ht="13">
      <c r="A16">
        <v>3.3</v>
      </c>
      <c r="B16">
        <f t="shared" si="1"/>
        <v>0</v>
      </c>
      <c r="C16">
        <f t="shared" si="2"/>
        <v>0</v>
      </c>
      <c r="D16">
        <f t="shared" si="3"/>
        <v>0</v>
      </c>
      <c r="E16">
        <f t="shared" si="4"/>
        <v>0</v>
      </c>
      <c r="H16" s="76" t="s">
        <v>130</v>
      </c>
      <c r="I16">
        <f>Ruvlo1</f>
        <v>76.666666666666572</v>
      </c>
      <c r="J16" s="3">
        <f>IF(I16="OPEN","OPEN",IF(I16&gt;(INT(0.5+100*POWER(10,IF(96*(LOG(I16)-INT(LOG(I16)))-ROUND(96*(LOG(I16)-INT(LOG(I16))),0)&lt;0,ROUND(96*(LOG(I16)-INT(LOG(I16))),0)-1,ROUND(96*(LOG(I16)-INT(LOG(I16))),0))/96))*POWER(10,INT(LOG(I16))-2)+INT(0.5+100*POWER(10,(IF(96*(LOG(I16)-INT(LOG(I16)))-ROUND(96*(LOG(I16)-INT(LOG(I16))),0)&lt;0,ROUND(96*(LOG(I16)-INT(LOG(I16))),0)-1,ROUND(96*(LOG(I16)-INT(LOG(I16))),0))+1)/96))*POWER(10,INT(LOG(I16))-2))/2,INT(0.5+100*POWER(10,(IF(96*(LOG(I16)-INT(LOG(I16)))-ROUND(96*(LOG(I16)-INT(LOG(I16))),0)&lt;0,ROUND(96*(LOG(I16)-INT(LOG(I16))),0)-1,ROUND(96*(LOG(I16)-INT(LOG(I16))),0))+1)/96))*POWER(10,INT(LOG(I16))-2),INT(0.5+100*POWER(10,IF(96*(LOG(I16)-INT(LOG(I16)))-ROUND(96*(LOG(I16)-INT(LOG(I16))),0)&lt;0,ROUND(96*(LOG(I16)-INT(LOG(I16))),0)-1,ROUND(96*(LOG(I16)-INT(LOG(I16))),0))/96))*POWER(10,INT(LOG(I16))-2)))</f>
        <v>76.800000000000011</v>
      </c>
      <c r="K16" s="17" t="s">
        <v>113</v>
      </c>
    </row>
    <row r="17" spans="1:11" ht="13">
      <c r="A17">
        <v>3.9</v>
      </c>
      <c r="B17">
        <f t="shared" si="1"/>
        <v>0</v>
      </c>
      <c r="C17">
        <f t="shared" si="2"/>
        <v>0</v>
      </c>
      <c r="D17">
        <f t="shared" si="3"/>
        <v>0</v>
      </c>
      <c r="E17">
        <f t="shared" si="4"/>
        <v>0</v>
      </c>
      <c r="H17" s="76" t="s">
        <v>131</v>
      </c>
      <c r="I17" s="173">
        <f>Ruvlo2</f>
        <v>6.7764705882352949</v>
      </c>
      <c r="J17" s="3">
        <f>IF(I17="OPEN","OPEN",IF(I17&gt;(INT(0.5+100*POWER(10,IF(96*(LOG(I17)-INT(LOG(I17)))-ROUND(96*(LOG(I17)-INT(LOG(I17))),0)&lt;0,ROUND(96*(LOG(I17)-INT(LOG(I17))),0)-1,ROUND(96*(LOG(I17)-INT(LOG(I17))),0))/96))*POWER(10,INT(LOG(I17))-2)+INT(0.5+100*POWER(10,(IF(96*(LOG(I17)-INT(LOG(I17)))-ROUND(96*(LOG(I17)-INT(LOG(I17))),0)&lt;0,ROUND(96*(LOG(I17)-INT(LOG(I17))),0)-1,ROUND(96*(LOG(I17)-INT(LOG(I17))),0))+1)/96))*POWER(10,INT(LOG(I17))-2))/2,INT(0.5+100*POWER(10,(IF(96*(LOG(I17)-INT(LOG(I17)))-ROUND(96*(LOG(I17)-INT(LOG(I17))),0)&lt;0,ROUND(96*(LOG(I17)-INT(LOG(I17))),0)-1,ROUND(96*(LOG(I17)-INT(LOG(I17))),0))+1)/96))*POWER(10,INT(LOG(I17))-2),INT(0.5+100*POWER(10,IF(96*(LOG(I17)-INT(LOG(I17)))-ROUND(96*(LOG(I17)-INT(LOG(I17))),0)&lt;0,ROUND(96*(LOG(I17)-INT(LOG(I17))),0)-1,ROUND(96*(LOG(I17)-INT(LOG(I17))),0))/96))*POWER(10,INT(LOG(I17))-2)))</f>
        <v>6.8100000000000005</v>
      </c>
      <c r="K17" s="17" t="s">
        <v>113</v>
      </c>
    </row>
    <row r="18" spans="1:11" ht="13">
      <c r="A18">
        <v>4.7</v>
      </c>
      <c r="B18">
        <f t="shared" si="1"/>
        <v>0</v>
      </c>
      <c r="C18">
        <f t="shared" si="2"/>
        <v>0</v>
      </c>
      <c r="D18">
        <f t="shared" si="3"/>
        <v>0</v>
      </c>
      <c r="E18">
        <f t="shared" si="4"/>
        <v>0</v>
      </c>
      <c r="H18" s="76" t="s">
        <v>295</v>
      </c>
      <c r="I18" s="173" t="e">
        <f>Rhys</f>
        <v>#NAME?</v>
      </c>
      <c r="J18" s="3" t="e">
        <f>IF(I18="OPEN","OPEN",IF(I18&gt;(INT(0.5+100*POWER(10,IF(96*(LOG(I18)-INT(LOG(I18)))-ROUND(96*(LOG(I18)-INT(LOG(I18))),0)&lt;0,ROUND(96*(LOG(I18)-INT(LOG(I18))),0)-1,ROUND(96*(LOG(I18)-INT(LOG(I18))),0))/96))*POWER(10,INT(LOG(I18))-2)+INT(0.5+100*POWER(10,(IF(96*(LOG(I18)-INT(LOG(I18)))-ROUND(96*(LOG(I18)-INT(LOG(I18))),0)&lt;0,ROUND(96*(LOG(I18)-INT(LOG(I18))),0)-1,ROUND(96*(LOG(I18)-INT(LOG(I18))),0))+1)/96))*POWER(10,INT(LOG(I18))-2))/2,INT(0.5+100*POWER(10,(IF(96*(LOG(I18)-INT(LOG(I18)))-ROUND(96*(LOG(I18)-INT(LOG(I18))),0)&lt;0,ROUND(96*(LOG(I18)-INT(LOG(I18))),0)-1,ROUND(96*(LOG(I18)-INT(LOG(I18))),0))+1)/96))*POWER(10,INT(LOG(I18))-2),INT(0.5+100*POWER(10,IF(96*(LOG(I18)-INT(LOG(I18)))-ROUND(96*(LOG(I18)-INT(LOG(I18))),0)&lt;0,ROUND(96*(LOG(I18)-INT(LOG(I18))),0)-1,ROUND(96*(LOG(I18)-INT(LOG(I18))),0))/96))*POWER(10,INT(LOG(I18))-2)))</f>
        <v>#NAME?</v>
      </c>
      <c r="K18" s="17" t="s">
        <v>113</v>
      </c>
    </row>
    <row r="19" spans="1:11">
      <c r="A19">
        <v>5.6</v>
      </c>
      <c r="B19">
        <f t="shared" si="1"/>
        <v>0</v>
      </c>
      <c r="C19">
        <f t="shared" si="2"/>
        <v>0</v>
      </c>
      <c r="D19">
        <f t="shared" si="3"/>
        <v>0</v>
      </c>
      <c r="E19">
        <f t="shared" si="4"/>
        <v>0</v>
      </c>
    </row>
    <row r="20" spans="1:11" ht="13">
      <c r="A20">
        <v>6.8</v>
      </c>
      <c r="B20">
        <f t="shared" si="1"/>
        <v>0</v>
      </c>
      <c r="C20">
        <f t="shared" si="2"/>
        <v>0</v>
      </c>
      <c r="D20">
        <f t="shared" si="3"/>
        <v>0</v>
      </c>
      <c r="E20">
        <f t="shared" si="4"/>
        <v>0</v>
      </c>
      <c r="H20" s="76"/>
      <c r="J20" s="3"/>
    </row>
    <row r="21" spans="1:11" ht="13">
      <c r="A21">
        <v>8.1999999999999993</v>
      </c>
      <c r="B21">
        <f t="shared" si="1"/>
        <v>0</v>
      </c>
      <c r="C21">
        <f t="shared" si="2"/>
        <v>0</v>
      </c>
      <c r="D21">
        <f t="shared" si="3"/>
        <v>0</v>
      </c>
      <c r="E21">
        <f t="shared" si="4"/>
        <v>0</v>
      </c>
      <c r="J21" s="3"/>
    </row>
    <row r="22" spans="1:11" ht="13">
      <c r="A22">
        <v>10</v>
      </c>
      <c r="B22">
        <f t="shared" si="1"/>
        <v>0</v>
      </c>
      <c r="C22">
        <f t="shared" si="2"/>
        <v>0</v>
      </c>
      <c r="D22">
        <f t="shared" si="3"/>
        <v>0</v>
      </c>
      <c r="E22">
        <f t="shared" si="4"/>
        <v>0</v>
      </c>
      <c r="H22" s="76"/>
      <c r="J22" s="3"/>
      <c r="K22" s="17"/>
    </row>
    <row r="23" spans="1:11" ht="13">
      <c r="A23">
        <v>12</v>
      </c>
      <c r="B23">
        <f t="shared" si="1"/>
        <v>0</v>
      </c>
      <c r="C23">
        <f t="shared" si="2"/>
        <v>0</v>
      </c>
      <c r="D23">
        <f t="shared" si="3"/>
        <v>0</v>
      </c>
      <c r="E23">
        <f t="shared" si="4"/>
        <v>0</v>
      </c>
      <c r="H23" t="s">
        <v>898</v>
      </c>
      <c r="I23">
        <f>'Calculations - Single'!H329</f>
        <v>10112.409558579493</v>
      </c>
      <c r="J23" s="3">
        <f>IF(I23&gt;(INT(0.5+100*POWER(10,IF(96*(LOG(I23)-INT(LOG(I23)))-ROUND(96*(LOG(I23)-INT(LOG(I23))),0)&lt;0,ROUND(96*(LOG(I23)-INT(LOG(I23))),0)-1,ROUND(96*(LOG(I23)-INT(LOG(I23))),0))/96))*POWER(10,INT(LOG(I23))-2)+INT(0.5+100*POWER(10,(IF(96*(LOG(I23)-INT(LOG(I23)))-ROUND(96*(LOG(I23)-INT(LOG(I23))),0)&lt;0,ROUND(96*(LOG(I23)-INT(LOG(I23))),0)-1,ROUND(96*(LOG(I23)-INT(LOG(I23))),0))+1)/96))*POWER(10,INT(LOG(I23))-2))/2,INT(0.5+100*POWER(10,(IF(96*(LOG(I23)-INT(LOG(I23)))-ROUND(96*(LOG(I23)-INT(LOG(I23))),0)&lt;0,ROUND(96*(LOG(I23)-INT(LOG(I23))),0)-1,ROUND(96*(LOG(I23)-INT(LOG(I23))),0))+1)/96))*POWER(10,INT(LOG(I23))-2),INT(0.5+100*POWER(10,IF(96*(LOG(I23)-INT(LOG(I23)))-ROUND(96*(LOG(I23)-INT(LOG(I23))),0)&lt;0,ROUND(96*(LOG(I23)-INT(LOG(I23))),0)-1,ROUND(96*(LOG(I23)-INT(LOG(I23))),0))/96))*POWER(10,INT(LOG(I23))-2))</f>
        <v>10200</v>
      </c>
      <c r="K23" s="17" t="s">
        <v>136</v>
      </c>
    </row>
    <row r="24" spans="1:11" ht="13">
      <c r="A24">
        <v>15</v>
      </c>
      <c r="B24">
        <f t="shared" si="1"/>
        <v>0</v>
      </c>
      <c r="C24">
        <f t="shared" si="2"/>
        <v>0</v>
      </c>
      <c r="D24">
        <f t="shared" si="3"/>
        <v>0</v>
      </c>
      <c r="E24">
        <f t="shared" si="4"/>
        <v>0</v>
      </c>
      <c r="H24" t="s">
        <v>899</v>
      </c>
      <c r="I24">
        <f>'Calculations - Dual'!H329</f>
        <v>10112.409558579493</v>
      </c>
      <c r="J24" s="3">
        <f>IF(I24&gt;(INT(0.5+100*POWER(10,IF(96*(LOG(I24)-INT(LOG(I24)))-ROUND(96*(LOG(I24)-INT(LOG(I24))),0)&lt;0,ROUND(96*(LOG(I24)-INT(LOG(I24))),0)-1,ROUND(96*(LOG(I24)-INT(LOG(I24))),0))/96))*POWER(10,INT(LOG(I24))-2)+INT(0.5+100*POWER(10,(IF(96*(LOG(I24)-INT(LOG(I24)))-ROUND(96*(LOG(I24)-INT(LOG(I24))),0)&lt;0,ROUND(96*(LOG(I24)-INT(LOG(I24))),0)-1,ROUND(96*(LOG(I24)-INT(LOG(I24))),0))+1)/96))*POWER(10,INT(LOG(I24))-2))/2,INT(0.5+100*POWER(10,(IF(96*(LOG(I24)-INT(LOG(I24)))-ROUND(96*(LOG(I24)-INT(LOG(I24))),0)&lt;0,ROUND(96*(LOG(I24)-INT(LOG(I24))),0)-1,ROUND(96*(LOG(I24)-INT(LOG(I24))),0))+1)/96))*POWER(10,INT(LOG(I24))-2),INT(0.5+100*POWER(10,IF(96*(LOG(I24)-INT(LOG(I24)))-ROUND(96*(LOG(I24)-INT(LOG(I24))),0)&lt;0,ROUND(96*(LOG(I24)-INT(LOG(I24))),0)-1,ROUND(96*(LOG(I24)-INT(LOG(I24))),0))/96))*POWER(10,INT(LOG(I24))-2))</f>
        <v>10200</v>
      </c>
    </row>
    <row r="25" spans="1:11" ht="13">
      <c r="A25">
        <v>18</v>
      </c>
      <c r="B25">
        <f t="shared" si="1"/>
        <v>0</v>
      </c>
      <c r="C25">
        <f t="shared" si="2"/>
        <v>0</v>
      </c>
      <c r="D25">
        <f t="shared" si="3"/>
        <v>0</v>
      </c>
      <c r="E25">
        <f t="shared" si="4"/>
        <v>0</v>
      </c>
      <c r="H25" s="76" t="s">
        <v>900</v>
      </c>
      <c r="I25">
        <f>'Calculations - Dual'!O329</f>
        <v>10076.143320129639</v>
      </c>
      <c r="J25" s="3">
        <f>IF(I25&gt;(INT(0.5+100*POWER(10,IF(96*(LOG(I25)-INT(LOG(I25)))-ROUND(96*(LOG(I25)-INT(LOG(I25))),0)&lt;0,ROUND(96*(LOG(I25)-INT(LOG(I25))),0)-1,ROUND(96*(LOG(I25)-INT(LOG(I25))),0))/96))*POWER(10,INT(LOG(I25))-2)+INT(0.5+100*POWER(10,(IF(96*(LOG(I25)-INT(LOG(I25)))-ROUND(96*(LOG(I25)-INT(LOG(I25))),0)&lt;0,ROUND(96*(LOG(I25)-INT(LOG(I25))),0)-1,ROUND(96*(LOG(I25)-INT(LOG(I25))),0))+1)/96))*POWER(10,INT(LOG(I25))-2))/2,INT(0.5+100*POWER(10,(IF(96*(LOG(I25)-INT(LOG(I25)))-ROUND(96*(LOG(I25)-INT(LOG(I25))),0)&lt;0,ROUND(96*(LOG(I25)-INT(LOG(I25))),0)-1,ROUND(96*(LOG(I25)-INT(LOG(I25))),0))+1)/96))*POWER(10,INT(LOG(I25))-2),INT(0.5+100*POWER(10,IF(96*(LOG(I25)-INT(LOG(I25)))-ROUND(96*(LOG(I25)-INT(LOG(I25))),0)&lt;0,ROUND(96*(LOG(I25)-INT(LOG(I25))),0)-1,ROUND(96*(LOG(I25)-INT(LOG(I25))),0))/96))*POWER(10,INT(LOG(I25))-2))</f>
        <v>10000</v>
      </c>
      <c r="K25" s="17"/>
    </row>
    <row r="26" spans="1:11">
      <c r="A26">
        <v>22</v>
      </c>
      <c r="B26">
        <f t="shared" si="1"/>
        <v>0</v>
      </c>
      <c r="C26">
        <f t="shared" si="2"/>
        <v>0</v>
      </c>
      <c r="D26">
        <f t="shared" si="3"/>
        <v>0</v>
      </c>
      <c r="E26">
        <f t="shared" si="4"/>
        <v>0</v>
      </c>
    </row>
    <row r="27" spans="1:11">
      <c r="A27">
        <v>27</v>
      </c>
      <c r="B27">
        <f t="shared" si="1"/>
        <v>0</v>
      </c>
      <c r="C27">
        <f t="shared" si="2"/>
        <v>0</v>
      </c>
      <c r="D27">
        <f t="shared" si="3"/>
        <v>0</v>
      </c>
      <c r="E27">
        <f t="shared" si="4"/>
        <v>0</v>
      </c>
      <c r="H27" t="s">
        <v>901</v>
      </c>
      <c r="I27">
        <f>'Calculations - Single'!G327</f>
        <v>0.11347517730496451</v>
      </c>
    </row>
    <row r="28" spans="1:11" ht="13">
      <c r="A28">
        <v>33</v>
      </c>
      <c r="B28">
        <f t="shared" si="1"/>
        <v>0</v>
      </c>
      <c r="C28">
        <f t="shared" si="2"/>
        <v>0</v>
      </c>
      <c r="D28">
        <f t="shared" si="3"/>
        <v>0</v>
      </c>
      <c r="E28">
        <f t="shared" si="4"/>
        <v>0</v>
      </c>
      <c r="H28" s="76" t="s">
        <v>902</v>
      </c>
      <c r="I28">
        <f>'Calculations - Dual'!G327</f>
        <v>0.11347517730496451</v>
      </c>
      <c r="K28" s="17"/>
    </row>
    <row r="29" spans="1:11">
      <c r="A29">
        <v>39</v>
      </c>
      <c r="B29">
        <f t="shared" si="1"/>
        <v>0</v>
      </c>
      <c r="C29">
        <f t="shared" si="2"/>
        <v>0</v>
      </c>
      <c r="D29">
        <f t="shared" si="3"/>
        <v>0</v>
      </c>
      <c r="E29">
        <f t="shared" si="4"/>
        <v>0</v>
      </c>
      <c r="H29" s="76" t="s">
        <v>903</v>
      </c>
      <c r="I29">
        <f>'Calculations - Dual'!N327</f>
        <v>0.11347517730496451</v>
      </c>
      <c r="K29" s="76"/>
    </row>
    <row r="30" spans="1:11">
      <c r="A30">
        <v>47</v>
      </c>
      <c r="B30">
        <f t="shared" si="1"/>
        <v>0</v>
      </c>
      <c r="C30">
        <f t="shared" si="2"/>
        <v>0</v>
      </c>
      <c r="D30">
        <f t="shared" si="3"/>
        <v>0</v>
      </c>
      <c r="E30">
        <f t="shared" si="4"/>
        <v>0</v>
      </c>
      <c r="H30" s="4"/>
      <c r="K30" s="76"/>
    </row>
    <row r="31" spans="1:11" ht="13">
      <c r="A31">
        <v>56</v>
      </c>
      <c r="B31">
        <f t="shared" si="1"/>
        <v>0</v>
      </c>
      <c r="C31">
        <f t="shared" si="2"/>
        <v>0</v>
      </c>
      <c r="D31">
        <f t="shared" si="3"/>
        <v>0</v>
      </c>
      <c r="E31">
        <f t="shared" si="4"/>
        <v>0</v>
      </c>
      <c r="H31" s="4"/>
      <c r="K31" s="17"/>
    </row>
    <row r="32" spans="1:11">
      <c r="A32">
        <v>68</v>
      </c>
      <c r="B32">
        <f t="shared" si="1"/>
        <v>0</v>
      </c>
      <c r="C32">
        <f t="shared" si="2"/>
        <v>0</v>
      </c>
      <c r="D32">
        <f t="shared" si="3"/>
        <v>0</v>
      </c>
      <c r="E32">
        <f t="shared" si="4"/>
        <v>0</v>
      </c>
      <c r="H32" s="4"/>
      <c r="K32" s="76"/>
    </row>
    <row r="33" spans="1:8">
      <c r="A33">
        <v>82</v>
      </c>
      <c r="B33">
        <f t="shared" si="1"/>
        <v>0</v>
      </c>
      <c r="C33">
        <f t="shared" si="2"/>
        <v>0</v>
      </c>
      <c r="D33">
        <f t="shared" si="3"/>
        <v>0</v>
      </c>
      <c r="E33">
        <f t="shared" si="4"/>
        <v>0</v>
      </c>
    </row>
    <row r="34" spans="1:8">
      <c r="A34">
        <f>A22*10</f>
        <v>100</v>
      </c>
      <c r="B34">
        <f t="shared" si="1"/>
        <v>0</v>
      </c>
      <c r="C34">
        <f t="shared" si="2"/>
        <v>0</v>
      </c>
      <c r="D34">
        <f t="shared" si="3"/>
        <v>0</v>
      </c>
      <c r="E34">
        <f t="shared" si="4"/>
        <v>0</v>
      </c>
      <c r="H34" s="76"/>
    </row>
    <row r="35" spans="1:8">
      <c r="A35">
        <f t="shared" ref="A35:A98" si="5">A23*10</f>
        <v>120</v>
      </c>
      <c r="B35">
        <f t="shared" si="1"/>
        <v>0</v>
      </c>
      <c r="C35">
        <f t="shared" si="2"/>
        <v>0</v>
      </c>
      <c r="D35">
        <f t="shared" si="3"/>
        <v>0</v>
      </c>
      <c r="E35">
        <f t="shared" si="4"/>
        <v>0</v>
      </c>
      <c r="H35" s="76"/>
    </row>
    <row r="36" spans="1:8">
      <c r="A36">
        <f t="shared" si="5"/>
        <v>150</v>
      </c>
      <c r="B36">
        <f t="shared" si="1"/>
        <v>0</v>
      </c>
      <c r="C36">
        <f t="shared" si="2"/>
        <v>0</v>
      </c>
      <c r="D36">
        <f t="shared" si="3"/>
        <v>0</v>
      </c>
      <c r="E36">
        <f t="shared" si="4"/>
        <v>0</v>
      </c>
    </row>
    <row r="37" spans="1:8">
      <c r="A37">
        <f t="shared" si="5"/>
        <v>180</v>
      </c>
      <c r="B37">
        <f t="shared" si="1"/>
        <v>0</v>
      </c>
      <c r="C37">
        <f t="shared" si="2"/>
        <v>0</v>
      </c>
      <c r="D37">
        <f t="shared" si="3"/>
        <v>0</v>
      </c>
      <c r="E37">
        <f t="shared" si="4"/>
        <v>0</v>
      </c>
    </row>
    <row r="38" spans="1:8">
      <c r="A38">
        <f t="shared" si="5"/>
        <v>220</v>
      </c>
      <c r="B38">
        <f t="shared" si="1"/>
        <v>0</v>
      </c>
      <c r="C38">
        <f t="shared" si="2"/>
        <v>0</v>
      </c>
      <c r="D38">
        <f t="shared" si="3"/>
        <v>0</v>
      </c>
      <c r="E38">
        <f t="shared" ref="E38:E69" si="6">IF(IF((E$3*10^12-$A39)*(E$3*10^12-$A38)*-1&lt;0,0,1)*IF(ABS(E$3*10^12-$A39)&gt;(E$3*10^12-$A38),$A38,$A39)=E39,0,IF((E$3*10^12-$A39)*(E$3*10^12-$A38)*-1&lt;0,0,1)*IF(ABS(E$3*10^12-$A39)&gt;(E$3*10^12-$A38),$A38,$A39))</f>
        <v>0</v>
      </c>
    </row>
    <row r="39" spans="1:8">
      <c r="A39">
        <f t="shared" si="5"/>
        <v>270</v>
      </c>
      <c r="B39">
        <f t="shared" si="1"/>
        <v>0</v>
      </c>
      <c r="C39">
        <f t="shared" si="2"/>
        <v>0</v>
      </c>
      <c r="D39">
        <f t="shared" si="3"/>
        <v>0</v>
      </c>
      <c r="E39">
        <f t="shared" si="6"/>
        <v>0</v>
      </c>
    </row>
    <row r="40" spans="1:8">
      <c r="A40">
        <f t="shared" si="5"/>
        <v>330</v>
      </c>
      <c r="B40">
        <f t="shared" si="1"/>
        <v>0</v>
      </c>
      <c r="C40">
        <f t="shared" si="2"/>
        <v>0</v>
      </c>
      <c r="D40">
        <f t="shared" si="3"/>
        <v>0</v>
      </c>
      <c r="E40">
        <f t="shared" si="6"/>
        <v>0</v>
      </c>
    </row>
    <row r="41" spans="1:8">
      <c r="A41">
        <f t="shared" si="5"/>
        <v>390</v>
      </c>
      <c r="B41">
        <f t="shared" si="1"/>
        <v>0</v>
      </c>
      <c r="C41">
        <f t="shared" si="2"/>
        <v>0</v>
      </c>
      <c r="D41">
        <f t="shared" si="3"/>
        <v>0</v>
      </c>
      <c r="E41">
        <f t="shared" si="6"/>
        <v>0</v>
      </c>
    </row>
    <row r="42" spans="1:8">
      <c r="A42">
        <f t="shared" si="5"/>
        <v>470</v>
      </c>
      <c r="B42">
        <f t="shared" si="1"/>
        <v>0</v>
      </c>
      <c r="C42">
        <f t="shared" si="2"/>
        <v>0</v>
      </c>
      <c r="D42">
        <f t="shared" si="3"/>
        <v>0</v>
      </c>
      <c r="E42">
        <f t="shared" si="6"/>
        <v>0</v>
      </c>
    </row>
    <row r="43" spans="1:8">
      <c r="A43">
        <f t="shared" si="5"/>
        <v>560</v>
      </c>
      <c r="B43">
        <f t="shared" si="1"/>
        <v>0</v>
      </c>
      <c r="C43">
        <f t="shared" si="2"/>
        <v>0</v>
      </c>
      <c r="D43">
        <f t="shared" si="3"/>
        <v>0</v>
      </c>
      <c r="E43">
        <f t="shared" si="6"/>
        <v>0</v>
      </c>
    </row>
    <row r="44" spans="1:8">
      <c r="A44">
        <f t="shared" si="5"/>
        <v>680</v>
      </c>
      <c r="B44">
        <f t="shared" si="1"/>
        <v>0</v>
      </c>
      <c r="C44">
        <f t="shared" si="2"/>
        <v>0</v>
      </c>
      <c r="D44">
        <f t="shared" si="3"/>
        <v>0</v>
      </c>
      <c r="E44">
        <f t="shared" si="6"/>
        <v>0</v>
      </c>
    </row>
    <row r="45" spans="1:8">
      <c r="A45">
        <f>A33*10</f>
        <v>820</v>
      </c>
      <c r="B45">
        <f t="shared" si="1"/>
        <v>0</v>
      </c>
      <c r="C45">
        <f t="shared" si="2"/>
        <v>0</v>
      </c>
      <c r="D45">
        <f t="shared" si="3"/>
        <v>0</v>
      </c>
      <c r="E45">
        <f t="shared" si="6"/>
        <v>0</v>
      </c>
    </row>
    <row r="46" spans="1:8">
      <c r="A46">
        <f t="shared" si="5"/>
        <v>1000</v>
      </c>
      <c r="B46">
        <f t="shared" si="1"/>
        <v>0</v>
      </c>
      <c r="C46">
        <f t="shared" si="2"/>
        <v>0</v>
      </c>
      <c r="D46">
        <f t="shared" si="3"/>
        <v>0</v>
      </c>
      <c r="E46">
        <f t="shared" si="6"/>
        <v>0</v>
      </c>
    </row>
    <row r="47" spans="1:8">
      <c r="A47">
        <f t="shared" si="5"/>
        <v>1200</v>
      </c>
      <c r="B47">
        <f t="shared" si="1"/>
        <v>0</v>
      </c>
      <c r="C47">
        <f t="shared" si="2"/>
        <v>0</v>
      </c>
      <c r="D47">
        <f t="shared" si="3"/>
        <v>0</v>
      </c>
      <c r="E47">
        <f t="shared" si="6"/>
        <v>0</v>
      </c>
    </row>
    <row r="48" spans="1:8">
      <c r="A48">
        <f t="shared" si="5"/>
        <v>1500</v>
      </c>
      <c r="B48">
        <f t="shared" si="1"/>
        <v>0</v>
      </c>
      <c r="C48">
        <f t="shared" si="2"/>
        <v>0</v>
      </c>
      <c r="D48">
        <f t="shared" si="3"/>
        <v>0</v>
      </c>
      <c r="E48">
        <f t="shared" si="6"/>
        <v>0</v>
      </c>
    </row>
    <row r="49" spans="1:5">
      <c r="A49">
        <f t="shared" si="5"/>
        <v>1800</v>
      </c>
      <c r="B49">
        <f t="shared" si="1"/>
        <v>0</v>
      </c>
      <c r="C49">
        <f t="shared" si="2"/>
        <v>0</v>
      </c>
      <c r="D49">
        <f t="shared" si="3"/>
        <v>0</v>
      </c>
      <c r="E49">
        <f t="shared" si="6"/>
        <v>0</v>
      </c>
    </row>
    <row r="50" spans="1:5">
      <c r="A50">
        <f t="shared" si="5"/>
        <v>2200</v>
      </c>
      <c r="B50">
        <f t="shared" si="1"/>
        <v>0</v>
      </c>
      <c r="C50">
        <f t="shared" si="2"/>
        <v>0</v>
      </c>
      <c r="D50">
        <f t="shared" si="3"/>
        <v>0</v>
      </c>
      <c r="E50">
        <f t="shared" si="6"/>
        <v>0</v>
      </c>
    </row>
    <row r="51" spans="1:5">
      <c r="A51">
        <f t="shared" si="5"/>
        <v>2700</v>
      </c>
      <c r="B51">
        <f t="shared" si="1"/>
        <v>0</v>
      </c>
      <c r="C51">
        <f t="shared" si="2"/>
        <v>0</v>
      </c>
      <c r="D51">
        <f t="shared" si="3"/>
        <v>0</v>
      </c>
      <c r="E51">
        <f t="shared" si="6"/>
        <v>0</v>
      </c>
    </row>
    <row r="52" spans="1:5">
      <c r="A52">
        <f t="shared" si="5"/>
        <v>3300</v>
      </c>
      <c r="B52">
        <f t="shared" si="1"/>
        <v>0</v>
      </c>
      <c r="C52">
        <f t="shared" si="2"/>
        <v>0</v>
      </c>
      <c r="D52">
        <f t="shared" si="3"/>
        <v>0</v>
      </c>
      <c r="E52">
        <f t="shared" si="6"/>
        <v>0</v>
      </c>
    </row>
    <row r="53" spans="1:5">
      <c r="A53">
        <f t="shared" si="5"/>
        <v>3900</v>
      </c>
      <c r="B53">
        <f t="shared" si="1"/>
        <v>0</v>
      </c>
      <c r="C53">
        <f t="shared" si="2"/>
        <v>0</v>
      </c>
      <c r="D53">
        <f t="shared" si="3"/>
        <v>0</v>
      </c>
      <c r="E53">
        <f t="shared" si="6"/>
        <v>0</v>
      </c>
    </row>
    <row r="54" spans="1:5">
      <c r="A54">
        <f t="shared" si="5"/>
        <v>4700</v>
      </c>
      <c r="B54">
        <f t="shared" si="1"/>
        <v>0</v>
      </c>
      <c r="C54">
        <f t="shared" si="2"/>
        <v>0</v>
      </c>
      <c r="D54">
        <f t="shared" si="3"/>
        <v>0</v>
      </c>
      <c r="E54">
        <f t="shared" si="6"/>
        <v>0</v>
      </c>
    </row>
    <row r="55" spans="1:5">
      <c r="A55">
        <f t="shared" si="5"/>
        <v>5600</v>
      </c>
      <c r="B55">
        <f t="shared" si="1"/>
        <v>0</v>
      </c>
      <c r="C55">
        <f t="shared" si="2"/>
        <v>0</v>
      </c>
      <c r="D55">
        <f t="shared" si="3"/>
        <v>0</v>
      </c>
      <c r="E55">
        <f t="shared" si="6"/>
        <v>0</v>
      </c>
    </row>
    <row r="56" spans="1:5">
      <c r="A56">
        <f t="shared" si="5"/>
        <v>6800</v>
      </c>
      <c r="B56">
        <f t="shared" si="1"/>
        <v>0</v>
      </c>
      <c r="C56">
        <f t="shared" si="2"/>
        <v>0</v>
      </c>
      <c r="D56">
        <f t="shared" si="3"/>
        <v>0</v>
      </c>
      <c r="E56">
        <f t="shared" si="6"/>
        <v>0</v>
      </c>
    </row>
    <row r="57" spans="1:5">
      <c r="A57">
        <f t="shared" si="5"/>
        <v>8200</v>
      </c>
      <c r="B57">
        <f t="shared" si="1"/>
        <v>0</v>
      </c>
      <c r="C57">
        <f t="shared" si="2"/>
        <v>0</v>
      </c>
      <c r="D57">
        <f t="shared" si="3"/>
        <v>0</v>
      </c>
      <c r="E57">
        <f t="shared" si="6"/>
        <v>0</v>
      </c>
    </row>
    <row r="58" spans="1:5">
      <c r="A58">
        <f t="shared" si="5"/>
        <v>10000</v>
      </c>
      <c r="B58">
        <f t="shared" si="1"/>
        <v>0</v>
      </c>
      <c r="C58">
        <f t="shared" si="2"/>
        <v>0</v>
      </c>
      <c r="D58">
        <f t="shared" si="3"/>
        <v>0</v>
      </c>
      <c r="E58">
        <f t="shared" si="6"/>
        <v>0</v>
      </c>
    </row>
    <row r="59" spans="1:5">
      <c r="A59">
        <f t="shared" si="5"/>
        <v>12000</v>
      </c>
      <c r="B59">
        <f t="shared" si="1"/>
        <v>0</v>
      </c>
      <c r="C59">
        <f t="shared" si="2"/>
        <v>0</v>
      </c>
      <c r="D59">
        <f t="shared" si="3"/>
        <v>0</v>
      </c>
      <c r="E59">
        <f t="shared" si="6"/>
        <v>0</v>
      </c>
    </row>
    <row r="60" spans="1:5">
      <c r="A60">
        <f t="shared" si="5"/>
        <v>15000</v>
      </c>
      <c r="B60">
        <f t="shared" si="1"/>
        <v>0</v>
      </c>
      <c r="C60">
        <f t="shared" si="2"/>
        <v>0</v>
      </c>
      <c r="D60">
        <f t="shared" si="3"/>
        <v>0</v>
      </c>
      <c r="E60">
        <f t="shared" si="6"/>
        <v>0</v>
      </c>
    </row>
    <row r="61" spans="1:5">
      <c r="A61">
        <f t="shared" si="5"/>
        <v>18000</v>
      </c>
      <c r="B61">
        <f t="shared" si="1"/>
        <v>0</v>
      </c>
      <c r="C61">
        <f t="shared" si="2"/>
        <v>0</v>
      </c>
      <c r="D61">
        <f t="shared" si="3"/>
        <v>0</v>
      </c>
      <c r="E61">
        <f t="shared" si="6"/>
        <v>0</v>
      </c>
    </row>
    <row r="62" spans="1:5">
      <c r="A62">
        <f t="shared" si="5"/>
        <v>22000</v>
      </c>
      <c r="B62">
        <f t="shared" si="1"/>
        <v>0</v>
      </c>
      <c r="C62">
        <f t="shared" si="2"/>
        <v>0</v>
      </c>
      <c r="D62">
        <f t="shared" si="3"/>
        <v>0</v>
      </c>
      <c r="E62">
        <f t="shared" si="6"/>
        <v>0</v>
      </c>
    </row>
    <row r="63" spans="1:5">
      <c r="A63">
        <f t="shared" si="5"/>
        <v>27000</v>
      </c>
      <c r="B63">
        <f t="shared" si="1"/>
        <v>0</v>
      </c>
      <c r="C63">
        <f t="shared" si="2"/>
        <v>0</v>
      </c>
      <c r="D63">
        <f t="shared" si="3"/>
        <v>0</v>
      </c>
      <c r="E63">
        <f t="shared" si="6"/>
        <v>0</v>
      </c>
    </row>
    <row r="64" spans="1:5">
      <c r="A64">
        <f t="shared" si="5"/>
        <v>33000</v>
      </c>
      <c r="B64">
        <f t="shared" si="1"/>
        <v>0</v>
      </c>
      <c r="C64">
        <f t="shared" si="2"/>
        <v>0</v>
      </c>
      <c r="D64">
        <f t="shared" si="3"/>
        <v>0</v>
      </c>
      <c r="E64">
        <f t="shared" si="6"/>
        <v>0</v>
      </c>
    </row>
    <row r="65" spans="1:5">
      <c r="A65">
        <f t="shared" si="5"/>
        <v>39000</v>
      </c>
      <c r="B65">
        <f t="shared" si="1"/>
        <v>0</v>
      </c>
      <c r="C65">
        <f t="shared" si="2"/>
        <v>0</v>
      </c>
      <c r="D65">
        <f t="shared" si="3"/>
        <v>0</v>
      </c>
      <c r="E65">
        <f t="shared" si="6"/>
        <v>0</v>
      </c>
    </row>
    <row r="66" spans="1:5">
      <c r="A66">
        <f t="shared" si="5"/>
        <v>47000</v>
      </c>
      <c r="B66">
        <f t="shared" si="1"/>
        <v>0</v>
      </c>
      <c r="C66">
        <f t="shared" si="2"/>
        <v>0</v>
      </c>
      <c r="D66">
        <f t="shared" si="3"/>
        <v>0</v>
      </c>
      <c r="E66">
        <f t="shared" si="6"/>
        <v>0</v>
      </c>
    </row>
    <row r="67" spans="1:5">
      <c r="A67">
        <f t="shared" si="5"/>
        <v>56000</v>
      </c>
      <c r="B67">
        <f t="shared" si="1"/>
        <v>0</v>
      </c>
      <c r="C67">
        <f t="shared" si="2"/>
        <v>0</v>
      </c>
      <c r="D67">
        <f t="shared" si="3"/>
        <v>0</v>
      </c>
      <c r="E67">
        <f t="shared" si="6"/>
        <v>0</v>
      </c>
    </row>
    <row r="68" spans="1:5">
      <c r="A68">
        <f t="shared" si="5"/>
        <v>68000</v>
      </c>
      <c r="B68">
        <f t="shared" si="1"/>
        <v>0</v>
      </c>
      <c r="C68">
        <f t="shared" si="2"/>
        <v>0</v>
      </c>
      <c r="D68">
        <f t="shared" si="3"/>
        <v>0</v>
      </c>
      <c r="E68">
        <f t="shared" si="6"/>
        <v>0</v>
      </c>
    </row>
    <row r="69" spans="1:5">
      <c r="A69">
        <f t="shared" si="5"/>
        <v>82000</v>
      </c>
      <c r="B69">
        <f t="shared" si="1"/>
        <v>0</v>
      </c>
      <c r="C69">
        <f t="shared" si="2"/>
        <v>0</v>
      </c>
      <c r="D69">
        <f t="shared" si="3"/>
        <v>0</v>
      </c>
      <c r="E69">
        <f t="shared" si="6"/>
        <v>0</v>
      </c>
    </row>
    <row r="70" spans="1:5">
      <c r="A70">
        <f t="shared" si="5"/>
        <v>100000</v>
      </c>
      <c r="B70">
        <f t="shared" si="1"/>
        <v>0</v>
      </c>
      <c r="C70">
        <f>IF(IF((C$3*10^12-$A71)*(C$3*10^12-$A70)*-1&lt;0,0,1)*IF(ABS(C$3*10^12-$A71)&gt;(C$3*10^12-$A70),$A70,$A71)=C71,0,IF((C$3*10^12-$A71)*(C$3*10^12-$A70)*-1&lt;0,0,1)*IF(ABS(C$3*10^12-$A71)&gt;(C$3*10^12-$A70),$A70,$A71))</f>
        <v>0</v>
      </c>
      <c r="D70">
        <f>IF(IF((D$3*10^12-$A71)*(D$3*10^12-$A70)*-1&lt;0,0,1)*IF(ABS(D$3*10^12-$A71)&gt;(D$3*10^12-$A70),$A70,$A71)=D71,0,IF((D$3*10^12-$A71)*(D$3*10^12-$A70)*-1&lt;0,0,1)*IF(ABS(D$3*10^12-$A71)&gt;(D$3*10^12-$A70),$A70,$A71))</f>
        <v>0</v>
      </c>
      <c r="E70">
        <f t="shared" ref="E70:E101" si="7">IF(IF((E$3*10^12-$A71)*(E$3*10^12-$A70)*-1&lt;0,0,1)*IF(ABS(E$3*10^12-$A71)&gt;(E$3*10^12-$A70),$A70,$A71)=E71,0,IF((E$3*10^12-$A71)*(E$3*10^12-$A70)*-1&lt;0,0,1)*IF(ABS(E$3*10^12-$A71)&gt;(E$3*10^12-$A70),$A70,$A71))</f>
        <v>0</v>
      </c>
    </row>
    <row r="71" spans="1:5">
      <c r="A71">
        <f t="shared" si="5"/>
        <v>120000</v>
      </c>
      <c r="B71">
        <f t="shared" ref="B71:B134" si="8">IF(IF((B$3*10^12-$A72)*(B$3*10^12-$A71)*-1&lt;0,0,1)*IF(ABS(B$3*10^12-$A72)&gt;(B$3*10^12-$A71),$A71,$A72)=B72,0,IF((B$3*10^12-$A72)*(B$3*10^12-$A71)*-1&lt;0,0,1)*IF(ABS(B$3*10^12-$A72)&gt;(B$3*10^12-$A71),$A71,$A72))</f>
        <v>0</v>
      </c>
      <c r="C71">
        <f t="shared" ref="C71:C133" si="9">IF(IF((C$3*10^12-$A72)*(C$3*10^12-$A71)*-1&lt;0,0,1)*IF(ABS(C$3*10^12-$A72)&gt;(C$3*10^12-$A71),$A71,$A72)=C72,0,IF((C$3*10^12-$A72)*(C$3*10^12-$A71)*-1&lt;0,0,1)*IF(ABS(C$3*10^12-$A72)&gt;(C$3*10^12-$A71),$A71,$A72))</f>
        <v>0</v>
      </c>
      <c r="D71">
        <f t="shared" ref="D71:D102" si="10">IF(IF((D$3*10^12-$A72)*(D$3*10^12-$A71)*-1&lt;0,0,1)*IF(ABS(D$3*10^12-$A72)&gt;(D$3*10^12-$A71),$A71,$A72)=D72,0,IF((D$3*10^12-$A72)*(D$3*10^12-$A71)*-1&lt;0,0,1)*IF(ABS(D$3*10^12-$A72)&gt;(D$3*10^12-$A71),$A71,$A72))</f>
        <v>0</v>
      </c>
      <c r="E71">
        <f t="shared" si="7"/>
        <v>0</v>
      </c>
    </row>
    <row r="72" spans="1:5">
      <c r="A72">
        <f t="shared" si="5"/>
        <v>150000</v>
      </c>
      <c r="B72">
        <f t="shared" si="8"/>
        <v>180000</v>
      </c>
      <c r="C72">
        <f t="shared" si="9"/>
        <v>0</v>
      </c>
      <c r="D72">
        <f t="shared" si="10"/>
        <v>0</v>
      </c>
      <c r="E72">
        <f t="shared" si="7"/>
        <v>0</v>
      </c>
    </row>
    <row r="73" spans="1:5">
      <c r="A73">
        <f t="shared" si="5"/>
        <v>180000</v>
      </c>
      <c r="B73">
        <f t="shared" si="8"/>
        <v>0</v>
      </c>
      <c r="C73">
        <f t="shared" si="9"/>
        <v>0</v>
      </c>
      <c r="D73">
        <f t="shared" si="10"/>
        <v>0</v>
      </c>
      <c r="E73">
        <f t="shared" si="7"/>
        <v>0</v>
      </c>
    </row>
    <row r="74" spans="1:5">
      <c r="A74">
        <f t="shared" si="5"/>
        <v>220000</v>
      </c>
      <c r="B74">
        <f t="shared" si="8"/>
        <v>0</v>
      </c>
      <c r="C74">
        <f t="shared" si="9"/>
        <v>0</v>
      </c>
      <c r="D74">
        <f t="shared" si="10"/>
        <v>0</v>
      </c>
      <c r="E74">
        <f t="shared" si="7"/>
        <v>0</v>
      </c>
    </row>
    <row r="75" spans="1:5">
      <c r="A75">
        <f t="shared" si="5"/>
        <v>270000</v>
      </c>
      <c r="B75">
        <f t="shared" si="8"/>
        <v>0</v>
      </c>
      <c r="C75">
        <f t="shared" si="9"/>
        <v>0</v>
      </c>
      <c r="D75">
        <f t="shared" si="10"/>
        <v>0</v>
      </c>
      <c r="E75">
        <f t="shared" si="7"/>
        <v>0</v>
      </c>
    </row>
    <row r="76" spans="1:5">
      <c r="A76">
        <f t="shared" si="5"/>
        <v>330000</v>
      </c>
      <c r="B76">
        <f t="shared" si="8"/>
        <v>0</v>
      </c>
      <c r="C76">
        <f t="shared" si="9"/>
        <v>0</v>
      </c>
      <c r="D76">
        <f t="shared" si="10"/>
        <v>0</v>
      </c>
      <c r="E76">
        <f t="shared" si="7"/>
        <v>0</v>
      </c>
    </row>
    <row r="77" spans="1:5">
      <c r="A77">
        <f t="shared" si="5"/>
        <v>390000</v>
      </c>
      <c r="B77">
        <f t="shared" si="8"/>
        <v>0</v>
      </c>
      <c r="C77">
        <f t="shared" si="9"/>
        <v>0</v>
      </c>
      <c r="D77">
        <f t="shared" si="10"/>
        <v>0</v>
      </c>
      <c r="E77">
        <f t="shared" si="7"/>
        <v>0</v>
      </c>
    </row>
    <row r="78" spans="1:5">
      <c r="A78">
        <f t="shared" si="5"/>
        <v>470000</v>
      </c>
      <c r="B78">
        <f t="shared" si="8"/>
        <v>0</v>
      </c>
      <c r="C78">
        <f t="shared" si="9"/>
        <v>0</v>
      </c>
      <c r="D78">
        <f t="shared" si="10"/>
        <v>0</v>
      </c>
      <c r="E78">
        <f t="shared" si="7"/>
        <v>0</v>
      </c>
    </row>
    <row r="79" spans="1:5">
      <c r="A79">
        <f t="shared" si="5"/>
        <v>560000</v>
      </c>
      <c r="B79">
        <f t="shared" si="8"/>
        <v>0</v>
      </c>
      <c r="C79">
        <f t="shared" si="9"/>
        <v>0</v>
      </c>
      <c r="D79">
        <f t="shared" si="10"/>
        <v>0</v>
      </c>
      <c r="E79">
        <f t="shared" si="7"/>
        <v>0</v>
      </c>
    </row>
    <row r="80" spans="1:5">
      <c r="A80">
        <f t="shared" si="5"/>
        <v>680000</v>
      </c>
      <c r="B80">
        <f t="shared" si="8"/>
        <v>0</v>
      </c>
      <c r="C80">
        <f t="shared" si="9"/>
        <v>0</v>
      </c>
      <c r="D80">
        <f t="shared" si="10"/>
        <v>0</v>
      </c>
      <c r="E80">
        <f t="shared" si="7"/>
        <v>0</v>
      </c>
    </row>
    <row r="81" spans="1:5">
      <c r="A81">
        <f t="shared" si="5"/>
        <v>820000</v>
      </c>
      <c r="B81">
        <f t="shared" si="8"/>
        <v>0</v>
      </c>
      <c r="C81">
        <f t="shared" si="9"/>
        <v>0</v>
      </c>
      <c r="D81">
        <f t="shared" si="10"/>
        <v>0</v>
      </c>
      <c r="E81">
        <f t="shared" si="7"/>
        <v>0</v>
      </c>
    </row>
    <row r="82" spans="1:5">
      <c r="A82">
        <f t="shared" si="5"/>
        <v>1000000</v>
      </c>
      <c r="B82">
        <f t="shared" si="8"/>
        <v>0</v>
      </c>
      <c r="C82">
        <f t="shared" si="9"/>
        <v>0</v>
      </c>
      <c r="D82">
        <f t="shared" si="10"/>
        <v>0</v>
      </c>
      <c r="E82">
        <f t="shared" si="7"/>
        <v>0</v>
      </c>
    </row>
    <row r="83" spans="1:5">
      <c r="A83">
        <f t="shared" si="5"/>
        <v>1200000</v>
      </c>
      <c r="B83">
        <f t="shared" si="8"/>
        <v>0</v>
      </c>
      <c r="C83">
        <f t="shared" si="9"/>
        <v>0</v>
      </c>
      <c r="D83">
        <f t="shared" si="10"/>
        <v>0</v>
      </c>
      <c r="E83">
        <f t="shared" si="7"/>
        <v>0</v>
      </c>
    </row>
    <row r="84" spans="1:5">
      <c r="A84">
        <f t="shared" si="5"/>
        <v>1500000</v>
      </c>
      <c r="B84">
        <f t="shared" si="8"/>
        <v>0</v>
      </c>
      <c r="C84">
        <f t="shared" si="9"/>
        <v>0</v>
      </c>
      <c r="D84">
        <f t="shared" si="10"/>
        <v>0</v>
      </c>
      <c r="E84">
        <f t="shared" si="7"/>
        <v>0</v>
      </c>
    </row>
    <row r="85" spans="1:5">
      <c r="A85">
        <f t="shared" si="5"/>
        <v>1800000</v>
      </c>
      <c r="B85">
        <f t="shared" si="8"/>
        <v>0</v>
      </c>
      <c r="C85">
        <f t="shared" si="9"/>
        <v>0</v>
      </c>
      <c r="D85">
        <f t="shared" si="10"/>
        <v>0</v>
      </c>
      <c r="E85">
        <f t="shared" si="7"/>
        <v>0</v>
      </c>
    </row>
    <row r="86" spans="1:5">
      <c r="A86">
        <f t="shared" si="5"/>
        <v>2200000</v>
      </c>
      <c r="B86">
        <f t="shared" si="8"/>
        <v>0</v>
      </c>
      <c r="C86">
        <f t="shared" si="9"/>
        <v>0</v>
      </c>
      <c r="D86">
        <f t="shared" si="10"/>
        <v>0</v>
      </c>
      <c r="E86">
        <f t="shared" si="7"/>
        <v>0</v>
      </c>
    </row>
    <row r="87" spans="1:5">
      <c r="A87">
        <f t="shared" si="5"/>
        <v>2700000</v>
      </c>
      <c r="B87">
        <f t="shared" si="8"/>
        <v>0</v>
      </c>
      <c r="C87">
        <f t="shared" si="9"/>
        <v>0</v>
      </c>
      <c r="D87">
        <f t="shared" si="10"/>
        <v>0</v>
      </c>
      <c r="E87">
        <f t="shared" si="7"/>
        <v>0</v>
      </c>
    </row>
    <row r="88" spans="1:5">
      <c r="A88">
        <f t="shared" si="5"/>
        <v>3300000</v>
      </c>
      <c r="B88">
        <f t="shared" si="8"/>
        <v>0</v>
      </c>
      <c r="C88">
        <f t="shared" si="9"/>
        <v>0</v>
      </c>
      <c r="D88">
        <f t="shared" si="10"/>
        <v>0</v>
      </c>
      <c r="E88">
        <f t="shared" si="7"/>
        <v>0</v>
      </c>
    </row>
    <row r="89" spans="1:5">
      <c r="A89">
        <f t="shared" si="5"/>
        <v>3900000</v>
      </c>
      <c r="B89">
        <f t="shared" si="8"/>
        <v>0</v>
      </c>
      <c r="C89">
        <f t="shared" si="9"/>
        <v>0</v>
      </c>
      <c r="D89">
        <f t="shared" si="10"/>
        <v>0</v>
      </c>
      <c r="E89">
        <f t="shared" si="7"/>
        <v>0</v>
      </c>
    </row>
    <row r="90" spans="1:5">
      <c r="A90">
        <f t="shared" si="5"/>
        <v>4700000</v>
      </c>
      <c r="B90">
        <f t="shared" si="8"/>
        <v>0</v>
      </c>
      <c r="C90">
        <f t="shared" si="9"/>
        <v>0</v>
      </c>
      <c r="D90">
        <f t="shared" si="10"/>
        <v>0</v>
      </c>
      <c r="E90">
        <f t="shared" si="7"/>
        <v>0</v>
      </c>
    </row>
    <row r="91" spans="1:5">
      <c r="A91">
        <f t="shared" si="5"/>
        <v>5600000</v>
      </c>
      <c r="B91">
        <f t="shared" si="8"/>
        <v>0</v>
      </c>
      <c r="C91">
        <f t="shared" si="9"/>
        <v>0</v>
      </c>
      <c r="D91">
        <f t="shared" si="10"/>
        <v>0</v>
      </c>
      <c r="E91">
        <f t="shared" si="7"/>
        <v>0</v>
      </c>
    </row>
    <row r="92" spans="1:5">
      <c r="A92">
        <f t="shared" si="5"/>
        <v>6800000</v>
      </c>
      <c r="B92">
        <f t="shared" si="8"/>
        <v>0</v>
      </c>
      <c r="C92">
        <f t="shared" si="9"/>
        <v>0</v>
      </c>
      <c r="D92">
        <f t="shared" si="10"/>
        <v>0</v>
      </c>
      <c r="E92">
        <f t="shared" si="7"/>
        <v>0</v>
      </c>
    </row>
    <row r="93" spans="1:5">
      <c r="A93">
        <f t="shared" si="5"/>
        <v>8200000</v>
      </c>
      <c r="B93">
        <f t="shared" si="8"/>
        <v>0</v>
      </c>
      <c r="C93">
        <f t="shared" si="9"/>
        <v>0</v>
      </c>
      <c r="D93">
        <f t="shared" si="10"/>
        <v>0</v>
      </c>
      <c r="E93">
        <f t="shared" si="7"/>
        <v>0</v>
      </c>
    </row>
    <row r="94" spans="1:5">
      <c r="A94">
        <f t="shared" si="5"/>
        <v>10000000</v>
      </c>
      <c r="B94">
        <f t="shared" si="8"/>
        <v>0</v>
      </c>
      <c r="C94">
        <f t="shared" si="9"/>
        <v>0</v>
      </c>
      <c r="D94">
        <f t="shared" si="10"/>
        <v>0</v>
      </c>
      <c r="E94">
        <f t="shared" si="7"/>
        <v>0</v>
      </c>
    </row>
    <row r="95" spans="1:5">
      <c r="A95">
        <f t="shared" si="5"/>
        <v>12000000</v>
      </c>
      <c r="B95">
        <f t="shared" si="8"/>
        <v>0</v>
      </c>
      <c r="C95">
        <f t="shared" si="9"/>
        <v>0</v>
      </c>
      <c r="D95">
        <f t="shared" si="10"/>
        <v>0</v>
      </c>
      <c r="E95">
        <f t="shared" si="7"/>
        <v>0</v>
      </c>
    </row>
    <row r="96" spans="1:5">
      <c r="A96">
        <f t="shared" si="5"/>
        <v>15000000</v>
      </c>
      <c r="B96">
        <f t="shared" si="8"/>
        <v>0</v>
      </c>
      <c r="C96">
        <f t="shared" si="9"/>
        <v>0</v>
      </c>
      <c r="D96">
        <f t="shared" si="10"/>
        <v>0</v>
      </c>
      <c r="E96">
        <f t="shared" si="7"/>
        <v>0</v>
      </c>
    </row>
    <row r="97" spans="1:5">
      <c r="A97">
        <f t="shared" si="5"/>
        <v>18000000</v>
      </c>
      <c r="B97">
        <f t="shared" si="8"/>
        <v>0</v>
      </c>
      <c r="C97">
        <f t="shared" si="9"/>
        <v>0</v>
      </c>
      <c r="D97">
        <f t="shared" si="10"/>
        <v>0</v>
      </c>
      <c r="E97">
        <f t="shared" si="7"/>
        <v>0</v>
      </c>
    </row>
    <row r="98" spans="1:5">
      <c r="A98">
        <f t="shared" si="5"/>
        <v>22000000</v>
      </c>
      <c r="B98">
        <f t="shared" si="8"/>
        <v>0</v>
      </c>
      <c r="C98">
        <f t="shared" si="9"/>
        <v>0</v>
      </c>
      <c r="D98">
        <f t="shared" si="10"/>
        <v>0</v>
      </c>
      <c r="E98">
        <f t="shared" si="7"/>
        <v>0</v>
      </c>
    </row>
    <row r="99" spans="1:5">
      <c r="A99">
        <f t="shared" ref="A99:A159" si="11">A87*10</f>
        <v>27000000</v>
      </c>
      <c r="B99">
        <f t="shared" si="8"/>
        <v>0</v>
      </c>
      <c r="C99">
        <f t="shared" si="9"/>
        <v>0</v>
      </c>
      <c r="D99">
        <f t="shared" si="10"/>
        <v>0</v>
      </c>
      <c r="E99">
        <f t="shared" si="7"/>
        <v>0</v>
      </c>
    </row>
    <row r="100" spans="1:5">
      <c r="A100">
        <f t="shared" si="11"/>
        <v>33000000</v>
      </c>
      <c r="B100">
        <f t="shared" si="8"/>
        <v>0</v>
      </c>
      <c r="C100">
        <f t="shared" si="9"/>
        <v>0</v>
      </c>
      <c r="D100">
        <f t="shared" si="10"/>
        <v>0</v>
      </c>
      <c r="E100">
        <f t="shared" si="7"/>
        <v>0</v>
      </c>
    </row>
    <row r="101" spans="1:5">
      <c r="A101">
        <f t="shared" si="11"/>
        <v>39000000</v>
      </c>
      <c r="B101">
        <f t="shared" si="8"/>
        <v>0</v>
      </c>
      <c r="C101">
        <f t="shared" si="9"/>
        <v>0</v>
      </c>
      <c r="D101">
        <f t="shared" si="10"/>
        <v>0</v>
      </c>
      <c r="E101">
        <f t="shared" si="7"/>
        <v>0</v>
      </c>
    </row>
    <row r="102" spans="1:5">
      <c r="A102">
        <f t="shared" si="11"/>
        <v>47000000</v>
      </c>
      <c r="B102">
        <f t="shared" si="8"/>
        <v>0</v>
      </c>
      <c r="C102">
        <f t="shared" si="9"/>
        <v>0</v>
      </c>
      <c r="D102">
        <f t="shared" si="10"/>
        <v>0</v>
      </c>
      <c r="E102">
        <f t="shared" ref="E102:E133" si="12">IF(IF((E$3*10^12-$A103)*(E$3*10^12-$A102)*-1&lt;0,0,1)*IF(ABS(E$3*10^12-$A103)&gt;(E$3*10^12-$A102),$A102,$A103)=E103,0,IF((E$3*10^12-$A103)*(E$3*10^12-$A102)*-1&lt;0,0,1)*IF(ABS(E$3*10^12-$A103)&gt;(E$3*10^12-$A102),$A102,$A103))</f>
        <v>0</v>
      </c>
    </row>
    <row r="103" spans="1:5">
      <c r="A103">
        <f t="shared" si="11"/>
        <v>56000000</v>
      </c>
      <c r="B103">
        <f t="shared" si="8"/>
        <v>0</v>
      </c>
      <c r="C103">
        <f t="shared" si="9"/>
        <v>0</v>
      </c>
      <c r="D103">
        <f t="shared" ref="D103:D134" si="13">IF(IF((D$3*10^12-$A104)*(D$3*10^12-$A103)*-1&lt;0,0,1)*IF(ABS(D$3*10^12-$A104)&gt;(D$3*10^12-$A103),$A103,$A104)=D104,0,IF((D$3*10^12-$A104)*(D$3*10^12-$A103)*-1&lt;0,0,1)*IF(ABS(D$3*10^12-$A104)&gt;(D$3*10^12-$A103),$A103,$A104))</f>
        <v>0</v>
      </c>
      <c r="E103">
        <f t="shared" si="12"/>
        <v>0</v>
      </c>
    </row>
    <row r="104" spans="1:5">
      <c r="A104">
        <f t="shared" si="11"/>
        <v>68000000</v>
      </c>
      <c r="B104">
        <f t="shared" si="8"/>
        <v>0</v>
      </c>
      <c r="C104">
        <f t="shared" si="9"/>
        <v>0</v>
      </c>
      <c r="D104">
        <f t="shared" si="13"/>
        <v>0</v>
      </c>
      <c r="E104">
        <f t="shared" si="12"/>
        <v>0</v>
      </c>
    </row>
    <row r="105" spans="1:5">
      <c r="A105">
        <f t="shared" si="11"/>
        <v>82000000</v>
      </c>
      <c r="B105">
        <f t="shared" si="8"/>
        <v>0</v>
      </c>
      <c r="C105">
        <f t="shared" si="9"/>
        <v>0</v>
      </c>
      <c r="D105">
        <f t="shared" si="13"/>
        <v>0</v>
      </c>
      <c r="E105">
        <f t="shared" si="12"/>
        <v>0</v>
      </c>
    </row>
    <row r="106" spans="1:5">
      <c r="A106">
        <f t="shared" si="11"/>
        <v>100000000</v>
      </c>
      <c r="B106">
        <f t="shared" si="8"/>
        <v>0</v>
      </c>
      <c r="C106">
        <f t="shared" si="9"/>
        <v>0</v>
      </c>
      <c r="D106">
        <f t="shared" si="13"/>
        <v>0</v>
      </c>
      <c r="E106">
        <f t="shared" si="12"/>
        <v>0</v>
      </c>
    </row>
    <row r="107" spans="1:5">
      <c r="A107">
        <f t="shared" si="11"/>
        <v>120000000</v>
      </c>
      <c r="B107">
        <f t="shared" si="8"/>
        <v>0</v>
      </c>
      <c r="C107">
        <f t="shared" si="9"/>
        <v>0</v>
      </c>
      <c r="D107">
        <f t="shared" si="13"/>
        <v>0</v>
      </c>
      <c r="E107">
        <f t="shared" si="12"/>
        <v>0</v>
      </c>
    </row>
    <row r="108" spans="1:5">
      <c r="A108">
        <f t="shared" si="11"/>
        <v>150000000</v>
      </c>
      <c r="B108">
        <f t="shared" si="8"/>
        <v>0</v>
      </c>
      <c r="C108">
        <f t="shared" si="9"/>
        <v>0</v>
      </c>
      <c r="D108">
        <f t="shared" si="13"/>
        <v>0</v>
      </c>
      <c r="E108">
        <f t="shared" si="12"/>
        <v>0</v>
      </c>
    </row>
    <row r="109" spans="1:5">
      <c r="A109">
        <f t="shared" si="11"/>
        <v>180000000</v>
      </c>
      <c r="B109">
        <f t="shared" si="8"/>
        <v>0</v>
      </c>
      <c r="C109">
        <f t="shared" si="9"/>
        <v>0</v>
      </c>
      <c r="D109">
        <f t="shared" si="13"/>
        <v>0</v>
      </c>
      <c r="E109">
        <f t="shared" si="12"/>
        <v>0</v>
      </c>
    </row>
    <row r="110" spans="1:5">
      <c r="A110">
        <f t="shared" si="11"/>
        <v>220000000</v>
      </c>
      <c r="B110">
        <f t="shared" si="8"/>
        <v>0</v>
      </c>
      <c r="C110">
        <f t="shared" si="9"/>
        <v>0</v>
      </c>
      <c r="D110">
        <f t="shared" si="13"/>
        <v>0</v>
      </c>
      <c r="E110">
        <f t="shared" si="12"/>
        <v>0</v>
      </c>
    </row>
    <row r="111" spans="1:5">
      <c r="A111">
        <f t="shared" si="11"/>
        <v>270000000</v>
      </c>
      <c r="B111">
        <f t="shared" si="8"/>
        <v>0</v>
      </c>
      <c r="C111">
        <f t="shared" si="9"/>
        <v>0</v>
      </c>
      <c r="D111">
        <f t="shared" si="13"/>
        <v>0</v>
      </c>
      <c r="E111">
        <f t="shared" si="12"/>
        <v>0</v>
      </c>
    </row>
    <row r="112" spans="1:5">
      <c r="A112">
        <f t="shared" si="11"/>
        <v>330000000</v>
      </c>
      <c r="B112">
        <f t="shared" si="8"/>
        <v>0</v>
      </c>
      <c r="C112">
        <f t="shared" si="9"/>
        <v>0</v>
      </c>
      <c r="D112">
        <f t="shared" si="13"/>
        <v>0</v>
      </c>
      <c r="E112">
        <f t="shared" si="12"/>
        <v>0</v>
      </c>
    </row>
    <row r="113" spans="1:5">
      <c r="A113">
        <f t="shared" si="11"/>
        <v>390000000</v>
      </c>
      <c r="B113">
        <f t="shared" si="8"/>
        <v>0</v>
      </c>
      <c r="C113">
        <f t="shared" si="9"/>
        <v>0</v>
      </c>
      <c r="D113">
        <f t="shared" si="13"/>
        <v>0</v>
      </c>
      <c r="E113">
        <f t="shared" si="12"/>
        <v>0</v>
      </c>
    </row>
    <row r="114" spans="1:5">
      <c r="A114">
        <f t="shared" si="11"/>
        <v>470000000</v>
      </c>
      <c r="B114">
        <f t="shared" si="8"/>
        <v>0</v>
      </c>
      <c r="C114">
        <f t="shared" si="9"/>
        <v>0</v>
      </c>
      <c r="D114">
        <f t="shared" si="13"/>
        <v>0</v>
      </c>
      <c r="E114">
        <f t="shared" si="12"/>
        <v>0</v>
      </c>
    </row>
    <row r="115" spans="1:5">
      <c r="A115">
        <f t="shared" si="11"/>
        <v>560000000</v>
      </c>
      <c r="B115">
        <f t="shared" si="8"/>
        <v>0</v>
      </c>
      <c r="C115">
        <f t="shared" si="9"/>
        <v>0</v>
      </c>
      <c r="D115">
        <f t="shared" si="13"/>
        <v>0</v>
      </c>
      <c r="E115">
        <f t="shared" si="12"/>
        <v>0</v>
      </c>
    </row>
    <row r="116" spans="1:5">
      <c r="A116">
        <f t="shared" si="11"/>
        <v>680000000</v>
      </c>
      <c r="B116">
        <f t="shared" si="8"/>
        <v>0</v>
      </c>
      <c r="C116">
        <f t="shared" si="9"/>
        <v>0</v>
      </c>
      <c r="D116">
        <f t="shared" si="13"/>
        <v>0</v>
      </c>
      <c r="E116">
        <f t="shared" si="12"/>
        <v>0</v>
      </c>
    </row>
    <row r="117" spans="1:5">
      <c r="A117">
        <f t="shared" si="11"/>
        <v>820000000</v>
      </c>
      <c r="B117">
        <f t="shared" si="8"/>
        <v>0</v>
      </c>
      <c r="C117">
        <f t="shared" si="9"/>
        <v>0</v>
      </c>
      <c r="D117">
        <f t="shared" si="13"/>
        <v>0</v>
      </c>
      <c r="E117">
        <f t="shared" si="12"/>
        <v>0</v>
      </c>
    </row>
    <row r="118" spans="1:5">
      <c r="A118">
        <f t="shared" si="11"/>
        <v>1000000000</v>
      </c>
      <c r="B118">
        <f t="shared" si="8"/>
        <v>0</v>
      </c>
      <c r="C118">
        <f t="shared" si="9"/>
        <v>0</v>
      </c>
      <c r="D118">
        <f t="shared" si="13"/>
        <v>0</v>
      </c>
      <c r="E118">
        <f t="shared" si="12"/>
        <v>0</v>
      </c>
    </row>
    <row r="119" spans="1:5">
      <c r="A119">
        <f t="shared" si="11"/>
        <v>1200000000</v>
      </c>
      <c r="B119">
        <f t="shared" si="8"/>
        <v>0</v>
      </c>
      <c r="C119">
        <f t="shared" si="9"/>
        <v>0</v>
      </c>
      <c r="D119">
        <f t="shared" si="13"/>
        <v>0</v>
      </c>
      <c r="E119">
        <f t="shared" si="12"/>
        <v>0</v>
      </c>
    </row>
    <row r="120" spans="1:5">
      <c r="A120">
        <f t="shared" si="11"/>
        <v>1500000000</v>
      </c>
      <c r="B120">
        <f t="shared" si="8"/>
        <v>0</v>
      </c>
      <c r="C120">
        <f t="shared" si="9"/>
        <v>0</v>
      </c>
      <c r="D120">
        <f t="shared" si="13"/>
        <v>0</v>
      </c>
      <c r="E120">
        <f t="shared" si="12"/>
        <v>0</v>
      </c>
    </row>
    <row r="121" spans="1:5">
      <c r="A121">
        <f t="shared" si="11"/>
        <v>1800000000</v>
      </c>
      <c r="B121">
        <f t="shared" si="8"/>
        <v>0</v>
      </c>
      <c r="C121">
        <f t="shared" si="9"/>
        <v>0</v>
      </c>
      <c r="D121">
        <f t="shared" si="13"/>
        <v>0</v>
      </c>
      <c r="E121">
        <f t="shared" si="12"/>
        <v>0</v>
      </c>
    </row>
    <row r="122" spans="1:5">
      <c r="A122">
        <f t="shared" si="11"/>
        <v>2200000000</v>
      </c>
      <c r="B122">
        <f t="shared" si="8"/>
        <v>0</v>
      </c>
      <c r="C122">
        <f t="shared" si="9"/>
        <v>0</v>
      </c>
      <c r="D122">
        <f t="shared" si="13"/>
        <v>0</v>
      </c>
      <c r="E122">
        <f t="shared" si="12"/>
        <v>0</v>
      </c>
    </row>
    <row r="123" spans="1:5">
      <c r="A123">
        <f t="shared" si="11"/>
        <v>2700000000</v>
      </c>
      <c r="B123">
        <f t="shared" si="8"/>
        <v>0</v>
      </c>
      <c r="C123">
        <f t="shared" si="9"/>
        <v>0</v>
      </c>
      <c r="D123">
        <f t="shared" si="13"/>
        <v>0</v>
      </c>
      <c r="E123">
        <f t="shared" si="12"/>
        <v>0</v>
      </c>
    </row>
    <row r="124" spans="1:5">
      <c r="A124">
        <f t="shared" si="11"/>
        <v>3300000000</v>
      </c>
      <c r="B124">
        <f t="shared" si="8"/>
        <v>0</v>
      </c>
      <c r="C124">
        <f t="shared" si="9"/>
        <v>0</v>
      </c>
      <c r="D124">
        <f t="shared" si="13"/>
        <v>0</v>
      </c>
      <c r="E124">
        <f t="shared" si="12"/>
        <v>0</v>
      </c>
    </row>
    <row r="125" spans="1:5">
      <c r="A125">
        <f t="shared" si="11"/>
        <v>3900000000</v>
      </c>
      <c r="B125">
        <f t="shared" si="8"/>
        <v>0</v>
      </c>
      <c r="C125">
        <f t="shared" si="9"/>
        <v>0</v>
      </c>
      <c r="D125">
        <f t="shared" si="13"/>
        <v>0</v>
      </c>
      <c r="E125">
        <f t="shared" si="12"/>
        <v>0</v>
      </c>
    </row>
    <row r="126" spans="1:5">
      <c r="A126">
        <f t="shared" si="11"/>
        <v>4700000000</v>
      </c>
      <c r="B126">
        <f t="shared" si="8"/>
        <v>0</v>
      </c>
      <c r="C126">
        <f t="shared" si="9"/>
        <v>0</v>
      </c>
      <c r="D126">
        <f t="shared" si="13"/>
        <v>0</v>
      </c>
      <c r="E126">
        <f t="shared" si="12"/>
        <v>0</v>
      </c>
    </row>
    <row r="127" spans="1:5">
      <c r="A127">
        <f t="shared" si="11"/>
        <v>5600000000</v>
      </c>
      <c r="B127">
        <f t="shared" si="8"/>
        <v>0</v>
      </c>
      <c r="C127">
        <f t="shared" si="9"/>
        <v>0</v>
      </c>
      <c r="D127">
        <f t="shared" si="13"/>
        <v>0</v>
      </c>
      <c r="E127">
        <f t="shared" si="12"/>
        <v>0</v>
      </c>
    </row>
    <row r="128" spans="1:5">
      <c r="A128">
        <f t="shared" si="11"/>
        <v>6800000000</v>
      </c>
      <c r="B128">
        <f t="shared" si="8"/>
        <v>0</v>
      </c>
      <c r="C128">
        <f t="shared" si="9"/>
        <v>0</v>
      </c>
      <c r="D128">
        <f t="shared" si="13"/>
        <v>0</v>
      </c>
      <c r="E128">
        <f t="shared" si="12"/>
        <v>0</v>
      </c>
    </row>
    <row r="129" spans="1:5">
      <c r="A129">
        <f t="shared" si="11"/>
        <v>8200000000</v>
      </c>
      <c r="B129">
        <f t="shared" si="8"/>
        <v>0</v>
      </c>
      <c r="C129">
        <f t="shared" si="9"/>
        <v>0</v>
      </c>
      <c r="D129">
        <f t="shared" si="13"/>
        <v>0</v>
      </c>
      <c r="E129">
        <f t="shared" si="12"/>
        <v>0</v>
      </c>
    </row>
    <row r="130" spans="1:5">
      <c r="A130">
        <f t="shared" si="11"/>
        <v>10000000000</v>
      </c>
      <c r="B130">
        <f t="shared" si="8"/>
        <v>0</v>
      </c>
      <c r="C130">
        <f t="shared" si="9"/>
        <v>0</v>
      </c>
      <c r="D130">
        <f t="shared" si="13"/>
        <v>0</v>
      </c>
      <c r="E130">
        <f t="shared" si="12"/>
        <v>0</v>
      </c>
    </row>
    <row r="131" spans="1:5">
      <c r="A131">
        <f t="shared" si="11"/>
        <v>12000000000</v>
      </c>
      <c r="B131">
        <f t="shared" si="8"/>
        <v>0</v>
      </c>
      <c r="C131">
        <f t="shared" si="9"/>
        <v>0</v>
      </c>
      <c r="D131">
        <f t="shared" si="13"/>
        <v>0</v>
      </c>
      <c r="E131">
        <f t="shared" si="12"/>
        <v>0</v>
      </c>
    </row>
    <row r="132" spans="1:5">
      <c r="A132">
        <f t="shared" si="11"/>
        <v>15000000000</v>
      </c>
      <c r="B132">
        <f t="shared" si="8"/>
        <v>0</v>
      </c>
      <c r="C132">
        <f t="shared" si="9"/>
        <v>0</v>
      </c>
      <c r="D132">
        <f t="shared" si="13"/>
        <v>0</v>
      </c>
      <c r="E132">
        <f t="shared" si="12"/>
        <v>0</v>
      </c>
    </row>
    <row r="133" spans="1:5">
      <c r="A133">
        <f t="shared" si="11"/>
        <v>18000000000</v>
      </c>
      <c r="B133">
        <f t="shared" si="8"/>
        <v>0</v>
      </c>
      <c r="C133">
        <f t="shared" si="9"/>
        <v>0</v>
      </c>
      <c r="D133">
        <f t="shared" si="13"/>
        <v>0</v>
      </c>
      <c r="E133">
        <f t="shared" si="12"/>
        <v>0</v>
      </c>
    </row>
    <row r="134" spans="1:5">
      <c r="A134">
        <f t="shared" si="11"/>
        <v>22000000000</v>
      </c>
      <c r="B134">
        <f t="shared" si="8"/>
        <v>0</v>
      </c>
      <c r="C134">
        <f t="shared" ref="C134:D159" si="14">IF(IF((C$3*10^12-$A135)*(C$3*10^12-$A134)*-1&lt;0,0,1)*IF(ABS(C$3*10^12-$A135)&gt;(C$3*10^12-$A134),$A134,$A135)=C135,0,IF((C$3*10^12-$A135)*(C$3*10^12-$A134)*-1&lt;0,0,1)*IF(ABS(C$3*10^12-$A135)&gt;(C$3*10^12-$A134),$A134,$A135))</f>
        <v>0</v>
      </c>
      <c r="D134">
        <f t="shared" si="13"/>
        <v>0</v>
      </c>
      <c r="E134">
        <f t="shared" ref="E134:E159" si="15">IF(IF((E$3*10^12-$A135)*(E$3*10^12-$A134)*-1&lt;0,0,1)*IF(ABS(E$3*10^12-$A135)&gt;(E$3*10^12-$A134),$A134,$A135)=E135,0,IF((E$3*10^12-$A135)*(E$3*10^12-$A134)*-1&lt;0,0,1)*IF(ABS(E$3*10^12-$A135)&gt;(E$3*10^12-$A134),$A134,$A135))</f>
        <v>0</v>
      </c>
    </row>
    <row r="135" spans="1:5">
      <c r="A135">
        <f t="shared" si="11"/>
        <v>27000000000</v>
      </c>
      <c r="B135">
        <f t="shared" ref="B135:B159" si="16">IF(IF((B$3*10^12-$A136)*(B$3*10^12-$A135)*-1&lt;0,0,1)*IF(ABS(B$3*10^12-$A136)&gt;(B$3*10^12-$A135),$A135,$A136)=B136,0,IF((B$3*10^12-$A136)*(B$3*10^12-$A135)*-1&lt;0,0,1)*IF(ABS(B$3*10^12-$A136)&gt;(B$3*10^12-$A135),$A135,$A136))</f>
        <v>0</v>
      </c>
      <c r="C135">
        <f t="shared" si="14"/>
        <v>0</v>
      </c>
      <c r="D135">
        <f t="shared" si="14"/>
        <v>0</v>
      </c>
      <c r="E135">
        <f t="shared" si="15"/>
        <v>0</v>
      </c>
    </row>
    <row r="136" spans="1:5">
      <c r="A136">
        <f t="shared" si="11"/>
        <v>33000000000</v>
      </c>
      <c r="B136">
        <f t="shared" si="16"/>
        <v>0</v>
      </c>
      <c r="C136">
        <f t="shared" si="14"/>
        <v>0</v>
      </c>
      <c r="D136">
        <f t="shared" si="14"/>
        <v>0</v>
      </c>
      <c r="E136">
        <f t="shared" si="15"/>
        <v>0</v>
      </c>
    </row>
    <row r="137" spans="1:5">
      <c r="A137">
        <f t="shared" si="11"/>
        <v>39000000000</v>
      </c>
      <c r="B137">
        <f t="shared" si="16"/>
        <v>0</v>
      </c>
      <c r="C137">
        <f t="shared" si="14"/>
        <v>0</v>
      </c>
      <c r="D137">
        <f t="shared" si="14"/>
        <v>0</v>
      </c>
      <c r="E137">
        <f t="shared" si="15"/>
        <v>0</v>
      </c>
    </row>
    <row r="138" spans="1:5">
      <c r="A138">
        <f t="shared" si="11"/>
        <v>47000000000</v>
      </c>
      <c r="B138">
        <f t="shared" si="16"/>
        <v>0</v>
      </c>
      <c r="C138">
        <f t="shared" si="14"/>
        <v>0</v>
      </c>
      <c r="D138">
        <f t="shared" si="14"/>
        <v>0</v>
      </c>
      <c r="E138">
        <f t="shared" si="15"/>
        <v>0</v>
      </c>
    </row>
    <row r="139" spans="1:5">
      <c r="A139">
        <f t="shared" si="11"/>
        <v>56000000000</v>
      </c>
      <c r="B139">
        <f t="shared" si="16"/>
        <v>0</v>
      </c>
      <c r="C139">
        <f t="shared" si="14"/>
        <v>0</v>
      </c>
      <c r="D139">
        <f t="shared" si="14"/>
        <v>0</v>
      </c>
      <c r="E139">
        <f t="shared" si="15"/>
        <v>0</v>
      </c>
    </row>
    <row r="140" spans="1:5">
      <c r="A140">
        <f t="shared" si="11"/>
        <v>68000000000</v>
      </c>
      <c r="B140">
        <f t="shared" si="16"/>
        <v>0</v>
      </c>
      <c r="C140">
        <f t="shared" si="14"/>
        <v>0</v>
      </c>
      <c r="D140">
        <f t="shared" si="14"/>
        <v>0</v>
      </c>
      <c r="E140">
        <f t="shared" si="15"/>
        <v>0</v>
      </c>
    </row>
    <row r="141" spans="1:5">
      <c r="A141">
        <f t="shared" si="11"/>
        <v>82000000000</v>
      </c>
      <c r="B141">
        <f t="shared" si="16"/>
        <v>0</v>
      </c>
      <c r="C141">
        <f t="shared" si="14"/>
        <v>0</v>
      </c>
      <c r="D141">
        <f t="shared" si="14"/>
        <v>0</v>
      </c>
      <c r="E141">
        <f t="shared" si="15"/>
        <v>0</v>
      </c>
    </row>
    <row r="142" spans="1:5">
      <c r="A142">
        <f t="shared" si="11"/>
        <v>100000000000</v>
      </c>
      <c r="B142">
        <f t="shared" si="16"/>
        <v>0</v>
      </c>
      <c r="C142">
        <f t="shared" si="14"/>
        <v>0</v>
      </c>
      <c r="D142">
        <f t="shared" si="14"/>
        <v>0</v>
      </c>
      <c r="E142">
        <f t="shared" si="15"/>
        <v>0</v>
      </c>
    </row>
    <row r="143" spans="1:5">
      <c r="A143">
        <f t="shared" si="11"/>
        <v>120000000000</v>
      </c>
      <c r="B143">
        <f t="shared" si="16"/>
        <v>0</v>
      </c>
      <c r="C143">
        <f t="shared" si="14"/>
        <v>0</v>
      </c>
      <c r="D143">
        <f t="shared" si="14"/>
        <v>0</v>
      </c>
      <c r="E143">
        <f t="shared" si="15"/>
        <v>0</v>
      </c>
    </row>
    <row r="144" spans="1:5">
      <c r="A144">
        <f t="shared" si="11"/>
        <v>150000000000</v>
      </c>
      <c r="B144">
        <f t="shared" si="16"/>
        <v>0</v>
      </c>
      <c r="C144">
        <f t="shared" si="14"/>
        <v>0</v>
      </c>
      <c r="D144">
        <f t="shared" si="14"/>
        <v>0</v>
      </c>
      <c r="E144">
        <f t="shared" si="15"/>
        <v>0</v>
      </c>
    </row>
    <row r="145" spans="1:5">
      <c r="A145">
        <f t="shared" si="11"/>
        <v>180000000000</v>
      </c>
      <c r="B145">
        <f t="shared" si="16"/>
        <v>0</v>
      </c>
      <c r="C145">
        <f t="shared" si="14"/>
        <v>0</v>
      </c>
      <c r="D145">
        <f t="shared" si="14"/>
        <v>0</v>
      </c>
      <c r="E145">
        <f t="shared" si="15"/>
        <v>0</v>
      </c>
    </row>
    <row r="146" spans="1:5">
      <c r="A146">
        <f t="shared" si="11"/>
        <v>220000000000</v>
      </c>
      <c r="B146">
        <f t="shared" si="16"/>
        <v>0</v>
      </c>
      <c r="C146">
        <f t="shared" si="14"/>
        <v>0</v>
      </c>
      <c r="D146">
        <f t="shared" si="14"/>
        <v>0</v>
      </c>
      <c r="E146">
        <f t="shared" si="15"/>
        <v>0</v>
      </c>
    </row>
    <row r="147" spans="1:5">
      <c r="A147">
        <f t="shared" si="11"/>
        <v>270000000000</v>
      </c>
      <c r="B147">
        <f t="shared" si="16"/>
        <v>0</v>
      </c>
      <c r="C147">
        <f t="shared" si="14"/>
        <v>0</v>
      </c>
      <c r="D147">
        <f t="shared" si="14"/>
        <v>0</v>
      </c>
      <c r="E147">
        <f t="shared" si="15"/>
        <v>0</v>
      </c>
    </row>
    <row r="148" spans="1:5">
      <c r="A148">
        <f t="shared" si="11"/>
        <v>330000000000</v>
      </c>
      <c r="B148">
        <f t="shared" si="16"/>
        <v>0</v>
      </c>
      <c r="C148">
        <f t="shared" si="14"/>
        <v>0</v>
      </c>
      <c r="D148">
        <f t="shared" si="14"/>
        <v>0</v>
      </c>
      <c r="E148">
        <f t="shared" si="15"/>
        <v>0</v>
      </c>
    </row>
    <row r="149" spans="1:5">
      <c r="A149">
        <f t="shared" si="11"/>
        <v>390000000000</v>
      </c>
      <c r="B149">
        <f t="shared" si="16"/>
        <v>0</v>
      </c>
      <c r="C149">
        <f t="shared" si="14"/>
        <v>0</v>
      </c>
      <c r="D149">
        <f t="shared" si="14"/>
        <v>0</v>
      </c>
      <c r="E149">
        <f t="shared" si="15"/>
        <v>0</v>
      </c>
    </row>
    <row r="150" spans="1:5">
      <c r="A150">
        <f t="shared" si="11"/>
        <v>470000000000</v>
      </c>
      <c r="B150">
        <f t="shared" si="16"/>
        <v>0</v>
      </c>
      <c r="C150">
        <f t="shared" si="14"/>
        <v>0</v>
      </c>
      <c r="D150">
        <f t="shared" si="14"/>
        <v>0</v>
      </c>
      <c r="E150">
        <f t="shared" si="15"/>
        <v>0</v>
      </c>
    </row>
    <row r="151" spans="1:5">
      <c r="A151">
        <f t="shared" si="11"/>
        <v>560000000000</v>
      </c>
      <c r="B151">
        <f t="shared" si="16"/>
        <v>0</v>
      </c>
      <c r="C151">
        <f t="shared" si="14"/>
        <v>0</v>
      </c>
      <c r="D151">
        <f t="shared" si="14"/>
        <v>0</v>
      </c>
      <c r="E151">
        <f t="shared" si="15"/>
        <v>0</v>
      </c>
    </row>
    <row r="152" spans="1:5">
      <c r="A152">
        <f t="shared" si="11"/>
        <v>680000000000</v>
      </c>
      <c r="B152">
        <f t="shared" si="16"/>
        <v>0</v>
      </c>
      <c r="C152">
        <f t="shared" si="14"/>
        <v>0</v>
      </c>
      <c r="D152">
        <f t="shared" si="14"/>
        <v>0</v>
      </c>
      <c r="E152">
        <f t="shared" si="15"/>
        <v>0</v>
      </c>
    </row>
    <row r="153" spans="1:5">
      <c r="A153">
        <f t="shared" si="11"/>
        <v>820000000000</v>
      </c>
      <c r="B153">
        <f t="shared" si="16"/>
        <v>0</v>
      </c>
      <c r="C153">
        <f t="shared" si="14"/>
        <v>0</v>
      </c>
      <c r="D153">
        <f t="shared" si="14"/>
        <v>0</v>
      </c>
      <c r="E153">
        <f t="shared" si="15"/>
        <v>0</v>
      </c>
    </row>
    <row r="154" spans="1:5">
      <c r="A154">
        <f t="shared" si="11"/>
        <v>1000000000000</v>
      </c>
      <c r="B154">
        <f t="shared" si="16"/>
        <v>0</v>
      </c>
      <c r="C154">
        <f t="shared" si="14"/>
        <v>0</v>
      </c>
      <c r="D154">
        <f t="shared" si="14"/>
        <v>0</v>
      </c>
      <c r="E154">
        <f t="shared" si="15"/>
        <v>0</v>
      </c>
    </row>
    <row r="155" spans="1:5">
      <c r="A155">
        <f t="shared" si="11"/>
        <v>1200000000000</v>
      </c>
      <c r="B155">
        <f t="shared" si="16"/>
        <v>0</v>
      </c>
      <c r="C155">
        <f t="shared" si="14"/>
        <v>0</v>
      </c>
      <c r="D155">
        <f t="shared" si="14"/>
        <v>0</v>
      </c>
      <c r="E155">
        <f t="shared" si="15"/>
        <v>0</v>
      </c>
    </row>
    <row r="156" spans="1:5">
      <c r="A156">
        <f t="shared" si="11"/>
        <v>1500000000000</v>
      </c>
      <c r="B156">
        <f t="shared" si="16"/>
        <v>0</v>
      </c>
      <c r="C156">
        <f t="shared" si="14"/>
        <v>0</v>
      </c>
      <c r="D156">
        <f t="shared" si="14"/>
        <v>0</v>
      </c>
      <c r="E156">
        <f t="shared" si="15"/>
        <v>0</v>
      </c>
    </row>
    <row r="157" spans="1:5">
      <c r="A157">
        <f t="shared" si="11"/>
        <v>1800000000000</v>
      </c>
      <c r="B157">
        <f t="shared" si="16"/>
        <v>0</v>
      </c>
      <c r="C157">
        <f t="shared" si="14"/>
        <v>0</v>
      </c>
      <c r="D157">
        <f t="shared" si="14"/>
        <v>0</v>
      </c>
      <c r="E157">
        <f t="shared" si="15"/>
        <v>0</v>
      </c>
    </row>
    <row r="158" spans="1:5">
      <c r="A158">
        <f t="shared" si="11"/>
        <v>2200000000000</v>
      </c>
      <c r="B158">
        <f t="shared" si="16"/>
        <v>0</v>
      </c>
      <c r="C158">
        <f t="shared" si="14"/>
        <v>0</v>
      </c>
      <c r="D158">
        <f t="shared" si="14"/>
        <v>0</v>
      </c>
      <c r="E158">
        <f t="shared" si="15"/>
        <v>0</v>
      </c>
    </row>
    <row r="159" spans="1:5">
      <c r="A159" s="15">
        <f t="shared" si="11"/>
        <v>2700000000000</v>
      </c>
      <c r="B159">
        <f t="shared" si="16"/>
        <v>2700000000000</v>
      </c>
      <c r="C159">
        <f t="shared" si="14"/>
        <v>0</v>
      </c>
      <c r="D159">
        <f t="shared" si="14"/>
        <v>0</v>
      </c>
      <c r="E159">
        <f t="shared" si="15"/>
        <v>2700000000000</v>
      </c>
    </row>
  </sheetData>
  <sheetProtection sheet="1" objects="1" scenarios="1"/>
  <phoneticPr fontId="6" type="noConversion"/>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AR687"/>
  <sheetViews>
    <sheetView zoomScaleNormal="100" workbookViewId="0">
      <pane ySplit="11" topLeftCell="A19" activePane="bottomLeft" state="frozen"/>
      <selection activeCell="A93" sqref="A93"/>
      <selection pane="bottomLeft" activeCell="B19" sqref="B19"/>
    </sheetView>
  </sheetViews>
  <sheetFormatPr defaultColWidth="9.1796875" defaultRowHeight="12.5"/>
  <cols>
    <col min="1" max="1" width="14.7265625" style="170" bestFit="1" customWidth="1"/>
    <col min="2" max="2" width="10.7265625" style="170" customWidth="1"/>
    <col min="3" max="3" width="10" style="170" customWidth="1"/>
    <col min="4" max="4" width="13.81640625" style="170" customWidth="1"/>
    <col min="5" max="5" width="10.1796875" style="170" customWidth="1"/>
    <col min="6" max="6" width="3.26953125" style="170" customWidth="1"/>
    <col min="7" max="7" width="16.1796875" style="170" customWidth="1"/>
    <col min="8" max="8" width="15.7265625" style="170" customWidth="1"/>
    <col min="9" max="9" width="10" style="170" customWidth="1"/>
    <col min="10" max="10" width="10.81640625" style="170" customWidth="1"/>
    <col min="11" max="11" width="10.1796875" style="170" customWidth="1"/>
    <col min="12" max="14" width="11.81640625" style="170" customWidth="1"/>
    <col min="15" max="15" width="14.26953125" style="170" customWidth="1"/>
    <col min="16" max="16" width="11" style="170" customWidth="1"/>
    <col min="17" max="17" width="12" style="170" customWidth="1"/>
    <col min="18" max="18" width="11.453125" style="170" customWidth="1"/>
    <col min="19" max="19" width="10.81640625" style="170" customWidth="1"/>
    <col min="20" max="20" width="11.453125" style="170" customWidth="1"/>
    <col min="21" max="21" width="11.81640625" style="170" customWidth="1"/>
    <col min="22" max="22" width="13.54296875" style="170" customWidth="1"/>
    <col min="23" max="23" width="9.453125" style="170" customWidth="1"/>
    <col min="24" max="24" width="16.26953125" style="170" bestFit="1" customWidth="1"/>
    <col min="25" max="25" width="16.1796875" style="172" customWidth="1"/>
    <col min="26" max="26" width="8.81640625" style="170" bestFit="1" customWidth="1"/>
    <col min="27" max="27" width="13.54296875" style="170" bestFit="1" customWidth="1"/>
    <col min="28" max="28" width="10.7265625" style="170" bestFit="1" customWidth="1"/>
    <col min="29" max="29" width="9.1796875" style="170"/>
    <col min="30" max="30" width="13.54296875" style="170" customWidth="1"/>
    <col min="31" max="31" width="10.54296875" style="170" customWidth="1"/>
    <col min="32" max="32" width="9.1796875" style="170"/>
    <col min="33" max="33" width="9.453125" style="170" bestFit="1" customWidth="1"/>
    <col min="34" max="34" width="11.453125" style="170" bestFit="1" customWidth="1"/>
    <col min="35" max="35" width="5.81640625" style="170" customWidth="1"/>
    <col min="36" max="36" width="12.26953125" style="170" customWidth="1"/>
    <col min="37" max="37" width="8.81640625" style="170" customWidth="1"/>
    <col min="38" max="38" width="18.1796875" style="170" customWidth="1"/>
    <col min="39" max="39" width="45.26953125" style="170" customWidth="1"/>
    <col min="40" max="40" width="19.26953125" style="170" bestFit="1" customWidth="1"/>
    <col min="41" max="41" width="40.7265625" style="170" bestFit="1" customWidth="1"/>
    <col min="42" max="42" width="40.1796875" style="170" bestFit="1" customWidth="1"/>
    <col min="43" max="43" width="40.7265625" style="170" bestFit="1" customWidth="1"/>
    <col min="44" max="44" width="40.1796875" style="170" bestFit="1" customWidth="1"/>
    <col min="45" max="45" width="28.453125" style="170" customWidth="1"/>
    <col min="46" max="16384" width="9.1796875" style="170"/>
  </cols>
  <sheetData>
    <row r="1" spans="1:44" ht="13" thickBot="1"/>
    <row r="2" spans="1:44" s="189" customFormat="1" ht="13">
      <c r="A2" s="724" t="s">
        <v>770</v>
      </c>
      <c r="G2" s="927" t="s">
        <v>764</v>
      </c>
      <c r="H2" s="928"/>
      <c r="I2" s="929"/>
      <c r="J2" s="930"/>
      <c r="K2" s="927" t="s">
        <v>683</v>
      </c>
      <c r="L2" s="928"/>
      <c r="M2" s="928"/>
      <c r="N2" s="636"/>
      <c r="O2" s="637"/>
      <c r="P2" s="927" t="s">
        <v>684</v>
      </c>
      <c r="Q2" s="929"/>
      <c r="R2" s="930"/>
      <c r="S2" s="927" t="s">
        <v>765</v>
      </c>
      <c r="T2" s="929"/>
      <c r="U2" s="930"/>
      <c r="V2" s="927" t="s">
        <v>685</v>
      </c>
      <c r="W2" s="928"/>
      <c r="X2" s="931"/>
      <c r="Y2" s="536"/>
      <c r="AA2" s="724" t="s">
        <v>796</v>
      </c>
    </row>
    <row r="3" spans="1:44">
      <c r="B3" s="338"/>
      <c r="H3" s="638" t="s">
        <v>757</v>
      </c>
      <c r="I3" s="735">
        <f>Vref/(Vout_eff*Npri_sec)</f>
        <v>3.5211267605633804E-2</v>
      </c>
      <c r="J3" s="639" t="s">
        <v>686</v>
      </c>
      <c r="K3" s="640" t="s">
        <v>687</v>
      </c>
      <c r="L3" s="269">
        <f>1/Rcs_gain</f>
        <v>16.666666666666668</v>
      </c>
      <c r="M3" s="639" t="s">
        <v>688</v>
      </c>
      <c r="N3" s="194" t="s">
        <v>689</v>
      </c>
      <c r="O3" s="641">
        <f>gmEA</f>
        <v>5.9999999999999995E-4</v>
      </c>
      <c r="P3" s="642" t="s">
        <v>690</v>
      </c>
      <c r="Q3" s="643">
        <f>1/(2*Pi*D25*D26)</f>
        <v>723431.56033525639</v>
      </c>
      <c r="R3" s="639" t="s">
        <v>8</v>
      </c>
      <c r="S3" s="642"/>
      <c r="T3" s="643"/>
      <c r="U3" s="639"/>
      <c r="V3" s="644" t="s">
        <v>692</v>
      </c>
      <c r="W3" s="643">
        <f>Am*Afb*Aea</f>
        <v>198113.20754716982</v>
      </c>
      <c r="X3" s="645" t="s">
        <v>686</v>
      </c>
      <c r="AA3" s="170">
        <f>MIN(z_RHP/10,'Calculations - Single'!Y212/10)</f>
        <v>13.919298864415993</v>
      </c>
      <c r="AB3" s="170" t="s">
        <v>2</v>
      </c>
    </row>
    <row r="4" spans="1:44" ht="13">
      <c r="B4" s="170">
        <f>BODE_TYPE*0+IF('Variable Mgmt'!Y17="BCM",2, 1)</f>
        <v>1</v>
      </c>
      <c r="H4" s="646" t="s">
        <v>693</v>
      </c>
      <c r="I4" s="643">
        <f>1/(2*Pi*Rcomp*Ccomp)</f>
        <v>395.90781908894616</v>
      </c>
      <c r="J4" s="639" t="s">
        <v>8</v>
      </c>
      <c r="K4" s="642" t="s">
        <v>694</v>
      </c>
      <c r="L4" s="269">
        <f>CHOOSE(BODE_TYPE, Rload_pri/Rcs_gain*(Lmag/(2*Vout_eff*Npri_sec)*Fsw_DCM)*SQRT(Iout_eff/(Lmag/(2*Vout_eff*Npri_sec)*Fsw_DCM*Npri_sec)), Rload_pri/(Rcs_gain*2*(2*M+1)))</f>
        <v>31.257861635220127</v>
      </c>
      <c r="M4" s="639" t="s">
        <v>686</v>
      </c>
      <c r="N4" s="647" t="s">
        <v>755</v>
      </c>
      <c r="O4" s="713">
        <f>REAout</f>
        <v>300000000</v>
      </c>
      <c r="P4" s="642" t="s">
        <v>695</v>
      </c>
      <c r="Q4" s="643">
        <f>CHOOSE(BODE_TYPE, 2/(2*Pi*D25*Rload_sec), 1/(2*Pi*D25*[0]!Rload_sec)*(2*M+1)/(M+1))</f>
        <v>191.49871490245025</v>
      </c>
      <c r="R4" s="639" t="s">
        <v>8</v>
      </c>
      <c r="S4" s="648"/>
      <c r="T4" s="649"/>
      <c r="U4" s="645"/>
      <c r="V4" s="719" t="s">
        <v>696</v>
      </c>
      <c r="W4" s="720">
        <f>AK7</f>
        <v>4.7862999999999998</v>
      </c>
      <c r="X4" s="721" t="s">
        <v>2</v>
      </c>
    </row>
    <row r="5" spans="1:44" ht="13">
      <c r="H5" s="638" t="s">
        <v>697</v>
      </c>
      <c r="I5" s="190">
        <f>1/(2*Pi*REAout*Ccomp)</f>
        <v>5.3051647757918791E-2</v>
      </c>
      <c r="J5" s="639" t="s">
        <v>8</v>
      </c>
      <c r="K5" s="642"/>
      <c r="L5" s="190"/>
      <c r="M5" s="639"/>
      <c r="N5" s="647"/>
      <c r="O5" s="647"/>
      <c r="P5" s="648" t="s">
        <v>712</v>
      </c>
      <c r="Q5" s="650">
        <f>Rload_pri/(2*Pi*Lmag*M*(M+1))</f>
        <v>188286.51807246869</v>
      </c>
      <c r="R5" s="645" t="s">
        <v>8</v>
      </c>
      <c r="S5" s="648"/>
      <c r="T5" s="188"/>
      <c r="U5" s="645"/>
      <c r="V5" s="719" t="s">
        <v>698</v>
      </c>
      <c r="W5" s="722">
        <f>AK9</f>
        <v>71.901340834673789</v>
      </c>
      <c r="X5" s="723" t="s">
        <v>699</v>
      </c>
    </row>
    <row r="6" spans="1:44">
      <c r="H6" s="638" t="s">
        <v>700</v>
      </c>
      <c r="I6" s="171">
        <f>gmEA*REAout</f>
        <v>179999.99999999997</v>
      </c>
      <c r="J6" s="639" t="s">
        <v>686</v>
      </c>
      <c r="K6" s="648"/>
      <c r="L6" s="651"/>
      <c r="M6" s="652"/>
      <c r="N6" s="725"/>
      <c r="O6" s="645"/>
      <c r="P6" s="648"/>
      <c r="Q6" s="188"/>
      <c r="R6" s="645"/>
      <c r="S6" s="648"/>
      <c r="T6" s="651"/>
      <c r="U6" s="645"/>
      <c r="V6" s="726" t="s">
        <v>701</v>
      </c>
      <c r="W6" s="188">
        <v>57.295779578552292</v>
      </c>
      <c r="X6" s="645"/>
      <c r="AJ6" s="653" t="s">
        <v>702</v>
      </c>
      <c r="AK6" s="653"/>
    </row>
    <row r="7" spans="1:44" ht="13" thickBot="1">
      <c r="H7" s="654" t="s">
        <v>703</v>
      </c>
      <c r="I7" s="655">
        <f>1/(2*Pi*Rcomp*Chf)</f>
        <v>26393.854605929744</v>
      </c>
      <c r="J7" s="656" t="s">
        <v>8</v>
      </c>
      <c r="K7" s="657"/>
      <c r="L7" s="658"/>
      <c r="M7" s="658"/>
      <c r="N7" s="659"/>
      <c r="O7" s="656"/>
      <c r="P7" s="657"/>
      <c r="Q7" s="657"/>
      <c r="R7" s="656"/>
      <c r="S7" s="657"/>
      <c r="T7" s="657"/>
      <c r="U7" s="656"/>
      <c r="V7" s="657"/>
      <c r="W7" s="657"/>
      <c r="X7" s="656"/>
      <c r="AJ7" s="170" t="s">
        <v>704</v>
      </c>
      <c r="AK7" s="170">
        <f>SUM(AJ12:AJ613)/1000</f>
        <v>4.7862999999999998</v>
      </c>
      <c r="AL7" s="197">
        <f>AK7*1000</f>
        <v>4786.3</v>
      </c>
    </row>
    <row r="8" spans="1:44">
      <c r="H8" s="660"/>
      <c r="I8" s="661"/>
      <c r="J8" s="662"/>
      <c r="K8" s="662"/>
      <c r="L8" s="663"/>
      <c r="M8" s="663"/>
      <c r="N8" s="663"/>
      <c r="O8" s="662"/>
      <c r="P8" s="662"/>
      <c r="Q8" s="662"/>
      <c r="R8" s="662"/>
      <c r="S8" s="662"/>
      <c r="T8" s="662"/>
      <c r="U8" s="662"/>
      <c r="V8" s="662"/>
      <c r="W8" s="662"/>
      <c r="X8" s="662"/>
      <c r="AL8" s="170">
        <v>0</v>
      </c>
    </row>
    <row r="9" spans="1:44" ht="13" thickBot="1">
      <c r="A9" s="711"/>
      <c r="B9" s="716" t="s">
        <v>758</v>
      </c>
      <c r="AJ9" s="170" t="s">
        <v>705</v>
      </c>
      <c r="AK9" s="172">
        <f>SUM(AK13:AK613)</f>
        <v>71.901340834673789</v>
      </c>
      <c r="AL9" s="443">
        <f>AK9</f>
        <v>71.901340834673789</v>
      </c>
    </row>
    <row r="10" spans="1:44" ht="14">
      <c r="A10" s="714"/>
      <c r="B10" s="259" t="s">
        <v>762</v>
      </c>
      <c r="G10" s="917" t="s">
        <v>706</v>
      </c>
      <c r="H10" s="920" t="s">
        <v>756</v>
      </c>
      <c r="I10" s="922" t="s">
        <v>707</v>
      </c>
      <c r="J10" s="923"/>
      <c r="K10" s="923"/>
      <c r="L10" s="923"/>
      <c r="M10" s="923"/>
      <c r="N10" s="924"/>
      <c r="O10" s="922" t="s">
        <v>708</v>
      </c>
      <c r="P10" s="923"/>
      <c r="Q10" s="923"/>
      <c r="R10" s="923"/>
      <c r="S10" s="923"/>
      <c r="T10" s="924"/>
      <c r="U10" s="925" t="s">
        <v>760</v>
      </c>
      <c r="V10" s="926"/>
      <c r="W10" s="925" t="s">
        <v>709</v>
      </c>
      <c r="X10" s="932"/>
      <c r="Y10" s="933"/>
      <c r="AD10" s="934" t="s">
        <v>710</v>
      </c>
      <c r="AE10" s="935"/>
      <c r="AG10" s="934" t="s">
        <v>711</v>
      </c>
      <c r="AH10" s="935"/>
      <c r="AM10" s="333" t="s">
        <v>761</v>
      </c>
    </row>
    <row r="11" spans="1:44" ht="13">
      <c r="G11" s="918"/>
      <c r="H11" s="921"/>
      <c r="I11" s="936" t="s">
        <v>695</v>
      </c>
      <c r="J11" s="937"/>
      <c r="K11" s="937" t="s">
        <v>690</v>
      </c>
      <c r="L11" s="938"/>
      <c r="M11" s="939" t="s">
        <v>712</v>
      </c>
      <c r="N11" s="940"/>
      <c r="O11" s="936" t="s">
        <v>713</v>
      </c>
      <c r="P11" s="937"/>
      <c r="Q11" s="937" t="s">
        <v>714</v>
      </c>
      <c r="R11" s="938"/>
      <c r="S11" s="939" t="s">
        <v>715</v>
      </c>
      <c r="T11" s="940"/>
      <c r="U11" s="936" t="s">
        <v>691</v>
      </c>
      <c r="V11" s="938"/>
      <c r="W11" s="642"/>
      <c r="X11" s="171"/>
      <c r="Y11" s="664"/>
      <c r="AD11" s="642"/>
      <c r="AE11" s="639"/>
      <c r="AG11" s="642"/>
      <c r="AH11" s="639"/>
    </row>
    <row r="12" spans="1:44" ht="13.5" thickBot="1">
      <c r="A12" s="662"/>
      <c r="B12" s="662"/>
      <c r="C12" s="662"/>
      <c r="D12" s="662"/>
      <c r="E12" s="662"/>
      <c r="F12" s="707"/>
      <c r="G12" s="919"/>
      <c r="H12" s="665"/>
      <c r="I12" s="666" t="s">
        <v>716</v>
      </c>
      <c r="J12" s="667" t="s">
        <v>717</v>
      </c>
      <c r="K12" s="667" t="s">
        <v>716</v>
      </c>
      <c r="L12" s="668" t="s">
        <v>717</v>
      </c>
      <c r="M12" s="667" t="s">
        <v>716</v>
      </c>
      <c r="N12" s="668" t="s">
        <v>717</v>
      </c>
      <c r="O12" s="666" t="s">
        <v>716</v>
      </c>
      <c r="P12" s="667" t="s">
        <v>717</v>
      </c>
      <c r="Q12" s="667" t="s">
        <v>716</v>
      </c>
      <c r="R12" s="668" t="s">
        <v>717</v>
      </c>
      <c r="S12" s="666" t="s">
        <v>716</v>
      </c>
      <c r="T12" s="667" t="s">
        <v>717</v>
      </c>
      <c r="U12" s="666" t="s">
        <v>716</v>
      </c>
      <c r="V12" s="668" t="s">
        <v>717</v>
      </c>
      <c r="W12" s="669" t="s">
        <v>718</v>
      </c>
      <c r="X12" s="670" t="s">
        <v>719</v>
      </c>
      <c r="Y12" s="671" t="s">
        <v>720</v>
      </c>
      <c r="AB12" s="672" t="s">
        <v>721</v>
      </c>
      <c r="AD12" s="673" t="s">
        <v>722</v>
      </c>
      <c r="AE12" s="674" t="s">
        <v>723</v>
      </c>
      <c r="AG12" s="673" t="s">
        <v>722</v>
      </c>
      <c r="AH12" s="674" t="s">
        <v>723</v>
      </c>
    </row>
    <row r="13" spans="1:44" ht="13">
      <c r="A13" s="333" t="s">
        <v>739</v>
      </c>
      <c r="B13" s="710" t="str">
        <f>Nps</f>
        <v>1</v>
      </c>
      <c r="D13" s="170" t="s">
        <v>766</v>
      </c>
      <c r="G13" s="675">
        <v>1</v>
      </c>
      <c r="H13" s="676">
        <f>G13/1000</f>
        <v>1E-3</v>
      </c>
      <c r="I13" s="677">
        <f t="shared" ref="I13:I76" si="0">SQRT(1+(G13/pole1)^2)</f>
        <v>1.000013634377551</v>
      </c>
      <c r="J13" s="678">
        <f t="shared" ref="J13:J76" si="1">ATAN(G13/pole1)</f>
        <v>5.2219196928350864E-3</v>
      </c>
      <c r="K13" s="678">
        <f t="shared" ref="K13:K76" si="2">SQRT(1+(G13/Zero1)^2)</f>
        <v>1.0000000000009552</v>
      </c>
      <c r="L13" s="679">
        <f t="shared" ref="L13:L76" si="3">ATAN(G13/Zero1)</f>
        <v>1.3823007659991194E-6</v>
      </c>
      <c r="M13" s="678">
        <f t="shared" ref="M13:M76" si="4">SQRT(1+(G13/z_RHP)^2)</f>
        <v>1.0000000000141036</v>
      </c>
      <c r="N13" s="679">
        <f t="shared" ref="N13:N76" si="5">-ATAN(G13/z_RHP)</f>
        <v>-5.3110547171822059E-6</v>
      </c>
      <c r="O13" s="677">
        <f t="shared" ref="O13:O76" si="6">SQRT(1+(G13/Pole2)^2)</f>
        <v>18.876063086015179</v>
      </c>
      <c r="P13" s="680">
        <f t="shared" ref="P13:P76" si="7">ATAN(G13/Pole2)</f>
        <v>1.517794366044795</v>
      </c>
      <c r="Q13" s="678">
        <f t="shared" ref="Q13:Q76" si="8">SQRT(1+(G13/Zero2)^2)</f>
        <v>1.0000031899300041</v>
      </c>
      <c r="R13" s="679">
        <f t="shared" ref="R13:R76" si="9">ATAN(G13/Zero2)</f>
        <v>2.5258351191090834E-3</v>
      </c>
      <c r="S13" s="677">
        <f t="shared" ref="S13:S76" si="10">SQRT(1+(G13/pole4)^2)</f>
        <v>1.0000000007177354</v>
      </c>
      <c r="T13" s="680">
        <f t="shared" ref="T13:T76" si="11">ATAN(G13/pole4)</f>
        <v>3.7887607340871156E-5</v>
      </c>
      <c r="U13" s="681">
        <f>IMABS(IMPRODUCT(AO13, AR13))</f>
        <v>0.99959999991852377</v>
      </c>
      <c r="V13" s="682">
        <f>IMARGUMENT(IMPRODUCT(AO13, AR13))</f>
        <v>-1.5717829275444232E-5</v>
      </c>
      <c r="W13" s="683">
        <f t="shared" ref="W13:W76" si="12">20*LOG10(((K13*Q13*M13*U13)/(I13*O13*S13))*Adc)</f>
        <v>80.416474410376367</v>
      </c>
      <c r="X13" s="684">
        <f t="shared" ref="X13:X76" si="13">((L13+R13+N13+V13)-(J13+P13+T13))*radconv</f>
        <v>-87.120982176233426</v>
      </c>
      <c r="Y13" s="685">
        <f t="shared" ref="Y13:Y76" si="14">IF(X13&gt;0,X13,X13+180)</f>
        <v>92.879017823766574</v>
      </c>
      <c r="AA13" s="170">
        <f t="shared" ref="AA13:AA76" si="15">IF(W13&lt;0,G13,1000000000)</f>
        <v>1000000000</v>
      </c>
      <c r="AB13" s="170">
        <f t="shared" ref="AB13:AB76" si="16">G13^2</f>
        <v>1</v>
      </c>
      <c r="AD13" s="686">
        <f t="shared" ref="AD13:AD76" si="17">20*LOG10((Q13/(O13*S13))*Aea)</f>
        <v>79.587249400439802</v>
      </c>
      <c r="AE13" s="687">
        <f t="shared" ref="AE13:AE76" si="18">(R13-(P13+T13))*radconv</f>
        <v>-86.820662550233806</v>
      </c>
      <c r="AG13" s="686">
        <f t="shared" ref="AG13:AG76" si="19">20*LOG10((K13*M13/(I13*U13))*Acs*Am)</f>
        <v>54.339516906443912</v>
      </c>
      <c r="AH13" s="687">
        <f t="shared" ref="AH13:AH76" si="20">(L13+N13-(J13+V13))*radconv</f>
        <v>-0.29851849543636677</v>
      </c>
      <c r="AJ13" s="170">
        <f t="shared" ref="AJ13:AJ76" si="21">SUM((W14&lt;0)*(W13&gt;0))*G13</f>
        <v>0</v>
      </c>
      <c r="AK13" s="170">
        <f t="shared" ref="AK13:AK44" si="22">IF(AJ13&gt;0,Y11,0)</f>
        <v>0</v>
      </c>
      <c r="AM13" s="170" t="str">
        <f>IMSUB(1,IMEXP(COMPLEX(0,-2*Pi*G13*Tsw)))</f>
        <v>2.52092013930394E-10+0.0000224540443220674i</v>
      </c>
      <c r="AN13" s="170" t="str">
        <f>COMPLEX(0, 2*Pi*G13*Tsw)</f>
        <v>0.0000224540443239542i</v>
      </c>
      <c r="AO13" s="170" t="str">
        <f>IMDIV(AM13, AN13)</f>
        <v>0.999999999915971-0.0000112270204108157i</v>
      </c>
      <c r="AP13" s="170" t="str">
        <f>IMDIV(IMEXP(COMPLEX(0,-2*Pi*G13*Tsw)),6)</f>
        <v>0.166666666624651-3.74234072034457E-06i</v>
      </c>
      <c r="AQ13" s="170" t="str">
        <f>IMSUB(1, AP13)</f>
        <v>0.833333333375349+3.74234072034457E-06i</v>
      </c>
      <c r="AR13" s="170" t="str">
        <f>IMDIV(0.833, AQ13)</f>
        <v>0.999599999929442-4.48901254032453E-06i</v>
      </c>
    </row>
    <row r="14" spans="1:44" ht="13">
      <c r="A14" s="333" t="s">
        <v>736</v>
      </c>
      <c r="B14" s="711">
        <f>Vout+Vfwd1</f>
        <v>28.4</v>
      </c>
      <c r="C14" s="170" t="s">
        <v>0</v>
      </c>
      <c r="D14" s="170" t="s">
        <v>763</v>
      </c>
      <c r="G14" s="688">
        <v>1.0965</v>
      </c>
      <c r="H14" s="676">
        <f t="shared" ref="H14:H77" si="23">G14/1000</f>
        <v>1.0965E-3</v>
      </c>
      <c r="I14" s="677">
        <f t="shared" si="0"/>
        <v>1.000016392756542</v>
      </c>
      <c r="J14" s="678">
        <f t="shared" si="1"/>
        <v>5.725824413970737E-3</v>
      </c>
      <c r="K14" s="678">
        <f t="shared" si="2"/>
        <v>1.0000000000011486</v>
      </c>
      <c r="L14" s="679">
        <f t="shared" si="3"/>
        <v>1.5156927899178391E-6</v>
      </c>
      <c r="M14" s="678">
        <f t="shared" si="4"/>
        <v>1.0000000000169571</v>
      </c>
      <c r="N14" s="679">
        <f t="shared" si="5"/>
        <v>-5.8235714973792114E-6</v>
      </c>
      <c r="O14" s="677">
        <f t="shared" si="6"/>
        <v>20.69271526143303</v>
      </c>
      <c r="P14" s="680">
        <f t="shared" si="7"/>
        <v>1.5224513109911022</v>
      </c>
      <c r="Q14" s="689">
        <f t="shared" si="8"/>
        <v>1.000003835290683</v>
      </c>
      <c r="R14" s="690">
        <f t="shared" si="9"/>
        <v>2.7695770165218543E-3</v>
      </c>
      <c r="S14" s="677">
        <f t="shared" si="10"/>
        <v>1.0000000008629419</v>
      </c>
      <c r="T14" s="680">
        <f t="shared" si="11"/>
        <v>4.1543761445243601E-5</v>
      </c>
      <c r="U14" s="681">
        <f t="shared" ref="U14:U77" si="24">IMABS(IMPRODUCT(AO14, AR14))</f>
        <v>0.99959999990203807</v>
      </c>
      <c r="V14" s="682">
        <f t="shared" ref="V14:V77" si="25">IMARGUMENT(IMPRODUCT(AO14, AR14))</f>
        <v>-1.7234586749390046E-5</v>
      </c>
      <c r="W14" s="683">
        <f t="shared" si="12"/>
        <v>79.618334823474839</v>
      </c>
      <c r="X14" s="684">
        <f t="shared" si="13"/>
        <v>-87.403029807439069</v>
      </c>
      <c r="Y14" s="687">
        <f t="shared" si="14"/>
        <v>92.596970192560931</v>
      </c>
      <c r="AA14" s="170">
        <f t="shared" si="15"/>
        <v>1000000000</v>
      </c>
      <c r="AB14" s="170">
        <f t="shared" si="16"/>
        <v>1.2023122500000001</v>
      </c>
      <c r="AD14" s="686">
        <f t="shared" si="17"/>
        <v>78.789133772270844</v>
      </c>
      <c r="AE14" s="687">
        <f t="shared" si="18"/>
        <v>-87.073729941558327</v>
      </c>
      <c r="AG14" s="686">
        <f t="shared" si="19"/>
        <v>54.339492947997826</v>
      </c>
      <c r="AH14" s="687">
        <f t="shared" si="20"/>
        <v>-0.32732492771371402</v>
      </c>
      <c r="AJ14" s="170">
        <f t="shared" si="21"/>
        <v>0</v>
      </c>
      <c r="AK14" s="170">
        <f t="shared" si="22"/>
        <v>0</v>
      </c>
      <c r="AM14" s="170" t="str">
        <f t="shared" ref="AM14:AM77" si="26">IMSUB(1,IMEXP(COMPLEX(0,-2*Pi*G14*Tsw)))</f>
        <v>3.03092995146415E-10+0.0000246208595987282i</v>
      </c>
      <c r="AN14" s="170" t="str">
        <f t="shared" ref="AN14:AN77" si="27">COMPLEX(0, 2*Pi*G14*Tsw)</f>
        <v>0.0000246208596012157i</v>
      </c>
      <c r="AO14" s="170" t="str">
        <f t="shared" ref="AO14:AO77" si="28">IMDIV(AM14, AN14)</f>
        <v>0.999999999898968-0.0000123104148293608i</v>
      </c>
      <c r="AP14" s="170" t="str">
        <f t="shared" ref="AP14:AP77" si="29">IMDIV(IMEXP(COMPLEX(0,-2*Pi*G14*Tsw)),6)</f>
        <v>0.166666666616151-4.10347659978803E-06i</v>
      </c>
      <c r="AQ14" s="170" t="str">
        <f t="shared" ref="AQ14:AQ77" si="30">IMSUB(1, AP14)</f>
        <v>0.833333333383849+4.10347659978803E-06i</v>
      </c>
      <c r="AR14" s="170" t="str">
        <f t="shared" ref="AR14:AR77" si="31">IMDIV(0.833, AQ14)</f>
        <v>0.999599999915168-4.92220225026163E-06i</v>
      </c>
    </row>
    <row r="15" spans="1:44" ht="13">
      <c r="A15" s="333" t="s">
        <v>735</v>
      </c>
      <c r="B15" s="711">
        <f>'Design Converter'!E11+IF(MODE=2,ABS('Design Converter'!E13*'Design Converter'!L14),0)</f>
        <v>2.5</v>
      </c>
      <c r="C15" s="170" t="s">
        <v>1</v>
      </c>
      <c r="G15" s="688">
        <v>1.2022999999999999</v>
      </c>
      <c r="H15" s="676">
        <f t="shared" si="23"/>
        <v>1.2022999999999999E-3</v>
      </c>
      <c r="I15" s="677">
        <f>SQRT(1+(G15/pole1)^2)</f>
        <v>1.0000197087777043</v>
      </c>
      <c r="J15" s="678">
        <f t="shared" si="1"/>
        <v>6.2782886223967304E-3</v>
      </c>
      <c r="K15" s="678">
        <f t="shared" si="2"/>
        <v>1.0000000000013811</v>
      </c>
      <c r="L15" s="679">
        <f t="shared" si="3"/>
        <v>1.6619402109602695E-6</v>
      </c>
      <c r="M15" s="678">
        <f t="shared" si="4"/>
        <v>1.0000000000203872</v>
      </c>
      <c r="N15" s="679">
        <f t="shared" si="5"/>
        <v>-6.3854810864414171E-6</v>
      </c>
      <c r="O15" s="677">
        <f t="shared" si="6"/>
        <v>22.684872896552974</v>
      </c>
      <c r="P15" s="680">
        <f t="shared" si="7"/>
        <v>1.5266997977079753</v>
      </c>
      <c r="Q15" s="689">
        <f t="shared" si="8"/>
        <v>1.0000046111212177</v>
      </c>
      <c r="R15" s="690">
        <f t="shared" si="9"/>
        <v>3.0368086864545033E-3</v>
      </c>
      <c r="S15" s="677">
        <f t="shared" si="10"/>
        <v>1.0000000010375045</v>
      </c>
      <c r="T15" s="680">
        <f t="shared" si="11"/>
        <v>4.5552270296218574E-5</v>
      </c>
      <c r="U15" s="681">
        <f t="shared" si="24"/>
        <v>0.99959999988222392</v>
      </c>
      <c r="V15" s="682">
        <f t="shared" si="25"/>
        <v>-1.8897530177028509E-5</v>
      </c>
      <c r="W15" s="683">
        <f t="shared" si="12"/>
        <v>78.819935388544295</v>
      </c>
      <c r="X15" s="684">
        <f t="shared" si="13"/>
        <v>-87.66314155253319</v>
      </c>
      <c r="Y15" s="687">
        <f t="shared" si="14"/>
        <v>92.33685844746681</v>
      </c>
      <c r="AA15" s="170">
        <f t="shared" si="15"/>
        <v>1000000000</v>
      </c>
      <c r="AB15" s="170">
        <f t="shared" si="16"/>
        <v>1.4455252899999997</v>
      </c>
      <c r="AD15" s="686">
        <f t="shared" si="17"/>
        <v>77.990763139554616</v>
      </c>
      <c r="AE15" s="687">
        <f t="shared" si="18"/>
        <v>-87.302068723813392</v>
      </c>
      <c r="AG15" s="686">
        <f t="shared" si="19"/>
        <v>54.339464146127867</v>
      </c>
      <c r="AH15" s="687">
        <f t="shared" si="20"/>
        <v>-0.3589073312726056</v>
      </c>
      <c r="AJ15" s="170">
        <f t="shared" si="21"/>
        <v>0</v>
      </c>
      <c r="AK15" s="170">
        <f t="shared" si="22"/>
        <v>0</v>
      </c>
      <c r="AM15" s="170" t="str">
        <f t="shared" si="26"/>
        <v>3.64404950659036E-10+0.0000269964974874109i</v>
      </c>
      <c r="AN15" s="170" t="str">
        <f t="shared" si="27"/>
        <v>0.0000269964974906901i</v>
      </c>
      <c r="AO15" s="170" t="str">
        <f t="shared" si="28"/>
        <v>0.999999999878532-0.0000134982306791725i</v>
      </c>
      <c r="AP15" s="170" t="str">
        <f t="shared" si="29"/>
        <v>0.166666666605933-4.49941624790182E-06i</v>
      </c>
      <c r="AQ15" s="170" t="str">
        <f t="shared" si="30"/>
        <v>0.833333333394067+4.49941624790182E-06i</v>
      </c>
      <c r="AR15" s="170" t="str">
        <f t="shared" si="31"/>
        <v>0.999599999898008-5.39713977673916E-06i</v>
      </c>
    </row>
    <row r="16" spans="1:44" ht="13">
      <c r="A16" s="333" t="s">
        <v>3</v>
      </c>
      <c r="B16" s="711">
        <f>VIN_nom</f>
        <v>28</v>
      </c>
      <c r="C16" s="170" t="s">
        <v>0</v>
      </c>
      <c r="G16" s="688">
        <v>1.3183</v>
      </c>
      <c r="H16" s="676">
        <f t="shared" si="23"/>
        <v>1.3183000000000001E-3</v>
      </c>
      <c r="I16" s="677">
        <f t="shared" si="0"/>
        <v>1.0000236952685648</v>
      </c>
      <c r="J16" s="678">
        <f t="shared" si="1"/>
        <v>6.8840105586883216E-3</v>
      </c>
      <c r="K16" s="678">
        <f t="shared" si="2"/>
        <v>1.0000000000016604</v>
      </c>
      <c r="L16" s="679">
        <f t="shared" si="3"/>
        <v>1.8222870998157825E-6</v>
      </c>
      <c r="M16" s="678">
        <f t="shared" si="4"/>
        <v>1.0000000000245111</v>
      </c>
      <c r="N16" s="679">
        <f t="shared" si="5"/>
        <v>-7.0015634336127248E-6</v>
      </c>
      <c r="O16" s="677">
        <f t="shared" si="6"/>
        <v>24.869482638026174</v>
      </c>
      <c r="P16" s="680">
        <f t="shared" si="7"/>
        <v>1.5305755596882988</v>
      </c>
      <c r="Q16" s="689">
        <f t="shared" si="8"/>
        <v>1.0000055438203275</v>
      </c>
      <c r="R16" s="690">
        <f t="shared" si="9"/>
        <v>3.3298032122064322E-3</v>
      </c>
      <c r="S16" s="677">
        <f t="shared" si="10"/>
        <v>1.0000000012473629</v>
      </c>
      <c r="T16" s="680">
        <f t="shared" si="11"/>
        <v>4.9947232739834818E-5</v>
      </c>
      <c r="U16" s="681">
        <f t="shared" si="24"/>
        <v>0.99959999985840042</v>
      </c>
      <c r="V16" s="682">
        <f t="shared" si="25"/>
        <v>-2.072083203811567E-5</v>
      </c>
      <c r="W16" s="683">
        <f t="shared" si="12"/>
        <v>78.02130085348908</v>
      </c>
      <c r="X16" s="684">
        <f t="shared" si="13"/>
        <v>-87.903506709458526</v>
      </c>
      <c r="Y16" s="687">
        <f t="shared" si="14"/>
        <v>92.096493290541474</v>
      </c>
      <c r="AA16" s="170">
        <f t="shared" si="15"/>
        <v>1000000000</v>
      </c>
      <c r="AB16" s="170">
        <f t="shared" si="16"/>
        <v>1.7379148900000001</v>
      </c>
      <c r="AD16" s="686">
        <f t="shared" si="17"/>
        <v>77.192163230136387</v>
      </c>
      <c r="AE16" s="687">
        <f t="shared" si="18"/>
        <v>-87.507597990971163</v>
      </c>
      <c r="AG16" s="686">
        <f t="shared" si="19"/>
        <v>54.339429520904901</v>
      </c>
      <c r="AH16" s="687">
        <f t="shared" si="20"/>
        <v>-0.39353428603709029</v>
      </c>
      <c r="AJ16" s="170">
        <f t="shared" si="21"/>
        <v>0</v>
      </c>
      <c r="AK16" s="170">
        <f t="shared" si="22"/>
        <v>0</v>
      </c>
      <c r="AM16" s="170" t="str">
        <f t="shared" si="26"/>
        <v>4.38114988732252E-10+0.0000296011666279459i</v>
      </c>
      <c r="AN16" s="170" t="str">
        <f t="shared" si="27"/>
        <v>0.0000296011666322688i</v>
      </c>
      <c r="AO16" s="170" t="str">
        <f t="shared" si="28"/>
        <v>0.999999999853962-0.0000148005987120337i</v>
      </c>
      <c r="AP16" s="170" t="str">
        <f t="shared" si="29"/>
        <v>0.166666666593648-4.93352777132432E-06i</v>
      </c>
      <c r="AQ16" s="170" t="str">
        <f t="shared" si="30"/>
        <v>0.833333333406352+4.93352777132432E-06i</v>
      </c>
      <c r="AR16" s="170" t="str">
        <f t="shared" si="31"/>
        <v>0.999599999877377-5.91786523101446E-06i</v>
      </c>
    </row>
    <row r="17" spans="1:44">
      <c r="G17" s="688">
        <v>1.4454</v>
      </c>
      <c r="H17" s="676">
        <f t="shared" si="23"/>
        <v>1.4454000000000001E-3</v>
      </c>
      <c r="I17" s="677">
        <f t="shared" si="0"/>
        <v>1.0000284844732106</v>
      </c>
      <c r="J17" s="678">
        <f t="shared" si="1"/>
        <v>7.5476880022153671E-3</v>
      </c>
      <c r="K17" s="678">
        <f t="shared" si="2"/>
        <v>1.000000000001996</v>
      </c>
      <c r="L17" s="679">
        <f t="shared" si="3"/>
        <v>1.9979775271737414E-6</v>
      </c>
      <c r="M17" s="678">
        <f t="shared" si="4"/>
        <v>1.0000000000294651</v>
      </c>
      <c r="N17" s="679">
        <f t="shared" si="5"/>
        <v>-7.6765984881365459E-6</v>
      </c>
      <c r="O17" s="677">
        <f t="shared" si="6"/>
        <v>27.263493812685205</v>
      </c>
      <c r="P17" s="680">
        <f t="shared" si="7"/>
        <v>1.5341090126668642</v>
      </c>
      <c r="Q17" s="689">
        <f t="shared" si="8"/>
        <v>1.0000066643300891</v>
      </c>
      <c r="R17" s="690">
        <f t="shared" si="9"/>
        <v>3.6508336248765932E-3</v>
      </c>
      <c r="S17" s="677">
        <f t="shared" si="10"/>
        <v>1.0000000014994792</v>
      </c>
      <c r="T17" s="680">
        <f t="shared" si="11"/>
        <v>5.4762747621954872E-5</v>
      </c>
      <c r="U17" s="681">
        <f t="shared" si="24"/>
        <v>0.99959999982977821</v>
      </c>
      <c r="V17" s="682">
        <f t="shared" si="25"/>
        <v>-2.2718555303343749E-5</v>
      </c>
      <c r="W17" s="683">
        <f t="shared" si="12"/>
        <v>77.222973803448284</v>
      </c>
      <c r="X17" s="684">
        <f t="shared" si="13"/>
        <v>-88.126009861353609</v>
      </c>
      <c r="Y17" s="687">
        <f t="shared" si="14"/>
        <v>91.873990138646391</v>
      </c>
      <c r="AA17" s="170">
        <f t="shared" si="15"/>
        <v>1000000000</v>
      </c>
      <c r="AB17" s="170">
        <f t="shared" si="16"/>
        <v>2.0891811599999999</v>
      </c>
      <c r="AD17" s="686">
        <f t="shared" si="17"/>
        <v>76.393877777716071</v>
      </c>
      <c r="AE17" s="687">
        <f t="shared" si="18"/>
        <v>-87.691932154899106</v>
      </c>
      <c r="AG17" s="686">
        <f t="shared" si="19"/>
        <v>54.339387923781821</v>
      </c>
      <c r="AH17" s="687">
        <f t="shared" si="20"/>
        <v>-0.43147435178050131</v>
      </c>
      <c r="AJ17" s="170">
        <f t="shared" si="21"/>
        <v>0</v>
      </c>
      <c r="AK17" s="170">
        <f t="shared" si="22"/>
        <v>0</v>
      </c>
      <c r="AM17" s="170" t="str">
        <f t="shared" si="26"/>
        <v>5.26666044109447E-10+0.0000324550756601457i</v>
      </c>
      <c r="AN17" s="170" t="str">
        <f t="shared" si="27"/>
        <v>0.0000324550756658434i</v>
      </c>
      <c r="AO17" s="170" t="str">
        <f t="shared" si="28"/>
        <v>0.999999999824443-0.000016227540170665i</v>
      </c>
      <c r="AP17" s="170" t="str">
        <f t="shared" si="29"/>
        <v>0.166666666578889-5.40917927669095E-06i</v>
      </c>
      <c r="AQ17" s="170" t="str">
        <f t="shared" si="30"/>
        <v>0.833333333421111+5.40917927669095E-06i</v>
      </c>
      <c r="AR17" s="170" t="str">
        <f t="shared" si="31"/>
        <v>0.999599999852593-6.48841872433606E-06i</v>
      </c>
    </row>
    <row r="18" spans="1:44">
      <c r="A18" s="170" t="s">
        <v>742</v>
      </c>
      <c r="B18" s="715">
        <f>Vout_eff*Npri_sec/Vin_eff</f>
        <v>1.0142857142857142</v>
      </c>
      <c r="C18" s="170" t="s">
        <v>686</v>
      </c>
      <c r="G18" s="688">
        <v>1.5849</v>
      </c>
      <c r="H18" s="676">
        <f t="shared" si="23"/>
        <v>1.5849E-3</v>
      </c>
      <c r="I18" s="677">
        <f t="shared" si="0"/>
        <v>1.0000342479491977</v>
      </c>
      <c r="J18" s="678">
        <f t="shared" si="1"/>
        <v>8.2761067889761293E-3</v>
      </c>
      <c r="K18" s="678">
        <f t="shared" si="2"/>
        <v>1.0000000000023999</v>
      </c>
      <c r="L18" s="679">
        <f t="shared" si="3"/>
        <v>2.1908084840298945E-6</v>
      </c>
      <c r="M18" s="678">
        <f t="shared" si="4"/>
        <v>1.0000000000354272</v>
      </c>
      <c r="N18" s="679">
        <f t="shared" si="5"/>
        <v>-8.4174906211424176E-6</v>
      </c>
      <c r="O18" s="677">
        <f t="shared" si="6"/>
        <v>29.891393051896138</v>
      </c>
      <c r="P18" s="680">
        <f t="shared" si="7"/>
        <v>1.5373356371040561</v>
      </c>
      <c r="Q18" s="689">
        <f t="shared" si="8"/>
        <v>1.0000080127914066</v>
      </c>
      <c r="R18" s="690">
        <f t="shared" si="9"/>
        <v>4.0031832091096415E-3</v>
      </c>
      <c r="S18" s="677">
        <f t="shared" si="10"/>
        <v>1.0000000018028852</v>
      </c>
      <c r="T18" s="680">
        <f t="shared" si="11"/>
        <v>6.0048068831105927E-5</v>
      </c>
      <c r="U18" s="681">
        <f t="shared" si="24"/>
        <v>0.99959999979533765</v>
      </c>
      <c r="V18" s="682">
        <f t="shared" si="25"/>
        <v>-2.4911189678671735E-5</v>
      </c>
      <c r="W18" s="683">
        <f t="shared" si="12"/>
        <v>76.42364254498608</v>
      </c>
      <c r="X18" s="684">
        <f t="shared" si="13"/>
        <v>-88.332888858911247</v>
      </c>
      <c r="Y18" s="687">
        <f t="shared" si="14"/>
        <v>91.667111141088753</v>
      </c>
      <c r="AA18" s="170">
        <f t="shared" si="15"/>
        <v>1000000000</v>
      </c>
      <c r="AB18" s="170">
        <f t="shared" si="16"/>
        <v>2.51190801</v>
      </c>
      <c r="AD18" s="686">
        <f t="shared" si="17"/>
        <v>75.594596578844047</v>
      </c>
      <c r="AE18" s="687">
        <f t="shared" si="18"/>
        <v>-87.856918799921402</v>
      </c>
      <c r="AG18" s="686">
        <f t="shared" si="19"/>
        <v>54.339337864790195</v>
      </c>
      <c r="AH18" s="687">
        <f t="shared" si="20"/>
        <v>-0.47311544692410151</v>
      </c>
      <c r="AJ18" s="170">
        <f t="shared" si="21"/>
        <v>0</v>
      </c>
      <c r="AK18" s="170">
        <f t="shared" si="22"/>
        <v>0</v>
      </c>
      <c r="AM18" s="170" t="str">
        <f t="shared" si="26"/>
        <v>6.3323202237342E-10+0.0000355874148415233i</v>
      </c>
      <c r="AN18" s="170" t="str">
        <f t="shared" si="27"/>
        <v>0.000035587414849035i</v>
      </c>
      <c r="AO18" s="170" t="str">
        <f t="shared" si="28"/>
        <v>0.999999999788923-0.0000177937067095108i</v>
      </c>
      <c r="AP18" s="170" t="str">
        <f t="shared" si="29"/>
        <v>0.166666666561128-5.93123580692055E-06i</v>
      </c>
      <c r="AQ18" s="170" t="str">
        <f t="shared" si="30"/>
        <v>0.833333333438872+5.93123580692055E-06i</v>
      </c>
      <c r="AR18" s="170" t="str">
        <f t="shared" si="31"/>
        <v>0.999599999822766-7.11463597295483E-06i</v>
      </c>
    </row>
    <row r="19" spans="1:44">
      <c r="A19" s="170" t="s">
        <v>759</v>
      </c>
      <c r="B19" s="170">
        <f>1/'Calculations - Single'!AQ105/1000*0+1/CHOOSE(MODE, 'Calculations - Single'!AQ105,'Calculations - Dual'!AP105)/1000</f>
        <v>3.5736721506453372E-6</v>
      </c>
      <c r="C19" s="170" t="s">
        <v>51</v>
      </c>
      <c r="G19" s="688">
        <v>1.7378</v>
      </c>
      <c r="H19" s="676">
        <f t="shared" si="23"/>
        <v>1.7378000000000001E-3</v>
      </c>
      <c r="I19" s="677">
        <f t="shared" si="0"/>
        <v>1.0000411745556956</v>
      </c>
      <c r="J19" s="678">
        <f t="shared" si="1"/>
        <v>9.0744854353972688E-3</v>
      </c>
      <c r="K19" s="678">
        <f t="shared" si="2"/>
        <v>1.0000000000028852</v>
      </c>
      <c r="L19" s="679">
        <f t="shared" si="3"/>
        <v>2.402162271150179E-6</v>
      </c>
      <c r="M19" s="678">
        <f t="shared" si="4"/>
        <v>1.0000000000425922</v>
      </c>
      <c r="N19" s="679">
        <f t="shared" si="5"/>
        <v>-9.2295508873439453E-6</v>
      </c>
      <c r="O19" s="677">
        <f t="shared" si="6"/>
        <v>32.772018714013619</v>
      </c>
      <c r="P19" s="680">
        <f t="shared" si="7"/>
        <v>1.5402777537357457</v>
      </c>
      <c r="Q19" s="689">
        <f t="shared" si="8"/>
        <v>1.0000096333943795</v>
      </c>
      <c r="R19" s="690">
        <f t="shared" si="9"/>
        <v>4.3893774148379217E-3</v>
      </c>
      <c r="S19" s="677">
        <f t="shared" si="10"/>
        <v>1.0000000021675242</v>
      </c>
      <c r="T19" s="680">
        <f t="shared" si="11"/>
        <v>6.5841083973328788E-5</v>
      </c>
      <c r="U19" s="681">
        <f t="shared" si="24"/>
        <v>0.9995999997539422</v>
      </c>
      <c r="V19" s="682">
        <f t="shared" si="25"/>
        <v>-2.7314444585207512E-5</v>
      </c>
      <c r="W19" s="683">
        <f t="shared" si="12"/>
        <v>75.624455678107381</v>
      </c>
      <c r="X19" s="684">
        <f t="shared" si="13"/>
        <v>-88.525580183422676</v>
      </c>
      <c r="Y19" s="687">
        <f t="shared" si="14"/>
        <v>91.474419816577324</v>
      </c>
      <c r="AA19" s="170">
        <f t="shared" si="15"/>
        <v>1000000000</v>
      </c>
      <c r="AB19" s="170">
        <f t="shared" si="16"/>
        <v>3.0199488400000001</v>
      </c>
      <c r="AD19" s="686">
        <f t="shared" si="17"/>
        <v>74.795469873729431</v>
      </c>
      <c r="AE19" s="687">
        <f t="shared" si="18"/>
        <v>-88.00369428317785</v>
      </c>
      <c r="AG19" s="686">
        <f t="shared" si="19"/>
        <v>54.339277703745509</v>
      </c>
      <c r="AH19" s="687">
        <f t="shared" si="20"/>
        <v>-0.51875589545229095</v>
      </c>
      <c r="AJ19" s="170">
        <f t="shared" si="21"/>
        <v>0</v>
      </c>
      <c r="AK19" s="170">
        <f t="shared" si="22"/>
        <v>0</v>
      </c>
      <c r="AM19" s="170" t="str">
        <f t="shared" si="26"/>
        <v>7.61305019025826E-10+0.0000390206382162654i</v>
      </c>
      <c r="AN19" s="170" t="str">
        <f t="shared" si="27"/>
        <v>0.0000390206382261676i</v>
      </c>
      <c r="AO19" s="170" t="str">
        <f t="shared" si="28"/>
        <v>0.999999999746232-0.0000195103169408256i</v>
      </c>
      <c r="AP19" s="170" t="str">
        <f t="shared" si="29"/>
        <v>0.166666666539782-0.0000065034397027109i</v>
      </c>
      <c r="AQ19" s="170" t="str">
        <f t="shared" si="30"/>
        <v>0.833333333460218+0.0000065034397027109i</v>
      </c>
      <c r="AR19" s="170" t="str">
        <f t="shared" si="31"/>
        <v>0.999599999786919-7.80100598934508E-06i</v>
      </c>
    </row>
    <row r="20" spans="1:44">
      <c r="G20" s="688">
        <v>1.9055</v>
      </c>
      <c r="H20" s="676">
        <f t="shared" si="23"/>
        <v>1.9055000000000001E-3</v>
      </c>
      <c r="I20" s="677">
        <f t="shared" si="0"/>
        <v>1.0000495045860258</v>
      </c>
      <c r="J20" s="678">
        <f t="shared" si="1"/>
        <v>9.9501300352016452E-3</v>
      </c>
      <c r="K20" s="678">
        <f t="shared" si="2"/>
        <v>1.0000000000034688</v>
      </c>
      <c r="L20" s="679">
        <f t="shared" si="3"/>
        <v>2.6339741096069081E-6</v>
      </c>
      <c r="M20" s="678">
        <f t="shared" si="4"/>
        <v>1.0000000000512093</v>
      </c>
      <c r="N20" s="679">
        <f t="shared" si="5"/>
        <v>-1.0120214763340349E-5</v>
      </c>
      <c r="O20" s="677">
        <f t="shared" si="6"/>
        <v>35.931746734160576</v>
      </c>
      <c r="P20" s="680">
        <f t="shared" si="7"/>
        <v>1.5429621905292261</v>
      </c>
      <c r="Q20" s="689">
        <f t="shared" si="8"/>
        <v>1.0000115823647453</v>
      </c>
      <c r="R20" s="690">
        <f t="shared" si="9"/>
        <v>4.8129518912764443E-3</v>
      </c>
      <c r="S20" s="677">
        <f t="shared" si="10"/>
        <v>1.0000000026060472</v>
      </c>
      <c r="T20" s="680">
        <f t="shared" si="11"/>
        <v>7.2194835697145755E-5</v>
      </c>
      <c r="U20" s="681">
        <f t="shared" si="24"/>
        <v>0.9995999997041618</v>
      </c>
      <c r="V20" s="682">
        <f t="shared" si="25"/>
        <v>-2.9950335734781057E-5</v>
      </c>
      <c r="W20" s="683">
        <f t="shared" si="12"/>
        <v>74.82489753789153</v>
      </c>
      <c r="X20" s="684">
        <f t="shared" si="13"/>
        <v>-88.705841610414595</v>
      </c>
      <c r="Y20" s="687">
        <f t="shared" si="14"/>
        <v>91.294158389585405</v>
      </c>
      <c r="AA20" s="170">
        <f t="shared" si="15"/>
        <v>1000000000</v>
      </c>
      <c r="AB20" s="170">
        <f t="shared" si="16"/>
        <v>3.63093025</v>
      </c>
      <c r="AD20" s="686">
        <f t="shared" si="17"/>
        <v>73.99598408431001</v>
      </c>
      <c r="AE20" s="687">
        <f t="shared" si="18"/>
        <v>-88.133596195310801</v>
      </c>
      <c r="AG20" s="686">
        <f t="shared" si="19"/>
        <v>54.339205353814187</v>
      </c>
      <c r="AH20" s="687">
        <f t="shared" si="20"/>
        <v>-0.56881335943465094</v>
      </c>
      <c r="AJ20" s="170">
        <f t="shared" si="21"/>
        <v>0</v>
      </c>
      <c r="AK20" s="170">
        <f t="shared" si="22"/>
        <v>0</v>
      </c>
      <c r="AM20" s="170" t="str">
        <f t="shared" si="26"/>
        <v>9.15329034789636E-10+0.0000427861814462402i</v>
      </c>
      <c r="AN20" s="170" t="str">
        <f t="shared" si="27"/>
        <v>0.0000427861814592947i</v>
      </c>
      <c r="AO20" s="170" t="str">
        <f t="shared" si="28"/>
        <v>0.99999999969489-0.0000213930994440448i</v>
      </c>
      <c r="AP20" s="170" t="str">
        <f t="shared" si="29"/>
        <v>0.166666666514112-7.13103024104003E-06i</v>
      </c>
      <c r="AQ20" s="170" t="str">
        <f t="shared" si="30"/>
        <v>0.833333333485888+7.13103024104003E-06i</v>
      </c>
      <c r="AR20" s="170" t="str">
        <f t="shared" si="31"/>
        <v>0.999599999743811-8.55381339097415E-06i</v>
      </c>
    </row>
    <row r="21" spans="1:44" ht="13">
      <c r="A21" s="333" t="s">
        <v>738</v>
      </c>
      <c r="B21" s="718">
        <f>Vout_eff/Iout_eff</f>
        <v>11.36</v>
      </c>
      <c r="C21" s="706" t="s">
        <v>45</v>
      </c>
      <c r="D21" s="706"/>
      <c r="E21" s="706"/>
      <c r="G21" s="688">
        <v>2.0893000000000002</v>
      </c>
      <c r="H21" s="676">
        <f t="shared" si="23"/>
        <v>2.0893000000000001E-3</v>
      </c>
      <c r="I21" s="677">
        <f t="shared" si="0"/>
        <v>1.0000595150717853</v>
      </c>
      <c r="J21" s="678">
        <f t="shared" si="1"/>
        <v>1.0909823117914717E-2</v>
      </c>
      <c r="K21" s="678">
        <f t="shared" si="2"/>
        <v>1.0000000000041704</v>
      </c>
      <c r="L21" s="679">
        <f t="shared" si="3"/>
        <v>2.8880409903957706E-6</v>
      </c>
      <c r="M21" s="678">
        <f t="shared" si="4"/>
        <v>1.000000000061565</v>
      </c>
      <c r="N21" s="679">
        <f t="shared" si="5"/>
        <v>-1.1096386620257685E-5</v>
      </c>
      <c r="O21" s="677">
        <f t="shared" si="6"/>
        <v>39.395071130085363</v>
      </c>
      <c r="P21" s="680">
        <f t="shared" si="7"/>
        <v>1.5454097138826624</v>
      </c>
      <c r="Q21" s="689">
        <f t="shared" si="8"/>
        <v>1.0000139245263422</v>
      </c>
      <c r="R21" s="690">
        <f t="shared" si="9"/>
        <v>5.2771895487900627E-3</v>
      </c>
      <c r="S21" s="677">
        <f t="shared" si="10"/>
        <v>1.0000000031330403</v>
      </c>
      <c r="T21" s="680">
        <f t="shared" si="11"/>
        <v>7.9158577889820703E-5</v>
      </c>
      <c r="U21" s="681">
        <f t="shared" si="24"/>
        <v>0.99959999964433799</v>
      </c>
      <c r="V21" s="682">
        <f t="shared" si="25"/>
        <v>-3.2839268041525731E-5</v>
      </c>
      <c r="W21" s="683">
        <f t="shared" si="12"/>
        <v>74.025559749634965</v>
      </c>
      <c r="X21" s="684">
        <f t="shared" si="13"/>
        <v>-88.875067764053583</v>
      </c>
      <c r="Y21" s="687">
        <f t="shared" si="14"/>
        <v>91.124932235946417</v>
      </c>
      <c r="AA21" s="170">
        <f t="shared" si="15"/>
        <v>1000000000</v>
      </c>
      <c r="AB21" s="170">
        <f t="shared" si="16"/>
        <v>4.3651744900000002</v>
      </c>
      <c r="AD21" s="686">
        <f t="shared" si="17"/>
        <v>73.196733241712394</v>
      </c>
      <c r="AE21" s="687">
        <f t="shared" si="18"/>
        <v>-88.247629088423409</v>
      </c>
      <c r="AG21" s="686">
        <f t="shared" si="19"/>
        <v>54.33911840919491</v>
      </c>
      <c r="AH21" s="687">
        <f t="shared" si="20"/>
        <v>-0.62367557270372065</v>
      </c>
      <c r="AJ21" s="170">
        <f t="shared" si="21"/>
        <v>0</v>
      </c>
      <c r="AK21" s="170">
        <f t="shared" si="22"/>
        <v>0</v>
      </c>
      <c r="AM21" s="170" t="str">
        <f t="shared" si="26"/>
        <v>1.10042597256665E-09+0.0000469132347888293i</v>
      </c>
      <c r="AN21" s="170" t="str">
        <f t="shared" si="27"/>
        <v>0.0000469132348060375i</v>
      </c>
      <c r="AO21" s="170" t="str">
        <f t="shared" si="28"/>
        <v>0.999999999633191-0.0000234566210817982i</v>
      </c>
      <c r="AP21" s="170" t="str">
        <f t="shared" si="29"/>
        <v>0.166666666483262-7.81887246480488E-06i</v>
      </c>
      <c r="AQ21" s="170" t="str">
        <f t="shared" si="30"/>
        <v>0.833333333516738+7.81887246480488E-06i</v>
      </c>
      <c r="AR21" s="170" t="str">
        <f t="shared" si="31"/>
        <v>0.999599999692004-9.37889389402877E-06i</v>
      </c>
    </row>
    <row r="22" spans="1:44">
      <c r="A22" s="170" t="s">
        <v>737</v>
      </c>
      <c r="B22" s="718">
        <f>Rload_sec*(Npri_sec^2)</f>
        <v>11.36</v>
      </c>
      <c r="C22" s="706" t="s">
        <v>45</v>
      </c>
      <c r="D22" s="706"/>
      <c r="E22" s="706"/>
      <c r="G22" s="688">
        <v>2.2909000000000002</v>
      </c>
      <c r="H22" s="676">
        <f t="shared" si="23"/>
        <v>2.2909000000000002E-3</v>
      </c>
      <c r="I22" s="677">
        <f t="shared" si="0"/>
        <v>1.0000715541790752</v>
      </c>
      <c r="J22" s="678">
        <f t="shared" si="1"/>
        <v>1.1962433921960294E-2</v>
      </c>
      <c r="K22" s="678">
        <f t="shared" si="2"/>
        <v>1.000000000005014</v>
      </c>
      <c r="L22" s="679">
        <f t="shared" si="3"/>
        <v>3.1667128248188145E-6</v>
      </c>
      <c r="M22" s="678">
        <f t="shared" si="4"/>
        <v>1.000000000074019</v>
      </c>
      <c r="N22" s="679">
        <f t="shared" si="5"/>
        <v>-1.2167095251106717E-5</v>
      </c>
      <c r="O22" s="677">
        <f t="shared" si="6"/>
        <v>43.194024837974212</v>
      </c>
      <c r="P22" s="680">
        <f>ATAN(G22/Pole2)</f>
        <v>1.5476429078638956</v>
      </c>
      <c r="Q22" s="689">
        <f t="shared" si="8"/>
        <v>1.0000167413499756</v>
      </c>
      <c r="R22" s="690">
        <f t="shared" si="9"/>
        <v>5.786383398705199E-3</v>
      </c>
      <c r="S22" s="677">
        <f t="shared" si="10"/>
        <v>1.0000000037668353</v>
      </c>
      <c r="T22" s="680">
        <f t="shared" si="11"/>
        <v>8.679671948076716E-5</v>
      </c>
      <c r="U22" s="681">
        <f t="shared" si="24"/>
        <v>0.99959999957239065</v>
      </c>
      <c r="V22" s="682">
        <f t="shared" si="25"/>
        <v>-3.6007974252508294E-5</v>
      </c>
      <c r="W22" s="683">
        <f t="shared" si="12"/>
        <v>73.22584395193185</v>
      </c>
      <c r="X22" s="684">
        <f t="shared" si="13"/>
        <v>-89.034820419316887</v>
      </c>
      <c r="Y22" s="687">
        <f t="shared" si="14"/>
        <v>90.965179580683113</v>
      </c>
      <c r="AA22" s="170">
        <f t="shared" si="15"/>
        <v>1000000000</v>
      </c>
      <c r="AB22" s="170">
        <f t="shared" si="16"/>
        <v>5.2482228100000006</v>
      </c>
      <c r="AD22" s="686">
        <f t="shared" si="17"/>
        <v>72.3971220080237</v>
      </c>
      <c r="AE22" s="687">
        <f t="shared" si="18"/>
        <v>-88.346844653217772</v>
      </c>
      <c r="AG22" s="686">
        <f t="shared" si="19"/>
        <v>54.339013846430852</v>
      </c>
      <c r="AH22" s="687">
        <f t="shared" si="20"/>
        <v>-0.68384955618741117</v>
      </c>
      <c r="AJ22" s="170">
        <f t="shared" si="21"/>
        <v>0</v>
      </c>
      <c r="AK22" s="170">
        <f t="shared" si="22"/>
        <v>0</v>
      </c>
      <c r="AM22" s="170" t="str">
        <f t="shared" si="26"/>
        <v>1.32303501487741E-09+0.000051439970119061i</v>
      </c>
      <c r="AN22" s="170" t="str">
        <f t="shared" si="27"/>
        <v>0.0000514399701417466i</v>
      </c>
      <c r="AO22" s="170" t="str">
        <f t="shared" si="28"/>
        <v>0.999999999558989-0.00002571998022611i</v>
      </c>
      <c r="AP22" s="170" t="str">
        <f t="shared" si="29"/>
        <v>0.166666666446161-8.57332835317683E-06i</v>
      </c>
      <c r="AQ22" s="170" t="str">
        <f t="shared" si="30"/>
        <v>0.833333333553839+8.57332835317683E-06i</v>
      </c>
      <c r="AR22" s="170" t="str">
        <f t="shared" si="31"/>
        <v>0.999599999629699-0.0000102838788196718i</v>
      </c>
    </row>
    <row r="23" spans="1:44">
      <c r="B23" s="633"/>
      <c r="G23" s="688">
        <v>2.5118999999999998</v>
      </c>
      <c r="H23" s="676">
        <f t="shared" si="23"/>
        <v>2.5118999999999996E-3</v>
      </c>
      <c r="I23" s="677">
        <f t="shared" si="0"/>
        <v>1.0000860249222476</v>
      </c>
      <c r="J23" s="678">
        <f t="shared" si="1"/>
        <v>1.311630708654579E-2</v>
      </c>
      <c r="K23" s="678">
        <f t="shared" si="2"/>
        <v>1.0000000000060281</v>
      </c>
      <c r="L23" s="679">
        <f t="shared" si="3"/>
        <v>3.4722012941014451E-6</v>
      </c>
      <c r="M23" s="678">
        <f t="shared" si="4"/>
        <v>1.000000000088989</v>
      </c>
      <c r="N23" s="679">
        <f t="shared" si="5"/>
        <v>-1.334083834342396E-5</v>
      </c>
      <c r="O23" s="677">
        <f t="shared" si="6"/>
        <v>47.358758351516279</v>
      </c>
      <c r="P23" s="680">
        <f t="shared" si="7"/>
        <v>1.5496793389372379</v>
      </c>
      <c r="Q23" s="689">
        <f t="shared" si="8"/>
        <v>1.0000201271446387</v>
      </c>
      <c r="R23" s="690">
        <f t="shared" si="9"/>
        <v>6.3445735962949605E-3</v>
      </c>
      <c r="S23" s="677">
        <f t="shared" si="10"/>
        <v>1.000000004528653</v>
      </c>
      <c r="T23" s="680">
        <f t="shared" si="11"/>
        <v>9.5169880637744527E-5</v>
      </c>
      <c r="U23" s="681">
        <f t="shared" si="24"/>
        <v>0.99959999948590872</v>
      </c>
      <c r="V23" s="682">
        <f t="shared" si="25"/>
        <v>-3.9481628042626928E-5</v>
      </c>
      <c r="W23" s="683">
        <f t="shared" si="12"/>
        <v>72.426214993788861</v>
      </c>
      <c r="X23" s="684">
        <f t="shared" si="13"/>
        <v>-89.186357965021116</v>
      </c>
      <c r="Y23" s="687">
        <f t="shared" si="14"/>
        <v>90.813642034978884</v>
      </c>
      <c r="AA23" s="170">
        <f t="shared" si="15"/>
        <v>1000000000</v>
      </c>
      <c r="AB23" s="170">
        <f t="shared" si="16"/>
        <v>6.309641609999999</v>
      </c>
      <c r="AD23" s="686">
        <f t="shared" si="17"/>
        <v>71.597618731869133</v>
      </c>
      <c r="AE23" s="687">
        <f t="shared" si="18"/>
        <v>-88.432021363394924</v>
      </c>
      <c r="AG23" s="686">
        <f t="shared" si="19"/>
        <v>54.338888165945356</v>
      </c>
      <c r="AH23" s="687">
        <f t="shared" si="20"/>
        <v>-0.74981234031071697</v>
      </c>
      <c r="AJ23" s="170">
        <f t="shared" si="21"/>
        <v>0</v>
      </c>
      <c r="AK23" s="170">
        <f t="shared" si="22"/>
        <v>0</v>
      </c>
      <c r="AM23" s="170" t="str">
        <f t="shared" si="26"/>
        <v>1.59061097626534E-09+0.0000564023139074358i</v>
      </c>
      <c r="AN23" s="170" t="str">
        <f t="shared" si="27"/>
        <v>0.0000564023139373405i</v>
      </c>
      <c r="AO23" s="170" t="str">
        <f t="shared" si="28"/>
        <v>0.999999999469797-0.0000282011652577306i</v>
      </c>
      <c r="AP23" s="170" t="str">
        <f t="shared" si="29"/>
        <v>0.166666666401565-0.0000094003856512393i</v>
      </c>
      <c r="AQ23" s="170" t="str">
        <f t="shared" si="30"/>
        <v>0.833333333598435+0.0000094003856512393i</v>
      </c>
      <c r="AR23" s="170" t="str">
        <f t="shared" si="31"/>
        <v>0.999599999554807-0.0000112759505877655i</v>
      </c>
    </row>
    <row r="24" spans="1:44">
      <c r="D24" s="712"/>
      <c r="E24" s="189"/>
      <c r="G24" s="688">
        <v>2.7542</v>
      </c>
      <c r="H24" s="676">
        <f t="shared" si="23"/>
        <v>2.7542000000000001E-3</v>
      </c>
      <c r="I24" s="677">
        <f t="shared" si="0"/>
        <v>1.0001034205320267</v>
      </c>
      <c r="J24" s="678">
        <f t="shared" si="1"/>
        <v>1.4381350398423802E-2</v>
      </c>
      <c r="K24" s="678">
        <f t="shared" si="2"/>
        <v>1.0000000000072471</v>
      </c>
      <c r="L24" s="679">
        <f t="shared" si="3"/>
        <v>3.8071327696988057E-6</v>
      </c>
      <c r="M24" s="678">
        <f t="shared" si="4"/>
        <v>1.0000000001069849</v>
      </c>
      <c r="N24" s="679">
        <f t="shared" si="5"/>
        <v>-1.4627706901157472E-5</v>
      </c>
      <c r="O24" s="677">
        <f t="shared" si="6"/>
        <v>51.925077011504193</v>
      </c>
      <c r="P24" s="680">
        <f t="shared" si="7"/>
        <v>1.5515366187124247</v>
      </c>
      <c r="Q24" s="689">
        <f t="shared" si="8"/>
        <v>1.0000241973351487</v>
      </c>
      <c r="R24" s="690">
        <f t="shared" si="9"/>
        <v>6.9565576591962604E-3</v>
      </c>
      <c r="S24" s="677">
        <f t="shared" si="10"/>
        <v>1.0000000054444662</v>
      </c>
      <c r="T24" s="680">
        <f t="shared" si="11"/>
        <v>1.0435004780940426E-4</v>
      </c>
      <c r="U24" s="681">
        <f t="shared" si="24"/>
        <v>0.99959999938194544</v>
      </c>
      <c r="V24" s="682">
        <f t="shared" si="25"/>
        <v>-4.3290051500347878E-5</v>
      </c>
      <c r="W24" s="683">
        <f t="shared" si="12"/>
        <v>71.626562420330174</v>
      </c>
      <c r="X24" s="684">
        <f t="shared" si="13"/>
        <v>-89.330988529820004</v>
      </c>
      <c r="Y24" s="687">
        <f t="shared" si="14"/>
        <v>90.669011470179996</v>
      </c>
      <c r="AA24" s="170">
        <f t="shared" si="15"/>
        <v>1000000000</v>
      </c>
      <c r="AB24" s="170">
        <f t="shared" si="16"/>
        <v>7.5856176399999997</v>
      </c>
      <c r="AD24" s="686">
        <f t="shared" si="17"/>
        <v>70.798117241182766</v>
      </c>
      <c r="AE24" s="687">
        <f t="shared" si="18"/>
        <v>-88.503897536870923</v>
      </c>
      <c r="AG24" s="686">
        <f t="shared" si="19"/>
        <v>54.338737084979805</v>
      </c>
      <c r="AH24" s="687">
        <f t="shared" si="20"/>
        <v>-0.82213031845165674</v>
      </c>
      <c r="AJ24" s="170">
        <f t="shared" si="21"/>
        <v>0</v>
      </c>
      <c r="AK24" s="170">
        <f t="shared" si="22"/>
        <v>0</v>
      </c>
      <c r="AM24" s="170" t="str">
        <f t="shared" si="26"/>
        <v>1.91227400581084E-09+0.0000618429288376144i</v>
      </c>
      <c r="AN24" s="170" t="str">
        <f t="shared" si="27"/>
        <v>0.0000618429288770346i</v>
      </c>
      <c r="AO24" s="170" t="str">
        <f t="shared" si="28"/>
        <v>0.999999999362576-0.0000309214657283311i</v>
      </c>
      <c r="AP24" s="170" t="str">
        <f t="shared" si="29"/>
        <v>0.166666666347954-0.0000103071548062691i</v>
      </c>
      <c r="AQ24" s="170" t="str">
        <f t="shared" si="30"/>
        <v>0.833333333652046+0.0000103071548062691i</v>
      </c>
      <c r="AR24" s="170" t="str">
        <f t="shared" si="31"/>
        <v>0.999599999464777-0.0000123636383218674i</v>
      </c>
    </row>
    <row r="25" spans="1:44" ht="13">
      <c r="A25" s="333" t="s">
        <v>751</v>
      </c>
      <c r="B25" s="711">
        <f>'Design Converter'!E34+'Design Converter'!E34*0+IF(MODE=2,ABS('Design Converter'!L34*('Design Converter'!L14)^2),0)</f>
        <v>110</v>
      </c>
      <c r="C25" s="170" t="s">
        <v>749</v>
      </c>
      <c r="D25" s="709">
        <f>Cout_sec*0.000001</f>
        <v>1.0999999999999999E-4</v>
      </c>
      <c r="E25" s="170" t="s">
        <v>13</v>
      </c>
      <c r="G25" s="688">
        <v>3.02</v>
      </c>
      <c r="H25" s="676">
        <f t="shared" si="23"/>
        <v>3.0200000000000001E-3</v>
      </c>
      <c r="I25" s="677">
        <f t="shared" si="0"/>
        <v>1.0001243440940129</v>
      </c>
      <c r="J25" s="678">
        <f t="shared" si="1"/>
        <v>1.5769033631465035E-2</v>
      </c>
      <c r="K25" s="678">
        <f t="shared" si="2"/>
        <v>1.0000000000087135</v>
      </c>
      <c r="L25" s="679">
        <f t="shared" si="3"/>
        <v>4.1745483132957498E-6</v>
      </c>
      <c r="M25" s="678">
        <f t="shared" si="4"/>
        <v>1.0000000001286309</v>
      </c>
      <c r="N25" s="679">
        <f t="shared" si="5"/>
        <v>-1.6039385244665633E-5</v>
      </c>
      <c r="O25" s="677">
        <f t="shared" si="6"/>
        <v>56.934441525875542</v>
      </c>
      <c r="P25" s="680">
        <f t="shared" si="7"/>
        <v>1.5532313626646355</v>
      </c>
      <c r="Q25" s="689">
        <f t="shared" si="8"/>
        <v>1.0000290930608098</v>
      </c>
      <c r="R25" s="690">
        <f t="shared" si="9"/>
        <v>7.6278903359705413E-3</v>
      </c>
      <c r="S25" s="677">
        <f t="shared" si="10"/>
        <v>1.0000000065460339</v>
      </c>
      <c r="T25" s="680">
        <f t="shared" si="11"/>
        <v>1.1442057372484605E-4</v>
      </c>
      <c r="U25" s="681">
        <f t="shared" si="24"/>
        <v>0.99959999925689547</v>
      </c>
      <c r="V25" s="682">
        <f t="shared" si="25"/>
        <v>-4.7467843724811491E-5</v>
      </c>
      <c r="W25" s="683">
        <f t="shared" si="12"/>
        <v>70.826464900247188</v>
      </c>
      <c r="X25" s="684">
        <f t="shared" si="13"/>
        <v>-89.470010269667512</v>
      </c>
      <c r="Y25" s="687">
        <f t="shared" si="14"/>
        <v>90.529989730332488</v>
      </c>
      <c r="AA25" s="170">
        <f t="shared" si="15"/>
        <v>1000000000</v>
      </c>
      <c r="AB25" s="170">
        <f t="shared" si="16"/>
        <v>9.1204000000000001</v>
      </c>
      <c r="AD25" s="686">
        <f t="shared" si="17"/>
        <v>69.998201441041303</v>
      </c>
      <c r="AE25" s="687">
        <f t="shared" si="18"/>
        <v>-88.563111682359619</v>
      </c>
      <c r="AG25" s="686">
        <f t="shared" si="19"/>
        <v>54.338555367211498</v>
      </c>
      <c r="AH25" s="687">
        <f t="shared" si="20"/>
        <v>-0.90145917308562784</v>
      </c>
      <c r="AJ25" s="170">
        <f t="shared" si="21"/>
        <v>0</v>
      </c>
      <c r="AK25" s="170">
        <f t="shared" si="22"/>
        <v>0</v>
      </c>
      <c r="AM25" s="170" t="str">
        <f t="shared" si="26"/>
        <v>2.29917995753226E-09+0.0000678112138063715i</v>
      </c>
      <c r="AN25" s="170" t="str">
        <f t="shared" si="27"/>
        <v>0.0000678112138583416i</v>
      </c>
      <c r="AO25" s="170" t="str">
        <f t="shared" si="28"/>
        <v>0.999999999233606-0.0000339056009576126i</v>
      </c>
      <c r="AP25" s="170" t="str">
        <f t="shared" si="29"/>
        <v>0.16666666628347-0.0000113018689677286i</v>
      </c>
      <c r="AQ25" s="170" t="str">
        <f t="shared" si="30"/>
        <v>0.83333333371653+0.0000113018689677286i</v>
      </c>
      <c r="AR25" s="170" t="str">
        <f t="shared" si="31"/>
        <v>0.999599999356487-0.0000135568178492084i</v>
      </c>
    </row>
    <row r="26" spans="1:44" ht="13">
      <c r="A26" s="333" t="s">
        <v>746</v>
      </c>
      <c r="B26" s="711">
        <f>IF(MODE=2,('Design Converter'!E35*'Design Converter'!E34+'Design Converter'!L34*'Design Converter'!L35)/Cout_sec,'Design Converter'!E35)</f>
        <v>2</v>
      </c>
      <c r="C26" s="170" t="s">
        <v>748</v>
      </c>
      <c r="D26" s="189">
        <f>B26*0.001</f>
        <v>2E-3</v>
      </c>
      <c r="E26" s="706" t="s">
        <v>45</v>
      </c>
      <c r="G26" s="688">
        <v>3.3113000000000001</v>
      </c>
      <c r="H26" s="676">
        <f t="shared" si="23"/>
        <v>3.3113000000000001E-3</v>
      </c>
      <c r="I26" s="677">
        <f t="shared" si="0"/>
        <v>1.0001494868103771</v>
      </c>
      <c r="J26" s="678">
        <f t="shared" si="1"/>
        <v>1.7289776796137624E-2</v>
      </c>
      <c r="K26" s="678">
        <f t="shared" si="2"/>
        <v>1.0000000000104754</v>
      </c>
      <c r="L26" s="679">
        <f t="shared" si="3"/>
        <v>4.577212526423834E-6</v>
      </c>
      <c r="M26" s="678">
        <f t="shared" si="4"/>
        <v>1.0000000001546425</v>
      </c>
      <c r="N26" s="679">
        <f t="shared" si="5"/>
        <v>-1.758649548335772E-5</v>
      </c>
      <c r="O26" s="677">
        <f t="shared" si="6"/>
        <v>62.42454463555589</v>
      </c>
      <c r="P26" s="680">
        <f t="shared" si="7"/>
        <v>1.554776301648483</v>
      </c>
      <c r="Q26" s="689">
        <f t="shared" si="8"/>
        <v>1.00003497609417</v>
      </c>
      <c r="R26" s="690">
        <f t="shared" si="9"/>
        <v>8.3636205988966948E-3</v>
      </c>
      <c r="S26" s="677">
        <f t="shared" si="10"/>
        <v>1.0000000078697588</v>
      </c>
      <c r="T26" s="680">
        <f t="shared" si="11"/>
        <v>1.254572335896446E-4</v>
      </c>
      <c r="U26" s="681">
        <f t="shared" si="24"/>
        <v>0.999599999106628</v>
      </c>
      <c r="V26" s="682">
        <f t="shared" si="25"/>
        <v>-5.2046458880176746E-5</v>
      </c>
      <c r="W26" s="683">
        <f t="shared" si="12"/>
        <v>70.02669126779</v>
      </c>
      <c r="X26" s="684">
        <f t="shared" si="13"/>
        <v>-89.604466940615964</v>
      </c>
      <c r="Y26" s="687">
        <f t="shared" si="14"/>
        <v>90.395533059384036</v>
      </c>
      <c r="AA26" s="170">
        <f t="shared" si="15"/>
        <v>1000000000</v>
      </c>
      <c r="AB26" s="170">
        <f t="shared" si="16"/>
        <v>10.964707690000001</v>
      </c>
      <c r="AD26" s="686">
        <f t="shared" si="17"/>
        <v>69.198646166611709</v>
      </c>
      <c r="AE26" s="687">
        <f t="shared" si="18"/>
        <v>-88.610108280897478</v>
      </c>
      <c r="AG26" s="686">
        <f t="shared" si="19"/>
        <v>54.338337011795346</v>
      </c>
      <c r="AH26" s="687">
        <f t="shared" si="20"/>
        <v>-0.98839457484680204</v>
      </c>
      <c r="AJ26" s="170">
        <f t="shared" si="21"/>
        <v>0</v>
      </c>
      <c r="AK26" s="170">
        <f t="shared" si="22"/>
        <v>0</v>
      </c>
      <c r="AM26" s="170" t="str">
        <f t="shared" si="26"/>
        <v>2.76411604716031E-09+0.0000743520769014035i</v>
      </c>
      <c r="AN26" s="170" t="str">
        <f t="shared" si="27"/>
        <v>0.0000743520769699094i</v>
      </c>
      <c r="AO26" s="170" t="str">
        <f t="shared" si="28"/>
        <v>0.999999999078628-0.0000371760434920864i</v>
      </c>
      <c r="AP26" s="170" t="str">
        <f t="shared" si="29"/>
        <v>0.166666666205981-0.0000123920128169006i</v>
      </c>
      <c r="AQ26" s="170" t="str">
        <f t="shared" si="30"/>
        <v>0.833333333794019+0.0000123920128169006i</v>
      </c>
      <c r="AR26" s="170" t="str">
        <f t="shared" si="31"/>
        <v>0.999599999226358-0.0000148644671944068i</v>
      </c>
    </row>
    <row r="27" spans="1:44">
      <c r="A27" s="170" t="s">
        <v>740</v>
      </c>
      <c r="B27" s="717">
        <f>Cout_sec/Npri_sec^2</f>
        <v>110</v>
      </c>
      <c r="C27" s="170" t="s">
        <v>749</v>
      </c>
      <c r="D27" s="709">
        <f>Cout_pri*0.000001</f>
        <v>1.0999999999999999E-4</v>
      </c>
      <c r="E27" s="170" t="s">
        <v>13</v>
      </c>
      <c r="G27" s="688">
        <v>3.6307999999999998</v>
      </c>
      <c r="H27" s="676">
        <f t="shared" si="23"/>
        <v>3.6308E-3</v>
      </c>
      <c r="I27" s="677">
        <f t="shared" si="0"/>
        <v>1.0001797231018532</v>
      </c>
      <c r="J27" s="678">
        <f t="shared" si="1"/>
        <v>1.8957646952420578E-2</v>
      </c>
      <c r="K27" s="678">
        <f t="shared" si="2"/>
        <v>1.0000000000125944</v>
      </c>
      <c r="L27" s="679">
        <f t="shared" si="3"/>
        <v>5.018857621150659E-6</v>
      </c>
      <c r="M27" s="678">
        <f t="shared" si="4"/>
        <v>1.0000000001859242</v>
      </c>
      <c r="N27" s="679">
        <f t="shared" si="5"/>
        <v>-1.92833774649363E-5</v>
      </c>
      <c r="O27" s="677">
        <f t="shared" si="6"/>
        <v>68.446272951229147</v>
      </c>
      <c r="P27" s="680">
        <f t="shared" si="7"/>
        <v>1.5561858076877901</v>
      </c>
      <c r="Q27" s="689">
        <f t="shared" si="8"/>
        <v>1.0000420511007504</v>
      </c>
      <c r="R27" s="690">
        <f t="shared" si="9"/>
        <v>9.1705645654078464E-3</v>
      </c>
      <c r="S27" s="677">
        <f t="shared" si="10"/>
        <v>1.0000000094616965</v>
      </c>
      <c r="T27" s="680">
        <f t="shared" si="11"/>
        <v>1.3756232393134188E-4</v>
      </c>
      <c r="U27" s="681">
        <f t="shared" si="24"/>
        <v>0.99959999892591</v>
      </c>
      <c r="V27" s="682">
        <f t="shared" si="25"/>
        <v>-5.7068299844675852E-5</v>
      </c>
      <c r="W27" s="683">
        <f t="shared" si="12"/>
        <v>69.226601680802716</v>
      </c>
      <c r="X27" s="684">
        <f t="shared" si="13"/>
        <v>-89.735606345818269</v>
      </c>
      <c r="Y27" s="687">
        <f t="shared" si="14"/>
        <v>90.264393654181731</v>
      </c>
      <c r="AA27" s="170">
        <f t="shared" si="15"/>
        <v>1000000000</v>
      </c>
      <c r="AB27" s="170">
        <f t="shared" si="16"/>
        <v>13.182708639999998</v>
      </c>
      <c r="AD27" s="686">
        <f t="shared" si="17"/>
        <v>68.39881916677254</v>
      </c>
      <c r="AE27" s="687">
        <f t="shared" si="18"/>
        <v>-88.64532611519077</v>
      </c>
      <c r="AG27" s="686">
        <f t="shared" si="19"/>
        <v>54.338074427787873</v>
      </c>
      <c r="AH27" s="687">
        <f t="shared" si="20"/>
        <v>-1.0837406851698432</v>
      </c>
      <c r="AJ27" s="170">
        <f t="shared" si="21"/>
        <v>0</v>
      </c>
      <c r="AK27" s="170">
        <f t="shared" si="22"/>
        <v>0</v>
      </c>
      <c r="AM27" s="170" t="str">
        <f t="shared" si="26"/>
        <v>3.32325600371774E-09+0.000081526144041102i</v>
      </c>
      <c r="AN27" s="170" t="str">
        <f t="shared" si="27"/>
        <v>0.0000815261441314128i</v>
      </c>
      <c r="AO27" s="170" t="str">
        <f t="shared" si="28"/>
        <v>0.999999998892247-0.00004076307102616i</v>
      </c>
      <c r="AP27" s="170" t="str">
        <f t="shared" si="29"/>
        <v>0.166666666112791-0.000013587690673517i</v>
      </c>
      <c r="AQ27" s="170" t="str">
        <f t="shared" si="30"/>
        <v>0.833333333887209+0.000013587690673517i</v>
      </c>
      <c r="AR27" s="170" t="str">
        <f t="shared" si="31"/>
        <v>0.999599999069861-0.000016298706690698i</v>
      </c>
    </row>
    <row r="28" spans="1:44">
      <c r="B28" s="633"/>
      <c r="D28" s="189"/>
      <c r="G28" s="688">
        <v>3.9811000000000001</v>
      </c>
      <c r="H28" s="676">
        <f t="shared" si="23"/>
        <v>3.9811000000000004E-3</v>
      </c>
      <c r="I28" s="677">
        <f t="shared" si="0"/>
        <v>1.0002160715229633</v>
      </c>
      <c r="J28" s="678">
        <f t="shared" si="1"/>
        <v>2.078617927292261E-2</v>
      </c>
      <c r="K28" s="678">
        <f t="shared" si="2"/>
        <v>1.0000000000151419</v>
      </c>
      <c r="L28" s="679">
        <f t="shared" si="3"/>
        <v>5.503077579467048E-6</v>
      </c>
      <c r="M28" s="678">
        <f t="shared" si="4"/>
        <v>1.000000000223531</v>
      </c>
      <c r="N28" s="679">
        <f t="shared" si="5"/>
        <v>-2.1143839931622017E-5</v>
      </c>
      <c r="O28" s="677">
        <f t="shared" si="6"/>
        <v>75.04862963607026</v>
      </c>
      <c r="P28" s="680">
        <f t="shared" si="7"/>
        <v>1.5574712388025185</v>
      </c>
      <c r="Q28" s="689">
        <f t="shared" si="8"/>
        <v>1.0000505565047824</v>
      </c>
      <c r="R28" s="690">
        <f t="shared" si="9"/>
        <v>1.00552846710004E-2</v>
      </c>
      <c r="S28" s="677">
        <f t="shared" si="10"/>
        <v>1.000000011375501</v>
      </c>
      <c r="T28" s="680">
        <f t="shared" si="11"/>
        <v>1.5083435251303737E-4</v>
      </c>
      <c r="U28" s="681">
        <f t="shared" si="24"/>
        <v>0.9995999987086549</v>
      </c>
      <c r="V28" s="682">
        <f t="shared" si="25"/>
        <v>-6.2574261452158806E-5</v>
      </c>
      <c r="W28" s="683">
        <f t="shared" si="12"/>
        <v>68.426500645492908</v>
      </c>
      <c r="X28" s="684">
        <f t="shared" si="13"/>
        <v>-89.86448733273437</v>
      </c>
      <c r="Y28" s="687">
        <f t="shared" si="14"/>
        <v>90.13551266726563</v>
      </c>
      <c r="AA28" s="170">
        <f t="shared" si="15"/>
        <v>1000000000</v>
      </c>
      <c r="AB28" s="170">
        <f t="shared" si="16"/>
        <v>15.849157210000001</v>
      </c>
      <c r="AD28" s="686">
        <f t="shared" si="17"/>
        <v>67.599033788908628</v>
      </c>
      <c r="AE28" s="687">
        <f t="shared" si="18"/>
        <v>-88.669045596069097</v>
      </c>
      <c r="AG28" s="686">
        <f t="shared" si="19"/>
        <v>54.337758774117603</v>
      </c>
      <c r="AH28" s="687">
        <f t="shared" si="20"/>
        <v>-1.1882712544823621</v>
      </c>
      <c r="AJ28" s="170">
        <f t="shared" si="21"/>
        <v>0</v>
      </c>
      <c r="AK28" s="170">
        <f t="shared" si="22"/>
        <v>0</v>
      </c>
      <c r="AM28" s="170" t="str">
        <f t="shared" si="26"/>
        <v>3.99544697327059E-09+0.0000893917957390405i</v>
      </c>
      <c r="AN28" s="170" t="str">
        <f t="shared" si="27"/>
        <v>0.0000893917958580939i</v>
      </c>
      <c r="AO28" s="170" t="str">
        <f t="shared" si="28"/>
        <v>0.999999998668184-0.0000446959022907786i</v>
      </c>
      <c r="AP28" s="170" t="str">
        <f t="shared" si="29"/>
        <v>0.166666666000759-0.0000148986326231734i</v>
      </c>
      <c r="AQ28" s="170" t="str">
        <f t="shared" si="30"/>
        <v>0.833333333999241+0.0000148986326231734i</v>
      </c>
      <c r="AR28" s="170" t="str">
        <f t="shared" si="31"/>
        <v>0.999599998881722-0.0000178712077698753i</v>
      </c>
    </row>
    <row r="29" spans="1:44">
      <c r="B29" s="633"/>
      <c r="D29" s="189"/>
      <c r="G29" s="688">
        <v>4.3651999999999997</v>
      </c>
      <c r="H29" s="676">
        <f t="shared" si="23"/>
        <v>4.3651999999999996E-3</v>
      </c>
      <c r="I29" s="677">
        <f t="shared" si="0"/>
        <v>1.0002597707000973</v>
      </c>
      <c r="J29" s="678">
        <f t="shared" si="1"/>
        <v>2.2790984118553327E-2</v>
      </c>
      <c r="K29" s="678">
        <f t="shared" si="2"/>
        <v>1.0000000000182045</v>
      </c>
      <c r="L29" s="679">
        <f t="shared" si="3"/>
        <v>6.0340193036699671E-6</v>
      </c>
      <c r="M29" s="678">
        <f t="shared" si="4"/>
        <v>1.0000000002687446</v>
      </c>
      <c r="N29" s="679">
        <f t="shared" si="5"/>
        <v>-2.3183816047508066E-5</v>
      </c>
      <c r="O29" s="677">
        <f t="shared" si="6"/>
        <v>82.288157847481486</v>
      </c>
      <c r="P29" s="680">
        <f t="shared" si="7"/>
        <v>1.5586436107621862</v>
      </c>
      <c r="Q29" s="689">
        <f t="shared" si="8"/>
        <v>1.0000607822735548</v>
      </c>
      <c r="R29" s="690">
        <f t="shared" si="9"/>
        <v>1.1025352146492121E-2</v>
      </c>
      <c r="S29" s="677">
        <f t="shared" si="10"/>
        <v>1.0000000136764271</v>
      </c>
      <c r="T29" s="680">
        <f t="shared" si="11"/>
        <v>1.653869821355715E-4</v>
      </c>
      <c r="U29" s="681">
        <f t="shared" si="24"/>
        <v>0.99959999844745495</v>
      </c>
      <c r="V29" s="682">
        <f t="shared" si="25"/>
        <v>-6.8611477846854937E-5</v>
      </c>
      <c r="W29" s="683">
        <f t="shared" si="12"/>
        <v>67.626318493062826</v>
      </c>
      <c r="X29" s="684">
        <f t="shared" si="13"/>
        <v>-89.992211554981594</v>
      </c>
      <c r="Y29" s="687">
        <f t="shared" si="14"/>
        <v>90.007788445018406</v>
      </c>
      <c r="AA29" s="170">
        <f t="shared" si="15"/>
        <v>1000000000</v>
      </c>
      <c r="AB29" s="170">
        <f t="shared" si="16"/>
        <v>19.054971039999998</v>
      </c>
      <c r="AD29" s="686">
        <f t="shared" si="17"/>
        <v>66.799231114273454</v>
      </c>
      <c r="AE29" s="687">
        <f t="shared" si="18"/>
        <v>-88.681470593461356</v>
      </c>
      <c r="AG29" s="686">
        <f t="shared" si="19"/>
        <v>54.337379300862011</v>
      </c>
      <c r="AH29" s="687">
        <f t="shared" si="20"/>
        <v>-1.3028786652976971</v>
      </c>
      <c r="AJ29" s="170">
        <f t="shared" si="21"/>
        <v>0</v>
      </c>
      <c r="AK29" s="170">
        <f t="shared" si="22"/>
        <v>0</v>
      </c>
      <c r="AM29" s="170" t="str">
        <f t="shared" si="26"/>
        <v>4.80360695664928E-09+0.0000980163941259806i</v>
      </c>
      <c r="AN29" s="170" t="str">
        <f t="shared" si="27"/>
        <v>0.0000980163942829247i</v>
      </c>
      <c r="AO29" s="170" t="str">
        <f t="shared" si="28"/>
        <v>0.999999998398797-0.0000490081990037672i</v>
      </c>
      <c r="AP29" s="170" t="str">
        <f t="shared" si="29"/>
        <v>0.166666665866066-0.0000163360656876634i</v>
      </c>
      <c r="AQ29" s="170" t="str">
        <f t="shared" si="30"/>
        <v>0.833333334133934+0.0000163360656876634i</v>
      </c>
      <c r="AR29" s="170" t="str">
        <f t="shared" si="31"/>
        <v>0.999599998655529-0.0000195954374684842i</v>
      </c>
    </row>
    <row r="30" spans="1:44">
      <c r="A30" s="170" t="s">
        <v>18</v>
      </c>
      <c r="B30" s="714">
        <f>Vref</f>
        <v>1</v>
      </c>
      <c r="C30" s="170" t="s">
        <v>0</v>
      </c>
      <c r="D30" s="189"/>
      <c r="G30" s="688">
        <v>4.7862999999999998</v>
      </c>
      <c r="H30" s="676">
        <f t="shared" si="23"/>
        <v>4.7862999999999994E-3</v>
      </c>
      <c r="I30" s="677">
        <f t="shared" si="0"/>
        <v>1.0003122987885258</v>
      </c>
      <c r="J30" s="678">
        <f t="shared" si="1"/>
        <v>2.4988698835071411E-2</v>
      </c>
      <c r="K30" s="678">
        <f t="shared" si="2"/>
        <v>1.0000000000218865</v>
      </c>
      <c r="L30" s="679">
        <f t="shared" si="3"/>
        <v>6.6161061562092637E-6</v>
      </c>
      <c r="M30" s="678">
        <f t="shared" si="4"/>
        <v>1.0000000003230958</v>
      </c>
      <c r="N30" s="679">
        <f t="shared" si="5"/>
        <v>-2.5420301187612743E-5</v>
      </c>
      <c r="O30" s="677">
        <f t="shared" si="6"/>
        <v>90.225171265150706</v>
      </c>
      <c r="P30" s="680">
        <f t="shared" si="7"/>
        <v>1.5597127182999808</v>
      </c>
      <c r="Q30" s="689">
        <f t="shared" si="8"/>
        <v>1.000073074493034</v>
      </c>
      <c r="R30" s="690">
        <f t="shared" si="9"/>
        <v>1.2088841417621237E-2</v>
      </c>
      <c r="S30" s="677">
        <f t="shared" si="10"/>
        <v>1.0000000164423615</v>
      </c>
      <c r="T30" s="680">
        <f t="shared" si="11"/>
        <v>1.8134145311459393E-4</v>
      </c>
      <c r="U30" s="681">
        <f t="shared" si="24"/>
        <v>0.99959999813346156</v>
      </c>
      <c r="V30" s="682">
        <f t="shared" si="25"/>
        <v>-7.5230253548000449E-5</v>
      </c>
      <c r="W30" s="683">
        <f t="shared" si="12"/>
        <v>66.826161604718308</v>
      </c>
      <c r="X30" s="684">
        <f t="shared" si="13"/>
        <v>-90.119841377730012</v>
      </c>
      <c r="Y30" s="687">
        <f t="shared" si="14"/>
        <v>89.880158622269988</v>
      </c>
      <c r="AA30" s="170">
        <f t="shared" si="15"/>
        <v>1000000000</v>
      </c>
      <c r="AB30" s="170">
        <f t="shared" si="16"/>
        <v>22.908667689999998</v>
      </c>
      <c r="AD30" s="686">
        <f t="shared" si="17"/>
        <v>65.999530350865427</v>
      </c>
      <c r="AE30" s="687">
        <f t="shared" si="18"/>
        <v>-88.682706620282332</v>
      </c>
      <c r="AG30" s="686">
        <f t="shared" si="19"/>
        <v>54.336923181382332</v>
      </c>
      <c r="AH30" s="687">
        <f t="shared" si="20"/>
        <v>-1.4285140053978247</v>
      </c>
      <c r="AJ30" s="170">
        <f t="shared" si="21"/>
        <v>0</v>
      </c>
      <c r="AK30" s="170">
        <f t="shared" si="22"/>
        <v>0</v>
      </c>
      <c r="AM30" s="170" t="str">
        <f t="shared" si="26"/>
        <v>5.77509295940359E-09+0.000107471792140855i</v>
      </c>
      <c r="AN30" s="170" t="str">
        <f t="shared" si="27"/>
        <v>0.000107471792347742i</v>
      </c>
      <c r="AO30" s="170" t="str">
        <f t="shared" si="28"/>
        <v>0.999999998074965-0.0000537358950962441i</v>
      </c>
      <c r="AP30" s="170" t="str">
        <f t="shared" si="29"/>
        <v>0.166666665704151-0.0000179119653568092i</v>
      </c>
      <c r="AQ30" s="170" t="str">
        <f t="shared" si="30"/>
        <v>0.833333334295849+0.0000179119653568092i</v>
      </c>
      <c r="AR30" s="170" t="str">
        <f t="shared" si="31"/>
        <v>0.99959999838362-0.0000214857606252403i</v>
      </c>
    </row>
    <row r="31" spans="1:44">
      <c r="A31" s="170" t="s">
        <v>745</v>
      </c>
      <c r="B31" s="714">
        <v>600</v>
      </c>
      <c r="C31" s="170" t="s">
        <v>753</v>
      </c>
      <c r="D31" s="708">
        <f>B31*0.000001</f>
        <v>5.9999999999999995E-4</v>
      </c>
      <c r="E31" s="170" t="s">
        <v>754</v>
      </c>
      <c r="G31" s="688">
        <v>5.2481</v>
      </c>
      <c r="H31" s="676">
        <f t="shared" si="23"/>
        <v>5.2481000000000003E-3</v>
      </c>
      <c r="I31" s="677">
        <f t="shared" si="0"/>
        <v>1.0003754576504411</v>
      </c>
      <c r="J31" s="678">
        <f t="shared" si="1"/>
        <v>2.7398547930874439E-2</v>
      </c>
      <c r="K31" s="678">
        <f t="shared" si="2"/>
        <v>1.0000000000263136</v>
      </c>
      <c r="L31" s="679">
        <f t="shared" si="3"/>
        <v>7.2544526499173395E-6</v>
      </c>
      <c r="M31" s="678">
        <f t="shared" si="4"/>
        <v>1.0000000003884506</v>
      </c>
      <c r="N31" s="679">
        <f t="shared" si="5"/>
        <v>-2.7872946254287837E-5</v>
      </c>
      <c r="O31" s="677">
        <f t="shared" si="6"/>
        <v>98.929408556755803</v>
      </c>
      <c r="P31" s="680">
        <f t="shared" si="7"/>
        <v>1.5606879369367528</v>
      </c>
      <c r="Q31" s="689">
        <f t="shared" si="8"/>
        <v>1.000087855099024</v>
      </c>
      <c r="R31" s="690">
        <f t="shared" si="9"/>
        <v>1.3255087129663026E-2</v>
      </c>
      <c r="S31" s="677">
        <f t="shared" si="10"/>
        <v>1.0000000197682655</v>
      </c>
      <c r="T31" s="680">
        <f t="shared" si="11"/>
        <v>1.988379495603137E-4</v>
      </c>
      <c r="U31" s="681">
        <f t="shared" si="24"/>
        <v>0.99959999775590902</v>
      </c>
      <c r="V31" s="682">
        <f t="shared" si="25"/>
        <v>-8.2488749636890554E-5</v>
      </c>
      <c r="W31" s="683">
        <f t="shared" si="12"/>
        <v>66.025787591734996</v>
      </c>
      <c r="X31" s="684">
        <f t="shared" si="13"/>
        <v>-90.248492823389384</v>
      </c>
      <c r="Y31" s="687">
        <f t="shared" si="14"/>
        <v>89.751507176610616</v>
      </c>
      <c r="AA31" s="170">
        <f t="shared" si="15"/>
        <v>1000000000</v>
      </c>
      <c r="AB31" s="170">
        <f t="shared" si="16"/>
        <v>27.542553609999999</v>
      </c>
      <c r="AD31" s="686">
        <f t="shared" si="17"/>
        <v>65.199704742877529</v>
      </c>
      <c r="AE31" s="687">
        <f t="shared" si="18"/>
        <v>-88.672764050487885</v>
      </c>
      <c r="AG31" s="686">
        <f t="shared" si="19"/>
        <v>54.336374782948305</v>
      </c>
      <c r="AH31" s="687">
        <f t="shared" si="20"/>
        <v>-1.5662762584676739</v>
      </c>
      <c r="AJ31" s="170">
        <f t="shared" si="21"/>
        <v>0</v>
      </c>
      <c r="AK31" s="170">
        <f t="shared" si="22"/>
        <v>0</v>
      </c>
      <c r="AM31" s="170" t="str">
        <f t="shared" si="26"/>
        <v>6.94325896777315E-09+0.00011784106974381i</v>
      </c>
      <c r="AN31" s="170" t="str">
        <f t="shared" si="27"/>
        <v>0.000117841070016544i</v>
      </c>
      <c r="AO31" s="170" t="str">
        <f t="shared" si="28"/>
        <v>0.999999997685578-0.0000589205356570368i</v>
      </c>
      <c r="AP31" s="170" t="str">
        <f t="shared" si="29"/>
        <v>0.166666665509457-0.000019640178290635i</v>
      </c>
      <c r="AQ31" s="170" t="str">
        <f t="shared" si="30"/>
        <v>0.833333334490543+0.000019640178290635i</v>
      </c>
      <c r="AR31" s="170" t="str">
        <f t="shared" si="31"/>
        <v>0.999599998056665-0.0000235587865846666i</v>
      </c>
    </row>
    <row r="32" spans="1:44">
      <c r="A32" s="170" t="s">
        <v>741</v>
      </c>
      <c r="B32" s="714">
        <v>300</v>
      </c>
      <c r="C32" s="706" t="s">
        <v>747</v>
      </c>
      <c r="D32" s="708">
        <f>B32*1000000</f>
        <v>300000000</v>
      </c>
      <c r="E32" s="706" t="s">
        <v>45</v>
      </c>
      <c r="G32" s="688">
        <v>5.7544000000000004</v>
      </c>
      <c r="H32" s="676">
        <f t="shared" si="23"/>
        <v>5.7544000000000007E-3</v>
      </c>
      <c r="I32" s="677">
        <f t="shared" si="0"/>
        <v>1.0004513779780067</v>
      </c>
      <c r="J32" s="678">
        <f t="shared" si="1"/>
        <v>3.0040248278345939E-2</v>
      </c>
      <c r="K32" s="678">
        <f t="shared" si="2"/>
        <v>1.0000000000316356</v>
      </c>
      <c r="L32" s="679">
        <f t="shared" si="3"/>
        <v>7.9543115277026403E-6</v>
      </c>
      <c r="M32" s="678">
        <f t="shared" si="4"/>
        <v>1.0000000004670158</v>
      </c>
      <c r="N32" s="679">
        <f t="shared" si="5"/>
        <v>-3.0561933255325376E-5</v>
      </c>
      <c r="O32" s="677">
        <f t="shared" si="6"/>
        <v>108.47249403238375</v>
      </c>
      <c r="P32" s="680">
        <f t="shared" si="7"/>
        <v>1.5615772692427372</v>
      </c>
      <c r="Q32" s="689">
        <f t="shared" si="8"/>
        <v>1.0001056231233292</v>
      </c>
      <c r="R32" s="690">
        <f t="shared" si="9"/>
        <v>1.453367312807867E-2</v>
      </c>
      <c r="S32" s="677">
        <f t="shared" si="10"/>
        <v>1.0000000237664575</v>
      </c>
      <c r="T32" s="680">
        <f t="shared" si="11"/>
        <v>2.1802044433224724E-4</v>
      </c>
      <c r="U32" s="681">
        <f t="shared" si="24"/>
        <v>0.9995999973020363</v>
      </c>
      <c r="V32" s="682">
        <f t="shared" si="25"/>
        <v>-9.0446684758234809E-5</v>
      </c>
      <c r="W32" s="683">
        <f t="shared" si="12"/>
        <v>65.225398446510354</v>
      </c>
      <c r="X32" s="684">
        <f t="shared" si="13"/>
        <v>-90.379217511184351</v>
      </c>
      <c r="Y32" s="687">
        <f t="shared" si="14"/>
        <v>89.620782488815649</v>
      </c>
      <c r="AA32" s="170">
        <f t="shared" si="15"/>
        <v>1000000000</v>
      </c>
      <c r="AB32" s="170">
        <f t="shared" si="16"/>
        <v>33.113119360000006</v>
      </c>
      <c r="AD32" s="686">
        <f t="shared" si="17"/>
        <v>64.399974763945195</v>
      </c>
      <c r="AE32" s="687">
        <f t="shared" si="18"/>
        <v>-88.651560532718435</v>
      </c>
      <c r="AG32" s="686">
        <f t="shared" si="19"/>
        <v>54.335715624543724</v>
      </c>
      <c r="AH32" s="687">
        <f t="shared" si="20"/>
        <v>-1.7172925518388764</v>
      </c>
      <c r="AJ32" s="170">
        <f t="shared" si="21"/>
        <v>0</v>
      </c>
      <c r="AK32" s="170">
        <f t="shared" si="22"/>
        <v>0</v>
      </c>
      <c r="AM32" s="170" t="str">
        <f t="shared" si="26"/>
        <v>8.34755398138043E-09+0.000129209552298234i</v>
      </c>
      <c r="AN32" s="170" t="str">
        <f t="shared" si="27"/>
        <v>0.000129209552657762i</v>
      </c>
      <c r="AO32" s="170" t="str">
        <f t="shared" si="28"/>
        <v>0.999999997217481-0.0000646047742576018i</v>
      </c>
      <c r="AP32" s="170" t="str">
        <f t="shared" si="29"/>
        <v>0.166666665275408-0.000021534925383039i</v>
      </c>
      <c r="AQ32" s="170" t="str">
        <f t="shared" si="30"/>
        <v>0.833333334724592+0.000021534925383039i</v>
      </c>
      <c r="AR32" s="170" t="str">
        <f t="shared" si="31"/>
        <v>0.99959999766362-0.0000258315735919603i</v>
      </c>
    </row>
    <row r="33" spans="1:44">
      <c r="A33" s="170" t="s">
        <v>771</v>
      </c>
      <c r="B33" s="633">
        <f>RCS/1000</f>
        <v>6.0000000000000001E-3</v>
      </c>
      <c r="C33" s="706" t="s">
        <v>45</v>
      </c>
      <c r="D33" s="189"/>
      <c r="G33" s="688">
        <v>6.3095999999999997</v>
      </c>
      <c r="H33" s="676">
        <f t="shared" si="23"/>
        <v>6.3095999999999994E-3</v>
      </c>
      <c r="I33" s="677">
        <f t="shared" si="0"/>
        <v>1.0005426553787826</v>
      </c>
      <c r="J33" s="678">
        <f t="shared" si="1"/>
        <v>3.2936608709658637E-2</v>
      </c>
      <c r="K33" s="678">
        <f t="shared" si="2"/>
        <v>1.0000000000380345</v>
      </c>
      <c r="L33" s="679">
        <f t="shared" si="3"/>
        <v>8.7217649129324459E-6</v>
      </c>
      <c r="M33" s="678">
        <f t="shared" si="4"/>
        <v>1.0000000005614811</v>
      </c>
      <c r="N33" s="679">
        <f t="shared" si="5"/>
        <v>-3.3510630831304202E-5</v>
      </c>
      <c r="O33" s="677">
        <f t="shared" si="6"/>
        <v>118.93736187441593</v>
      </c>
      <c r="P33" s="680">
        <f t="shared" si="7"/>
        <v>1.5623884407746544</v>
      </c>
      <c r="Q33" s="689">
        <f t="shared" si="8"/>
        <v>1.0001269866095341</v>
      </c>
      <c r="R33" s="690">
        <f t="shared" si="9"/>
        <v>1.5935694085358065E-2</v>
      </c>
      <c r="S33" s="677">
        <f t="shared" si="10"/>
        <v>1.0000000285738009</v>
      </c>
      <c r="T33" s="680">
        <f t="shared" si="11"/>
        <v>2.3905564283852753E-4</v>
      </c>
      <c r="U33" s="681">
        <f t="shared" si="24"/>
        <v>0.9995999967563084</v>
      </c>
      <c r="V33" s="682">
        <f t="shared" si="25"/>
        <v>-9.9173227381863671E-5</v>
      </c>
      <c r="W33" s="683">
        <f t="shared" si="12"/>
        <v>64.424817997207967</v>
      </c>
      <c r="X33" s="684">
        <f t="shared" si="13"/>
        <v>-90.513143759843217</v>
      </c>
      <c r="Y33" s="687">
        <f t="shared" si="14"/>
        <v>89.486856240156783</v>
      </c>
      <c r="AA33" s="170">
        <f t="shared" si="15"/>
        <v>1000000000</v>
      </c>
      <c r="AB33" s="170">
        <f t="shared" si="16"/>
        <v>39.811052159999996</v>
      </c>
      <c r="AD33" s="686">
        <f t="shared" si="17"/>
        <v>63.600186750087161</v>
      </c>
      <c r="AE33" s="687">
        <f t="shared" si="18"/>
        <v>-88.618912582375771</v>
      </c>
      <c r="AG33" s="686">
        <f t="shared" si="19"/>
        <v>54.334923198583425</v>
      </c>
      <c r="AH33" s="687">
        <f t="shared" si="20"/>
        <v>-1.8828667627151232</v>
      </c>
      <c r="AJ33" s="170">
        <f t="shared" si="21"/>
        <v>0</v>
      </c>
      <c r="AK33" s="170">
        <f t="shared" si="22"/>
        <v>0</v>
      </c>
      <c r="AM33" s="170" t="str">
        <f t="shared" si="26"/>
        <v>1.00360499910579E-08+0.000141676037592465i</v>
      </c>
      <c r="AN33" s="170" t="str">
        <f t="shared" si="27"/>
        <v>0.000141676038066421i</v>
      </c>
      <c r="AO33" s="170" t="str">
        <f t="shared" si="28"/>
        <v>0.99999999665465-0.0000708380198093397i</v>
      </c>
      <c r="AP33" s="170" t="str">
        <f t="shared" si="29"/>
        <v>0.166666664993992-0.0000236126729320775i</v>
      </c>
      <c r="AQ33" s="170" t="str">
        <f t="shared" si="30"/>
        <v>0.833333335006008+0.0000236126729320775i</v>
      </c>
      <c r="AR33" s="170" t="str">
        <f t="shared" si="31"/>
        <v>0.99959999719103-0.0000283238732990409i</v>
      </c>
    </row>
    <row r="34" spans="1:44">
      <c r="A34" s="170" t="s">
        <v>752</v>
      </c>
      <c r="B34" s="715">
        <f>10*B33</f>
        <v>0.06</v>
      </c>
      <c r="C34" s="706" t="s">
        <v>45</v>
      </c>
      <c r="D34" s="189"/>
      <c r="E34" s="706"/>
      <c r="G34" s="688">
        <v>6.9183000000000003</v>
      </c>
      <c r="H34" s="676">
        <f t="shared" si="23"/>
        <v>6.9183000000000005E-3</v>
      </c>
      <c r="I34" s="677">
        <f t="shared" si="0"/>
        <v>1.0006523721609704</v>
      </c>
      <c r="J34" s="678">
        <f t="shared" si="1"/>
        <v>3.6111430335269437E-2</v>
      </c>
      <c r="K34" s="678">
        <f t="shared" si="2"/>
        <v>1.000000000045727</v>
      </c>
      <c r="L34" s="679">
        <f t="shared" si="3"/>
        <v>9.5631713891262694E-6</v>
      </c>
      <c r="M34" s="678">
        <f t="shared" si="4"/>
        <v>1.0000000006750411</v>
      </c>
      <c r="N34" s="679">
        <f t="shared" si="5"/>
        <v>-3.6743469833691562E-5</v>
      </c>
      <c r="O34" s="677">
        <f t="shared" si="6"/>
        <v>130.41071668006632</v>
      </c>
      <c r="P34" s="680">
        <f t="shared" si="7"/>
        <v>1.5631281701768722</v>
      </c>
      <c r="Q34" s="689">
        <f t="shared" si="8"/>
        <v>1.0001526678104844</v>
      </c>
      <c r="R34" s="690">
        <f t="shared" si="9"/>
        <v>1.7472743924794726E-2</v>
      </c>
      <c r="S34" s="677">
        <f t="shared" si="10"/>
        <v>1.0000000343528788</v>
      </c>
      <c r="T34" s="680">
        <f t="shared" si="11"/>
        <v>2.6211782798876845E-4</v>
      </c>
      <c r="U34" s="681">
        <f t="shared" si="24"/>
        <v>0.99959999610026951</v>
      </c>
      <c r="V34" s="682">
        <f t="shared" si="25"/>
        <v>-1.0874066763695263E-4</v>
      </c>
      <c r="W34" s="683">
        <f t="shared" si="12"/>
        <v>63.624188949736855</v>
      </c>
      <c r="X34" s="684">
        <f t="shared" si="13"/>
        <v>-90.651371102696928</v>
      </c>
      <c r="Y34" s="687">
        <f t="shared" si="14"/>
        <v>89.348628897303072</v>
      </c>
      <c r="AA34" s="170">
        <f t="shared" si="15"/>
        <v>1000000000</v>
      </c>
      <c r="AB34" s="170">
        <f t="shared" si="16"/>
        <v>47.862874890000008</v>
      </c>
      <c r="AD34" s="686">
        <f t="shared" si="17"/>
        <v>62.800510126042575</v>
      </c>
      <c r="AE34" s="687">
        <f t="shared" si="18"/>
        <v>-88.57455085222837</v>
      </c>
      <c r="AG34" s="686">
        <f t="shared" si="19"/>
        <v>54.333970786558027</v>
      </c>
      <c r="AH34" s="687">
        <f t="shared" si="20"/>
        <v>-2.0643594878202518</v>
      </c>
      <c r="AJ34" s="170">
        <f t="shared" si="21"/>
        <v>0</v>
      </c>
      <c r="AK34" s="170">
        <f t="shared" si="22"/>
        <v>0</v>
      </c>
      <c r="AM34" s="170" t="str">
        <f t="shared" si="26"/>
        <v>1.20658499858095E-08+0.000155343814221627i</v>
      </c>
      <c r="AN34" s="170" t="str">
        <f t="shared" si="27"/>
        <v>0.000155343814846412i</v>
      </c>
      <c r="AO34" s="170" t="str">
        <f t="shared" si="28"/>
        <v>0.99999999597805-0.0000776719047214012i</v>
      </c>
      <c r="AP34" s="170" t="str">
        <f t="shared" si="29"/>
        <v>0.166666664655692-0.0000258906357036045i</v>
      </c>
      <c r="AQ34" s="170" t="str">
        <f t="shared" si="30"/>
        <v>0.833333335344308+0.0000258906357036045i</v>
      </c>
      <c r="AR34" s="170" t="str">
        <f t="shared" si="31"/>
        <v>0.999599996622914-0.0000310563351593216i</v>
      </c>
    </row>
    <row r="35" spans="1:44">
      <c r="B35" s="633"/>
      <c r="D35" s="189"/>
      <c r="G35" s="688">
        <v>7.5857999999999999</v>
      </c>
      <c r="H35" s="676">
        <f t="shared" si="23"/>
        <v>7.5858000000000002E-3</v>
      </c>
      <c r="I35" s="677">
        <f t="shared" si="0"/>
        <v>1.000784279354116</v>
      </c>
      <c r="J35" s="678">
        <f t="shared" si="1"/>
        <v>3.9592098163773022E-2</v>
      </c>
      <c r="K35" s="678">
        <f t="shared" si="2"/>
        <v>1.0000000000549765</v>
      </c>
      <c r="L35" s="679">
        <f t="shared" si="3"/>
        <v>1.0485857150338482E-5</v>
      </c>
      <c r="M35" s="678">
        <f t="shared" si="4"/>
        <v>1.0000000008115855</v>
      </c>
      <c r="N35" s="679">
        <f t="shared" si="5"/>
        <v>-4.0288598852181153E-5</v>
      </c>
      <c r="O35" s="677">
        <f t="shared" si="6"/>
        <v>142.9924578768937</v>
      </c>
      <c r="P35" s="680">
        <f t="shared" si="7"/>
        <v>1.5638028939506416</v>
      </c>
      <c r="Q35" s="689">
        <f t="shared" si="8"/>
        <v>1.0001835459339858</v>
      </c>
      <c r="R35" s="690">
        <f t="shared" si="9"/>
        <v>1.9158176537663472E-2</v>
      </c>
      <c r="S35" s="677">
        <f t="shared" si="10"/>
        <v>1.0000000413016243</v>
      </c>
      <c r="T35" s="680">
        <f t="shared" si="11"/>
        <v>2.8740780399029615E-4</v>
      </c>
      <c r="U35" s="681">
        <f t="shared" si="24"/>
        <v>0.99959999531145272</v>
      </c>
      <c r="V35" s="682">
        <f t="shared" si="25"/>
        <v>-1.1923232101478826E-4</v>
      </c>
      <c r="W35" s="683">
        <f t="shared" si="12"/>
        <v>62.823315140969356</v>
      </c>
      <c r="X35" s="684">
        <f t="shared" si="13"/>
        <v>-90.795089719802604</v>
      </c>
      <c r="Y35" s="687">
        <f t="shared" si="14"/>
        <v>89.204910280197396</v>
      </c>
      <c r="AA35" s="170">
        <f t="shared" si="15"/>
        <v>1000000000</v>
      </c>
      <c r="AB35" s="170">
        <f t="shared" si="16"/>
        <v>57.544361639999998</v>
      </c>
      <c r="AD35" s="686">
        <f t="shared" si="17"/>
        <v>62.000781231769281</v>
      </c>
      <c r="AE35" s="687">
        <f t="shared" si="18"/>
        <v>-88.518090510255774</v>
      </c>
      <c r="AG35" s="686">
        <f t="shared" si="19"/>
        <v>54.332825885772458</v>
      </c>
      <c r="AH35" s="687">
        <f t="shared" si="20"/>
        <v>-2.2633361919798269</v>
      </c>
      <c r="AJ35" s="170">
        <f t="shared" si="21"/>
        <v>0</v>
      </c>
      <c r="AK35" s="170">
        <f t="shared" si="22"/>
        <v>0</v>
      </c>
      <c r="AM35" s="170" t="str">
        <f t="shared" si="26"/>
        <v>1.4506476020415E-08+0.000170331888609014i</v>
      </c>
      <c r="AN35" s="170" t="str">
        <f t="shared" si="27"/>
        <v>0.000170331889432652i</v>
      </c>
      <c r="AO35" s="170" t="str">
        <f t="shared" si="28"/>
        <v>0.999999995164511-0.0000851659431990905i</v>
      </c>
      <c r="AP35" s="170" t="str">
        <f t="shared" si="29"/>
        <v>0.166666664248921-0.0000283886481015023i</v>
      </c>
      <c r="AQ35" s="170" t="str">
        <f t="shared" si="30"/>
        <v>0.833333335751079+0.0000283886481015023i</v>
      </c>
      <c r="AR35" s="170" t="str">
        <f t="shared" si="31"/>
        <v>0.999599995939812-0.0000340527509336011i</v>
      </c>
    </row>
    <row r="36" spans="1:44">
      <c r="B36" s="633"/>
      <c r="D36" s="189"/>
      <c r="G36" s="688">
        <v>8.3176000000000005</v>
      </c>
      <c r="H36" s="676">
        <f t="shared" si="23"/>
        <v>8.3176000000000014E-3</v>
      </c>
      <c r="I36" s="677">
        <f t="shared" si="0"/>
        <v>1.0009428218864411</v>
      </c>
      <c r="J36" s="678">
        <f t="shared" si="1"/>
        <v>4.3406951540059496E-2</v>
      </c>
      <c r="K36" s="678">
        <f t="shared" si="2"/>
        <v>1.0000000000660954</v>
      </c>
      <c r="L36" s="679">
        <f t="shared" si="3"/>
        <v>1.1497424850774981E-5</v>
      </c>
      <c r="M36" s="678">
        <f t="shared" si="4"/>
        <v>1.0000000009757253</v>
      </c>
      <c r="N36" s="679">
        <f t="shared" si="5"/>
        <v>-4.4175228687314816E-5</v>
      </c>
      <c r="O36" s="677">
        <f t="shared" si="6"/>
        <v>156.78625524132968</v>
      </c>
      <c r="P36" s="680">
        <f t="shared" si="7"/>
        <v>1.5644181734380671</v>
      </c>
      <c r="Q36" s="689">
        <f t="shared" si="8"/>
        <v>1.000220663241904</v>
      </c>
      <c r="R36" s="690">
        <f t="shared" si="9"/>
        <v>2.1005840742728651E-2</v>
      </c>
      <c r="S36" s="677">
        <f t="shared" si="10"/>
        <v>1.0000000496547061</v>
      </c>
      <c r="T36" s="680">
        <f t="shared" si="11"/>
        <v>3.1513395253729594E-4</v>
      </c>
      <c r="U36" s="681">
        <f t="shared" si="24"/>
        <v>0.99959999436320668</v>
      </c>
      <c r="V36" s="682">
        <f t="shared" si="25"/>
        <v>-1.3073463233348199E-4</v>
      </c>
      <c r="W36" s="683">
        <f t="shared" si="12"/>
        <v>62.022364376843264</v>
      </c>
      <c r="X36" s="684">
        <f t="shared" si="13"/>
        <v>-90.945466628952957</v>
      </c>
      <c r="Y36" s="687">
        <f t="shared" si="14"/>
        <v>89.054533371047043</v>
      </c>
      <c r="AA36" s="170">
        <f t="shared" si="15"/>
        <v>1000000000</v>
      </c>
      <c r="AB36" s="170">
        <f t="shared" si="16"/>
        <v>69.182469760000004</v>
      </c>
      <c r="AD36" s="686">
        <f t="shared" si="17"/>
        <v>61.201206369147357</v>
      </c>
      <c r="AE36" s="687">
        <f t="shared" si="18"/>
        <v>-88.449068658413623</v>
      </c>
      <c r="AG36" s="686">
        <f t="shared" si="19"/>
        <v>54.331450000747594</v>
      </c>
      <c r="AH36" s="687">
        <f t="shared" si="20"/>
        <v>-2.4814168851844172</v>
      </c>
      <c r="AJ36" s="170">
        <f t="shared" si="21"/>
        <v>0</v>
      </c>
      <c r="AK36" s="170">
        <f t="shared" si="22"/>
        <v>0</v>
      </c>
      <c r="AM36" s="170" t="str">
        <f t="shared" si="26"/>
        <v>1.74403510522225E-08+0.000186763757983179i</v>
      </c>
      <c r="AN36" s="170" t="str">
        <f t="shared" si="27"/>
        <v>0.000186763759068921i</v>
      </c>
      <c r="AO36" s="170" t="str">
        <f t="shared" si="28"/>
        <v>0.999999994186549-0.0000933818806130719i</v>
      </c>
      <c r="AP36" s="170" t="str">
        <f t="shared" si="29"/>
        <v>0.166666663759941-0.0000311272929971965i</v>
      </c>
      <c r="AQ36" s="170" t="str">
        <f t="shared" si="30"/>
        <v>0.833333336240059+0.0000311272929971965i</v>
      </c>
      <c r="AR36" s="170" t="str">
        <f t="shared" si="31"/>
        <v>0.999599995118654-0.0000373378101834285i</v>
      </c>
    </row>
    <row r="37" spans="1:44">
      <c r="A37" s="189" t="s">
        <v>743</v>
      </c>
      <c r="B37" s="714">
        <f>'Design Converter'!E60*0.001</f>
        <v>4.0200000000000007E-2</v>
      </c>
      <c r="C37" s="706" t="s">
        <v>747</v>
      </c>
      <c r="D37" s="189">
        <f>B37*1000000</f>
        <v>40200.000000000007</v>
      </c>
      <c r="E37" s="706" t="s">
        <v>45</v>
      </c>
      <c r="G37" s="688">
        <v>9.1201000000000008</v>
      </c>
      <c r="H37" s="676">
        <f t="shared" si="23"/>
        <v>9.1201000000000008E-3</v>
      </c>
      <c r="I37" s="677">
        <f t="shared" si="0"/>
        <v>1.0011334214503966</v>
      </c>
      <c r="J37" s="678">
        <f t="shared" si="1"/>
        <v>4.7588905176826464E-2</v>
      </c>
      <c r="K37" s="678">
        <f t="shared" si="2"/>
        <v>1.0000000000794647</v>
      </c>
      <c r="L37" s="679">
        <f t="shared" si="3"/>
        <v>1.260672121532874E-5</v>
      </c>
      <c r="M37" s="678">
        <f t="shared" si="4"/>
        <v>1.0000000011730883</v>
      </c>
      <c r="N37" s="679">
        <f t="shared" si="5"/>
        <v>-4.8437350088748007E-5</v>
      </c>
      <c r="O37" s="677">
        <f t="shared" si="6"/>
        <v>171.91274324041493</v>
      </c>
      <c r="P37" s="680">
        <f t="shared" si="7"/>
        <v>1.5649793895473558</v>
      </c>
      <c r="Q37" s="689">
        <f t="shared" si="8"/>
        <v>1.0002652915659802</v>
      </c>
      <c r="R37" s="690">
        <f t="shared" si="9"/>
        <v>2.3031844458279563E-2</v>
      </c>
      <c r="S37" s="677">
        <f t="shared" si="10"/>
        <v>1.0000000596985181</v>
      </c>
      <c r="T37" s="680">
        <f t="shared" si="11"/>
        <v>3.455387541227149E-4</v>
      </c>
      <c r="U37" s="681">
        <f t="shared" si="24"/>
        <v>0.99959999322303683</v>
      </c>
      <c r="V37" s="682">
        <f t="shared" si="25"/>
        <v>-1.4334818993388712E-4</v>
      </c>
      <c r="W37" s="683">
        <f t="shared" si="12"/>
        <v>61.221096351186674</v>
      </c>
      <c r="X37" s="684">
        <f t="shared" si="13"/>
        <v>-91.103794188909205</v>
      </c>
      <c r="Y37" s="687">
        <f t="shared" si="14"/>
        <v>88.896205811090795</v>
      </c>
      <c r="AA37" s="170">
        <f t="shared" si="15"/>
        <v>1000000000</v>
      </c>
      <c r="AB37" s="170">
        <f t="shared" si="16"/>
        <v>83.176224010000013</v>
      </c>
      <c r="AD37" s="686">
        <f t="shared" si="17"/>
        <v>60.401592161494392</v>
      </c>
      <c r="AE37" s="687">
        <f t="shared" si="18"/>
        <v>-88.3668845774056</v>
      </c>
      <c r="AG37" s="686">
        <f t="shared" si="19"/>
        <v>54.329796202558683</v>
      </c>
      <c r="AH37" s="687">
        <f t="shared" si="20"/>
        <v>-2.7204831189167309</v>
      </c>
      <c r="AJ37" s="170">
        <f t="shared" si="21"/>
        <v>0</v>
      </c>
      <c r="AK37" s="170">
        <f t="shared" si="22"/>
        <v>0</v>
      </c>
      <c r="AM37" s="170" t="str">
        <f t="shared" si="26"/>
        <v>2.09680649509991E-08+0.000204783128207592i</v>
      </c>
      <c r="AN37" s="170" t="str">
        <f t="shared" si="27"/>
        <v>0.000204783129638894i</v>
      </c>
      <c r="AO37" s="170" t="str">
        <f t="shared" si="28"/>
        <v>0.999999993010645-0.0001023915641292i</v>
      </c>
      <c r="AP37" s="170" t="str">
        <f t="shared" si="29"/>
        <v>0.166666663171989-0.000034130521367932i</v>
      </c>
      <c r="AQ37" s="170" t="str">
        <f t="shared" si="30"/>
        <v>0.833333336828011+0.000034130521367932i</v>
      </c>
      <c r="AR37" s="170" t="str">
        <f t="shared" si="31"/>
        <v>0.99959999413129-0.0000409402425792117i</v>
      </c>
    </row>
    <row r="38" spans="1:44">
      <c r="A38" s="189" t="s">
        <v>744</v>
      </c>
      <c r="B38" s="714">
        <f>'Design Converter'!E62*1000</f>
        <v>10000</v>
      </c>
      <c r="C38" s="170" t="s">
        <v>15</v>
      </c>
      <c r="D38" s="189">
        <f>B38*0.000000000001</f>
        <v>1E-8</v>
      </c>
      <c r="E38" s="170" t="s">
        <v>13</v>
      </c>
      <c r="G38" s="688">
        <v>10</v>
      </c>
      <c r="H38" s="676">
        <f t="shared" si="23"/>
        <v>0.01</v>
      </c>
      <c r="I38" s="677">
        <f t="shared" si="0"/>
        <v>1.0013625188211386</v>
      </c>
      <c r="J38" s="678">
        <f t="shared" si="1"/>
        <v>5.2172283250500953E-2</v>
      </c>
      <c r="K38" s="678">
        <f t="shared" si="2"/>
        <v>1.0000000000955378</v>
      </c>
      <c r="L38" s="679">
        <f t="shared" si="3"/>
        <v>1.3823007659119586E-5</v>
      </c>
      <c r="M38" s="678">
        <f t="shared" si="4"/>
        <v>1.0000000014103652</v>
      </c>
      <c r="N38" s="679">
        <f t="shared" si="5"/>
        <v>-5.3110547122384586E-5</v>
      </c>
      <c r="O38" s="677">
        <f t="shared" si="6"/>
        <v>188.49821156372408</v>
      </c>
      <c r="P38" s="680">
        <f t="shared" si="7"/>
        <v>1.5654912117891508</v>
      </c>
      <c r="Q38" s="689">
        <f t="shared" si="8"/>
        <v>1.0003189426469916</v>
      </c>
      <c r="R38" s="690">
        <f t="shared" si="9"/>
        <v>2.5253035449757748E-2</v>
      </c>
      <c r="S38" s="677">
        <f t="shared" si="10"/>
        <v>1.0000000717735369</v>
      </c>
      <c r="T38" s="680">
        <f t="shared" si="11"/>
        <v>3.7887605546115042E-4</v>
      </c>
      <c r="U38" s="681">
        <f t="shared" si="24"/>
        <v>0.99959999185228332</v>
      </c>
      <c r="V38" s="682">
        <f t="shared" si="25"/>
        <v>-1.5717830841595307E-4</v>
      </c>
      <c r="W38" s="683">
        <f t="shared" si="12"/>
        <v>60.419591402237494</v>
      </c>
      <c r="X38" s="684">
        <f t="shared" si="13"/>
        <v>-91.271363354119813</v>
      </c>
      <c r="Y38" s="687">
        <f t="shared" si="14"/>
        <v>88.728636645880187</v>
      </c>
      <c r="AA38" s="170">
        <f t="shared" si="15"/>
        <v>1000000000</v>
      </c>
      <c r="AB38" s="170">
        <f t="shared" si="16"/>
        <v>100</v>
      </c>
      <c r="AD38" s="686">
        <f t="shared" si="17"/>
        <v>59.602074656484369</v>
      </c>
      <c r="AE38" s="687">
        <f t="shared" si="18"/>
        <v>-88.270855048974511</v>
      </c>
      <c r="AG38" s="686">
        <f t="shared" si="19"/>
        <v>54.32780878244148</v>
      </c>
      <c r="AH38" s="687">
        <f t="shared" si="20"/>
        <v>-2.982496997718239</v>
      </c>
      <c r="AJ38" s="170">
        <f t="shared" si="21"/>
        <v>0</v>
      </c>
      <c r="AK38" s="170">
        <f t="shared" si="22"/>
        <v>0</v>
      </c>
      <c r="AM38" s="170" t="str">
        <f t="shared" si="26"/>
        <v>2.52092049457531E-08+0.000224540441352713i</v>
      </c>
      <c r="AN38" s="170" t="str">
        <f t="shared" si="27"/>
        <v>0.000224540443239542i</v>
      </c>
      <c r="AO38" s="170" t="str">
        <f t="shared" si="28"/>
        <v>0.99999999159693-0.000112270219930312i</v>
      </c>
      <c r="AP38" s="170" t="str">
        <f t="shared" si="29"/>
        <v>0.166666662465133-0.0000374234068921188i</v>
      </c>
      <c r="AQ38" s="170" t="str">
        <f t="shared" si="30"/>
        <v>0.833333337534867+0.0000374234068921188i</v>
      </c>
      <c r="AR38" s="170" t="str">
        <f t="shared" si="31"/>
        <v>0.999599992944247-0.0000448901244920451i</v>
      </c>
    </row>
    <row r="39" spans="1:44">
      <c r="A39" s="189" t="s">
        <v>750</v>
      </c>
      <c r="B39" s="714">
        <f>'Design Converter'!E64</f>
        <v>150</v>
      </c>
      <c r="C39" s="170" t="s">
        <v>15</v>
      </c>
      <c r="D39" s="189">
        <f>B39*0.000000000001</f>
        <v>1.5E-10</v>
      </c>
      <c r="E39" s="170" t="s">
        <v>13</v>
      </c>
      <c r="G39" s="688">
        <v>10.965</v>
      </c>
      <c r="H39" s="676">
        <f t="shared" si="23"/>
        <v>1.0964999999999999E-2</v>
      </c>
      <c r="I39" s="677">
        <f t="shared" si="0"/>
        <v>1.0016379476540715</v>
      </c>
      <c r="J39" s="678">
        <f t="shared" si="1"/>
        <v>5.7196416800954636E-2</v>
      </c>
      <c r="K39" s="678">
        <f t="shared" si="2"/>
        <v>1.0000000001148663</v>
      </c>
      <c r="L39" s="679">
        <f t="shared" si="3"/>
        <v>1.5156927898029319E-5</v>
      </c>
      <c r="M39" s="678">
        <f t="shared" si="4"/>
        <v>1.0000000016956991</v>
      </c>
      <c r="N39" s="679">
        <f t="shared" si="5"/>
        <v>-5.8235714908616939E-5</v>
      </c>
      <c r="O39" s="677">
        <f t="shared" si="6"/>
        <v>206.68779956512753</v>
      </c>
      <c r="P39" s="680">
        <f t="shared" si="7"/>
        <v>1.5659580929778429</v>
      </c>
      <c r="Q39" s="689">
        <f t="shared" si="8"/>
        <v>1.0003834562844178</v>
      </c>
      <c r="R39" s="690">
        <f t="shared" si="9"/>
        <v>2.7688762783145065E-2</v>
      </c>
      <c r="S39" s="677">
        <f t="shared" si="10"/>
        <v>1.0000000862942022</v>
      </c>
      <c r="T39" s="680">
        <f t="shared" si="11"/>
        <v>4.1543759079153153E-4</v>
      </c>
      <c r="U39" s="681">
        <f t="shared" si="24"/>
        <v>0.99959999020390178</v>
      </c>
      <c r="V39" s="682">
        <f t="shared" si="25"/>
        <v>-1.7234601563736438E-4</v>
      </c>
      <c r="W39" s="683">
        <f t="shared" si="12"/>
        <v>59.617610512237249</v>
      </c>
      <c r="X39" s="684">
        <f t="shared" si="13"/>
        <v>-91.449599517632095</v>
      </c>
      <c r="Y39" s="687">
        <f t="shared" si="14"/>
        <v>88.550400482367905</v>
      </c>
      <c r="AA39" s="170">
        <f t="shared" si="15"/>
        <v>1000000000</v>
      </c>
      <c r="AB39" s="170">
        <f t="shared" si="16"/>
        <v>120.23122499999999</v>
      </c>
      <c r="AD39" s="686">
        <f t="shared" si="17"/>
        <v>58.802482538924032</v>
      </c>
      <c r="AE39" s="687">
        <f t="shared" si="18"/>
        <v>-88.160143295913315</v>
      </c>
      <c r="AG39" s="686">
        <f t="shared" si="19"/>
        <v>54.325420038648353</v>
      </c>
      <c r="AH39" s="687">
        <f t="shared" si="20"/>
        <v>-3.2697068230723718</v>
      </c>
      <c r="AJ39" s="170">
        <f t="shared" si="21"/>
        <v>0</v>
      </c>
      <c r="AK39" s="170">
        <f t="shared" si="22"/>
        <v>0</v>
      </c>
      <c r="AM39" s="170" t="str">
        <f t="shared" si="26"/>
        <v>3.0309336040979E-08+0.000246208593524684i</v>
      </c>
      <c r="AN39" s="170" t="str">
        <f t="shared" si="27"/>
        <v>0.000246208596012157i</v>
      </c>
      <c r="AO39" s="170" t="str">
        <f t="shared" si="28"/>
        <v>0.999999989896888-0.000123104296648856i</v>
      </c>
      <c r="AP39" s="170" t="str">
        <f t="shared" si="29"/>
        <v>0.166666661615111-0.0000410347655874473i</v>
      </c>
      <c r="AQ39" s="170" t="str">
        <f t="shared" si="30"/>
        <v>0.833333338384889+0.0000410347655874473i</v>
      </c>
      <c r="AR39" s="170" t="str">
        <f t="shared" si="31"/>
        <v>0.999599991516781-0.0000492220213013492i</v>
      </c>
    </row>
    <row r="40" spans="1:44">
      <c r="B40" s="633"/>
      <c r="D40" s="189"/>
      <c r="G40" s="688">
        <v>12.023</v>
      </c>
      <c r="H40" s="676">
        <f t="shared" si="23"/>
        <v>1.2022999999999999E-2</v>
      </c>
      <c r="I40" s="677">
        <f t="shared" si="0"/>
        <v>1.0019689587928533</v>
      </c>
      <c r="J40" s="678">
        <f t="shared" si="1"/>
        <v>6.2701412201841583E-2</v>
      </c>
      <c r="K40" s="678">
        <f t="shared" si="2"/>
        <v>1.0000000001381024</v>
      </c>
      <c r="L40" s="679">
        <f t="shared" si="3"/>
        <v>1.661940210808788E-5</v>
      </c>
      <c r="M40" s="678">
        <f t="shared" si="4"/>
        <v>1.0000000020387183</v>
      </c>
      <c r="N40" s="679">
        <f t="shared" si="5"/>
        <v>-6.3854810778494068E-5</v>
      </c>
      <c r="O40" s="677">
        <f t="shared" si="6"/>
        <v>226.63041683162564</v>
      </c>
      <c r="P40" s="680">
        <f t="shared" si="7"/>
        <v>1.5663838421028977</v>
      </c>
      <c r="Q40" s="689">
        <f t="shared" si="8"/>
        <v>1.0004610069212005</v>
      </c>
      <c r="R40" s="690">
        <f t="shared" si="9"/>
        <v>3.0358849935186633E-2</v>
      </c>
      <c r="S40" s="677">
        <f t="shared" si="10"/>
        <v>1.0000001037504611</v>
      </c>
      <c r="T40" s="680">
        <f t="shared" si="11"/>
        <v>4.5552267177013229E-4</v>
      </c>
      <c r="U40" s="681">
        <f t="shared" si="24"/>
        <v>0.99959998822227392</v>
      </c>
      <c r="V40" s="682">
        <f t="shared" si="25"/>
        <v>-1.8897548285104563E-4</v>
      </c>
      <c r="W40" s="683">
        <f t="shared" si="12"/>
        <v>58.815346590989137</v>
      </c>
      <c r="X40" s="684">
        <f t="shared" si="13"/>
        <v>-91.639909084938807</v>
      </c>
      <c r="Y40" s="687">
        <f t="shared" si="14"/>
        <v>88.360090915061193</v>
      </c>
      <c r="AA40" s="170">
        <f t="shared" si="15"/>
        <v>1000000000</v>
      </c>
      <c r="AB40" s="170">
        <f t="shared" si="16"/>
        <v>144.55252899999999</v>
      </c>
      <c r="AD40" s="686">
        <f t="shared" si="17"/>
        <v>58.003088582139</v>
      </c>
      <c r="AE40" s="687">
        <f t="shared" si="18"/>
        <v>-88.033848904983472</v>
      </c>
      <c r="AG40" s="686">
        <f t="shared" si="19"/>
        <v>54.322550108623453</v>
      </c>
      <c r="AH40" s="687">
        <f t="shared" si="20"/>
        <v>-3.584405184732963</v>
      </c>
      <c r="AJ40" s="170">
        <f t="shared" si="21"/>
        <v>0</v>
      </c>
      <c r="AK40" s="170">
        <f t="shared" si="22"/>
        <v>0</v>
      </c>
      <c r="AM40" s="170" t="str">
        <f t="shared" si="26"/>
        <v>3.6440544026739E-08+0.000269964971627678i</v>
      </c>
      <c r="AN40" s="170" t="str">
        <f t="shared" si="27"/>
        <v>0.000269964974906901i</v>
      </c>
      <c r="AO40" s="170" t="str">
        <f t="shared" si="28"/>
        <v>0.999999987853154-0.000134982488151679i</v>
      </c>
      <c r="AP40" s="170" t="str">
        <f t="shared" si="29"/>
        <v>0.166666660593243-0.0000449941619379463i</v>
      </c>
      <c r="AQ40" s="170" t="str">
        <f t="shared" si="30"/>
        <v>0.833333339406757+0.0000449941619379463i</v>
      </c>
      <c r="AR40" s="170" t="str">
        <f t="shared" si="31"/>
        <v>0.99959998980073-0.0000539713961837668i</v>
      </c>
    </row>
    <row r="41" spans="1:44" ht="13">
      <c r="A41" s="333" t="str">
        <f>V3</f>
        <v>Adc</v>
      </c>
      <c r="B41" s="170">
        <f>Adc</f>
        <v>198113.20754716982</v>
      </c>
      <c r="C41" s="170" t="str">
        <f>X3</f>
        <v>V/V</v>
      </c>
      <c r="D41" s="172">
        <f>10*LOG10(B41)</f>
        <v>52.969134294691493</v>
      </c>
      <c r="E41" s="170" t="s">
        <v>781</v>
      </c>
      <c r="G41" s="688">
        <v>13.183</v>
      </c>
      <c r="H41" s="676">
        <f t="shared" si="23"/>
        <v>1.3183E-2</v>
      </c>
      <c r="I41" s="677">
        <f t="shared" si="0"/>
        <v>1.0023667541671171</v>
      </c>
      <c r="J41" s="678">
        <f t="shared" si="1"/>
        <v>6.8732752563858371E-2</v>
      </c>
      <c r="K41" s="678">
        <f t="shared" si="2"/>
        <v>1.0000000001660365</v>
      </c>
      <c r="L41" s="679">
        <f t="shared" si="3"/>
        <v>1.822287099616089E-5</v>
      </c>
      <c r="M41" s="678">
        <f t="shared" si="4"/>
        <v>1.0000000024510944</v>
      </c>
      <c r="N41" s="679">
        <f t="shared" si="5"/>
        <v>-7.0015634222861376E-5</v>
      </c>
      <c r="O41" s="677">
        <f t="shared" si="6"/>
        <v>248.49570754503691</v>
      </c>
      <c r="P41" s="680">
        <f t="shared" si="7"/>
        <v>1.5667721015519367</v>
      </c>
      <c r="Q41" s="689">
        <f t="shared" si="8"/>
        <v>1.0005542299840104</v>
      </c>
      <c r="R41" s="690">
        <f t="shared" si="9"/>
        <v>3.3285856734796546E-2</v>
      </c>
      <c r="S41" s="677">
        <f t="shared" si="10"/>
        <v>1.0000001247362953</v>
      </c>
      <c r="T41" s="680">
        <f t="shared" si="11"/>
        <v>4.9947228627881559E-4</v>
      </c>
      <c r="U41" s="681">
        <f t="shared" si="24"/>
        <v>0.99959998583996534</v>
      </c>
      <c r="V41" s="682">
        <f t="shared" si="25"/>
        <v>-2.072081651130917E-4</v>
      </c>
      <c r="W41" s="683">
        <f t="shared" si="12"/>
        <v>58.012694100242172</v>
      </c>
      <c r="X41" s="684">
        <f t="shared" si="13"/>
        <v>-91.843843824631762</v>
      </c>
      <c r="Y41" s="687">
        <f t="shared" si="14"/>
        <v>88.156156175368238</v>
      </c>
      <c r="AA41" s="170">
        <f t="shared" si="15"/>
        <v>1000000000</v>
      </c>
      <c r="AB41" s="170">
        <f t="shared" si="16"/>
        <v>173.79148899999998</v>
      </c>
      <c r="AD41" s="686">
        <f t="shared" si="17"/>
        <v>57.203883840843645</v>
      </c>
      <c r="AE41" s="687">
        <f t="shared" si="18"/>
        <v>-87.89090752380497</v>
      </c>
      <c r="AG41" s="686">
        <f t="shared" si="19"/>
        <v>54.319102400573342</v>
      </c>
      <c r="AH41" s="687">
        <f t="shared" si="20"/>
        <v>-3.9291919941164095</v>
      </c>
      <c r="AJ41" s="170">
        <f t="shared" si="21"/>
        <v>0</v>
      </c>
      <c r="AK41" s="170">
        <f t="shared" si="22"/>
        <v>0</v>
      </c>
      <c r="AM41" s="170" t="str">
        <f t="shared" si="26"/>
        <v>4.38114530210143E-08+0.000296011661999788i</v>
      </c>
      <c r="AN41" s="170" t="str">
        <f t="shared" si="27"/>
        <v>0.000296011666322688i</v>
      </c>
      <c r="AO41" s="170" t="str">
        <f t="shared" si="28"/>
        <v>0.999999985396184-0.000148005832220324i</v>
      </c>
      <c r="AP41" s="170" t="str">
        <f t="shared" si="29"/>
        <v>0.166666659364758-0.0000493352769999647i</v>
      </c>
      <c r="AQ41" s="170" t="str">
        <f t="shared" si="30"/>
        <v>0.833333340635242+0.0000493352769999647i</v>
      </c>
      <c r="AR41" s="170" t="str">
        <f t="shared" si="31"/>
        <v>0.999599987737701-0.0000591786502225004i</v>
      </c>
    </row>
    <row r="42" spans="1:44" ht="13">
      <c r="A42" s="333" t="str">
        <f>V4</f>
        <v>Crossover</v>
      </c>
      <c r="B42" s="332">
        <f>W4</f>
        <v>4.7862999999999998</v>
      </c>
      <c r="C42" s="170" t="str">
        <f>X4</f>
        <v>kHz</v>
      </c>
      <c r="G42" s="688">
        <v>14.454000000000001</v>
      </c>
      <c r="H42" s="676">
        <f t="shared" si="23"/>
        <v>1.4454E-2</v>
      </c>
      <c r="I42" s="677">
        <f t="shared" si="0"/>
        <v>1.0028444424628622</v>
      </c>
      <c r="J42" s="678">
        <f t="shared" si="1"/>
        <v>7.5335468545558587E-2</v>
      </c>
      <c r="K42" s="678">
        <f t="shared" si="2"/>
        <v>1.0000000001995957</v>
      </c>
      <c r="L42" s="679">
        <f t="shared" si="3"/>
        <v>1.9979775269105413E-5</v>
      </c>
      <c r="M42" s="678">
        <f t="shared" si="4"/>
        <v>1.0000000029465081</v>
      </c>
      <c r="N42" s="679">
        <f t="shared" si="5"/>
        <v>-7.6765984732079002E-5</v>
      </c>
      <c r="O42" s="677">
        <f t="shared" si="6"/>
        <v>272.45331616156273</v>
      </c>
      <c r="P42" s="680">
        <f t="shared" si="7"/>
        <v>1.567125964989978</v>
      </c>
      <c r="Q42" s="689">
        <f t="shared" si="8"/>
        <v>1.0006662133094912</v>
      </c>
      <c r="R42" s="690">
        <f t="shared" si="9"/>
        <v>3.6492291044219145E-2</v>
      </c>
      <c r="S42" s="677">
        <f t="shared" si="10"/>
        <v>1.0000001499479154</v>
      </c>
      <c r="T42" s="680">
        <f t="shared" si="11"/>
        <v>5.4762742202325951E-4</v>
      </c>
      <c r="U42" s="681">
        <f t="shared" si="24"/>
        <v>0.99959998297794761</v>
      </c>
      <c r="V42" s="682">
        <f t="shared" si="25"/>
        <v>-2.2718552655026303E-4</v>
      </c>
      <c r="W42" s="683">
        <f t="shared" si="12"/>
        <v>57.210063436718279</v>
      </c>
      <c r="X42" s="684">
        <f t="shared" si="13"/>
        <v>-92.062901120195733</v>
      </c>
      <c r="Y42" s="687">
        <f t="shared" si="14"/>
        <v>87.937098879804267</v>
      </c>
      <c r="AA42" s="170">
        <f t="shared" si="15"/>
        <v>1000000000</v>
      </c>
      <c r="AB42" s="170">
        <f t="shared" si="16"/>
        <v>208.91811600000003</v>
      </c>
      <c r="AD42" s="686">
        <f t="shared" si="17"/>
        <v>56.405391562574181</v>
      </c>
      <c r="AE42" s="687">
        <f t="shared" si="18"/>
        <v>-87.730226337969299</v>
      </c>
      <c r="AG42" s="686">
        <f t="shared" si="19"/>
        <v>54.314964065057154</v>
      </c>
      <c r="AH42" s="687">
        <f t="shared" si="20"/>
        <v>-4.3066412385211148</v>
      </c>
      <c r="AJ42" s="170">
        <f t="shared" si="21"/>
        <v>0</v>
      </c>
      <c r="AK42" s="170">
        <f t="shared" si="22"/>
        <v>0</v>
      </c>
      <c r="AM42" s="170" t="str">
        <f t="shared" si="26"/>
        <v>5.26665959732497E-08+0.000324550750960773i</v>
      </c>
      <c r="AN42" s="170" t="str">
        <f t="shared" si="27"/>
        <v>0.000324550756658434i</v>
      </c>
      <c r="AO42" s="170" t="str">
        <f t="shared" si="28"/>
        <v>0.999999982444469-0.000162275375708575i</v>
      </c>
      <c r="AP42" s="170" t="str">
        <f t="shared" si="29"/>
        <v>0.166666657888901-0.0000540917918267955i</v>
      </c>
      <c r="AQ42" s="170" t="str">
        <f t="shared" si="30"/>
        <v>0.833333342111099+0.0000540917918267955i</v>
      </c>
      <c r="AR42" s="170" t="str">
        <f t="shared" si="31"/>
        <v>0.999599985259253-0.0000648841844918078i</v>
      </c>
    </row>
    <row r="43" spans="1:44" ht="13">
      <c r="A43" s="333" t="str">
        <f>V5</f>
        <v>Phase Margin</v>
      </c>
      <c r="B43" s="531">
        <f>W5</f>
        <v>71.901340834673789</v>
      </c>
      <c r="C43" s="170" t="str">
        <f>X5</f>
        <v>°</v>
      </c>
      <c r="G43" s="688">
        <v>15.849</v>
      </c>
      <c r="H43" s="676">
        <f t="shared" si="23"/>
        <v>1.5848999999999999E-2</v>
      </c>
      <c r="I43" s="677">
        <f t="shared" si="0"/>
        <v>1.0034190087554387</v>
      </c>
      <c r="J43" s="678">
        <f t="shared" si="1"/>
        <v>8.2574762988410738E-2</v>
      </c>
      <c r="K43" s="678">
        <f t="shared" si="2"/>
        <v>1.0000000002399823</v>
      </c>
      <c r="L43" s="679">
        <f t="shared" si="3"/>
        <v>2.1908084836828966E-5</v>
      </c>
      <c r="M43" s="678">
        <f t="shared" si="4"/>
        <v>1.0000000035427075</v>
      </c>
      <c r="N43" s="679">
        <f t="shared" si="5"/>
        <v>-8.4174906014607533E-5</v>
      </c>
      <c r="O43" s="677">
        <f t="shared" si="6"/>
        <v>298.74828511356259</v>
      </c>
      <c r="P43" s="680">
        <f t="shared" si="7"/>
        <v>1.5674490209951941</v>
      </c>
      <c r="Q43" s="689">
        <f t="shared" si="8"/>
        <v>1.0008009615811644</v>
      </c>
      <c r="R43" s="690">
        <f t="shared" si="9"/>
        <v>4.0010681826261753E-2</v>
      </c>
      <c r="S43" s="677">
        <f t="shared" si="10"/>
        <v>1.0000001802885128</v>
      </c>
      <c r="T43" s="680">
        <f t="shared" si="11"/>
        <v>6.0048061685962005E-4</v>
      </c>
      <c r="U43" s="681">
        <f t="shared" si="24"/>
        <v>0.99959997953368762</v>
      </c>
      <c r="V43" s="682">
        <f t="shared" si="25"/>
        <v>-2.4911190113870288E-4</v>
      </c>
      <c r="W43" s="683">
        <f>20*LOG10(((K43*Q43*M43*U43)/(I43*O43*S43))*Adc)</f>
        <v>56.405991205785625</v>
      </c>
      <c r="X43" s="684">
        <f t="shared" si="13"/>
        <v>-92.299201511492413</v>
      </c>
      <c r="Y43" s="687">
        <f t="shared" si="14"/>
        <v>87.700798488507587</v>
      </c>
      <c r="AA43" s="170">
        <f t="shared" si="15"/>
        <v>1000000000</v>
      </c>
      <c r="AB43" s="170">
        <f t="shared" si="16"/>
        <v>251.19080099999999</v>
      </c>
      <c r="AD43" s="686">
        <f t="shared" si="17"/>
        <v>55.606294395126838</v>
      </c>
      <c r="AE43" s="687">
        <f t="shared" si="18"/>
        <v>-87.550175405917926</v>
      </c>
      <c r="AG43" s="686">
        <f t="shared" si="19"/>
        <v>54.309989061428709</v>
      </c>
      <c r="AH43" s="687">
        <f t="shared" si="20"/>
        <v>-4.720479984418402</v>
      </c>
      <c r="AJ43" s="170">
        <f t="shared" si="21"/>
        <v>0</v>
      </c>
      <c r="AK43" s="170">
        <f t="shared" si="22"/>
        <v>0</v>
      </c>
      <c r="AM43" s="170" t="str">
        <f t="shared" si="26"/>
        <v>6.33232040136988E-08+0.000355874140978653i</v>
      </c>
      <c r="AN43" s="170" t="str">
        <f t="shared" si="27"/>
        <v>0.00035587414849035i</v>
      </c>
      <c r="AO43" s="170" t="str">
        <f t="shared" si="28"/>
        <v>0.999999978892266-0.000177937072086639i</v>
      </c>
      <c r="AP43" s="170" t="str">
        <f t="shared" si="29"/>
        <v>0.166666656112799-0.0000593123568297755i</v>
      </c>
      <c r="AQ43" s="170" t="str">
        <f t="shared" si="30"/>
        <v>0.833333343887201+0.0000593123568297755i</v>
      </c>
      <c r="AR43" s="170" t="str">
        <f t="shared" si="31"/>
        <v>0.999599982276595-0.0000711463561019489i</v>
      </c>
    </row>
    <row r="44" spans="1:44">
      <c r="G44" s="688">
        <v>17.378</v>
      </c>
      <c r="H44" s="676">
        <f t="shared" si="23"/>
        <v>1.7378000000000001E-2</v>
      </c>
      <c r="I44" s="677">
        <f t="shared" si="0"/>
        <v>1.0041090979936091</v>
      </c>
      <c r="J44" s="678">
        <f t="shared" si="1"/>
        <v>9.0499465007348276E-2</v>
      </c>
      <c r="K44" s="678">
        <f t="shared" si="2"/>
        <v>1.0000000002885192</v>
      </c>
      <c r="L44" s="679">
        <f t="shared" si="3"/>
        <v>2.4021622706927532E-5</v>
      </c>
      <c r="M44" s="678">
        <f t="shared" si="4"/>
        <v>1.0000000042592305</v>
      </c>
      <c r="N44" s="679">
        <f t="shared" si="5"/>
        <v>-9.2295508613988284E-5</v>
      </c>
      <c r="O44" s="677">
        <f t="shared" si="6"/>
        <v>327.56910882921471</v>
      </c>
      <c r="P44" s="680">
        <f t="shared" si="7"/>
        <v>1.5677435311364902</v>
      </c>
      <c r="Q44" s="689">
        <f t="shared" si="8"/>
        <v>1.0009628805086321</v>
      </c>
      <c r="R44" s="690">
        <f t="shared" si="9"/>
        <v>4.3865898536294336E-2</v>
      </c>
      <c r="S44" s="677">
        <f t="shared" si="10"/>
        <v>1.000000216752394</v>
      </c>
      <c r="T44" s="680">
        <f t="shared" si="11"/>
        <v>6.584107455432992E-4</v>
      </c>
      <c r="U44" s="681">
        <f t="shared" si="24"/>
        <v>0.99959997539431411</v>
      </c>
      <c r="V44" s="682">
        <f t="shared" si="25"/>
        <v>-2.7314446321841118E-4</v>
      </c>
      <c r="W44" s="683">
        <f t="shared" si="12"/>
        <v>55.601474104924087</v>
      </c>
      <c r="X44" s="684">
        <f t="shared" si="13"/>
        <v>-92.554280328609224</v>
      </c>
      <c r="Y44" s="687">
        <f t="shared" si="14"/>
        <v>87.445719671390776</v>
      </c>
      <c r="AA44" s="170">
        <f t="shared" si="15"/>
        <v>1000000000</v>
      </c>
      <c r="AB44" s="170">
        <f t="shared" si="16"/>
        <v>301.99488400000001</v>
      </c>
      <c r="AD44" s="686">
        <f t="shared" si="17"/>
        <v>54.807748885510065</v>
      </c>
      <c r="AE44" s="687">
        <f t="shared" si="18"/>
        <v>-87.349481099095726</v>
      </c>
      <c r="AG44" s="686">
        <f t="shared" si="19"/>
        <v>54.304017542121002</v>
      </c>
      <c r="AH44" s="687">
        <f t="shared" si="20"/>
        <v>-5.1734991795981715</v>
      </c>
      <c r="AJ44" s="170">
        <f t="shared" si="21"/>
        <v>0</v>
      </c>
      <c r="AK44" s="170">
        <f t="shared" si="22"/>
        <v>0</v>
      </c>
      <c r="AM44" s="170" t="str">
        <f t="shared" si="26"/>
        <v>7.613050900801E-08+0.000390206372359472i</v>
      </c>
      <c r="AN44" s="170" t="str">
        <f t="shared" si="27"/>
        <v>0.000390206382261676i</v>
      </c>
      <c r="AO44" s="170" t="str">
        <f t="shared" si="28"/>
        <v>0.999999974623162-0.000195103187617665i</v>
      </c>
      <c r="AP44" s="170" t="str">
        <f t="shared" si="29"/>
        <v>0.166666653978249-0.0000650343953932453i</v>
      </c>
      <c r="AQ44" s="170" t="str">
        <f t="shared" si="30"/>
        <v>0.833333346021751+0.0000650343953932453i</v>
      </c>
      <c r="AR44" s="170" t="str">
        <f t="shared" si="31"/>
        <v>0.999599978691985-0.000078010055111412i</v>
      </c>
    </row>
    <row r="45" spans="1:44">
      <c r="G45" s="688">
        <v>19.055</v>
      </c>
      <c r="H45" s="676">
        <f t="shared" si="23"/>
        <v>1.9054999999999999E-2</v>
      </c>
      <c r="I45" s="677">
        <f t="shared" si="0"/>
        <v>1.0049383873032043</v>
      </c>
      <c r="J45" s="678">
        <f t="shared" si="1"/>
        <v>9.9178117769964699E-2</v>
      </c>
      <c r="K45" s="678">
        <f t="shared" si="2"/>
        <v>1.000000000346891</v>
      </c>
      <c r="L45" s="679">
        <f t="shared" si="3"/>
        <v>2.633974109003865E-5</v>
      </c>
      <c r="M45" s="678">
        <f t="shared" si="4"/>
        <v>1.0000000051209372</v>
      </c>
      <c r="N45" s="679">
        <f t="shared" si="5"/>
        <v>-1.0120214729135858E-4</v>
      </c>
      <c r="O45" s="677">
        <f t="shared" si="6"/>
        <v>359.1796797381304</v>
      </c>
      <c r="P45" s="680">
        <f t="shared" si="7"/>
        <v>1.5680122013326137</v>
      </c>
      <c r="Q45" s="689">
        <f t="shared" si="8"/>
        <v>1.0011575731942497</v>
      </c>
      <c r="R45" s="690">
        <f t="shared" si="9"/>
        <v>4.8092778038728121E-2</v>
      </c>
      <c r="S45" s="677">
        <f t="shared" si="10"/>
        <v>1.0000002606046821</v>
      </c>
      <c r="T45" s="680">
        <f t="shared" si="11"/>
        <v>7.2194823279701976E-4</v>
      </c>
      <c r="U45" s="681">
        <f t="shared" si="24"/>
        <v>0.99959997041621107</v>
      </c>
      <c r="V45" s="682">
        <f t="shared" si="25"/>
        <v>-2.9950326619620967E-4</v>
      </c>
      <c r="W45" s="683">
        <f t="shared" si="12"/>
        <v>54.79581590561839</v>
      </c>
      <c r="X45" s="684">
        <f t="shared" si="13"/>
        <v>-92.830269988831304</v>
      </c>
      <c r="Y45" s="687">
        <f t="shared" si="14"/>
        <v>87.169730011168696</v>
      </c>
      <c r="AA45" s="170">
        <f t="shared" si="15"/>
        <v>1000000000</v>
      </c>
      <c r="AB45" s="170">
        <f t="shared" si="16"/>
        <v>363.09302500000001</v>
      </c>
      <c r="AD45" s="686">
        <f t="shared" si="17"/>
        <v>54.009261398999733</v>
      </c>
      <c r="AE45" s="687">
        <f t="shared" si="18"/>
        <v>-87.126332841020243</v>
      </c>
      <c r="AG45" s="686">
        <f t="shared" si="19"/>
        <v>54.296846915838742</v>
      </c>
      <c r="AH45" s="687">
        <f t="shared" si="20"/>
        <v>-5.6696166015649938</v>
      </c>
      <c r="AJ45" s="170">
        <f t="shared" si="21"/>
        <v>0</v>
      </c>
      <c r="AK45" s="170">
        <f t="shared" ref="AK45:AK53" si="32">IF(AJ45&gt;0,Y43,0)</f>
        <v>0</v>
      </c>
      <c r="AM45" s="170" t="str">
        <f t="shared" si="26"/>
        <v>9.15328649542246E-08+0.000427861801538474i</v>
      </c>
      <c r="AN45" s="170" t="str">
        <f t="shared" si="27"/>
        <v>0.000427861814592947i</v>
      </c>
      <c r="AO45" s="170" t="str">
        <f t="shared" si="28"/>
        <v>0.999999969489044-0.000213930904400305i</v>
      </c>
      <c r="AP45" s="170" t="str">
        <f t="shared" si="29"/>
        <v>0.166666651411189-0.0000713103002564123i</v>
      </c>
      <c r="AQ45" s="170" t="str">
        <f t="shared" si="30"/>
        <v>0.833333348588811+0.0000713103002564123i</v>
      </c>
      <c r="AR45" s="170" t="str">
        <f t="shared" si="31"/>
        <v>0.99959997438105-0.0000855381276053877i</v>
      </c>
    </row>
    <row r="46" spans="1:44">
      <c r="G46" s="688">
        <v>20.893000000000001</v>
      </c>
      <c r="H46" s="676">
        <f t="shared" si="23"/>
        <v>2.0893000000000002E-2</v>
      </c>
      <c r="I46" s="677">
        <f t="shared" si="0"/>
        <v>1.0059340776419916</v>
      </c>
      <c r="J46" s="678">
        <f t="shared" si="1"/>
        <v>0.10867272954241101</v>
      </c>
      <c r="K46" s="678">
        <f t="shared" si="2"/>
        <v>1.0000000004170391</v>
      </c>
      <c r="L46" s="679">
        <f t="shared" si="3"/>
        <v>2.8880409896008491E-5</v>
      </c>
      <c r="M46" s="678">
        <f t="shared" si="4"/>
        <v>1.0000000061564898</v>
      </c>
      <c r="N46" s="679">
        <f t="shared" si="5"/>
        <v>-1.1096386575169923E-4</v>
      </c>
      <c r="O46" s="677">
        <f t="shared" si="6"/>
        <v>393.82504102005566</v>
      </c>
      <c r="P46" s="680">
        <f t="shared" si="7"/>
        <v>1.5682571254480213</v>
      </c>
      <c r="Q46" s="689">
        <f t="shared" si="8"/>
        <v>1.0013914942007702</v>
      </c>
      <c r="R46" s="690">
        <f t="shared" si="9"/>
        <v>5.2723478027005229E-2</v>
      </c>
      <c r="S46" s="677">
        <f t="shared" si="10"/>
        <v>1.0000003133039748</v>
      </c>
      <c r="T46" s="680">
        <f t="shared" si="11"/>
        <v>7.9158561521364243E-4</v>
      </c>
      <c r="U46" s="681">
        <f t="shared" si="24"/>
        <v>0.9995999644337995</v>
      </c>
      <c r="V46" s="682">
        <f t="shared" si="25"/>
        <v>-3.2839263800891848E-4</v>
      </c>
      <c r="W46" s="683">
        <f t="shared" si="12"/>
        <v>53.989411574217954</v>
      </c>
      <c r="X46" s="684">
        <f t="shared" si="13"/>
        <v>-93.129043627298699</v>
      </c>
      <c r="Y46" s="687">
        <f t="shared" si="14"/>
        <v>86.870956372701301</v>
      </c>
      <c r="AA46" s="170">
        <f t="shared" si="15"/>
        <v>1000000000</v>
      </c>
      <c r="AB46" s="170">
        <f t="shared" si="16"/>
        <v>436.51744900000006</v>
      </c>
      <c r="AD46" s="686">
        <f t="shared" si="17"/>
        <v>53.211458806261206</v>
      </c>
      <c r="AE46" s="687">
        <f t="shared" si="18"/>
        <v>-86.879036321440765</v>
      </c>
      <c r="AG46" s="686">
        <f t="shared" si="19"/>
        <v>54.28824528114356</v>
      </c>
      <c r="AH46" s="687">
        <f t="shared" si="20"/>
        <v>-6.2123762814527845</v>
      </c>
      <c r="AJ46" s="170">
        <f t="shared" si="21"/>
        <v>0</v>
      </c>
      <c r="AK46" s="170">
        <f t="shared" si="32"/>
        <v>0</v>
      </c>
      <c r="AM46" s="170" t="str">
        <f t="shared" si="26"/>
        <v>1.10042578049807E-07+0.000469132330852196i</v>
      </c>
      <c r="AN46" s="170" t="str">
        <f t="shared" si="27"/>
        <v>0.000469132348060374i</v>
      </c>
      <c r="AO46" s="170" t="str">
        <f t="shared" si="28"/>
        <v>0.99999996331914-0.000234566169876747i</v>
      </c>
      <c r="AP46" s="170" t="str">
        <f t="shared" si="29"/>
        <v>0.166666648326237-0.0000781887218086993i</v>
      </c>
      <c r="AQ46" s="170" t="str">
        <f t="shared" si="30"/>
        <v>0.833333351673763+0.0000781887218086993i</v>
      </c>
      <c r="AR46" s="170" t="str">
        <f t="shared" si="31"/>
        <v>0.999599969200405-0.0000937889306299986i</v>
      </c>
    </row>
    <row r="47" spans="1:44">
      <c r="G47" s="688">
        <v>22.909000000000002</v>
      </c>
      <c r="H47" s="676">
        <f t="shared" si="23"/>
        <v>2.2909000000000002E-2</v>
      </c>
      <c r="I47" s="677">
        <f t="shared" si="0"/>
        <v>1.0071302536490023</v>
      </c>
      <c r="J47" s="678">
        <f t="shared" si="1"/>
        <v>0.11906420741142551</v>
      </c>
      <c r="K47" s="678">
        <f t="shared" si="2"/>
        <v>1.0000000005014034</v>
      </c>
      <c r="L47" s="679">
        <f t="shared" si="3"/>
        <v>3.166712823770866E-5</v>
      </c>
      <c r="M47" s="678">
        <f t="shared" si="4"/>
        <v>1.0000000074019102</v>
      </c>
      <c r="N47" s="679">
        <f t="shared" si="5"/>
        <v>-1.2167095191667287E-4</v>
      </c>
      <c r="O47" s="677">
        <f t="shared" si="6"/>
        <v>431.82563398940709</v>
      </c>
      <c r="P47" s="680">
        <f t="shared" si="7"/>
        <v>1.5684805752158477</v>
      </c>
      <c r="Q47" s="689">
        <f t="shared" si="8"/>
        <v>1.0016727499649907</v>
      </c>
      <c r="R47" s="690">
        <f t="shared" si="9"/>
        <v>5.7800026726787773E-2</v>
      </c>
      <c r="S47" s="677">
        <f t="shared" si="10"/>
        <v>1.0000003766834564</v>
      </c>
      <c r="T47" s="680">
        <f t="shared" si="11"/>
        <v>8.6796697902146607E-4</v>
      </c>
      <c r="U47" s="681">
        <f t="shared" si="24"/>
        <v>0.99959995723897288</v>
      </c>
      <c r="V47" s="682">
        <f t="shared" si="25"/>
        <v>-3.6007978246442731E-4</v>
      </c>
      <c r="W47" s="683">
        <f t="shared" si="12"/>
        <v>53.181425918009467</v>
      </c>
      <c r="X47" s="684">
        <f t="shared" si="13"/>
        <v>-93.453015039176705</v>
      </c>
      <c r="Y47" s="687">
        <f t="shared" si="14"/>
        <v>86.546984960823295</v>
      </c>
      <c r="AA47" s="170">
        <f t="shared" si="15"/>
        <v>1000000000</v>
      </c>
      <c r="AB47" s="170">
        <f t="shared" si="16"/>
        <v>524.82228100000009</v>
      </c>
      <c r="AD47" s="686">
        <f t="shared" si="17"/>
        <v>52.4137956272304</v>
      </c>
      <c r="AE47" s="687">
        <f t="shared" si="18"/>
        <v>-86.605350564547138</v>
      </c>
      <c r="AG47" s="686">
        <f t="shared" si="19"/>
        <v>54.277922929002855</v>
      </c>
      <c r="AH47" s="687">
        <f t="shared" si="20"/>
        <v>-6.8064023709360297</v>
      </c>
      <c r="AJ47" s="170">
        <f t="shared" si="21"/>
        <v>0</v>
      </c>
      <c r="AK47" s="170">
        <f t="shared" si="32"/>
        <v>0</v>
      </c>
      <c r="AM47" s="170" t="str">
        <f t="shared" si="26"/>
        <v>1.32303523026067E-07+0.000514399678731835i</v>
      </c>
      <c r="AN47" s="170" t="str">
        <f t="shared" si="27"/>
        <v>0.000514399701417466i</v>
      </c>
      <c r="AO47" s="170" t="str">
        <f t="shared" si="28"/>
        <v>0.999999955898825-0.000257199844131898i</v>
      </c>
      <c r="AP47" s="170" t="str">
        <f t="shared" si="29"/>
        <v>0.166666644616079-0.0000857332797886392i</v>
      </c>
      <c r="AQ47" s="170" t="str">
        <f t="shared" si="30"/>
        <v>0.833333355383921+0.0000857332797886392i</v>
      </c>
      <c r="AR47" s="170" t="str">
        <f t="shared" si="31"/>
        <v>0.999599962969833-0.000102838777241221i</v>
      </c>
    </row>
    <row r="48" spans="1:44">
      <c r="A48" s="170" t="s">
        <v>802</v>
      </c>
      <c r="G48" s="688">
        <v>25.119</v>
      </c>
      <c r="H48" s="676">
        <f t="shared" si="23"/>
        <v>2.5118999999999999E-2</v>
      </c>
      <c r="I48" s="677">
        <f t="shared" si="0"/>
        <v>1.0085661725827695</v>
      </c>
      <c r="J48" s="678">
        <f t="shared" si="1"/>
        <v>0.13042597009360632</v>
      </c>
      <c r="K48" s="678">
        <f t="shared" si="2"/>
        <v>1.0000000006028091</v>
      </c>
      <c r="L48" s="679">
        <f t="shared" si="3"/>
        <v>3.4722012927200167E-5</v>
      </c>
      <c r="M48" s="678">
        <f t="shared" si="4"/>
        <v>1.0000000088988983</v>
      </c>
      <c r="N48" s="679">
        <f t="shared" si="5"/>
        <v>-1.3340838265069578E-4</v>
      </c>
      <c r="O48" s="677">
        <f t="shared" si="6"/>
        <v>473.48305065728727</v>
      </c>
      <c r="P48" s="680">
        <f t="shared" si="7"/>
        <v>1.5686843172054448</v>
      </c>
      <c r="Q48" s="689">
        <f t="shared" si="8"/>
        <v>1.0020107132350971</v>
      </c>
      <c r="R48" s="690">
        <f t="shared" si="9"/>
        <v>6.3361658217471306E-2</v>
      </c>
      <c r="S48" s="677">
        <f t="shared" si="10"/>
        <v>1.0000004528652093</v>
      </c>
      <c r="T48" s="680">
        <f t="shared" si="11"/>
        <v>9.5169852192329197E-4</v>
      </c>
      <c r="U48" s="681">
        <f t="shared" si="24"/>
        <v>0.99959994859083523</v>
      </c>
      <c r="V48" s="682">
        <f t="shared" si="25"/>
        <v>-3.9481618812115324E-4</v>
      </c>
      <c r="W48" s="683">
        <f t="shared" si="12"/>
        <v>52.372059841164727</v>
      </c>
      <c r="X48" s="684">
        <f t="shared" si="13"/>
        <v>-93.804296820290361</v>
      </c>
      <c r="Y48" s="687">
        <f t="shared" si="14"/>
        <v>86.195703179709639</v>
      </c>
      <c r="AA48" s="170">
        <f t="shared" si="15"/>
        <v>1000000000</v>
      </c>
      <c r="AB48" s="170">
        <f t="shared" si="16"/>
        <v>630.96416099999999</v>
      </c>
      <c r="AD48" s="686">
        <f t="shared" si="17"/>
        <v>51.616804724622732</v>
      </c>
      <c r="AE48" s="687">
        <f t="shared" si="18"/>
        <v>-86.303163572712506</v>
      </c>
      <c r="AG48" s="686">
        <f t="shared" si="19"/>
        <v>54.265547905059435</v>
      </c>
      <c r="AH48" s="687">
        <f t="shared" si="20"/>
        <v>-7.4558906450005722</v>
      </c>
      <c r="AJ48" s="170">
        <f t="shared" si="21"/>
        <v>0</v>
      </c>
      <c r="AK48" s="170">
        <f t="shared" si="32"/>
        <v>0</v>
      </c>
      <c r="AM48" s="170" t="str">
        <f t="shared" si="26"/>
        <v>1.59061047000364E-07+0.000564023109468701i</v>
      </c>
      <c r="AN48" s="170" t="str">
        <f t="shared" si="27"/>
        <v>0.000564023139373405i</v>
      </c>
      <c r="AO48" s="170" t="str">
        <f t="shared" si="28"/>
        <v>0.99999994697965-0.000282011562818276i</v>
      </c>
      <c r="AP48" s="170" t="str">
        <f t="shared" si="29"/>
        <v>0.166666640156492-0.0000940038515781168i</v>
      </c>
      <c r="AQ48" s="170" t="str">
        <f t="shared" si="30"/>
        <v>0.833333359843508+0.0000940038515781168i</v>
      </c>
      <c r="AR48" s="170" t="str">
        <f t="shared" si="31"/>
        <v>0.999599955480725-0.000112759491435874i</v>
      </c>
    </row>
    <row r="49" spans="1:44" ht="13">
      <c r="A49" s="170">
        <v>0.1</v>
      </c>
      <c r="C49" s="333" t="s">
        <v>803</v>
      </c>
      <c r="D49" s="761">
        <f>Fco_desire*1000</f>
        <v>5000</v>
      </c>
      <c r="E49" s="761" t="s">
        <v>8</v>
      </c>
      <c r="G49" s="688">
        <v>27.542000000000002</v>
      </c>
      <c r="H49" s="676">
        <f t="shared" si="23"/>
        <v>2.7542000000000001E-2</v>
      </c>
      <c r="I49" s="677">
        <f t="shared" si="0"/>
        <v>1.0102896495490634</v>
      </c>
      <c r="J49" s="678">
        <f t="shared" si="1"/>
        <v>0.14284387730975609</v>
      </c>
      <c r="K49" s="678">
        <f t="shared" si="2"/>
        <v>1.000000000724713</v>
      </c>
      <c r="L49" s="679">
        <f t="shared" si="3"/>
        <v>3.8071327678778143E-5</v>
      </c>
      <c r="M49" s="678">
        <f t="shared" si="4"/>
        <v>1.0000000106984903</v>
      </c>
      <c r="N49" s="679">
        <f t="shared" si="5"/>
        <v>-1.4627706797871182E-4</v>
      </c>
      <c r="O49" s="677">
        <f t="shared" si="6"/>
        <v>519.15543170139733</v>
      </c>
      <c r="P49" s="680">
        <f t="shared" si="7"/>
        <v>1.5688701201960333</v>
      </c>
      <c r="Q49" s="689">
        <f t="shared" si="8"/>
        <v>1.0024168422272401</v>
      </c>
      <c r="R49" s="690">
        <f t="shared" si="9"/>
        <v>6.9454800261525909E-2</v>
      </c>
      <c r="S49" s="677">
        <f t="shared" si="10"/>
        <v>1.0000005444464797</v>
      </c>
      <c r="T49" s="680">
        <f t="shared" si="11"/>
        <v>1.0435001031282799E-3</v>
      </c>
      <c r="U49" s="681">
        <f t="shared" si="24"/>
        <v>0.99959993819454762</v>
      </c>
      <c r="V49" s="682">
        <f t="shared" si="25"/>
        <v>-4.3290048812972664E-4</v>
      </c>
      <c r="W49" s="683">
        <f t="shared" si="12"/>
        <v>51.560889352373451</v>
      </c>
      <c r="X49" s="684">
        <f t="shared" si="13"/>
        <v>-94.18531223124927</v>
      </c>
      <c r="Y49" s="687">
        <f t="shared" si="14"/>
        <v>85.81468776875073</v>
      </c>
      <c r="AA49" s="170">
        <f t="shared" si="15"/>
        <v>1000000000</v>
      </c>
      <c r="AB49" s="170">
        <f t="shared" si="16"/>
        <v>758.56176400000004</v>
      </c>
      <c r="AD49" s="686">
        <f t="shared" si="17"/>
        <v>50.820464426811</v>
      </c>
      <c r="AE49" s="687">
        <f t="shared" si="18"/>
        <v>-85.96995781957105</v>
      </c>
      <c r="AG49" s="686">
        <f t="shared" si="19"/>
        <v>54.250717894754182</v>
      </c>
      <c r="AH49" s="687">
        <f t="shared" si="20"/>
        <v>-8.1657476697835829</v>
      </c>
      <c r="AJ49" s="170">
        <f t="shared" si="21"/>
        <v>0</v>
      </c>
      <c r="AK49" s="170">
        <f t="shared" si="32"/>
        <v>0</v>
      </c>
      <c r="AM49" s="170" t="str">
        <f t="shared" si="26"/>
        <v>1.91227386037163E-07+0.00061842924935014i</v>
      </c>
      <c r="AN49" s="170" t="str">
        <f t="shared" si="27"/>
        <v>0.000618429288770346i</v>
      </c>
      <c r="AO49" s="170" t="str">
        <f t="shared" si="28"/>
        <v>0.999999936257537-0.000309214633765794i</v>
      </c>
      <c r="AP49" s="170" t="str">
        <f t="shared" si="29"/>
        <v>0.166666634795436-0.000103071541558357i</v>
      </c>
      <c r="AQ49" s="170" t="str">
        <f t="shared" si="30"/>
        <v>0.833333365204564+0.000103071541558357i</v>
      </c>
      <c r="AR49" s="170" t="str">
        <f t="shared" si="31"/>
        <v>0.999599946477755-0.000123636364181604i</v>
      </c>
    </row>
    <row r="50" spans="1:44">
      <c r="A50" s="170">
        <v>0.2</v>
      </c>
      <c r="C50" s="760" t="s">
        <v>810</v>
      </c>
      <c r="D50" s="170">
        <f>SQRT(1+(D49/Zero1)^2)*SQRT(1+(D49/z_RHP)^2)/SQRT(1+(D49/pole1)^2)/D58</f>
        <v>3.8379392096455647E-2</v>
      </c>
      <c r="G50" s="688">
        <v>30.2</v>
      </c>
      <c r="H50" s="676">
        <f t="shared" si="23"/>
        <v>3.0199999999999998E-2</v>
      </c>
      <c r="I50" s="677">
        <f t="shared" si="0"/>
        <v>1.0123588123525933</v>
      </c>
      <c r="J50" s="678">
        <f t="shared" si="1"/>
        <v>0.15641519674887389</v>
      </c>
      <c r="K50" s="678">
        <f t="shared" si="2"/>
        <v>1.0000000008713426</v>
      </c>
      <c r="L50" s="679">
        <f t="shared" si="3"/>
        <v>4.1745483108950245E-5</v>
      </c>
      <c r="M50" s="678">
        <f t="shared" si="4"/>
        <v>1.0000000128630939</v>
      </c>
      <c r="N50" s="679">
        <f t="shared" si="5"/>
        <v>-1.6039385108496994E-4</v>
      </c>
      <c r="O50" s="677">
        <f t="shared" si="6"/>
        <v>569.25746651786142</v>
      </c>
      <c r="P50" s="680">
        <f t="shared" si="7"/>
        <v>1.5690396515238014</v>
      </c>
      <c r="Q50" s="689">
        <f t="shared" si="8"/>
        <v>1.0029051285154413</v>
      </c>
      <c r="R50" s="690">
        <f t="shared" si="9"/>
        <v>7.6132946400988097E-2</v>
      </c>
      <c r="S50" s="677">
        <f t="shared" si="10"/>
        <v>1.0000006546031761</v>
      </c>
      <c r="T50" s="680">
        <f t="shared" si="11"/>
        <v>1.1442052429082204E-3</v>
      </c>
      <c r="U50" s="681">
        <f t="shared" si="24"/>
        <v>0.99959992568957867</v>
      </c>
      <c r="V50" s="682">
        <f t="shared" si="25"/>
        <v>-4.7467847882944281E-4</v>
      </c>
      <c r="W50" s="683">
        <f t="shared" si="12"/>
        <v>50.747120303621116</v>
      </c>
      <c r="X50" s="684">
        <f t="shared" si="13"/>
        <v>-94.598737399341744</v>
      </c>
      <c r="Y50" s="687">
        <f t="shared" si="14"/>
        <v>85.401262600658256</v>
      </c>
      <c r="AA50" s="170">
        <f t="shared" si="15"/>
        <v>1000000000</v>
      </c>
      <c r="AB50" s="170">
        <f t="shared" si="16"/>
        <v>912.04</v>
      </c>
      <c r="AD50" s="686">
        <f t="shared" si="17"/>
        <v>50.02446674658961</v>
      </c>
      <c r="AE50" s="687">
        <f t="shared" si="18"/>
        <v>-85.602811639449769</v>
      </c>
      <c r="AG50" s="686">
        <f t="shared" si="19"/>
        <v>54.232946743543749</v>
      </c>
      <c r="AH50" s="687">
        <f t="shared" si="20"/>
        <v>-8.9415316129045799</v>
      </c>
      <c r="AJ50" s="170">
        <f t="shared" si="21"/>
        <v>0</v>
      </c>
      <c r="AK50" s="170">
        <f t="shared" si="32"/>
        <v>0</v>
      </c>
      <c r="AM50" s="170" t="str">
        <f t="shared" si="26"/>
        <v>2.29918026950493E-07+0.000678112086613347i</v>
      </c>
      <c r="AN50" s="170" t="str">
        <f t="shared" si="27"/>
        <v>0.000678112138583416i</v>
      </c>
      <c r="AO50" s="170" t="str">
        <f t="shared" si="28"/>
        <v>0.999999923360657-0.000339056055582185i</v>
      </c>
      <c r="AP50" s="170" t="str">
        <f t="shared" si="29"/>
        <v>0.166666628346995-0.000113018681102224i</v>
      </c>
      <c r="AQ50" s="170" t="str">
        <f t="shared" si="30"/>
        <v>0.833333371653005+0.000113018681102224i</v>
      </c>
      <c r="AR50" s="170" t="str">
        <f t="shared" si="31"/>
        <v>0.99959993564871-0.00013556815339435i</v>
      </c>
    </row>
    <row r="51" spans="1:44" ht="13">
      <c r="A51" s="170">
        <v>0.3</v>
      </c>
      <c r="C51" s="333" t="s">
        <v>811</v>
      </c>
      <c r="D51" s="761">
        <f>20*LOG(D50*Acs*Am)</f>
        <v>26.018122111061711</v>
      </c>
      <c r="E51" s="333" t="s">
        <v>781</v>
      </c>
      <c r="G51" s="688">
        <v>33.113</v>
      </c>
      <c r="H51" s="676">
        <f t="shared" si="23"/>
        <v>3.3112999999999997E-2</v>
      </c>
      <c r="I51" s="677">
        <f t="shared" si="0"/>
        <v>1.0148396901511381</v>
      </c>
      <c r="J51" s="678">
        <f t="shared" si="1"/>
        <v>0.17122190701136472</v>
      </c>
      <c r="K51" s="678">
        <f t="shared" si="2"/>
        <v>1.0000000010475436</v>
      </c>
      <c r="L51" s="679">
        <f t="shared" si="3"/>
        <v>4.5772125232592459E-5</v>
      </c>
      <c r="M51" s="678">
        <f t="shared" si="4"/>
        <v>1.000000015464241</v>
      </c>
      <c r="N51" s="679">
        <f t="shared" si="5"/>
        <v>-1.7586495303862927E-4</v>
      </c>
      <c r="O51" s="677">
        <f t="shared" si="6"/>
        <v>624.16614558597371</v>
      </c>
      <c r="P51" s="680">
        <f t="shared" si="7"/>
        <v>1.569194188590382</v>
      </c>
      <c r="Q51" s="689">
        <f t="shared" si="8"/>
        <v>1.0034915750352469</v>
      </c>
      <c r="R51" s="690">
        <f t="shared" si="9"/>
        <v>8.344394484821796E-2</v>
      </c>
      <c r="S51" s="677">
        <f t="shared" si="10"/>
        <v>1.0000007869755716</v>
      </c>
      <c r="T51" s="680">
        <f t="shared" si="11"/>
        <v>1.2545716842670724E-3</v>
      </c>
      <c r="U51" s="681">
        <f t="shared" si="24"/>
        <v>0.99959991066268661</v>
      </c>
      <c r="V51" s="682">
        <f t="shared" si="25"/>
        <v>-5.2046451607394811E-4</v>
      </c>
      <c r="W51" s="683">
        <f t="shared" si="12"/>
        <v>49.931107620600869</v>
      </c>
      <c r="X51" s="684">
        <f t="shared" si="13"/>
        <v>-95.046666970239315</v>
      </c>
      <c r="Y51" s="687">
        <f t="shared" si="14"/>
        <v>84.953333029760685</v>
      </c>
      <c r="AA51" s="170">
        <f t="shared" si="15"/>
        <v>1000000000</v>
      </c>
      <c r="AB51" s="170">
        <f t="shared" si="16"/>
        <v>1096.470769</v>
      </c>
      <c r="AD51" s="686">
        <f t="shared" si="17"/>
        <v>49.229713697880236</v>
      </c>
      <c r="AE51" s="687">
        <f t="shared" si="18"/>
        <v>-85.199100136918631</v>
      </c>
      <c r="AG51" s="686">
        <f t="shared" si="19"/>
        <v>54.211687370381199</v>
      </c>
      <c r="AH51" s="687">
        <f t="shared" si="20"/>
        <v>-9.7879259929378239</v>
      </c>
      <c r="AJ51" s="170">
        <f t="shared" si="21"/>
        <v>0</v>
      </c>
      <c r="AK51" s="170">
        <f t="shared" si="32"/>
        <v>0</v>
      </c>
      <c r="AM51" s="170" t="str">
        <f t="shared" si="26"/>
        <v>2.7641155497804E-07+0.000743520701193182i</v>
      </c>
      <c r="AN51" s="170" t="str">
        <f t="shared" si="27"/>
        <v>0.000743520769699094i</v>
      </c>
      <c r="AO51" s="170" t="str">
        <f t="shared" si="28"/>
        <v>0.999999907862813-0.000371760368025637i</v>
      </c>
      <c r="AP51" s="170" t="str">
        <f t="shared" si="29"/>
        <v>0.166666620598074-0.00012392011686553i</v>
      </c>
      <c r="AQ51" s="170" t="str">
        <f t="shared" si="30"/>
        <v>0.833333379401926+0.00012392011686553i</v>
      </c>
      <c r="AR51" s="170" t="str">
        <f t="shared" si="31"/>
        <v>0.999599922635733-0.000148644638860734i</v>
      </c>
    </row>
    <row r="52" spans="1:44">
      <c r="A52" s="170">
        <v>0.4</v>
      </c>
      <c r="C52" s="170" t="s">
        <v>694</v>
      </c>
      <c r="D52" s="170" t="str">
        <f>IMSUB(1,IMEXP(COMPLEX(0,-2*Pi*D49*Tsw)))</f>
        <v>0.00629568427831795+0.11203451662815i</v>
      </c>
      <c r="G52" s="688">
        <v>36.308</v>
      </c>
      <c r="H52" s="676">
        <f t="shared" si="23"/>
        <v>3.6308E-2</v>
      </c>
      <c r="I52" s="677">
        <f t="shared" si="0"/>
        <v>1.0178152339250957</v>
      </c>
      <c r="J52" s="678">
        <f t="shared" si="1"/>
        <v>0.18737506699042975</v>
      </c>
      <c r="K52" s="678">
        <f t="shared" si="2"/>
        <v>1.0000000012594465</v>
      </c>
      <c r="L52" s="679">
        <f t="shared" si="3"/>
        <v>5.0188576169788103E-5</v>
      </c>
      <c r="M52" s="678">
        <f t="shared" si="4"/>
        <v>1.0000000185924323</v>
      </c>
      <c r="N52" s="679">
        <f t="shared" si="5"/>
        <v>-1.9283377228309875E-4</v>
      </c>
      <c r="O52" s="677">
        <f t="shared" si="6"/>
        <v>684.39040619475099</v>
      </c>
      <c r="P52" s="680">
        <f t="shared" si="7"/>
        <v>1.5693351719528978</v>
      </c>
      <c r="Q52" s="689">
        <f t="shared" si="8"/>
        <v>1.0041963936300555</v>
      </c>
      <c r="R52" s="690">
        <f t="shared" si="9"/>
        <v>9.1452405345631163E-2</v>
      </c>
      <c r="S52" s="677">
        <f t="shared" si="10"/>
        <v>1.0000009461692125</v>
      </c>
      <c r="T52" s="680">
        <f t="shared" si="11"/>
        <v>1.3756223802762367E-3</v>
      </c>
      <c r="U52" s="681">
        <f t="shared" si="24"/>
        <v>0.99959989259104887</v>
      </c>
      <c r="V52" s="682">
        <f t="shared" si="25"/>
        <v>-5.7068297809296554E-4</v>
      </c>
      <c r="W52" s="683">
        <f t="shared" si="12"/>
        <v>49.111700511431778</v>
      </c>
      <c r="X52" s="684">
        <f t="shared" si="13"/>
        <v>-95.531933825791256</v>
      </c>
      <c r="Y52" s="687">
        <f t="shared" si="14"/>
        <v>84.468066174208744</v>
      </c>
      <c r="AA52" s="170">
        <f t="shared" si="15"/>
        <v>1000000000</v>
      </c>
      <c r="AB52" s="170">
        <f t="shared" si="16"/>
        <v>1318.2708640000001</v>
      </c>
      <c r="AD52" s="686">
        <f t="shared" si="17"/>
        <v>48.435736771767559</v>
      </c>
      <c r="AE52" s="687">
        <f t="shared" si="18"/>
        <v>-84.755262595154633</v>
      </c>
      <c r="AG52" s="686">
        <f t="shared" si="19"/>
        <v>54.186257501386955</v>
      </c>
      <c r="AH52" s="687">
        <f t="shared" si="20"/>
        <v>-10.711275778392535</v>
      </c>
      <c r="AJ52" s="170">
        <f t="shared" si="21"/>
        <v>0</v>
      </c>
      <c r="AK52" s="170">
        <f t="shared" si="32"/>
        <v>0</v>
      </c>
      <c r="AM52" s="170" t="str">
        <f t="shared" si="26"/>
        <v>0.0000003323255900467+0.000815261351003379i</v>
      </c>
      <c r="AN52" s="170" t="str">
        <f t="shared" si="27"/>
        <v>0.000815261441314128i</v>
      </c>
      <c r="AO52" s="170" t="str">
        <f t="shared" si="28"/>
        <v>0.9999998892248-0.000407630697596861i</v>
      </c>
      <c r="AP52" s="170" t="str">
        <f t="shared" si="29"/>
        <v>0.166666611279068-0.000135876891833896i</v>
      </c>
      <c r="AQ52" s="170" t="str">
        <f t="shared" si="30"/>
        <v>0.833333388720932+0.000135876891833896i</v>
      </c>
      <c r="AR52" s="170" t="str">
        <f t="shared" si="31"/>
        <v>0.99959990698607-0.000162987023293511i</v>
      </c>
    </row>
    <row r="53" spans="1:44">
      <c r="A53" s="170">
        <v>0.5</v>
      </c>
      <c r="C53" s="170" t="s">
        <v>804</v>
      </c>
      <c r="D53" s="170" t="str">
        <f>COMPLEX(0, 2*Pi*D49*Tsw)</f>
        <v>0.112270221619771i</v>
      </c>
      <c r="G53" s="688">
        <v>39.811</v>
      </c>
      <c r="H53" s="676">
        <f t="shared" si="23"/>
        <v>3.9810999999999999E-2</v>
      </c>
      <c r="I53" s="677">
        <f t="shared" si="0"/>
        <v>1.0213809148809228</v>
      </c>
      <c r="J53" s="678">
        <f t="shared" si="1"/>
        <v>0.20497212241898233</v>
      </c>
      <c r="K53" s="678">
        <f t="shared" si="2"/>
        <v>1.000000001514193</v>
      </c>
      <c r="L53" s="679">
        <f t="shared" si="3"/>
        <v>5.503077573967451E-5</v>
      </c>
      <c r="M53" s="678">
        <f t="shared" si="4"/>
        <v>1.000000022353098</v>
      </c>
      <c r="N53" s="679">
        <f t="shared" si="5"/>
        <v>-2.1143839619686003E-4</v>
      </c>
      <c r="O53" s="677">
        <f t="shared" si="6"/>
        <v>750.42033622843962</v>
      </c>
      <c r="P53" s="680">
        <f t="shared" si="7"/>
        <v>1.5694637399130025</v>
      </c>
      <c r="Q53" s="689">
        <f t="shared" si="8"/>
        <v>1.0050430620388802</v>
      </c>
      <c r="R53" s="690">
        <f t="shared" si="9"/>
        <v>0.10021935059338843</v>
      </c>
      <c r="S53" s="677">
        <f t="shared" si="10"/>
        <v>1.0000011375494651</v>
      </c>
      <c r="T53" s="680">
        <f t="shared" si="11"/>
        <v>1.508342392693138E-3</v>
      </c>
      <c r="U53" s="681">
        <f t="shared" si="24"/>
        <v>0.99959987086559354</v>
      </c>
      <c r="V53" s="682">
        <f t="shared" si="25"/>
        <v>-6.2574253135730634E-4</v>
      </c>
      <c r="W53" s="683">
        <f t="shared" si="12"/>
        <v>48.288629474327756</v>
      </c>
      <c r="X53" s="684">
        <f t="shared" si="13"/>
        <v>-96.056775779303749</v>
      </c>
      <c r="Y53" s="687">
        <f t="shared" si="14"/>
        <v>83.943224220696251</v>
      </c>
      <c r="AA53" s="170">
        <f t="shared" si="15"/>
        <v>1000000000</v>
      </c>
      <c r="AB53" s="170">
        <f t="shared" si="16"/>
        <v>1584.9157210000001</v>
      </c>
      <c r="AD53" s="686">
        <f t="shared" si="17"/>
        <v>47.643041723524668</v>
      </c>
      <c r="AE53" s="687">
        <f t="shared" si="18"/>
        <v>-84.267924330742005</v>
      </c>
      <c r="AG53" s="686">
        <f t="shared" si="19"/>
        <v>54.155881890086704</v>
      </c>
      <c r="AH53" s="687">
        <f t="shared" si="20"/>
        <v>-11.717146636262596</v>
      </c>
      <c r="AJ53" s="170">
        <f t="shared" si="21"/>
        <v>0</v>
      </c>
      <c r="AK53" s="170">
        <f t="shared" si="32"/>
        <v>0</v>
      </c>
      <c r="AM53" s="170" t="str">
        <f t="shared" si="26"/>
        <v>3.99544632045945E-07+0.000893917839527562i</v>
      </c>
      <c r="AN53" s="170" t="str">
        <f t="shared" si="27"/>
        <v>0.000893917958580939i</v>
      </c>
      <c r="AO53" s="170" t="str">
        <f t="shared" si="28"/>
        <v>0.999999866818453-0.000446958949879704i</v>
      </c>
      <c r="AP53" s="170" t="str">
        <f t="shared" si="29"/>
        <v>0.166666600075895-0.000148986306587927i</v>
      </c>
      <c r="AQ53" s="170" t="str">
        <f t="shared" si="30"/>
        <v>0.833333399924105+0.000148986306587927i</v>
      </c>
      <c r="AR53" s="170" t="str">
        <f t="shared" si="31"/>
        <v>0.999599888172274-0.000178712020204705i</v>
      </c>
    </row>
    <row r="54" spans="1:44">
      <c r="A54" s="170">
        <v>0.6</v>
      </c>
      <c r="C54" s="170" t="s">
        <v>805</v>
      </c>
      <c r="D54" s="170" t="str">
        <f>IMDIV(D52, D53)</f>
        <v>0.997900556459047-0.0560761721807207i</v>
      </c>
      <c r="G54" s="688">
        <v>43.652000000000001</v>
      </c>
      <c r="H54" s="676">
        <f t="shared" si="23"/>
        <v>4.3652000000000003E-2</v>
      </c>
      <c r="I54" s="677">
        <f t="shared" si="0"/>
        <v>1.0256514457168786</v>
      </c>
      <c r="J54" s="678">
        <f t="shared" si="1"/>
        <v>0.22411985910357843</v>
      </c>
      <c r="K54" s="678">
        <f t="shared" si="2"/>
        <v>1.0000000018204693</v>
      </c>
      <c r="L54" s="679">
        <f t="shared" si="3"/>
        <v>6.0340192964200345E-5</v>
      </c>
      <c r="M54" s="678">
        <f t="shared" si="4"/>
        <v>1.000000026874466</v>
      </c>
      <c r="N54" s="679">
        <f t="shared" si="5"/>
        <v>-2.318381563629331E-4</v>
      </c>
      <c r="O54" s="677">
        <f t="shared" si="6"/>
        <v>822.82142181229267</v>
      </c>
      <c r="P54" s="680">
        <f t="shared" si="7"/>
        <v>1.5695809959592348</v>
      </c>
      <c r="Q54" s="689">
        <f t="shared" si="8"/>
        <v>1.0060600499768497</v>
      </c>
      <c r="R54" s="690">
        <f t="shared" si="9"/>
        <v>0.1098144243694347</v>
      </c>
      <c r="S54" s="677">
        <f t="shared" si="10"/>
        <v>1.0000013676417827</v>
      </c>
      <c r="T54" s="680">
        <f t="shared" si="11"/>
        <v>1.6538683285021844E-3</v>
      </c>
      <c r="U54" s="681">
        <f t="shared" si="24"/>
        <v>0.99959984474554131</v>
      </c>
      <c r="V54" s="682">
        <f t="shared" si="25"/>
        <v>-6.861147073390899E-4</v>
      </c>
      <c r="W54" s="683">
        <f t="shared" si="12"/>
        <v>47.461150907580326</v>
      </c>
      <c r="X54" s="684">
        <f t="shared" si="13"/>
        <v>-96.623483030071156</v>
      </c>
      <c r="Y54" s="687">
        <f t="shared" si="14"/>
        <v>83.376516969928844</v>
      </c>
      <c r="AA54" s="170">
        <f t="shared" si="15"/>
        <v>1000000000</v>
      </c>
      <c r="AB54" s="170">
        <f t="shared" si="16"/>
        <v>1905.497104</v>
      </c>
      <c r="AD54" s="686">
        <f t="shared" si="17"/>
        <v>46.851804501516156</v>
      </c>
      <c r="AE54" s="687">
        <f t="shared" si="18"/>
        <v>-83.73322339714997</v>
      </c>
      <c r="AG54" s="686">
        <f t="shared" si="19"/>
        <v>54.119640999281195</v>
      </c>
      <c r="AH54" s="687">
        <f t="shared" si="20"/>
        <v>-12.811636678846588</v>
      </c>
      <c r="AJ54" s="170">
        <f t="shared" si="21"/>
        <v>0</v>
      </c>
      <c r="AK54" s="170">
        <f t="shared" ref="AK54:AK85" si="33">IF(AJ54&gt;0,Y54,0)</f>
        <v>0</v>
      </c>
      <c r="AM54" s="170" t="str">
        <f t="shared" si="26"/>
        <v>4.80360639043553E-07+0.000980163785885183i</v>
      </c>
      <c r="AN54" s="170" t="str">
        <f t="shared" si="27"/>
        <v>0.000980163942829247i</v>
      </c>
      <c r="AO54" s="170" t="str">
        <f t="shared" si="28"/>
        <v>0.999999839879782-0.000490081932270422i</v>
      </c>
      <c r="AP54" s="170" t="str">
        <f t="shared" si="29"/>
        <v>0.16666658660656-0.000163360630980864i</v>
      </c>
      <c r="AQ54" s="170" t="str">
        <f t="shared" si="30"/>
        <v>0.83333341339344+0.000163360630980864i</v>
      </c>
      <c r="AR54" s="170" t="str">
        <f t="shared" si="31"/>
        <v>0.999599865552852-0.000195954298892374i</v>
      </c>
    </row>
    <row r="55" spans="1:44">
      <c r="A55" s="170">
        <v>0.7</v>
      </c>
      <c r="C55" s="170" t="s">
        <v>806</v>
      </c>
      <c r="D55" s="170" t="str">
        <f>IMDIV(IMEXP(COMPLEX(0,-2*Pi*D49*Tsw)),6)</f>
        <v>0.165617385953614-0.018672419438025i</v>
      </c>
      <c r="G55" s="688">
        <v>47.863</v>
      </c>
      <c r="H55" s="676">
        <f t="shared" si="23"/>
        <v>4.7863000000000003E-2</v>
      </c>
      <c r="I55" s="677">
        <f t="shared" si="0"/>
        <v>1.0307616168438196</v>
      </c>
      <c r="J55" s="678">
        <f t="shared" si="1"/>
        <v>0.24492126378882575</v>
      </c>
      <c r="K55" s="678">
        <f t="shared" si="2"/>
        <v>1.000000002188643</v>
      </c>
      <c r="L55" s="679">
        <f t="shared" si="3"/>
        <v>6.6161061466522687E-5</v>
      </c>
      <c r="M55" s="678">
        <f t="shared" si="4"/>
        <v>1.0000000323095852</v>
      </c>
      <c r="N55" s="679">
        <f t="shared" si="5"/>
        <v>-2.5420300645541963E-4</v>
      </c>
      <c r="O55" s="677">
        <f t="shared" si="6"/>
        <v>902.19684824464866</v>
      </c>
      <c r="P55" s="680">
        <f t="shared" si="7"/>
        <v>1.5696879210110521</v>
      </c>
      <c r="Q55" s="689">
        <f t="shared" si="8"/>
        <v>1.0072812083003213</v>
      </c>
      <c r="R55" s="690">
        <f t="shared" si="9"/>
        <v>0.12031044077479099</v>
      </c>
      <c r="S55" s="677">
        <f t="shared" si="10"/>
        <v>1.0000016442348152</v>
      </c>
      <c r="T55" s="680">
        <f t="shared" si="11"/>
        <v>1.8134125632398789E-3</v>
      </c>
      <c r="U55" s="681">
        <f t="shared" si="24"/>
        <v>0.99959981334673442</v>
      </c>
      <c r="V55" s="682">
        <f t="shared" si="25"/>
        <v>-7.5230247695744364E-4</v>
      </c>
      <c r="W55" s="683">
        <f t="shared" si="12"/>
        <v>46.628601699210051</v>
      </c>
      <c r="X55" s="684">
        <f t="shared" si="13"/>
        <v>-97.233946031115508</v>
      </c>
      <c r="Y55" s="687">
        <f t="shared" si="14"/>
        <v>82.766053968884492</v>
      </c>
      <c r="AA55" s="170">
        <f t="shared" si="15"/>
        <v>1000000000</v>
      </c>
      <c r="AB55" s="170">
        <f t="shared" si="16"/>
        <v>2290.8667689999997</v>
      </c>
      <c r="AD55" s="686">
        <f t="shared" si="17"/>
        <v>46.062424346403112</v>
      </c>
      <c r="AE55" s="687">
        <f t="shared" si="18"/>
        <v>-83.147113520242712</v>
      </c>
      <c r="AG55" s="686">
        <f t="shared" si="19"/>
        <v>54.076472491695483</v>
      </c>
      <c r="AH55" s="687">
        <f t="shared" si="20"/>
        <v>-14.000624997080473</v>
      </c>
      <c r="AJ55" s="170">
        <f t="shared" si="21"/>
        <v>0</v>
      </c>
      <c r="AK55" s="170">
        <f t="shared" si="33"/>
        <v>0</v>
      </c>
      <c r="AM55" s="170" t="str">
        <f t="shared" si="26"/>
        <v>5.77509251975528E-07+0.0010747177165909i</v>
      </c>
      <c r="AN55" s="170" t="str">
        <f t="shared" si="27"/>
        <v>0.00107471792347742i</v>
      </c>
      <c r="AO55" s="170" t="str">
        <f t="shared" si="28"/>
        <v>0.999999807496911-0.000537358910054189i</v>
      </c>
      <c r="AP55" s="170" t="str">
        <f t="shared" si="29"/>
        <v>0.166666570415125-0.000179119619431817i</v>
      </c>
      <c r="AQ55" s="170" t="str">
        <f t="shared" si="30"/>
        <v>0.833333429584875+0.000179119619431817i</v>
      </c>
      <c r="AR55" s="170" t="str">
        <f t="shared" si="31"/>
        <v>0.999599838362136-0.000214857506341398i</v>
      </c>
    </row>
    <row r="56" spans="1:44">
      <c r="A56" s="170">
        <v>0.8</v>
      </c>
      <c r="C56" s="170" t="s">
        <v>807</v>
      </c>
      <c r="D56" s="170" t="str">
        <f>IMSUB(1, D55)</f>
        <v>0.834382614046386+0.018672419438025i</v>
      </c>
      <c r="G56" s="688">
        <v>52.481000000000002</v>
      </c>
      <c r="H56" s="676">
        <f t="shared" si="23"/>
        <v>5.2481E-2</v>
      </c>
      <c r="I56" s="677">
        <f t="shared" si="0"/>
        <v>1.0368730042454328</v>
      </c>
      <c r="J56" s="678">
        <f t="shared" si="1"/>
        <v>0.26748656403227622</v>
      </c>
      <c r="K56" s="678">
        <f t="shared" si="2"/>
        <v>1.000000002631354</v>
      </c>
      <c r="L56" s="679">
        <f t="shared" si="3"/>
        <v>7.2544526373185777E-5</v>
      </c>
      <c r="M56" s="678">
        <f t="shared" si="4"/>
        <v>1.0000000388450558</v>
      </c>
      <c r="N56" s="679">
        <f t="shared" si="5"/>
        <v>-2.7872945539688591E-4</v>
      </c>
      <c r="O56" s="677">
        <f t="shared" si="6"/>
        <v>989.24404862447921</v>
      </c>
      <c r="P56" s="680">
        <f t="shared" si="7"/>
        <v>1.5697854537229774</v>
      </c>
      <c r="Q56" s="689">
        <f t="shared" si="8"/>
        <v>1.0087476352669387</v>
      </c>
      <c r="R56" s="690">
        <f t="shared" si="9"/>
        <v>0.13179028849209329</v>
      </c>
      <c r="S56" s="677">
        <f t="shared" si="10"/>
        <v>1.0000019768246073</v>
      </c>
      <c r="T56" s="680">
        <f t="shared" si="11"/>
        <v>1.9883769013595938E-3</v>
      </c>
      <c r="U56" s="681">
        <f t="shared" si="24"/>
        <v>0.99959977559116364</v>
      </c>
      <c r="V56" s="682">
        <f t="shared" si="25"/>
        <v>-8.248873986254322E-4</v>
      </c>
      <c r="W56" s="683">
        <f t="shared" si="12"/>
        <v>45.789845098414439</v>
      </c>
      <c r="X56" s="684">
        <f t="shared" si="13"/>
        <v>-97.88990693258414</v>
      </c>
      <c r="Y56" s="687">
        <f t="shared" si="14"/>
        <v>82.11009306741586</v>
      </c>
      <c r="AA56" s="170">
        <f t="shared" si="15"/>
        <v>1000000000</v>
      </c>
      <c r="AB56" s="170">
        <f t="shared" si="16"/>
        <v>2754.255361</v>
      </c>
      <c r="AD56" s="686">
        <f t="shared" si="17"/>
        <v>45.275014600660583</v>
      </c>
      <c r="AE56" s="687">
        <f t="shared" si="18"/>
        <v>-82.504979626752004</v>
      </c>
      <c r="AG56" s="686">
        <f t="shared" si="19"/>
        <v>54.025126292786425</v>
      </c>
      <c r="AH56" s="687">
        <f t="shared" si="20"/>
        <v>-15.290402172694606</v>
      </c>
      <c r="AJ56" s="170">
        <f t="shared" si="21"/>
        <v>0</v>
      </c>
      <c r="AK56" s="170">
        <f t="shared" si="33"/>
        <v>0</v>
      </c>
      <c r="AM56" s="170" t="str">
        <f t="shared" si="26"/>
        <v>6.94325808958673E-07+0.00117841042743177i</v>
      </c>
      <c r="AN56" s="170" t="str">
        <f t="shared" si="27"/>
        <v>0.00117841070016544i</v>
      </c>
      <c r="AO56" s="170" t="str">
        <f t="shared" si="28"/>
        <v>0.99999976855805-0.000589205282047418i</v>
      </c>
      <c r="AP56" s="170" t="str">
        <f t="shared" si="29"/>
        <v>0.166666550945699-0.000196401737905295i</v>
      </c>
      <c r="AQ56" s="170" t="str">
        <f t="shared" si="30"/>
        <v>0.833333449054301+0.000196401737905295i</v>
      </c>
      <c r="AR56" s="170" t="str">
        <f t="shared" si="31"/>
        <v>0.999599805666603-0.000235587734136331i</v>
      </c>
    </row>
    <row r="57" spans="1:44">
      <c r="A57" s="170">
        <v>0.9</v>
      </c>
      <c r="C57" s="170" t="s">
        <v>808</v>
      </c>
      <c r="D57" s="170" t="str">
        <f>IMDIV(0.833,D56)</f>
        <v>0.997843222375002-0.0223304595133147i</v>
      </c>
      <c r="G57" s="688">
        <v>57.544000000000004</v>
      </c>
      <c r="H57" s="676">
        <f t="shared" si="23"/>
        <v>5.7544000000000005E-2</v>
      </c>
      <c r="I57" s="677">
        <f t="shared" si="0"/>
        <v>1.0441723851018356</v>
      </c>
      <c r="J57" s="678">
        <f t="shared" si="1"/>
        <v>0.29190891488918747</v>
      </c>
      <c r="K57" s="678">
        <f t="shared" si="2"/>
        <v>1.0000000031635536</v>
      </c>
      <c r="L57" s="679">
        <f t="shared" si="3"/>
        <v>7.9543115110944723E-5</v>
      </c>
      <c r="M57" s="678">
        <f t="shared" si="4"/>
        <v>1.0000000467015873</v>
      </c>
      <c r="N57" s="679">
        <f t="shared" si="5"/>
        <v>-3.0561932313313486E-4</v>
      </c>
      <c r="O57" s="677">
        <f t="shared" si="6"/>
        <v>1084.6793056754391</v>
      </c>
      <c r="P57" s="680">
        <f t="shared" si="7"/>
        <v>1.5698743951820897</v>
      </c>
      <c r="Q57" s="689">
        <f t="shared" si="8"/>
        <v>1.010507664637067</v>
      </c>
      <c r="R57" s="690">
        <f t="shared" si="9"/>
        <v>0.14433622541812893</v>
      </c>
      <c r="S57" s="677">
        <f t="shared" si="10"/>
        <v>1.0000023766429584</v>
      </c>
      <c r="T57" s="680">
        <f t="shared" si="11"/>
        <v>2.1802010234936299E-3</v>
      </c>
      <c r="U57" s="681">
        <f t="shared" si="24"/>
        <v>0.99959973020380888</v>
      </c>
      <c r="V57" s="682">
        <f t="shared" si="25"/>
        <v>-9.0446674797502614E-4</v>
      </c>
      <c r="W57" s="683">
        <f t="shared" si="12"/>
        <v>44.944092066855205</v>
      </c>
      <c r="X57" s="684">
        <f t="shared" si="13"/>
        <v>-98.592161257403944</v>
      </c>
      <c r="Y57" s="687">
        <f t="shared" si="14"/>
        <v>81.407838742596056</v>
      </c>
      <c r="AA57" s="170">
        <f t="shared" si="15"/>
        <v>1000000000</v>
      </c>
      <c r="AB57" s="170">
        <f t="shared" si="16"/>
        <v>3311.3119360000005</v>
      </c>
      <c r="AD57" s="686">
        <f t="shared" si="17"/>
        <v>44.490194609229164</v>
      </c>
      <c r="AE57" s="687">
        <f t="shared" si="18"/>
        <v>-81.802237072887792</v>
      </c>
      <c r="AG57" s="686">
        <f t="shared" si="19"/>
        <v>53.96419404143343</v>
      </c>
      <c r="AH57" s="687">
        <f t="shared" si="20"/>
        <v>-16.686279929659953</v>
      </c>
      <c r="AJ57" s="170">
        <f t="shared" si="21"/>
        <v>0</v>
      </c>
      <c r="AK57" s="170">
        <f t="shared" si="33"/>
        <v>0</v>
      </c>
      <c r="AM57" s="170" t="str">
        <f t="shared" si="26"/>
        <v>8.34755308987134E-07+0.00129209516704973i</v>
      </c>
      <c r="AN57" s="170" t="str">
        <f t="shared" si="27"/>
        <v>0.00129209552657762i</v>
      </c>
      <c r="AO57" s="170" t="str">
        <f t="shared" si="28"/>
        <v>0.999999721748212-0.000646047673578868i</v>
      </c>
      <c r="AP57" s="170" t="str">
        <f t="shared" si="29"/>
        <v>0.166666527540782-0.000215349194508288i</v>
      </c>
      <c r="AQ57" s="170" t="str">
        <f t="shared" si="30"/>
        <v>0.833333472459218+0.000215349194508288i</v>
      </c>
      <c r="AR57" s="170" t="str">
        <f t="shared" si="31"/>
        <v>0.9995997663621-0.000258315562294044i</v>
      </c>
    </row>
    <row r="58" spans="1:44">
      <c r="A58" s="170">
        <v>1</v>
      </c>
      <c r="C58" s="170" t="s">
        <v>809</v>
      </c>
      <c r="D58" s="170">
        <f>IMABS(IMPRODUCT(D54, D57))</f>
        <v>0.99756894702904508</v>
      </c>
      <c r="G58" s="688">
        <v>63.095999999999997</v>
      </c>
      <c r="H58" s="676">
        <f t="shared" si="23"/>
        <v>6.3095999999999999E-2</v>
      </c>
      <c r="I58" s="677">
        <f t="shared" si="0"/>
        <v>1.0528820082243471</v>
      </c>
      <c r="J58" s="678">
        <f t="shared" si="1"/>
        <v>0.31828328137307094</v>
      </c>
      <c r="K58" s="678">
        <f t="shared" si="2"/>
        <v>1.0000000038034591</v>
      </c>
      <c r="L58" s="679">
        <f t="shared" si="3"/>
        <v>8.7217648910383478E-5</v>
      </c>
      <c r="M58" s="678">
        <f t="shared" si="4"/>
        <v>1.0000000561481173</v>
      </c>
      <c r="N58" s="679">
        <f t="shared" si="5"/>
        <v>-3.3510629589475423E-4</v>
      </c>
      <c r="O58" s="677">
        <f t="shared" si="6"/>
        <v>1189.3319994705332</v>
      </c>
      <c r="P58" s="680">
        <f t="shared" si="7"/>
        <v>1.569955518577955</v>
      </c>
      <c r="Q58" s="689">
        <f t="shared" si="8"/>
        <v>1.0126198370892918</v>
      </c>
      <c r="R58" s="690">
        <f t="shared" si="9"/>
        <v>0.15804134821785254</v>
      </c>
      <c r="S58" s="677">
        <f t="shared" si="10"/>
        <v>1.0000028573760451</v>
      </c>
      <c r="T58" s="680">
        <f t="shared" si="11"/>
        <v>2.3905519201200369E-3</v>
      </c>
      <c r="U58" s="681">
        <f t="shared" si="24"/>
        <v>0.9995996756310036</v>
      </c>
      <c r="V58" s="682">
        <f t="shared" si="25"/>
        <v>-9.9173210706575985E-4</v>
      </c>
      <c r="W58" s="683">
        <f t="shared" si="12"/>
        <v>44.090038872211423</v>
      </c>
      <c r="X58" s="684">
        <f t="shared" si="13"/>
        <v>-99.341005395248104</v>
      </c>
      <c r="Y58" s="687">
        <f t="shared" si="14"/>
        <v>80.658994604751896</v>
      </c>
      <c r="AA58" s="170">
        <f t="shared" si="15"/>
        <v>1000000000</v>
      </c>
      <c r="AB58" s="170">
        <f t="shared" si="16"/>
        <v>3981.1052159999995</v>
      </c>
      <c r="AD58" s="686">
        <f t="shared" si="17"/>
        <v>43.708291823094413</v>
      </c>
      <c r="AE58" s="687">
        <f t="shared" si="18"/>
        <v>-81.033691624673239</v>
      </c>
      <c r="AG58" s="686">
        <f t="shared" si="19"/>
        <v>53.892044581330765</v>
      </c>
      <c r="AH58" s="687">
        <f t="shared" si="20"/>
        <v>-18.193669642160039</v>
      </c>
      <c r="AJ58" s="170">
        <f t="shared" si="21"/>
        <v>0</v>
      </c>
      <c r="AK58" s="170">
        <f t="shared" si="33"/>
        <v>0</v>
      </c>
      <c r="AM58" s="170" t="str">
        <f t="shared" si="26"/>
        <v>1.00360482002682E-06+0.00141675990670833i</v>
      </c>
      <c r="AN58" s="170" t="str">
        <f t="shared" si="27"/>
        <v>0.00141676038066421i</v>
      </c>
      <c r="AO58" s="170" t="str">
        <f t="shared" si="28"/>
        <v>0.999999665465038-0.000708380071693074i</v>
      </c>
      <c r="AP58" s="170" t="str">
        <f t="shared" si="29"/>
        <v>0.166666499399197-0.000236126651118055i</v>
      </c>
      <c r="AQ58" s="170" t="str">
        <f t="shared" si="30"/>
        <v>0.833333500600803+0.000236126651118055i</v>
      </c>
      <c r="AR58" s="170" t="str">
        <f t="shared" si="31"/>
        <v>0.99959971910319-0.000283238504104556i</v>
      </c>
    </row>
    <row r="59" spans="1:44">
      <c r="A59" s="170">
        <v>1.2</v>
      </c>
      <c r="G59" s="688">
        <v>69.183000000000007</v>
      </c>
      <c r="H59" s="676">
        <f t="shared" si="23"/>
        <v>6.9183000000000008E-2</v>
      </c>
      <c r="I59" s="677">
        <f t="shared" si="0"/>
        <v>1.0632577256421549</v>
      </c>
      <c r="J59" s="678">
        <f t="shared" si="1"/>
        <v>0.34668061460657024</v>
      </c>
      <c r="K59" s="678">
        <f t="shared" si="2"/>
        <v>1.0000000045727122</v>
      </c>
      <c r="L59" s="679">
        <f t="shared" si="3"/>
        <v>9.5631713602647113E-5</v>
      </c>
      <c r="M59" s="678">
        <f t="shared" si="4"/>
        <v>1.0000000675041265</v>
      </c>
      <c r="N59" s="679">
        <f t="shared" si="5"/>
        <v>-3.6743468196669994E-4</v>
      </c>
      <c r="O59" s="677">
        <f t="shared" si="6"/>
        <v>1304.0692092449899</v>
      </c>
      <c r="P59" s="680">
        <f t="shared" si="7"/>
        <v>1.5700294962532999</v>
      </c>
      <c r="Q59" s="689">
        <f t="shared" si="8"/>
        <v>1.0151531376314145</v>
      </c>
      <c r="R59" s="690">
        <f t="shared" si="9"/>
        <v>0.17299844912688772</v>
      </c>
      <c r="S59" s="677">
        <f t="shared" si="10"/>
        <v>1.0000034352820442</v>
      </c>
      <c r="T59" s="680">
        <f t="shared" si="11"/>
        <v>2.621172336940876E-3</v>
      </c>
      <c r="U59" s="681">
        <f t="shared" si="24"/>
        <v>0.99959961002710518</v>
      </c>
      <c r="V59" s="682">
        <f t="shared" si="25"/>
        <v>-1.0874064940313514E-3</v>
      </c>
      <c r="W59" s="683">
        <f t="shared" si="12"/>
        <v>43.226608407687323</v>
      </c>
      <c r="X59" s="684">
        <f t="shared" si="13"/>
        <v>-100.13537809741734</v>
      </c>
      <c r="Y59" s="687">
        <f t="shared" si="14"/>
        <v>79.864621902582655</v>
      </c>
      <c r="AA59" s="170">
        <f t="shared" si="15"/>
        <v>1000000000</v>
      </c>
      <c r="AB59" s="170">
        <f t="shared" si="16"/>
        <v>4786.2874890000012</v>
      </c>
      <c r="AD59" s="686">
        <f t="shared" si="17"/>
        <v>42.930038673567125</v>
      </c>
      <c r="AE59" s="687">
        <f t="shared" si="18"/>
        <v>-80.194165053003786</v>
      </c>
      <c r="AG59" s="686">
        <f t="shared" si="19"/>
        <v>53.806868406446846</v>
      </c>
      <c r="AH59" s="687">
        <f t="shared" si="20"/>
        <v>-19.816605438824961</v>
      </c>
      <c r="AJ59" s="170">
        <f t="shared" si="21"/>
        <v>0</v>
      </c>
      <c r="AK59" s="170">
        <f t="shared" si="33"/>
        <v>0</v>
      </c>
      <c r="AM59" s="170" t="str">
        <f t="shared" si="26"/>
        <v>1.20658479796365E-06+0.00155343752367912i</v>
      </c>
      <c r="AN59" s="170" t="str">
        <f t="shared" si="27"/>
        <v>0.00155343814846412i</v>
      </c>
      <c r="AO59" s="170" t="str">
        <f t="shared" si="28"/>
        <v>0.999999597805036-0.000776718918069958i</v>
      </c>
      <c r="AP59" s="170" t="str">
        <f t="shared" si="29"/>
        <v>0.1666664655692-0.00025890625394652i</v>
      </c>
      <c r="AQ59" s="170" t="str">
        <f t="shared" si="30"/>
        <v>0.8333335344308+0.00025890625394652i</v>
      </c>
      <c r="AR59" s="170" t="str">
        <f t="shared" si="31"/>
        <v>0.999599662291589-0.000310563049868015i</v>
      </c>
    </row>
    <row r="60" spans="1:44">
      <c r="A60" s="170">
        <v>1.5</v>
      </c>
      <c r="C60" s="170" t="s">
        <v>743</v>
      </c>
      <c r="D60" s="170">
        <f>10^(-D51/20)/O3*'Design Converter'!E40/10*Acs</f>
        <v>39455.698268487125</v>
      </c>
      <c r="G60" s="688">
        <v>75.858000000000004</v>
      </c>
      <c r="H60" s="676">
        <f t="shared" si="23"/>
        <v>7.5858000000000009E-2</v>
      </c>
      <c r="I60" s="677">
        <f t="shared" si="0"/>
        <v>1.0756009391190307</v>
      </c>
      <c r="J60" s="678">
        <f t="shared" si="1"/>
        <v>0.37716398259639183</v>
      </c>
      <c r="K60" s="678">
        <f t="shared" si="2"/>
        <v>1.0000000054976599</v>
      </c>
      <c r="L60" s="679">
        <f t="shared" si="3"/>
        <v>1.0485857112291015E-4</v>
      </c>
      <c r="M60" s="678">
        <f t="shared" si="4"/>
        <v>1.0000000811585568</v>
      </c>
      <c r="N60" s="679">
        <f t="shared" si="5"/>
        <v>-4.0288596694136694E-4</v>
      </c>
      <c r="O60" s="677">
        <f t="shared" si="6"/>
        <v>1429.8899611395004</v>
      </c>
      <c r="P60" s="680">
        <f t="shared" si="7"/>
        <v>1.5700969722230811</v>
      </c>
      <c r="Q60" s="689">
        <f t="shared" si="8"/>
        <v>1.0181908248006231</v>
      </c>
      <c r="R60" s="690">
        <f t="shared" si="9"/>
        <v>0.18931076832421251</v>
      </c>
      <c r="S60" s="677">
        <f t="shared" si="10"/>
        <v>1.0000041301539881</v>
      </c>
      <c r="T60" s="680">
        <f t="shared" si="11"/>
        <v>2.8740702054717644E-3</v>
      </c>
      <c r="U60" s="681">
        <f t="shared" si="24"/>
        <v>0.9995995311451934</v>
      </c>
      <c r="V60" s="682">
        <f t="shared" si="25"/>
        <v>-1.192322949176431E-3</v>
      </c>
      <c r="W60" s="683">
        <f t="shared" si="12"/>
        <v>42.352262129580254</v>
      </c>
      <c r="X60" s="684">
        <f t="shared" si="13"/>
        <v>-100.97318927335498</v>
      </c>
      <c r="Y60" s="687">
        <f t="shared" si="14"/>
        <v>79.026810726645024</v>
      </c>
      <c r="AA60" s="170">
        <f t="shared" si="15"/>
        <v>1000000000</v>
      </c>
      <c r="AB60" s="170">
        <f t="shared" si="16"/>
        <v>5754.4361640000006</v>
      </c>
      <c r="AD60" s="686">
        <f t="shared" si="17"/>
        <v>42.155945469315057</v>
      </c>
      <c r="AE60" s="687">
        <f t="shared" si="18"/>
        <v>-79.27789407668152</v>
      </c>
      <c r="AG60" s="686">
        <f t="shared" si="19"/>
        <v>53.70661670345995</v>
      </c>
      <c r="AH60" s="687">
        <f t="shared" si="20"/>
        <v>-21.558665050908523</v>
      </c>
      <c r="AJ60" s="170">
        <f t="shared" si="21"/>
        <v>0</v>
      </c>
      <c r="AK60" s="170">
        <f t="shared" si="33"/>
        <v>0</v>
      </c>
      <c r="AM60" s="170" t="str">
        <f t="shared" si="26"/>
        <v>0.0000014506472769682+0.00170331807068813i</v>
      </c>
      <c r="AN60" s="170" t="str">
        <f t="shared" si="27"/>
        <v>0.00170331889432652i</v>
      </c>
      <c r="AO60" s="170" t="str">
        <f t="shared" si="28"/>
        <v>0.999999516450858-0.000851659241143905i</v>
      </c>
      <c r="AP60" s="170" t="str">
        <f t="shared" si="29"/>
        <v>0.16666642489212-0.000283886345114688i</v>
      </c>
      <c r="AQ60" s="170" t="str">
        <f t="shared" si="30"/>
        <v>0.83333357510788+0.000283886345114688i</v>
      </c>
      <c r="AR60" s="170" t="str">
        <f t="shared" si="31"/>
        <v>0.999599593981517-0.000340527111579301i</v>
      </c>
    </row>
    <row r="61" spans="1:44">
      <c r="A61" s="170">
        <v>1.8</v>
      </c>
      <c r="C61" s="170" t="s">
        <v>744</v>
      </c>
      <c r="D61" s="170">
        <f>1/(6.28*D60*pole1*2)</f>
        <v>1.0537431464623358E-8</v>
      </c>
      <c r="G61" s="688">
        <v>83.176000000000002</v>
      </c>
      <c r="H61" s="676">
        <f t="shared" si="23"/>
        <v>8.3176E-2</v>
      </c>
      <c r="I61" s="677">
        <f t="shared" si="0"/>
        <v>1.0902537633960172</v>
      </c>
      <c r="J61" s="678">
        <f t="shared" si="1"/>
        <v>0.40975700754009764</v>
      </c>
      <c r="K61" s="678">
        <f t="shared" si="2"/>
        <v>1.0000000066095389</v>
      </c>
      <c r="L61" s="679">
        <f t="shared" si="3"/>
        <v>1.1497424800619814E-4</v>
      </c>
      <c r="M61" s="678">
        <f t="shared" si="4"/>
        <v>1.0000000975725369</v>
      </c>
      <c r="N61" s="679">
        <f t="shared" si="5"/>
        <v>-4.4175225842524183E-4</v>
      </c>
      <c r="O61" s="677">
        <f t="shared" si="6"/>
        <v>1567.8309804503601</v>
      </c>
      <c r="P61" s="680">
        <f t="shared" si="7"/>
        <v>1.5701585028966114</v>
      </c>
      <c r="Q61" s="689">
        <f t="shared" si="8"/>
        <v>1.0218304740060435</v>
      </c>
      <c r="R61" s="690">
        <f t="shared" si="9"/>
        <v>0.20707772917024303</v>
      </c>
      <c r="S61" s="677">
        <f t="shared" si="10"/>
        <v>1.0000049654584029</v>
      </c>
      <c r="T61" s="680">
        <f t="shared" si="11"/>
        <v>3.1513291978312141E-3</v>
      </c>
      <c r="U61" s="681">
        <f t="shared" si="24"/>
        <v>0.99959943632133574</v>
      </c>
      <c r="V61" s="682">
        <f t="shared" si="25"/>
        <v>-1.3073459485891837E-3</v>
      </c>
      <c r="W61" s="683">
        <f t="shared" si="12"/>
        <v>41.465786698673654</v>
      </c>
      <c r="X61" s="684">
        <f t="shared" si="13"/>
        <v>-101.8503090132309</v>
      </c>
      <c r="Y61" s="687">
        <f t="shared" si="14"/>
        <v>78.149690986769102</v>
      </c>
      <c r="AA61" s="170">
        <f t="shared" si="15"/>
        <v>1000000000</v>
      </c>
      <c r="AB61" s="170">
        <f t="shared" si="16"/>
        <v>6918.2469760000004</v>
      </c>
      <c r="AD61" s="686">
        <f t="shared" si="17"/>
        <v>41.386999144743399</v>
      </c>
      <c r="AE61" s="687">
        <f t="shared" si="18"/>
        <v>-78.279333422286896</v>
      </c>
      <c r="AG61" s="686">
        <f t="shared" si="19"/>
        <v>53.58908924504415</v>
      </c>
      <c r="AH61" s="687">
        <f t="shared" si="20"/>
        <v>-23.421164780337431</v>
      </c>
      <c r="AJ61" s="170">
        <f t="shared" si="21"/>
        <v>0</v>
      </c>
      <c r="AK61" s="170">
        <f t="shared" si="33"/>
        <v>0</v>
      </c>
      <c r="AM61" s="170" t="str">
        <f t="shared" si="26"/>
        <v>1.74403457797734E-06+0.00186763650494757i</v>
      </c>
      <c r="AN61" s="170" t="str">
        <f t="shared" si="27"/>
        <v>0.00186763759068921i</v>
      </c>
      <c r="AO61" s="170" t="str">
        <f t="shared" si="28"/>
        <v>0.999999418655072-0.000933818523824926i</v>
      </c>
      <c r="AP61" s="170" t="str">
        <f t="shared" si="29"/>
        <v>0.166666375994237-0.000311272750824595i</v>
      </c>
      <c r="AQ61" s="170" t="str">
        <f t="shared" si="30"/>
        <v>0.833333624005763+0.000311272750824595i</v>
      </c>
      <c r="AR61" s="170" t="str">
        <f t="shared" si="31"/>
        <v>0.999599511866059-0.000373377577501083i</v>
      </c>
    </row>
    <row r="62" spans="1:44">
      <c r="A62" s="170">
        <v>2</v>
      </c>
      <c r="C62" s="170" t="s">
        <v>812</v>
      </c>
      <c r="D62" s="170">
        <f>D61/150</f>
        <v>7.0249543097489055E-11</v>
      </c>
      <c r="G62" s="688">
        <v>91.201000000000008</v>
      </c>
      <c r="H62" s="676">
        <f t="shared" si="23"/>
        <v>9.1201000000000004E-2</v>
      </c>
      <c r="I62" s="677">
        <f t="shared" si="0"/>
        <v>1.1076157973312613</v>
      </c>
      <c r="J62" s="678">
        <f t="shared" si="1"/>
        <v>0.44446661068766463</v>
      </c>
      <c r="K62" s="678">
        <f t="shared" si="2"/>
        <v>1.000000007946471</v>
      </c>
      <c r="L62" s="679">
        <f t="shared" si="3"/>
        <v>1.2606721149210638E-4</v>
      </c>
      <c r="M62" s="678">
        <f t="shared" si="4"/>
        <v>1.0000001173088375</v>
      </c>
      <c r="N62" s="679">
        <f t="shared" si="5"/>
        <v>-4.8437346338543025E-4</v>
      </c>
      <c r="O62" s="677">
        <f t="shared" si="6"/>
        <v>1719.0986384860187</v>
      </c>
      <c r="P62" s="680">
        <f t="shared" si="7"/>
        <v>1.5702146265747878</v>
      </c>
      <c r="Q62" s="689">
        <f t="shared" si="8"/>
        <v>1.0261897247378438</v>
      </c>
      <c r="R62" s="690">
        <f t="shared" si="9"/>
        <v>0.22640949388253076</v>
      </c>
      <c r="S62" s="677">
        <f t="shared" si="10"/>
        <v>1.0000059698341857</v>
      </c>
      <c r="T62" s="680">
        <f t="shared" si="11"/>
        <v>3.4553739267446349E-3</v>
      </c>
      <c r="U62" s="681">
        <f t="shared" si="24"/>
        <v>0.99959932230439885</v>
      </c>
      <c r="V62" s="682">
        <f t="shared" si="25"/>
        <v>-1.4334814263303622E-3</v>
      </c>
      <c r="W62" s="683">
        <f t="shared" si="12"/>
        <v>40.565491367526846</v>
      </c>
      <c r="X62" s="684">
        <f t="shared" si="13"/>
        <v>-102.76106384998072</v>
      </c>
      <c r="Y62" s="687">
        <f t="shared" si="14"/>
        <v>77.238936150019285</v>
      </c>
      <c r="AA62" s="170">
        <f t="shared" si="15"/>
        <v>1000000000</v>
      </c>
      <c r="AB62" s="170">
        <f t="shared" si="16"/>
        <v>8317.6224010000005</v>
      </c>
      <c r="AD62" s="686">
        <f t="shared" si="17"/>
        <v>40.623935556463628</v>
      </c>
      <c r="AE62" s="687">
        <f t="shared" si="18"/>
        <v>-77.192341022131018</v>
      </c>
      <c r="AG62" s="686">
        <f t="shared" si="19"/>
        <v>53.451859483647993</v>
      </c>
      <c r="AH62" s="687">
        <f t="shared" si="20"/>
        <v>-25.404457956183769</v>
      </c>
      <c r="AJ62" s="170">
        <f t="shared" si="21"/>
        <v>0</v>
      </c>
      <c r="AK62" s="170">
        <f t="shared" si="33"/>
        <v>0</v>
      </c>
      <c r="AM62" s="170" t="str">
        <f t="shared" si="26"/>
        <v>2.09680577600846E-06+0.00204782986508724i</v>
      </c>
      <c r="AN62" s="170" t="str">
        <f t="shared" si="27"/>
        <v>0.00204783129638894i</v>
      </c>
      <c r="AO62" s="170" t="str">
        <f t="shared" si="28"/>
        <v>0.999999301064642-0.0010239152901442i</v>
      </c>
      <c r="AP62" s="170" t="str">
        <f t="shared" si="29"/>
        <v>0.166666317199037-0.00034130497751454i</v>
      </c>
      <c r="AQ62" s="170" t="str">
        <f t="shared" si="30"/>
        <v>0.833333682800963+0.00034130497751454i</v>
      </c>
      <c r="AR62" s="170" t="str">
        <f t="shared" si="31"/>
        <v>0.999599413129815-0.000409401734578998i</v>
      </c>
    </row>
    <row r="63" spans="1:44">
      <c r="A63" s="170">
        <v>2.5</v>
      </c>
      <c r="G63" s="688">
        <v>100</v>
      </c>
      <c r="H63" s="676">
        <f t="shared" si="23"/>
        <v>0.1</v>
      </c>
      <c r="I63" s="677">
        <f t="shared" si="0"/>
        <v>1.1281353686422153</v>
      </c>
      <c r="J63" s="678">
        <f t="shared" si="1"/>
        <v>0.48124688974351792</v>
      </c>
      <c r="K63" s="678">
        <f t="shared" si="2"/>
        <v>1.0000000095537769</v>
      </c>
      <c r="L63" s="679">
        <f t="shared" si="3"/>
        <v>1.382300757195871E-4</v>
      </c>
      <c r="M63" s="678">
        <f t="shared" si="4"/>
        <v>1.0000001410365011</v>
      </c>
      <c r="N63" s="679">
        <f t="shared" si="5"/>
        <v>-5.3110542178638103E-4</v>
      </c>
      <c r="O63" s="677">
        <f t="shared" si="6"/>
        <v>1884.9558552582205</v>
      </c>
      <c r="P63" s="680">
        <f t="shared" si="7"/>
        <v>1.5702658103670883</v>
      </c>
      <c r="Q63" s="689">
        <f t="shared" si="8"/>
        <v>1.0314061769446334</v>
      </c>
      <c r="R63" s="690">
        <f t="shared" si="9"/>
        <v>0.24740922670105239</v>
      </c>
      <c r="S63" s="677">
        <f t="shared" si="10"/>
        <v>1.0000071773282</v>
      </c>
      <c r="T63" s="680">
        <f t="shared" si="11"/>
        <v>3.7887426072049E-3</v>
      </c>
      <c r="U63" s="681">
        <f t="shared" si="24"/>
        <v>0.99959918522934144</v>
      </c>
      <c r="V63" s="682">
        <f t="shared" si="25"/>
        <v>-1.571782468529634E-3</v>
      </c>
      <c r="W63" s="683">
        <f t="shared" si="12"/>
        <v>39.650072007855833</v>
      </c>
      <c r="X63" s="684">
        <f t="shared" si="13"/>
        <v>-103.69716051176904</v>
      </c>
      <c r="Y63" s="687">
        <f t="shared" si="14"/>
        <v>76.302839488230958</v>
      </c>
      <c r="AA63" s="170">
        <f t="shared" si="15"/>
        <v>1000000000</v>
      </c>
      <c r="AB63" s="170">
        <f t="shared" si="16"/>
        <v>10000</v>
      </c>
      <c r="AD63" s="686">
        <f t="shared" si="17"/>
        <v>39.867958646992044</v>
      </c>
      <c r="AE63" s="687">
        <f t="shared" si="18"/>
        <v>-76.011178193068204</v>
      </c>
      <c r="AG63" s="686">
        <f t="shared" si="19"/>
        <v>53.292419415640857</v>
      </c>
      <c r="AH63" s="687">
        <f t="shared" si="20"/>
        <v>-27.505869314976245</v>
      </c>
      <c r="AJ63" s="170">
        <f t="shared" si="21"/>
        <v>0</v>
      </c>
      <c r="AK63" s="170">
        <f t="shared" si="33"/>
        <v>0</v>
      </c>
      <c r="AM63" s="170" t="str">
        <f t="shared" si="26"/>
        <v>2.52091947294808E-06+0.00224540254556718i</v>
      </c>
      <c r="AN63" s="170" t="str">
        <f t="shared" si="27"/>
        <v>0.00224540443239542i</v>
      </c>
      <c r="AO63" s="170" t="str">
        <f t="shared" si="28"/>
        <v>0.999999159693366-0.00112270174431728i</v>
      </c>
      <c r="AP63" s="170" t="str">
        <f t="shared" si="29"/>
        <v>0.166666246513421-0.00037423375759453i</v>
      </c>
      <c r="AQ63" s="170" t="str">
        <f t="shared" si="30"/>
        <v>0.833333753486579+0.00037423375759453i</v>
      </c>
      <c r="AR63" s="170" t="str">
        <f t="shared" si="31"/>
        <v>0.999599294425744-0.000448900333721826i</v>
      </c>
    </row>
    <row r="64" spans="1:44">
      <c r="A64" s="170">
        <v>3</v>
      </c>
      <c r="C64" s="170" t="s">
        <v>743</v>
      </c>
      <c r="D64" s="172">
        <f>D60/1000</f>
        <v>39.455698268487126</v>
      </c>
      <c r="G64" s="688">
        <v>109.65</v>
      </c>
      <c r="H64" s="676">
        <f t="shared" si="23"/>
        <v>0.10965000000000001</v>
      </c>
      <c r="I64" s="677">
        <f t="shared" si="0"/>
        <v>1.1523271315325516</v>
      </c>
      <c r="J64" s="678">
        <f t="shared" si="1"/>
        <v>0.5200202347891697</v>
      </c>
      <c r="K64" s="678">
        <f t="shared" si="2"/>
        <v>1.0000000114866232</v>
      </c>
      <c r="L64" s="679">
        <f t="shared" si="3"/>
        <v>1.5156927783122057E-4</v>
      </c>
      <c r="M64" s="678">
        <f t="shared" si="4"/>
        <v>1.0000001695699106</v>
      </c>
      <c r="N64" s="679">
        <f t="shared" si="5"/>
        <v>-5.823570839110124E-4</v>
      </c>
      <c r="O64" s="677">
        <f t="shared" si="6"/>
        <v>2066.8540463485647</v>
      </c>
      <c r="P64" s="680">
        <f t="shared" si="7"/>
        <v>1.5703124996757145</v>
      </c>
      <c r="Q64" s="689">
        <f t="shared" si="8"/>
        <v>1.0376444288655831</v>
      </c>
      <c r="R64" s="690">
        <f t="shared" si="9"/>
        <v>0.27018601572024786</v>
      </c>
      <c r="S64" s="677">
        <f t="shared" si="10"/>
        <v>1.0000086293833519</v>
      </c>
      <c r="T64" s="680">
        <f t="shared" si="11"/>
        <v>4.1543522472558122E-3</v>
      </c>
      <c r="U64" s="681">
        <f t="shared" si="24"/>
        <v>0.99959902039148696</v>
      </c>
      <c r="V64" s="682">
        <f t="shared" si="25"/>
        <v>-1.7234593361090732E-3</v>
      </c>
      <c r="W64" s="683">
        <f t="shared" si="12"/>
        <v>38.717970881129908</v>
      </c>
      <c r="X64" s="684">
        <f t="shared" si="13"/>
        <v>-104.64818131788491</v>
      </c>
      <c r="Y64" s="687">
        <f t="shared" si="14"/>
        <v>75.351818682115095</v>
      </c>
      <c r="AA64" s="170">
        <f t="shared" si="15"/>
        <v>1000000000</v>
      </c>
      <c r="AB64" s="170">
        <f t="shared" si="16"/>
        <v>12023.122500000001</v>
      </c>
      <c r="AD64" s="686">
        <f t="shared" si="17"/>
        <v>39.120150133570675</v>
      </c>
      <c r="AE64" s="687">
        <f t="shared" si="18"/>
        <v>-74.729787299601057</v>
      </c>
      <c r="AG64" s="686">
        <f t="shared" si="19"/>
        <v>53.108129667011561</v>
      </c>
      <c r="AH64" s="687">
        <f t="shared" si="20"/>
        <v>-29.720900125815248</v>
      </c>
      <c r="AJ64" s="170">
        <f t="shared" si="21"/>
        <v>0</v>
      </c>
      <c r="AK64" s="170">
        <f t="shared" si="33"/>
        <v>0</v>
      </c>
      <c r="AM64" s="170" t="str">
        <f t="shared" si="26"/>
        <v>3.03093210596295E-06+0.00246208347264927i</v>
      </c>
      <c r="AN64" s="170" t="str">
        <f t="shared" si="27"/>
        <v>0.00246208596012157i</v>
      </c>
      <c r="AO64" s="170" t="str">
        <f t="shared" si="28"/>
        <v>0.999998989689093-0.00123104235800658i</v>
      </c>
      <c r="AP64" s="170" t="str">
        <f t="shared" si="29"/>
        <v>0.166666161511316-0.000410347245441545i</v>
      </c>
      <c r="AQ64" s="170" t="str">
        <f t="shared" si="30"/>
        <v>0.833333838488684+0.000410347245441545i</v>
      </c>
      <c r="AR64" s="170" t="str">
        <f t="shared" si="31"/>
        <v>0.999599151679709-0.000492219011748488i</v>
      </c>
    </row>
    <row r="65" spans="1:44">
      <c r="A65" s="170">
        <v>4</v>
      </c>
      <c r="C65" s="170" t="s">
        <v>744</v>
      </c>
      <c r="D65" s="172">
        <f>D61*1000000000</f>
        <v>10.537431464623358</v>
      </c>
      <c r="G65" s="688">
        <v>120.23</v>
      </c>
      <c r="H65" s="676">
        <f t="shared" si="23"/>
        <v>0.12023</v>
      </c>
      <c r="I65" s="677">
        <f t="shared" si="0"/>
        <v>1.1807537585980605</v>
      </c>
      <c r="J65" s="678">
        <f t="shared" si="1"/>
        <v>0.56063688439428405</v>
      </c>
      <c r="K65" s="678">
        <f t="shared" si="2"/>
        <v>1.0000000138102263</v>
      </c>
      <c r="L65" s="679">
        <f t="shared" si="3"/>
        <v>1.66194019566062E-4</v>
      </c>
      <c r="M65" s="678">
        <f t="shared" si="4"/>
        <v>1.0000002038718228</v>
      </c>
      <c r="N65" s="679">
        <f t="shared" si="5"/>
        <v>-6.3854802186485505E-4</v>
      </c>
      <c r="O65" s="677">
        <f t="shared" si="6"/>
        <v>2266.2823264826561</v>
      </c>
      <c r="P65" s="680">
        <f t="shared" si="7"/>
        <v>1.5703550754906064</v>
      </c>
      <c r="Q65" s="689">
        <f t="shared" si="8"/>
        <v>1.0450945588693068</v>
      </c>
      <c r="R65" s="690">
        <f t="shared" si="9"/>
        <v>0.29483116244494417</v>
      </c>
      <c r="S65" s="677">
        <f t="shared" si="10"/>
        <v>1.0000103749928397</v>
      </c>
      <c r="T65" s="680">
        <f t="shared" si="11"/>
        <v>4.5551955260361562E-3</v>
      </c>
      <c r="U65" s="681">
        <f t="shared" si="24"/>
        <v>0.9995988222290173</v>
      </c>
      <c r="V65" s="682">
        <f t="shared" si="25"/>
        <v>-1.8897537226710071E-3</v>
      </c>
      <c r="W65" s="683">
        <f t="shared" si="12"/>
        <v>37.768339839187661</v>
      </c>
      <c r="X65" s="684">
        <f t="shared" si="13"/>
        <v>-105.60059660324561</v>
      </c>
      <c r="Y65" s="687">
        <f t="shared" si="14"/>
        <v>74.399403396754394</v>
      </c>
      <c r="AA65" s="170">
        <f t="shared" si="15"/>
        <v>1000000000</v>
      </c>
      <c r="AB65" s="170">
        <f t="shared" si="16"/>
        <v>14455.252900000001</v>
      </c>
      <c r="AD65" s="686">
        <f t="shared" si="17"/>
        <v>38.382191480218523</v>
      </c>
      <c r="AE65" s="687">
        <f t="shared" si="18"/>
        <v>-73.34313044783373</v>
      </c>
      <c r="AG65" s="686">
        <f t="shared" si="19"/>
        <v>52.896460722237393</v>
      </c>
      <c r="AH65" s="687">
        <f t="shared" si="20"/>
        <v>-32.040916329908057</v>
      </c>
      <c r="AJ65" s="170">
        <f t="shared" si="21"/>
        <v>0</v>
      </c>
      <c r="AK65" s="170">
        <f t="shared" si="33"/>
        <v>0</v>
      </c>
      <c r="AM65" s="170" t="str">
        <f t="shared" si="26"/>
        <v>0.0000036440521710146+0.0026996464698467i</v>
      </c>
      <c r="AN65" s="170" t="str">
        <f t="shared" si="27"/>
        <v>0.00269964974906901i</v>
      </c>
      <c r="AO65" s="170" t="str">
        <f t="shared" si="28"/>
        <v>0.999998785315647-0.00134982405486907i</v>
      </c>
      <c r="AP65" s="170" t="str">
        <f t="shared" si="29"/>
        <v>0.166666059324638-0.000449941078307783i</v>
      </c>
      <c r="AQ65" s="170" t="str">
        <f t="shared" si="30"/>
        <v>0.833333940675362+0.000449941078307783i</v>
      </c>
      <c r="AR65" s="170" t="str">
        <f t="shared" si="31"/>
        <v>0.99959898007531-0.000539712378216521i</v>
      </c>
    </row>
    <row r="66" spans="1:44">
      <c r="A66" s="170">
        <v>5</v>
      </c>
      <c r="C66" s="170" t="s">
        <v>812</v>
      </c>
      <c r="D66" s="172">
        <f>D62*1000000000000</f>
        <v>70.249543097489052</v>
      </c>
      <c r="G66" s="688">
        <v>131.83000000000001</v>
      </c>
      <c r="H66" s="676">
        <f t="shared" si="23"/>
        <v>0.13183</v>
      </c>
      <c r="I66" s="677">
        <f t="shared" si="0"/>
        <v>1.2140473573762172</v>
      </c>
      <c r="J66" s="678">
        <f t="shared" si="1"/>
        <v>0.60290632441945402</v>
      </c>
      <c r="K66" s="678">
        <f t="shared" si="2"/>
        <v>1.0000000166036511</v>
      </c>
      <c r="L66" s="679">
        <f t="shared" si="3"/>
        <v>1.8222870796467204E-4</v>
      </c>
      <c r="M66" s="678">
        <f t="shared" si="4"/>
        <v>1.0000002451094225</v>
      </c>
      <c r="N66" s="679">
        <f t="shared" si="5"/>
        <v>-7.0015622896278846E-4</v>
      </c>
      <c r="O66" s="677">
        <f t="shared" si="6"/>
        <v>2484.9371555093403</v>
      </c>
      <c r="P66" s="680">
        <f t="shared" si="7"/>
        <v>1.5703939021199813</v>
      </c>
      <c r="Q66" s="689">
        <f t="shared" si="8"/>
        <v>1.0539813631604757</v>
      </c>
      <c r="R66" s="690">
        <f t="shared" si="9"/>
        <v>0.32143391767936347</v>
      </c>
      <c r="S66" s="677">
        <f t="shared" si="10"/>
        <v>1.0000124735525178</v>
      </c>
      <c r="T66" s="680">
        <f t="shared" si="11"/>
        <v>4.9946817438708789E-3</v>
      </c>
      <c r="U66" s="681">
        <f t="shared" si="24"/>
        <v>0.99959858399915325</v>
      </c>
      <c r="V66" s="682">
        <f t="shared" si="25"/>
        <v>-2.0720802117958443E-3</v>
      </c>
      <c r="W66" s="683">
        <f t="shared" si="12"/>
        <v>36.800313040697716</v>
      </c>
      <c r="X66" s="684">
        <f t="shared" si="13"/>
        <v>-106.53869453782069</v>
      </c>
      <c r="Y66" s="687">
        <f t="shared" si="14"/>
        <v>73.461305462179311</v>
      </c>
      <c r="AA66" s="170">
        <f t="shared" si="15"/>
        <v>1000000000</v>
      </c>
      <c r="AB66" s="170">
        <f t="shared" si="16"/>
        <v>17379.148900000004</v>
      </c>
      <c r="AD66" s="686">
        <f t="shared" si="17"/>
        <v>37.655692194505697</v>
      </c>
      <c r="AE66" s="687">
        <f t="shared" si="18"/>
        <v>-71.846310155203582</v>
      </c>
      <c r="AG66" s="686">
        <f t="shared" si="19"/>
        <v>52.65493734959832</v>
      </c>
      <c r="AH66" s="687">
        <f t="shared" si="20"/>
        <v>-34.454941480448817</v>
      </c>
      <c r="AJ66" s="170">
        <f t="shared" si="21"/>
        <v>0</v>
      </c>
      <c r="AK66" s="170">
        <f t="shared" si="33"/>
        <v>0</v>
      </c>
      <c r="AM66" s="170" t="str">
        <f t="shared" si="26"/>
        <v>0.0000043811421309714+0.00296011234032834i</v>
      </c>
      <c r="AN66" s="170" t="str">
        <f t="shared" si="27"/>
        <v>0.00296011666322688i</v>
      </c>
      <c r="AO66" s="170" t="str">
        <f t="shared" si="28"/>
        <v>0.999998539618862-0.00148005725091775i</v>
      </c>
      <c r="AP66" s="170" t="str">
        <f t="shared" si="29"/>
        <v>0.166665936476312-0.00049335205672139i</v>
      </c>
      <c r="AQ66" s="170" t="str">
        <f t="shared" si="30"/>
        <v>0.833334063523688+0.00049335205672139i</v>
      </c>
      <c r="AR66" s="170" t="str">
        <f t="shared" si="31"/>
        <v>0.999598773773471-0.000591784414586459i</v>
      </c>
    </row>
    <row r="67" spans="1:44">
      <c r="A67" s="170">
        <v>6</v>
      </c>
      <c r="G67" s="688">
        <v>144.54</v>
      </c>
      <c r="H67" s="676">
        <f t="shared" si="23"/>
        <v>0.14454</v>
      </c>
      <c r="I67" s="677">
        <f t="shared" si="0"/>
        <v>1.2528757232323089</v>
      </c>
      <c r="J67" s="678">
        <f t="shared" si="1"/>
        <v>0.64655529228484399</v>
      </c>
      <c r="K67" s="678">
        <f t="shared" si="2"/>
        <v>1.0000000199595709</v>
      </c>
      <c r="L67" s="679">
        <f t="shared" si="3"/>
        <v>1.9979775005905508E-4</v>
      </c>
      <c r="M67" s="678">
        <f t="shared" si="4"/>
        <v>1.0000002946507784</v>
      </c>
      <c r="N67" s="679">
        <f t="shared" si="5"/>
        <v>-7.6765969803438373E-4</v>
      </c>
      <c r="O67" s="677">
        <f t="shared" si="6"/>
        <v>2724.5149933049083</v>
      </c>
      <c r="P67" s="680">
        <f t="shared" si="7"/>
        <v>1.5704292889826952</v>
      </c>
      <c r="Q67" s="689">
        <f t="shared" si="8"/>
        <v>1.0645595548937756</v>
      </c>
      <c r="R67" s="690">
        <f t="shared" si="9"/>
        <v>0.35004984677895423</v>
      </c>
      <c r="S67" s="677">
        <f t="shared" si="10"/>
        <v>1.0000149946802452</v>
      </c>
      <c r="T67" s="680">
        <f t="shared" si="11"/>
        <v>5.4762200249184045E-3</v>
      </c>
      <c r="U67" s="681">
        <f t="shared" si="24"/>
        <v>0.99959829779864284</v>
      </c>
      <c r="V67" s="682">
        <f t="shared" si="25"/>
        <v>-2.2718533820527825E-3</v>
      </c>
      <c r="W67" s="683">
        <f t="shared" si="12"/>
        <v>35.814106559014306</v>
      </c>
      <c r="X67" s="684">
        <f t="shared" si="13"/>
        <v>-107.44394903388751</v>
      </c>
      <c r="Y67" s="687">
        <f t="shared" si="14"/>
        <v>72.556050966112494</v>
      </c>
      <c r="AA67" s="170">
        <f t="shared" si="15"/>
        <v>1000000000</v>
      </c>
      <c r="AB67" s="170">
        <f t="shared" si="16"/>
        <v>20891.811599999997</v>
      </c>
      <c r="AD67" s="686">
        <f t="shared" si="17"/>
        <v>36.942935062317119</v>
      </c>
      <c r="AE67" s="687">
        <f t="shared" si="18"/>
        <v>-70.236355818173507</v>
      </c>
      <c r="AG67" s="686">
        <f t="shared" si="19"/>
        <v>52.381492973912856</v>
      </c>
      <c r="AH67" s="687">
        <f t="shared" si="20"/>
        <v>-36.947257994488226</v>
      </c>
      <c r="AJ67" s="170">
        <f t="shared" si="21"/>
        <v>0</v>
      </c>
      <c r="AK67" s="170">
        <f t="shared" si="33"/>
        <v>0</v>
      </c>
      <c r="AM67" s="170" t="str">
        <f t="shared" si="26"/>
        <v>5.26665505895529E-06+0.00324550186892606i</v>
      </c>
      <c r="AN67" s="170" t="str">
        <f t="shared" si="27"/>
        <v>0.00324550756658434i</v>
      </c>
      <c r="AO67" s="170" t="str">
        <f t="shared" si="28"/>
        <v>0.999998244447698-0.00162275235873138i</v>
      </c>
      <c r="AP67" s="170" t="str">
        <f t="shared" si="29"/>
        <v>0.166665788890824-0.000540916978154343i</v>
      </c>
      <c r="AQ67" s="170" t="str">
        <f t="shared" si="30"/>
        <v>0.833334211109176+0.000540916978154343i</v>
      </c>
      <c r="AR67" s="170" t="str">
        <f t="shared" si="31"/>
        <v>0.999598525930176-0.000648839093374085i</v>
      </c>
    </row>
    <row r="68" spans="1:44">
      <c r="A68" s="170">
        <v>7</v>
      </c>
      <c r="G68" s="688">
        <v>158.49</v>
      </c>
      <c r="H68" s="676">
        <f t="shared" si="23"/>
        <v>0.15849000000000002</v>
      </c>
      <c r="I68" s="677">
        <f t="shared" si="0"/>
        <v>1.2980642176621009</v>
      </c>
      <c r="J68" s="678">
        <f t="shared" si="1"/>
        <v>0.69136266742590247</v>
      </c>
      <c r="K68" s="678">
        <f t="shared" si="2"/>
        <v>1.0000000239982088</v>
      </c>
      <c r="L68" s="679">
        <f t="shared" si="3"/>
        <v>2.1908084489830808E-4</v>
      </c>
      <c r="M68" s="678">
        <f t="shared" si="4"/>
        <v>1.000000354270679</v>
      </c>
      <c r="N68" s="679">
        <f t="shared" si="5"/>
        <v>-8.4174886332949721E-4</v>
      </c>
      <c r="O68" s="677">
        <f t="shared" si="6"/>
        <v>2987.4662819569107</v>
      </c>
      <c r="P68" s="680">
        <f t="shared" si="7"/>
        <v>1.5704615949772645</v>
      </c>
      <c r="Q68" s="689">
        <f t="shared" si="8"/>
        <v>1.0771520181378085</v>
      </c>
      <c r="R68" s="690">
        <f t="shared" si="9"/>
        <v>0.38078260464612751</v>
      </c>
      <c r="S68" s="677">
        <f t="shared" si="10"/>
        <v>1.0000180286903781</v>
      </c>
      <c r="T68" s="680">
        <f t="shared" si="11"/>
        <v>6.0047347187025856E-3</v>
      </c>
      <c r="U68" s="681">
        <f t="shared" si="24"/>
        <v>0.99959795337464241</v>
      </c>
      <c r="V68" s="682">
        <f t="shared" si="25"/>
        <v>-2.4911165154649678E-3</v>
      </c>
      <c r="W68" s="683">
        <f t="shared" si="12"/>
        <v>34.808178622341075</v>
      </c>
      <c r="X68" s="684">
        <f t="shared" si="13"/>
        <v>-108.29820087010162</v>
      </c>
      <c r="Y68" s="687">
        <f t="shared" si="14"/>
        <v>71.701799129898376</v>
      </c>
      <c r="AA68" s="170">
        <f t="shared" si="15"/>
        <v>1000000000</v>
      </c>
      <c r="AB68" s="170">
        <f t="shared" si="16"/>
        <v>25119.080100000003</v>
      </c>
      <c r="AD68" s="686">
        <f t="shared" si="17"/>
        <v>36.244773251333783</v>
      </c>
      <c r="AE68" s="687">
        <f t="shared" si="18"/>
        <v>-68.507631156117924</v>
      </c>
      <c r="AG68" s="686">
        <f t="shared" si="19"/>
        <v>52.073732833886154</v>
      </c>
      <c r="AH68" s="687">
        <f t="shared" si="20"/>
        <v>-39.505108788434534</v>
      </c>
      <c r="AJ68" s="170">
        <f t="shared" si="21"/>
        <v>0</v>
      </c>
      <c r="AK68" s="170">
        <f t="shared" si="33"/>
        <v>0</v>
      </c>
      <c r="AM68" s="170" t="str">
        <f t="shared" si="26"/>
        <v>6.33231379498778E-06+0.00355873397321106i</v>
      </c>
      <c r="AN68" s="170" t="str">
        <f t="shared" si="27"/>
        <v>0.0035587414849035i</v>
      </c>
      <c r="AO68" s="170" t="str">
        <f t="shared" si="28"/>
        <v>0.999997889227843-0.00177936886448482i</v>
      </c>
      <c r="AP68" s="170" t="str">
        <f t="shared" si="29"/>
        <v>0.166665611281034-0.00059312232886851i</v>
      </c>
      <c r="AQ68" s="170" t="str">
        <f t="shared" si="30"/>
        <v>0.833334388718966+0.00059312232886851i</v>
      </c>
      <c r="AR68" s="170" t="str">
        <f t="shared" si="31"/>
        <v>0.999598227666743-0.00071145993343433i</v>
      </c>
    </row>
    <row r="69" spans="1:44">
      <c r="A69" s="170">
        <v>8</v>
      </c>
      <c r="G69" s="688">
        <v>173.78</v>
      </c>
      <c r="H69" s="676">
        <f t="shared" si="23"/>
        <v>0.17377999999999999</v>
      </c>
      <c r="I69" s="677">
        <f t="shared" si="0"/>
        <v>1.3503733066652115</v>
      </c>
      <c r="J69" s="678">
        <f t="shared" si="1"/>
        <v>0.73692877115731592</v>
      </c>
      <c r="K69" s="678">
        <f t="shared" si="2"/>
        <v>1.0000000288519175</v>
      </c>
      <c r="L69" s="679">
        <f t="shared" si="3"/>
        <v>2.4021622249501424E-4</v>
      </c>
      <c r="M69" s="678">
        <f t="shared" si="4"/>
        <v>1.0000004259229573</v>
      </c>
      <c r="N69" s="679">
        <f t="shared" si="5"/>
        <v>-9.2295482668883937E-4</v>
      </c>
      <c r="O69" s="677">
        <f t="shared" si="6"/>
        <v>3275.6759769422538</v>
      </c>
      <c r="P69" s="680">
        <f t="shared" si="7"/>
        <v>1.5704910462901789</v>
      </c>
      <c r="Q69" s="689">
        <f t="shared" si="8"/>
        <v>1.0920937760164364</v>
      </c>
      <c r="R69" s="690">
        <f t="shared" si="9"/>
        <v>0.41361892788198135</v>
      </c>
      <c r="S69" s="677">
        <f t="shared" si="10"/>
        <v>1.0000216750068536</v>
      </c>
      <c r="T69" s="680">
        <f t="shared" si="11"/>
        <v>6.5840132678939541E-3</v>
      </c>
      <c r="U69" s="681">
        <f t="shared" si="24"/>
        <v>0.99959753944005403</v>
      </c>
      <c r="V69" s="682">
        <f t="shared" si="25"/>
        <v>-2.7314413486600104E-3</v>
      </c>
      <c r="W69" s="683">
        <f t="shared" si="12"/>
        <v>33.784690879206607</v>
      </c>
      <c r="X69" s="684">
        <f t="shared" si="13"/>
        <v>-109.07965260917166</v>
      </c>
      <c r="Y69" s="687">
        <f t="shared" si="14"/>
        <v>70.92034739082834</v>
      </c>
      <c r="AA69" s="170">
        <f t="shared" si="15"/>
        <v>1000000000</v>
      </c>
      <c r="AB69" s="170">
        <f t="shared" si="16"/>
        <v>30199.488400000002</v>
      </c>
      <c r="AD69" s="686">
        <f t="shared" si="17"/>
        <v>35.564441763504384</v>
      </c>
      <c r="AE69" s="687">
        <f t="shared" si="18"/>
        <v>-66.661126069828455</v>
      </c>
      <c r="AG69" s="686">
        <f t="shared" si="19"/>
        <v>51.730583772255073</v>
      </c>
      <c r="AH69" s="687">
        <f t="shared" si="20"/>
        <v>-42.105526416454069</v>
      </c>
      <c r="AJ69" s="170">
        <f t="shared" si="21"/>
        <v>0</v>
      </c>
      <c r="AK69" s="170">
        <f t="shared" si="33"/>
        <v>0</v>
      </c>
      <c r="AM69" s="170" t="str">
        <f t="shared" si="26"/>
        <v>7.61304137797403E-06+0.00390205392042062i</v>
      </c>
      <c r="AN69" s="170" t="str">
        <f t="shared" si="27"/>
        <v>0.00390206382261676i</v>
      </c>
      <c r="AO69" s="170" t="str">
        <f t="shared" si="28"/>
        <v>0.999997462318252-0.0019510294357176i</v>
      </c>
      <c r="AP69" s="170" t="str">
        <f t="shared" si="29"/>
        <v>0.166665397826437-0.000650342320070103i</v>
      </c>
      <c r="AQ69" s="170" t="str">
        <f t="shared" si="30"/>
        <v>0.833334602173563+0.000650342320070103i</v>
      </c>
      <c r="AR69" s="170" t="str">
        <f t="shared" si="31"/>
        <v>0.999597869208861-0.000780095769097833i</v>
      </c>
    </row>
    <row r="70" spans="1:44">
      <c r="A70" s="170">
        <v>9</v>
      </c>
      <c r="G70" s="688">
        <v>190.55</v>
      </c>
      <c r="H70" s="676">
        <f t="shared" si="23"/>
        <v>0.19055000000000002</v>
      </c>
      <c r="I70" s="677">
        <f t="shared" si="0"/>
        <v>1.4107147931302439</v>
      </c>
      <c r="J70" s="678">
        <f t="shared" si="1"/>
        <v>0.78291493831282089</v>
      </c>
      <c r="K70" s="678">
        <f t="shared" si="2"/>
        <v>1.0000000346890974</v>
      </c>
      <c r="L70" s="679">
        <f t="shared" si="3"/>
        <v>2.6339740486995452E-4</v>
      </c>
      <c r="M70" s="678">
        <f t="shared" si="4"/>
        <v>1.0000005120936031</v>
      </c>
      <c r="N70" s="679">
        <f t="shared" si="5"/>
        <v>-1.0120211308688924E-3</v>
      </c>
      <c r="O70" s="677">
        <f t="shared" si="6"/>
        <v>3591.7830159516307</v>
      </c>
      <c r="P70" s="680">
        <f t="shared" si="7"/>
        <v>1.5705179135365015</v>
      </c>
      <c r="Q70" s="689">
        <f t="shared" si="8"/>
        <v>1.1097966644480117</v>
      </c>
      <c r="R70" s="690">
        <f t="shared" si="9"/>
        <v>0.44857511750706158</v>
      </c>
      <c r="S70" s="677">
        <f t="shared" si="10"/>
        <v>1.0000260601320321</v>
      </c>
      <c r="T70" s="680">
        <f t="shared" si="11"/>
        <v>7.2193581574152236E-3</v>
      </c>
      <c r="U70" s="681">
        <f t="shared" si="24"/>
        <v>0.99959704163358687</v>
      </c>
      <c r="V70" s="682">
        <f t="shared" si="25"/>
        <v>-2.9950283159749344E-3</v>
      </c>
      <c r="W70" s="683">
        <f t="shared" si="12"/>
        <v>32.744428272303075</v>
      </c>
      <c r="X70" s="684">
        <f t="shared" si="13"/>
        <v>-109.76844309127631</v>
      </c>
      <c r="Y70" s="687">
        <f t="shared" si="14"/>
        <v>70.23155690872369</v>
      </c>
      <c r="AA70" s="170">
        <f t="shared" si="15"/>
        <v>1000000000</v>
      </c>
      <c r="AB70" s="170">
        <f t="shared" si="16"/>
        <v>36309.302500000005</v>
      </c>
      <c r="AD70" s="686">
        <f t="shared" si="17"/>
        <v>34.903890202857774</v>
      </c>
      <c r="AE70" s="687">
        <f t="shared" si="18"/>
        <v>-64.696225894733331</v>
      </c>
      <c r="AG70" s="686">
        <f t="shared" si="19"/>
        <v>51.350881377266163</v>
      </c>
      <c r="AH70" s="687">
        <f t="shared" si="20"/>
        <v>-44.729012232095734</v>
      </c>
      <c r="AJ70" s="170">
        <f t="shared" si="21"/>
        <v>0</v>
      </c>
      <c r="AK70" s="170">
        <f t="shared" si="33"/>
        <v>0</v>
      </c>
      <c r="AM70" s="170" t="str">
        <f t="shared" si="26"/>
        <v>9.15327265604837E-06+0.00427860509146868i</v>
      </c>
      <c r="AN70" s="170" t="str">
        <f t="shared" si="27"/>
        <v>0.00427861814592947i</v>
      </c>
      <c r="AO70" s="170" t="str">
        <f t="shared" si="28"/>
        <v>0.999996948907253-0.00213930580946011i</v>
      </c>
      <c r="AP70" s="170" t="str">
        <f t="shared" si="29"/>
        <v>0.166665141121224-0.000713100848578113i</v>
      </c>
      <c r="AQ70" s="170" t="str">
        <f t="shared" si="30"/>
        <v>0.833334858878776+0.000713100848578113i</v>
      </c>
      <c r="AR70" s="170" t="str">
        <f t="shared" si="31"/>
        <v>0.999597438120079-0.000855374971735855i</v>
      </c>
    </row>
    <row r="71" spans="1:44">
      <c r="A71" s="170">
        <v>10</v>
      </c>
      <c r="G71" s="688">
        <v>208.93</v>
      </c>
      <c r="H71" s="676">
        <f t="shared" si="23"/>
        <v>0.20893</v>
      </c>
      <c r="I71" s="677">
        <f t="shared" si="0"/>
        <v>1.4799786674626181</v>
      </c>
      <c r="J71" s="678">
        <f t="shared" si="1"/>
        <v>0.82890225341587598</v>
      </c>
      <c r="K71" s="678">
        <f t="shared" si="2"/>
        <v>1.000000041703903</v>
      </c>
      <c r="L71" s="679">
        <f t="shared" si="3"/>
        <v>2.8880409101087482E-4</v>
      </c>
      <c r="M71" s="678">
        <f t="shared" si="4"/>
        <v>1.0000006156487906</v>
      </c>
      <c r="N71" s="679">
        <f t="shared" si="5"/>
        <v>-1.1096382066397078E-3</v>
      </c>
      <c r="O71" s="677">
        <f t="shared" si="6"/>
        <v>3938.2378411473387</v>
      </c>
      <c r="P71" s="680">
        <f t="shared" si="7"/>
        <v>1.5705424061199444</v>
      </c>
      <c r="Q71" s="689">
        <f t="shared" si="8"/>
        <v>1.1307044113140692</v>
      </c>
      <c r="R71" s="690">
        <f t="shared" si="9"/>
        <v>0.48557991637589731</v>
      </c>
      <c r="S71" s="677">
        <f t="shared" si="10"/>
        <v>1.0000313299116168</v>
      </c>
      <c r="T71" s="680">
        <f t="shared" si="11"/>
        <v>7.9156924737248027E-3</v>
      </c>
      <c r="U71" s="681">
        <f t="shared" si="24"/>
        <v>0.99959644339777176</v>
      </c>
      <c r="V71" s="682">
        <f t="shared" si="25"/>
        <v>-3.28392065458567E-3</v>
      </c>
      <c r="W71" s="683">
        <f t="shared" si="12"/>
        <v>31.690330023461968</v>
      </c>
      <c r="X71" s="684">
        <f t="shared" si="13"/>
        <v>-110.34509336297792</v>
      </c>
      <c r="Y71" s="687">
        <f t="shared" si="14"/>
        <v>69.65490663702208</v>
      </c>
      <c r="AA71" s="170">
        <f t="shared" si="15"/>
        <v>1000000000</v>
      </c>
      <c r="AB71" s="170">
        <f t="shared" si="16"/>
        <v>43651.744900000005</v>
      </c>
      <c r="AD71" s="686">
        <f t="shared" si="17"/>
        <v>34.266120891692189</v>
      </c>
      <c r="AE71" s="687">
        <f t="shared" si="18"/>
        <v>-62.617307434558356</v>
      </c>
      <c r="AG71" s="686">
        <f t="shared" si="19"/>
        <v>50.934562836203696</v>
      </c>
      <c r="AH71" s="687">
        <f t="shared" si="20"/>
        <v>-47.351476340462348</v>
      </c>
      <c r="AJ71" s="170">
        <f t="shared" si="21"/>
        <v>0</v>
      </c>
      <c r="AK71" s="170">
        <f t="shared" si="33"/>
        <v>0</v>
      </c>
      <c r="AM71" s="170" t="str">
        <f t="shared" si="26"/>
        <v>0.0000110042378179687+0.00469130627244471i</v>
      </c>
      <c r="AN71" s="170" t="str">
        <f t="shared" si="27"/>
        <v>0.00469132348060375i</v>
      </c>
      <c r="AO71" s="170" t="str">
        <f t="shared" si="28"/>
        <v>0.999996331918037-0.0023456574383467i</v>
      </c>
      <c r="AP71" s="170" t="str">
        <f t="shared" si="29"/>
        <v>0.16666483262703-0.000781884378740785i</v>
      </c>
      <c r="AQ71" s="170" t="str">
        <f t="shared" si="30"/>
        <v>0.83333516737297+0.000781884378740785i</v>
      </c>
      <c r="AR71" s="170" t="str">
        <f t="shared" si="31"/>
        <v>0.999596920062154-0.000937880996067693i</v>
      </c>
    </row>
    <row r="72" spans="1:44">
      <c r="A72" s="170">
        <v>11</v>
      </c>
      <c r="G72" s="688">
        <v>229.09</v>
      </c>
      <c r="H72" s="676">
        <f t="shared" si="23"/>
        <v>0.22909000000000002</v>
      </c>
      <c r="I72" s="677">
        <f t="shared" si="0"/>
        <v>1.5592096656673176</v>
      </c>
      <c r="J72" s="678">
        <f t="shared" si="1"/>
        <v>0.87453908160517346</v>
      </c>
      <c r="K72" s="678">
        <f t="shared" si="2"/>
        <v>1.0000000501403492</v>
      </c>
      <c r="L72" s="679">
        <f t="shared" si="3"/>
        <v>3.166712718976012E-4</v>
      </c>
      <c r="M72" s="678">
        <f t="shared" si="4"/>
        <v>1.0000007401907605</v>
      </c>
      <c r="N72" s="679">
        <f t="shared" si="5"/>
        <v>-1.2167089247729238E-3</v>
      </c>
      <c r="O72" s="677">
        <f t="shared" si="6"/>
        <v>4318.2448769187858</v>
      </c>
      <c r="P72" s="680">
        <f t="shared" si="7"/>
        <v>1.5705647512271739</v>
      </c>
      <c r="Q72" s="689">
        <f t="shared" si="8"/>
        <v>1.1553483467087693</v>
      </c>
      <c r="R72" s="690">
        <f t="shared" si="9"/>
        <v>0.52456912796650745</v>
      </c>
      <c r="S72" s="677">
        <f t="shared" si="10"/>
        <v>1.0000376676433267</v>
      </c>
      <c r="T72" s="680">
        <f t="shared" si="11"/>
        <v>8.6794540137615939E-3</v>
      </c>
      <c r="U72" s="681">
        <f t="shared" si="24"/>
        <v>0.99959572392308538</v>
      </c>
      <c r="V72" s="682">
        <f t="shared" si="25"/>
        <v>-3.6007902875438338E-3</v>
      </c>
      <c r="W72" s="683">
        <f t="shared" si="12"/>
        <v>30.624459324091184</v>
      </c>
      <c r="X72" s="684">
        <f t="shared" si="13"/>
        <v>-110.79370765258305</v>
      </c>
      <c r="Y72" s="687">
        <f t="shared" si="14"/>
        <v>69.206292347416948</v>
      </c>
      <c r="AA72" s="170">
        <f t="shared" si="15"/>
        <v>1000000000</v>
      </c>
      <c r="AB72" s="170">
        <f t="shared" si="16"/>
        <v>52482.2281</v>
      </c>
      <c r="AD72" s="686">
        <f t="shared" si="17"/>
        <v>33.653236546327179</v>
      </c>
      <c r="AE72" s="687">
        <f t="shared" si="18"/>
        <v>-60.428430754508234</v>
      </c>
      <c r="AG72" s="686">
        <f t="shared" si="19"/>
        <v>50.481588985803782</v>
      </c>
      <c r="AH72" s="687">
        <f t="shared" si="20"/>
        <v>-49.952656724827413</v>
      </c>
      <c r="AJ72" s="170">
        <f t="shared" si="21"/>
        <v>0</v>
      </c>
      <c r="AK72" s="170">
        <f t="shared" si="33"/>
        <v>0</v>
      </c>
      <c r="AM72" s="170" t="str">
        <f t="shared" si="26"/>
        <v>0.0000132303234670061+0.00514397432857318i</v>
      </c>
      <c r="AN72" s="170" t="str">
        <f t="shared" si="27"/>
        <v>0.00514399701417466i</v>
      </c>
      <c r="AO72" s="170" t="str">
        <f t="shared" si="28"/>
        <v>0.999995589888288-0.00257199283563909i</v>
      </c>
      <c r="AP72" s="170" t="str">
        <f t="shared" si="29"/>
        <v>0.166664461612755-0.000857329054762197i</v>
      </c>
      <c r="AQ72" s="170" t="str">
        <f t="shared" si="30"/>
        <v>0.833335538387245+0.000857329054762197i</v>
      </c>
      <c r="AR72" s="170" t="str">
        <f t="shared" si="31"/>
        <v>0.999596297014741-0.00102837681700454i</v>
      </c>
    </row>
    <row r="73" spans="1:44">
      <c r="A73" s="170">
        <v>12</v>
      </c>
      <c r="G73" s="688">
        <v>251.19</v>
      </c>
      <c r="H73" s="676">
        <f t="shared" si="23"/>
        <v>0.25119000000000002</v>
      </c>
      <c r="I73" s="677">
        <f t="shared" si="0"/>
        <v>1.6494157898558106</v>
      </c>
      <c r="J73" s="678">
        <f t="shared" si="1"/>
        <v>0.91942784113418141</v>
      </c>
      <c r="K73" s="678">
        <f t="shared" si="2"/>
        <v>1.0000000602809074</v>
      </c>
      <c r="L73" s="679">
        <f t="shared" si="3"/>
        <v>3.4722011545771091E-4</v>
      </c>
      <c r="M73" s="678">
        <f t="shared" si="4"/>
        <v>1.0000008898894426</v>
      </c>
      <c r="N73" s="679">
        <f t="shared" si="5"/>
        <v>-1.3340830429639551E-3</v>
      </c>
      <c r="O73" s="677">
        <f t="shared" si="6"/>
        <v>4734.8200521216349</v>
      </c>
      <c r="P73" s="680">
        <f t="shared" si="7"/>
        <v>1.5705851255250645</v>
      </c>
      <c r="Q73" s="689">
        <f t="shared" si="8"/>
        <v>1.1842917477508546</v>
      </c>
      <c r="R73" s="690">
        <f t="shared" si="9"/>
        <v>0.56537729516680213</v>
      </c>
      <c r="S73" s="677">
        <f t="shared" si="10"/>
        <v>1.000045285505788</v>
      </c>
      <c r="T73" s="680">
        <f t="shared" si="11"/>
        <v>9.5167007805353806E-3</v>
      </c>
      <c r="U73" s="681">
        <f t="shared" si="24"/>
        <v>0.99959485912076218</v>
      </c>
      <c r="V73" s="682">
        <f t="shared" si="25"/>
        <v>-3.9481519276773295E-3</v>
      </c>
      <c r="W73" s="683">
        <f t="shared" si="12"/>
        <v>29.550865327349772</v>
      </c>
      <c r="X73" s="684">
        <f t="shared" si="13"/>
        <v>-111.10152351644614</v>
      </c>
      <c r="Y73" s="687">
        <f t="shared" si="14"/>
        <v>68.898476483553864</v>
      </c>
      <c r="AA73" s="170">
        <f t="shared" si="15"/>
        <v>1000000000</v>
      </c>
      <c r="AB73" s="170">
        <f t="shared" si="16"/>
        <v>63096.416100000002</v>
      </c>
      <c r="AD73" s="686">
        <f t="shared" si="17"/>
        <v>33.06816126391989</v>
      </c>
      <c r="AE73" s="687">
        <f t="shared" si="18"/>
        <v>-58.139433069078379</v>
      </c>
      <c r="AG73" s="686">
        <f t="shared" si="19"/>
        <v>49.993085300707193</v>
      </c>
      <c r="AH73" s="687">
        <f t="shared" si="20"/>
        <v>-52.509665562186065</v>
      </c>
      <c r="AJ73" s="170">
        <f t="shared" si="21"/>
        <v>0</v>
      </c>
      <c r="AK73" s="170">
        <f t="shared" si="33"/>
        <v>0</v>
      </c>
      <c r="AM73" s="170" t="str">
        <f t="shared" si="26"/>
        <v>0.0000159060629200125+0.00564020148907719i</v>
      </c>
      <c r="AN73" s="170" t="str">
        <f t="shared" si="27"/>
        <v>0.00564023139373405i</v>
      </c>
      <c r="AO73" s="170" t="str">
        <f t="shared" si="28"/>
        <v>0.999994697973404-0.00282010822068101i</v>
      </c>
      <c r="AP73" s="170" t="str">
        <f t="shared" si="29"/>
        <v>0.16666401565618-0.000940033581512865i</v>
      </c>
      <c r="AQ73" s="170" t="str">
        <f t="shared" si="30"/>
        <v>0.83333598434382+0.000940033581512865i</v>
      </c>
      <c r="AR73" s="170" t="str">
        <f t="shared" si="31"/>
        <v>0.999595548117851-0.00112758047272066i</v>
      </c>
    </row>
    <row r="74" spans="1:44">
      <c r="A74" s="170">
        <v>13</v>
      </c>
      <c r="G74" s="688">
        <v>275.42</v>
      </c>
      <c r="H74" s="676">
        <f t="shared" si="23"/>
        <v>0.27542</v>
      </c>
      <c r="I74" s="677">
        <f t="shared" si="0"/>
        <v>1.7517184701306638</v>
      </c>
      <c r="J74" s="678">
        <f t="shared" si="1"/>
        <v>0.96323367992030451</v>
      </c>
      <c r="K74" s="678">
        <f t="shared" si="2"/>
        <v>1.000000072471297</v>
      </c>
      <c r="L74" s="679">
        <f t="shared" si="3"/>
        <v>3.8071325857786428E-4</v>
      </c>
      <c r="M74" s="678">
        <f t="shared" si="4"/>
        <v>1.0000010698484738</v>
      </c>
      <c r="N74" s="679">
        <f t="shared" si="5"/>
        <v>-1.4627696469255312E-3</v>
      </c>
      <c r="O74" s="677">
        <f t="shared" si="6"/>
        <v>5191.5447822884489</v>
      </c>
      <c r="P74" s="680">
        <f t="shared" si="7"/>
        <v>1.5706037058991671</v>
      </c>
      <c r="Q74" s="689">
        <f t="shared" si="8"/>
        <v>1.2181759142599846</v>
      </c>
      <c r="R74" s="690">
        <f t="shared" si="9"/>
        <v>0.60781197898760908</v>
      </c>
      <c r="S74" s="677">
        <f t="shared" si="10"/>
        <v>1.0000544431807543</v>
      </c>
      <c r="T74" s="680">
        <f t="shared" si="11"/>
        <v>1.0434626090013513E-2</v>
      </c>
      <c r="U74" s="681">
        <f t="shared" si="24"/>
        <v>0.99959381950845494</v>
      </c>
      <c r="V74" s="682">
        <f t="shared" si="25"/>
        <v>-4.3289917763097482E-3</v>
      </c>
      <c r="W74" s="683">
        <f t="shared" si="12"/>
        <v>28.473258773247178</v>
      </c>
      <c r="X74" s="684">
        <f t="shared" si="13"/>
        <v>-111.26101743189906</v>
      </c>
      <c r="Y74" s="687">
        <f t="shared" si="14"/>
        <v>68.738982568100937</v>
      </c>
      <c r="AA74" s="170">
        <f t="shared" si="15"/>
        <v>1000000000</v>
      </c>
      <c r="AB74" s="170">
        <f t="shared" si="16"/>
        <v>75856.176400000011</v>
      </c>
      <c r="AD74" s="686">
        <f t="shared" si="17"/>
        <v>32.513245303476204</v>
      </c>
      <c r="AE74" s="687">
        <f t="shared" si="18"/>
        <v>-55.761762601616361</v>
      </c>
      <c r="AG74" s="686">
        <f t="shared" si="19"/>
        <v>49.470412774292988</v>
      </c>
      <c r="AH74" s="687">
        <f t="shared" si="20"/>
        <v>-55.00318891305708</v>
      </c>
      <c r="AJ74" s="170">
        <f t="shared" si="21"/>
        <v>0</v>
      </c>
      <c r="AK74" s="170">
        <f t="shared" si="33"/>
        <v>0</v>
      </c>
      <c r="AM74" s="170" t="str">
        <f t="shared" si="26"/>
        <v>0.0000191226783140541+0.00618425346757204i</v>
      </c>
      <c r="AN74" s="170" t="str">
        <f t="shared" si="27"/>
        <v>0.00618429288770346i</v>
      </c>
      <c r="AO74" s="170" t="str">
        <f t="shared" si="28"/>
        <v>0.999993625765769-0.00309213658882112i</v>
      </c>
      <c r="AP74" s="170" t="str">
        <f t="shared" si="29"/>
        <v>0.166663479553614-0.00103070891126201i</v>
      </c>
      <c r="AQ74" s="170" t="str">
        <f t="shared" si="30"/>
        <v>0.833336520446386+0.00103070891126201i</v>
      </c>
      <c r="AR74" s="170" t="str">
        <f t="shared" si="31"/>
        <v>0.999594647840939-0.00123634460497133i</v>
      </c>
    </row>
    <row r="75" spans="1:44">
      <c r="A75" s="170">
        <v>14</v>
      </c>
      <c r="G75" s="688">
        <v>302</v>
      </c>
      <c r="H75" s="676">
        <f t="shared" si="23"/>
        <v>0.30199999999999999</v>
      </c>
      <c r="I75" s="677">
        <f t="shared" si="0"/>
        <v>1.8673608367948973</v>
      </c>
      <c r="J75" s="678">
        <f t="shared" si="1"/>
        <v>1.0056787219395138</v>
      </c>
      <c r="K75" s="678">
        <f t="shared" si="2"/>
        <v>1.0000000871342642</v>
      </c>
      <c r="L75" s="679">
        <f t="shared" si="3"/>
        <v>4.1745480708225497E-4</v>
      </c>
      <c r="M75" s="678">
        <f t="shared" si="4"/>
        <v>1.0000012863085681</v>
      </c>
      <c r="N75" s="679">
        <f t="shared" si="5"/>
        <v>-1.6039371491654345E-3</v>
      </c>
      <c r="O75" s="677">
        <f t="shared" si="6"/>
        <v>5692.5659696338535</v>
      </c>
      <c r="P75" s="680">
        <f t="shared" si="7"/>
        <v>1.570620659088896</v>
      </c>
      <c r="Q75" s="689">
        <f t="shared" si="8"/>
        <v>1.2577240079832228</v>
      </c>
      <c r="R75" s="690">
        <f t="shared" si="9"/>
        <v>0.65164532461399727</v>
      </c>
      <c r="S75" s="677">
        <f t="shared" si="10"/>
        <v>1.0000654581966413</v>
      </c>
      <c r="T75" s="680">
        <f t="shared" si="11"/>
        <v>1.1441558127666179E-2</v>
      </c>
      <c r="U75" s="681">
        <f t="shared" si="24"/>
        <v>0.99959256903556148</v>
      </c>
      <c r="V75" s="682">
        <f t="shared" si="25"/>
        <v>-4.7467675082958315E-3</v>
      </c>
      <c r="W75" s="683">
        <f t="shared" si="12"/>
        <v>27.395153001932847</v>
      </c>
      <c r="X75" s="684">
        <f t="shared" si="13"/>
        <v>-111.27005774941649</v>
      </c>
      <c r="Y75" s="687">
        <f t="shared" si="14"/>
        <v>68.729942250583505</v>
      </c>
      <c r="AA75" s="170">
        <f t="shared" si="15"/>
        <v>1000000000</v>
      </c>
      <c r="AB75" s="170">
        <f t="shared" si="16"/>
        <v>91204</v>
      </c>
      <c r="AD75" s="686">
        <f t="shared" si="17"/>
        <v>31.990427133166985</v>
      </c>
      <c r="AE75" s="687">
        <f t="shared" si="18"/>
        <v>-53.308961194718115</v>
      </c>
      <c r="AG75" s="686">
        <f t="shared" si="19"/>
        <v>48.915146905067587</v>
      </c>
      <c r="AH75" s="687">
        <f t="shared" si="20"/>
        <v>-57.417157064966453</v>
      </c>
      <c r="AJ75" s="170">
        <f t="shared" si="21"/>
        <v>0</v>
      </c>
      <c r="AK75" s="170">
        <f t="shared" si="33"/>
        <v>0</v>
      </c>
      <c r="AM75" s="170" t="str">
        <f t="shared" si="26"/>
        <v>0.0000229917155210035+0.00678106941588323i</v>
      </c>
      <c r="AN75" s="170" t="str">
        <f t="shared" si="27"/>
        <v>0.00678112138583416i</v>
      </c>
      <c r="AO75" s="170" t="str">
        <f t="shared" si="28"/>
        <v>0.999992336083079-0.0033905477004192i</v>
      </c>
      <c r="AP75" s="170" t="str">
        <f t="shared" si="29"/>
        <v>0.16666283471408-0.00113017823598054i</v>
      </c>
      <c r="AQ75" s="170" t="str">
        <f t="shared" si="30"/>
        <v>0.83333716528592+0.00113017823598054i</v>
      </c>
      <c r="AR75" s="170" t="str">
        <f t="shared" si="31"/>
        <v>0.999593564965744-0.00135565643656715i</v>
      </c>
    </row>
    <row r="76" spans="1:44">
      <c r="A76" s="170">
        <v>15</v>
      </c>
      <c r="G76" s="688">
        <v>331.13</v>
      </c>
      <c r="H76" s="676">
        <f t="shared" si="23"/>
        <v>0.33112999999999998</v>
      </c>
      <c r="I76" s="677">
        <f t="shared" si="0"/>
        <v>1.9974883405431421</v>
      </c>
      <c r="J76" s="678">
        <f t="shared" si="1"/>
        <v>1.0464714336091743</v>
      </c>
      <c r="K76" s="678">
        <f t="shared" si="2"/>
        <v>1.000000104754367</v>
      </c>
      <c r="L76" s="679">
        <f t="shared" si="3"/>
        <v>4.5772122068004885E-4</v>
      </c>
      <c r="M76" s="678">
        <f t="shared" si="4"/>
        <v>1.0000015464229215</v>
      </c>
      <c r="N76" s="679">
        <f t="shared" si="5"/>
        <v>-1.758647735441727E-3</v>
      </c>
      <c r="O76" s="677">
        <f t="shared" si="6"/>
        <v>6241.6535252739786</v>
      </c>
      <c r="P76" s="680">
        <f t="shared" si="7"/>
        <v>1.5706361128387343</v>
      </c>
      <c r="Q76" s="689">
        <f t="shared" si="8"/>
        <v>1.3036618106978783</v>
      </c>
      <c r="R76" s="690">
        <f t="shared" si="9"/>
        <v>0.69653453585532143</v>
      </c>
      <c r="S76" s="677">
        <f t="shared" si="10"/>
        <v>1.0000786944917142</v>
      </c>
      <c r="T76" s="680">
        <f t="shared" si="11"/>
        <v>1.2545065274821784E-2</v>
      </c>
      <c r="U76" s="681">
        <f t="shared" si="24"/>
        <v>0.99959106638097273</v>
      </c>
      <c r="V76" s="682">
        <f t="shared" si="25"/>
        <v>-5.2046223701521632E-3</v>
      </c>
      <c r="W76" s="683">
        <f t="shared" si="12"/>
        <v>26.321667413409763</v>
      </c>
      <c r="X76" s="684">
        <f t="shared" si="13"/>
        <v>-111.13224766916171</v>
      </c>
      <c r="Y76" s="687">
        <f t="shared" si="14"/>
        <v>68.867752330838286</v>
      </c>
      <c r="AA76" s="170">
        <f t="shared" si="15"/>
        <v>1000000000</v>
      </c>
      <c r="AB76" s="170">
        <f t="shared" si="16"/>
        <v>109647.0769</v>
      </c>
      <c r="AD76" s="686">
        <f t="shared" si="17"/>
        <v>31.502072322718373</v>
      </c>
      <c r="AE76" s="687">
        <f t="shared" si="18"/>
        <v>-50.801110578891318</v>
      </c>
      <c r="AG76" s="686">
        <f t="shared" si="19"/>
        <v>48.330042241436416</v>
      </c>
      <c r="AH76" s="687">
        <f t="shared" si="20"/>
        <v>-59.734731298050711</v>
      </c>
      <c r="AJ76" s="170">
        <f t="shared" si="21"/>
        <v>0</v>
      </c>
      <c r="AK76" s="170">
        <f t="shared" si="33"/>
        <v>0</v>
      </c>
      <c r="AM76" s="170" t="str">
        <f t="shared" si="26"/>
        <v>0.0000276410294099971+0.00743513919126649i</v>
      </c>
      <c r="AN76" s="170" t="str">
        <f t="shared" si="27"/>
        <v>0.00743520769699094i</v>
      </c>
      <c r="AO76" s="170" t="str">
        <f t="shared" si="28"/>
        <v>0.999990786306551-0.00371758672204726i</v>
      </c>
      <c r="AP76" s="170" t="str">
        <f t="shared" si="29"/>
        <v>0.166662059828432-0.00123918986521108i</v>
      </c>
      <c r="AQ76" s="170" t="str">
        <f t="shared" si="30"/>
        <v>0.833337940171568+0.00123918986521108i</v>
      </c>
      <c r="AR76" s="170" t="str">
        <f t="shared" si="31"/>
        <v>0.999592263710203-0.00148641330584092i</v>
      </c>
    </row>
    <row r="77" spans="1:44">
      <c r="A77" s="170">
        <v>16</v>
      </c>
      <c r="G77" s="688">
        <v>363.08</v>
      </c>
      <c r="H77" s="676">
        <f t="shared" si="23"/>
        <v>0.36307999999999996</v>
      </c>
      <c r="I77" s="677">
        <f t="shared" ref="I77:I140" si="34">SQRT(1+(G77/pole1)^2)</f>
        <v>2.1435449706035365</v>
      </c>
      <c r="J77" s="678">
        <f t="shared" ref="J77:J140" si="35">ATAN(G77/pole1)</f>
        <v>1.0854475093503118</v>
      </c>
      <c r="K77" s="678">
        <f t="shared" ref="K77:K140" si="36">SQRT(1+(G77/Zero1)^2)</f>
        <v>1.0000001259446512</v>
      </c>
      <c r="L77" s="679">
        <f t="shared" ref="L77:L140" si="37">ATAN(G77/Zero1)</f>
        <v>5.0188571997939878E-4</v>
      </c>
      <c r="M77" s="678">
        <f t="shared" ref="M77:M140" si="38">SQRT(1+(G77/z_RHP)^2)</f>
        <v>1.0000018592415043</v>
      </c>
      <c r="N77" s="679">
        <f t="shared" ref="N77:N140" si="39">-ATAN(G77/z_RHP)</f>
        <v>-1.9283353565720418E-3</v>
      </c>
      <c r="O77" s="677">
        <f t="shared" ref="O77:O140" si="40">SQRT(1+(G77/Pole2)^2)</f>
        <v>6843.8968292297941</v>
      </c>
      <c r="P77" s="680">
        <f t="shared" ref="P77:P140" si="41">ATAN(G77/Pole2)</f>
        <v>1.5706502112077523</v>
      </c>
      <c r="Q77" s="689">
        <f t="shared" ref="Q77:Q140" si="42">SQRT(1+(G77/Zero2)^2)</f>
        <v>1.3568491802558409</v>
      </c>
      <c r="R77" s="690">
        <f t="shared" ref="R77:R140" si="43">ATAN(G77/Zero2)</f>
        <v>0.74217300168715938</v>
      </c>
      <c r="S77" s="677">
        <f t="shared" ref="S77:S140" si="44">SQRT(1+(G77/pole4)^2)</f>
        <v>1.000094612490259</v>
      </c>
      <c r="T77" s="680">
        <f t="shared" ref="T77:T140" si="45">ATAN(G77/pole4)</f>
        <v>1.3755364863092368E-2</v>
      </c>
      <c r="U77" s="681">
        <f t="shared" si="24"/>
        <v>0.99958925926731002</v>
      </c>
      <c r="V77" s="682">
        <f t="shared" si="25"/>
        <v>-5.7067997451845454E-3</v>
      </c>
      <c r="W77" s="683">
        <f t="shared" ref="W77:W140" si="46">20*LOG10(((K77*Q77*M77*U77)/(I77*O77*S77))*Adc)</f>
        <v>25.255806163516095</v>
      </c>
      <c r="X77" s="684">
        <f t="shared" ref="X77:X140" si="47">((L77+R77+N77+V77)-(J77+P77+T77))*radconv</f>
        <v>-110.85663825984544</v>
      </c>
      <c r="Y77" s="687">
        <f t="shared" ref="Y77:Y140" si="48">IF(X77&gt;0,X77,X77+180)</f>
        <v>69.14336174015456</v>
      </c>
      <c r="AA77" s="170">
        <f t="shared" ref="AA77:AA140" si="49">IF(W77&lt;0,G77,1000000000)</f>
        <v>1000000000</v>
      </c>
      <c r="AB77" s="170">
        <f t="shared" ref="AB77:AB140" si="50">G77^2</f>
        <v>131827.0864</v>
      </c>
      <c r="AD77" s="686">
        <f t="shared" ref="AD77:AD140" si="51">20*LOG10((Q77/(O77*S77))*Aea)</f>
        <v>31.049190799549304</v>
      </c>
      <c r="AE77" s="687">
        <f t="shared" ref="AE77:AE140" si="52">(R77-(P77+T77))*radconv</f>
        <v>-48.256371935764278</v>
      </c>
      <c r="AG77" s="686">
        <f t="shared" ref="AG77:AG140" si="53">20*LOG10((K77*M77/(I77*U77))*Acs*Am)</f>
        <v>47.717093920362686</v>
      </c>
      <c r="AH77" s="687">
        <f t="shared" ref="AH77:AH140" si="54">(L77+N77-(J77+V77))*radconv</f>
        <v>-61.94631524348312</v>
      </c>
      <c r="AJ77" s="170">
        <f t="shared" ref="AJ77:AJ140" si="55">SUM((W78&lt;0)*(W77&gt;0))*G77</f>
        <v>0</v>
      </c>
      <c r="AK77" s="170">
        <f t="shared" si="33"/>
        <v>0</v>
      </c>
      <c r="AM77" s="170" t="str">
        <f t="shared" si="26"/>
        <v>0.0000332323768179599+0.00815252410268979i</v>
      </c>
      <c r="AN77" s="170" t="str">
        <f t="shared" si="27"/>
        <v>0.00815261441314128i</v>
      </c>
      <c r="AO77" s="170" t="str">
        <f t="shared" si="28"/>
        <v>0.999988922516519-0.00407628462893968i</v>
      </c>
      <c r="AP77" s="170" t="str">
        <f t="shared" si="29"/>
        <v>0.166661127937197-0.00135875401711497i</v>
      </c>
      <c r="AQ77" s="170" t="str">
        <f t="shared" si="30"/>
        <v>0.833338872062803+0.00135875401711497i</v>
      </c>
      <c r="AR77" s="170" t="str">
        <f t="shared" si="31"/>
        <v>0.999590698804886-0.0016298266203638i</v>
      </c>
    </row>
    <row r="78" spans="1:44">
      <c r="A78" s="170">
        <v>17</v>
      </c>
      <c r="G78" s="688">
        <v>398.11</v>
      </c>
      <c r="H78" s="676">
        <f t="shared" ref="H78:H141" si="56">G78/1000</f>
        <v>0.39811000000000002</v>
      </c>
      <c r="I78" s="677">
        <f t="shared" si="34"/>
        <v>2.3069237803401856</v>
      </c>
      <c r="J78" s="678">
        <f t="shared" si="35"/>
        <v>1.1224480037394897</v>
      </c>
      <c r="K78" s="678">
        <f t="shared" si="36"/>
        <v>1.0000001514193027</v>
      </c>
      <c r="L78" s="679">
        <f t="shared" si="37"/>
        <v>5.503077024007878E-4</v>
      </c>
      <c r="M78" s="678">
        <f t="shared" si="38"/>
        <v>1.0000022353073377</v>
      </c>
      <c r="N78" s="679">
        <f t="shared" si="39"/>
        <v>-2.1143808426168486E-3</v>
      </c>
      <c r="O78" s="677">
        <f t="shared" si="40"/>
        <v>7504.1967659783841</v>
      </c>
      <c r="P78" s="680">
        <f t="shared" si="41"/>
        <v>1.5706630680286162</v>
      </c>
      <c r="Q78" s="689">
        <f t="shared" si="42"/>
        <v>1.4181521974911073</v>
      </c>
      <c r="R78" s="690">
        <f t="shared" si="43"/>
        <v>0.78817162163939813</v>
      </c>
      <c r="S78" s="677">
        <f t="shared" si="44"/>
        <v>1.0001137485418501</v>
      </c>
      <c r="T78" s="680">
        <f t="shared" si="45"/>
        <v>1.5082291644239496E-2</v>
      </c>
      <c r="U78" s="681">
        <f t="shared" ref="U78:U141" si="57">IMABS(IMPRODUCT(AO78, AR78))</f>
        <v>0.99958708679375774</v>
      </c>
      <c r="V78" s="682">
        <f t="shared" ref="V78:V141" si="58">IMARGUMENT(IMPRODUCT(AO78, AR78))</f>
        <v>-6.2573857088050744E-3</v>
      </c>
      <c r="W78" s="683">
        <f t="shared" si="46"/>
        <v>24.20142177628356</v>
      </c>
      <c r="X78" s="684">
        <f t="shared" si="47"/>
        <v>-110.45727908484707</v>
      </c>
      <c r="Y78" s="687">
        <f t="shared" si="48"/>
        <v>69.542720915152927</v>
      </c>
      <c r="AA78" s="170">
        <f t="shared" si="49"/>
        <v>1000000000</v>
      </c>
      <c r="AB78" s="170">
        <f t="shared" si="50"/>
        <v>158491.57210000002</v>
      </c>
      <c r="AD78" s="686">
        <f t="shared" si="51"/>
        <v>30.632834734865835</v>
      </c>
      <c r="AE78" s="687">
        <f t="shared" si="52"/>
        <v>-45.697609092006992</v>
      </c>
      <c r="AG78" s="686">
        <f t="shared" si="53"/>
        <v>47.079103353093295</v>
      </c>
      <c r="AH78" s="687">
        <f t="shared" si="54"/>
        <v>-64.042626408220713</v>
      </c>
      <c r="AJ78" s="170">
        <f t="shared" si="55"/>
        <v>0</v>
      </c>
      <c r="AK78" s="170">
        <f t="shared" si="33"/>
        <v>0</v>
      </c>
      <c r="AM78" s="170" t="str">
        <f t="shared" ref="AM78:AM141" si="59">IMSUB(1,IMEXP(COMPLEX(0,-2*Pi*G78*Tsw)))</f>
        <v>0.000039954199774983+0.00893906053290328i</v>
      </c>
      <c r="AN78" s="170" t="str">
        <f t="shared" ref="AN78:AN141" si="60">COMPLEX(0, 2*Pi*G78*Tsw)</f>
        <v>0.00893917958580939i</v>
      </c>
      <c r="AO78" s="170" t="str">
        <f t="shared" ref="AO78:AO141" si="61">IMDIV(AM78, AN78)</f>
        <v>0.999986681897934-0.00446956002969319i</v>
      </c>
      <c r="AP78" s="170" t="str">
        <f t="shared" ref="AP78:AP141" si="62">IMDIV(IMEXP(COMPLEX(0,-2*Pi*G78*Tsw)),6)</f>
        <v>0.166660007633371-0.00148984342215055i</v>
      </c>
      <c r="AQ78" s="170" t="str">
        <f t="shared" ref="AQ78:AQ141" si="63">IMSUB(1, AP78)</f>
        <v>0.833339992366629+0.00148984342215055i</v>
      </c>
      <c r="AR78" s="170" t="str">
        <f t="shared" ref="AR78:AR141" si="64">IMDIV(0.833, AQ78)</f>
        <v>0.999588817513391-0.00178706270942099i</v>
      </c>
    </row>
    <row r="79" spans="1:44">
      <c r="A79" s="170">
        <v>18</v>
      </c>
      <c r="G79" s="688">
        <v>436.52</v>
      </c>
      <c r="H79" s="676">
        <f t="shared" si="56"/>
        <v>0.43651999999999996</v>
      </c>
      <c r="I79" s="677">
        <f t="shared" si="34"/>
        <v>2.4891944098668364</v>
      </c>
      <c r="J79" s="678">
        <f t="shared" si="35"/>
        <v>1.1573841284434772</v>
      </c>
      <c r="K79" s="678">
        <f t="shared" si="36"/>
        <v>1.0000001820469282</v>
      </c>
      <c r="L79" s="679">
        <f t="shared" si="37"/>
        <v>6.0340185714268402E-4</v>
      </c>
      <c r="M79" s="678">
        <f t="shared" si="38"/>
        <v>1.0000026874430223</v>
      </c>
      <c r="N79" s="679">
        <f t="shared" si="39"/>
        <v>-2.3183774514950102E-3</v>
      </c>
      <c r="O79" s="677">
        <f t="shared" si="40"/>
        <v>8228.2082022345712</v>
      </c>
      <c r="P79" s="680">
        <f t="shared" si="41"/>
        <v>1.5706747936520928</v>
      </c>
      <c r="Q79" s="689">
        <f t="shared" si="42"/>
        <v>1.4885168510776476</v>
      </c>
      <c r="R79" s="690">
        <f t="shared" si="43"/>
        <v>0.8341471405104921</v>
      </c>
      <c r="S79" s="677">
        <f t="shared" si="44"/>
        <v>1.0001367549208393</v>
      </c>
      <c r="T79" s="680">
        <f t="shared" si="45"/>
        <v>1.6537190676421551E-2</v>
      </c>
      <c r="U79" s="681">
        <f t="shared" si="57"/>
        <v>0.99958447489323643</v>
      </c>
      <c r="V79" s="682">
        <f t="shared" si="58"/>
        <v>-6.8610948675760092E-3</v>
      </c>
      <c r="W79" s="683">
        <f t="shared" si="46"/>
        <v>23.161289125666059</v>
      </c>
      <c r="X79" s="684">
        <f t="shared" si="47"/>
        <v>-109.95203585360339</v>
      </c>
      <c r="Y79" s="687">
        <f t="shared" si="48"/>
        <v>70.047964146396609</v>
      </c>
      <c r="AA79" s="170">
        <f t="shared" si="49"/>
        <v>1000000000</v>
      </c>
      <c r="AB79" s="170">
        <f t="shared" si="50"/>
        <v>190549.71039999998</v>
      </c>
      <c r="AD79" s="686">
        <f t="shared" si="51"/>
        <v>30.253232009439657</v>
      </c>
      <c r="AE79" s="687">
        <f t="shared" si="52"/>
        <v>-43.147437299754316</v>
      </c>
      <c r="AG79" s="686">
        <f t="shared" si="53"/>
        <v>46.418618820063628</v>
      </c>
      <c r="AH79" s="687">
        <f t="shared" si="54"/>
        <v>-66.018374995448767</v>
      </c>
      <c r="AJ79" s="170">
        <f t="shared" si="55"/>
        <v>0</v>
      </c>
      <c r="AK79" s="170">
        <f t="shared" si="33"/>
        <v>0</v>
      </c>
      <c r="AM79" s="170" t="str">
        <f t="shared" si="59"/>
        <v>0.0000480356831650264+0.00980148248497452i</v>
      </c>
      <c r="AN79" s="170" t="str">
        <f t="shared" si="60"/>
        <v>0.00980163942829247i</v>
      </c>
      <c r="AO79" s="170" t="str">
        <f t="shared" si="61"/>
        <v>0.999983988054335-0.00490078047825053i</v>
      </c>
      <c r="AP79" s="170" t="str">
        <f t="shared" si="62"/>
        <v>0.166658660719472-0.00163358041416242i</v>
      </c>
      <c r="AQ79" s="170" t="str">
        <f t="shared" si="63"/>
        <v>0.833341339280528+0.00163358041416242i</v>
      </c>
      <c r="AR79" s="170" t="str">
        <f t="shared" si="64"/>
        <v>0.999586555698697-0.00195946719871025i</v>
      </c>
    </row>
    <row r="80" spans="1:44">
      <c r="A80" s="170">
        <v>19</v>
      </c>
      <c r="G80" s="688">
        <v>478.63</v>
      </c>
      <c r="H80" s="676">
        <f t="shared" si="56"/>
        <v>0.47863</v>
      </c>
      <c r="I80" s="677">
        <f t="shared" si="34"/>
        <v>2.6920161730287799</v>
      </c>
      <c r="J80" s="678">
        <f t="shared" si="35"/>
        <v>1.1902058134766542</v>
      </c>
      <c r="K80" s="678">
        <f t="shared" si="36"/>
        <v>1.0000002188642794</v>
      </c>
      <c r="L80" s="679">
        <f t="shared" si="37"/>
        <v>6.6161051909530762E-4</v>
      </c>
      <c r="M80" s="678">
        <f t="shared" si="38"/>
        <v>1.0000032309533442</v>
      </c>
      <c r="N80" s="679">
        <f t="shared" si="39"/>
        <v>-2.5420246438673942E-3</v>
      </c>
      <c r="O80" s="677">
        <f t="shared" si="40"/>
        <v>9021.9629958373134</v>
      </c>
      <c r="P80" s="680">
        <f t="shared" si="41"/>
        <v>1.5706854861715744</v>
      </c>
      <c r="Q80" s="689">
        <f t="shared" si="42"/>
        <v>1.5689306101595177</v>
      </c>
      <c r="R80" s="690">
        <f t="shared" si="43"/>
        <v>0.87970716263138671</v>
      </c>
      <c r="S80" s="677">
        <f t="shared" si="44"/>
        <v>1.0001644101013525</v>
      </c>
      <c r="T80" s="680">
        <f t="shared" si="45"/>
        <v>1.8132158114492904E-2</v>
      </c>
      <c r="U80" s="681">
        <f t="shared" si="57"/>
        <v>0.9995813351631827</v>
      </c>
      <c r="V80" s="682">
        <f t="shared" si="58"/>
        <v>-7.5229559520536083E-3</v>
      </c>
      <c r="W80" s="683">
        <f t="shared" si="46"/>
        <v>22.137733987063125</v>
      </c>
      <c r="X80" s="684">
        <f t="shared" si="47"/>
        <v>-109.36158121501492</v>
      </c>
      <c r="Y80" s="687">
        <f t="shared" si="48"/>
        <v>70.638418784985078</v>
      </c>
      <c r="AA80" s="170">
        <f t="shared" si="49"/>
        <v>1000000000</v>
      </c>
      <c r="AB80" s="170">
        <f t="shared" si="50"/>
        <v>229086.67689999999</v>
      </c>
      <c r="AD80" s="686">
        <f t="shared" si="51"/>
        <v>29.910076067139965</v>
      </c>
      <c r="AE80" s="687">
        <f t="shared" si="52"/>
        <v>-40.629037853727631</v>
      </c>
      <c r="AG80" s="686">
        <f t="shared" si="53"/>
        <v>45.738274189216845</v>
      </c>
      <c r="AH80" s="687">
        <f t="shared" si="54"/>
        <v>-67.870476109271223</v>
      </c>
      <c r="AJ80" s="170">
        <f t="shared" si="55"/>
        <v>0</v>
      </c>
      <c r="AK80" s="170">
        <f t="shared" si="33"/>
        <v>0</v>
      </c>
      <c r="AM80" s="170" t="str">
        <f t="shared" si="59"/>
        <v>0.0000577503748929731+0.0107469723494344i</v>
      </c>
      <c r="AN80" s="170" t="str">
        <f t="shared" si="60"/>
        <v>0.0107471792347742i</v>
      </c>
      <c r="AO80" s="170" t="str">
        <f t="shared" si="61"/>
        <v>0.999980749800922-0.00537353789598229i</v>
      </c>
      <c r="AP80" s="170" t="str">
        <f t="shared" si="62"/>
        <v>0.166657041604185-0.00179116205823907i</v>
      </c>
      <c r="AQ80" s="170" t="str">
        <f t="shared" si="63"/>
        <v>0.833342958395815+0.00179116205823907i</v>
      </c>
      <c r="AR80" s="170" t="str">
        <f t="shared" si="64"/>
        <v>0.999583836811119-0.00214847515598099i</v>
      </c>
    </row>
    <row r="81" spans="1:44">
      <c r="A81" s="170">
        <v>20</v>
      </c>
      <c r="G81" s="688">
        <v>524.80999999999995</v>
      </c>
      <c r="H81" s="676">
        <f t="shared" si="56"/>
        <v>0.52481</v>
      </c>
      <c r="I81" s="677">
        <f t="shared" si="34"/>
        <v>2.9172868719573901</v>
      </c>
      <c r="J81" s="678">
        <f t="shared" si="35"/>
        <v>1.220917207843548</v>
      </c>
      <c r="K81" s="678">
        <f t="shared" si="36"/>
        <v>1.0000002631353817</v>
      </c>
      <c r="L81" s="679">
        <f t="shared" si="37"/>
        <v>7.2544513774427217E-4</v>
      </c>
      <c r="M81" s="678">
        <f t="shared" si="38"/>
        <v>1.0000038844981218</v>
      </c>
      <c r="N81" s="679">
        <f t="shared" si="39"/>
        <v>-2.7872874080097343E-3</v>
      </c>
      <c r="O81" s="677">
        <f t="shared" si="40"/>
        <v>9892.4354824226702</v>
      </c>
      <c r="P81" s="680">
        <f t="shared" si="41"/>
        <v>1.5706952394536164</v>
      </c>
      <c r="Q81" s="689">
        <f t="shared" si="42"/>
        <v>1.6604755841818513</v>
      </c>
      <c r="R81" s="690">
        <f t="shared" si="43"/>
        <v>0.92449590111198898</v>
      </c>
      <c r="S81" s="677">
        <f t="shared" si="44"/>
        <v>1.0001976631207825</v>
      </c>
      <c r="T81" s="680">
        <f t="shared" si="45"/>
        <v>1.9881175385221474E-2</v>
      </c>
      <c r="U81" s="681">
        <f t="shared" si="57"/>
        <v>0.99957755982503893</v>
      </c>
      <c r="V81" s="682">
        <f t="shared" si="58"/>
        <v>-8.2487832650864207E-3</v>
      </c>
      <c r="W81" s="683">
        <f t="shared" si="46"/>
        <v>21.131920458779277</v>
      </c>
      <c r="X81" s="684">
        <f t="shared" si="47"/>
        <v>-108.70776084831834</v>
      </c>
      <c r="Y81" s="687">
        <f t="shared" si="48"/>
        <v>71.292239151681656</v>
      </c>
      <c r="AA81" s="170">
        <f t="shared" si="49"/>
        <v>1000000000</v>
      </c>
      <c r="AB81" s="170">
        <f t="shared" si="50"/>
        <v>275425.53609999997</v>
      </c>
      <c r="AD81" s="686">
        <f t="shared" si="51"/>
        <v>29.6023187426578</v>
      </c>
      <c r="AE81" s="687">
        <f t="shared" si="52"/>
        <v>-38.163602296062415</v>
      </c>
      <c r="AG81" s="686">
        <f t="shared" si="53"/>
        <v>45.040283597349351</v>
      </c>
      <c r="AH81" s="687">
        <f t="shared" si="54"/>
        <v>-69.598917616760673</v>
      </c>
      <c r="AJ81" s="170">
        <f t="shared" si="55"/>
        <v>0</v>
      </c>
      <c r="AK81" s="170">
        <f t="shared" si="33"/>
        <v>0</v>
      </c>
      <c r="AM81" s="170" t="str">
        <f t="shared" si="59"/>
        <v>0.0000694317854359472+0.0117838342698623i</v>
      </c>
      <c r="AN81" s="170" t="str">
        <f t="shared" si="60"/>
        <v>0.0117841070016544i</v>
      </c>
      <c r="AO81" s="170" t="str">
        <f t="shared" si="61"/>
        <v>0.999976855964388-0.00589198531769947i</v>
      </c>
      <c r="AP81" s="170" t="str">
        <f t="shared" si="62"/>
        <v>0.166655094702427-0.00196397237831038i</v>
      </c>
      <c r="AQ81" s="170" t="str">
        <f t="shared" si="63"/>
        <v>0.833344905297573+0.00196397237831038i</v>
      </c>
      <c r="AR81" s="170" t="str">
        <f t="shared" si="64"/>
        <v>0.999580567524069-0.00235574563669058i</v>
      </c>
    </row>
    <row r="82" spans="1:44">
      <c r="A82" s="170">
        <v>21</v>
      </c>
      <c r="G82" s="688">
        <v>575.44000000000005</v>
      </c>
      <c r="H82" s="676">
        <f t="shared" si="56"/>
        <v>0.57544000000000006</v>
      </c>
      <c r="I82" s="677">
        <f t="shared" si="34"/>
        <v>3.1669538962425117</v>
      </c>
      <c r="J82" s="678">
        <f t="shared" si="35"/>
        <v>1.2495379227819745</v>
      </c>
      <c r="K82" s="678">
        <f t="shared" si="36"/>
        <v>1.0000003163553095</v>
      </c>
      <c r="L82" s="679">
        <f t="shared" si="37"/>
        <v>7.9543098502783151E-4</v>
      </c>
      <c r="M82" s="678">
        <f t="shared" si="38"/>
        <v>1.0000046701479193</v>
      </c>
      <c r="N82" s="679">
        <f t="shared" si="39"/>
        <v>-3.0561838112652343E-3</v>
      </c>
      <c r="O82" s="677">
        <f t="shared" si="40"/>
        <v>10846.788493192595</v>
      </c>
      <c r="P82" s="680">
        <f t="shared" si="41"/>
        <v>1.570704133607757</v>
      </c>
      <c r="Q82" s="689">
        <f t="shared" si="42"/>
        <v>1.7642488568866608</v>
      </c>
      <c r="R82" s="690">
        <f t="shared" si="43"/>
        <v>0.96816352303927045</v>
      </c>
      <c r="S82" s="677">
        <f t="shared" si="44"/>
        <v>1.0002376363427499</v>
      </c>
      <c r="T82" s="680">
        <f t="shared" si="45"/>
        <v>2.1798591380991408E-2</v>
      </c>
      <c r="U82" s="681">
        <f t="shared" si="57"/>
        <v>0.99957302140496285</v>
      </c>
      <c r="V82" s="682">
        <f t="shared" si="58"/>
        <v>-9.0445478886112159E-3</v>
      </c>
      <c r="W82" s="683">
        <f t="shared" si="46"/>
        <v>20.144877221330493</v>
      </c>
      <c r="X82" s="684">
        <f t="shared" si="47"/>
        <v>-108.01299671373184</v>
      </c>
      <c r="Y82" s="687">
        <f t="shared" si="48"/>
        <v>71.987003286268163</v>
      </c>
      <c r="AA82" s="170">
        <f t="shared" si="49"/>
        <v>1000000000</v>
      </c>
      <c r="AB82" s="170">
        <f t="shared" si="50"/>
        <v>331131.19360000006</v>
      </c>
      <c r="AD82" s="686">
        <f t="shared" si="51"/>
        <v>29.328559724091605</v>
      </c>
      <c r="AE82" s="687">
        <f t="shared" si="52"/>
        <v>-35.772001297146538</v>
      </c>
      <c r="AG82" s="686">
        <f t="shared" si="53"/>
        <v>44.327078252397087</v>
      </c>
      <c r="AH82" s="687">
        <f t="shared" si="54"/>
        <v>-71.204566572158271</v>
      </c>
      <c r="AJ82" s="170">
        <f t="shared" si="55"/>
        <v>0</v>
      </c>
      <c r="AK82" s="170">
        <f t="shared" si="33"/>
        <v>0</v>
      </c>
      <c r="AM82" s="170" t="str">
        <f t="shared" si="59"/>
        <v>0.0000834743811359839+0.0129205957408606i</v>
      </c>
      <c r="AN82" s="170" t="str">
        <f t="shared" si="60"/>
        <v>0.0129209552657762i</v>
      </c>
      <c r="AO82" s="170" t="str">
        <f t="shared" si="61"/>
        <v>0.999972175051441-0.00646038775144458i</v>
      </c>
      <c r="AP82" s="170" t="str">
        <f t="shared" si="62"/>
        <v>0.166652754269811-0.00215343262347677i</v>
      </c>
      <c r="AQ82" s="170" t="str">
        <f t="shared" si="63"/>
        <v>0.833347245730189+0.00215343262347677i</v>
      </c>
      <c r="AR82" s="170" t="str">
        <f t="shared" si="64"/>
        <v>0.999576637458496-0.00258298200635711i</v>
      </c>
    </row>
    <row r="83" spans="1:44">
      <c r="A83" s="170">
        <v>22</v>
      </c>
      <c r="G83" s="688">
        <v>630.96</v>
      </c>
      <c r="H83" s="676">
        <f t="shared" si="56"/>
        <v>0.63096000000000008</v>
      </c>
      <c r="I83" s="677">
        <f t="shared" si="34"/>
        <v>3.4432618727383213</v>
      </c>
      <c r="J83" s="678">
        <f t="shared" si="35"/>
        <v>1.2761282068843793</v>
      </c>
      <c r="K83" s="678">
        <f t="shared" si="36"/>
        <v>1.0000003803458437</v>
      </c>
      <c r="L83" s="679">
        <f t="shared" si="37"/>
        <v>8.7217627016294985E-4</v>
      </c>
      <c r="M83" s="678">
        <f t="shared" si="38"/>
        <v>1.0000056147961347</v>
      </c>
      <c r="N83" s="679">
        <f t="shared" si="39"/>
        <v>-3.3510505407433914E-3</v>
      </c>
      <c r="O83" s="677">
        <f t="shared" si="40"/>
        <v>11893.315832704422</v>
      </c>
      <c r="P83" s="680">
        <f t="shared" si="41"/>
        <v>1.5707122459535867</v>
      </c>
      <c r="Q83" s="689">
        <f t="shared" si="42"/>
        <v>1.8814604557827928</v>
      </c>
      <c r="R83" s="690">
        <f t="shared" si="43"/>
        <v>1.0104235446678709</v>
      </c>
      <c r="S83" s="677">
        <f t="shared" si="44"/>
        <v>1.0002856972013054</v>
      </c>
      <c r="T83" s="680">
        <f t="shared" si="45"/>
        <v>2.390101248099508E-2</v>
      </c>
      <c r="U83" s="681">
        <f t="shared" si="57"/>
        <v>0.99956756458022433</v>
      </c>
      <c r="V83" s="682">
        <f t="shared" si="58"/>
        <v>-9.9171634216431871E-3</v>
      </c>
      <c r="W83" s="683">
        <f t="shared" si="46"/>
        <v>19.176524368440187</v>
      </c>
      <c r="X83" s="684">
        <f t="shared" si="47"/>
        <v>-107.29860617091668</v>
      </c>
      <c r="Y83" s="687">
        <f t="shared" si="48"/>
        <v>72.701393829083315</v>
      </c>
      <c r="AA83" s="170">
        <f t="shared" si="49"/>
        <v>1000000000</v>
      </c>
      <c r="AB83" s="170">
        <f t="shared" si="50"/>
        <v>398110.52160000004</v>
      </c>
      <c r="AD83" s="686">
        <f t="shared" si="51"/>
        <v>29.086811779908</v>
      </c>
      <c r="AE83" s="687">
        <f t="shared" si="52"/>
        <v>-33.471605072035025</v>
      </c>
      <c r="AG83" s="686">
        <f t="shared" si="53"/>
        <v>43.60056817919677</v>
      </c>
      <c r="AH83" s="687">
        <f t="shared" si="54"/>
        <v>-72.690577879979742</v>
      </c>
      <c r="AJ83" s="170">
        <f t="shared" si="55"/>
        <v>0</v>
      </c>
      <c r="AK83" s="170">
        <f t="shared" si="33"/>
        <v>0</v>
      </c>
      <c r="AM83" s="170" t="str">
        <f t="shared" si="59"/>
        <v>0.000100358820117052+0.0141671298554704i</v>
      </c>
      <c r="AN83" s="170" t="str">
        <f t="shared" si="60"/>
        <v>0.0141676038066421i</v>
      </c>
      <c r="AO83" s="170" t="str">
        <f t="shared" si="61"/>
        <v>0.999966546836136-0.0070836834151165i</v>
      </c>
      <c r="AP83" s="170" t="str">
        <f t="shared" si="62"/>
        <v>0.166649940196647-0.00236118830924507i</v>
      </c>
      <c r="AQ83" s="170" t="str">
        <f t="shared" si="63"/>
        <v>0.833350059803353+0.00236118830924507i</v>
      </c>
      <c r="AR83" s="170" t="str">
        <f t="shared" si="64"/>
        <v>0.999571912123611-0.0028321561694169i</v>
      </c>
    </row>
    <row r="84" spans="1:44">
      <c r="A84" s="170">
        <v>23</v>
      </c>
      <c r="G84" s="688">
        <v>691.83</v>
      </c>
      <c r="H84" s="676">
        <f t="shared" si="56"/>
        <v>0.69183000000000006</v>
      </c>
      <c r="I84" s="677">
        <f t="shared" si="34"/>
        <v>3.7485596052047514</v>
      </c>
      <c r="J84" s="678">
        <f t="shared" si="35"/>
        <v>1.300757212089688</v>
      </c>
      <c r="K84" s="678">
        <f t="shared" si="36"/>
        <v>1.0000004572711305</v>
      </c>
      <c r="L84" s="679">
        <f t="shared" si="37"/>
        <v>9.5631684741106029E-4</v>
      </c>
      <c r="M84" s="678">
        <f t="shared" si="38"/>
        <v>1.0000067503900993</v>
      </c>
      <c r="N84" s="679">
        <f t="shared" si="39"/>
        <v>-3.6743304495838423E-3</v>
      </c>
      <c r="O84" s="677">
        <f t="shared" si="40"/>
        <v>13040.688296638535</v>
      </c>
      <c r="P84" s="680">
        <f t="shared" si="41"/>
        <v>1.5707196437258566</v>
      </c>
      <c r="Q84" s="689">
        <f t="shared" si="42"/>
        <v>2.0133527471087951</v>
      </c>
      <c r="R84" s="690">
        <f t="shared" si="43"/>
        <v>1.0510223793637248</v>
      </c>
      <c r="S84" s="677">
        <f t="shared" si="44"/>
        <v>1.0003434698087279</v>
      </c>
      <c r="T84" s="680">
        <f t="shared" si="45"/>
        <v>2.6205782871039609E-2</v>
      </c>
      <c r="U84" s="681">
        <f t="shared" si="57"/>
        <v>0.99956100484954635</v>
      </c>
      <c r="V84" s="682">
        <f t="shared" si="58"/>
        <v>-1.0873857121272248E-2</v>
      </c>
      <c r="W84" s="683">
        <f t="shared" si="46"/>
        <v>18.226633192168102</v>
      </c>
      <c r="X84" s="684">
        <f t="shared" si="47"/>
        <v>-106.58459600366545</v>
      </c>
      <c r="Y84" s="687">
        <f t="shared" si="48"/>
        <v>73.415403996334547</v>
      </c>
      <c r="AA84" s="170">
        <f t="shared" si="49"/>
        <v>1000000000</v>
      </c>
      <c r="AB84" s="170">
        <f t="shared" si="50"/>
        <v>478628.74890000006</v>
      </c>
      <c r="AD84" s="686">
        <f t="shared" si="51"/>
        <v>28.874854418317067</v>
      </c>
      <c r="AE84" s="687">
        <f t="shared" si="52"/>
        <v>-31.277940665531808</v>
      </c>
      <c r="AG84" s="686">
        <f t="shared" si="53"/>
        <v>42.862748368382306</v>
      </c>
      <c r="AH84" s="687">
        <f t="shared" si="54"/>
        <v>-74.060603096555468</v>
      </c>
      <c r="AJ84" s="170">
        <f t="shared" si="55"/>
        <v>0</v>
      </c>
      <c r="AK84" s="170">
        <f t="shared" si="33"/>
        <v>0</v>
      </c>
      <c r="AM84" s="170" t="str">
        <f t="shared" si="59"/>
        <v>0.000120656077661985+0.0155337567071026i</v>
      </c>
      <c r="AN84" s="170" t="str">
        <f t="shared" si="60"/>
        <v>0.0155343814846412i</v>
      </c>
      <c r="AO84" s="170" t="str">
        <f t="shared" si="61"/>
        <v>0.999959780983928-0.00776703454728966i</v>
      </c>
      <c r="AP84" s="170" t="str">
        <f t="shared" si="62"/>
        <v>0.16664655732039-0.00258895945118377i</v>
      </c>
      <c r="AQ84" s="170" t="str">
        <f t="shared" si="63"/>
        <v>0.83335344267961+0.00258895945118377i</v>
      </c>
      <c r="AR84" s="170" t="str">
        <f t="shared" si="64"/>
        <v>0.99956623176742-0.00310532879602362i</v>
      </c>
    </row>
    <row r="85" spans="1:44">
      <c r="A85" s="170">
        <v>24</v>
      </c>
      <c r="G85" s="688">
        <v>758.58</v>
      </c>
      <c r="H85" s="676">
        <f t="shared" si="56"/>
        <v>0.75858000000000003</v>
      </c>
      <c r="I85" s="677">
        <f t="shared" si="34"/>
        <v>4.0855523522987784</v>
      </c>
      <c r="J85" s="678">
        <f t="shared" si="35"/>
        <v>1.3235190699756292</v>
      </c>
      <c r="K85" s="678">
        <f t="shared" si="36"/>
        <v>1.0000005497658497</v>
      </c>
      <c r="L85" s="679">
        <f t="shared" si="37"/>
        <v>1.0485853307546833E-3</v>
      </c>
      <c r="M85" s="678">
        <f t="shared" si="38"/>
        <v>1.0000081158230629</v>
      </c>
      <c r="N85" s="679">
        <f t="shared" si="39"/>
        <v>-4.0288380891791353E-3</v>
      </c>
      <c r="O85" s="677">
        <f t="shared" si="40"/>
        <v>14298.896149589737</v>
      </c>
      <c r="P85" s="680">
        <f t="shared" si="41"/>
        <v>1.5707263913264273</v>
      </c>
      <c r="Q85" s="689">
        <f t="shared" si="42"/>
        <v>2.1613087634156494</v>
      </c>
      <c r="R85" s="690">
        <f t="shared" si="43"/>
        <v>1.0897775118544362</v>
      </c>
      <c r="S85" s="677">
        <f t="shared" si="44"/>
        <v>1.0004129309957133</v>
      </c>
      <c r="T85" s="680">
        <f t="shared" si="45"/>
        <v>2.873287150373615E-2</v>
      </c>
      <c r="U85" s="681">
        <f t="shared" si="57"/>
        <v>0.99955311761157561</v>
      </c>
      <c r="V85" s="682">
        <f t="shared" si="58"/>
        <v>-1.192295553333585E-2</v>
      </c>
      <c r="W85" s="683">
        <f t="shared" si="46"/>
        <v>17.294145936129787</v>
      </c>
      <c r="X85" s="684">
        <f t="shared" si="47"/>
        <v>-105.88856109774798</v>
      </c>
      <c r="Y85" s="687">
        <f t="shared" si="48"/>
        <v>74.111438902252019</v>
      </c>
      <c r="AA85" s="170">
        <f t="shared" si="49"/>
        <v>1000000000</v>
      </c>
      <c r="AB85" s="170">
        <f t="shared" si="50"/>
        <v>575443.61640000006</v>
      </c>
      <c r="AD85" s="686">
        <f t="shared" si="51"/>
        <v>28.69015021788509</v>
      </c>
      <c r="AE85" s="687">
        <f t="shared" si="52"/>
        <v>-29.202613259115846</v>
      </c>
      <c r="AG85" s="686">
        <f t="shared" si="53"/>
        <v>42.115102388849401</v>
      </c>
      <c r="AH85" s="687">
        <f t="shared" si="54"/>
        <v>-75.319677774306342</v>
      </c>
      <c r="AJ85" s="170">
        <f t="shared" si="55"/>
        <v>0</v>
      </c>
      <c r="AK85" s="170">
        <f t="shared" si="33"/>
        <v>0</v>
      </c>
      <c r="AM85" s="170" t="str">
        <f t="shared" si="59"/>
        <v>0.000145061255525047+0.0170323653167087i</v>
      </c>
      <c r="AN85" s="170" t="str">
        <f t="shared" si="60"/>
        <v>0.0170331889432652i</v>
      </c>
      <c r="AO85" s="170" t="str">
        <f t="shared" si="61"/>
        <v>0.999951645780526-0.0085163885640101i</v>
      </c>
      <c r="AP85" s="170" t="str">
        <f t="shared" si="62"/>
        <v>0.166642489790746-0.00283872755278478i</v>
      </c>
      <c r="AQ85" s="170" t="str">
        <f t="shared" si="63"/>
        <v>0.833357510209254+0.00283872755278478i</v>
      </c>
      <c r="AR85" s="170" t="str">
        <f t="shared" si="64"/>
        <v>0.999559401922134-0.00340487339481581i</v>
      </c>
    </row>
    <row r="86" spans="1:44">
      <c r="A86" s="170">
        <v>25</v>
      </c>
      <c r="G86" s="688">
        <v>831.76</v>
      </c>
      <c r="H86" s="676">
        <f t="shared" si="56"/>
        <v>0.83175999999999994</v>
      </c>
      <c r="I86" s="677">
        <f t="shared" si="34"/>
        <v>4.4570536074763414</v>
      </c>
      <c r="J86" s="678">
        <f t="shared" si="35"/>
        <v>1.3445065253987998</v>
      </c>
      <c r="K86" s="678">
        <f t="shared" si="36"/>
        <v>1.0000006609536727</v>
      </c>
      <c r="L86" s="679">
        <f t="shared" si="37"/>
        <v>1.1497419785107155E-3</v>
      </c>
      <c r="M86" s="678">
        <f t="shared" si="38"/>
        <v>1.0000097572065589</v>
      </c>
      <c r="N86" s="679">
        <f t="shared" si="39"/>
        <v>-4.4174941366791759E-3</v>
      </c>
      <c r="O86" s="677">
        <f t="shared" si="40"/>
        <v>15678.3066472752</v>
      </c>
      <c r="P86" s="680">
        <f t="shared" si="41"/>
        <v>1.5707325443965052</v>
      </c>
      <c r="Q86" s="689">
        <f t="shared" si="42"/>
        <v>2.3267470341104004</v>
      </c>
      <c r="R86" s="690">
        <f t="shared" si="43"/>
        <v>1.1265421403605036</v>
      </c>
      <c r="S86" s="677">
        <f t="shared" si="44"/>
        <v>1.0004964238547616</v>
      </c>
      <c r="T86" s="680">
        <f t="shared" si="45"/>
        <v>3.15029705853156E-2</v>
      </c>
      <c r="U86" s="681">
        <f t="shared" si="57"/>
        <v>0.99954363660257484</v>
      </c>
      <c r="V86" s="682">
        <f t="shared" si="58"/>
        <v>-1.307309835025142E-2</v>
      </c>
      <c r="W86" s="683">
        <f t="shared" si="46"/>
        <v>16.378126579047528</v>
      </c>
      <c r="X86" s="684">
        <f t="shared" si="47"/>
        <v>-105.22603402931207</v>
      </c>
      <c r="Y86" s="687">
        <f t="shared" si="48"/>
        <v>74.773965970687925</v>
      </c>
      <c r="AA86" s="170">
        <f t="shared" si="49"/>
        <v>1000000000</v>
      </c>
      <c r="AB86" s="170">
        <f t="shared" si="50"/>
        <v>691824.69759999996</v>
      </c>
      <c r="AD86" s="686">
        <f t="shared" si="51"/>
        <v>28.530139580434714</v>
      </c>
      <c r="AE86" s="687">
        <f t="shared" si="52"/>
        <v>-27.255222739280693</v>
      </c>
      <c r="AG86" s="686">
        <f t="shared" si="53"/>
        <v>41.359258445629983</v>
      </c>
      <c r="AH86" s="687">
        <f t="shared" si="54"/>
        <v>-76.472744567061881</v>
      </c>
      <c r="AJ86" s="170">
        <f t="shared" si="55"/>
        <v>0</v>
      </c>
      <c r="AK86" s="170">
        <f>IF(AJ86&gt;0,Y86,0)</f>
        <v>0</v>
      </c>
      <c r="AM86" s="170" t="str">
        <f t="shared" si="59"/>
        <v>0.000174398439136025+0.0186752901839995i</v>
      </c>
      <c r="AN86" s="170" t="str">
        <f t="shared" si="60"/>
        <v>0.0186763759068921i</v>
      </c>
      <c r="AO86" s="170" t="str">
        <f t="shared" si="61"/>
        <v>0.99994186651104-0.00933791652114194i</v>
      </c>
      <c r="AP86" s="170" t="str">
        <f t="shared" si="62"/>
        <v>0.166637600260144-0.00311254836399992i</v>
      </c>
      <c r="AQ86" s="170" t="str">
        <f t="shared" si="63"/>
        <v>0.833362399739856+0.00311254836399992i</v>
      </c>
      <c r="AR86" s="170" t="str">
        <f t="shared" si="64"/>
        <v>0.999551192055441-0.00373325149843275i</v>
      </c>
    </row>
    <row r="87" spans="1:44">
      <c r="A87" s="170">
        <v>26</v>
      </c>
      <c r="G87" s="688">
        <v>912.01</v>
      </c>
      <c r="H87" s="676">
        <f t="shared" si="56"/>
        <v>0.91200999999999999</v>
      </c>
      <c r="I87" s="677">
        <f t="shared" si="34"/>
        <v>4.8663410741312179</v>
      </c>
      <c r="J87" s="678">
        <f t="shared" si="35"/>
        <v>1.3638286909558917</v>
      </c>
      <c r="K87" s="678">
        <f t="shared" si="36"/>
        <v>1.0000007946467835</v>
      </c>
      <c r="L87" s="679">
        <f t="shared" si="37"/>
        <v>1.2606714537406671E-3</v>
      </c>
      <c r="M87" s="678">
        <f t="shared" si="38"/>
        <v>1.0000117308156304</v>
      </c>
      <c r="N87" s="679">
        <f t="shared" si="39"/>
        <v>-4.8436971323323457E-3</v>
      </c>
      <c r="O87" s="677">
        <f t="shared" si="40"/>
        <v>17190.983505444015</v>
      </c>
      <c r="P87" s="680">
        <f t="shared" si="41"/>
        <v>1.5707381567663903</v>
      </c>
      <c r="Q87" s="689">
        <f t="shared" si="42"/>
        <v>2.5112815683935468</v>
      </c>
      <c r="R87" s="690">
        <f t="shared" si="43"/>
        <v>1.1612392683330899</v>
      </c>
      <c r="S87" s="677">
        <f t="shared" si="44"/>
        <v>1.0005968071111582</v>
      </c>
      <c r="T87" s="680">
        <f t="shared" si="45"/>
        <v>3.4540134528807269E-2</v>
      </c>
      <c r="U87" s="681">
        <f t="shared" si="57"/>
        <v>0.99953223689979342</v>
      </c>
      <c r="V87" s="682">
        <f t="shared" si="58"/>
        <v>-1.4334338196353819E-2</v>
      </c>
      <c r="W87" s="683">
        <f t="shared" si="46"/>
        <v>15.476974056973908</v>
      </c>
      <c r="X87" s="684">
        <f t="shared" si="47"/>
        <v>-104.60977937503452</v>
      </c>
      <c r="Y87" s="687">
        <f t="shared" si="48"/>
        <v>75.39022062496548</v>
      </c>
      <c r="AA87" s="170">
        <f t="shared" si="49"/>
        <v>1000000000</v>
      </c>
      <c r="AB87" s="170">
        <f t="shared" si="50"/>
        <v>831762.24009999994</v>
      </c>
      <c r="AD87" s="686">
        <f t="shared" si="51"/>
        <v>28.392161558147308</v>
      </c>
      <c r="AE87" s="687">
        <f t="shared" si="52"/>
        <v>-25.441561983912639</v>
      </c>
      <c r="AG87" s="686">
        <f t="shared" si="53"/>
        <v>40.596282070510426</v>
      </c>
      <c r="AH87" s="687">
        <f t="shared" si="54"/>
        <v>-77.525623227716437</v>
      </c>
      <c r="AJ87" s="170">
        <f t="shared" si="55"/>
        <v>0</v>
      </c>
      <c r="AK87" s="170">
        <f t="shared" ref="AK87:AK150" si="65">IF(AJ87&gt;0,Y87,0)</f>
        <v>0</v>
      </c>
      <c r="AM87" s="170" t="str">
        <f t="shared" si="59"/>
        <v>0.000209673323362969+0.0204768816919034i</v>
      </c>
      <c r="AN87" s="170" t="str">
        <f t="shared" si="60"/>
        <v>0.0204783129638894i</v>
      </c>
      <c r="AO87" s="170" t="str">
        <f t="shared" si="61"/>
        <v>0.999930107915211-0.0102387986614277i</v>
      </c>
      <c r="AP87" s="170" t="str">
        <f t="shared" si="62"/>
        <v>0.166631721112773-0.00341281361531723i</v>
      </c>
      <c r="AQ87" s="170" t="str">
        <f t="shared" si="63"/>
        <v>0.833368278887227+0.00341281361531723i</v>
      </c>
      <c r="AR87" s="170" t="str">
        <f t="shared" si="64"/>
        <v>0.999541320858527-0.00409332622241525i</v>
      </c>
    </row>
    <row r="88" spans="1:44">
      <c r="A88" s="170">
        <v>27</v>
      </c>
      <c r="G88" s="688">
        <v>1000</v>
      </c>
      <c r="H88" s="676">
        <f t="shared" si="56"/>
        <v>1</v>
      </c>
      <c r="I88" s="677">
        <f t="shared" si="34"/>
        <v>5.3168544270226858</v>
      </c>
      <c r="J88" s="678">
        <f t="shared" si="35"/>
        <v>1.3815882823439172</v>
      </c>
      <c r="K88" s="678">
        <f t="shared" si="36"/>
        <v>1.0000009553772475</v>
      </c>
      <c r="L88" s="679">
        <f t="shared" si="37"/>
        <v>1.3822998855881213E-3</v>
      </c>
      <c r="M88" s="678">
        <f t="shared" si="38"/>
        <v>1.0000141035516497</v>
      </c>
      <c r="N88" s="679">
        <f t="shared" si="39"/>
        <v>-5.3110047812354559E-3</v>
      </c>
      <c r="O88" s="677">
        <f t="shared" si="40"/>
        <v>18849.555926525827</v>
      </c>
      <c r="P88" s="680">
        <f t="shared" si="41"/>
        <v>1.5707432751471884</v>
      </c>
      <c r="Q88" s="689">
        <f t="shared" si="42"/>
        <v>2.7165916483627885</v>
      </c>
      <c r="R88" s="690">
        <f t="shared" si="43"/>
        <v>1.1938226621712671</v>
      </c>
      <c r="S88" s="677">
        <f t="shared" si="44"/>
        <v>1.0007174780083485</v>
      </c>
      <c r="T88" s="680">
        <f t="shared" si="45"/>
        <v>3.786949410583023E-2</v>
      </c>
      <c r="U88" s="681">
        <f t="shared" si="57"/>
        <v>0.99951853227118714</v>
      </c>
      <c r="V88" s="682">
        <f t="shared" si="58"/>
        <v>-1.5717197114315084E-2</v>
      </c>
      <c r="W88" s="683">
        <f t="shared" si="46"/>
        <v>14.589356072117114</v>
      </c>
      <c r="X88" s="684">
        <f t="shared" si="47"/>
        <v>-104.05052751139253</v>
      </c>
      <c r="Y88" s="687">
        <f t="shared" si="48"/>
        <v>75.949472488607469</v>
      </c>
      <c r="AA88" s="170">
        <f t="shared" si="49"/>
        <v>1000000000</v>
      </c>
      <c r="AB88" s="170">
        <f t="shared" si="50"/>
        <v>1000000</v>
      </c>
      <c r="AD88" s="686">
        <f t="shared" si="51"/>
        <v>28.273685162056672</v>
      </c>
      <c r="AE88" s="687">
        <f t="shared" si="52"/>
        <v>-23.765722546720134</v>
      </c>
      <c r="AG88" s="686">
        <f t="shared" si="53"/>
        <v>39.827378668574632</v>
      </c>
      <c r="AH88" s="687">
        <f t="shared" si="54"/>
        <v>-78.483746841763477</v>
      </c>
      <c r="AJ88" s="170">
        <f t="shared" si="55"/>
        <v>0</v>
      </c>
      <c r="AK88" s="170">
        <f t="shared" si="65"/>
        <v>0</v>
      </c>
      <c r="AM88" s="170" t="str">
        <f t="shared" si="59"/>
        <v>0.000252081461694975+0.0224521575428066i</v>
      </c>
      <c r="AN88" s="170" t="str">
        <f t="shared" si="60"/>
        <v>0.0224540443239542i</v>
      </c>
      <c r="AO88" s="170" t="str">
        <f t="shared" si="61"/>
        <v>0.999915971433904-0.0112265504627178i</v>
      </c>
      <c r="AP88" s="170" t="str">
        <f t="shared" si="62"/>
        <v>0.166624653089717-0.00374202625713443i</v>
      </c>
      <c r="AQ88" s="170" t="str">
        <f t="shared" si="63"/>
        <v>0.833375346910283+0.00374202625713443i</v>
      </c>
      <c r="AR88" s="170" t="str">
        <f t="shared" si="64"/>
        <v>0.999529453959856-0.00448809228082395i</v>
      </c>
    </row>
    <row r="89" spans="1:44">
      <c r="A89" s="170">
        <v>28</v>
      </c>
      <c r="G89" s="688">
        <v>1096.5</v>
      </c>
      <c r="H89" s="676">
        <f t="shared" si="56"/>
        <v>1.0965</v>
      </c>
      <c r="I89" s="677">
        <f t="shared" si="34"/>
        <v>5.812553811071675</v>
      </c>
      <c r="J89" s="678">
        <f t="shared" si="35"/>
        <v>1.3978947141999749</v>
      </c>
      <c r="K89" s="678">
        <f t="shared" si="36"/>
        <v>1.0000011486616569</v>
      </c>
      <c r="L89" s="679">
        <f t="shared" si="37"/>
        <v>1.5156916292411388E-3</v>
      </c>
      <c r="M89" s="678">
        <f t="shared" si="38"/>
        <v>1.0000169568487256</v>
      </c>
      <c r="N89" s="679">
        <f t="shared" si="39"/>
        <v>-5.8235056652791752E-3</v>
      </c>
      <c r="O89" s="677">
        <f t="shared" si="40"/>
        <v>20668.538068541362</v>
      </c>
      <c r="P89" s="680">
        <f t="shared" si="41"/>
        <v>1.5707479440792409</v>
      </c>
      <c r="Q89" s="689">
        <f t="shared" si="42"/>
        <v>2.9445875900672727</v>
      </c>
      <c r="R89" s="690">
        <f t="shared" si="43"/>
        <v>1.2242982171822436</v>
      </c>
      <c r="S89" s="677">
        <f t="shared" si="44"/>
        <v>1.0008625700449614</v>
      </c>
      <c r="T89" s="680">
        <f t="shared" si="45"/>
        <v>4.1519886281728549E-2</v>
      </c>
      <c r="U89" s="681">
        <f t="shared" si="57"/>
        <v>0.99950205264536907</v>
      </c>
      <c r="V89" s="682">
        <f t="shared" si="58"/>
        <v>-1.7233766028199742E-2</v>
      </c>
      <c r="W89" s="683">
        <f t="shared" si="46"/>
        <v>13.713565335282096</v>
      </c>
      <c r="X89" s="684">
        <f t="shared" si="47"/>
        <v>-103.55673048182391</v>
      </c>
      <c r="Y89" s="687">
        <f t="shared" si="48"/>
        <v>76.443269518176095</v>
      </c>
      <c r="AA89" s="170">
        <f t="shared" si="49"/>
        <v>1000000000</v>
      </c>
      <c r="AB89" s="170">
        <f t="shared" si="50"/>
        <v>1202312.25</v>
      </c>
      <c r="AD89" s="686">
        <f t="shared" si="51"/>
        <v>28.172255509700378</v>
      </c>
      <c r="AE89" s="687">
        <f t="shared" si="52"/>
        <v>-22.229021439864471</v>
      </c>
      <c r="AG89" s="686">
        <f t="shared" si="53"/>
        <v>39.053304004780557</v>
      </c>
      <c r="AH89" s="687">
        <f t="shared" si="54"/>
        <v>-79.352864922639256</v>
      </c>
      <c r="AJ89" s="170">
        <f t="shared" si="55"/>
        <v>0</v>
      </c>
      <c r="AK89" s="170">
        <f t="shared" si="65"/>
        <v>0</v>
      </c>
      <c r="AM89" s="170" t="str">
        <f t="shared" si="59"/>
        <v>0.000303078053130013+0.0246183722035566i</v>
      </c>
      <c r="AN89" s="170" t="str">
        <f t="shared" si="60"/>
        <v>0.0246208596012157i</v>
      </c>
      <c r="AO89" s="170" t="str">
        <f t="shared" si="61"/>
        <v>0.999898971940891-0.0123098079449285i</v>
      </c>
      <c r="AP89" s="170" t="str">
        <f t="shared" si="62"/>
        <v>0.166616153657812-0.0041030620339261i</v>
      </c>
      <c r="AQ89" s="170" t="str">
        <f t="shared" si="63"/>
        <v>0.833383846342188+0.0041030620339261i</v>
      </c>
      <c r="AR89" s="170" t="str">
        <f t="shared" si="64"/>
        <v>0.99951518442862-0.00492098907791622i</v>
      </c>
    </row>
    <row r="90" spans="1:44">
      <c r="A90" s="170">
        <v>29</v>
      </c>
      <c r="G90" s="688">
        <v>1202.3</v>
      </c>
      <c r="H90" s="676">
        <f t="shared" si="56"/>
        <v>1.2022999999999999</v>
      </c>
      <c r="I90" s="677">
        <f t="shared" si="34"/>
        <v>6.3575108214099574</v>
      </c>
      <c r="J90" s="678">
        <f t="shared" si="35"/>
        <v>1.4128461152179974</v>
      </c>
      <c r="K90" s="678">
        <f t="shared" si="36"/>
        <v>1.0000013810216788</v>
      </c>
      <c r="L90" s="679">
        <f t="shared" si="37"/>
        <v>1.6619386808463053E-3</v>
      </c>
      <c r="M90" s="678">
        <f t="shared" si="38"/>
        <v>1.0000203869765387</v>
      </c>
      <c r="N90" s="679">
        <f t="shared" si="39"/>
        <v>-6.3853943006646485E-3</v>
      </c>
      <c r="O90" s="677">
        <f t="shared" si="40"/>
        <v>22662.821080632566</v>
      </c>
      <c r="P90" s="680">
        <f t="shared" si="41"/>
        <v>1.5707522016616324</v>
      </c>
      <c r="Q90" s="689">
        <f t="shared" si="42"/>
        <v>3.1972275017306964</v>
      </c>
      <c r="R90" s="690">
        <f t="shared" si="43"/>
        <v>1.2526873357604753</v>
      </c>
      <c r="S90" s="677">
        <f t="shared" si="44"/>
        <v>1.0010369670157093</v>
      </c>
      <c r="T90" s="680">
        <f t="shared" si="45"/>
        <v>4.5520802367556616E-2</v>
      </c>
      <c r="U90" s="681">
        <f t="shared" si="57"/>
        <v>0.99948224241037775</v>
      </c>
      <c r="V90" s="682">
        <f t="shared" si="58"/>
        <v>-1.8896446580154783E-2</v>
      </c>
      <c r="W90" s="683">
        <f t="shared" si="46"/>
        <v>12.8484062339876</v>
      </c>
      <c r="X90" s="684">
        <f t="shared" si="47"/>
        <v>-103.13536461310576</v>
      </c>
      <c r="Y90" s="687">
        <f t="shared" si="48"/>
        <v>76.864635386894236</v>
      </c>
      <c r="AA90" s="170">
        <f t="shared" si="49"/>
        <v>1000000000</v>
      </c>
      <c r="AB90" s="170">
        <f t="shared" si="50"/>
        <v>1445525.2899999998</v>
      </c>
      <c r="AD90" s="686">
        <f t="shared" si="51"/>
        <v>28.085639185582096</v>
      </c>
      <c r="AE90" s="687">
        <f t="shared" si="52"/>
        <v>-20.831924307044858</v>
      </c>
      <c r="AG90" s="686">
        <f t="shared" si="53"/>
        <v>38.275105541494682</v>
      </c>
      <c r="AH90" s="687">
        <f t="shared" si="54"/>
        <v>-80.138067029912023</v>
      </c>
      <c r="AJ90" s="170">
        <f t="shared" si="55"/>
        <v>0</v>
      </c>
      <c r="AK90" s="170">
        <f t="shared" si="65"/>
        <v>0</v>
      </c>
      <c r="AM90" s="170" t="str">
        <f t="shared" si="59"/>
        <v>0.000364383307033034+0.0269932183866838i</v>
      </c>
      <c r="AN90" s="170" t="str">
        <f t="shared" si="60"/>
        <v>0.0269964974906901i</v>
      </c>
      <c r="AO90" s="170" t="str">
        <f t="shared" si="61"/>
        <v>0.999878535946842-0.0134974289593935i</v>
      </c>
      <c r="AP90" s="170" t="str">
        <f t="shared" si="62"/>
        <v>0.166605936115494-0.00449886973111397i</v>
      </c>
      <c r="AQ90" s="170" t="str">
        <f t="shared" si="63"/>
        <v>0.833394063884506+0.00449886973111397i</v>
      </c>
      <c r="AR90" s="170" t="str">
        <f t="shared" si="64"/>
        <v>0.999498031319689-0.00539554051831512i</v>
      </c>
    </row>
    <row r="91" spans="1:44">
      <c r="A91" s="170">
        <v>30</v>
      </c>
      <c r="G91" s="688">
        <v>1318.3</v>
      </c>
      <c r="H91" s="676">
        <f t="shared" si="56"/>
        <v>1.3183</v>
      </c>
      <c r="I91" s="677">
        <f t="shared" si="34"/>
        <v>6.9563710794650397</v>
      </c>
      <c r="J91" s="678">
        <f t="shared" si="35"/>
        <v>1.4265434432498258</v>
      </c>
      <c r="K91" s="678">
        <f t="shared" si="36"/>
        <v>1.0000016603637587</v>
      </c>
      <c r="L91" s="679">
        <f t="shared" si="37"/>
        <v>1.8222850827138385E-3</v>
      </c>
      <c r="M91" s="678">
        <f t="shared" si="38"/>
        <v>1.0000245106448724</v>
      </c>
      <c r="N91" s="679">
        <f t="shared" si="39"/>
        <v>-7.0014490271334742E-3</v>
      </c>
      <c r="O91" s="677">
        <f t="shared" si="40"/>
        <v>24849.369563091237</v>
      </c>
      <c r="P91" s="680">
        <f t="shared" si="41"/>
        <v>1.5707560843252544</v>
      </c>
      <c r="Q91" s="689">
        <f t="shared" si="42"/>
        <v>3.4767328613169979</v>
      </c>
      <c r="R91" s="690">
        <f t="shared" si="43"/>
        <v>1.2790487890719759</v>
      </c>
      <c r="S91" s="677">
        <f t="shared" si="44"/>
        <v>1.001246586042877</v>
      </c>
      <c r="T91" s="680">
        <f t="shared" si="45"/>
        <v>4.9905759953909126E-2</v>
      </c>
      <c r="U91" s="681">
        <f t="shared" si="57"/>
        <v>0.99945842811313634</v>
      </c>
      <c r="V91" s="682">
        <f t="shared" si="58"/>
        <v>-2.0719364394900991E-2</v>
      </c>
      <c r="W91" s="683">
        <f t="shared" si="46"/>
        <v>11.992433763199809</v>
      </c>
      <c r="X91" s="684">
        <f t="shared" si="47"/>
        <v>-102.79178136711649</v>
      </c>
      <c r="Y91" s="687">
        <f t="shared" si="48"/>
        <v>77.208218632883515</v>
      </c>
      <c r="AA91" s="170">
        <f t="shared" si="49"/>
        <v>1000000000</v>
      </c>
      <c r="AB91" s="170">
        <f t="shared" si="50"/>
        <v>1737914.89</v>
      </c>
      <c r="AD91" s="686">
        <f t="shared" si="51"/>
        <v>28.011748085476242</v>
      </c>
      <c r="AE91" s="687">
        <f t="shared" si="52"/>
        <v>-19.572986312306838</v>
      </c>
      <c r="AG91" s="686">
        <f t="shared" si="53"/>
        <v>37.493438086764741</v>
      </c>
      <c r="AH91" s="687">
        <f t="shared" si="54"/>
        <v>-80.844530784053745</v>
      </c>
      <c r="AJ91" s="170">
        <f t="shared" si="55"/>
        <v>0</v>
      </c>
      <c r="AK91" s="170">
        <f t="shared" si="65"/>
        <v>0</v>
      </c>
      <c r="AM91" s="170" t="str">
        <f t="shared" si="59"/>
        <v>0.000438082543205986+0.0295968439212257i</v>
      </c>
      <c r="AN91" s="170" t="str">
        <f t="shared" si="60"/>
        <v>0.0296011666322688i</v>
      </c>
      <c r="AO91" s="170" t="str">
        <f t="shared" si="61"/>
        <v>0.999853968220347-0.01479950262259i</v>
      </c>
      <c r="AP91" s="170" t="str">
        <f t="shared" si="62"/>
        <v>0.166593652909466-0.00493280732020428i</v>
      </c>
      <c r="AQ91" s="170" t="str">
        <f t="shared" si="63"/>
        <v>0.833406347090534+0.00493280732020428i</v>
      </c>
      <c r="AR91" s="170" t="str">
        <f t="shared" si="64"/>
        <v>0.999477411730962-0.00591575707357763i</v>
      </c>
    </row>
    <row r="92" spans="1:44">
      <c r="A92" s="170">
        <v>31</v>
      </c>
      <c r="G92" s="688">
        <v>1445.4</v>
      </c>
      <c r="H92" s="676">
        <f t="shared" si="56"/>
        <v>1.4454</v>
      </c>
      <c r="I92" s="677">
        <f t="shared" si="34"/>
        <v>7.6137873483889802</v>
      </c>
      <c r="J92" s="678">
        <f t="shared" si="35"/>
        <v>1.4390750734316744</v>
      </c>
      <c r="K92" s="678">
        <f t="shared" si="36"/>
        <v>1.0000019959551076</v>
      </c>
      <c r="L92" s="679">
        <f t="shared" si="37"/>
        <v>1.9979748685978144E-3</v>
      </c>
      <c r="M92" s="678">
        <f t="shared" si="38"/>
        <v>1.0000294646480925</v>
      </c>
      <c r="N92" s="679">
        <f t="shared" si="39"/>
        <v>-7.6764476992153968E-3</v>
      </c>
      <c r="O92" s="677">
        <f t="shared" si="40"/>
        <v>27245.148116211898</v>
      </c>
      <c r="P92" s="680">
        <f t="shared" si="41"/>
        <v>1.5707596230120446</v>
      </c>
      <c r="Q92" s="689">
        <f t="shared" si="42"/>
        <v>3.7853275408560583</v>
      </c>
      <c r="R92" s="690">
        <f t="shared" si="43"/>
        <v>1.3034448531295824</v>
      </c>
      <c r="S92" s="677">
        <f t="shared" si="44"/>
        <v>1.0014983567301057</v>
      </c>
      <c r="T92" s="680">
        <f t="shared" si="45"/>
        <v>5.4708102234218771E-2</v>
      </c>
      <c r="U92" s="681">
        <f t="shared" si="57"/>
        <v>0.99942982061053987</v>
      </c>
      <c r="V92" s="682">
        <f t="shared" si="58"/>
        <v>-2.2716638943012121E-2</v>
      </c>
      <c r="W92" s="683">
        <f t="shared" si="46"/>
        <v>11.14485406882933</v>
      </c>
      <c r="X92" s="684">
        <f t="shared" si="47"/>
        <v>-102.5303997696701</v>
      </c>
      <c r="Y92" s="687">
        <f t="shared" si="48"/>
        <v>77.469600230329903</v>
      </c>
      <c r="AA92" s="170">
        <f t="shared" si="49"/>
        <v>1000000000</v>
      </c>
      <c r="AB92" s="170">
        <f t="shared" si="50"/>
        <v>2089181.1600000001</v>
      </c>
      <c r="AD92" s="686">
        <f t="shared" si="51"/>
        <v>27.948731107405177</v>
      </c>
      <c r="AE92" s="687">
        <f t="shared" si="52"/>
        <v>-18.450551500049695</v>
      </c>
      <c r="AG92" s="686">
        <f t="shared" si="53"/>
        <v>36.70937261008951</v>
      </c>
      <c r="AH92" s="687">
        <f t="shared" si="54"/>
        <v>-81.476713194331666</v>
      </c>
      <c r="AJ92" s="170">
        <f t="shared" si="55"/>
        <v>0</v>
      </c>
      <c r="AK92" s="170">
        <f t="shared" si="65"/>
        <v>0</v>
      </c>
      <c r="AM92" s="170" t="str">
        <f t="shared" si="59"/>
        <v>0.000526619740353951+0.032449378304629i</v>
      </c>
      <c r="AN92" s="170" t="str">
        <f t="shared" si="60"/>
        <v>0.0324550756658434i</v>
      </c>
      <c r="AO92" s="170" t="str">
        <f t="shared" si="61"/>
        <v>0.999824453922922-0.0162261134676133i</v>
      </c>
      <c r="AP92" s="170" t="str">
        <f t="shared" si="62"/>
        <v>0.166578896709941-0.00540822971743817i</v>
      </c>
      <c r="AQ92" s="170" t="str">
        <f t="shared" si="63"/>
        <v>0.833421103290059+0.00540822971743817i</v>
      </c>
      <c r="AR92" s="170" t="str">
        <f t="shared" si="64"/>
        <v>0.999452642702717-0.00648564028688356i</v>
      </c>
    </row>
    <row r="93" spans="1:44">
      <c r="A93" s="170">
        <v>32</v>
      </c>
      <c r="G93" s="688">
        <v>1584.9</v>
      </c>
      <c r="H93" s="676">
        <f t="shared" si="56"/>
        <v>1.5849000000000002</v>
      </c>
      <c r="I93" s="677">
        <f t="shared" si="34"/>
        <v>8.3364903477106136</v>
      </c>
      <c r="J93" s="678">
        <f t="shared" si="35"/>
        <v>1.4505522188364706</v>
      </c>
      <c r="K93" s="678">
        <f t="shared" si="36"/>
        <v>1.0000023998180274</v>
      </c>
      <c r="L93" s="679">
        <f t="shared" si="37"/>
        <v>2.1908049790114919E-3</v>
      </c>
      <c r="M93" s="678">
        <f t="shared" si="38"/>
        <v>1.0000354264466635</v>
      </c>
      <c r="N93" s="679">
        <f t="shared" si="39"/>
        <v>-8.4172918250827108E-3</v>
      </c>
      <c r="O93" s="677">
        <f t="shared" si="40"/>
        <v>29874.661162646596</v>
      </c>
      <c r="P93" s="680">
        <f t="shared" si="41"/>
        <v>1.5707628536118958</v>
      </c>
      <c r="Q93" s="689">
        <f t="shared" si="42"/>
        <v>4.1262146112187814</v>
      </c>
      <c r="R93" s="690">
        <f t="shared" si="43"/>
        <v>1.3260060271386553</v>
      </c>
      <c r="S93" s="677">
        <f t="shared" si="44"/>
        <v>1.0018012630152813</v>
      </c>
      <c r="T93" s="680">
        <f t="shared" si="45"/>
        <v>5.9976051459492946E-2</v>
      </c>
      <c r="U93" s="681">
        <f t="shared" si="57"/>
        <v>0.9993953963651101</v>
      </c>
      <c r="V93" s="682">
        <f t="shared" si="58"/>
        <v>-2.4908667084012785E-2</v>
      </c>
      <c r="W93" s="683">
        <f t="shared" si="46"/>
        <v>10.30302398624718</v>
      </c>
      <c r="X93" s="684">
        <f t="shared" si="47"/>
        <v>-102.35434091872852</v>
      </c>
      <c r="Y93" s="687">
        <f t="shared" si="48"/>
        <v>77.645659081271475</v>
      </c>
      <c r="AA93" s="170">
        <f t="shared" si="49"/>
        <v>1000000000</v>
      </c>
      <c r="AB93" s="170">
        <f t="shared" si="50"/>
        <v>2511908.0100000002</v>
      </c>
      <c r="AD93" s="686">
        <f t="shared" si="51"/>
        <v>27.894795091593885</v>
      </c>
      <c r="AE93" s="687">
        <f t="shared" si="52"/>
        <v>-17.459907804371774</v>
      </c>
      <c r="AG93" s="686">
        <f t="shared" si="53"/>
        <v>35.922076905184738</v>
      </c>
      <c r="AH93" s="687">
        <f t="shared" si="54"/>
        <v>-82.040110116674484</v>
      </c>
      <c r="AJ93" s="170">
        <f t="shared" si="55"/>
        <v>0</v>
      </c>
      <c r="AK93" s="170">
        <f t="shared" si="65"/>
        <v>0</v>
      </c>
      <c r="AM93" s="170" t="str">
        <f t="shared" si="59"/>
        <v>0.000633165220168985+0.0355799036274916i</v>
      </c>
      <c r="AN93" s="170" t="str">
        <f t="shared" si="60"/>
        <v>0.035587414849035i</v>
      </c>
      <c r="AO93" s="170" t="str">
        <f t="shared" si="61"/>
        <v>0.999788936016419-0.0177918295794996i</v>
      </c>
      <c r="AP93" s="170" t="str">
        <f t="shared" si="62"/>
        <v>0.166561139129972-0.00592998393791527i</v>
      </c>
      <c r="AQ93" s="170" t="str">
        <f t="shared" si="63"/>
        <v>0.833438860870028+0.00592998393791527i</v>
      </c>
      <c r="AR93" s="170" t="str">
        <f t="shared" si="64"/>
        <v>0.999422838495659-0.00711097317117922i</v>
      </c>
    </row>
    <row r="94" spans="1:44">
      <c r="A94" s="170">
        <v>33</v>
      </c>
      <c r="G94" s="688">
        <v>1737.8</v>
      </c>
      <c r="H94" s="676">
        <f t="shared" si="56"/>
        <v>1.7378</v>
      </c>
      <c r="I94" s="677">
        <f t="shared" si="34"/>
        <v>9.1296662992353514</v>
      </c>
      <c r="J94" s="678">
        <f t="shared" si="35"/>
        <v>1.46104308707222</v>
      </c>
      <c r="K94" s="678">
        <f t="shared" si="36"/>
        <v>1.0000028851876264</v>
      </c>
      <c r="L94" s="679">
        <f t="shared" si="37"/>
        <v>2.4021576507048908E-3</v>
      </c>
      <c r="M94" s="678">
        <f t="shared" si="38"/>
        <v>1.0000425913977797</v>
      </c>
      <c r="N94" s="679">
        <f t="shared" si="39"/>
        <v>-9.2292888291035571E-3</v>
      </c>
      <c r="O94" s="677">
        <f t="shared" si="40"/>
        <v>32756.758258284026</v>
      </c>
      <c r="P94" s="680">
        <f t="shared" si="41"/>
        <v>1.570765798743486</v>
      </c>
      <c r="Q94" s="689">
        <f t="shared" si="42"/>
        <v>4.5018753382766867</v>
      </c>
      <c r="R94" s="690">
        <f t="shared" si="43"/>
        <v>1.3467981781794336</v>
      </c>
      <c r="S94" s="677">
        <f t="shared" si="44"/>
        <v>1.0021651801730647</v>
      </c>
      <c r="T94" s="680">
        <f t="shared" si="45"/>
        <v>6.5746189342743483E-2</v>
      </c>
      <c r="U94" s="681">
        <f t="shared" si="57"/>
        <v>0.99935402913560811</v>
      </c>
      <c r="V94" s="682">
        <f t="shared" si="58"/>
        <v>-2.7311120600331945E-2</v>
      </c>
      <c r="W94" s="683">
        <f t="shared" si="46"/>
        <v>9.4670176611643555</v>
      </c>
      <c r="X94" s="684">
        <f t="shared" si="47"/>
        <v>-102.26695901405114</v>
      </c>
      <c r="Y94" s="687">
        <f t="shared" si="48"/>
        <v>77.733040985948861</v>
      </c>
      <c r="AA94" s="170">
        <f t="shared" si="49"/>
        <v>1000000000</v>
      </c>
      <c r="AB94" s="170">
        <f t="shared" si="50"/>
        <v>3019948.84</v>
      </c>
      <c r="AD94" s="686">
        <f t="shared" si="51"/>
        <v>27.848514898112313</v>
      </c>
      <c r="AE94" s="687">
        <f t="shared" si="52"/>
        <v>-16.599378593282381</v>
      </c>
      <c r="AG94" s="686">
        <f t="shared" si="53"/>
        <v>35.13306984559032</v>
      </c>
      <c r="AH94" s="687">
        <f t="shared" si="54"/>
        <v>-82.537956528849008</v>
      </c>
      <c r="AJ94" s="170">
        <f t="shared" si="55"/>
        <v>0</v>
      </c>
      <c r="AK94" s="170">
        <f t="shared" si="65"/>
        <v>0</v>
      </c>
      <c r="AM94" s="170" t="str">
        <f t="shared" si="59"/>
        <v>0.000761208511114053+0.0390107367763219i</v>
      </c>
      <c r="AN94" s="170" t="str">
        <f t="shared" si="60"/>
        <v>0.0390206382261676i</v>
      </c>
      <c r="AO94" s="170" t="str">
        <f t="shared" si="61"/>
        <v>0.999746250950886-0.0195078436877944i</v>
      </c>
      <c r="AP94" s="170" t="str">
        <f t="shared" si="62"/>
        <v>0.166539798581481-0.00650178946272032i</v>
      </c>
      <c r="AQ94" s="170" t="str">
        <f t="shared" si="63"/>
        <v>0.833460201418519+0.00650178946272032i</v>
      </c>
      <c r="AR94" s="170" t="str">
        <f t="shared" si="64"/>
        <v>0.999387024689179-0.0077961779281656i</v>
      </c>
    </row>
    <row r="95" spans="1:44">
      <c r="A95" s="170">
        <v>34</v>
      </c>
      <c r="G95" s="688">
        <v>1905.5</v>
      </c>
      <c r="H95" s="676">
        <f t="shared" si="56"/>
        <v>1.9055</v>
      </c>
      <c r="I95" s="677">
        <f t="shared" si="34"/>
        <v>10.000581120897458</v>
      </c>
      <c r="J95" s="678">
        <f t="shared" si="35"/>
        <v>1.4706347457770117</v>
      </c>
      <c r="K95" s="678">
        <f t="shared" si="36"/>
        <v>1.0000034689037884</v>
      </c>
      <c r="L95" s="679">
        <f t="shared" si="37"/>
        <v>2.6339680182926122E-3</v>
      </c>
      <c r="M95" s="678">
        <f t="shared" si="38"/>
        <v>1.0000512080622987</v>
      </c>
      <c r="N95" s="679">
        <f t="shared" si="39"/>
        <v>-1.0119869285011001E-2</v>
      </c>
      <c r="O95" s="677">
        <f t="shared" si="40"/>
        <v>35917.828781370663</v>
      </c>
      <c r="P95" s="680">
        <f t="shared" si="41"/>
        <v>1.570768485468345</v>
      </c>
      <c r="Q95" s="689">
        <f t="shared" si="42"/>
        <v>4.9157770130461858</v>
      </c>
      <c r="R95" s="690">
        <f t="shared" si="43"/>
        <v>1.3659398499911806</v>
      </c>
      <c r="S95" s="677">
        <f t="shared" si="44"/>
        <v>1.002602660239563</v>
      </c>
      <c r="T95" s="680">
        <f t="shared" si="45"/>
        <v>7.2069797851529116E-2</v>
      </c>
      <c r="U95" s="681">
        <f t="shared" si="57"/>
        <v>0.99930428640960578</v>
      </c>
      <c r="V95" s="682">
        <f t="shared" si="58"/>
        <v>-2.9945942275827378E-2</v>
      </c>
      <c r="W95" s="683">
        <f t="shared" si="46"/>
        <v>8.6352586800611668</v>
      </c>
      <c r="X95" s="684">
        <f t="shared" si="47"/>
        <v>-102.27096249307982</v>
      </c>
      <c r="Y95" s="687">
        <f t="shared" si="48"/>
        <v>77.729037506920179</v>
      </c>
      <c r="AA95" s="170">
        <f t="shared" si="49"/>
        <v>1000000000</v>
      </c>
      <c r="AB95" s="170">
        <f t="shared" si="50"/>
        <v>3630930.25</v>
      </c>
      <c r="AD95" s="686">
        <f t="shared" si="51"/>
        <v>27.808515021126095</v>
      </c>
      <c r="AE95" s="687">
        <f t="shared" si="52"/>
        <v>-15.865111601647278</v>
      </c>
      <c r="AG95" s="686">
        <f t="shared" si="53"/>
        <v>34.342175441207338</v>
      </c>
      <c r="AH95" s="687">
        <f t="shared" si="54"/>
        <v>-82.97429867561678</v>
      </c>
      <c r="AJ95" s="170">
        <f t="shared" si="55"/>
        <v>0</v>
      </c>
      <c r="AK95" s="170">
        <f t="shared" si="65"/>
        <v>0</v>
      </c>
      <c r="AM95" s="170" t="str">
        <f t="shared" si="59"/>
        <v>0.000915189032695052+0.0427731281814145i</v>
      </c>
      <c r="AN95" s="170" t="str">
        <f t="shared" si="60"/>
        <v>0.0427861814592947i</v>
      </c>
      <c r="AO95" s="170" t="str">
        <f t="shared" si="61"/>
        <v>0.999694918372358-0.0213898273106174i</v>
      </c>
      <c r="AP95" s="170" t="str">
        <f t="shared" si="62"/>
        <v>0.166514135161217-0.00712885469690242i</v>
      </c>
      <c r="AQ95" s="170" t="str">
        <f t="shared" si="63"/>
        <v>0.833485864838783+0.00712885469690242i</v>
      </c>
      <c r="AR95" s="170" t="str">
        <f t="shared" si="64"/>
        <v>0.999343962047117-0.00854744897088166i</v>
      </c>
    </row>
    <row r="96" spans="1:44">
      <c r="A96" s="170">
        <v>35</v>
      </c>
      <c r="G96" s="688">
        <v>2089.3000000000002</v>
      </c>
      <c r="H96" s="676">
        <f t="shared" si="56"/>
        <v>2.0893000000000002</v>
      </c>
      <c r="I96" s="677">
        <f t="shared" si="34"/>
        <v>10.955988573124868</v>
      </c>
      <c r="J96" s="678">
        <f t="shared" si="35"/>
        <v>1.4793948321871075</v>
      </c>
      <c r="K96" s="678">
        <f t="shared" si="36"/>
        <v>1.0000041703816851</v>
      </c>
      <c r="L96" s="679">
        <f t="shared" si="37"/>
        <v>2.8880329609384052E-3</v>
      </c>
      <c r="M96" s="678">
        <f t="shared" si="38"/>
        <v>1.0000615630030165</v>
      </c>
      <c r="N96" s="679">
        <f t="shared" si="39"/>
        <v>-1.1095931222416054E-2</v>
      </c>
      <c r="O96" s="677">
        <f t="shared" si="40"/>
        <v>39382.377154566042</v>
      </c>
      <c r="P96" s="680">
        <f t="shared" si="41"/>
        <v>1.5707709347268612</v>
      </c>
      <c r="Q96" s="689">
        <f t="shared" si="42"/>
        <v>5.3711494651061038</v>
      </c>
      <c r="R96" s="690">
        <f t="shared" si="43"/>
        <v>1.3835237172290811</v>
      </c>
      <c r="S96" s="677">
        <f t="shared" si="44"/>
        <v>1.0031281475861968</v>
      </c>
      <c r="T96" s="680">
        <f t="shared" si="45"/>
        <v>7.8993858892288937E-2</v>
      </c>
      <c r="U96" s="681">
        <f t="shared" si="57"/>
        <v>0.99924451760915789</v>
      </c>
      <c r="V96" s="682">
        <f t="shared" si="58"/>
        <v>-3.2833484883907457E-2</v>
      </c>
      <c r="W96" s="683">
        <f t="shared" si="46"/>
        <v>7.8074214774372672</v>
      </c>
      <c r="X96" s="684">
        <f t="shared" si="47"/>
        <v>-102.36906828454066</v>
      </c>
      <c r="Y96" s="687">
        <f t="shared" si="48"/>
        <v>77.63093171545934</v>
      </c>
      <c r="AA96" s="170">
        <f t="shared" si="49"/>
        <v>1000000000</v>
      </c>
      <c r="AB96" s="170">
        <f t="shared" si="50"/>
        <v>4365174.4900000012</v>
      </c>
      <c r="AD96" s="686">
        <f t="shared" si="51"/>
        <v>27.773627982836537</v>
      </c>
      <c r="AE96" s="687">
        <f t="shared" si="52"/>
        <v>-15.254490027601902</v>
      </c>
      <c r="AG96" s="686">
        <f t="shared" si="53"/>
        <v>33.550264321210761</v>
      </c>
      <c r="AH96" s="687">
        <f t="shared" si="54"/>
        <v>-83.3521380315306</v>
      </c>
      <c r="AJ96" s="170">
        <f t="shared" si="55"/>
        <v>0</v>
      </c>
      <c r="AK96" s="170">
        <f t="shared" si="65"/>
        <v>0</v>
      </c>
      <c r="AM96" s="170" t="str">
        <f t="shared" si="59"/>
        <v>0.00110022399196497+0.0468960285215902i</v>
      </c>
      <c r="AN96" s="170" t="str">
        <f t="shared" si="60"/>
        <v>0.0469132348060375i</v>
      </c>
      <c r="AO96" s="170" t="str">
        <f t="shared" si="61"/>
        <v>0.999633231762456-0.0234523156741129i</v>
      </c>
      <c r="AP96" s="170" t="str">
        <f t="shared" si="62"/>
        <v>0.166483296001339-0.00781600475359837i</v>
      </c>
      <c r="AQ96" s="170" t="str">
        <f t="shared" si="63"/>
        <v>0.833516703998661+0.00781600475359837i</v>
      </c>
      <c r="AR96" s="170" t="str">
        <f t="shared" si="64"/>
        <v>0.999292223046659-0.009370505387711i</v>
      </c>
    </row>
    <row r="97" spans="1:44">
      <c r="A97" s="170" t="s">
        <v>801</v>
      </c>
      <c r="G97" s="688">
        <v>2290.9</v>
      </c>
      <c r="H97" s="676">
        <f t="shared" si="56"/>
        <v>2.2909000000000002</v>
      </c>
      <c r="I97" s="677">
        <f t="shared" si="34"/>
        <v>12.004727325143159</v>
      </c>
      <c r="J97" s="678">
        <f t="shared" si="35"/>
        <v>1.4873991703986067</v>
      </c>
      <c r="K97" s="678">
        <f t="shared" si="36"/>
        <v>1.0000050140224872</v>
      </c>
      <c r="L97" s="679">
        <f t="shared" si="37"/>
        <v>3.1667022395536755E-3</v>
      </c>
      <c r="M97" s="678">
        <f t="shared" si="38"/>
        <v>1.000074016364221</v>
      </c>
      <c r="N97" s="679">
        <f t="shared" si="39"/>
        <v>-1.2166494906709343E-2</v>
      </c>
      <c r="O97" s="677">
        <f t="shared" si="40"/>
        <v>43182.44762288878</v>
      </c>
      <c r="P97" s="680">
        <f t="shared" si="41"/>
        <v>1.5707731692377145</v>
      </c>
      <c r="Q97" s="689">
        <f t="shared" si="42"/>
        <v>5.872221063981554</v>
      </c>
      <c r="R97" s="690">
        <f t="shared" si="43"/>
        <v>1.3996690009937196</v>
      </c>
      <c r="S97" s="677">
        <f t="shared" si="44"/>
        <v>1.0037597673499674</v>
      </c>
      <c r="T97" s="680">
        <f t="shared" si="45"/>
        <v>8.6579733714353638E-2</v>
      </c>
      <c r="U97" s="681">
        <f t="shared" si="57"/>
        <v>0.99917264933676253</v>
      </c>
      <c r="V97" s="682">
        <f t="shared" si="58"/>
        <v>-3.6000360637598317E-2</v>
      </c>
      <c r="W97" s="683">
        <f t="shared" si="46"/>
        <v>6.9820269103779893</v>
      </c>
      <c r="X97" s="684">
        <f t="shared" si="47"/>
        <v>-102.56421392477718</v>
      </c>
      <c r="Y97" s="687">
        <f t="shared" si="48"/>
        <v>77.435786075222822</v>
      </c>
      <c r="AA97" s="170">
        <f t="shared" si="49"/>
        <v>1000000000</v>
      </c>
      <c r="AB97" s="170">
        <f t="shared" si="50"/>
        <v>5248222.8100000005</v>
      </c>
      <c r="AD97" s="686">
        <f t="shared" si="51"/>
        <v>27.742757247903775</v>
      </c>
      <c r="AE97" s="687">
        <f t="shared" si="52"/>
        <v>-14.764200047546819</v>
      </c>
      <c r="AG97" s="686">
        <f t="shared" si="53"/>
        <v>32.756989957699908</v>
      </c>
      <c r="AH97" s="687">
        <f t="shared" si="54"/>
        <v>-83.674676421549918</v>
      </c>
      <c r="AJ97" s="170">
        <f t="shared" si="55"/>
        <v>0</v>
      </c>
      <c r="AK97" s="170">
        <f t="shared" si="65"/>
        <v>0</v>
      </c>
      <c r="AM97" s="170" t="str">
        <f t="shared" si="59"/>
        <v>0.00132274355277096+0.0514172875114528i</v>
      </c>
      <c r="AN97" s="170" t="str">
        <f t="shared" si="60"/>
        <v>0.0514399701417466i</v>
      </c>
      <c r="AO97" s="170" t="str">
        <f t="shared" si="61"/>
        <v>0.999559046589038-0.0257143141632089i</v>
      </c>
      <c r="AP97" s="170" t="str">
        <f t="shared" si="62"/>
        <v>0.166446209407871-0.00856954791857547i</v>
      </c>
      <c r="AQ97" s="170" t="str">
        <f t="shared" si="63"/>
        <v>0.833553790592129+0.00856954791857547i</v>
      </c>
      <c r="AR97" s="170" t="str">
        <f t="shared" si="64"/>
        <v>0.99923001486232-0.0102728217311071i</v>
      </c>
    </row>
    <row r="98" spans="1:44">
      <c r="G98" s="688">
        <v>2511.9</v>
      </c>
      <c r="H98" s="676">
        <f t="shared" si="56"/>
        <v>2.5119000000000002</v>
      </c>
      <c r="I98" s="677">
        <f t="shared" si="34"/>
        <v>13.155122378091614</v>
      </c>
      <c r="J98" s="678">
        <f t="shared" si="35"/>
        <v>1.4947069103217414</v>
      </c>
      <c r="K98" s="678">
        <f t="shared" si="36"/>
        <v>1.0000060280727445</v>
      </c>
      <c r="L98" s="679">
        <f t="shared" si="37"/>
        <v>3.4721873403862897E-3</v>
      </c>
      <c r="M98" s="678">
        <f t="shared" si="38"/>
        <v>1.0000889850246959</v>
      </c>
      <c r="N98" s="679">
        <f t="shared" si="39"/>
        <v>-1.3340046970289886E-2</v>
      </c>
      <c r="O98" s="677">
        <f t="shared" si="40"/>
        <v>47348.199475770067</v>
      </c>
      <c r="P98" s="680">
        <f t="shared" si="41"/>
        <v>1.5707752066676026</v>
      </c>
      <c r="Q98" s="689">
        <f t="shared" si="42"/>
        <v>6.4229817358511427</v>
      </c>
      <c r="R98" s="690">
        <f t="shared" si="43"/>
        <v>1.4144694525834718</v>
      </c>
      <c r="S98" s="677">
        <f t="shared" si="44"/>
        <v>1.0045184449452844</v>
      </c>
      <c r="T98" s="680">
        <f t="shared" si="45"/>
        <v>9.4884104756967569E-2</v>
      </c>
      <c r="U98" s="681">
        <f t="shared" si="57"/>
        <v>0.99908628353008211</v>
      </c>
      <c r="V98" s="682">
        <f t="shared" si="58"/>
        <v>-3.9471577972253875E-2</v>
      </c>
      <c r="W98" s="683">
        <f t="shared" si="46"/>
        <v>6.1587619647280007</v>
      </c>
      <c r="X98" s="684">
        <f t="shared" si="47"/>
        <v>-102.8594579942436</v>
      </c>
      <c r="Y98" s="687">
        <f t="shared" si="48"/>
        <v>77.140542005756402</v>
      </c>
      <c r="AA98" s="170">
        <f t="shared" si="49"/>
        <v>1000000000</v>
      </c>
      <c r="AB98" s="170">
        <f t="shared" si="50"/>
        <v>6309641.6100000003</v>
      </c>
      <c r="AD98" s="686">
        <f t="shared" si="51"/>
        <v>27.714956158126455</v>
      </c>
      <c r="AE98" s="687">
        <f t="shared" si="52"/>
        <v>-14.392118784527236</v>
      </c>
      <c r="AG98" s="686">
        <f t="shared" si="53"/>
        <v>31.963027736782461</v>
      </c>
      <c r="AH98" s="687">
        <f t="shared" si="54"/>
        <v>-83.944229547484568</v>
      </c>
      <c r="AJ98" s="170">
        <f t="shared" si="55"/>
        <v>0</v>
      </c>
      <c r="AK98" s="170">
        <f t="shared" si="65"/>
        <v>0</v>
      </c>
      <c r="AM98" s="170" t="str">
        <f t="shared" si="59"/>
        <v>0.00159018887982298+0.0563724139892319i</v>
      </c>
      <c r="AN98" s="170" t="str">
        <f t="shared" si="60"/>
        <v>0.0564023139373405i</v>
      </c>
      <c r="AO98" s="170" t="str">
        <f t="shared" si="61"/>
        <v>0.999469880825425-0.0281936815852907i</v>
      </c>
      <c r="AP98" s="170" t="str">
        <f t="shared" si="62"/>
        <v>0.166401635186696-0.00939540233153865i</v>
      </c>
      <c r="AQ98" s="170" t="str">
        <f t="shared" si="63"/>
        <v>0.833598364813304+0.00939540233153865i</v>
      </c>
      <c r="AR98" s="170" t="str">
        <f t="shared" si="64"/>
        <v>0.999155264677123-0.0112613773005889i</v>
      </c>
    </row>
    <row r="99" spans="1:44">
      <c r="G99" s="688">
        <v>2754.2</v>
      </c>
      <c r="H99" s="676">
        <f t="shared" si="56"/>
        <v>2.7542</v>
      </c>
      <c r="I99" s="677">
        <f t="shared" si="34"/>
        <v>14.417064883661006</v>
      </c>
      <c r="J99" s="678">
        <f t="shared" si="35"/>
        <v>1.5013783417468256</v>
      </c>
      <c r="K99" s="678">
        <f t="shared" si="36"/>
        <v>1.0000072471037029</v>
      </c>
      <c r="L99" s="679">
        <f t="shared" si="37"/>
        <v>3.807114376019848E-3</v>
      </c>
      <c r="M99" s="678">
        <f t="shared" si="38"/>
        <v>1.0001069791823356</v>
      </c>
      <c r="N99" s="679">
        <f t="shared" si="39"/>
        <v>-1.4626663740235546E-2</v>
      </c>
      <c r="O99" s="677">
        <f t="shared" si="40"/>
        <v>51915.446869411047</v>
      </c>
      <c r="P99" s="680">
        <f t="shared" si="41"/>
        <v>1.5707770647050878</v>
      </c>
      <c r="Q99" s="689">
        <f t="shared" si="42"/>
        <v>7.028175852119448</v>
      </c>
      <c r="R99" s="690">
        <f t="shared" si="43"/>
        <v>1.4280273809129249</v>
      </c>
      <c r="S99" s="677">
        <f t="shared" si="44"/>
        <v>1.0054297253199105</v>
      </c>
      <c r="T99" s="680">
        <f t="shared" si="45"/>
        <v>0.10397375009068766</v>
      </c>
      <c r="U99" s="681">
        <f t="shared" si="57"/>
        <v>0.99898248763515884</v>
      </c>
      <c r="V99" s="682">
        <f t="shared" si="58"/>
        <v>-4.3276814843544779E-2</v>
      </c>
      <c r="W99" s="683">
        <f t="shared" si="46"/>
        <v>5.3367671754962984</v>
      </c>
      <c r="X99" s="684">
        <f t="shared" si="47"/>
        <v>-103.25834737700272</v>
      </c>
      <c r="Y99" s="687">
        <f t="shared" si="48"/>
        <v>76.741652622997279</v>
      </c>
      <c r="AA99" s="170">
        <f t="shared" si="49"/>
        <v>1000000000</v>
      </c>
      <c r="AB99" s="170">
        <f t="shared" si="50"/>
        <v>7585617.6399999987</v>
      </c>
      <c r="AD99" s="686">
        <f t="shared" si="51"/>
        <v>27.689336140588381</v>
      </c>
      <c r="AE99" s="687">
        <f t="shared" si="52"/>
        <v>-14.136211484615325</v>
      </c>
      <c r="AG99" s="686">
        <f t="shared" si="53"/>
        <v>31.168457827267773</v>
      </c>
      <c r="AH99" s="687">
        <f t="shared" si="54"/>
        <v>-84.162978204112292</v>
      </c>
      <c r="AJ99" s="170">
        <f t="shared" si="55"/>
        <v>0</v>
      </c>
      <c r="AK99" s="170">
        <f t="shared" si="65"/>
        <v>0</v>
      </c>
      <c r="AM99" s="170" t="str">
        <f t="shared" si="59"/>
        <v>0.00191166453847602+0.061803516207771i</v>
      </c>
      <c r="AN99" s="170" t="str">
        <f t="shared" si="60"/>
        <v>0.0618429288770346i</v>
      </c>
      <c r="AO99" s="170" t="str">
        <f t="shared" si="61"/>
        <v>0.999362697239939-0.0309116106431032i</v>
      </c>
      <c r="AP99" s="170" t="str">
        <f t="shared" si="62"/>
        <v>0.166348055910254-0.0103005860346285i</v>
      </c>
      <c r="AQ99" s="170" t="str">
        <f t="shared" si="63"/>
        <v>0.833651944089746+0.0103005860346285i</v>
      </c>
      <c r="AR99" s="170" t="str">
        <f t="shared" si="64"/>
        <v>0.999065438548697-0.0123444317223194i</v>
      </c>
    </row>
    <row r="100" spans="1:44">
      <c r="G100" s="688">
        <v>3020</v>
      </c>
      <c r="H100" s="676">
        <f t="shared" si="56"/>
        <v>3.02</v>
      </c>
      <c r="I100" s="677">
        <f t="shared" si="34"/>
        <v>15.802014095663056</v>
      </c>
      <c r="J100" s="678">
        <f t="shared" si="35"/>
        <v>1.5074709394398471</v>
      </c>
      <c r="K100" s="678">
        <f t="shared" si="36"/>
        <v>1.0000087133888484</v>
      </c>
      <c r="L100" s="679">
        <f t="shared" si="37"/>
        <v>4.1745240638260918E-3</v>
      </c>
      <c r="M100" s="678">
        <f t="shared" si="38"/>
        <v>1.00012862266764</v>
      </c>
      <c r="N100" s="679">
        <f t="shared" si="39"/>
        <v>-1.603801001751531E-2</v>
      </c>
      <c r="O100" s="677">
        <f t="shared" si="40"/>
        <v>56925.658826783387</v>
      </c>
      <c r="P100" s="680">
        <f t="shared" si="41"/>
        <v>1.5707787600241176</v>
      </c>
      <c r="Q100" s="689">
        <f t="shared" si="42"/>
        <v>7.6933067029553799</v>
      </c>
      <c r="R100" s="690">
        <f t="shared" si="43"/>
        <v>1.4404443726393881</v>
      </c>
      <c r="S100" s="677">
        <f t="shared" si="44"/>
        <v>1.0065247477363839</v>
      </c>
      <c r="T100" s="680">
        <f t="shared" si="45"/>
        <v>0.1139251263300919</v>
      </c>
      <c r="U100" s="681">
        <f t="shared" si="57"/>
        <v>0.99885767937791992</v>
      </c>
      <c r="V100" s="682">
        <f t="shared" si="58"/>
        <v>-4.7450403318791926E-2</v>
      </c>
      <c r="W100" s="683">
        <f t="shared" si="46"/>
        <v>4.5148952308340338</v>
      </c>
      <c r="X100" s="684">
        <f t="shared" si="47"/>
        <v>-103.76519745069012</v>
      </c>
      <c r="Y100" s="687">
        <f t="shared" si="48"/>
        <v>76.234802549309876</v>
      </c>
      <c r="AA100" s="170">
        <f t="shared" si="49"/>
        <v>1000000000</v>
      </c>
      <c r="AB100" s="170">
        <f t="shared" si="50"/>
        <v>9120400</v>
      </c>
      <c r="AD100" s="686">
        <f t="shared" si="51"/>
        <v>27.665060569298245</v>
      </c>
      <c r="AE100" s="687">
        <f t="shared" si="52"/>
        <v>-13.995039257768788</v>
      </c>
      <c r="AG100" s="686">
        <f t="shared" si="53"/>
        <v>30.373031939338087</v>
      </c>
      <c r="AH100" s="687">
        <f t="shared" si="54"/>
        <v>-84.332742493987553</v>
      </c>
      <c r="AJ100" s="170">
        <f t="shared" si="55"/>
        <v>0</v>
      </c>
      <c r="AK100" s="170">
        <f t="shared" si="65"/>
        <v>0</v>
      </c>
      <c r="AM100" s="170" t="str">
        <f t="shared" si="59"/>
        <v>0.00229829945911397+0.0677592557354705i</v>
      </c>
      <c r="AN100" s="170" t="str">
        <f t="shared" si="60"/>
        <v>0.0678112138583416i</v>
      </c>
      <c r="AO100" s="170" t="str">
        <f t="shared" si="61"/>
        <v>0.99923378273423-0.0338926164028732i</v>
      </c>
      <c r="AP100" s="170" t="str">
        <f t="shared" si="62"/>
        <v>0.166283616756814-0.0112932092892451i</v>
      </c>
      <c r="AQ100" s="170" t="str">
        <f t="shared" si="63"/>
        <v>0.833716383243186+0.0112932092892451i</v>
      </c>
      <c r="AR100" s="170" t="str">
        <f t="shared" si="64"/>
        <v>0.998957442420062-0.0135315026729037i</v>
      </c>
    </row>
    <row r="101" spans="1:44">
      <c r="G101" s="688">
        <v>3311.3</v>
      </c>
      <c r="H101" s="676">
        <f t="shared" si="56"/>
        <v>3.3113000000000001</v>
      </c>
      <c r="I101" s="677">
        <f t="shared" si="34"/>
        <v>17.320391654364503</v>
      </c>
      <c r="J101" s="678">
        <f t="shared" si="35"/>
        <v>1.5130287879306734</v>
      </c>
      <c r="K101" s="678">
        <f t="shared" si="36"/>
        <v>1.0000104753823893</v>
      </c>
      <c r="L101" s="679">
        <f t="shared" si="37"/>
        <v>4.5771805613225311E-3</v>
      </c>
      <c r="M101" s="678">
        <f t="shared" si="38"/>
        <v>1.0001546304564359</v>
      </c>
      <c r="N101" s="679">
        <f t="shared" si="39"/>
        <v>-1.7584682742834045E-2</v>
      </c>
      <c r="O101" s="677">
        <f t="shared" si="40"/>
        <v>62416.534459680704</v>
      </c>
      <c r="P101" s="680">
        <f t="shared" si="41"/>
        <v>1.5707803053991447</v>
      </c>
      <c r="Q101" s="689">
        <f t="shared" si="42"/>
        <v>8.4233848105857714</v>
      </c>
      <c r="R101" s="690">
        <f t="shared" si="43"/>
        <v>1.4517985598117764</v>
      </c>
      <c r="S101" s="677">
        <f t="shared" si="44"/>
        <v>1.0078390335887579</v>
      </c>
      <c r="T101" s="680">
        <f t="shared" si="45"/>
        <v>0.1248051690575986</v>
      </c>
      <c r="U101" s="681">
        <f t="shared" si="57"/>
        <v>0.99870775914127186</v>
      </c>
      <c r="V101" s="682">
        <f t="shared" si="58"/>
        <v>-5.202346054792973E-2</v>
      </c>
      <c r="W101" s="683">
        <f t="shared" si="46"/>
        <v>3.693233191436442</v>
      </c>
      <c r="X101" s="684">
        <f t="shared" si="47"/>
        <v>-104.38412496124047</v>
      </c>
      <c r="Y101" s="687">
        <f t="shared" si="48"/>
        <v>75.615875038759526</v>
      </c>
      <c r="AA101" s="170">
        <f t="shared" si="49"/>
        <v>1000000000</v>
      </c>
      <c r="AB101" s="170">
        <f t="shared" si="50"/>
        <v>10964707.690000001</v>
      </c>
      <c r="AD101" s="686">
        <f t="shared" si="51"/>
        <v>27.641366401322621</v>
      </c>
      <c r="AE101" s="687">
        <f t="shared" si="52"/>
        <v>-13.967961325633366</v>
      </c>
      <c r="AG101" s="686">
        <f t="shared" si="53"/>
        <v>29.577671623308039</v>
      </c>
      <c r="AH101" s="687">
        <f t="shared" si="54"/>
        <v>-84.454714178671736</v>
      </c>
      <c r="AJ101" s="170">
        <f t="shared" si="55"/>
        <v>0</v>
      </c>
      <c r="AK101" s="170">
        <f t="shared" si="65"/>
        <v>0</v>
      </c>
      <c r="AM101" s="170" t="str">
        <f t="shared" si="59"/>
        <v>0.00276284252025505+0.0742835899894403i</v>
      </c>
      <c r="AN101" s="170" t="str">
        <f t="shared" si="60"/>
        <v>0.0743520769699094i</v>
      </c>
      <c r="AO101" s="170" t="str">
        <f t="shared" si="61"/>
        <v>0.999078882752706-0.0371589151621573i</v>
      </c>
      <c r="AP101" s="170" t="str">
        <f t="shared" si="62"/>
        <v>0.166206192913291-0.0123805983315734i</v>
      </c>
      <c r="AQ101" s="170" t="str">
        <f t="shared" si="63"/>
        <v>0.833793807086709+0.0123805983315734i</v>
      </c>
      <c r="AR101" s="170" t="str">
        <f t="shared" si="64"/>
        <v>0.998827737679495-0.0148311068246613i</v>
      </c>
    </row>
    <row r="102" spans="1:44">
      <c r="G102" s="688">
        <v>3630.8</v>
      </c>
      <c r="H102" s="676">
        <f t="shared" si="56"/>
        <v>3.6308000000000002</v>
      </c>
      <c r="I102" s="677">
        <f t="shared" si="34"/>
        <v>18.986271463875468</v>
      </c>
      <c r="J102" s="678">
        <f t="shared" si="35"/>
        <v>1.5181023089912247</v>
      </c>
      <c r="K102" s="678">
        <f t="shared" si="36"/>
        <v>1.0000125943866016</v>
      </c>
      <c r="L102" s="679">
        <f t="shared" si="37"/>
        <v>5.0188154819421817E-3</v>
      </c>
      <c r="M102" s="678">
        <f t="shared" si="38"/>
        <v>1.0001859070425594</v>
      </c>
      <c r="N102" s="679">
        <f t="shared" si="39"/>
        <v>-1.9280987834515487E-2</v>
      </c>
      <c r="O102" s="677">
        <f t="shared" si="40"/>
        <v>68438.967569025786</v>
      </c>
      <c r="P102" s="680">
        <f t="shared" si="41"/>
        <v>1.5707817152360792</v>
      </c>
      <c r="Q102" s="689">
        <f t="shared" si="42"/>
        <v>9.2251812879799147</v>
      </c>
      <c r="R102" s="690">
        <f t="shared" si="43"/>
        <v>1.4621839553008977</v>
      </c>
      <c r="S102" s="677">
        <f t="shared" si="44"/>
        <v>1.0094173533301878</v>
      </c>
      <c r="T102" s="680">
        <f t="shared" si="45"/>
        <v>0.1367043303117694</v>
      </c>
      <c r="U102" s="681">
        <f t="shared" si="57"/>
        <v>0.99852754671484545</v>
      </c>
      <c r="V102" s="682">
        <f t="shared" si="58"/>
        <v>-5.7037995548666322E-2</v>
      </c>
      <c r="W102" s="683">
        <f t="shared" si="46"/>
        <v>2.8704137547506168</v>
      </c>
      <c r="X102" s="684">
        <f t="shared" si="47"/>
        <v>-105.12082847058313</v>
      </c>
      <c r="Y102" s="687">
        <f t="shared" si="48"/>
        <v>74.879171529416865</v>
      </c>
      <c r="AA102" s="170">
        <f t="shared" si="49"/>
        <v>1000000000</v>
      </c>
      <c r="AB102" s="170">
        <f t="shared" si="50"/>
        <v>13182708.640000001</v>
      </c>
      <c r="AD102" s="686">
        <f t="shared" si="51"/>
        <v>27.617463970348073</v>
      </c>
      <c r="AE102" s="687">
        <f t="shared" si="52"/>
        <v>-14.054774492947443</v>
      </c>
      <c r="AG102" s="686">
        <f t="shared" si="53"/>
        <v>28.781889561680728</v>
      </c>
      <c r="AH102" s="687">
        <f t="shared" si="54"/>
        <v>-84.529981136518018</v>
      </c>
      <c r="AJ102" s="170">
        <f t="shared" si="55"/>
        <v>0</v>
      </c>
      <c r="AK102" s="170">
        <f t="shared" si="65"/>
        <v>0</v>
      </c>
      <c r="AM102" s="170" t="str">
        <f t="shared" si="59"/>
        <v>0.00332141582438295+0.0814358633876213i</v>
      </c>
      <c r="AN102" s="170" t="str">
        <f t="shared" si="60"/>
        <v>0.0815261441314128i</v>
      </c>
      <c r="AO102" s="170" t="str">
        <f t="shared" si="61"/>
        <v>0.998892616046627-0.040740499379305i</v>
      </c>
      <c r="AP102" s="170" t="str">
        <f t="shared" si="62"/>
        <v>0.166113097362603-0.0135726438979369i</v>
      </c>
      <c r="AQ102" s="170" t="str">
        <f t="shared" si="63"/>
        <v>0.833886902637397+0.0135726438979369i</v>
      </c>
      <c r="AR102" s="170" t="str">
        <f t="shared" si="64"/>
        <v>0.998671855289918-0.0162547432030313i</v>
      </c>
    </row>
    <row r="103" spans="1:44">
      <c r="G103" s="688">
        <v>3981.1</v>
      </c>
      <c r="H103" s="676">
        <f t="shared" si="56"/>
        <v>3.9811000000000001</v>
      </c>
      <c r="I103" s="677">
        <f t="shared" si="34"/>
        <v>20.813210536337376</v>
      </c>
      <c r="J103" s="678">
        <f t="shared" si="35"/>
        <v>1.5227314143029214</v>
      </c>
      <c r="K103" s="678">
        <f t="shared" si="36"/>
        <v>1.0000151418167857</v>
      </c>
      <c r="L103" s="679">
        <f t="shared" si="37"/>
        <v>5.5030220290497485E-3</v>
      </c>
      <c r="M103" s="678">
        <f t="shared" si="38"/>
        <v>1.0002235060061262</v>
      </c>
      <c r="N103" s="679">
        <f t="shared" si="39"/>
        <v>-2.1140689910791564E-2</v>
      </c>
      <c r="O103" s="677">
        <f t="shared" si="40"/>
        <v>75041.967000152945</v>
      </c>
      <c r="P103" s="680">
        <f t="shared" si="41"/>
        <v>1.5707830009181905</v>
      </c>
      <c r="Q103" s="689">
        <f t="shared" si="42"/>
        <v>10.105224664740796</v>
      </c>
      <c r="R103" s="690">
        <f t="shared" si="43"/>
        <v>1.47167538632893</v>
      </c>
      <c r="S103" s="677">
        <f t="shared" si="44"/>
        <v>1.0113115258134355</v>
      </c>
      <c r="T103" s="680">
        <f t="shared" si="45"/>
        <v>0.14970584136029086</v>
      </c>
      <c r="U103" s="681">
        <f t="shared" si="57"/>
        <v>0.99831102015793649</v>
      </c>
      <c r="V103" s="682">
        <f t="shared" si="58"/>
        <v>-6.2534317067052161E-2</v>
      </c>
      <c r="W103" s="683">
        <f t="shared" si="46"/>
        <v>2.0460131434950801</v>
      </c>
      <c r="X103" s="684">
        <f t="shared" si="47"/>
        <v>-105.98096921834468</v>
      </c>
      <c r="Y103" s="687">
        <f t="shared" si="48"/>
        <v>74.019030781655317</v>
      </c>
      <c r="AA103" s="170">
        <f t="shared" si="49"/>
        <v>1000000000</v>
      </c>
      <c r="AB103" s="170">
        <f t="shared" si="50"/>
        <v>15849157.209999999</v>
      </c>
      <c r="AD103" s="686">
        <f t="shared" si="51"/>
        <v>27.592586248043183</v>
      </c>
      <c r="AE103" s="687">
        <f t="shared" si="52"/>
        <v>-14.255960928263315</v>
      </c>
      <c r="AG103" s="686">
        <f t="shared" si="53"/>
        <v>27.986134079501149</v>
      </c>
      <c r="AH103" s="687">
        <f t="shared" si="54"/>
        <v>-84.559103396543136</v>
      </c>
      <c r="AJ103" s="170">
        <f t="shared" si="55"/>
        <v>0</v>
      </c>
      <c r="AK103" s="170">
        <f t="shared" si="65"/>
        <v>0</v>
      </c>
      <c r="AM103" s="170" t="str">
        <f t="shared" si="59"/>
        <v>0.00399278669305203+0.0892727900344068i</v>
      </c>
      <c r="AN103" s="170" t="str">
        <f t="shared" si="60"/>
        <v>0.0893917958580939i</v>
      </c>
      <c r="AO103" s="170" t="str">
        <f t="shared" si="61"/>
        <v>0.998668716490761-0.0446661425103309i</v>
      </c>
      <c r="AP103" s="170" t="str">
        <f t="shared" si="62"/>
        <v>0.166001202217825-0.0148787983390678i</v>
      </c>
      <c r="AQ103" s="170" t="str">
        <f t="shared" si="63"/>
        <v>0.833998797782175+0.0148787983390678i</v>
      </c>
      <c r="AR103" s="170" t="str">
        <f t="shared" si="64"/>
        <v>0.998484604615263-0.0178132763695117i</v>
      </c>
    </row>
    <row r="104" spans="1:44">
      <c r="G104" s="688">
        <v>4365.2</v>
      </c>
      <c r="H104" s="676">
        <f t="shared" si="56"/>
        <v>4.3651999999999997</v>
      </c>
      <c r="I104" s="677">
        <f t="shared" si="34"/>
        <v>22.816855195474041</v>
      </c>
      <c r="J104" s="678">
        <f t="shared" si="35"/>
        <v>1.5269550346260863</v>
      </c>
      <c r="K104" s="678">
        <f t="shared" si="36"/>
        <v>1.0000182045287767</v>
      </c>
      <c r="L104" s="679">
        <f t="shared" si="37"/>
        <v>6.0339460736910126E-3</v>
      </c>
      <c r="M104" s="678">
        <f t="shared" si="38"/>
        <v>1.0002687085612132</v>
      </c>
      <c r="N104" s="679">
        <f t="shared" si="39"/>
        <v>-2.3179663706124246E-2</v>
      </c>
      <c r="O104" s="677">
        <f t="shared" si="40"/>
        <v>82282.081420756658</v>
      </c>
      <c r="P104" s="680">
        <f t="shared" si="41"/>
        <v>1.570784173480557</v>
      </c>
      <c r="Q104" s="689">
        <f t="shared" si="42"/>
        <v>11.0710542223499</v>
      </c>
      <c r="R104" s="690">
        <f t="shared" si="43"/>
        <v>1.4803474153056926</v>
      </c>
      <c r="S104" s="677">
        <f t="shared" si="44"/>
        <v>1.0135841624446871</v>
      </c>
      <c r="T104" s="680">
        <f t="shared" si="45"/>
        <v>0.16390332263154742</v>
      </c>
      <c r="U104" s="681">
        <f t="shared" si="57"/>
        <v>0.99805087138638038</v>
      </c>
      <c r="V104" s="682">
        <f t="shared" si="58"/>
        <v>-6.8558840865133086E-2</v>
      </c>
      <c r="W104" s="683">
        <f t="shared" si="46"/>
        <v>1.2191760630853183</v>
      </c>
      <c r="X104" s="684">
        <f t="shared" si="47"/>
        <v>-106.97120179072597</v>
      </c>
      <c r="Y104" s="687">
        <f t="shared" si="48"/>
        <v>73.028798209274029</v>
      </c>
      <c r="AA104" s="170">
        <f t="shared" si="49"/>
        <v>1000000000</v>
      </c>
      <c r="AB104" s="170">
        <f t="shared" si="50"/>
        <v>19054971.039999999</v>
      </c>
      <c r="AD104" s="686">
        <f t="shared" si="51"/>
        <v>27.56592795628184</v>
      </c>
      <c r="AE104" s="687">
        <f t="shared" si="52"/>
        <v>-14.572613207875349</v>
      </c>
      <c r="AG104" s="686">
        <f t="shared" si="53"/>
        <v>27.190482773653475</v>
      </c>
      <c r="AH104" s="687">
        <f t="shared" si="54"/>
        <v>-84.542324114111196</v>
      </c>
      <c r="AJ104" s="170">
        <f t="shared" si="55"/>
        <v>0</v>
      </c>
      <c r="AK104" s="170">
        <f t="shared" si="65"/>
        <v>0</v>
      </c>
      <c r="AM104" s="170" t="str">
        <f t="shared" si="59"/>
        <v>0.00479976223246703+0.0978595255835923i</v>
      </c>
      <c r="AN104" s="170" t="str">
        <f t="shared" si="60"/>
        <v>0.0980163942829247i</v>
      </c>
      <c r="AO104" s="170" t="str">
        <f t="shared" si="61"/>
        <v>0.998399566720649-0.0489689736863049i</v>
      </c>
      <c r="AP104" s="170" t="str">
        <f t="shared" si="62"/>
        <v>0.165866706294589-0.0163099209305987i</v>
      </c>
      <c r="AQ104" s="170" t="str">
        <f t="shared" si="63"/>
        <v>0.834133293705411+0.0163099209305987i</v>
      </c>
      <c r="AR104" s="170" t="str">
        <f t="shared" si="64"/>
        <v>0.998259692064795-0.0195191065608403i</v>
      </c>
    </row>
    <row r="105" spans="1:44">
      <c r="G105" s="688">
        <v>4786.3</v>
      </c>
      <c r="H105" s="676">
        <f t="shared" si="56"/>
        <v>4.7862999999999998</v>
      </c>
      <c r="I105" s="677">
        <f t="shared" si="34"/>
        <v>25.013898288448605</v>
      </c>
      <c r="J105" s="678">
        <f t="shared" si="35"/>
        <v>1.5308078951382877</v>
      </c>
      <c r="K105" s="678">
        <f t="shared" si="36"/>
        <v>1.000021886190833</v>
      </c>
      <c r="L105" s="679">
        <f t="shared" si="37"/>
        <v>6.6160096235434399E-3</v>
      </c>
      <c r="M105" s="678">
        <f t="shared" si="38"/>
        <v>1.0003230436777648</v>
      </c>
      <c r="N105" s="679">
        <f t="shared" si="39"/>
        <v>-2.5414827852372483E-2</v>
      </c>
      <c r="O105" s="677">
        <f t="shared" si="40"/>
        <v>90219.629409712041</v>
      </c>
      <c r="P105" s="680">
        <f t="shared" si="41"/>
        <v>1.5707852427325195</v>
      </c>
      <c r="Q105" s="689">
        <f t="shared" si="42"/>
        <v>12.13071827838532</v>
      </c>
      <c r="R105" s="690">
        <f t="shared" si="43"/>
        <v>1.4882673246034519</v>
      </c>
      <c r="S105" s="677">
        <f t="shared" si="44"/>
        <v>1.0163093639924061</v>
      </c>
      <c r="T105" s="680">
        <f t="shared" si="45"/>
        <v>0.17939198964184452</v>
      </c>
      <c r="U105" s="681">
        <f t="shared" si="57"/>
        <v>0.9977384022136716</v>
      </c>
      <c r="V105" s="682">
        <f t="shared" si="58"/>
        <v>-7.5160896132215715E-2</v>
      </c>
      <c r="W105" s="683">
        <f t="shared" si="46"/>
        <v>0.38916134883737413</v>
      </c>
      <c r="X105" s="684">
        <f t="shared" si="47"/>
        <v>-108.09865916532621</v>
      </c>
      <c r="Y105" s="687">
        <f t="shared" si="48"/>
        <v>71.901340834673789</v>
      </c>
      <c r="AA105" s="170">
        <f t="shared" si="49"/>
        <v>1000000000</v>
      </c>
      <c r="AB105" s="170">
        <f t="shared" si="50"/>
        <v>22908667.690000001</v>
      </c>
      <c r="AD105" s="686">
        <f t="shared" si="51"/>
        <v>27.536641121369513</v>
      </c>
      <c r="AE105" s="687">
        <f t="shared" si="52"/>
        <v>-15.006332345081143</v>
      </c>
      <c r="AG105" s="686">
        <f t="shared" si="53"/>
        <v>26.395194492190281</v>
      </c>
      <c r="AH105" s="687">
        <f t="shared" si="54"/>
        <v>-84.479522544809285</v>
      </c>
      <c r="AJ105" s="170">
        <f t="shared" si="55"/>
        <v>4786.3</v>
      </c>
      <c r="AK105" s="170">
        <f t="shared" si="65"/>
        <v>71.901340834673789</v>
      </c>
      <c r="AM105" s="170" t="str">
        <f t="shared" si="59"/>
        <v>0.005769536598207+0.1072650252592i</v>
      </c>
      <c r="AN105" s="170" t="str">
        <f t="shared" si="60"/>
        <v>0.107471792347742i</v>
      </c>
      <c r="AO105" s="170" t="str">
        <f t="shared" si="61"/>
        <v>0.998076080392584-0.053684194449263i</v>
      </c>
      <c r="AP105" s="170" t="str">
        <f t="shared" si="62"/>
        <v>0.165705077233632-0.0178775042098667i</v>
      </c>
      <c r="AQ105" s="170" t="str">
        <f t="shared" si="63"/>
        <v>0.834294922766368+0.0178775042098667i</v>
      </c>
      <c r="AR105" s="170" t="str">
        <f t="shared" si="64"/>
        <v>0.997989635647514-0.0213852001562378i</v>
      </c>
    </row>
    <row r="106" spans="1:44">
      <c r="G106" s="688">
        <v>5248.1</v>
      </c>
      <c r="H106" s="676">
        <f t="shared" si="56"/>
        <v>5.2481</v>
      </c>
      <c r="I106" s="677">
        <f t="shared" si="34"/>
        <v>27.423644348071129</v>
      </c>
      <c r="J106" s="678">
        <f t="shared" si="35"/>
        <v>1.5343233571691912</v>
      </c>
      <c r="K106" s="678">
        <f t="shared" si="36"/>
        <v>1.0000263131954337</v>
      </c>
      <c r="L106" s="679">
        <f t="shared" si="37"/>
        <v>7.2543253938349957E-3</v>
      </c>
      <c r="M106" s="678">
        <f t="shared" si="38"/>
        <v>1.0003883751490201</v>
      </c>
      <c r="N106" s="679">
        <f t="shared" si="39"/>
        <v>-2.786573144981179E-2</v>
      </c>
      <c r="O106" s="677">
        <f t="shared" si="40"/>
        <v>98924.354323844382</v>
      </c>
      <c r="P106" s="680">
        <f t="shared" si="41"/>
        <v>1.5707862180607346</v>
      </c>
      <c r="Q106" s="689">
        <f t="shared" si="42"/>
        <v>13.293529123840894</v>
      </c>
      <c r="R106" s="690">
        <f t="shared" si="43"/>
        <v>1.4955006304433029</v>
      </c>
      <c r="S106" s="677">
        <f t="shared" si="44"/>
        <v>1.0195766431354936</v>
      </c>
      <c r="T106" s="680">
        <f t="shared" si="45"/>
        <v>0.19627795689119337</v>
      </c>
      <c r="U106" s="681">
        <f t="shared" si="57"/>
        <v>0.99736304060501269</v>
      </c>
      <c r="V106" s="682">
        <f t="shared" si="58"/>
        <v>-8.2397356608272465E-2</v>
      </c>
      <c r="W106" s="683">
        <f t="shared" si="46"/>
        <v>-0.44522429918429979</v>
      </c>
      <c r="X106" s="684">
        <f t="shared" si="47"/>
        <v>-109.3716652225971</v>
      </c>
      <c r="Y106" s="687">
        <f t="shared" si="48"/>
        <v>70.628334777402898</v>
      </c>
      <c r="AA106" s="170">
        <f t="shared" si="49"/>
        <v>5248.1</v>
      </c>
      <c r="AB106" s="170">
        <f t="shared" si="50"/>
        <v>27542553.610000003</v>
      </c>
      <c r="AD106" s="686">
        <f t="shared" si="51"/>
        <v>27.503793884568417</v>
      </c>
      <c r="AE106" s="687">
        <f t="shared" si="52"/>
        <v>-15.559444987736557</v>
      </c>
      <c r="AG106" s="686">
        <f t="shared" si="53"/>
        <v>25.600192790283174</v>
      </c>
      <c r="AH106" s="687">
        <f t="shared" si="54"/>
        <v>-84.370178670694671</v>
      </c>
      <c r="AJ106" s="170">
        <f t="shared" si="55"/>
        <v>0</v>
      </c>
      <c r="AK106" s="170">
        <f t="shared" si="65"/>
        <v>0</v>
      </c>
      <c r="AM106" s="170" t="str">
        <f t="shared" si="59"/>
        <v>0.00693522780224398+0.117568525634286i</v>
      </c>
      <c r="AN106" s="170" t="str">
        <f t="shared" si="60"/>
        <v>0.117841070016544i</v>
      </c>
      <c r="AO106" s="170" t="str">
        <f t="shared" si="61"/>
        <v>0.997687186799817-0.0588523831400235i</v>
      </c>
      <c r="AP106" s="170" t="str">
        <f t="shared" si="62"/>
        <v>0.165510795366293-0.019594754272381i</v>
      </c>
      <c r="AQ106" s="170" t="str">
        <f t="shared" si="63"/>
        <v>0.834489204633707+0.019594754272381i</v>
      </c>
      <c r="AR106" s="170" t="str">
        <f t="shared" si="64"/>
        <v>0.997665353224616-0.0234263155640047i</v>
      </c>
    </row>
    <row r="107" spans="1:44">
      <c r="G107" s="688">
        <v>5370.3</v>
      </c>
      <c r="H107" s="676">
        <f t="shared" si="56"/>
        <v>5.3703000000000003</v>
      </c>
      <c r="I107" s="677">
        <f t="shared" si="34"/>
        <v>28.06135398821079</v>
      </c>
      <c r="J107" s="678">
        <f t="shared" si="35"/>
        <v>1.5351525806693098</v>
      </c>
      <c r="K107" s="678">
        <f t="shared" si="36"/>
        <v>1.0000275528300417</v>
      </c>
      <c r="L107" s="679">
        <f t="shared" si="37"/>
        <v>7.423233449715295E-3</v>
      </c>
      <c r="M107" s="678">
        <f t="shared" si="38"/>
        <v>1.0004066683302095</v>
      </c>
      <c r="N107" s="679">
        <f t="shared" si="39"/>
        <v>-2.8514226697406223E-2</v>
      </c>
      <c r="O107" s="677">
        <f t="shared" si="40"/>
        <v>101227.77005470937</v>
      </c>
      <c r="P107" s="680">
        <f t="shared" si="41"/>
        <v>1.5707864480827658</v>
      </c>
      <c r="Q107" s="689">
        <f t="shared" si="42"/>
        <v>13.601332104746106</v>
      </c>
      <c r="R107" s="690">
        <f t="shared" si="43"/>
        <v>1.4972077172326417</v>
      </c>
      <c r="S107" s="677">
        <f t="shared" si="44"/>
        <v>1.0204896632893001</v>
      </c>
      <c r="T107" s="680">
        <f t="shared" si="45"/>
        <v>0.20072776549270682</v>
      </c>
      <c r="U107" s="681">
        <f t="shared" si="57"/>
        <v>0.99725800468836767</v>
      </c>
      <c r="V107" s="682">
        <f t="shared" si="58"/>
        <v>-8.4311554026858207E-2</v>
      </c>
      <c r="W107" s="683">
        <f t="shared" si="46"/>
        <v>-0.65451906220279632</v>
      </c>
      <c r="X107" s="684">
        <f t="shared" si="47"/>
        <v>-109.7134895485588</v>
      </c>
      <c r="Y107" s="687">
        <f t="shared" si="48"/>
        <v>70.286510451441202</v>
      </c>
      <c r="AA107" s="170">
        <f t="shared" si="49"/>
        <v>5370.3</v>
      </c>
      <c r="AB107" s="170">
        <f t="shared" si="50"/>
        <v>28840122.090000004</v>
      </c>
      <c r="AD107" s="686">
        <f t="shared" si="51"/>
        <v>27.494913402575559</v>
      </c>
      <c r="AE107" s="687">
        <f t="shared" si="52"/>
        <v>-15.716604551423805</v>
      </c>
      <c r="AG107" s="686">
        <f t="shared" si="53"/>
        <v>25.40160809063693</v>
      </c>
      <c r="AH107" s="687">
        <f t="shared" si="54"/>
        <v>-84.335492566238855</v>
      </c>
      <c r="AJ107" s="170">
        <f t="shared" si="55"/>
        <v>0</v>
      </c>
      <c r="AK107" s="170">
        <f t="shared" si="65"/>
        <v>0</v>
      </c>
      <c r="AM107" s="170" t="str">
        <f t="shared" si="59"/>
        <v>0.00726156015990997+0.120292934388784i</v>
      </c>
      <c r="AN107" s="170" t="str">
        <f t="shared" si="60"/>
        <v>0.120584954232931i</v>
      </c>
      <c r="AO107" s="170" t="str">
        <f t="shared" si="61"/>
        <v>0.997578306132762-0.0602194544593266i</v>
      </c>
      <c r="AP107" s="170" t="str">
        <f t="shared" si="62"/>
        <v>0.165456406640015-0.0200488223981307i</v>
      </c>
      <c r="AQ107" s="170" t="str">
        <f t="shared" si="63"/>
        <v>0.834543593359985+0.0200488223981307i</v>
      </c>
      <c r="AR107" s="170" t="str">
        <f t="shared" si="64"/>
        <v>0.997574635955334-0.0239654307627297i</v>
      </c>
    </row>
    <row r="108" spans="1:44">
      <c r="G108" s="688">
        <v>5432.85</v>
      </c>
      <c r="H108" s="676">
        <f t="shared" si="56"/>
        <v>5.4328500000000002</v>
      </c>
      <c r="I108" s="677">
        <f t="shared" si="34"/>
        <v>28.387782951847115</v>
      </c>
      <c r="J108" s="678">
        <f t="shared" si="35"/>
        <v>1.535562616079915</v>
      </c>
      <c r="K108" s="678">
        <f t="shared" si="36"/>
        <v>1.0000281983961405</v>
      </c>
      <c r="L108" s="679">
        <f t="shared" si="37"/>
        <v>7.5096915425244531E-3</v>
      </c>
      <c r="M108" s="678">
        <f t="shared" si="38"/>
        <v>1.0004161947700765</v>
      </c>
      <c r="N108" s="679">
        <f t="shared" si="39"/>
        <v>-2.8846159984235224E-2</v>
      </c>
      <c r="O108" s="677">
        <f t="shared" si="40"/>
        <v>102406.80977619751</v>
      </c>
      <c r="P108" s="680">
        <f t="shared" si="41"/>
        <v>1.5707865618192842</v>
      </c>
      <c r="Q108" s="689">
        <f t="shared" si="42"/>
        <v>13.758900739864277</v>
      </c>
      <c r="R108" s="690">
        <f t="shared" si="43"/>
        <v>1.498051961468357</v>
      </c>
      <c r="S108" s="677">
        <f t="shared" si="44"/>
        <v>1.0209648150906687</v>
      </c>
      <c r="T108" s="680">
        <f t="shared" si="45"/>
        <v>0.20300236783999165</v>
      </c>
      <c r="U108" s="681">
        <f t="shared" si="57"/>
        <v>0.99720331738547463</v>
      </c>
      <c r="V108" s="682">
        <f t="shared" si="58"/>
        <v>-8.5291249702434832E-2</v>
      </c>
      <c r="W108" s="683">
        <f t="shared" si="46"/>
        <v>-0.75994494402611734</v>
      </c>
      <c r="X108" s="684">
        <f t="shared" si="47"/>
        <v>-109.88913996685605</v>
      </c>
      <c r="Y108" s="687">
        <f t="shared" si="48"/>
        <v>70.11086003314395</v>
      </c>
      <c r="AA108" s="170">
        <f t="shared" si="49"/>
        <v>5432.85</v>
      </c>
      <c r="AB108" s="170">
        <f t="shared" si="50"/>
        <v>29515859.122500002</v>
      </c>
      <c r="AD108" s="686">
        <f t="shared" si="51"/>
        <v>27.490332602800997</v>
      </c>
      <c r="AE108" s="687">
        <f t="shared" si="52"/>
        <v>-15.798564551125178</v>
      </c>
      <c r="AG108" s="686">
        <f t="shared" si="53"/>
        <v>25.301715662565258</v>
      </c>
      <c r="AH108" s="687">
        <f t="shared" si="54"/>
        <v>-84.316918129870956</v>
      </c>
      <c r="AJ108" s="170">
        <f t="shared" si="55"/>
        <v>0</v>
      </c>
      <c r="AK108" s="170">
        <f t="shared" si="65"/>
        <v>0</v>
      </c>
      <c r="AM108" s="170" t="str">
        <f t="shared" si="59"/>
        <v>0.00743149073601901+0.121687116891967i</v>
      </c>
      <c r="AN108" s="170" t="str">
        <f t="shared" si="60"/>
        <v>0.121989454705394i</v>
      </c>
      <c r="AO108" s="170" t="str">
        <f t="shared" si="61"/>
        <v>0.997521606976954-0.060919124148609i</v>
      </c>
      <c r="AP108" s="170" t="str">
        <f t="shared" si="62"/>
        <v>0.16542808487733-0.0202811861486612i</v>
      </c>
      <c r="AQ108" s="170" t="str">
        <f t="shared" si="63"/>
        <v>0.83457191512267+0.0202811861486612i</v>
      </c>
      <c r="AR108" s="170" t="str">
        <f t="shared" si="64"/>
        <v>0.997527408095694-0.0242412171861866i</v>
      </c>
    </row>
    <row r="109" spans="1:44">
      <c r="G109" s="688">
        <v>5495.4</v>
      </c>
      <c r="H109" s="676">
        <f t="shared" si="56"/>
        <v>5.4954000000000001</v>
      </c>
      <c r="I109" s="677">
        <f t="shared" si="34"/>
        <v>28.714216579777073</v>
      </c>
      <c r="J109" s="678">
        <f t="shared" si="35"/>
        <v>1.5359633286941083</v>
      </c>
      <c r="K109" s="678">
        <f t="shared" si="36"/>
        <v>1.0000288514374425</v>
      </c>
      <c r="L109" s="679">
        <f t="shared" si="37"/>
        <v>7.5961495230617293E-3</v>
      </c>
      <c r="M109" s="678">
        <f t="shared" si="38"/>
        <v>1.0004258314334002</v>
      </c>
      <c r="N109" s="679">
        <f t="shared" si="39"/>
        <v>-2.9178086912899671E-2</v>
      </c>
      <c r="O109" s="677">
        <f t="shared" si="40"/>
        <v>103585.84949768691</v>
      </c>
      <c r="P109" s="680">
        <f t="shared" si="41"/>
        <v>1.5707866729666482</v>
      </c>
      <c r="Q109" s="689">
        <f t="shared" si="42"/>
        <v>13.91647895954171</v>
      </c>
      <c r="R109" s="690">
        <f t="shared" si="43"/>
        <v>1.4988770872921939</v>
      </c>
      <c r="S109" s="677">
        <f t="shared" si="44"/>
        <v>1.021445244245651</v>
      </c>
      <c r="T109" s="680">
        <f t="shared" si="45"/>
        <v>0.20527484225096082</v>
      </c>
      <c r="U109" s="681">
        <f t="shared" si="57"/>
        <v>0.99714800546953319</v>
      </c>
      <c r="V109" s="682">
        <f t="shared" si="58"/>
        <v>-8.6270865296084659E-2</v>
      </c>
      <c r="W109" s="683">
        <f t="shared" si="46"/>
        <v>-0.86425292192832737</v>
      </c>
      <c r="X109" s="684">
        <f t="shared" si="47"/>
        <v>-110.06522461624051</v>
      </c>
      <c r="Y109" s="687">
        <f t="shared" si="48"/>
        <v>69.934775383759487</v>
      </c>
      <c r="AA109" s="170">
        <f t="shared" si="49"/>
        <v>5495.4</v>
      </c>
      <c r="AB109" s="170">
        <f t="shared" si="50"/>
        <v>30199421.159999996</v>
      </c>
      <c r="AD109" s="686">
        <f t="shared" si="51"/>
        <v>27.485726993783956</v>
      </c>
      <c r="AE109" s="687">
        <f t="shared" si="52"/>
        <v>-15.881497885021691</v>
      </c>
      <c r="AG109" s="686">
        <f t="shared" si="53"/>
        <v>25.202976881573864</v>
      </c>
      <c r="AH109" s="687">
        <f t="shared" si="54"/>
        <v>-84.297813767107925</v>
      </c>
      <c r="AJ109" s="170">
        <f t="shared" si="55"/>
        <v>0</v>
      </c>
      <c r="AK109" s="170">
        <f t="shared" si="65"/>
        <v>0</v>
      </c>
      <c r="AM109" s="170" t="str">
        <f t="shared" si="59"/>
        <v>0.00760337927386501+0.123081059352558i</v>
      </c>
      <c r="AN109" s="170" t="str">
        <f t="shared" si="60"/>
        <v>0.123393955177858i</v>
      </c>
      <c r="AO109" s="170" t="str">
        <f t="shared" si="61"/>
        <v>0.997464253213628-0.0616187337775633i</v>
      </c>
      <c r="AP109" s="170" t="str">
        <f t="shared" si="62"/>
        <v>0.165399436787689-0.020513509892093i</v>
      </c>
      <c r="AQ109" s="170" t="str">
        <f t="shared" si="63"/>
        <v>0.834600563212311+0.020513509892093i</v>
      </c>
      <c r="AR109" s="170" t="str">
        <f t="shared" si="64"/>
        <v>0.997479643880248-0.0245168880106467i</v>
      </c>
    </row>
    <row r="110" spans="1:44">
      <c r="G110" s="688">
        <v>5559.4</v>
      </c>
      <c r="H110" s="676">
        <f t="shared" si="56"/>
        <v>5.5593999999999992</v>
      </c>
      <c r="I110" s="677">
        <f t="shared" si="34"/>
        <v>29.048222077829674</v>
      </c>
      <c r="J110" s="678">
        <f t="shared" si="35"/>
        <v>1.5363640086283228</v>
      </c>
      <c r="K110" s="678">
        <f t="shared" si="36"/>
        <v>1.0000295273543169</v>
      </c>
      <c r="L110" s="679">
        <f t="shared" si="37"/>
        <v>7.6846116078161273E-3</v>
      </c>
      <c r="M110" s="678">
        <f t="shared" si="38"/>
        <v>1.00043580557106</v>
      </c>
      <c r="N110" s="679">
        <f t="shared" si="39"/>
        <v>-2.951770173361417E-2</v>
      </c>
      <c r="O110" s="677">
        <f t="shared" si="40"/>
        <v>104792.22107523135</v>
      </c>
      <c r="P110" s="680">
        <f t="shared" si="41"/>
        <v>1.5707867841018441</v>
      </c>
      <c r="Q110" s="689">
        <f t="shared" si="42"/>
        <v>14.077719656307274</v>
      </c>
      <c r="R110" s="690">
        <f t="shared" si="43"/>
        <v>1.4997022208774369</v>
      </c>
      <c r="S110" s="677">
        <f t="shared" si="44"/>
        <v>1.021942264960382</v>
      </c>
      <c r="T110" s="680">
        <f t="shared" si="45"/>
        <v>0.20759777209137859</v>
      </c>
      <c r="U110" s="681">
        <f t="shared" si="57"/>
        <v>0.99709076515254369</v>
      </c>
      <c r="V110" s="682">
        <f t="shared" si="58"/>
        <v>-8.7273105973360604E-2</v>
      </c>
      <c r="W110" s="683">
        <f t="shared" si="46"/>
        <v>-0.96984952881059294</v>
      </c>
      <c r="X110" s="684">
        <f t="shared" si="47"/>
        <v>-110.24581980983054</v>
      </c>
      <c r="Y110" s="687">
        <f t="shared" si="48"/>
        <v>69.754180190169464</v>
      </c>
      <c r="AA110" s="170">
        <f t="shared" si="49"/>
        <v>5559.4</v>
      </c>
      <c r="AB110" s="170">
        <f t="shared" si="50"/>
        <v>30906928.359999996</v>
      </c>
      <c r="AD110" s="686">
        <f t="shared" si="51"/>
        <v>27.480988226465051</v>
      </c>
      <c r="AE110" s="687">
        <f t="shared" si="52"/>
        <v>-15.967321656689467</v>
      </c>
      <c r="AG110" s="686">
        <f t="shared" si="53"/>
        <v>25.103116280823986</v>
      </c>
      <c r="AH110" s="687">
        <f t="shared" si="54"/>
        <v>-84.277736867170475</v>
      </c>
      <c r="AJ110" s="170">
        <f t="shared" si="55"/>
        <v>0</v>
      </c>
      <c r="AK110" s="170">
        <f t="shared" si="65"/>
        <v>0</v>
      </c>
      <c r="AM110" s="170" t="str">
        <f t="shared" si="59"/>
        <v>0.00778127865482303+0.124507064105386i</v>
      </c>
      <c r="AN110" s="170" t="str">
        <f t="shared" si="60"/>
        <v>0.124831014014591i</v>
      </c>
      <c r="AO110" s="170" t="str">
        <f t="shared" si="61"/>
        <v>0.997404892431883-0.0623344984918051i</v>
      </c>
      <c r="AP110" s="170" t="str">
        <f t="shared" si="62"/>
        <v>0.165369786890863-0.0207511773508977i</v>
      </c>
      <c r="AQ110" s="170" t="str">
        <f t="shared" si="63"/>
        <v>0.834630213109137+0.0207511773508977i</v>
      </c>
      <c r="AR110" s="170" t="str">
        <f t="shared" si="64"/>
        <v>0.997430217646792-0.0247988282911903i</v>
      </c>
    </row>
    <row r="111" spans="1:44">
      <c r="G111" s="688">
        <v>5623.4</v>
      </c>
      <c r="H111" s="676">
        <f t="shared" si="56"/>
        <v>5.6233999999999993</v>
      </c>
      <c r="I111" s="677">
        <f t="shared" si="34"/>
        <v>29.382232133385223</v>
      </c>
      <c r="J111" s="678">
        <f t="shared" si="35"/>
        <v>1.536755578960493</v>
      </c>
      <c r="K111" s="678">
        <f t="shared" si="36"/>
        <v>1.0000302110969526</v>
      </c>
      <c r="L111" s="679">
        <f t="shared" si="37"/>
        <v>7.7730735722958445E-3</v>
      </c>
      <c r="M111" s="678">
        <f t="shared" si="38"/>
        <v>1.0004458950949027</v>
      </c>
      <c r="N111" s="679">
        <f t="shared" si="39"/>
        <v>-2.9857309743448544E-2</v>
      </c>
      <c r="O111" s="677">
        <f t="shared" si="40"/>
        <v>105998.59265277705</v>
      </c>
      <c r="P111" s="680">
        <f t="shared" si="41"/>
        <v>1.5707868927073774</v>
      </c>
      <c r="Q111" s="689">
        <f t="shared" si="42"/>
        <v>14.238969720746661</v>
      </c>
      <c r="R111" s="690">
        <f t="shared" si="43"/>
        <v>1.5005086664521305</v>
      </c>
      <c r="S111" s="677">
        <f t="shared" si="44"/>
        <v>1.0224447947001229</v>
      </c>
      <c r="T111" s="680">
        <f t="shared" si="45"/>
        <v>0.20991843101236879</v>
      </c>
      <c r="U111" s="681">
        <f t="shared" si="57"/>
        <v>0.99703287156030707</v>
      </c>
      <c r="V111" s="682">
        <f t="shared" si="58"/>
        <v>-8.8275260898703162E-2</v>
      </c>
      <c r="W111" s="683">
        <f t="shared" si="46"/>
        <v>-1.0743310620801385</v>
      </c>
      <c r="X111" s="684">
        <f t="shared" si="47"/>
        <v>-110.42682825019776</v>
      </c>
      <c r="Y111" s="687">
        <f t="shared" si="48"/>
        <v>69.573171749802242</v>
      </c>
      <c r="AA111" s="170">
        <f t="shared" si="49"/>
        <v>5623.4</v>
      </c>
      <c r="AB111" s="170">
        <f t="shared" si="50"/>
        <v>31622627.559999995</v>
      </c>
      <c r="AD111" s="686">
        <f t="shared" si="51"/>
        <v>27.476222083457277</v>
      </c>
      <c r="AE111" s="687">
        <f t="shared" si="52"/>
        <v>-16.054085913452464</v>
      </c>
      <c r="AG111" s="686">
        <f t="shared" si="53"/>
        <v>25.004409568948653</v>
      </c>
      <c r="AH111" s="687">
        <f t="shared" si="54"/>
        <v>-84.257142555362677</v>
      </c>
      <c r="AJ111" s="170">
        <f t="shared" si="55"/>
        <v>0</v>
      </c>
      <c r="AK111" s="170">
        <f t="shared" si="65"/>
        <v>0</v>
      </c>
      <c r="AM111" s="170" t="str">
        <f t="shared" si="59"/>
        <v>0.00796122710411395+0.125932811733976i</v>
      </c>
      <c r="AN111" s="170" t="str">
        <f t="shared" si="60"/>
        <v>0.126268072851324i</v>
      </c>
      <c r="AO111" s="170" t="str">
        <f t="shared" si="61"/>
        <v>0.997344846485914-0.0630501988692581i</v>
      </c>
      <c r="AP111" s="170" t="str">
        <f t="shared" si="62"/>
        <v>0.165339795482648-0.0209888019556627i</v>
      </c>
      <c r="AQ111" s="170" t="str">
        <f t="shared" si="63"/>
        <v>0.834660204517352+0.0209888019556627i</v>
      </c>
      <c r="AR111" s="170" t="str">
        <f t="shared" si="64"/>
        <v>0.997380230670405-0.0250806448213731i</v>
      </c>
    </row>
    <row r="112" spans="1:44">
      <c r="G112" s="688">
        <v>5688.9</v>
      </c>
      <c r="H112" s="676">
        <f t="shared" si="56"/>
        <v>5.6888999999999994</v>
      </c>
      <c r="I112" s="677">
        <f t="shared" si="34"/>
        <v>29.724075108272611</v>
      </c>
      <c r="J112" s="678">
        <f t="shared" si="35"/>
        <v>1.5371472146948442</v>
      </c>
      <c r="K112" s="678">
        <f t="shared" si="36"/>
        <v>1.000030918967824</v>
      </c>
      <c r="L112" s="679">
        <f t="shared" si="37"/>
        <v>7.8636087380874152E-3</v>
      </c>
      <c r="M112" s="678">
        <f t="shared" si="38"/>
        <v>1.0004563405627378</v>
      </c>
      <c r="N112" s="679">
        <f t="shared" si="39"/>
        <v>-3.0204870182288304E-2</v>
      </c>
      <c r="O112" s="677">
        <f t="shared" si="40"/>
        <v>107233.23856417273</v>
      </c>
      <c r="P112" s="680">
        <f t="shared" si="41"/>
        <v>1.5707870013281533</v>
      </c>
      <c r="Q112" s="689">
        <f t="shared" si="42"/>
        <v>14.404008454850608</v>
      </c>
      <c r="R112" s="690">
        <f t="shared" si="43"/>
        <v>1.5013153168157694</v>
      </c>
      <c r="S112" s="677">
        <f t="shared" si="44"/>
        <v>1.0229647982226302</v>
      </c>
      <c r="T112" s="680">
        <f t="shared" si="45"/>
        <v>0.21229110642590637</v>
      </c>
      <c r="U112" s="681">
        <f t="shared" si="57"/>
        <v>0.99697294500490796</v>
      </c>
      <c r="V112" s="682">
        <f t="shared" si="58"/>
        <v>-8.9300814030792972E-2</v>
      </c>
      <c r="W112" s="683">
        <f t="shared" si="46"/>
        <v>-1.1801344574208041</v>
      </c>
      <c r="X112" s="684">
        <f t="shared" si="47"/>
        <v>-110.61248650408672</v>
      </c>
      <c r="Y112" s="687">
        <f t="shared" si="48"/>
        <v>69.387513495913282</v>
      </c>
      <c r="AA112" s="170">
        <f t="shared" si="49"/>
        <v>5688.9</v>
      </c>
      <c r="AB112" s="170">
        <f t="shared" si="50"/>
        <v>32363583.209999997</v>
      </c>
      <c r="AD112" s="686">
        <f t="shared" si="51"/>
        <v>27.471315222448656</v>
      </c>
      <c r="AE112" s="687">
        <f t="shared" si="52"/>
        <v>-16.143818763037991</v>
      </c>
      <c r="AG112" s="686">
        <f t="shared" si="53"/>
        <v>24.9045571949544</v>
      </c>
      <c r="AH112" s="687">
        <f t="shared" si="54"/>
        <v>-84.235548227261532</v>
      </c>
      <c r="AJ112" s="170">
        <f t="shared" si="55"/>
        <v>0</v>
      </c>
      <c r="AK112" s="170">
        <f t="shared" si="65"/>
        <v>0</v>
      </c>
      <c r="AM112" s="170" t="str">
        <f t="shared" si="59"/>
        <v>0.00814751437605299+0.127391706015728i</v>
      </c>
      <c r="AN112" s="170" t="str">
        <f t="shared" si="60"/>
        <v>0.127738812754543i</v>
      </c>
      <c r="AO112" s="170" t="str">
        <f t="shared" si="61"/>
        <v>0.997282683850507-0.0637826060878527i</v>
      </c>
      <c r="AP112" s="170" t="str">
        <f t="shared" si="62"/>
        <v>0.165308747603991-0.0212319510026213i</v>
      </c>
      <c r="AQ112" s="170" t="str">
        <f t="shared" si="63"/>
        <v>0.834691252396009+0.0212319510026213i</v>
      </c>
      <c r="AR112" s="170" t="str">
        <f t="shared" si="64"/>
        <v>0.997328491925766-0.0253689368533597i</v>
      </c>
    </row>
    <row r="113" spans="7:44">
      <c r="G113" s="688">
        <v>5754.4</v>
      </c>
      <c r="H113" s="676">
        <f t="shared" si="56"/>
        <v>5.7543999999999995</v>
      </c>
      <c r="I113" s="677">
        <f t="shared" si="34"/>
        <v>30.065922538524617</v>
      </c>
      <c r="J113" s="678">
        <f t="shared" si="35"/>
        <v>1.5375299447451352</v>
      </c>
      <c r="K113" s="678">
        <f t="shared" si="36"/>
        <v>1.0000316350355534</v>
      </c>
      <c r="L113" s="679">
        <f t="shared" si="37"/>
        <v>7.9541437749665444E-3</v>
      </c>
      <c r="M113" s="678">
        <f t="shared" si="38"/>
        <v>1.0004669068814243</v>
      </c>
      <c r="N113" s="679">
        <f t="shared" si="39"/>
        <v>-3.0552423321670189E-2</v>
      </c>
      <c r="O113" s="677">
        <f t="shared" si="40"/>
        <v>108467.88447556968</v>
      </c>
      <c r="P113" s="680">
        <f t="shared" si="41"/>
        <v>1.5707871074761568</v>
      </c>
      <c r="Q113" s="689">
        <f t="shared" si="42"/>
        <v>14.569056349077277</v>
      </c>
      <c r="R113" s="690">
        <f t="shared" si="43"/>
        <v>1.5021036911464107</v>
      </c>
      <c r="S113" s="677">
        <f t="shared" si="44"/>
        <v>1.0234905547454176</v>
      </c>
      <c r="T113" s="680">
        <f t="shared" si="45"/>
        <v>0.21466135753392845</v>
      </c>
      <c r="U113" s="681">
        <f t="shared" si="57"/>
        <v>0.99691233488603637</v>
      </c>
      <c r="V113" s="682">
        <f t="shared" si="58"/>
        <v>-9.0326275295437103E-2</v>
      </c>
      <c r="W113" s="683">
        <f t="shared" si="46"/>
        <v>-1.2848250937618098</v>
      </c>
      <c r="X113" s="684">
        <f t="shared" si="47"/>
        <v>-110.79853692081019</v>
      </c>
      <c r="Y113" s="687">
        <f t="shared" si="48"/>
        <v>69.201463079189807</v>
      </c>
      <c r="AA113" s="170">
        <f t="shared" si="49"/>
        <v>5754.4</v>
      </c>
      <c r="AB113" s="170">
        <f t="shared" si="50"/>
        <v>33113119.359999996</v>
      </c>
      <c r="AD113" s="686">
        <f t="shared" si="51"/>
        <v>27.466378382077746</v>
      </c>
      <c r="AE113" s="687">
        <f t="shared" si="52"/>
        <v>-16.234459708027838</v>
      </c>
      <c r="AG113" s="686">
        <f t="shared" si="53"/>
        <v>24.805859533575273</v>
      </c>
      <c r="AH113" s="687">
        <f t="shared" si="54"/>
        <v>-84.213448493824401</v>
      </c>
      <c r="AJ113" s="170">
        <f t="shared" si="55"/>
        <v>0</v>
      </c>
      <c r="AK113" s="170">
        <f t="shared" si="65"/>
        <v>0</v>
      </c>
      <c r="AM113" s="170" t="str">
        <f t="shared" si="59"/>
        <v>0.00833594709977603+0.128850324739604i</v>
      </c>
      <c r="AN113" s="170" t="str">
        <f t="shared" si="60"/>
        <v>0.129209552657762i</v>
      </c>
      <c r="AO113" s="170" t="str">
        <f t="shared" si="61"/>
        <v>0.997219803715988-0.0645149443544278i</v>
      </c>
      <c r="AP113" s="170" t="str">
        <f t="shared" si="62"/>
        <v>0.165277342150037-0.0214750541232673i</v>
      </c>
      <c r="AQ113" s="170" t="str">
        <f t="shared" si="63"/>
        <v>0.834722657849963+0.0214750541232673i</v>
      </c>
      <c r="AR113" s="170" t="str">
        <f t="shared" si="64"/>
        <v>0.99727616668689-0.0256570963469582i</v>
      </c>
    </row>
    <row r="114" spans="7:44">
      <c r="G114" s="688">
        <v>5821.4</v>
      </c>
      <c r="H114" s="676">
        <f t="shared" si="56"/>
        <v>5.8213999999999997</v>
      </c>
      <c r="I114" s="677">
        <f t="shared" si="34"/>
        <v>30.415602988850818</v>
      </c>
      <c r="J114" s="678">
        <f t="shared" si="35"/>
        <v>1.5379125385949144</v>
      </c>
      <c r="K114" s="678">
        <f t="shared" si="36"/>
        <v>1.0000323759823411</v>
      </c>
      <c r="L114" s="679">
        <f t="shared" si="37"/>
        <v>8.046751998379429E-3</v>
      </c>
      <c r="M114" s="678">
        <f t="shared" si="38"/>
        <v>1.0004778402067893</v>
      </c>
      <c r="N114" s="679">
        <f t="shared" si="39"/>
        <v>-3.0907928053844031E-2</v>
      </c>
      <c r="O114" s="677">
        <f t="shared" si="40"/>
        <v>109730.80472081661</v>
      </c>
      <c r="P114" s="680">
        <f t="shared" si="41"/>
        <v>1.5707872135836833</v>
      </c>
      <c r="Q114" s="689">
        <f t="shared" si="42"/>
        <v>14.737893122425675</v>
      </c>
      <c r="R114" s="690">
        <f t="shared" si="43"/>
        <v>1.5028918503346007</v>
      </c>
      <c r="S114" s="677">
        <f t="shared" si="44"/>
        <v>1.0240342943865746</v>
      </c>
      <c r="T114" s="680">
        <f t="shared" si="45"/>
        <v>0.21708335713334587</v>
      </c>
      <c r="U114" s="681">
        <f t="shared" si="57"/>
        <v>0.99684962989673009</v>
      </c>
      <c r="V114" s="682">
        <f t="shared" si="58"/>
        <v>-9.1375124279419295E-2</v>
      </c>
      <c r="W114" s="683">
        <f t="shared" si="46"/>
        <v>-1.3907895528798808</v>
      </c>
      <c r="X114" s="684">
        <f t="shared" si="47"/>
        <v>-110.98923365389231</v>
      </c>
      <c r="Y114" s="687">
        <f t="shared" si="48"/>
        <v>69.010766346107687</v>
      </c>
      <c r="AA114" s="170">
        <f t="shared" si="49"/>
        <v>5821.4</v>
      </c>
      <c r="AB114" s="170">
        <f t="shared" si="50"/>
        <v>33888697.959999993</v>
      </c>
      <c r="AD114" s="686">
        <f t="shared" si="51"/>
        <v>27.461296850244842</v>
      </c>
      <c r="AE114" s="687">
        <f t="shared" si="52"/>
        <v>-16.328077947609515</v>
      </c>
      <c r="AG114" s="686">
        <f t="shared" si="53"/>
        <v>24.706069311691593</v>
      </c>
      <c r="AH114" s="687">
        <f t="shared" si="54"/>
        <v>-84.190337746929956</v>
      </c>
      <c r="AJ114" s="170">
        <f t="shared" si="55"/>
        <v>0</v>
      </c>
      <c r="AK114" s="170">
        <f t="shared" si="65"/>
        <v>0</v>
      </c>
      <c r="AM114" s="170" t="str">
        <f t="shared" si="59"/>
        <v>0.00853091436485998+0.13034205856062i</v>
      </c>
      <c r="AN114" s="170" t="str">
        <f t="shared" si="60"/>
        <v>0.130713973627467i</v>
      </c>
      <c r="AO114" s="170" t="str">
        <f t="shared" si="61"/>
        <v>0.997154741329286-0.0652639815630804i</v>
      </c>
      <c r="AP114" s="170" t="str">
        <f t="shared" si="62"/>
        <v>0.165244847605857-0.02172367642677i</v>
      </c>
      <c r="AQ114" s="170" t="str">
        <f t="shared" si="63"/>
        <v>0.834755152394143+0.02172367642677i</v>
      </c>
      <c r="AR114" s="170" t="str">
        <f t="shared" si="64"/>
        <v>0.997222036816384-0.0259517162503418i</v>
      </c>
    </row>
    <row r="115" spans="7:44">
      <c r="G115" s="688">
        <v>5888.4</v>
      </c>
      <c r="H115" s="676">
        <f t="shared" si="56"/>
        <v>5.8883999999999999</v>
      </c>
      <c r="I115" s="677">
        <f t="shared" si="34"/>
        <v>30.765287790145901</v>
      </c>
      <c r="J115" s="678">
        <f t="shared" si="35"/>
        <v>1.5382864352123302</v>
      </c>
      <c r="K115" s="678">
        <f t="shared" si="36"/>
        <v>1.0000331255056767</v>
      </c>
      <c r="L115" s="679">
        <f t="shared" si="37"/>
        <v>8.139360083767094E-3</v>
      </c>
      <c r="M115" s="678">
        <f t="shared" si="38"/>
        <v>1.0004888999733872</v>
      </c>
      <c r="N115" s="679">
        <f t="shared" si="39"/>
        <v>-3.1263424971189946E-2</v>
      </c>
      <c r="O115" s="677">
        <f t="shared" si="40"/>
        <v>110993.72496606476</v>
      </c>
      <c r="P115" s="680">
        <f t="shared" si="41"/>
        <v>1.570787317276563</v>
      </c>
      <c r="Q115" s="689">
        <f t="shared" si="42"/>
        <v>14.906738843489769</v>
      </c>
      <c r="R115" s="690">
        <f t="shared" si="43"/>
        <v>1.5036621553417584</v>
      </c>
      <c r="S115" s="677">
        <f t="shared" si="44"/>
        <v>1.0245840347005715</v>
      </c>
      <c r="T115" s="680">
        <f t="shared" si="45"/>
        <v>0.21950277186603301</v>
      </c>
      <c r="U115" s="681">
        <f t="shared" si="57"/>
        <v>0.99678621043555971</v>
      </c>
      <c r="V115" s="682">
        <f t="shared" si="58"/>
        <v>-9.2423874949983761E-2</v>
      </c>
      <c r="W115" s="683">
        <f t="shared" si="46"/>
        <v>-1.4956447705493161</v>
      </c>
      <c r="X115" s="684">
        <f t="shared" si="47"/>
        <v>-111.18030072839116</v>
      </c>
      <c r="Y115" s="687">
        <f t="shared" si="48"/>
        <v>68.81969927160884</v>
      </c>
      <c r="AA115" s="170">
        <f t="shared" si="49"/>
        <v>5888.4</v>
      </c>
      <c r="AB115" s="170">
        <f t="shared" si="50"/>
        <v>34673254.559999995</v>
      </c>
      <c r="AD115" s="686">
        <f t="shared" si="51"/>
        <v>27.456182742559552</v>
      </c>
      <c r="AE115" s="687">
        <f t="shared" si="52"/>
        <v>-16.422570916108665</v>
      </c>
      <c r="AG115" s="686">
        <f t="shared" si="53"/>
        <v>24.607433427505807</v>
      </c>
      <c r="AH115" s="687">
        <f t="shared" si="54"/>
        <v>-84.166733878422605</v>
      </c>
      <c r="AJ115" s="170">
        <f t="shared" si="55"/>
        <v>0</v>
      </c>
      <c r="AK115" s="170">
        <f t="shared" si="65"/>
        <v>0</v>
      </c>
      <c r="AM115" s="170" t="str">
        <f t="shared" si="59"/>
        <v>0.00872812560410696+0.131833497380797i</v>
      </c>
      <c r="AN115" s="170" t="str">
        <f t="shared" si="60"/>
        <v>0.132218394597172i</v>
      </c>
      <c r="AO115" s="170" t="str">
        <f t="shared" si="61"/>
        <v>0.997088928378327-0.0660129449514103i</v>
      </c>
      <c r="AP115" s="170" t="str">
        <f t="shared" si="62"/>
        <v>0.165211979065982-0.0219722495634662i</v>
      </c>
      <c r="AQ115" s="170" t="str">
        <f t="shared" si="63"/>
        <v>0.834788020934018+0.0219722495634662i</v>
      </c>
      <c r="AR115" s="170" t="str">
        <f t="shared" si="64"/>
        <v>0.997167294202561-0.0262461943574976i</v>
      </c>
    </row>
    <row r="116" spans="7:44">
      <c r="G116" s="688">
        <v>5957</v>
      </c>
      <c r="H116" s="676">
        <f t="shared" si="56"/>
        <v>5.9569999999999999</v>
      </c>
      <c r="I116" s="677">
        <f t="shared" si="34"/>
        <v>31.12332762816801</v>
      </c>
      <c r="J116" s="678">
        <f t="shared" si="35"/>
        <v>1.5386605554964436</v>
      </c>
      <c r="K116" s="678">
        <f t="shared" si="36"/>
        <v>1.0000339018142701</v>
      </c>
      <c r="L116" s="679">
        <f t="shared" si="37"/>
        <v>8.2341795608548742E-3</v>
      </c>
      <c r="M116" s="678">
        <f t="shared" si="38"/>
        <v>1.0005003548559597</v>
      </c>
      <c r="N116" s="679">
        <f t="shared" si="39"/>
        <v>-3.1627403176601572E-2</v>
      </c>
      <c r="O116" s="677">
        <f t="shared" si="40"/>
        <v>112286.8045007529</v>
      </c>
      <c r="P116" s="680">
        <f t="shared" si="41"/>
        <v>1.5707874210289479</v>
      </c>
      <c r="Q116" s="689">
        <f t="shared" si="42"/>
        <v>15.079625658066247</v>
      </c>
      <c r="R116" s="690">
        <f t="shared" si="43"/>
        <v>1.5044329822666487</v>
      </c>
      <c r="S116" s="677">
        <f t="shared" si="44"/>
        <v>1.0251531103923779</v>
      </c>
      <c r="T116" s="680">
        <f t="shared" si="45"/>
        <v>0.22197726025821782</v>
      </c>
      <c r="U116" s="681">
        <f t="shared" si="57"/>
        <v>0.99672053661832505</v>
      </c>
      <c r="V116" s="682">
        <f t="shared" si="58"/>
        <v>-9.3497567394283027E-2</v>
      </c>
      <c r="W116" s="683">
        <f t="shared" si="46"/>
        <v>-1.6018822813288121</v>
      </c>
      <c r="X116" s="684">
        <f t="shared" si="47"/>
        <v>-111.37629450299937</v>
      </c>
      <c r="Y116" s="687">
        <f t="shared" si="48"/>
        <v>68.623705497000628</v>
      </c>
      <c r="AA116" s="170">
        <f t="shared" si="49"/>
        <v>5957</v>
      </c>
      <c r="AB116" s="170">
        <f t="shared" si="50"/>
        <v>35485849</v>
      </c>
      <c r="AD116" s="686">
        <f t="shared" si="51"/>
        <v>27.450912185558657</v>
      </c>
      <c r="AE116" s="687">
        <f t="shared" si="52"/>
        <v>-16.520189472589021</v>
      </c>
      <c r="AG116" s="686">
        <f t="shared" si="53"/>
        <v>24.507611060831632</v>
      </c>
      <c r="AH116" s="687">
        <f t="shared" si="54"/>
        <v>-84.14207300530299</v>
      </c>
      <c r="AJ116" s="170">
        <f t="shared" si="55"/>
        <v>0</v>
      </c>
      <c r="AK116" s="170">
        <f t="shared" si="65"/>
        <v>0</v>
      </c>
      <c r="AM116" s="170" t="str">
        <f t="shared" si="59"/>
        <v>0.00893237089448795+0.133360243473002i</v>
      </c>
      <c r="AN116" s="170" t="str">
        <f t="shared" si="60"/>
        <v>0.133758742037795i</v>
      </c>
      <c r="AO116" s="170" t="str">
        <f t="shared" si="61"/>
        <v>0.997020766203973-0.0667797166630351i</v>
      </c>
      <c r="AP116" s="170" t="str">
        <f t="shared" si="62"/>
        <v>0.165177938184252-0.0222267072455003i</v>
      </c>
      <c r="AQ116" s="170" t="str">
        <f t="shared" si="63"/>
        <v>0.834822061815748+0.0222267072455003i</v>
      </c>
      <c r="AR116" s="170" t="str">
        <f t="shared" si="64"/>
        <v>0.99711060992968-0.0265475562182503i</v>
      </c>
    </row>
    <row r="117" spans="7:44">
      <c r="G117" s="688">
        <v>6025.6</v>
      </c>
      <c r="H117" s="676">
        <f t="shared" si="56"/>
        <v>6.0256000000000007</v>
      </c>
      <c r="I117" s="677">
        <f t="shared" si="34"/>
        <v>31.481371723310129</v>
      </c>
      <c r="J117" s="678">
        <f t="shared" si="35"/>
        <v>1.5390261659373723</v>
      </c>
      <c r="K117" s="678">
        <f t="shared" si="36"/>
        <v>1.0000346871138874</v>
      </c>
      <c r="L117" s="679">
        <f t="shared" si="37"/>
        <v>8.3289988898769176E-3</v>
      </c>
      <c r="M117" s="678">
        <f t="shared" si="38"/>
        <v>1.000511942281908</v>
      </c>
      <c r="N117" s="679">
        <f t="shared" si="39"/>
        <v>-3.1991372999406138E-2</v>
      </c>
      <c r="O117" s="677">
        <f t="shared" si="40"/>
        <v>113579.8840354422</v>
      </c>
      <c r="P117" s="680">
        <f t="shared" si="41"/>
        <v>1.5707875224189414</v>
      </c>
      <c r="Q117" s="689">
        <f t="shared" si="42"/>
        <v>15.252521229442522</v>
      </c>
      <c r="R117" s="690">
        <f t="shared" si="43"/>
        <v>1.5051863341511671</v>
      </c>
      <c r="S117" s="677">
        <f t="shared" si="44"/>
        <v>1.0257284562043132</v>
      </c>
      <c r="T117" s="680">
        <f t="shared" si="45"/>
        <v>0.22444898781883957</v>
      </c>
      <c r="U117" s="681">
        <f t="shared" si="57"/>
        <v>0.99665411462944709</v>
      </c>
      <c r="V117" s="682">
        <f t="shared" si="58"/>
        <v>-9.457115442742052E-2</v>
      </c>
      <c r="W117" s="683">
        <f t="shared" si="46"/>
        <v>-1.7070119953726031</v>
      </c>
      <c r="X117" s="684">
        <f t="shared" si="47"/>
        <v>-111.57263711479857</v>
      </c>
      <c r="Y117" s="687">
        <f t="shared" si="48"/>
        <v>68.427362885201433</v>
      </c>
      <c r="AA117" s="170">
        <f t="shared" si="49"/>
        <v>6025.6</v>
      </c>
      <c r="AB117" s="170">
        <f t="shared" si="50"/>
        <v>36307855.360000007</v>
      </c>
      <c r="AD117" s="686">
        <f t="shared" si="51"/>
        <v>27.445606364855351</v>
      </c>
      <c r="AE117" s="687">
        <f t="shared" si="52"/>
        <v>-16.618650955778907</v>
      </c>
      <c r="AG117" s="686">
        <f t="shared" si="53"/>
        <v>24.408944870715253</v>
      </c>
      <c r="AH117" s="687">
        <f t="shared" si="54"/>
        <v>-84.116930121894228</v>
      </c>
      <c r="AJ117" s="170">
        <f t="shared" si="55"/>
        <v>0</v>
      </c>
      <c r="AK117" s="170">
        <f t="shared" si="65"/>
        <v>0</v>
      </c>
      <c r="AM117" s="170" t="str">
        <f t="shared" si="59"/>
        <v>0.00913896766107003+0.134886673145388i</v>
      </c>
      <c r="AN117" s="170" t="str">
        <f t="shared" si="60"/>
        <v>0.135299089478418i</v>
      </c>
      <c r="AO117" s="170" t="str">
        <f t="shared" si="61"/>
        <v>0.996951817380147-0.0675464091909341i</v>
      </c>
      <c r="AP117" s="170" t="str">
        <f t="shared" si="62"/>
        <v>0.165143505389822-0.022481112190898i</v>
      </c>
      <c r="AQ117" s="170" t="str">
        <f t="shared" si="63"/>
        <v>0.834856494610178+0.022481112190898i</v>
      </c>
      <c r="AR117" s="170" t="str">
        <f t="shared" si="64"/>
        <v>0.997053284308406-0.0268487660927964i</v>
      </c>
    </row>
    <row r="118" spans="7:44">
      <c r="G118" s="688">
        <v>6095.8</v>
      </c>
      <c r="H118" s="676">
        <f t="shared" si="56"/>
        <v>6.0958000000000006</v>
      </c>
      <c r="I118" s="677">
        <f t="shared" si="34"/>
        <v>31.84777095855474</v>
      </c>
      <c r="J118" s="678">
        <f t="shared" si="35"/>
        <v>1.5393917931985432</v>
      </c>
      <c r="K118" s="678">
        <f t="shared" si="36"/>
        <v>1.0000355000375329</v>
      </c>
      <c r="L118" s="679">
        <f t="shared" si="37"/>
        <v>8.4260295933742228E-3</v>
      </c>
      <c r="M118" s="678">
        <f t="shared" si="38"/>
        <v>1.0005239371802279</v>
      </c>
      <c r="N118" s="679">
        <f t="shared" si="39"/>
        <v>-3.2363823135828099E-2</v>
      </c>
      <c r="O118" s="677">
        <f t="shared" si="40"/>
        <v>114903.12285957151</v>
      </c>
      <c r="P118" s="680">
        <f t="shared" si="41"/>
        <v>1.5707876238112428</v>
      </c>
      <c r="Q118" s="689">
        <f t="shared" si="42"/>
        <v>15.429458109007891</v>
      </c>
      <c r="R118" s="690">
        <f t="shared" si="43"/>
        <v>1.5059397777757344</v>
      </c>
      <c r="S118" s="677">
        <f t="shared" si="44"/>
        <v>1.0263237013466886</v>
      </c>
      <c r="T118" s="680">
        <f t="shared" si="45"/>
        <v>0.2269754801929596</v>
      </c>
      <c r="U118" s="681">
        <f t="shared" si="57"/>
        <v>0.99658536933568387</v>
      </c>
      <c r="V118" s="682">
        <f t="shared" si="58"/>
        <v>-9.5669671026884562E-2</v>
      </c>
      <c r="W118" s="683">
        <f t="shared" si="46"/>
        <v>-1.8134744188220662</v>
      </c>
      <c r="X118" s="684">
        <f t="shared" si="47"/>
        <v>-111.77390076951667</v>
      </c>
      <c r="Y118" s="687">
        <f t="shared" si="48"/>
        <v>68.226099230483328</v>
      </c>
      <c r="AA118" s="170">
        <f t="shared" si="49"/>
        <v>6095.8</v>
      </c>
      <c r="AB118" s="170">
        <f t="shared" si="50"/>
        <v>37158777.640000001</v>
      </c>
      <c r="AD118" s="686">
        <f t="shared" si="51"/>
        <v>27.440139764219147</v>
      </c>
      <c r="AE118" s="687">
        <f t="shared" si="52"/>
        <v>-16.720244975466258</v>
      </c>
      <c r="AG118" s="686">
        <f t="shared" si="53"/>
        <v>24.309147326462707</v>
      </c>
      <c r="AH118" s="687">
        <f t="shared" si="54"/>
        <v>-84.090719027032435</v>
      </c>
      <c r="AJ118" s="170">
        <f t="shared" si="55"/>
        <v>0</v>
      </c>
      <c r="AK118" s="170">
        <f t="shared" si="65"/>
        <v>0</v>
      </c>
      <c r="AM118" s="170" t="str">
        <f t="shared" si="59"/>
        <v>0.00935281688286504+0.136448373321508i</v>
      </c>
      <c r="AN118" s="170" t="str">
        <f t="shared" si="60"/>
        <v>0.13687536338996i</v>
      </c>
      <c r="AO118" s="170" t="str">
        <f t="shared" si="61"/>
        <v>0.996880446138174-0.0683309008372728i</v>
      </c>
      <c r="AP118" s="170" t="str">
        <f t="shared" si="62"/>
        <v>0.165107863852856-0.0227413955535847i</v>
      </c>
      <c r="AQ118" s="170" t="str">
        <f t="shared" si="63"/>
        <v>0.834892136147144+0.0227413955535847i</v>
      </c>
      <c r="AR118" s="170" t="str">
        <f t="shared" si="64"/>
        <v>0.996993958227403-0.0271568421679175i</v>
      </c>
    </row>
    <row r="119" spans="7:44">
      <c r="G119" s="688">
        <v>6166</v>
      </c>
      <c r="H119" s="676">
        <f t="shared" si="56"/>
        <v>6.1660000000000004</v>
      </c>
      <c r="I119" s="677">
        <f t="shared" si="34"/>
        <v>32.214174354465257</v>
      </c>
      <c r="J119" s="678">
        <f t="shared" si="35"/>
        <v>1.5397491032317887</v>
      </c>
      <c r="K119" s="678">
        <f t="shared" si="36"/>
        <v>1.0000363223764548</v>
      </c>
      <c r="L119" s="679">
        <f t="shared" si="37"/>
        <v>8.5230601382066135E-3</v>
      </c>
      <c r="M119" s="678">
        <f t="shared" si="38"/>
        <v>1.000536070866993</v>
      </c>
      <c r="N119" s="679">
        <f t="shared" si="39"/>
        <v>-3.2736264290369764E-2</v>
      </c>
      <c r="O119" s="677">
        <f t="shared" si="40"/>
        <v>116226.36168370197</v>
      </c>
      <c r="P119" s="680">
        <f t="shared" si="41"/>
        <v>1.5707877228948388</v>
      </c>
      <c r="Q119" s="689">
        <f t="shared" si="42"/>
        <v>15.606403548914995</v>
      </c>
      <c r="R119" s="690">
        <f t="shared" si="43"/>
        <v>1.5066761367193011</v>
      </c>
      <c r="S119" s="677">
        <f t="shared" si="44"/>
        <v>1.0269254900622571</v>
      </c>
      <c r="T119" s="680">
        <f t="shared" si="45"/>
        <v>0.22949902755951426</v>
      </c>
      <c r="U119" s="681">
        <f t="shared" si="57"/>
        <v>0.9965158414744556</v>
      </c>
      <c r="V119" s="682">
        <f t="shared" si="58"/>
        <v>-9.6768074729967318E-2</v>
      </c>
      <c r="W119" s="683">
        <f t="shared" si="46"/>
        <v>-1.9188317622887339</v>
      </c>
      <c r="X119" s="684">
        <f t="shared" si="47"/>
        <v>-111.97549091949101</v>
      </c>
      <c r="Y119" s="687">
        <f t="shared" si="48"/>
        <v>68.024509080508992</v>
      </c>
      <c r="AA119" s="170">
        <f t="shared" si="49"/>
        <v>6166</v>
      </c>
      <c r="AB119" s="170">
        <f t="shared" si="50"/>
        <v>38019556</v>
      </c>
      <c r="AD119" s="686">
        <f t="shared" si="51"/>
        <v>27.434635217123994</v>
      </c>
      <c r="AE119" s="687">
        <f t="shared" si="52"/>
        <v>-16.822649006487001</v>
      </c>
      <c r="AG119" s="686">
        <f t="shared" si="53"/>
        <v>24.210506533428244</v>
      </c>
      <c r="AH119" s="687">
        <f t="shared" si="54"/>
        <v>-84.064037353065871</v>
      </c>
      <c r="AJ119" s="170">
        <f t="shared" si="55"/>
        <v>0</v>
      </c>
      <c r="AK119" s="170">
        <f t="shared" si="65"/>
        <v>0</v>
      </c>
      <c r="AM119" s="170" t="str">
        <f t="shared" si="59"/>
        <v>0.00956912750521599+0.138009734472687i</v>
      </c>
      <c r="AN119" s="170" t="str">
        <f t="shared" si="60"/>
        <v>0.138451637301501i</v>
      </c>
      <c r="AO119" s="170" t="str">
        <f t="shared" si="61"/>
        <v>0.996808251332906-0.0691153076389964i</v>
      </c>
      <c r="AP119" s="170" t="str">
        <f t="shared" si="62"/>
        <v>0.165071812082464-0.0230016224121145i</v>
      </c>
      <c r="AQ119" s="170" t="str">
        <f t="shared" si="63"/>
        <v>0.834928187917536+0.0230016224121145i</v>
      </c>
      <c r="AR119" s="170" t="str">
        <f t="shared" si="64"/>
        <v>0.996933961638109-0.0274647555170075i</v>
      </c>
    </row>
    <row r="120" spans="7:44">
      <c r="G120" s="688">
        <v>6237.8</v>
      </c>
      <c r="H120" s="676">
        <f t="shared" si="56"/>
        <v>6.2378</v>
      </c>
      <c r="I120" s="677">
        <f t="shared" si="34"/>
        <v>32.588932982643406</v>
      </c>
      <c r="J120" s="678">
        <f t="shared" si="35"/>
        <v>1.5401062456570953</v>
      </c>
      <c r="K120" s="678">
        <f t="shared" si="36"/>
        <v>1.0000371731977316</v>
      </c>
      <c r="L120" s="679">
        <f t="shared" si="37"/>
        <v>8.6223020393938216E-3</v>
      </c>
      <c r="M120" s="678">
        <f t="shared" si="38"/>
        <v>1.0005486246691582</v>
      </c>
      <c r="N120" s="679">
        <f t="shared" si="39"/>
        <v>-3.3117184733555273E-2</v>
      </c>
      <c r="O120" s="677">
        <f t="shared" si="40"/>
        <v>117579.75979727245</v>
      </c>
      <c r="P120" s="680">
        <f t="shared" si="41"/>
        <v>1.5707878219297589</v>
      </c>
      <c r="Q120" s="689">
        <f t="shared" si="42"/>
        <v>15.787390488536916</v>
      </c>
      <c r="R120" s="690">
        <f t="shared" si="43"/>
        <v>1.5074122035044064</v>
      </c>
      <c r="S120" s="677">
        <f t="shared" si="44"/>
        <v>1.0275477517606897</v>
      </c>
      <c r="T120" s="680">
        <f t="shared" si="45"/>
        <v>0.23207701714167245</v>
      </c>
      <c r="U120" s="681">
        <f t="shared" si="57"/>
        <v>0.99644391989579972</v>
      </c>
      <c r="V120" s="682">
        <f t="shared" si="58"/>
        <v>-9.7891395167980427E-2</v>
      </c>
      <c r="W120" s="683">
        <f t="shared" si="46"/>
        <v>-2.0254747597324698</v>
      </c>
      <c r="X120" s="684">
        <f t="shared" si="47"/>
        <v>-112.18199426189999</v>
      </c>
      <c r="Y120" s="687">
        <f t="shared" si="48"/>
        <v>67.818005738100013</v>
      </c>
      <c r="AA120" s="170">
        <f t="shared" si="49"/>
        <v>6237.8</v>
      </c>
      <c r="AB120" s="170">
        <f t="shared" si="50"/>
        <v>38910148.840000004</v>
      </c>
      <c r="AD120" s="686">
        <f t="shared" si="51"/>
        <v>27.428965482597714</v>
      </c>
      <c r="AE120" s="687">
        <f t="shared" si="52"/>
        <v>-16.928189083350595</v>
      </c>
      <c r="AG120" s="686">
        <f t="shared" si="53"/>
        <v>24.110787089894753</v>
      </c>
      <c r="AH120" s="687">
        <f t="shared" si="54"/>
        <v>-84.036277578186244</v>
      </c>
      <c r="AJ120" s="170">
        <f t="shared" si="55"/>
        <v>0</v>
      </c>
      <c r="AK120" s="170">
        <f t="shared" si="65"/>
        <v>0</v>
      </c>
      <c r="AM120" s="170" t="str">
        <f t="shared" si="59"/>
        <v>0.00979291391429704+0.139606327455676i</v>
      </c>
      <c r="AN120" s="170" t="str">
        <f t="shared" si="60"/>
        <v>0.140063837683961i</v>
      </c>
      <c r="AO120" s="170" t="str">
        <f t="shared" si="61"/>
        <v>0.996733559240913-0.0699175038770086i</v>
      </c>
      <c r="AP120" s="170" t="str">
        <f t="shared" si="62"/>
        <v>0.165034514347617-0.0232677212426127i</v>
      </c>
      <c r="AQ120" s="170" t="str">
        <f t="shared" si="63"/>
        <v>0.834965485652383+0.0232677212426127i</v>
      </c>
      <c r="AR120" s="170" t="str">
        <f t="shared" si="64"/>
        <v>0.996871904592026-0.0277795166257882i</v>
      </c>
    </row>
    <row r="121" spans="7:44">
      <c r="G121" s="688">
        <v>6309.6</v>
      </c>
      <c r="H121" s="676">
        <f t="shared" si="56"/>
        <v>6.3096000000000005</v>
      </c>
      <c r="I121" s="677">
        <f t="shared" si="34"/>
        <v>32.963695673048271</v>
      </c>
      <c r="J121" s="678">
        <f t="shared" si="35"/>
        <v>1.5404552674555405</v>
      </c>
      <c r="K121" s="678">
        <f t="shared" si="36"/>
        <v>1.0000380338683126</v>
      </c>
      <c r="L121" s="679">
        <f t="shared" si="37"/>
        <v>8.7215437707357825E-3</v>
      </c>
      <c r="M121" s="678">
        <f t="shared" si="38"/>
        <v>1.0005613236476576</v>
      </c>
      <c r="N121" s="679">
        <f t="shared" si="39"/>
        <v>-3.3498095562836429E-2</v>
      </c>
      <c r="O121" s="677">
        <f t="shared" si="40"/>
        <v>118933.15791084406</v>
      </c>
      <c r="P121" s="680">
        <f t="shared" si="41"/>
        <v>1.5707879187107461</v>
      </c>
      <c r="Q121" s="689">
        <f t="shared" si="42"/>
        <v>15.968385787782042</v>
      </c>
      <c r="R121" s="690">
        <f t="shared" si="43"/>
        <v>1.508131584623668</v>
      </c>
      <c r="S121" s="677">
        <f t="shared" si="44"/>
        <v>1.0281768342800639</v>
      </c>
      <c r="T121" s="680">
        <f t="shared" si="45"/>
        <v>0.23465186917065572</v>
      </c>
      <c r="U121" s="681">
        <f t="shared" si="57"/>
        <v>0.99637118066747021</v>
      </c>
      <c r="V121" s="682">
        <f t="shared" si="58"/>
        <v>-9.9014594822177893E-2</v>
      </c>
      <c r="W121" s="683">
        <f t="shared" si="46"/>
        <v>-2.1310165763772853</v>
      </c>
      <c r="X121" s="684">
        <f t="shared" si="47"/>
        <v>-112.38880098569098</v>
      </c>
      <c r="Y121" s="687">
        <f t="shared" si="48"/>
        <v>67.611199014309022</v>
      </c>
      <c r="AA121" s="170">
        <f t="shared" si="49"/>
        <v>6309.6</v>
      </c>
      <c r="AB121" s="170">
        <f t="shared" si="50"/>
        <v>39811052.160000004</v>
      </c>
      <c r="AD121" s="686">
        <f t="shared" si="51"/>
        <v>27.42325512952123</v>
      </c>
      <c r="AE121" s="687">
        <f t="shared" si="52"/>
        <v>-17.03450528075053</v>
      </c>
      <c r="AG121" s="686">
        <f t="shared" si="53"/>
        <v>24.012223791967536</v>
      </c>
      <c r="AH121" s="687">
        <f t="shared" si="54"/>
        <v>-84.008058904958077</v>
      </c>
      <c r="AJ121" s="170">
        <f t="shared" si="55"/>
        <v>0</v>
      </c>
      <c r="AK121" s="170">
        <f t="shared" si="65"/>
        <v>0</v>
      </c>
      <c r="AM121" s="170" t="str">
        <f t="shared" si="59"/>
        <v>0.010019274059249+0.141202557575364i</v>
      </c>
      <c r="AN121" s="170" t="str">
        <f t="shared" si="60"/>
        <v>0.141676038066421i</v>
      </c>
      <c r="AO121" s="170" t="str">
        <f t="shared" si="61"/>
        <v>0.996658005845455-0.0707196093001396i</v>
      </c>
      <c r="AP121" s="170" t="str">
        <f t="shared" si="62"/>
        <v>0.164996787656792-0.023533759595894i</v>
      </c>
      <c r="AQ121" s="170" t="str">
        <f t="shared" si="63"/>
        <v>0.835003212343208+0.023533759595894i</v>
      </c>
      <c r="AR121" s="170" t="str">
        <f t="shared" si="64"/>
        <v>0.996809147334608-0.0280941036987515i</v>
      </c>
    </row>
    <row r="122" spans="7:44">
      <c r="G122" s="688">
        <v>6383.05</v>
      </c>
      <c r="H122" s="676">
        <f t="shared" si="56"/>
        <v>6.3830499999999999</v>
      </c>
      <c r="I122" s="677">
        <f t="shared" si="34"/>
        <v>33.347074658509648</v>
      </c>
      <c r="J122" s="678">
        <f t="shared" si="35"/>
        <v>1.5408041926323368</v>
      </c>
      <c r="K122" s="678">
        <f t="shared" si="36"/>
        <v>1.0000389245089265</v>
      </c>
      <c r="L122" s="679">
        <f t="shared" si="37"/>
        <v>8.8230659490404952E-3</v>
      </c>
      <c r="M122" s="678">
        <f t="shared" si="38"/>
        <v>1.0005744646682921</v>
      </c>
      <c r="N122" s="679">
        <f t="shared" si="39"/>
        <v>-3.3887749851252362E-2</v>
      </c>
      <c r="O122" s="677">
        <f t="shared" si="40"/>
        <v>120317.65779165068</v>
      </c>
      <c r="P122" s="680">
        <f t="shared" si="41"/>
        <v>1.5707880154628913</v>
      </c>
      <c r="Q122" s="689">
        <f t="shared" si="42"/>
        <v>16.153548806758135</v>
      </c>
      <c r="R122" s="690">
        <f t="shared" si="43"/>
        <v>1.5088508162794809</v>
      </c>
      <c r="S122" s="677">
        <f t="shared" si="44"/>
        <v>1.0288274181254946</v>
      </c>
      <c r="T122" s="680">
        <f t="shared" si="45"/>
        <v>0.23728261649181828</v>
      </c>
      <c r="U122" s="681">
        <f t="shared" si="57"/>
        <v>0.99629592433886593</v>
      </c>
      <c r="V122" s="682">
        <f t="shared" si="58"/>
        <v>-0.10016347977600232</v>
      </c>
      <c r="W122" s="683">
        <f t="shared" si="46"/>
        <v>-2.2378717898035316</v>
      </c>
      <c r="X122" s="684">
        <f t="shared" si="47"/>
        <v>-112.60065526236838</v>
      </c>
      <c r="Y122" s="687">
        <f t="shared" si="48"/>
        <v>67.399344737631623</v>
      </c>
      <c r="AA122" s="170">
        <f t="shared" si="49"/>
        <v>6383.05</v>
      </c>
      <c r="AB122" s="170">
        <f t="shared" si="50"/>
        <v>40743327.302500002</v>
      </c>
      <c r="AD122" s="686">
        <f t="shared" si="51"/>
        <v>27.417371094131123</v>
      </c>
      <c r="AE122" s="687">
        <f t="shared" si="52"/>
        <v>-17.144032604462943</v>
      </c>
      <c r="AG122" s="686">
        <f t="shared" si="53"/>
        <v>23.912564761180661</v>
      </c>
      <c r="AH122" s="687">
        <f t="shared" si="54"/>
        <v>-83.978733339772219</v>
      </c>
      <c r="AJ122" s="170">
        <f t="shared" si="55"/>
        <v>0</v>
      </c>
      <c r="AK122" s="170">
        <f t="shared" si="65"/>
        <v>0</v>
      </c>
      <c r="AM122" s="170" t="str">
        <f t="shared" si="59"/>
        <v>0.010253498594417+0.142835090070358i</v>
      </c>
      <c r="AN122" s="170" t="str">
        <f t="shared" si="60"/>
        <v>0.143325287622016i</v>
      </c>
      <c r="AO122" s="170" t="str">
        <f t="shared" si="61"/>
        <v>0.996579825097224-0.0715400524536744i</v>
      </c>
      <c r="AP122" s="170" t="str">
        <f t="shared" si="62"/>
        <v>0.164957750234264-0.0238058483450597i</v>
      </c>
      <c r="AQ122" s="170" t="str">
        <f t="shared" si="63"/>
        <v>0.835042249765736+0.0238058483450597i</v>
      </c>
      <c r="AR122" s="170" t="str">
        <f t="shared" si="64"/>
        <v>0.996744223999107-0.0284157380563603i</v>
      </c>
    </row>
    <row r="123" spans="7:44">
      <c r="G123" s="688">
        <v>6456.5</v>
      </c>
      <c r="H123" s="676">
        <f t="shared" si="56"/>
        <v>6.4565000000000001</v>
      </c>
      <c r="I123" s="677">
        <f t="shared" si="34"/>
        <v>33.730457611645555</v>
      </c>
      <c r="J123" s="678">
        <f t="shared" si="35"/>
        <v>1.5411451860295364</v>
      </c>
      <c r="K123" s="678">
        <f t="shared" si="36"/>
        <v>1.0000398254566758</v>
      </c>
      <c r="L123" s="679">
        <f t="shared" si="37"/>
        <v>8.9245879454664979E-3</v>
      </c>
      <c r="M123" s="678">
        <f t="shared" si="38"/>
        <v>1.0005877576026085</v>
      </c>
      <c r="N123" s="679">
        <f t="shared" si="39"/>
        <v>-3.4277393845614276E-2</v>
      </c>
      <c r="O123" s="677">
        <f t="shared" si="40"/>
        <v>121702.15767245842</v>
      </c>
      <c r="P123" s="680">
        <f t="shared" si="41"/>
        <v>1.570788110013706</v>
      </c>
      <c r="Q123" s="689">
        <f t="shared" si="42"/>
        <v>16.338719992472022</v>
      </c>
      <c r="R123" s="690">
        <f t="shared" si="43"/>
        <v>1.5095537457936488</v>
      </c>
      <c r="S123" s="677">
        <f t="shared" si="44"/>
        <v>1.0294851132839615</v>
      </c>
      <c r="T123" s="680">
        <f t="shared" si="45"/>
        <v>0.23991002062776598</v>
      </c>
      <c r="U123" s="681">
        <f t="shared" si="57"/>
        <v>0.99621981343949051</v>
      </c>
      <c r="V123" s="682">
        <f t="shared" si="58"/>
        <v>-0.10131223546446612</v>
      </c>
      <c r="W123" s="683">
        <f t="shared" si="46"/>
        <v>-2.3436293408984445</v>
      </c>
      <c r="X123" s="684">
        <f t="shared" si="47"/>
        <v>-112.81278946319001</v>
      </c>
      <c r="Y123" s="687">
        <f t="shared" si="48"/>
        <v>67.187210536809985</v>
      </c>
      <c r="AA123" s="170">
        <f t="shared" si="49"/>
        <v>6456.5</v>
      </c>
      <c r="AB123" s="170">
        <f t="shared" si="50"/>
        <v>41686392.25</v>
      </c>
      <c r="AD123" s="686">
        <f t="shared" si="51"/>
        <v>27.411443724788942</v>
      </c>
      <c r="AE123" s="687">
        <f t="shared" si="52"/>
        <v>-17.254302295559604</v>
      </c>
      <c r="AG123" s="686">
        <f t="shared" si="53"/>
        <v>23.814061727535258</v>
      </c>
      <c r="AH123" s="687">
        <f t="shared" si="54"/>
        <v>-83.948960144065524</v>
      </c>
      <c r="AJ123" s="170">
        <f t="shared" si="55"/>
        <v>0</v>
      </c>
      <c r="AK123" s="170">
        <f t="shared" si="65"/>
        <v>0</v>
      </c>
      <c r="AM123" s="170" t="str">
        <f t="shared" si="59"/>
        <v>0.010490415263307+0.144467234050553i</v>
      </c>
      <c r="AN123" s="170" t="str">
        <f t="shared" si="60"/>
        <v>0.14497453717761i</v>
      </c>
      <c r="AO123" s="170" t="str">
        <f t="shared" si="61"/>
        <v>0.996500743255104-0.0723603983674393i</v>
      </c>
      <c r="AP123" s="170" t="str">
        <f t="shared" si="62"/>
        <v>0.164918264122782-0.0240778723417588i</v>
      </c>
      <c r="AQ123" s="170" t="str">
        <f t="shared" si="63"/>
        <v>0.835081735877218+0.0240778723417588i</v>
      </c>
      <c r="AR123" s="170" t="str">
        <f t="shared" si="64"/>
        <v>0.996678569223348-0.0287371862232358i</v>
      </c>
    </row>
    <row r="124" spans="7:44">
      <c r="G124" s="688">
        <v>6531.7</v>
      </c>
      <c r="H124" s="676">
        <f t="shared" si="56"/>
        <v>6.5316999999999998</v>
      </c>
      <c r="I124" s="677">
        <f t="shared" si="34"/>
        <v>34.12297891514347</v>
      </c>
      <c r="J124" s="678">
        <f t="shared" si="35"/>
        <v>1.5414863654397923</v>
      </c>
      <c r="K124" s="678">
        <f t="shared" si="36"/>
        <v>1.0000407585485589</v>
      </c>
      <c r="L124" s="679">
        <f t="shared" si="37"/>
        <v>9.0285285871349371E-3</v>
      </c>
      <c r="M124" s="678">
        <f t="shared" si="38"/>
        <v>1.000601524630472</v>
      </c>
      <c r="N124" s="679">
        <f t="shared" si="39"/>
        <v>-3.467631060529091E-2</v>
      </c>
      <c r="O124" s="677">
        <f t="shared" si="40"/>
        <v>123119.6442760911</v>
      </c>
      <c r="P124" s="680">
        <f t="shared" si="41"/>
        <v>1.5707882046141846</v>
      </c>
      <c r="Q124" s="689">
        <f t="shared" si="42"/>
        <v>16.528311191486939</v>
      </c>
      <c r="R124" s="690">
        <f t="shared" si="43"/>
        <v>1.5102571051779627</v>
      </c>
      <c r="S124" s="677">
        <f t="shared" si="44"/>
        <v>1.0301658317667075</v>
      </c>
      <c r="T124" s="680">
        <f t="shared" si="45"/>
        <v>0.24259652981949334</v>
      </c>
      <c r="U124" s="681">
        <f t="shared" si="57"/>
        <v>0.99614100437317388</v>
      </c>
      <c r="V124" s="682">
        <f t="shared" si="58"/>
        <v>-0.10248822566451114</v>
      </c>
      <c r="W124" s="683">
        <f t="shared" si="46"/>
        <v>-2.4507968394500406</v>
      </c>
      <c r="X124" s="684">
        <f t="shared" si="47"/>
        <v>-113.03024929984839</v>
      </c>
      <c r="Y124" s="687">
        <f t="shared" si="48"/>
        <v>66.969750700151607</v>
      </c>
      <c r="AA124" s="170">
        <f t="shared" si="49"/>
        <v>6531.7</v>
      </c>
      <c r="AB124" s="170">
        <f t="shared" si="50"/>
        <v>42663104.890000001</v>
      </c>
      <c r="AD124" s="686">
        <f t="shared" si="51"/>
        <v>27.405329857743546</v>
      </c>
      <c r="AE124" s="687">
        <f t="shared" si="52"/>
        <v>-17.367933830004578</v>
      </c>
      <c r="AG124" s="686">
        <f t="shared" si="53"/>
        <v>23.714382399010209</v>
      </c>
      <c r="AH124" s="687">
        <f t="shared" si="54"/>
        <v>-83.918029895702318</v>
      </c>
      <c r="AJ124" s="170">
        <f t="shared" si="55"/>
        <v>0</v>
      </c>
      <c r="AK124" s="170">
        <f t="shared" si="65"/>
        <v>0</v>
      </c>
      <c r="AM124" s="170" t="str">
        <f t="shared" si="59"/>
        <v>0.01073576508315+0.146137857909505i</v>
      </c>
      <c r="AN124" s="170" t="str">
        <f t="shared" si="60"/>
        <v>0.146663081310771i</v>
      </c>
      <c r="AO124" s="170" t="str">
        <f t="shared" si="61"/>
        <v>0.996418843811463-0.0732001877173268i</v>
      </c>
      <c r="AP124" s="170" t="str">
        <f t="shared" si="62"/>
        <v>0.164877372486142-0.0243563096515842i</v>
      </c>
      <c r="AQ124" s="170" t="str">
        <f t="shared" si="63"/>
        <v>0.835122627513858+0.0243563096515842i</v>
      </c>
      <c r="AR124" s="170" t="str">
        <f t="shared" si="64"/>
        <v>0.996610593096131-0.029066098088805i</v>
      </c>
    </row>
    <row r="125" spans="7:44">
      <c r="G125" s="688">
        <v>6606.9</v>
      </c>
      <c r="H125" s="676">
        <f t="shared" si="56"/>
        <v>6.6068999999999996</v>
      </c>
      <c r="I125" s="677">
        <f t="shared" si="34"/>
        <v>34.515504100329146</v>
      </c>
      <c r="J125" s="678">
        <f t="shared" si="35"/>
        <v>1.5418197848095954</v>
      </c>
      <c r="K125" s="678">
        <f t="shared" si="36"/>
        <v>1.0000417024445192</v>
      </c>
      <c r="L125" s="679">
        <f t="shared" si="37"/>
        <v>9.1324690337161903E-3</v>
      </c>
      <c r="M125" s="678">
        <f t="shared" si="38"/>
        <v>1.0006154508842435</v>
      </c>
      <c r="N125" s="679">
        <f t="shared" si="39"/>
        <v>-3.507521632444769E-2</v>
      </c>
      <c r="O125" s="677">
        <f t="shared" si="40"/>
        <v>124537.13087972488</v>
      </c>
      <c r="P125" s="680">
        <f t="shared" si="41"/>
        <v>1.5707882970611702</v>
      </c>
      <c r="Q125" s="689">
        <f t="shared" si="42"/>
        <v>16.717910381833907</v>
      </c>
      <c r="R125" s="690">
        <f t="shared" si="43"/>
        <v>1.5109445111832238</v>
      </c>
      <c r="S125" s="677">
        <f t="shared" si="44"/>
        <v>1.0308539754472414</v>
      </c>
      <c r="T125" s="680">
        <f t="shared" si="45"/>
        <v>0.24527947161011346</v>
      </c>
      <c r="U125" s="681">
        <f t="shared" si="57"/>
        <v>0.99606130072526244</v>
      </c>
      <c r="V125" s="682">
        <f t="shared" si="58"/>
        <v>-0.10366407729686403</v>
      </c>
      <c r="W125" s="683">
        <f t="shared" si="46"/>
        <v>-2.5568684405432212</v>
      </c>
      <c r="X125" s="684">
        <f t="shared" si="47"/>
        <v>-113.2479654990742</v>
      </c>
      <c r="Y125" s="687">
        <f t="shared" si="48"/>
        <v>66.752034500925802</v>
      </c>
      <c r="AA125" s="170">
        <f t="shared" si="49"/>
        <v>6606.9</v>
      </c>
      <c r="AB125" s="170">
        <f t="shared" si="50"/>
        <v>43651127.609999992</v>
      </c>
      <c r="AD125" s="686">
        <f t="shared" si="51"/>
        <v>27.399169834213343</v>
      </c>
      <c r="AE125" s="687">
        <f t="shared" si="52"/>
        <v>-17.482274905325728</v>
      </c>
      <c r="AG125" s="686">
        <f t="shared" si="53"/>
        <v>23.615860835078095</v>
      </c>
      <c r="AH125" s="687">
        <f t="shared" si="54"/>
        <v>-83.886662347718215</v>
      </c>
      <c r="AJ125" s="170">
        <f t="shared" si="55"/>
        <v>0</v>
      </c>
      <c r="AK125" s="170">
        <f t="shared" si="65"/>
        <v>0</v>
      </c>
      <c r="AM125" s="170" t="str">
        <f t="shared" si="59"/>
        <v>0.010983935473999+0.14780806510303i</v>
      </c>
      <c r="AN125" s="170" t="str">
        <f t="shared" si="60"/>
        <v>0.148351625443933i</v>
      </c>
      <c r="AO125" s="170" t="str">
        <f t="shared" si="61"/>
        <v>0.996336000099248-0.0740398727761173i</v>
      </c>
      <c r="AP125" s="170" t="str">
        <f t="shared" si="62"/>
        <v>0.164836010754333-0.0246346775171717i</v>
      </c>
      <c r="AQ125" s="170" t="str">
        <f t="shared" si="63"/>
        <v>0.835163989245667+0.0246346775171717i</v>
      </c>
      <c r="AR125" s="170" t="str">
        <f t="shared" si="64"/>
        <v>0.996541851709728-0.029394810438855i</v>
      </c>
    </row>
    <row r="126" spans="7:44">
      <c r="G126" s="688">
        <v>6683.85</v>
      </c>
      <c r="H126" s="676">
        <f t="shared" si="56"/>
        <v>6.6838500000000005</v>
      </c>
      <c r="I126" s="677">
        <f t="shared" si="34"/>
        <v>34.917167729341102</v>
      </c>
      <c r="J126" s="678">
        <f t="shared" si="35"/>
        <v>1.5421532031907699</v>
      </c>
      <c r="K126" s="678">
        <f t="shared" si="36"/>
        <v>1.0000426794902513</v>
      </c>
      <c r="L126" s="679">
        <f t="shared" si="37"/>
        <v>9.2388281028870957E-3</v>
      </c>
      <c r="M126" s="678">
        <f t="shared" si="38"/>
        <v>1.0006298660398907</v>
      </c>
      <c r="N126" s="679">
        <f t="shared" si="39"/>
        <v>-3.5483393528076855E-2</v>
      </c>
      <c r="O126" s="677">
        <f t="shared" si="40"/>
        <v>125987.60420618366</v>
      </c>
      <c r="P126" s="680">
        <f t="shared" si="41"/>
        <v>1.570788389506095</v>
      </c>
      <c r="Q126" s="689">
        <f t="shared" si="42"/>
        <v>16.911929779445536</v>
      </c>
      <c r="R126" s="690">
        <f t="shared" si="43"/>
        <v>1.5116319584977902</v>
      </c>
      <c r="S126" s="677">
        <f t="shared" si="44"/>
        <v>1.0315658040060274</v>
      </c>
      <c r="T126" s="680">
        <f t="shared" si="45"/>
        <v>0.24802112318401462</v>
      </c>
      <c r="U126" s="681">
        <f t="shared" si="57"/>
        <v>0.9959788168622844</v>
      </c>
      <c r="V126" s="682">
        <f t="shared" si="58"/>
        <v>-0.1048671474381568</v>
      </c>
      <c r="W126" s="683">
        <f t="shared" si="46"/>
        <v>-2.6643013878354656</v>
      </c>
      <c r="X126" s="684">
        <f t="shared" si="47"/>
        <v>-113.47099524324342</v>
      </c>
      <c r="Y126" s="687">
        <f t="shared" si="48"/>
        <v>66.529004756756578</v>
      </c>
      <c r="AA126" s="170">
        <f t="shared" si="49"/>
        <v>6683.85</v>
      </c>
      <c r="AB126" s="170">
        <f t="shared" si="50"/>
        <v>44673850.822500005</v>
      </c>
      <c r="AD126" s="686">
        <f t="shared" si="51"/>
        <v>27.392818347697592</v>
      </c>
      <c r="AE126" s="687">
        <f t="shared" si="52"/>
        <v>-17.599977436481932</v>
      </c>
      <c r="AG126" s="686">
        <f t="shared" si="53"/>
        <v>23.516217991375285</v>
      </c>
      <c r="AH126" s="687">
        <f t="shared" si="54"/>
        <v>-83.854127877465103</v>
      </c>
      <c r="AJ126" s="170">
        <f t="shared" si="55"/>
        <v>0</v>
      </c>
      <c r="AK126" s="170">
        <f t="shared" si="65"/>
        <v>0</v>
      </c>
      <c r="AM126" s="170" t="str">
        <f t="shared" si="59"/>
        <v>0.011240800160639+0.149516703859561i</v>
      </c>
      <c r="AN126" s="170" t="str">
        <f t="shared" si="60"/>
        <v>0.150079464154661i</v>
      </c>
      <c r="AO126" s="170" t="str">
        <f t="shared" si="61"/>
        <v>0.99625025117014-0.0748989891718633i</v>
      </c>
      <c r="AP126" s="170" t="str">
        <f t="shared" si="62"/>
        <v>0.164793199973227-0.0249194506432602i</v>
      </c>
      <c r="AQ126" s="170" t="str">
        <f t="shared" si="63"/>
        <v>0.835206800026773+0.0249194506432602i</v>
      </c>
      <c r="AR126" s="170" t="str">
        <f t="shared" si="64"/>
        <v>0.996470719222177-0.0297309635222259i</v>
      </c>
    </row>
    <row r="127" spans="7:44">
      <c r="G127" s="688">
        <v>6760.8</v>
      </c>
      <c r="H127" s="676">
        <f t="shared" si="56"/>
        <v>6.7608000000000006</v>
      </c>
      <c r="I127" s="677">
        <f t="shared" si="34"/>
        <v>35.318835151729608</v>
      </c>
      <c r="J127" s="678">
        <f t="shared" si="35"/>
        <v>1.5424790379314548</v>
      </c>
      <c r="K127" s="678">
        <f t="shared" si="36"/>
        <v>1.0000436678486953</v>
      </c>
      <c r="L127" s="679">
        <f t="shared" si="37"/>
        <v>9.3451869630285702E-3</v>
      </c>
      <c r="M127" s="678">
        <f t="shared" si="38"/>
        <v>1.0006444479042889</v>
      </c>
      <c r="N127" s="679">
        <f t="shared" si="39"/>
        <v>-3.5891558903405528E-2</v>
      </c>
      <c r="O127" s="677">
        <f t="shared" si="40"/>
        <v>127438.07753264348</v>
      </c>
      <c r="P127" s="680">
        <f t="shared" si="41"/>
        <v>1.5707884798466425</v>
      </c>
      <c r="Q127" s="689">
        <f t="shared" si="42"/>
        <v>17.105956988058388</v>
      </c>
      <c r="R127" s="690">
        <f t="shared" si="43"/>
        <v>1.5123038111491542</v>
      </c>
      <c r="S127" s="677">
        <f t="shared" si="44"/>
        <v>1.0322853757597235</v>
      </c>
      <c r="T127" s="680">
        <f t="shared" si="45"/>
        <v>0.25075897308560291</v>
      </c>
      <c r="U127" s="681">
        <f t="shared" si="57"/>
        <v>0.99589539760693702</v>
      </c>
      <c r="V127" s="682">
        <f t="shared" si="58"/>
        <v>-0.10607006920435524</v>
      </c>
      <c r="W127" s="683">
        <f t="shared" si="46"/>
        <v>-2.7706414595448408</v>
      </c>
      <c r="X127" s="684">
        <f t="shared" si="47"/>
        <v>-113.69425687785144</v>
      </c>
      <c r="Y127" s="687">
        <f t="shared" si="48"/>
        <v>66.305743122148556</v>
      </c>
      <c r="AA127" s="170">
        <f t="shared" si="49"/>
        <v>6760.8</v>
      </c>
      <c r="AB127" s="170">
        <f t="shared" si="50"/>
        <v>45708416.640000001</v>
      </c>
      <c r="AD127" s="686">
        <f t="shared" si="51"/>
        <v>27.386417894023118</v>
      </c>
      <c r="AE127" s="687">
        <f t="shared" si="52"/>
        <v>-17.718355535672767</v>
      </c>
      <c r="AG127" s="686">
        <f t="shared" si="53"/>
        <v>23.417733425955248</v>
      </c>
      <c r="AH127" s="687">
        <f t="shared" si="54"/>
        <v>-83.821166732149607</v>
      </c>
      <c r="AJ127" s="170">
        <f t="shared" si="55"/>
        <v>0</v>
      </c>
      <c r="AK127" s="170">
        <f t="shared" si="65"/>
        <v>0</v>
      </c>
      <c r="AM127" s="170" t="str">
        <f t="shared" si="59"/>
        <v>0.011500616714572+0.151224896245055i</v>
      </c>
      <c r="AN127" s="170" t="str">
        <f t="shared" si="60"/>
        <v>0.151807302865389i</v>
      </c>
      <c r="AO127" s="170" t="str">
        <f t="shared" si="61"/>
        <v>0.996163513814283-0.0757579938349202i</v>
      </c>
      <c r="AP127" s="170" t="str">
        <f t="shared" si="62"/>
        <v>0.164749897214238-0.0252041493741758i</v>
      </c>
      <c r="AQ127" s="170" t="str">
        <f t="shared" si="63"/>
        <v>0.835250102785762+0.0252041493741758i</v>
      </c>
      <c r="AR127" s="170" t="str">
        <f t="shared" si="64"/>
        <v>0.996398787032207-0.0300669030519698i</v>
      </c>
    </row>
    <row r="128" spans="7:44">
      <c r="G128" s="688">
        <v>6839.55</v>
      </c>
      <c r="H128" s="676">
        <f t="shared" si="56"/>
        <v>6.83955</v>
      </c>
      <c r="I128" s="677">
        <f t="shared" si="34"/>
        <v>35.729902097322579</v>
      </c>
      <c r="J128" s="678">
        <f t="shared" si="35"/>
        <v>1.542804909528003</v>
      </c>
      <c r="K128" s="678">
        <f t="shared" si="36"/>
        <v>1.0000446910393448</v>
      </c>
      <c r="L128" s="679">
        <f t="shared" si="37"/>
        <v>9.4540335307919006E-3</v>
      </c>
      <c r="M128" s="678">
        <f t="shared" si="38"/>
        <v>1.0006595434611161</v>
      </c>
      <c r="N128" s="679">
        <f t="shared" si="39"/>
        <v>-3.6309259618883309E-2</v>
      </c>
      <c r="O128" s="677">
        <f t="shared" si="40"/>
        <v>128922.48005972331</v>
      </c>
      <c r="P128" s="680">
        <f t="shared" si="41"/>
        <v>1.5707885701957407</v>
      </c>
      <c r="Q128" s="689">
        <f t="shared" si="42"/>
        <v>17.304530657879475</v>
      </c>
      <c r="R128" s="690">
        <f t="shared" si="43"/>
        <v>1.5129757802692128</v>
      </c>
      <c r="S128" s="677">
        <f t="shared" si="44"/>
        <v>1.0330297797208634</v>
      </c>
      <c r="T128" s="680">
        <f t="shared" si="45"/>
        <v>0.2535568956642707</v>
      </c>
      <c r="U128" s="681">
        <f t="shared" si="57"/>
        <v>0.99580905925745378</v>
      </c>
      <c r="V128" s="682">
        <f t="shared" si="58"/>
        <v>-0.10730097413962014</v>
      </c>
      <c r="W128" s="683">
        <f t="shared" si="46"/>
        <v>-2.878364832107656</v>
      </c>
      <c r="X128" s="684">
        <f t="shared" si="47"/>
        <v>-113.92296297942137</v>
      </c>
      <c r="Y128" s="687">
        <f t="shared" si="48"/>
        <v>66.077037020578629</v>
      </c>
      <c r="AA128" s="170">
        <f t="shared" si="49"/>
        <v>6839.55</v>
      </c>
      <c r="AB128" s="170">
        <f t="shared" si="50"/>
        <v>46779444.202500001</v>
      </c>
      <c r="AD128" s="686">
        <f t="shared" si="51"/>
        <v>27.37981674049346</v>
      </c>
      <c r="AE128" s="687">
        <f t="shared" si="52"/>
        <v>-17.840168873053525</v>
      </c>
      <c r="AG128" s="686">
        <f t="shared" si="53"/>
        <v>23.31811730462254</v>
      </c>
      <c r="AH128" s="687">
        <f t="shared" si="54"/>
        <v>-83.78700818063264</v>
      </c>
      <c r="AJ128" s="170">
        <f t="shared" si="55"/>
        <v>0</v>
      </c>
      <c r="AK128" s="170">
        <f t="shared" si="65"/>
        <v>0</v>
      </c>
      <c r="AM128" s="170" t="str">
        <f t="shared" si="59"/>
        <v>0.011769566288485+0.152972578870697i</v>
      </c>
      <c r="AN128" s="170" t="str">
        <f t="shared" si="60"/>
        <v>0.153575558855901i</v>
      </c>
      <c r="AO128" s="170" t="str">
        <f t="shared" si="61"/>
        <v>0.996073724297694-0.0766369751551958i</v>
      </c>
      <c r="AP128" s="170" t="str">
        <f t="shared" si="62"/>
        <v>0.164705072285252-0.0254954298117828i</v>
      </c>
      <c r="AQ128" s="170" t="str">
        <f t="shared" si="63"/>
        <v>0.835294927714748+0.0254954298117828i</v>
      </c>
      <c r="AR128" s="170" t="str">
        <f t="shared" si="64"/>
        <v>0.996324345088704-0.0304104772663652i</v>
      </c>
    </row>
    <row r="129" spans="7:44">
      <c r="G129" s="688">
        <v>6918.3</v>
      </c>
      <c r="H129" s="676">
        <f t="shared" si="56"/>
        <v>6.9183000000000003</v>
      </c>
      <c r="I129" s="677">
        <f t="shared" si="34"/>
        <v>36.140972750844433</v>
      </c>
      <c r="J129" s="678">
        <f t="shared" si="35"/>
        <v>1.5431233681724144</v>
      </c>
      <c r="K129" s="678">
        <f t="shared" si="36"/>
        <v>1.0000457260780746</v>
      </c>
      <c r="L129" s="679">
        <f t="shared" si="37"/>
        <v>9.5628798745342712E-3</v>
      </c>
      <c r="M129" s="678">
        <f t="shared" si="38"/>
        <v>1.0006748136016188</v>
      </c>
      <c r="N129" s="679">
        <f t="shared" si="39"/>
        <v>-3.6726947659140259E-2</v>
      </c>
      <c r="O129" s="677">
        <f t="shared" si="40"/>
        <v>130406.88258680417</v>
      </c>
      <c r="P129" s="680">
        <f t="shared" si="41"/>
        <v>1.5707886584879778</v>
      </c>
      <c r="Q129" s="689">
        <f t="shared" si="42"/>
        <v>17.503111964135211</v>
      </c>
      <c r="R129" s="690">
        <f t="shared" si="43"/>
        <v>1.5136325020481605</v>
      </c>
      <c r="S129" s="677">
        <f t="shared" si="44"/>
        <v>1.0337822589387655</v>
      </c>
      <c r="T129" s="680">
        <f t="shared" si="45"/>
        <v>0.25635076693124959</v>
      </c>
      <c r="U129" s="681">
        <f t="shared" si="57"/>
        <v>0.99572174267732882</v>
      </c>
      <c r="V129" s="682">
        <f t="shared" si="58"/>
        <v>-0.10853172016551922</v>
      </c>
      <c r="W129" s="683">
        <f t="shared" si="46"/>
        <v>-2.9849981508485839</v>
      </c>
      <c r="X129" s="684">
        <f t="shared" si="47"/>
        <v>-114.15187589926693</v>
      </c>
      <c r="Y129" s="687">
        <f t="shared" si="48"/>
        <v>65.848124100733074</v>
      </c>
      <c r="AA129" s="170">
        <f t="shared" si="49"/>
        <v>6918.3</v>
      </c>
      <c r="AB129" s="170">
        <f t="shared" si="50"/>
        <v>47862874.890000001</v>
      </c>
      <c r="AD129" s="686">
        <f t="shared" si="51"/>
        <v>27.373163761322665</v>
      </c>
      <c r="AE129" s="687">
        <f t="shared" si="52"/>
        <v>-17.962623577818725</v>
      </c>
      <c r="AG129" s="686">
        <f t="shared" si="53"/>
        <v>23.219660259953571</v>
      </c>
      <c r="AH129" s="687">
        <f t="shared" si="54"/>
        <v>-83.752433289678777</v>
      </c>
      <c r="AJ129" s="170">
        <f t="shared" si="55"/>
        <v>0</v>
      </c>
      <c r="AK129" s="170">
        <f t="shared" si="65"/>
        <v>0</v>
      </c>
      <c r="AM129" s="170" t="str">
        <f t="shared" si="59"/>
        <v>0.012041605790595+0.154719783192626i</v>
      </c>
      <c r="AN129" s="170" t="str">
        <f t="shared" si="60"/>
        <v>0.155343814846412i</v>
      </c>
      <c r="AO129" s="170" t="str">
        <f t="shared" si="61"/>
        <v>0.995982899902368-0.0775158367425218i</v>
      </c>
      <c r="AP129" s="170" t="str">
        <f t="shared" si="62"/>
        <v>0.164659732368234-0.0257866305321043i</v>
      </c>
      <c r="AQ129" s="170" t="str">
        <f t="shared" si="63"/>
        <v>0.835340267631766+0.0257866305321043i</v>
      </c>
      <c r="AR129" s="170" t="str">
        <f t="shared" si="64"/>
        <v>0.99624906733139-0.0307538228583908i</v>
      </c>
    </row>
    <row r="130" spans="7:44">
      <c r="G130" s="688">
        <v>6998.9</v>
      </c>
      <c r="H130" s="676">
        <f t="shared" si="56"/>
        <v>6.9988999999999999</v>
      </c>
      <c r="I130" s="677">
        <f t="shared" si="34"/>
        <v>36.561704011348169</v>
      </c>
      <c r="J130" s="678">
        <f t="shared" si="35"/>
        <v>1.5434418927285511</v>
      </c>
      <c r="K130" s="678">
        <f t="shared" si="36"/>
        <v>1.0000467977008152</v>
      </c>
      <c r="L130" s="679">
        <f t="shared" si="37"/>
        <v>9.6742830088269692E-3</v>
      </c>
      <c r="M130" s="678">
        <f t="shared" si="38"/>
        <v>1.0006906232447366</v>
      </c>
      <c r="N130" s="679">
        <f t="shared" si="39"/>
        <v>-3.7154434776498844E-2</v>
      </c>
      <c r="O130" s="677">
        <f t="shared" si="40"/>
        <v>131926.15679230003</v>
      </c>
      <c r="P130" s="680">
        <f t="shared" si="41"/>
        <v>1.5707887467969317</v>
      </c>
      <c r="Q130" s="689">
        <f t="shared" si="42"/>
        <v>17.706365994539311</v>
      </c>
      <c r="R130" s="690">
        <f t="shared" si="43"/>
        <v>1.514289397547196</v>
      </c>
      <c r="S130" s="677">
        <f t="shared" si="44"/>
        <v>1.0345607590977102</v>
      </c>
      <c r="T130" s="680">
        <f t="shared" si="45"/>
        <v>0.25920604056837615</v>
      </c>
      <c r="U130" s="681">
        <f t="shared" si="57"/>
        <v>0.9956313626486003</v>
      </c>
      <c r="V130" s="682">
        <f t="shared" si="58"/>
        <v>-0.10979121255168216</v>
      </c>
      <c r="W130" s="683">
        <f t="shared" si="46"/>
        <v>-3.0930350443761156</v>
      </c>
      <c r="X130" s="684">
        <f t="shared" si="47"/>
        <v>-114.38636273734694</v>
      </c>
      <c r="Y130" s="687">
        <f t="shared" si="48"/>
        <v>65.613637262653057</v>
      </c>
      <c r="AA130" s="170">
        <f t="shared" si="49"/>
        <v>6998.9</v>
      </c>
      <c r="AB130" s="170">
        <f t="shared" si="50"/>
        <v>48984601.209999993</v>
      </c>
      <c r="AD130" s="686">
        <f t="shared" si="51"/>
        <v>27.366300589668448</v>
      </c>
      <c r="AE130" s="687">
        <f t="shared" si="52"/>
        <v>-18.088586426779454</v>
      </c>
      <c r="AG130" s="686">
        <f t="shared" si="53"/>
        <v>23.120063417546707</v>
      </c>
      <c r="AH130" s="687">
        <f t="shared" si="54"/>
        <v>-83.716630082521149</v>
      </c>
      <c r="AJ130" s="170">
        <f t="shared" si="55"/>
        <v>0</v>
      </c>
      <c r="AK130" s="170">
        <f t="shared" si="65"/>
        <v>0</v>
      </c>
      <c r="AM130" s="170" t="str">
        <f t="shared" si="59"/>
        <v>0.012323234838212+0.156507531957877i</v>
      </c>
      <c r="AN130" s="170" t="str">
        <f t="shared" si="60"/>
        <v>0.157153610818923i</v>
      </c>
      <c r="AO130" s="170" t="str">
        <f t="shared" si="61"/>
        <v>0.995888870400882-0.0784152191858397i</v>
      </c>
      <c r="AP130" s="170" t="str">
        <f t="shared" si="62"/>
        <v>0.164612794193631-0.0260845886596462i</v>
      </c>
      <c r="AQ130" s="170" t="str">
        <f t="shared" si="63"/>
        <v>0.835387205806369+0.0260845886596462i</v>
      </c>
      <c r="AR130" s="170" t="str">
        <f t="shared" si="64"/>
        <v>0.996171156580092-0.0311049949932063i</v>
      </c>
    </row>
    <row r="131" spans="7:44">
      <c r="G131" s="688">
        <v>7079.5</v>
      </c>
      <c r="H131" s="676">
        <f t="shared" si="56"/>
        <v>7.0795000000000003</v>
      </c>
      <c r="I131" s="677">
        <f t="shared" si="34"/>
        <v>36.982438896923377</v>
      </c>
      <c r="J131" s="678">
        <f t="shared" si="35"/>
        <v>1.5437531698546254</v>
      </c>
      <c r="K131" s="678">
        <f t="shared" si="36"/>
        <v>1.0000478817347682</v>
      </c>
      <c r="L131" s="679">
        <f t="shared" si="37"/>
        <v>9.7856859029842539E-3</v>
      </c>
      <c r="M131" s="678">
        <f t="shared" si="38"/>
        <v>1.0007066157535001</v>
      </c>
      <c r="N131" s="679">
        <f t="shared" si="39"/>
        <v>-3.7581908308446037E-2</v>
      </c>
      <c r="O131" s="677">
        <f t="shared" si="40"/>
        <v>133445.43099779688</v>
      </c>
      <c r="P131" s="680">
        <f t="shared" si="41"/>
        <v>1.5707888330950934</v>
      </c>
      <c r="Q131" s="689">
        <f t="shared" si="42"/>
        <v>17.909627492023379</v>
      </c>
      <c r="R131" s="690">
        <f t="shared" si="43"/>
        <v>1.5149313827273101</v>
      </c>
      <c r="S131" s="677">
        <f t="shared" si="44"/>
        <v>1.0353476808798017</v>
      </c>
      <c r="T131" s="680">
        <f t="shared" si="45"/>
        <v>0.26205699708556235</v>
      </c>
      <c r="U131" s="681">
        <f t="shared" si="57"/>
        <v>0.99553995945968476</v>
      </c>
      <c r="V131" s="682">
        <f t="shared" si="58"/>
        <v>-0.111050534717839</v>
      </c>
      <c r="W131" s="683">
        <f t="shared" si="46"/>
        <v>-3.1999845571450418</v>
      </c>
      <c r="X131" s="684">
        <f t="shared" si="47"/>
        <v>-114.62103064113957</v>
      </c>
      <c r="Y131" s="687">
        <f t="shared" si="48"/>
        <v>65.378969358860431</v>
      </c>
      <c r="AA131" s="170">
        <f t="shared" si="49"/>
        <v>7079.5</v>
      </c>
      <c r="AB131" s="170">
        <f t="shared" si="50"/>
        <v>50119320.25</v>
      </c>
      <c r="AD131" s="686">
        <f t="shared" si="51"/>
        <v>27.359382685831623</v>
      </c>
      <c r="AE131" s="687">
        <f t="shared" si="52"/>
        <v>-18.215156106124141</v>
      </c>
      <c r="AG131" s="686">
        <f t="shared" si="53"/>
        <v>23.021626684963476</v>
      </c>
      <c r="AH131" s="687">
        <f t="shared" si="54"/>
        <v>-83.680420616468098</v>
      </c>
      <c r="AJ131" s="170">
        <f t="shared" si="55"/>
        <v>0</v>
      </c>
      <c r="AK131" s="170">
        <f t="shared" si="65"/>
        <v>0</v>
      </c>
      <c r="AM131" s="170" t="str">
        <f t="shared" si="59"/>
        <v>0.01260809888336+0.158294768104529i</v>
      </c>
      <c r="AN131" s="170" t="str">
        <f t="shared" si="60"/>
        <v>0.158963406791434i</v>
      </c>
      <c r="AO131" s="170" t="str">
        <f t="shared" si="61"/>
        <v>0.995793757189777-0.0793144732982623i</v>
      </c>
      <c r="AP131" s="170" t="str">
        <f t="shared" si="62"/>
        <v>0.164565316852773-0.0263824613507548i</v>
      </c>
      <c r="AQ131" s="170" t="str">
        <f t="shared" si="63"/>
        <v>0.835434683147227+0.0263824613507548i</v>
      </c>
      <c r="AR131" s="170" t="str">
        <f t="shared" si="64"/>
        <v>0.996092372188515-0.0314559223373947i</v>
      </c>
    </row>
    <row r="132" spans="7:44">
      <c r="G132" s="688">
        <v>7161.95</v>
      </c>
      <c r="H132" s="676">
        <f t="shared" si="56"/>
        <v>7.16195</v>
      </c>
      <c r="I132" s="677">
        <f t="shared" si="34"/>
        <v>37.412834472054854</v>
      </c>
      <c r="J132" s="678">
        <f t="shared" si="35"/>
        <v>1.5440643476805724</v>
      </c>
      <c r="K132" s="678">
        <f t="shared" si="36"/>
        <v>1.0000490034921428</v>
      </c>
      <c r="L132" s="679">
        <f t="shared" si="37"/>
        <v>9.8996455601130066E-3</v>
      </c>
      <c r="M132" s="678">
        <f t="shared" si="38"/>
        <v>1.0007231645365831</v>
      </c>
      <c r="N132" s="679">
        <f t="shared" si="39"/>
        <v>-3.8019179358861982E-2</v>
      </c>
      <c r="O132" s="677">
        <f t="shared" si="40"/>
        <v>134999.57688170872</v>
      </c>
      <c r="P132" s="680">
        <f t="shared" si="41"/>
        <v>1.5707889193642728</v>
      </c>
      <c r="Q132" s="689">
        <f t="shared" si="42"/>
        <v>18.117561885005621</v>
      </c>
      <c r="R132" s="690">
        <f t="shared" si="43"/>
        <v>1.5155731983798102</v>
      </c>
      <c r="S132" s="677">
        <f t="shared" si="44"/>
        <v>1.0361613585478986</v>
      </c>
      <c r="T132" s="680">
        <f t="shared" si="45"/>
        <v>0.26496888629134646</v>
      </c>
      <c r="U132" s="681">
        <f t="shared" si="57"/>
        <v>0.99544540049268471</v>
      </c>
      <c r="V132" s="682">
        <f t="shared" si="58"/>
        <v>-0.11233858381805899</v>
      </c>
      <c r="W132" s="683">
        <f t="shared" si="46"/>
        <v>-3.3082910101325931</v>
      </c>
      <c r="X132" s="684">
        <f t="shared" si="47"/>
        <v>-114.8612545497183</v>
      </c>
      <c r="Y132" s="687">
        <f t="shared" si="48"/>
        <v>65.138745450281704</v>
      </c>
      <c r="AA132" s="170">
        <f t="shared" si="49"/>
        <v>7161.95</v>
      </c>
      <c r="AB132" s="170">
        <f t="shared" si="50"/>
        <v>51293527.802499995</v>
      </c>
      <c r="AD132" s="686">
        <f t="shared" si="51"/>
        <v>27.352249181133949</v>
      </c>
      <c r="AE132" s="687">
        <f t="shared" si="52"/>
        <v>-18.345226682920082</v>
      </c>
      <c r="AG132" s="686">
        <f t="shared" si="53"/>
        <v>22.922103831684421</v>
      </c>
      <c r="AH132" s="687">
        <f t="shared" si="54"/>
        <v>-83.642974393585746</v>
      </c>
      <c r="AJ132" s="170">
        <f t="shared" si="55"/>
        <v>0</v>
      </c>
      <c r="AK132" s="170">
        <f t="shared" si="65"/>
        <v>0</v>
      </c>
      <c r="AM132" s="170" t="str">
        <f t="shared" si="59"/>
        <v>0.0129028476267+0.16012248991482i</v>
      </c>
      <c r="AN132" s="170" t="str">
        <f t="shared" si="60"/>
        <v>0.160814742745944i</v>
      </c>
      <c r="AO132" s="170" t="str">
        <f t="shared" si="61"/>
        <v>0.995695339747441-0.0802342335434009i</v>
      </c>
      <c r="AP132" s="170" t="str">
        <f t="shared" si="62"/>
        <v>0.164516192062217-0.02668708165247i</v>
      </c>
      <c r="AQ132" s="170" t="str">
        <f t="shared" si="63"/>
        <v>0.835483807937783+0.02668708165247i</v>
      </c>
      <c r="AR132" s="170" t="str">
        <f t="shared" si="64"/>
        <v>0.996010876541744-0.0318146483947145i</v>
      </c>
    </row>
    <row r="133" spans="7:44">
      <c r="G133" s="688">
        <v>7244.4</v>
      </c>
      <c r="H133" s="676">
        <f t="shared" si="56"/>
        <v>7.2443999999999997</v>
      </c>
      <c r="I133" s="677">
        <f t="shared" si="34"/>
        <v>37.843233587528395</v>
      </c>
      <c r="J133" s="678">
        <f t="shared" si="35"/>
        <v>1.5443684473526891</v>
      </c>
      <c r="K133" s="678">
        <f t="shared" si="36"/>
        <v>1.0000501382369278</v>
      </c>
      <c r="L133" s="679">
        <f t="shared" si="37"/>
        <v>1.0013604960104441E-2</v>
      </c>
      <c r="M133" s="678">
        <f t="shared" si="38"/>
        <v>1.0007399046575614</v>
      </c>
      <c r="N133" s="679">
        <f t="shared" si="39"/>
        <v>-3.8456435863765251E-2</v>
      </c>
      <c r="O133" s="677">
        <f t="shared" si="40"/>
        <v>136553.72276562155</v>
      </c>
      <c r="P133" s="680">
        <f t="shared" si="41"/>
        <v>1.5707890036697576</v>
      </c>
      <c r="Q133" s="689">
        <f t="shared" si="42"/>
        <v>18.325503571741152</v>
      </c>
      <c r="R133" s="690">
        <f t="shared" si="43"/>
        <v>1.5162004487674692</v>
      </c>
      <c r="S133" s="677">
        <f t="shared" si="44"/>
        <v>1.0369838080994935</v>
      </c>
      <c r="T133" s="680">
        <f t="shared" si="45"/>
        <v>0.26787618117792639</v>
      </c>
      <c r="U133" s="681">
        <f t="shared" si="57"/>
        <v>0.99534977257703661</v>
      </c>
      <c r="V133" s="682">
        <f t="shared" si="58"/>
        <v>-0.11362645078105603</v>
      </c>
      <c r="W133" s="683">
        <f t="shared" si="46"/>
        <v>-3.4155139522077018</v>
      </c>
      <c r="X133" s="684">
        <f t="shared" si="47"/>
        <v>-115.10163283618954</v>
      </c>
      <c r="Y133" s="687">
        <f t="shared" si="48"/>
        <v>64.898367163810462</v>
      </c>
      <c r="AA133" s="170">
        <f t="shared" si="49"/>
        <v>7244.4</v>
      </c>
      <c r="AB133" s="170">
        <f t="shared" si="50"/>
        <v>52481331.359999992</v>
      </c>
      <c r="AD133" s="686">
        <f t="shared" si="51"/>
        <v>27.345058060050619</v>
      </c>
      <c r="AE133" s="687">
        <f t="shared" si="52"/>
        <v>-18.47586844030803</v>
      </c>
      <c r="AG133" s="686">
        <f t="shared" si="53"/>
        <v>22.823740918742072</v>
      </c>
      <c r="AH133" s="687">
        <f t="shared" si="54"/>
        <v>-83.60513223939229</v>
      </c>
      <c r="AJ133" s="170">
        <f t="shared" si="55"/>
        <v>0</v>
      </c>
      <c r="AK133" s="170">
        <f t="shared" si="65"/>
        <v>0</v>
      </c>
      <c r="AM133" s="170" t="str">
        <f t="shared" si="59"/>
        <v>0.013200979590092+0.161949662914269i</v>
      </c>
      <c r="AN133" s="170" t="str">
        <f t="shared" si="60"/>
        <v>0.162666078700454i</v>
      </c>
      <c r="AO133" s="170" t="str">
        <f t="shared" si="61"/>
        <v>0.995595788673899-0.0811538563882229i</v>
      </c>
      <c r="AP133" s="170" t="str">
        <f t="shared" si="62"/>
        <v>0.164466503401651-0.0269916104857115i</v>
      </c>
      <c r="AQ133" s="170" t="str">
        <f t="shared" si="63"/>
        <v>0.835533496598349+0.0269916104857115i</v>
      </c>
      <c r="AR133" s="170" t="str">
        <f t="shared" si="64"/>
        <v>0.99592846877271-0.0321731126402302i</v>
      </c>
    </row>
    <row r="134" spans="7:44">
      <c r="G134" s="688">
        <v>7328.75</v>
      </c>
      <c r="H134" s="676">
        <f t="shared" si="56"/>
        <v>7.3287500000000003</v>
      </c>
      <c r="I134" s="677">
        <f t="shared" si="34"/>
        <v>38.283554475250469</v>
      </c>
      <c r="J134" s="678">
        <f t="shared" si="35"/>
        <v>1.5446724789616371</v>
      </c>
      <c r="K134" s="678">
        <f t="shared" si="36"/>
        <v>1.0000513125708184</v>
      </c>
      <c r="L134" s="679">
        <f t="shared" si="37"/>
        <v>1.0130190202013771E-2</v>
      </c>
      <c r="M134" s="678">
        <f t="shared" si="38"/>
        <v>1.0007572285349435</v>
      </c>
      <c r="N134" s="679">
        <f t="shared" si="39"/>
        <v>-3.8903753399551537E-2</v>
      </c>
      <c r="O134" s="677">
        <f t="shared" si="40"/>
        <v>138143.68280574444</v>
      </c>
      <c r="P134" s="680">
        <f t="shared" si="41"/>
        <v>1.5707890879550184</v>
      </c>
      <c r="Q134" s="689">
        <f t="shared" si="42"/>
        <v>18.538244414563547</v>
      </c>
      <c r="R134" s="690">
        <f t="shared" si="43"/>
        <v>1.5168275916748439</v>
      </c>
      <c r="S134" s="677">
        <f t="shared" si="44"/>
        <v>1.0378342660772826</v>
      </c>
      <c r="T134" s="680">
        <f t="shared" si="45"/>
        <v>0.27084567840691398</v>
      </c>
      <c r="U134" s="681">
        <f t="shared" si="57"/>
        <v>0.99525083572517647</v>
      </c>
      <c r="V134" s="682">
        <f t="shared" si="58"/>
        <v>-0.11494380510304046</v>
      </c>
      <c r="W134" s="683">
        <f t="shared" si="46"/>
        <v>-3.5241136970342355</v>
      </c>
      <c r="X134" s="684">
        <f t="shared" si="47"/>
        <v>-115.34769281780525</v>
      </c>
      <c r="Y134" s="687">
        <f t="shared" si="48"/>
        <v>64.652307182194747</v>
      </c>
      <c r="AA134" s="170">
        <f t="shared" si="49"/>
        <v>7328.75</v>
      </c>
      <c r="AB134" s="170">
        <f t="shared" si="50"/>
        <v>53710576.5625</v>
      </c>
      <c r="AD134" s="686">
        <f t="shared" si="51"/>
        <v>27.337641468181797</v>
      </c>
      <c r="AE134" s="687">
        <f t="shared" si="52"/>
        <v>-18.610080286403747</v>
      </c>
      <c r="AG134" s="686">
        <f t="shared" si="53"/>
        <v>22.724284590489461</v>
      </c>
      <c r="AH134" s="687">
        <f t="shared" si="54"/>
        <v>-83.566022689193701</v>
      </c>
      <c r="AJ134" s="170">
        <f t="shared" si="55"/>
        <v>0</v>
      </c>
      <c r="AK134" s="170">
        <f t="shared" si="65"/>
        <v>0</v>
      </c>
      <c r="AM134" s="170" t="str">
        <f t="shared" si="59"/>
        <v>0.013509481785219+0.163818367322875i</v>
      </c>
      <c r="AN134" s="170" t="str">
        <f t="shared" si="60"/>
        <v>0.164560077339179i</v>
      </c>
      <c r="AO134" s="170" t="str">
        <f t="shared" si="61"/>
        <v>0.995492770614253-0.0820945274434592i</v>
      </c>
      <c r="AP134" s="170" t="str">
        <f t="shared" si="62"/>
        <v>0.16441508636913-0.0273030612204792i</v>
      </c>
      <c r="AQ134" s="170" t="str">
        <f t="shared" si="63"/>
        <v>0.83558491363087+0.0273030612204792i</v>
      </c>
      <c r="AR134" s="170" t="str">
        <f t="shared" si="64"/>
        <v>0.995843219199759-0.032539563527617i</v>
      </c>
    </row>
    <row r="135" spans="7:44">
      <c r="G135" s="688">
        <v>7413.1</v>
      </c>
      <c r="H135" s="676">
        <f t="shared" si="56"/>
        <v>7.4131</v>
      </c>
      <c r="I135" s="677">
        <f t="shared" si="34"/>
        <v>38.723878821244391</v>
      </c>
      <c r="J135" s="678">
        <f t="shared" si="35"/>
        <v>1.5449695963873098</v>
      </c>
      <c r="K135" s="678">
        <f t="shared" si="36"/>
        <v>1.0000525004974929</v>
      </c>
      <c r="L135" s="679">
        <f t="shared" si="37"/>
        <v>1.0246775168532837E-2</v>
      </c>
      <c r="M135" s="678">
        <f t="shared" si="38"/>
        <v>1.0007747526498638</v>
      </c>
      <c r="N135" s="679">
        <f t="shared" si="39"/>
        <v>-3.9351055359286326E-2</v>
      </c>
      <c r="O135" s="677">
        <f t="shared" si="40"/>
        <v>139733.64284586825</v>
      </c>
      <c r="P135" s="680">
        <f t="shared" si="41"/>
        <v>1.5707891703221988</v>
      </c>
      <c r="Q135" s="689">
        <f t="shared" si="42"/>
        <v>18.750992383181565</v>
      </c>
      <c r="R135" s="690">
        <f t="shared" si="43"/>
        <v>1.5174405037447989</v>
      </c>
      <c r="S135" s="677">
        <f t="shared" si="44"/>
        <v>1.0386938605550144</v>
      </c>
      <c r="T135" s="680">
        <f t="shared" si="45"/>
        <v>0.27381028679318292</v>
      </c>
      <c r="U135" s="681">
        <f t="shared" si="57"/>
        <v>0.99515078197174467</v>
      </c>
      <c r="V135" s="682">
        <f t="shared" si="58"/>
        <v>-0.11626096450947997</v>
      </c>
      <c r="W135" s="683">
        <f t="shared" si="46"/>
        <v>-3.6316336437941543</v>
      </c>
      <c r="X135" s="684">
        <f t="shared" si="47"/>
        <v>-115.59387974836989</v>
      </c>
      <c r="Y135" s="687">
        <f t="shared" si="48"/>
        <v>64.406120251630114</v>
      </c>
      <c r="AA135" s="170">
        <f t="shared" si="49"/>
        <v>7413.1</v>
      </c>
      <c r="AB135" s="170">
        <f t="shared" si="50"/>
        <v>54954051.610000007</v>
      </c>
      <c r="AD135" s="686">
        <f t="shared" si="51"/>
        <v>27.330164333038304</v>
      </c>
      <c r="AE135" s="687">
        <f t="shared" si="52"/>
        <v>-18.744827279470776</v>
      </c>
      <c r="AG135" s="686">
        <f t="shared" si="53"/>
        <v>22.625988272350916</v>
      </c>
      <c r="AH135" s="687">
        <f t="shared" si="54"/>
        <v>-83.526527276648991</v>
      </c>
      <c r="AJ135" s="170">
        <f t="shared" si="55"/>
        <v>0</v>
      </c>
      <c r="AK135" s="170">
        <f t="shared" si="65"/>
        <v>0</v>
      </c>
      <c r="AM135" s="170" t="str">
        <f t="shared" si="59"/>
        <v>0.013821522748502+0.165686484077357i</v>
      </c>
      <c r="AN135" s="170" t="str">
        <f t="shared" si="60"/>
        <v>0.166454075977905i</v>
      </c>
      <c r="AO135" s="170" t="str">
        <f t="shared" si="61"/>
        <v>0.995388566509781-0.0830350513635764i</v>
      </c>
      <c r="AP135" s="170" t="str">
        <f t="shared" si="62"/>
        <v>0.164363079541916-0.0276144140128928i</v>
      </c>
      <c r="AQ135" s="170" t="str">
        <f t="shared" si="63"/>
        <v>0.835636920458084+0.0276144140128928i</v>
      </c>
      <c r="AR135" s="170" t="str">
        <f t="shared" si="64"/>
        <v>0.99575701726018-0.0329057343658203i</v>
      </c>
    </row>
    <row r="136" spans="7:44">
      <c r="G136" s="688">
        <v>7499.45</v>
      </c>
      <c r="H136" s="676">
        <f t="shared" si="56"/>
        <v>7.4994499999999995</v>
      </c>
      <c r="I136" s="677">
        <f t="shared" si="34"/>
        <v>39.174647039017444</v>
      </c>
      <c r="J136" s="678">
        <f t="shared" si="35"/>
        <v>1.5452668400059848</v>
      </c>
      <c r="K136" s="678">
        <f t="shared" si="36"/>
        <v>1.0000537306707715</v>
      </c>
      <c r="L136" s="679">
        <f t="shared" si="37"/>
        <v>1.0366124161040728E-2</v>
      </c>
      <c r="M136" s="678">
        <f t="shared" si="38"/>
        <v>1.0007928996788347</v>
      </c>
      <c r="N136" s="679">
        <f t="shared" si="39"/>
        <v>-3.9808946854193471E-2</v>
      </c>
      <c r="O136" s="677">
        <f t="shared" si="40"/>
        <v>141361.30199779206</v>
      </c>
      <c r="P136" s="680">
        <f t="shared" si="41"/>
        <v>1.5707892527230971</v>
      </c>
      <c r="Q136" s="689">
        <f t="shared" si="42"/>
        <v>18.968791892166745</v>
      </c>
      <c r="R136" s="690">
        <f t="shared" si="43"/>
        <v>1.5180537068716922</v>
      </c>
      <c r="S136" s="677">
        <f t="shared" si="44"/>
        <v>1.0395832769989495</v>
      </c>
      <c r="T136" s="680">
        <f t="shared" si="45"/>
        <v>0.27684008243822672</v>
      </c>
      <c r="U136" s="681">
        <f t="shared" si="57"/>
        <v>0.99504719994067847</v>
      </c>
      <c r="V136" s="682">
        <f t="shared" si="58"/>
        <v>-0.11760915056372341</v>
      </c>
      <c r="W136" s="683">
        <f t="shared" si="46"/>
        <v>-3.7406116070145607</v>
      </c>
      <c r="X136" s="684">
        <f t="shared" si="47"/>
        <v>-115.84601825429171</v>
      </c>
      <c r="Y136" s="687">
        <f t="shared" si="48"/>
        <v>64.153981745708293</v>
      </c>
      <c r="AA136" s="170">
        <f t="shared" si="49"/>
        <v>7499.45</v>
      </c>
      <c r="AB136" s="170">
        <f t="shared" si="50"/>
        <v>56241750.302499995</v>
      </c>
      <c r="AD136" s="686">
        <f t="shared" si="51"/>
        <v>27.322447114435636</v>
      </c>
      <c r="AE136" s="687">
        <f t="shared" si="52"/>
        <v>-18.883292552945615</v>
      </c>
      <c r="AG136" s="686">
        <f t="shared" si="53"/>
        <v>22.52653579424598</v>
      </c>
      <c r="AH136" s="687">
        <f t="shared" si="54"/>
        <v>-83.485709767106343</v>
      </c>
      <c r="AJ136" s="170">
        <f t="shared" si="55"/>
        <v>0</v>
      </c>
      <c r="AK136" s="170">
        <f t="shared" si="65"/>
        <v>0</v>
      </c>
      <c r="AM136" s="170" t="str">
        <f t="shared" si="59"/>
        <v>0.014144626884865+0.167598279525826i</v>
      </c>
      <c r="AN136" s="170" t="str">
        <f t="shared" si="60"/>
        <v>0.168392982705278i</v>
      </c>
      <c r="AO136" s="170" t="str">
        <f t="shared" si="61"/>
        <v>0.995280663322872-0.0839977216249027i</v>
      </c>
      <c r="AP136" s="170" t="str">
        <f t="shared" si="62"/>
        <v>0.164309228852522-0.0279330465876377i</v>
      </c>
      <c r="AQ136" s="170" t="str">
        <f t="shared" si="63"/>
        <v>0.835690771147478+0.0279330465876377i</v>
      </c>
      <c r="AR136" s="170" t="str">
        <f t="shared" si="64"/>
        <v>0.99566778612553-0.0332802941182013i</v>
      </c>
    </row>
    <row r="137" spans="7:44">
      <c r="G137" s="688">
        <v>7585.8</v>
      </c>
      <c r="H137" s="676">
        <f t="shared" si="56"/>
        <v>7.5857999999999999</v>
      </c>
      <c r="I137" s="677">
        <f t="shared" si="34"/>
        <v>39.625418639270023</v>
      </c>
      <c r="J137" s="678">
        <f t="shared" si="35"/>
        <v>1.5455573208704805</v>
      </c>
      <c r="K137" s="678">
        <f t="shared" si="36"/>
        <v>1.0000549750889625</v>
      </c>
      <c r="L137" s="679">
        <f t="shared" si="37"/>
        <v>1.0485472858224857E-2</v>
      </c>
      <c r="M137" s="678">
        <f t="shared" si="38"/>
        <v>1.0008112565310348</v>
      </c>
      <c r="N137" s="679">
        <f t="shared" si="39"/>
        <v>-4.0266821647831755E-2</v>
      </c>
      <c r="O137" s="677">
        <f t="shared" si="40"/>
        <v>142988.96114971678</v>
      </c>
      <c r="P137" s="680">
        <f t="shared" si="41"/>
        <v>1.5707893332480385</v>
      </c>
      <c r="Q137" s="689">
        <f t="shared" si="42"/>
        <v>19.186598371825276</v>
      </c>
      <c r="R137" s="690">
        <f t="shared" si="43"/>
        <v>1.5186529880421498</v>
      </c>
      <c r="S137" s="677">
        <f t="shared" si="44"/>
        <v>1.0404822200995982</v>
      </c>
      <c r="T137" s="680">
        <f t="shared" si="45"/>
        <v>0.2798646705166325</v>
      </c>
      <c r="U137" s="681">
        <f t="shared" si="57"/>
        <v>0.99494244947605281</v>
      </c>
      <c r="V137" s="682">
        <f t="shared" si="58"/>
        <v>-0.11895712776296569</v>
      </c>
      <c r="W137" s="683">
        <f t="shared" si="46"/>
        <v>-3.8485121393496136</v>
      </c>
      <c r="X137" s="684">
        <f t="shared" si="47"/>
        <v>-116.09825556671179</v>
      </c>
      <c r="Y137" s="687">
        <f t="shared" si="48"/>
        <v>63.901744433288215</v>
      </c>
      <c r="AA137" s="170">
        <f t="shared" si="49"/>
        <v>7585.8</v>
      </c>
      <c r="AB137" s="170">
        <f t="shared" si="50"/>
        <v>57544361.640000001</v>
      </c>
      <c r="AD137" s="686">
        <f t="shared" si="51"/>
        <v>27.314666310683073</v>
      </c>
      <c r="AE137" s="687">
        <f t="shared" si="52"/>
        <v>-19.022257016693054</v>
      </c>
      <c r="AG137" s="686">
        <f t="shared" si="53"/>
        <v>22.428244921359074</v>
      </c>
      <c r="AH137" s="687">
        <f t="shared" si="54"/>
        <v>-83.444515806809591</v>
      </c>
      <c r="AJ137" s="170">
        <f t="shared" si="55"/>
        <v>0</v>
      </c>
      <c r="AK137" s="170">
        <f t="shared" si="65"/>
        <v>0</v>
      </c>
      <c r="AM137" s="170" t="str">
        <f t="shared" si="59"/>
        <v>0.014471437204629+0.169509444912343i</v>
      </c>
      <c r="AN137" s="170" t="str">
        <f t="shared" si="60"/>
        <v>0.170331889432652i</v>
      </c>
      <c r="AO137" s="170" t="str">
        <f t="shared" si="61"/>
        <v>0.995171517658564-0.0849602341219311i</v>
      </c>
      <c r="AP137" s="170" t="str">
        <f t="shared" si="62"/>
        <v>0.164254760465895-0.0282515741520572i</v>
      </c>
      <c r="AQ137" s="170" t="str">
        <f t="shared" si="63"/>
        <v>0.835745239534105+0.0282515741520572i</v>
      </c>
      <c r="AR137" s="170" t="str">
        <f t="shared" si="64"/>
        <v>0.995577559421864-0.0336545539401581i</v>
      </c>
    </row>
    <row r="138" spans="7:44">
      <c r="G138" s="688">
        <v>7674.15</v>
      </c>
      <c r="H138" s="676">
        <f t="shared" si="56"/>
        <v>7.67415</v>
      </c>
      <c r="I138" s="677">
        <f t="shared" si="34"/>
        <v>40.086634191190569</v>
      </c>
      <c r="J138" s="678">
        <f t="shared" si="35"/>
        <v>1.5458477681008971</v>
      </c>
      <c r="K138" s="678">
        <f t="shared" si="36"/>
        <v>1.0000562630733889</v>
      </c>
      <c r="L138" s="679">
        <f t="shared" si="37"/>
        <v>1.0607585547235645E-2</v>
      </c>
      <c r="M138" s="678">
        <f t="shared" si="38"/>
        <v>1.0008302557136324</v>
      </c>
      <c r="N138" s="679">
        <f t="shared" si="39"/>
        <v>-4.0735284046964547E-2</v>
      </c>
      <c r="O138" s="677">
        <f t="shared" si="40"/>
        <v>144654.31941344152</v>
      </c>
      <c r="P138" s="680">
        <f t="shared" si="41"/>
        <v>1.5707894137624752</v>
      </c>
      <c r="Q138" s="689">
        <f t="shared" si="42"/>
        <v>19.409456557511675</v>
      </c>
      <c r="R138" s="690">
        <f t="shared" si="43"/>
        <v>1.5192522285181138</v>
      </c>
      <c r="S138" s="677">
        <f t="shared" si="44"/>
        <v>1.0414118185751662</v>
      </c>
      <c r="T138" s="680">
        <f t="shared" si="45"/>
        <v>0.28295387928790178</v>
      </c>
      <c r="U138" s="681">
        <f t="shared" si="57"/>
        <v>0.99483406459197632</v>
      </c>
      <c r="V138" s="682">
        <f t="shared" si="58"/>
        <v>-0.12033610762346462</v>
      </c>
      <c r="W138" s="683">
        <f t="shared" si="46"/>
        <v>-3.9578237665852187</v>
      </c>
      <c r="X138" s="684">
        <f t="shared" si="47"/>
        <v>-116.35642035772639</v>
      </c>
      <c r="Y138" s="687">
        <f t="shared" si="48"/>
        <v>63.643579642273608</v>
      </c>
      <c r="AA138" s="170">
        <f t="shared" si="49"/>
        <v>7674.15</v>
      </c>
      <c r="AB138" s="170">
        <f t="shared" si="50"/>
        <v>58892578.222499996</v>
      </c>
      <c r="AD138" s="686">
        <f t="shared" si="51"/>
        <v>27.306639451843843</v>
      </c>
      <c r="AE138" s="687">
        <f t="shared" si="52"/>
        <v>-19.164926304435863</v>
      </c>
      <c r="AG138" s="686">
        <f t="shared" si="53"/>
        <v>22.328852665284145</v>
      </c>
      <c r="AH138" s="687">
        <f t="shared" si="54"/>
        <v>-83.40199185782059</v>
      </c>
      <c r="AJ138" s="170">
        <f t="shared" si="55"/>
        <v>0</v>
      </c>
      <c r="AK138" s="170">
        <f t="shared" si="65"/>
        <v>0</v>
      </c>
      <c r="AM138" s="170" t="str">
        <f t="shared" si="59"/>
        <v>0.014809651615984+0.171464216240535i</v>
      </c>
      <c r="AN138" s="170" t="str">
        <f t="shared" si="60"/>
        <v>0.172315704248673i</v>
      </c>
      <c r="AO138" s="170" t="str">
        <f t="shared" si="61"/>
        <v>0.995058558290722-0.0859448747318575i</v>
      </c>
      <c r="AP138" s="170" t="str">
        <f t="shared" si="62"/>
        <v>0.164198391397336-0.0285773693734225i</v>
      </c>
      <c r="AQ138" s="170" t="str">
        <f t="shared" si="63"/>
        <v>0.835801608602664+0.0285773693734225i</v>
      </c>
      <c r="AR138" s="170" t="str">
        <f t="shared" si="64"/>
        <v>0.995484213840894-0.0340371683800701i</v>
      </c>
    </row>
    <row r="139" spans="7:44">
      <c r="G139" s="688">
        <v>7762.5</v>
      </c>
      <c r="H139" s="676">
        <f t="shared" si="56"/>
        <v>7.7625000000000002</v>
      </c>
      <c r="I139" s="677">
        <f t="shared" si="34"/>
        <v>40.547853047872351</v>
      </c>
      <c r="J139" s="678">
        <f t="shared" si="35"/>
        <v>1.5461316078661493</v>
      </c>
      <c r="K139" s="678">
        <f t="shared" si="36"/>
        <v>1.0000575659701245</v>
      </c>
      <c r="L139" s="679">
        <f t="shared" si="37"/>
        <v>1.0729697919885175E-2</v>
      </c>
      <c r="M139" s="678">
        <f t="shared" si="38"/>
        <v>1.0008494745270879</v>
      </c>
      <c r="N139" s="679">
        <f t="shared" si="39"/>
        <v>-4.1203728557597734E-2</v>
      </c>
      <c r="O139" s="677">
        <f t="shared" si="40"/>
        <v>146319.67767716717</v>
      </c>
      <c r="P139" s="680">
        <f t="shared" si="41"/>
        <v>1.5707894924441388</v>
      </c>
      <c r="Q139" s="689">
        <f t="shared" si="42"/>
        <v>19.632321554686847</v>
      </c>
      <c r="R139" s="690">
        <f t="shared" si="43"/>
        <v>1.5198378641128418</v>
      </c>
      <c r="S139" s="677">
        <f t="shared" si="44"/>
        <v>1.0423513376812972</v>
      </c>
      <c r="T139" s="680">
        <f t="shared" si="45"/>
        <v>0.28603754855196484</v>
      </c>
      <c r="U139" s="681">
        <f t="shared" si="57"/>
        <v>0.99472445877784788</v>
      </c>
      <c r="V139" s="682">
        <f t="shared" si="58"/>
        <v>-0.12171486394055785</v>
      </c>
      <c r="W139" s="683">
        <f t="shared" si="46"/>
        <v>-4.0660615499341972</v>
      </c>
      <c r="X139" s="684">
        <f t="shared" si="47"/>
        <v>-116.61465476085276</v>
      </c>
      <c r="Y139" s="687">
        <f t="shared" si="48"/>
        <v>63.385345239147242</v>
      </c>
      <c r="AA139" s="170">
        <f t="shared" si="49"/>
        <v>7762.5</v>
      </c>
      <c r="AB139" s="170">
        <f t="shared" si="50"/>
        <v>60256406.25</v>
      </c>
      <c r="AD139" s="686">
        <f t="shared" si="51"/>
        <v>27.298545998597916</v>
      </c>
      <c r="AE139" s="687">
        <f t="shared" si="52"/>
        <v>-19.308057599061137</v>
      </c>
      <c r="AG139" s="686">
        <f t="shared" si="53"/>
        <v>22.230622375899159</v>
      </c>
      <c r="AH139" s="687">
        <f t="shared" si="54"/>
        <v>-83.359101130248277</v>
      </c>
      <c r="AJ139" s="170">
        <f t="shared" si="55"/>
        <v>0</v>
      </c>
      <c r="AK139" s="170">
        <f t="shared" si="65"/>
        <v>0</v>
      </c>
      <c r="AM139" s="170" t="str">
        <f t="shared" si="59"/>
        <v>0.015151743263593+0.173418312767886i</v>
      </c>
      <c r="AN139" s="170" t="str">
        <f t="shared" si="60"/>
        <v>0.174299519064694i</v>
      </c>
      <c r="AO139" s="170" t="str">
        <f t="shared" si="61"/>
        <v>0.994944298747715-0.086929346362506i</v>
      </c>
      <c r="AP139" s="170" t="str">
        <f t="shared" si="62"/>
        <v>0.164141376122734-0.028903052127981i</v>
      </c>
      <c r="AQ139" s="170" t="str">
        <f t="shared" si="63"/>
        <v>0.835858623877266+0.028903052127981i</v>
      </c>
      <c r="AR139" s="170" t="str">
        <f t="shared" si="64"/>
        <v>0.995389828769557-0.0344194619601281i</v>
      </c>
    </row>
    <row r="140" spans="7:44">
      <c r="G140" s="688">
        <v>7852.9</v>
      </c>
      <c r="H140" s="676">
        <f t="shared" si="56"/>
        <v>7.8529</v>
      </c>
      <c r="I140" s="677">
        <f t="shared" si="34"/>
        <v>41.019776948125674</v>
      </c>
      <c r="J140" s="678">
        <f t="shared" si="35"/>
        <v>1.5464154268325134</v>
      </c>
      <c r="K140" s="678">
        <f t="shared" si="36"/>
        <v>1.0000589145334755</v>
      </c>
      <c r="L140" s="679">
        <f t="shared" si="37"/>
        <v>1.0854643355325716E-2</v>
      </c>
      <c r="M140" s="678">
        <f t="shared" si="38"/>
        <v>1.0008693665989052</v>
      </c>
      <c r="N140" s="679">
        <f t="shared" si="39"/>
        <v>-4.168302373619176E-2</v>
      </c>
      <c r="O140" s="677">
        <f t="shared" si="40"/>
        <v>148023.67753048785</v>
      </c>
      <c r="P140" s="680">
        <f t="shared" si="41"/>
        <v>1.5707895711189352</v>
      </c>
      <c r="Q140" s="689">
        <f t="shared" si="42"/>
        <v>19.860364537311916</v>
      </c>
      <c r="R140" s="690">
        <f t="shared" si="43"/>
        <v>1.5204234835756101</v>
      </c>
      <c r="S140" s="677">
        <f t="shared" si="44"/>
        <v>1.0433228972374067</v>
      </c>
      <c r="T140" s="680">
        <f t="shared" si="45"/>
        <v>0.28918698944126014</v>
      </c>
      <c r="U140" s="681">
        <f t="shared" si="57"/>
        <v>0.99461104721764215</v>
      </c>
      <c r="V140" s="682">
        <f t="shared" si="58"/>
        <v>-0.12312537780936357</v>
      </c>
      <c r="W140" s="683">
        <f t="shared" si="46"/>
        <v>-4.1757263293177784</v>
      </c>
      <c r="X140" s="684">
        <f t="shared" si="47"/>
        <v>-116.87893628135366</v>
      </c>
      <c r="Y140" s="687">
        <f t="shared" si="48"/>
        <v>63.12106371864634</v>
      </c>
      <c r="AA140" s="170">
        <f t="shared" si="49"/>
        <v>7852.9</v>
      </c>
      <c r="AB140" s="170">
        <f t="shared" si="50"/>
        <v>61668038.409999996</v>
      </c>
      <c r="AD140" s="686">
        <f t="shared" si="51"/>
        <v>27.290195847990255</v>
      </c>
      <c r="AE140" s="687">
        <f t="shared" si="52"/>
        <v>-19.454958254128002</v>
      </c>
      <c r="AG140" s="686">
        <f t="shared" si="53"/>
        <v>22.131288469417143</v>
      </c>
      <c r="AH140" s="687">
        <f t="shared" si="54"/>
        <v>-83.314849012243144</v>
      </c>
      <c r="AJ140" s="170">
        <f t="shared" si="55"/>
        <v>0</v>
      </c>
      <c r="AK140" s="170">
        <f t="shared" si="65"/>
        <v>0</v>
      </c>
      <c r="AM140" s="170" t="str">
        <f t="shared" si="59"/>
        <v>0.015505784343424+0.175417044037183i</v>
      </c>
      <c r="AN140" s="170" t="str">
        <f t="shared" si="60"/>
        <v>0.17632936467158i</v>
      </c>
      <c r="AO140" s="170" t="str">
        <f t="shared" si="61"/>
        <v>0.994826042525043-0.0879364839333715i</v>
      </c>
      <c r="AP140" s="170" t="str">
        <f t="shared" si="62"/>
        <v>0.164082369276096-0.0292361740061972i</v>
      </c>
      <c r="AQ140" s="170" t="str">
        <f t="shared" si="63"/>
        <v>0.835917630723904+0.0292361740061972i</v>
      </c>
      <c r="AR140" s="170" t="str">
        <f t="shared" si="64"/>
        <v>0.995292179179194-0.034810290234327i</v>
      </c>
    </row>
    <row r="141" spans="7:44">
      <c r="G141" s="688">
        <v>7943.3</v>
      </c>
      <c r="H141" s="676">
        <f t="shared" si="56"/>
        <v>7.9432999999999998</v>
      </c>
      <c r="I141" s="677">
        <f t="shared" ref="I141:I204" si="66">SQRT(1+(G141/pole1)^2)</f>
        <v>41.491704077488187</v>
      </c>
      <c r="J141" s="678">
        <f t="shared" ref="J141:J204" si="67">ATAN(G141/pole1)</f>
        <v>1.5466927895002864</v>
      </c>
      <c r="K141" s="678">
        <f t="shared" ref="K141:K204" si="68">SQRT(1+(G141/Zero1)^2)</f>
        <v>1.0000602787090658</v>
      </c>
      <c r="L141" s="679">
        <f t="shared" ref="L141:L204" si="69">ATAN(G141/Zero1)</f>
        <v>1.0979588451842338E-2</v>
      </c>
      <c r="M141" s="678">
        <f t="shared" ref="M141:M204" si="70">SQRT(1+(G141/z_RHP)^2)</f>
        <v>1.0008894885851352</v>
      </c>
      <c r="N141" s="679">
        <f t="shared" ref="N141:N204" si="71">-ATAN(G141/z_RHP)</f>
        <v>-4.2162299753283158E-2</v>
      </c>
      <c r="O141" s="677">
        <f t="shared" ref="O141:O204" si="72">SQRT(1+(G141/Pole2)^2)</f>
        <v>149727.67738380941</v>
      </c>
      <c r="P141" s="680">
        <f t="shared" ref="P141:P204" si="73">ATAN(G141/Pole2)</f>
        <v>1.5707896480029893</v>
      </c>
      <c r="Q141" s="689">
        <f t="shared" ref="Q141:Q147" si="74">SQRT(1+(G141/Zero2)^2)</f>
        <v>20.088414176411664</v>
      </c>
      <c r="R141" s="690">
        <f t="shared" ref="R141:R147" si="75">ATAN(G141/Zero2)</f>
        <v>1.5209958069791043</v>
      </c>
      <c r="S141" s="677">
        <f t="shared" ref="S141:S204" si="76">SQRT(1+(G141/pole4)^2)</f>
        <v>1.0443047861748445</v>
      </c>
      <c r="T141" s="680">
        <f t="shared" ref="T141:T204" si="77">ATAN(G141/pole4)</f>
        <v>0.29233053905156631</v>
      </c>
      <c r="U141" s="681">
        <f t="shared" si="57"/>
        <v>0.99449635987953233</v>
      </c>
      <c r="V141" s="682">
        <f t="shared" si="58"/>
        <v>-0.12453565240404009</v>
      </c>
      <c r="W141" s="683">
        <f t="shared" ref="W141:W204" si="78">20*LOG10(((K141*Q141*M141*U141)/(I141*O141*S141))*Adc)</f>
        <v>-4.284320810848059</v>
      </c>
      <c r="X141" s="684">
        <f t="shared" ref="X141:X204" si="79">((L141+R141+N141+V141)-(J141+P141+T141))*radconv</f>
        <v>-117.14325725539855</v>
      </c>
      <c r="Y141" s="687">
        <f t="shared" ref="Y141:Y204" si="80">IF(X141&gt;0,X141,X141+180)</f>
        <v>62.856742744601448</v>
      </c>
      <c r="AA141" s="170">
        <f t="shared" ref="AA141:AA204" si="81">IF(W141&lt;0,G141,1000000000)</f>
        <v>7943.3</v>
      </c>
      <c r="AB141" s="170">
        <f t="shared" ref="AB141:AB204" si="82">G141^2</f>
        <v>63096014.890000001</v>
      </c>
      <c r="AD141" s="686">
        <f t="shared" ref="AD141:AD204" si="83">20*LOG10((Q141/(O141*S141))*Aea)</f>
        <v>27.28177605732245</v>
      </c>
      <c r="AE141" s="687">
        <f t="shared" ref="AE141:AE204" si="84">(R141-(P141+T141))*radconv</f>
        <v>-19.6022830692519</v>
      </c>
      <c r="AG141" s="686">
        <f t="shared" ref="AG141:AG204" si="85">20*LOG10((K141*M141/(I141*U141))*Acs*Am)</f>
        <v>22.033117011882844</v>
      </c>
      <c r="AH141" s="687">
        <f t="shared" ref="AH141:AH204" si="86">(L141+N141-(J141+V141))*radconv</f>
        <v>-83.270239606520491</v>
      </c>
      <c r="AJ141" s="170">
        <f t="shared" ref="AJ141:AJ204" si="87">SUM((W142&lt;0)*(W141&gt;0))*G141</f>
        <v>0</v>
      </c>
      <c r="AK141" s="170">
        <f t="shared" si="65"/>
        <v>0</v>
      </c>
      <c r="AM141" s="170" t="str">
        <f t="shared" si="59"/>
        <v>0.0158638818069819+0.177415052540584i</v>
      </c>
      <c r="AN141" s="170" t="str">
        <f t="shared" si="60"/>
        <v>0.178359210278465i</v>
      </c>
      <c r="AO141" s="170" t="str">
        <f t="shared" si="61"/>
        <v>0.994706425665336-0.0889434404997324i</v>
      </c>
      <c r="AP141" s="170" t="str">
        <f t="shared" si="62"/>
        <v>0.164022686365503-0.0295691754234307i</v>
      </c>
      <c r="AQ141" s="170" t="str">
        <f t="shared" si="63"/>
        <v>0.835977313634497+0.0295691754234307i</v>
      </c>
      <c r="AR141" s="170" t="str">
        <f t="shared" si="64"/>
        <v>0.995193444286733-0.0352007752536077i</v>
      </c>
    </row>
    <row r="142" spans="7:44">
      <c r="G142" s="688">
        <v>8035.8</v>
      </c>
      <c r="H142" s="676">
        <f t="shared" ref="H142:H205" si="88">G142/1000</f>
        <v>8.0358000000000001</v>
      </c>
      <c r="I142" s="677">
        <f t="shared" si="66"/>
        <v>41.974597344714674</v>
      </c>
      <c r="J142" s="678">
        <f t="shared" si="67"/>
        <v>1.5469701394323947</v>
      </c>
      <c r="K142" s="678">
        <f t="shared" si="68"/>
        <v>1.0000616907349715</v>
      </c>
      <c r="L142" s="679">
        <f t="shared" si="69"/>
        <v>1.1107435679115006E-2</v>
      </c>
      <c r="M142" s="678">
        <f t="shared" si="70"/>
        <v>1.0009103159802661</v>
      </c>
      <c r="N142" s="679">
        <f t="shared" si="71"/>
        <v>-4.2652689331839057E-2</v>
      </c>
      <c r="O142" s="677">
        <f t="shared" si="72"/>
        <v>151471.26130452097</v>
      </c>
      <c r="P142" s="680">
        <f t="shared" si="73"/>
        <v>1.5707897248824849</v>
      </c>
      <c r="Q142" s="689">
        <f t="shared" si="74"/>
        <v>20.321768085264544</v>
      </c>
      <c r="R142" s="690">
        <f t="shared" si="75"/>
        <v>1.5215681291005534</v>
      </c>
      <c r="S142" s="677">
        <f t="shared" si="76"/>
        <v>1.0453201462112156</v>
      </c>
      <c r="T142" s="680">
        <f t="shared" si="77"/>
        <v>0.29554096805200358</v>
      </c>
      <c r="U142" s="681">
        <f t="shared" ref="U142:U205" si="89">IMABS(IMPRODUCT(AO142, AR142))</f>
        <v>0.99437768909063562</v>
      </c>
      <c r="V142" s="682">
        <f t="shared" ref="V142:V205" si="90">IMARGUMENT(IMPRODUCT(AO142, AR142))</f>
        <v>-0.12597843736937966</v>
      </c>
      <c r="W142" s="683">
        <f t="shared" si="78"/>
        <v>-4.3943570563148544</v>
      </c>
      <c r="X142" s="684">
        <f t="shared" si="79"/>
        <v>-117.41374266708894</v>
      </c>
      <c r="Y142" s="687">
        <f t="shared" si="80"/>
        <v>62.58625733291106</v>
      </c>
      <c r="AA142" s="170">
        <f t="shared" si="81"/>
        <v>8035.8</v>
      </c>
      <c r="AB142" s="170">
        <f t="shared" si="82"/>
        <v>64574081.640000001</v>
      </c>
      <c r="AD142" s="686">
        <f t="shared" si="83"/>
        <v>27.273088671810918</v>
      </c>
      <c r="AE142" s="687">
        <f t="shared" si="84"/>
        <v>-19.75343986436571</v>
      </c>
      <c r="AG142" s="686">
        <f t="shared" si="85"/>
        <v>21.933841207036085</v>
      </c>
      <c r="AH142" s="687">
        <f t="shared" si="86"/>
        <v>-83.224237244390352</v>
      </c>
      <c r="AJ142" s="170">
        <f t="shared" si="87"/>
        <v>0</v>
      </c>
      <c r="AK142" s="170">
        <f t="shared" si="65"/>
        <v>0</v>
      </c>
      <c r="AM142" s="170" t="str">
        <f t="shared" ref="AM142:AM205" si="91">IMSUB(1,IMEXP(COMPLEX(0,-2*Pi*G142*Tsw)))</f>
        <v>0.016234495190556+0.179458718225169i</v>
      </c>
      <c r="AN142" s="170" t="str">
        <f t="shared" ref="AN142:AN205" si="92">COMPLEX(0, 2*Pi*G142*Tsw)</f>
        <v>0.180436209378431i</v>
      </c>
      <c r="AO142" s="170" t="str">
        <f t="shared" ref="AO142:AO205" si="93">IMDIV(AM142, AN142)</f>
        <v>0.994582621987963-0.0899735992375411i</v>
      </c>
      <c r="AP142" s="170" t="str">
        <f t="shared" ref="AP142:AP205" si="94">IMDIV(IMEXP(COMPLEX(0,-2*Pi*G142*Tsw)),6)</f>
        <v>0.163960917468241-0.0299097863708615i</v>
      </c>
      <c r="AQ142" s="170" t="str">
        <f t="shared" ref="AQ142:AQ205" si="95">IMSUB(1, AP142)</f>
        <v>0.836039082531759+0.0299097863708615i</v>
      </c>
      <c r="AR142" s="170" t="str">
        <f t="shared" ref="AR142:AR205" si="96">IMDIV(0.833, AQ142)</f>
        <v>0.995091293962021-0.0355999721110856i</v>
      </c>
    </row>
    <row r="143" spans="7:44">
      <c r="G143" s="688">
        <v>8128.3</v>
      </c>
      <c r="H143" s="676">
        <f t="shared" si="88"/>
        <v>8.1282999999999994</v>
      </c>
      <c r="I143" s="677">
        <f t="shared" si="66"/>
        <v>42.457493767306111</v>
      </c>
      <c r="J143" s="678">
        <f t="shared" si="67"/>
        <v>1.5472411804261326</v>
      </c>
      <c r="K143" s="678">
        <f t="shared" si="68"/>
        <v>1.0000631191067528</v>
      </c>
      <c r="L143" s="679">
        <f t="shared" si="69"/>
        <v>1.1235282543273623E-2</v>
      </c>
      <c r="M143" s="678">
        <f t="shared" si="70"/>
        <v>1.0009313840661997</v>
      </c>
      <c r="N143" s="679">
        <f t="shared" si="71"/>
        <v>-4.314305838440359E-2</v>
      </c>
      <c r="O143" s="677">
        <f t="shared" si="72"/>
        <v>153214.84522523341</v>
      </c>
      <c r="P143" s="680">
        <f t="shared" si="73"/>
        <v>1.5707898000122045</v>
      </c>
      <c r="Q143" s="689">
        <f t="shared" si="74"/>
        <v>20.555128499428527</v>
      </c>
      <c r="R143" s="690">
        <f t="shared" si="75"/>
        <v>1.5221274563647997</v>
      </c>
      <c r="S143" s="677">
        <f t="shared" si="76"/>
        <v>1.0463462592355861</v>
      </c>
      <c r="T143" s="680">
        <f t="shared" si="77"/>
        <v>0.29874513332596292</v>
      </c>
      <c r="U143" s="681">
        <f t="shared" si="89"/>
        <v>0.99425768526349401</v>
      </c>
      <c r="V143" s="682">
        <f t="shared" si="90"/>
        <v>-0.12742096622057109</v>
      </c>
      <c r="W143" s="683">
        <f t="shared" si="78"/>
        <v>-4.5033265407659657</v>
      </c>
      <c r="X143" s="684">
        <f t="shared" si="79"/>
        <v>-117.68423633885703</v>
      </c>
      <c r="Y143" s="687">
        <f t="shared" si="80"/>
        <v>62.315763661142967</v>
      </c>
      <c r="AA143" s="170">
        <f t="shared" si="81"/>
        <v>8128.3</v>
      </c>
      <c r="AB143" s="170">
        <f t="shared" si="82"/>
        <v>66069260.890000001</v>
      </c>
      <c r="AD143" s="686">
        <f t="shared" si="83"/>
        <v>27.264328567625764</v>
      </c>
      <c r="AE143" s="687">
        <f t="shared" si="84"/>
        <v>-19.904982224607057</v>
      </c>
      <c r="AG143" s="686">
        <f t="shared" si="85"/>
        <v>21.835728420270179</v>
      </c>
      <c r="AH143" s="687">
        <f t="shared" si="86"/>
        <v>-83.177886925729979</v>
      </c>
      <c r="AJ143" s="170">
        <f t="shared" si="87"/>
        <v>0</v>
      </c>
      <c r="AK143" s="170">
        <f t="shared" si="65"/>
        <v>0</v>
      </c>
      <c r="AM143" s="170" t="str">
        <f t="shared" si="91"/>
        <v>0.016609352463467+0.181501609738533i</v>
      </c>
      <c r="AN143" s="170" t="str">
        <f t="shared" si="92"/>
        <v>0.182513208478397i</v>
      </c>
      <c r="AO143" s="170" t="str">
        <f t="shared" si="93"/>
        <v>0.99445739435355-0.091003564081407i</v>
      </c>
      <c r="AP143" s="170" t="str">
        <f t="shared" si="94"/>
        <v>0.163898441256089-0.0302502682897555i</v>
      </c>
      <c r="AQ143" s="170" t="str">
        <f t="shared" si="95"/>
        <v>0.836101558743911+0.0302502682897555i</v>
      </c>
      <c r="AR143" s="170" t="str">
        <f t="shared" si="96"/>
        <v>0.994988010593359-0.0359988017613039i</v>
      </c>
    </row>
    <row r="144" spans="7:44">
      <c r="G144" s="688">
        <v>8222.9500000000007</v>
      </c>
      <c r="H144" s="676">
        <f t="shared" si="88"/>
        <v>8.2229500000000009</v>
      </c>
      <c r="I144" s="677">
        <f t="shared" si="66"/>
        <v>42.951617424119611</v>
      </c>
      <c r="J144" s="678">
        <f t="shared" si="67"/>
        <v>1.5475122126212877</v>
      </c>
      <c r="K144" s="678">
        <f t="shared" si="68"/>
        <v>1.0000645975986415</v>
      </c>
      <c r="L144" s="679">
        <f t="shared" si="69"/>
        <v>1.1366100602963714E-2</v>
      </c>
      <c r="M144" s="678">
        <f t="shared" si="70"/>
        <v>1.0009531909743954</v>
      </c>
      <c r="N144" s="679">
        <f t="shared" si="71"/>
        <v>-4.3644803712316924E-2</v>
      </c>
      <c r="O144" s="677">
        <f t="shared" si="72"/>
        <v>154998.95569113086</v>
      </c>
      <c r="P144" s="680">
        <f t="shared" si="73"/>
        <v>1.5707898751385254</v>
      </c>
      <c r="Q144" s="689">
        <f t="shared" si="74"/>
        <v>20.793919471867486</v>
      </c>
      <c r="R144" s="690">
        <f t="shared" si="75"/>
        <v>1.5226867888046631</v>
      </c>
      <c r="S144" s="677">
        <f t="shared" si="76"/>
        <v>1.0474073202797298</v>
      </c>
      <c r="T144" s="680">
        <f t="shared" si="77"/>
        <v>0.30201724066865843</v>
      </c>
      <c r="U144" s="681">
        <f t="shared" si="89"/>
        <v>0.99413351373132852</v>
      </c>
      <c r="V144" s="682">
        <f t="shared" si="90"/>
        <v>-0.12889675606317549</v>
      </c>
      <c r="W144" s="683">
        <f t="shared" si="78"/>
        <v>-4.6137515145767169</v>
      </c>
      <c r="X144" s="684">
        <f t="shared" si="79"/>
        <v>-117.96100929359528</v>
      </c>
      <c r="Y144" s="687">
        <f t="shared" si="80"/>
        <v>62.038990706404718</v>
      </c>
      <c r="AA144" s="170">
        <f t="shared" si="81"/>
        <v>8222.9500000000007</v>
      </c>
      <c r="AB144" s="170">
        <f t="shared" si="82"/>
        <v>67616906.702500015</v>
      </c>
      <c r="AD144" s="686">
        <f t="shared" si="83"/>
        <v>27.255289718187864</v>
      </c>
      <c r="AE144" s="687">
        <f t="shared" si="84"/>
        <v>-20.060417081907069</v>
      </c>
      <c r="AG144" s="686">
        <f t="shared" si="85"/>
        <v>21.736511970006781</v>
      </c>
      <c r="AH144" s="687">
        <f t="shared" si="86"/>
        <v>-83.130111964115954</v>
      </c>
      <c r="AJ144" s="170">
        <f t="shared" si="87"/>
        <v>0</v>
      </c>
      <c r="AK144" s="170">
        <f t="shared" si="65"/>
        <v>0</v>
      </c>
      <c r="AM144" s="170" t="str">
        <f t="shared" si="91"/>
        <v>0.016997313946493+0.183591174111368i</v>
      </c>
      <c r="AN144" s="170" t="str">
        <f t="shared" si="92"/>
        <v>0.184638483773659i</v>
      </c>
      <c r="AO144" s="170" t="str">
        <f t="shared" si="93"/>
        <v>0.994327782372959-0.092057265631196i</v>
      </c>
      <c r="AP144" s="170" t="str">
        <f t="shared" si="94"/>
        <v>0.163833781008918-0.0305985290185613i</v>
      </c>
      <c r="AQ144" s="170" t="str">
        <f t="shared" si="95"/>
        <v>0.836166218991082+0.0305985290185613i</v>
      </c>
      <c r="AR144" s="170" t="str">
        <f t="shared" si="96"/>
        <v>0.994881155481383-0.0364065172864171i</v>
      </c>
    </row>
    <row r="145" spans="7:44">
      <c r="G145" s="688">
        <v>8270.2750000000015</v>
      </c>
      <c r="H145" s="676">
        <f t="shared" si="88"/>
        <v>8.2702750000000016</v>
      </c>
      <c r="I145" s="677">
        <f t="shared" si="66"/>
        <v>43.198680415410465</v>
      </c>
      <c r="J145" s="678">
        <f t="shared" si="67"/>
        <v>1.5476454035835927</v>
      </c>
      <c r="K145" s="678">
        <f t="shared" si="68"/>
        <v>1.0000653432624977</v>
      </c>
      <c r="L145" s="679">
        <f t="shared" si="69"/>
        <v>1.1431509487198475E-2</v>
      </c>
      <c r="M145" s="678">
        <f t="shared" si="70"/>
        <v>1.0009641889210257</v>
      </c>
      <c r="N145" s="679">
        <f t="shared" si="71"/>
        <v>-4.3895668146465242E-2</v>
      </c>
      <c r="O145" s="677">
        <f t="shared" si="72"/>
        <v>155891.01092407989</v>
      </c>
      <c r="P145" s="680">
        <f t="shared" si="73"/>
        <v>1.5707899120568429</v>
      </c>
      <c r="Q145" s="689">
        <f t="shared" si="74"/>
        <v>20.913317355842615</v>
      </c>
      <c r="R145" s="690">
        <f t="shared" si="75"/>
        <v>1.5229616650838531</v>
      </c>
      <c r="S145" s="677">
        <f t="shared" si="76"/>
        <v>1.0479420497507925</v>
      </c>
      <c r="T145" s="680">
        <f t="shared" si="77"/>
        <v>0.30365080079341572</v>
      </c>
      <c r="U145" s="681">
        <f t="shared" si="89"/>
        <v>0.99407090558149425</v>
      </c>
      <c r="V145" s="682">
        <f t="shared" si="90"/>
        <v>-0.12963454837275906</v>
      </c>
      <c r="W145" s="683">
        <f t="shared" si="78"/>
        <v>-4.6685636681702229</v>
      </c>
      <c r="X145" s="684">
        <f t="shared" si="79"/>
        <v>-118.09938774486382</v>
      </c>
      <c r="Y145" s="687">
        <f t="shared" si="80"/>
        <v>61.900612255136181</v>
      </c>
      <c r="AA145" s="170">
        <f t="shared" si="81"/>
        <v>8270.2750000000015</v>
      </c>
      <c r="AB145" s="170">
        <f t="shared" si="82"/>
        <v>68397448.575625017</v>
      </c>
      <c r="AD145" s="686">
        <f t="shared" si="83"/>
        <v>27.250741847108589</v>
      </c>
      <c r="AE145" s="687">
        <f t="shared" si="84"/>
        <v>-20.138266047303429</v>
      </c>
      <c r="AG145" s="686">
        <f t="shared" si="85"/>
        <v>21.687341755033689</v>
      </c>
      <c r="AH145" s="687">
        <f t="shared" si="86"/>
        <v>-83.106096678898851</v>
      </c>
      <c r="AJ145" s="170">
        <f t="shared" si="87"/>
        <v>0</v>
      </c>
      <c r="AK145" s="170">
        <f t="shared" si="65"/>
        <v>0</v>
      </c>
      <c r="AM145" s="170" t="str">
        <f t="shared" si="91"/>
        <v>0.01719295980582+0.184635645921247i</v>
      </c>
      <c r="AN145" s="170" t="str">
        <f t="shared" si="92"/>
        <v>0.18570112142129i</v>
      </c>
      <c r="AO145" s="170" t="str">
        <f t="shared" si="93"/>
        <v>0.994262417523986-0.0925840386650938i</v>
      </c>
      <c r="AP145" s="170" t="str">
        <f t="shared" si="94"/>
        <v>0.163801173365697-0.0307726076535412i</v>
      </c>
      <c r="AQ145" s="170" t="str">
        <f t="shared" si="95"/>
        <v>0.836198826634303+0.0307726076535412i</v>
      </c>
      <c r="AR145" s="170" t="str">
        <f t="shared" si="96"/>
        <v>0.99482728427846-0.036610228006846i</v>
      </c>
    </row>
    <row r="146" spans="7:44">
      <c r="G146" s="688">
        <v>8317.6</v>
      </c>
      <c r="H146" s="676">
        <f t="shared" si="88"/>
        <v>8.3176000000000005</v>
      </c>
      <c r="I146" s="677">
        <f t="shared" si="66"/>
        <v>43.445744164322782</v>
      </c>
      <c r="J146" s="678">
        <f t="shared" si="67"/>
        <v>1.5477770797089978</v>
      </c>
      <c r="K146" s="678">
        <f t="shared" si="68"/>
        <v>1.0000660932049494</v>
      </c>
      <c r="L146" s="679">
        <f t="shared" si="69"/>
        <v>1.1496918273613758E-2</v>
      </c>
      <c r="M146" s="678">
        <f t="shared" si="70"/>
        <v>1.0009752498599129</v>
      </c>
      <c r="N146" s="679">
        <f t="shared" si="71"/>
        <v>-4.4146527052215175E-2</v>
      </c>
      <c r="O146" s="677">
        <f t="shared" si="72"/>
        <v>156783.06615702916</v>
      </c>
      <c r="P146" s="680">
        <f t="shared" si="73"/>
        <v>1.5707899485550489</v>
      </c>
      <c r="Q146" s="689">
        <f t="shared" si="74"/>
        <v>21.032716802024282</v>
      </c>
      <c r="R146" s="690">
        <f t="shared" si="75"/>
        <v>1.5232334205240265</v>
      </c>
      <c r="S146" s="677">
        <f t="shared" si="76"/>
        <v>1.0484795728180329</v>
      </c>
      <c r="T146" s="680">
        <f t="shared" si="77"/>
        <v>0.30528269031762773</v>
      </c>
      <c r="U146" s="681">
        <f t="shared" si="89"/>
        <v>0.99400794942788484</v>
      </c>
      <c r="V146" s="682">
        <f t="shared" si="90"/>
        <v>-0.13037227177169389</v>
      </c>
      <c r="W146" s="683">
        <f t="shared" si="78"/>
        <v>-4.723113283180405</v>
      </c>
      <c r="X146" s="684">
        <f t="shared" si="79"/>
        <v>-118.23775821140583</v>
      </c>
      <c r="Y146" s="687">
        <f t="shared" si="80"/>
        <v>61.762241788594167</v>
      </c>
      <c r="AA146" s="170">
        <f t="shared" si="81"/>
        <v>8317.6</v>
      </c>
      <c r="AB146" s="170">
        <f t="shared" si="82"/>
        <v>69182469.760000005</v>
      </c>
      <c r="AD146" s="686">
        <f t="shared" si="83"/>
        <v>27.246175042662909</v>
      </c>
      <c r="AE146" s="687">
        <f t="shared" si="84"/>
        <v>-20.216198081172944</v>
      </c>
      <c r="AG146" s="686">
        <f t="shared" si="85"/>
        <v>21.63845916280529</v>
      </c>
      <c r="AH146" s="687">
        <f t="shared" si="86"/>
        <v>-83.081998237060716</v>
      </c>
      <c r="AJ146" s="170">
        <f t="shared" si="87"/>
        <v>0</v>
      </c>
      <c r="AK146" s="170">
        <f t="shared" si="65"/>
        <v>0</v>
      </c>
      <c r="AM146" s="170" t="str">
        <f t="shared" si="91"/>
        <v>0.017389715449544+0.185679909240802i</v>
      </c>
      <c r="AN146" s="170" t="str">
        <f t="shared" si="92"/>
        <v>0.186763759068921i</v>
      </c>
      <c r="AO146" s="170" t="str">
        <f t="shared" si="93"/>
        <v>0.994196680161492-0.093110759476236i</v>
      </c>
      <c r="AP146" s="170" t="str">
        <f t="shared" si="94"/>
        <v>0.163768380758409-0.0309466515401337i</v>
      </c>
      <c r="AQ146" s="170" t="str">
        <f t="shared" si="95"/>
        <v>0.836231619241591+0.0309466515401337i</v>
      </c>
      <c r="AR146" s="170" t="str">
        <f t="shared" si="96"/>
        <v>0.99477311761562-0.0368138399983763i</v>
      </c>
    </row>
    <row r="147" spans="7:44">
      <c r="G147" s="688">
        <v>8366.0499999999993</v>
      </c>
      <c r="H147" s="676">
        <f t="shared" si="88"/>
        <v>8.3660499999999995</v>
      </c>
      <c r="I147" s="677">
        <f t="shared" si="66"/>
        <v>43.69868183242346</v>
      </c>
      <c r="J147" s="678">
        <f t="shared" si="67"/>
        <v>1.5479103435546122</v>
      </c>
      <c r="K147" s="678">
        <f t="shared" si="68"/>
        <v>1.0000668654072353</v>
      </c>
      <c r="L147" s="679">
        <f t="shared" si="69"/>
        <v>1.1563881842097442E-2</v>
      </c>
      <c r="M147" s="678">
        <f t="shared" si="70"/>
        <v>1.0009866389911588</v>
      </c>
      <c r="N147" s="679">
        <f t="shared" si="71"/>
        <v>-4.4403343563529464E-2</v>
      </c>
      <c r="O147" s="677">
        <f t="shared" si="72"/>
        <v>157696.32714036567</v>
      </c>
      <c r="P147" s="680">
        <f t="shared" si="73"/>
        <v>1.5707899854931164</v>
      </c>
      <c r="Q147" s="689">
        <f t="shared" si="74"/>
        <v>21.154956177596524</v>
      </c>
      <c r="R147" s="690">
        <f t="shared" si="75"/>
        <v>1.5235084582087974</v>
      </c>
      <c r="S147" s="677">
        <f t="shared" si="76"/>
        <v>1.0490327632858312</v>
      </c>
      <c r="T147" s="680">
        <f t="shared" si="77"/>
        <v>0.30695163574927964</v>
      </c>
      <c r="U147" s="681">
        <f t="shared" si="89"/>
        <v>0.99394313638134035</v>
      </c>
      <c r="V147" s="682">
        <f t="shared" si="90"/>
        <v>-0.13112746039623091</v>
      </c>
      <c r="W147" s="683">
        <f t="shared" si="78"/>
        <v>-4.7786909975949019</v>
      </c>
      <c r="X147" s="684">
        <f t="shared" si="79"/>
        <v>-118.37940770807991</v>
      </c>
      <c r="Y147" s="687">
        <f t="shared" si="80"/>
        <v>61.62059229192009</v>
      </c>
      <c r="AA147" s="170">
        <f t="shared" si="81"/>
        <v>8366.0499999999993</v>
      </c>
      <c r="AB147" s="170">
        <f t="shared" si="82"/>
        <v>69990792.602499992</v>
      </c>
      <c r="AD147" s="686">
        <f t="shared" si="83"/>
        <v>27.241480089321556</v>
      </c>
      <c r="AE147" s="687">
        <f t="shared" si="84"/>
        <v>-20.296065228586446</v>
      </c>
      <c r="AG147" s="686">
        <f t="shared" si="85"/>
        <v>21.588709143827487</v>
      </c>
      <c r="AH147" s="687">
        <f t="shared" si="86"/>
        <v>-83.057242344377897</v>
      </c>
      <c r="AJ147" s="170">
        <f t="shared" si="87"/>
        <v>0</v>
      </c>
      <c r="AK147" s="170">
        <f t="shared" si="65"/>
        <v>0</v>
      </c>
      <c r="AM147" s="170" t="str">
        <f t="shared" si="91"/>
        <v>0.017592297765587+0.186748779354784i</v>
      </c>
      <c r="AN147" s="170" t="str">
        <f t="shared" si="92"/>
        <v>0.187851657516417i</v>
      </c>
      <c r="AO147" s="170" t="str">
        <f t="shared" si="93"/>
        <v>0.994128994248898-0.0936499469750462i</v>
      </c>
      <c r="AP147" s="170" t="str">
        <f t="shared" si="94"/>
        <v>0.163734617039069-0.0311247965591307i</v>
      </c>
      <c r="AQ147" s="170" t="str">
        <f t="shared" si="95"/>
        <v>0.836265382960931+0.0311247965591307i</v>
      </c>
      <c r="AR147" s="170" t="str">
        <f t="shared" si="96"/>
        <v>0.994717357475549-0.0370221893863912i</v>
      </c>
    </row>
    <row r="148" spans="7:44">
      <c r="G148" s="691">
        <v>8414.5</v>
      </c>
      <c r="H148" s="676">
        <f t="shared" si="88"/>
        <v>8.4145000000000003</v>
      </c>
      <c r="I148" s="677">
        <f t="shared" si="66"/>
        <v>43.951620267647804</v>
      </c>
      <c r="J148" s="678">
        <f t="shared" si="67"/>
        <v>1.5480420735547185</v>
      </c>
      <c r="K148" s="678">
        <f t="shared" si="68"/>
        <v>1.0000676420939336</v>
      </c>
      <c r="L148" s="679">
        <f t="shared" si="69"/>
        <v>1.1630845306869008E-2</v>
      </c>
      <c r="M148" s="678">
        <f t="shared" si="70"/>
        <v>1.0009980941406937</v>
      </c>
      <c r="N148" s="679">
        <f t="shared" si="71"/>
        <v>-4.4660154213904915E-2</v>
      </c>
      <c r="O148" s="677">
        <f t="shared" si="72"/>
        <v>158609.58812370239</v>
      </c>
      <c r="P148" s="680">
        <f t="shared" si="73"/>
        <v>1.5707900220058115</v>
      </c>
      <c r="Q148" s="689">
        <f t="shared" ref="Q148:Q157" si="97">SQRT(1+(G148/Zero2)^2)</f>
        <v>21.277197135063243</v>
      </c>
      <c r="R148" s="690">
        <f t="shared" ref="R148:R157" si="98">ATAN(G148/Zero2)</f>
        <v>1.5237803356414916</v>
      </c>
      <c r="S148" s="677">
        <f t="shared" si="76"/>
        <v>1.0495888726225033</v>
      </c>
      <c r="T148" s="680">
        <f t="shared" si="77"/>
        <v>0.30861881728784407</v>
      </c>
      <c r="U148" s="681">
        <f t="shared" si="89"/>
        <v>0.99387795899370068</v>
      </c>
      <c r="V148" s="682">
        <f t="shared" si="90"/>
        <v>-0.13188257599607042</v>
      </c>
      <c r="W148" s="683">
        <f t="shared" si="78"/>
        <v>-4.8340002510962963</v>
      </c>
      <c r="X148" s="684">
        <f t="shared" si="79"/>
        <v>-118.52104478911291</v>
      </c>
      <c r="Y148" s="687">
        <f t="shared" si="80"/>
        <v>61.478955210887094</v>
      </c>
      <c r="AA148" s="170">
        <f t="shared" si="81"/>
        <v>8414.5</v>
      </c>
      <c r="AB148" s="170">
        <f t="shared" si="82"/>
        <v>70803810.25</v>
      </c>
      <c r="AD148" s="686">
        <f t="shared" si="83"/>
        <v>27.236765346181517</v>
      </c>
      <c r="AE148" s="687">
        <f t="shared" si="84"/>
        <v>-20.37601235710477</v>
      </c>
      <c r="AG148" s="686">
        <f t="shared" si="85"/>
        <v>21.539253817666264</v>
      </c>
      <c r="AH148" s="687">
        <f t="shared" si="86"/>
        <v>-83.032402422963102</v>
      </c>
      <c r="AJ148" s="170">
        <f t="shared" si="87"/>
        <v>0</v>
      </c>
      <c r="AK148" s="170">
        <f t="shared" si="65"/>
        <v>0</v>
      </c>
      <c r="AM148" s="170" t="str">
        <f t="shared" si="91"/>
        <v>0.017796042783658+0.187817428447305i</v>
      </c>
      <c r="AN148" s="170" t="str">
        <f t="shared" si="92"/>
        <v>0.188939555963912i</v>
      </c>
      <c r="AO148" s="170" t="str">
        <f t="shared" si="93"/>
        <v>0.994060917996328-0.0941890791098138i</v>
      </c>
      <c r="AP148" s="170" t="str">
        <f t="shared" si="94"/>
        <v>0.163700659536057-0.0313029047412175i</v>
      </c>
      <c r="AQ148" s="170" t="str">
        <f t="shared" si="95"/>
        <v>0.836299340463943+0.0313029047412175i</v>
      </c>
      <c r="AR148" s="170" t="str">
        <f t="shared" si="96"/>
        <v>0.994661288150505-0.037230434183386i</v>
      </c>
    </row>
    <row r="149" spans="7:44">
      <c r="G149" s="691">
        <v>8462.9500000000007</v>
      </c>
      <c r="H149" s="676">
        <f t="shared" si="88"/>
        <v>8.4629500000000011</v>
      </c>
      <c r="I149" s="677">
        <f t="shared" si="66"/>
        <v>44.204559456827361</v>
      </c>
      <c r="J149" s="678">
        <f t="shared" si="67"/>
        <v>1.5481722960347699</v>
      </c>
      <c r="K149" s="678">
        <f t="shared" si="68"/>
        <v>1.0000684232650336</v>
      </c>
      <c r="L149" s="679">
        <f t="shared" si="69"/>
        <v>1.1697808667328157E-2</v>
      </c>
      <c r="M149" s="678">
        <f t="shared" si="70"/>
        <v>1.0010096153062513</v>
      </c>
      <c r="N149" s="679">
        <f t="shared" si="71"/>
        <v>-4.4916958969669102E-2</v>
      </c>
      <c r="O149" s="677">
        <f t="shared" si="72"/>
        <v>159522.84910703936</v>
      </c>
      <c r="P149" s="680">
        <f t="shared" si="73"/>
        <v>1.5707900581004393</v>
      </c>
      <c r="Q149" s="689">
        <f t="shared" si="97"/>
        <v>21.399439647315457</v>
      </c>
      <c r="R149" s="690">
        <f t="shared" si="98"/>
        <v>1.5240491069395956</v>
      </c>
      <c r="S149" s="677">
        <f t="shared" si="76"/>
        <v>1.0501478961909587</v>
      </c>
      <c r="T149" s="680">
        <f t="shared" si="77"/>
        <v>0.31028422847509035</v>
      </c>
      <c r="U149" s="681">
        <f t="shared" si="89"/>
        <v>0.99381241747130311</v>
      </c>
      <c r="V149" s="682">
        <f t="shared" si="90"/>
        <v>-0.13263761816758002</v>
      </c>
      <c r="W149" s="683">
        <f t="shared" si="78"/>
        <v>-4.8890443475458483</v>
      </c>
      <c r="X149" s="684">
        <f t="shared" si="79"/>
        <v>-118.66266746750647</v>
      </c>
      <c r="Y149" s="687">
        <f t="shared" si="80"/>
        <v>61.337332532493534</v>
      </c>
      <c r="AA149" s="170">
        <f t="shared" si="81"/>
        <v>8462.9500000000007</v>
      </c>
      <c r="AB149" s="170">
        <f t="shared" si="82"/>
        <v>71621522.702500015</v>
      </c>
      <c r="AD149" s="686">
        <f t="shared" si="83"/>
        <v>27.232030842980691</v>
      </c>
      <c r="AE149" s="687">
        <f t="shared" si="84"/>
        <v>-20.456035996413515</v>
      </c>
      <c r="AG149" s="686">
        <f t="shared" si="85"/>
        <v>21.490089848378297</v>
      </c>
      <c r="AH149" s="687">
        <f t="shared" si="86"/>
        <v>-83.007480002385265</v>
      </c>
      <c r="AJ149" s="170">
        <f t="shared" si="87"/>
        <v>0</v>
      </c>
      <c r="AK149" s="170">
        <f t="shared" si="65"/>
        <v>0</v>
      </c>
      <c r="AM149" s="170" t="str">
        <f t="shared" si="91"/>
        <v>0.0180009502626201+0.188885855253597i</v>
      </c>
      <c r="AN149" s="170" t="str">
        <f t="shared" si="92"/>
        <v>0.190027454411408i</v>
      </c>
      <c r="AO149" s="170" t="str">
        <f t="shared" si="93"/>
        <v>0.993992451452097-0.0947281555624493i</v>
      </c>
      <c r="AP149" s="170" t="str">
        <f t="shared" si="94"/>
        <v>0.163666508289563-0.0314809758755995i</v>
      </c>
      <c r="AQ149" s="170" t="str">
        <f t="shared" si="95"/>
        <v>0.836333491710437+0.0314809758755995i</v>
      </c>
      <c r="AR149" s="170" t="str">
        <f t="shared" si="96"/>
        <v>0.994604909889838-0.0374385738277185i</v>
      </c>
    </row>
    <row r="150" spans="7:44">
      <c r="G150" s="691">
        <v>8511.4</v>
      </c>
      <c r="H150" s="676">
        <f t="shared" si="88"/>
        <v>8.5114000000000001</v>
      </c>
      <c r="I150" s="677">
        <f t="shared" si="66"/>
        <v>44.457499387093328</v>
      </c>
      <c r="J150" s="678">
        <f t="shared" si="67"/>
        <v>1.548301036721315</v>
      </c>
      <c r="K150" s="678">
        <f t="shared" si="68"/>
        <v>1.0000692089205252</v>
      </c>
      <c r="L150" s="679">
        <f t="shared" si="69"/>
        <v>1.176477192287459E-2</v>
      </c>
      <c r="M150" s="678">
        <f t="shared" si="70"/>
        <v>1.0010212024855523</v>
      </c>
      <c r="N150" s="679">
        <f t="shared" si="71"/>
        <v>-4.5173757797154261E-2</v>
      </c>
      <c r="O150" s="677">
        <f t="shared" si="72"/>
        <v>160436.11009037652</v>
      </c>
      <c r="P150" s="680">
        <f t="shared" si="73"/>
        <v>1.5707900937841397</v>
      </c>
      <c r="Q150" s="689">
        <f t="shared" si="97"/>
        <v>21.521683687859753</v>
      </c>
      <c r="R150" s="690">
        <f t="shared" si="98"/>
        <v>1.5243148249928575</v>
      </c>
      <c r="S150" s="677">
        <f t="shared" si="76"/>
        <v>1.0507098293397017</v>
      </c>
      <c r="T150" s="680">
        <f t="shared" si="77"/>
        <v>0.31194786290577803</v>
      </c>
      <c r="U150" s="681">
        <f t="shared" si="89"/>
        <v>0.99374651202155384</v>
      </c>
      <c r="V150" s="682">
        <f t="shared" si="90"/>
        <v>-0.13339258650744965</v>
      </c>
      <c r="W150" s="683">
        <f t="shared" si="78"/>
        <v>-4.9438265323860069</v>
      </c>
      <c r="X150" s="684">
        <f t="shared" si="79"/>
        <v>-118.80427379533711</v>
      </c>
      <c r="Y150" s="687">
        <f t="shared" si="80"/>
        <v>61.19572620466289</v>
      </c>
      <c r="AA150" s="170">
        <f t="shared" si="81"/>
        <v>8511.4</v>
      </c>
      <c r="AB150" s="170">
        <f t="shared" si="82"/>
        <v>72443929.959999993</v>
      </c>
      <c r="AD150" s="686">
        <f t="shared" si="83"/>
        <v>27.227276610876515</v>
      </c>
      <c r="AE150" s="687">
        <f t="shared" si="84"/>
        <v>-20.536132749569173</v>
      </c>
      <c r="AG150" s="686">
        <f t="shared" si="85"/>
        <v>21.441213957007204</v>
      </c>
      <c r="AH150" s="687">
        <f t="shared" si="86"/>
        <v>-82.982476577880348</v>
      </c>
      <c r="AJ150" s="170">
        <f t="shared" si="87"/>
        <v>0</v>
      </c>
      <c r="AK150" s="170">
        <f t="shared" si="65"/>
        <v>0</v>
      </c>
      <c r="AM150" s="170" t="str">
        <f t="shared" si="91"/>
        <v>0.01820701995996+0.18995405850915i</v>
      </c>
      <c r="AN150" s="170" t="str">
        <f t="shared" si="92"/>
        <v>0.191115352858904i</v>
      </c>
      <c r="AO150" s="170" t="str">
        <f t="shared" si="93"/>
        <v>0.993923594664782-0.0952671760149056i</v>
      </c>
      <c r="AP150" s="170" t="str">
        <f t="shared" si="94"/>
        <v>0.163632163340007-0.031659009751525i</v>
      </c>
      <c r="AQ150" s="170" t="str">
        <f t="shared" si="95"/>
        <v>0.836367836659993+0.031659009751525i</v>
      </c>
      <c r="AR150" s="170" t="str">
        <f t="shared" si="96"/>
        <v>0.994548222944178-0.0376466077584852i</v>
      </c>
    </row>
    <row r="151" spans="7:44">
      <c r="G151" s="691">
        <v>8560.9500000000007</v>
      </c>
      <c r="H151" s="676">
        <f t="shared" si="88"/>
        <v>8.5609500000000001</v>
      </c>
      <c r="I151" s="677">
        <f t="shared" si="66"/>
        <v>44.716182773004128</v>
      </c>
      <c r="J151" s="678">
        <f t="shared" si="67"/>
        <v>1.5484311938748874</v>
      </c>
      <c r="K151" s="678">
        <f t="shared" si="68"/>
        <v>1.0000700170516517</v>
      </c>
      <c r="L151" s="679">
        <f t="shared" si="69"/>
        <v>1.1833255390874162E-2</v>
      </c>
      <c r="M151" s="678">
        <f t="shared" si="70"/>
        <v>1.0010331210145813</v>
      </c>
      <c r="N151" s="679">
        <f t="shared" si="71"/>
        <v>-4.543638077179573E-2</v>
      </c>
      <c r="O151" s="677">
        <f t="shared" si="72"/>
        <v>161370.10558520351</v>
      </c>
      <c r="P151" s="680">
        <f t="shared" si="73"/>
        <v>1.5707901298602389</v>
      </c>
      <c r="Q151" s="689">
        <f t="shared" si="97"/>
        <v>21.646704688647407</v>
      </c>
      <c r="R151" s="690">
        <f t="shared" si="98"/>
        <v>1.5245834717165596</v>
      </c>
      <c r="S151" s="677">
        <f t="shared" si="76"/>
        <v>1.0512875250722038</v>
      </c>
      <c r="T151" s="680">
        <f t="shared" si="77"/>
        <v>0.31364742384757294</v>
      </c>
      <c r="U151" s="681">
        <f t="shared" si="89"/>
        <v>0.99367873406877527</v>
      </c>
      <c r="V151" s="682">
        <f t="shared" si="90"/>
        <v>-0.13416461872636973</v>
      </c>
      <c r="W151" s="683">
        <f t="shared" si="78"/>
        <v>-4.9995849056875494</v>
      </c>
      <c r="X151" s="684">
        <f t="shared" si="79"/>
        <v>-118.94907622578552</v>
      </c>
      <c r="Y151" s="687">
        <f t="shared" si="80"/>
        <v>61.050923774214482</v>
      </c>
      <c r="AA151" s="170">
        <f t="shared" si="81"/>
        <v>8560.9500000000007</v>
      </c>
      <c r="AB151" s="170">
        <f t="shared" si="82"/>
        <v>73289864.902500018</v>
      </c>
      <c r="AD151" s="686">
        <f t="shared" si="83"/>
        <v>27.222394067589782</v>
      </c>
      <c r="AE151" s="687">
        <f t="shared" si="84"/>
        <v>-20.618120162213067</v>
      </c>
      <c r="AG151" s="686">
        <f t="shared" si="85"/>
        <v>21.391523000373908</v>
      </c>
      <c r="AH151" s="687">
        <f t="shared" si="86"/>
        <v>-82.956823219999265</v>
      </c>
      <c r="AJ151" s="170">
        <f t="shared" si="87"/>
        <v>0</v>
      </c>
      <c r="AK151" s="170">
        <f t="shared" ref="AK151:AK214" si="99">IF(AJ151&gt;0,Y151,0)</f>
        <v>0</v>
      </c>
      <c r="AM151" s="170" t="str">
        <f t="shared" si="91"/>
        <v>0.018418970070217+0.191046281518343i</v>
      </c>
      <c r="AN151" s="170" t="str">
        <f t="shared" si="92"/>
        <v>0.192227950755155i</v>
      </c>
      <c r="AO151" s="170" t="str">
        <f t="shared" si="93"/>
        <v>0.993852770982732-0.0958183760366756i</v>
      </c>
      <c r="AP151" s="170" t="str">
        <f t="shared" si="94"/>
        <v>0.16359683832163-0.0318410469197238i</v>
      </c>
      <c r="AQ151" s="170" t="str">
        <f t="shared" si="95"/>
        <v>0.83640316167837+0.0318410469197238i</v>
      </c>
      <c r="AR151" s="170" t="str">
        <f t="shared" si="96"/>
        <v>0.994489929973883-0.0378592549291055i</v>
      </c>
    </row>
    <row r="152" spans="7:44">
      <c r="G152" s="691">
        <v>8610.5</v>
      </c>
      <c r="H152" s="676">
        <f t="shared" si="88"/>
        <v>8.6105</v>
      </c>
      <c r="I152" s="677">
        <f t="shared" si="66"/>
        <v>44.974866907732356</v>
      </c>
      <c r="J152" s="678">
        <f t="shared" si="67"/>
        <v>1.5485598537681267</v>
      </c>
      <c r="K152" s="678">
        <f t="shared" si="68"/>
        <v>1.0000708298730843</v>
      </c>
      <c r="L152" s="679">
        <f t="shared" si="69"/>
        <v>1.190173874787314E-2</v>
      </c>
      <c r="M152" s="678">
        <f t="shared" si="70"/>
        <v>1.0010451085840457</v>
      </c>
      <c r="N152" s="679">
        <f t="shared" si="71"/>
        <v>-4.5698997474700992E-2</v>
      </c>
      <c r="O152" s="677">
        <f t="shared" si="72"/>
        <v>162304.10108003067</v>
      </c>
      <c r="P152" s="680">
        <f t="shared" si="73"/>
        <v>1.5707901655211312</v>
      </c>
      <c r="Q152" s="689">
        <f t="shared" si="97"/>
        <v>21.771727233758494</v>
      </c>
      <c r="R152" s="690">
        <f t="shared" si="98"/>
        <v>1.524849033091072</v>
      </c>
      <c r="S152" s="677">
        <f t="shared" si="76"/>
        <v>1.0518682541158688</v>
      </c>
      <c r="T152" s="680">
        <f t="shared" si="77"/>
        <v>0.31534511305743901</v>
      </c>
      <c r="U152" s="681">
        <f t="shared" si="89"/>
        <v>0.99361057591823376</v>
      </c>
      <c r="V152" s="682">
        <f t="shared" si="90"/>
        <v>-0.13493657287088989</v>
      </c>
      <c r="W152" s="683">
        <f t="shared" si="78"/>
        <v>-5.0550760243028439</v>
      </c>
      <c r="X152" s="684">
        <f t="shared" si="79"/>
        <v>-119.09385755457562</v>
      </c>
      <c r="Y152" s="687">
        <f t="shared" si="80"/>
        <v>60.906142445424379</v>
      </c>
      <c r="AA152" s="170">
        <f t="shared" si="81"/>
        <v>8610.5</v>
      </c>
      <c r="AB152" s="170">
        <f t="shared" si="82"/>
        <v>74140710.25</v>
      </c>
      <c r="AD152" s="686">
        <f t="shared" si="83"/>
        <v>27.217490959652718</v>
      </c>
      <c r="AE152" s="687">
        <f t="shared" si="84"/>
        <v>-20.700177086214424</v>
      </c>
      <c r="AG152" s="686">
        <f t="shared" si="85"/>
        <v>21.342126591081136</v>
      </c>
      <c r="AH152" s="687">
        <f t="shared" si="86"/>
        <v>-82.931088195769618</v>
      </c>
      <c r="AJ152" s="170">
        <f t="shared" si="87"/>
        <v>0</v>
      </c>
      <c r="AK152" s="170">
        <f t="shared" si="99"/>
        <v>0</v>
      </c>
      <c r="AM152" s="170" t="str">
        <f t="shared" si="91"/>
        <v>0.018632135254061+0.192138268036321i</v>
      </c>
      <c r="AN152" s="170" t="str">
        <f t="shared" si="92"/>
        <v>0.193340548651407i</v>
      </c>
      <c r="AO152" s="170" t="str">
        <f t="shared" si="93"/>
        <v>0.993781539240102-0.0963695168138513i</v>
      </c>
      <c r="AP152" s="170" t="str">
        <f t="shared" si="94"/>
        <v>0.16356131079099-0.0320230446727202i</v>
      </c>
      <c r="AQ152" s="170" t="str">
        <f t="shared" si="95"/>
        <v>0.83643868920901+0.0320230446727202i</v>
      </c>
      <c r="AR152" s="170" t="str">
        <f t="shared" si="96"/>
        <v>0.994431314677142-0.0380717903472069i</v>
      </c>
    </row>
    <row r="153" spans="7:44">
      <c r="G153" s="691">
        <v>8660.0499999999993</v>
      </c>
      <c r="H153" s="676">
        <f t="shared" si="88"/>
        <v>8.66005</v>
      </c>
      <c r="I153" s="677">
        <f t="shared" si="66"/>
        <v>45.2335517784309</v>
      </c>
      <c r="J153" s="678">
        <f t="shared" si="67"/>
        <v>1.5486870420846546</v>
      </c>
      <c r="K153" s="678">
        <f t="shared" si="68"/>
        <v>1.0000716473848119</v>
      </c>
      <c r="L153" s="679">
        <f t="shared" si="69"/>
        <v>1.1970221993229429E-2</v>
      </c>
      <c r="M153" s="678">
        <f t="shared" si="70"/>
        <v>1.001057165191465</v>
      </c>
      <c r="N153" s="679">
        <f t="shared" si="71"/>
        <v>-4.5961607869871968E-2</v>
      </c>
      <c r="O153" s="677">
        <f t="shared" si="72"/>
        <v>163238.09657485801</v>
      </c>
      <c r="P153" s="680">
        <f t="shared" si="73"/>
        <v>1.5707902007739432</v>
      </c>
      <c r="Q153" s="689">
        <f t="shared" si="97"/>
        <v>21.896751296740423</v>
      </c>
      <c r="R153" s="690">
        <f t="shared" si="98"/>
        <v>1.5251115619279458</v>
      </c>
      <c r="S153" s="677">
        <f t="shared" si="76"/>
        <v>1.0524520114494738</v>
      </c>
      <c r="T153" s="680">
        <f t="shared" si="77"/>
        <v>0.31704092385590738</v>
      </c>
      <c r="U153" s="681">
        <f t="shared" si="89"/>
        <v>0.99354203779529082</v>
      </c>
      <c r="V153" s="682">
        <f t="shared" si="90"/>
        <v>-0.13570844851068475</v>
      </c>
      <c r="W153" s="683">
        <f t="shared" si="78"/>
        <v>-5.1103031787783015</v>
      </c>
      <c r="X153" s="684">
        <f t="shared" si="79"/>
        <v>-119.23861581841285</v>
      </c>
      <c r="Y153" s="687">
        <f t="shared" si="80"/>
        <v>60.761384181587147</v>
      </c>
      <c r="AA153" s="170">
        <f t="shared" si="81"/>
        <v>8660.0499999999993</v>
      </c>
      <c r="AB153" s="170">
        <f t="shared" si="82"/>
        <v>74996466.002499983</v>
      </c>
      <c r="AD153" s="686">
        <f t="shared" si="83"/>
        <v>27.212567324707031</v>
      </c>
      <c r="AE153" s="687">
        <f t="shared" si="84"/>
        <v>-20.782300113397206</v>
      </c>
      <c r="AG153" s="686">
        <f t="shared" si="85"/>
        <v>21.293021398379423</v>
      </c>
      <c r="AH153" s="687">
        <f t="shared" si="86"/>
        <v>-82.905272999384621</v>
      </c>
      <c r="AJ153" s="170">
        <f t="shared" si="87"/>
        <v>0</v>
      </c>
      <c r="AK153" s="170">
        <f t="shared" si="99"/>
        <v>0</v>
      </c>
      <c r="AM153" s="170" t="str">
        <f t="shared" si="91"/>
        <v>0.018846515247622+0.193230016711343i</v>
      </c>
      <c r="AN153" s="170" t="str">
        <f t="shared" si="92"/>
        <v>0.194453146547659i</v>
      </c>
      <c r="AO153" s="170" t="str">
        <f t="shared" si="93"/>
        <v>0.993709899489766-0.0969205980063833i</v>
      </c>
      <c r="AP153" s="170" t="str">
        <f t="shared" si="94"/>
        <v>0.163525580792063-0.0322050027852238i</v>
      </c>
      <c r="AQ153" s="170" t="str">
        <f t="shared" si="95"/>
        <v>0.836474419207937+0.0322050027852238i</v>
      </c>
      <c r="AR153" s="170" t="str">
        <f t="shared" si="96"/>
        <v>0.99437237732618-0.0382842134152324i</v>
      </c>
    </row>
    <row r="154" spans="7:44">
      <c r="G154" s="691">
        <v>8709.6</v>
      </c>
      <c r="H154" s="676">
        <f t="shared" si="88"/>
        <v>8.7096</v>
      </c>
      <c r="I154" s="677">
        <f t="shared" si="66"/>
        <v>45.4922373725448</v>
      </c>
      <c r="J154" s="678">
        <f t="shared" si="67"/>
        <v>1.5488127839241002</v>
      </c>
      <c r="K154" s="678">
        <f t="shared" si="68"/>
        <v>1.0000724695868226</v>
      </c>
      <c r="L154" s="679">
        <f t="shared" si="69"/>
        <v>1.2038705126300942E-2</v>
      </c>
      <c r="M154" s="678">
        <f t="shared" si="70"/>
        <v>1.0010692908343448</v>
      </c>
      <c r="N154" s="679">
        <f t="shared" si="71"/>
        <v>-4.6224211921315796E-2</v>
      </c>
      <c r="O154" s="677">
        <f t="shared" si="72"/>
        <v>164172.0920696856</v>
      </c>
      <c r="P154" s="680">
        <f t="shared" si="73"/>
        <v>1.57079023562564</v>
      </c>
      <c r="Q154" s="689">
        <f t="shared" si="97"/>
        <v>22.021776851741016</v>
      </c>
      <c r="R154" s="690">
        <f t="shared" si="98"/>
        <v>1.5253711098411051</v>
      </c>
      <c r="S154" s="677">
        <f t="shared" si="76"/>
        <v>1.0530387920367759</v>
      </c>
      <c r="T154" s="680">
        <f t="shared" si="77"/>
        <v>0.31873484962149673</v>
      </c>
      <c r="U154" s="681">
        <f t="shared" si="89"/>
        <v>0.99347311992647935</v>
      </c>
      <c r="V154" s="682">
        <f t="shared" si="90"/>
        <v>-0.13648024521578217</v>
      </c>
      <c r="W154" s="683">
        <f t="shared" si="78"/>
        <v>-5.1652696014177319</v>
      </c>
      <c r="X154" s="684">
        <f t="shared" si="79"/>
        <v>-119.38334909249522</v>
      </c>
      <c r="Y154" s="687">
        <f t="shared" si="80"/>
        <v>60.616650907504777</v>
      </c>
      <c r="AA154" s="170">
        <f t="shared" si="81"/>
        <v>8709.6</v>
      </c>
      <c r="AB154" s="170">
        <f t="shared" si="82"/>
        <v>75857132.160000011</v>
      </c>
      <c r="AD154" s="686">
        <f t="shared" si="83"/>
        <v>27.207623201755091</v>
      </c>
      <c r="AE154" s="687">
        <f t="shared" si="84"/>
        <v>-20.864485907517544</v>
      </c>
      <c r="AG154" s="686">
        <f t="shared" si="85"/>
        <v>21.244204148387709</v>
      </c>
      <c r="AH154" s="687">
        <f t="shared" si="86"/>
        <v>-82.87937909155724</v>
      </c>
      <c r="AJ154" s="170">
        <f t="shared" si="87"/>
        <v>0</v>
      </c>
      <c r="AK154" s="170">
        <f t="shared" si="99"/>
        <v>0</v>
      </c>
      <c r="AM154" s="170" t="str">
        <f t="shared" si="91"/>
        <v>0.019062109785524+0.19432152619196i</v>
      </c>
      <c r="AN154" s="170" t="str">
        <f t="shared" si="92"/>
        <v>0.195565744443911i</v>
      </c>
      <c r="AO154" s="170" t="str">
        <f t="shared" si="93"/>
        <v>0.993637851784887-0.0974716192742594i</v>
      </c>
      <c r="AP154" s="170" t="str">
        <f t="shared" si="94"/>
        <v>0.163489648369079-0.0323869210319933i</v>
      </c>
      <c r="AQ154" s="170" t="str">
        <f t="shared" si="95"/>
        <v>0.836510351630921+0.0323869210319933i</v>
      </c>
      <c r="AR154" s="170" t="str">
        <f t="shared" si="96"/>
        <v>0.99431311819462-0.0384965235364504i</v>
      </c>
    </row>
    <row r="155" spans="7:44">
      <c r="G155" s="691">
        <v>8760.3250000000007</v>
      </c>
      <c r="H155" s="676">
        <f t="shared" si="88"/>
        <v>8.7603249999999999</v>
      </c>
      <c r="I155" s="677">
        <f t="shared" si="66"/>
        <v>45.757058023544495</v>
      </c>
      <c r="J155" s="678">
        <f t="shared" si="67"/>
        <v>1.5489400348066167</v>
      </c>
      <c r="K155" s="678">
        <f t="shared" si="68"/>
        <v>1.0000733161444795</v>
      </c>
      <c r="L155" s="679">
        <f t="shared" si="69"/>
        <v>1.2108812111743096E-2</v>
      </c>
      <c r="M155" s="678">
        <f t="shared" si="70"/>
        <v>1.0010817755255486</v>
      </c>
      <c r="N155" s="679">
        <f t="shared" si="71"/>
        <v>-4.6493036604401426E-2</v>
      </c>
      <c r="O155" s="677">
        <f t="shared" si="72"/>
        <v>165128.23579269546</v>
      </c>
      <c r="P155" s="680">
        <f t="shared" si="73"/>
        <v>1.5707902708954</v>
      </c>
      <c r="Q155" s="689">
        <f t="shared" si="97"/>
        <v>22.149768709467928</v>
      </c>
      <c r="R155" s="690">
        <f t="shared" si="98"/>
        <v>1.5256337773942235</v>
      </c>
      <c r="S155" s="677">
        <f t="shared" si="76"/>
        <v>1.0536426135666961</v>
      </c>
      <c r="T155" s="680">
        <f t="shared" si="77"/>
        <v>0.32046698469560958</v>
      </c>
      <c r="U155" s="681">
        <f t="shared" si="89"/>
        <v>0.99340217465674263</v>
      </c>
      <c r="V155" s="682">
        <f t="shared" si="90"/>
        <v>-0.13727026164777464</v>
      </c>
      <c r="W155" s="683">
        <f t="shared" si="78"/>
        <v>-5.22127270144526</v>
      </c>
      <c r="X155" s="684">
        <f t="shared" si="79"/>
        <v>-119.53148663175361</v>
      </c>
      <c r="Y155" s="687">
        <f t="shared" si="80"/>
        <v>60.468513368246391</v>
      </c>
      <c r="AA155" s="170">
        <f t="shared" si="81"/>
        <v>8760.3250000000007</v>
      </c>
      <c r="AB155" s="170">
        <f t="shared" si="82"/>
        <v>76743294.105625018</v>
      </c>
      <c r="AD155" s="686">
        <f t="shared" si="83"/>
        <v>27.202540656309626</v>
      </c>
      <c r="AE155" s="687">
        <f t="shared" si="84"/>
        <v>-20.948682215506683</v>
      </c>
      <c r="AG155" s="686">
        <f t="shared" si="85"/>
        <v>21.194524180540437</v>
      </c>
      <c r="AH155" s="687">
        <f t="shared" si="86"/>
        <v>-82.852791108124748</v>
      </c>
      <c r="AJ155" s="170">
        <f t="shared" si="87"/>
        <v>0</v>
      </c>
      <c r="AK155" s="170">
        <f t="shared" si="99"/>
        <v>0</v>
      </c>
      <c r="AM155" s="170" t="str">
        <f t="shared" si="91"/>
        <v>0.019284074616108+0.195438669915698i</v>
      </c>
      <c r="AN155" s="170" t="str">
        <f t="shared" si="92"/>
        <v>0.196704725842244i</v>
      </c>
      <c r="AO155" s="170" t="str">
        <f t="shared" si="93"/>
        <v>0.993563673058057-0.0980356447133543i</v>
      </c>
      <c r="AP155" s="170" t="str">
        <f t="shared" si="94"/>
        <v>0.163452654230649-0.0325731116526163i</v>
      </c>
      <c r="AQ155" s="170" t="str">
        <f t="shared" si="95"/>
        <v>0.836547345769351+0.0325731116526163i</v>
      </c>
      <c r="AR155" s="170" t="str">
        <f t="shared" si="96"/>
        <v>0.994252120796613-0.0387137506386733i</v>
      </c>
    </row>
    <row r="156" spans="7:44">
      <c r="G156" s="691">
        <v>8811.0499999999993</v>
      </c>
      <c r="H156" s="676">
        <f t="shared" si="88"/>
        <v>8.8110499999999998</v>
      </c>
      <c r="I156" s="677">
        <f t="shared" si="66"/>
        <v>46.021879406951435</v>
      </c>
      <c r="J156" s="678">
        <f t="shared" si="67"/>
        <v>1.5490658212244584</v>
      </c>
      <c r="K156" s="678">
        <f t="shared" si="68"/>
        <v>1.0000741676174776</v>
      </c>
      <c r="L156" s="679">
        <f t="shared" si="69"/>
        <v>1.2178918978150266E-2</v>
      </c>
      <c r="M156" s="678">
        <f t="shared" si="70"/>
        <v>1.0010943325598314</v>
      </c>
      <c r="N156" s="679">
        <f t="shared" si="71"/>
        <v>-4.6761854563011782E-2</v>
      </c>
      <c r="O156" s="677">
        <f t="shared" si="72"/>
        <v>166084.37951570554</v>
      </c>
      <c r="P156" s="680">
        <f t="shared" si="73"/>
        <v>1.5707903057590658</v>
      </c>
      <c r="Q156" s="689">
        <f t="shared" si="97"/>
        <v>22.277762077841373</v>
      </c>
      <c r="R156" s="690">
        <f t="shared" si="98"/>
        <v>1.5258934267350879</v>
      </c>
      <c r="S156" s="677">
        <f t="shared" si="76"/>
        <v>1.0542495927053062</v>
      </c>
      <c r="T156" s="680">
        <f t="shared" si="77"/>
        <v>0.3221971304188001</v>
      </c>
      <c r="U156" s="681">
        <f t="shared" si="89"/>
        <v>0.9933308319016636</v>
      </c>
      <c r="V156" s="682">
        <f t="shared" si="90"/>
        <v>-0.13806019444634654</v>
      </c>
      <c r="W156" s="683">
        <f t="shared" si="78"/>
        <v>-5.2770092312081704</v>
      </c>
      <c r="X156" s="684">
        <f t="shared" si="79"/>
        <v>-119.67959401920551</v>
      </c>
      <c r="Y156" s="687">
        <f t="shared" si="80"/>
        <v>60.32040598079449</v>
      </c>
      <c r="AA156" s="170">
        <f t="shared" si="81"/>
        <v>8811.0499999999993</v>
      </c>
      <c r="AB156" s="170">
        <f t="shared" si="82"/>
        <v>77634602.102499992</v>
      </c>
      <c r="AD156" s="686">
        <f t="shared" si="83"/>
        <v>27.197436726552201</v>
      </c>
      <c r="AE156" s="687">
        <f t="shared" si="84"/>
        <v>-21.032937449640396</v>
      </c>
      <c r="AG156" s="686">
        <f t="shared" si="85"/>
        <v>21.145139207257436</v>
      </c>
      <c r="AH156" s="687">
        <f t="shared" si="86"/>
        <v>-82.826123630425215</v>
      </c>
      <c r="AJ156" s="170">
        <f t="shared" si="87"/>
        <v>0</v>
      </c>
      <c r="AK156" s="170">
        <f t="shared" si="99"/>
        <v>0</v>
      </c>
      <c r="AM156" s="170" t="str">
        <f t="shared" si="91"/>
        <v>0.019507311708363+0.196555560101054i</v>
      </c>
      <c r="AN156" s="170" t="str">
        <f t="shared" si="92"/>
        <v>0.197843707240576i</v>
      </c>
      <c r="AO156" s="170" t="str">
        <f t="shared" si="93"/>
        <v>0.993489066913027-0.0985996066311187i</v>
      </c>
      <c r="AP156" s="170" t="str">
        <f t="shared" si="94"/>
        <v>0.163415448048606-0.0327592600168423i</v>
      </c>
      <c r="AQ156" s="170" t="str">
        <f t="shared" si="95"/>
        <v>0.836584551951394+0.0327592600168423i</v>
      </c>
      <c r="AR156" s="170" t="str">
        <f t="shared" si="96"/>
        <v>0.994190786760772-0.0389308581109652i</v>
      </c>
    </row>
    <row r="157" spans="7:44">
      <c r="G157" s="691">
        <v>8861.7749999999996</v>
      </c>
      <c r="H157" s="676">
        <f t="shared" si="88"/>
        <v>8.8617749999999997</v>
      </c>
      <c r="I157" s="677">
        <f t="shared" si="66"/>
        <v>46.286701510194639</v>
      </c>
      <c r="J157" s="678">
        <f t="shared" si="67"/>
        <v>1.5491901683097253</v>
      </c>
      <c r="K157" s="678">
        <f t="shared" si="68"/>
        <v>1.0000750240058047</v>
      </c>
      <c r="L157" s="679">
        <f t="shared" si="69"/>
        <v>1.2249025724833613E-2</v>
      </c>
      <c r="M157" s="678">
        <f t="shared" si="70"/>
        <v>1.001106961934471</v>
      </c>
      <c r="N157" s="679">
        <f t="shared" si="71"/>
        <v>-4.7030665758549417E-2</v>
      </c>
      <c r="O157" s="677">
        <f t="shared" si="72"/>
        <v>167040.52323871577</v>
      </c>
      <c r="P157" s="680">
        <f t="shared" si="73"/>
        <v>1.5707903402236107</v>
      </c>
      <c r="Q157" s="689">
        <f t="shared" si="97"/>
        <v>22.405756930972565</v>
      </c>
      <c r="R157" s="690">
        <f t="shared" si="98"/>
        <v>1.5261501095537922</v>
      </c>
      <c r="S157" s="677">
        <f t="shared" si="76"/>
        <v>1.0548597240018269</v>
      </c>
      <c r="T157" s="680">
        <f t="shared" si="77"/>
        <v>0.32392527987607628</v>
      </c>
      <c r="U157" s="681">
        <f t="shared" si="89"/>
        <v>0.99325909190808948</v>
      </c>
      <c r="V157" s="682">
        <f t="shared" si="90"/>
        <v>-0.13885004315140662</v>
      </c>
      <c r="W157" s="683">
        <f t="shared" si="78"/>
        <v>-5.3324824773675275</v>
      </c>
      <c r="X157" s="684">
        <f t="shared" si="79"/>
        <v>-119.82766930885634</v>
      </c>
      <c r="Y157" s="687">
        <f t="shared" si="80"/>
        <v>60.172330691143657</v>
      </c>
      <c r="AA157" s="170">
        <f t="shared" si="81"/>
        <v>8861.7749999999996</v>
      </c>
      <c r="AB157" s="170">
        <f t="shared" si="82"/>
        <v>78531056.15062499</v>
      </c>
      <c r="AD157" s="686">
        <f t="shared" si="83"/>
        <v>27.192311458473203</v>
      </c>
      <c r="AE157" s="687">
        <f t="shared" si="84"/>
        <v>-21.117248252494186</v>
      </c>
      <c r="AG157" s="686">
        <f t="shared" si="85"/>
        <v>21.096045893080536</v>
      </c>
      <c r="AH157" s="687">
        <f t="shared" si="86"/>
        <v>-82.799378122611216</v>
      </c>
      <c r="AJ157" s="170">
        <f t="shared" si="87"/>
        <v>0</v>
      </c>
      <c r="AK157" s="170">
        <f t="shared" si="99"/>
        <v>0</v>
      </c>
      <c r="AM157" s="170" t="str">
        <f t="shared" si="91"/>
        <v>0.019731820772688+0.197672195299111i</v>
      </c>
      <c r="AN157" s="170" t="str">
        <f t="shared" si="92"/>
        <v>0.198982688638909i</v>
      </c>
      <c r="AO157" s="170" t="str">
        <f t="shared" si="93"/>
        <v>0.99341403340782-0.099163504662936i</v>
      </c>
      <c r="AP157" s="170" t="str">
        <f t="shared" si="94"/>
        <v>0.163378029871219-0.0329453658831852i</v>
      </c>
      <c r="AQ157" s="170" t="str">
        <f t="shared" si="95"/>
        <v>0.836621970128781+0.0329453658831852i</v>
      </c>
      <c r="AR157" s="170" t="str">
        <f t="shared" si="96"/>
        <v>0.994129116385153-0.039147845315842i</v>
      </c>
    </row>
    <row r="158" spans="7:44">
      <c r="G158" s="688">
        <v>8912.5</v>
      </c>
      <c r="H158" s="676">
        <f t="shared" si="88"/>
        <v>8.9124999999999996</v>
      </c>
      <c r="I158" s="677">
        <f t="shared" si="66"/>
        <v>46.551524320989088</v>
      </c>
      <c r="J158" s="678">
        <f t="shared" si="67"/>
        <v>1.5493131006228107</v>
      </c>
      <c r="K158" s="678">
        <f t="shared" si="68"/>
        <v>1.000075885309448</v>
      </c>
      <c r="L158" s="679">
        <f t="shared" si="69"/>
        <v>1.2319132351104304E-2</v>
      </c>
      <c r="M158" s="678">
        <f t="shared" si="70"/>
        <v>1.0011196636467299</v>
      </c>
      <c r="N158" s="679">
        <f t="shared" si="71"/>
        <v>-4.7299470152422717E-2</v>
      </c>
      <c r="O158" s="677">
        <f t="shared" si="72"/>
        <v>167996.66696172627</v>
      </c>
      <c r="P158" s="680">
        <f t="shared" si="73"/>
        <v>1.5707903742958496</v>
      </c>
      <c r="Q158" s="689">
        <f t="shared" ref="Q158:Q214" si="100">SQRT(1+(G158/Zero2)^2)</f>
        <v>22.533753243560607</v>
      </c>
      <c r="R158" s="690">
        <f t="shared" ref="R158:R214" si="101">ATAN(G158/Zero2)</f>
        <v>1.5264038763675729</v>
      </c>
      <c r="S158" s="677">
        <f t="shared" si="76"/>
        <v>1.0554730019898082</v>
      </c>
      <c r="T158" s="680">
        <f t="shared" si="77"/>
        <v>0.32565142621608828</v>
      </c>
      <c r="U158" s="681">
        <f t="shared" si="89"/>
        <v>0.99318695492415299</v>
      </c>
      <c r="V158" s="682">
        <f t="shared" si="90"/>
        <v>-0.13963980730326664</v>
      </c>
      <c r="W158" s="683">
        <f t="shared" si="78"/>
        <v>-5.387695668287062</v>
      </c>
      <c r="X158" s="684">
        <f t="shared" si="79"/>
        <v>-119.97571059281569</v>
      </c>
      <c r="Y158" s="687">
        <f t="shared" si="80"/>
        <v>60.024289407184312</v>
      </c>
      <c r="AA158" s="170">
        <f t="shared" si="81"/>
        <v>8912.5</v>
      </c>
      <c r="AB158" s="170">
        <f t="shared" si="82"/>
        <v>79432656.25</v>
      </c>
      <c r="AD158" s="686">
        <f t="shared" si="83"/>
        <v>27.18716489937108</v>
      </c>
      <c r="AE158" s="687">
        <f t="shared" si="84"/>
        <v>-21.201611337480589</v>
      </c>
      <c r="AG158" s="686">
        <f t="shared" si="85"/>
        <v>21.047240959525844</v>
      </c>
      <c r="AH158" s="687">
        <f t="shared" si="86"/>
        <v>-82.772556016056129</v>
      </c>
      <c r="AJ158" s="170">
        <f t="shared" si="87"/>
        <v>0</v>
      </c>
      <c r="AK158" s="170">
        <f t="shared" si="99"/>
        <v>0</v>
      </c>
      <c r="AM158" s="170" t="str">
        <f t="shared" si="91"/>
        <v>0.019957601517831+0.198788574061282i</v>
      </c>
      <c r="AN158" s="170" t="str">
        <f t="shared" si="92"/>
        <v>0.200121670037242i</v>
      </c>
      <c r="AO158" s="170" t="str">
        <f t="shared" si="93"/>
        <v>0.993338572600799-0.0997273384442422i</v>
      </c>
      <c r="AP158" s="170" t="str">
        <f t="shared" si="94"/>
        <v>0.163340399747028-0.0331314290102137i</v>
      </c>
      <c r="AQ158" s="170" t="str">
        <f t="shared" si="95"/>
        <v>0.836659600252972+0.0331314290102137i</v>
      </c>
      <c r="AR158" s="170" t="str">
        <f t="shared" si="96"/>
        <v>0.994067109969325-0.0393647116167421i</v>
      </c>
    </row>
    <row r="159" spans="7:44">
      <c r="G159" s="688">
        <v>8964.4</v>
      </c>
      <c r="H159" s="676">
        <f t="shared" si="88"/>
        <v>8.9643999999999995</v>
      </c>
      <c r="I159" s="677">
        <f t="shared" si="66"/>
        <v>46.822482239023358</v>
      </c>
      <c r="J159" s="678">
        <f t="shared" si="67"/>
        <v>1.5494374412790288</v>
      </c>
      <c r="K159" s="678">
        <f t="shared" si="68"/>
        <v>1.0000767716518428</v>
      </c>
      <c r="L159" s="679">
        <f t="shared" si="69"/>
        <v>1.2390862810349393E-2</v>
      </c>
      <c r="M159" s="678">
        <f t="shared" si="70"/>
        <v>1.0011327344505896</v>
      </c>
      <c r="N159" s="679">
        <f t="shared" si="71"/>
        <v>-4.7574494083534972E-2</v>
      </c>
      <c r="O159" s="677">
        <f t="shared" si="72"/>
        <v>168974.95891291901</v>
      </c>
      <c r="P159" s="680">
        <f t="shared" si="73"/>
        <v>1.5707904087582454</v>
      </c>
      <c r="Q159" s="689">
        <f t="shared" si="100"/>
        <v>22.664715962895031</v>
      </c>
      <c r="R159" s="690">
        <f t="shared" si="101"/>
        <v>1.5266605548533028</v>
      </c>
      <c r="S159" s="677">
        <f t="shared" si="76"/>
        <v>1.056103737176282</v>
      </c>
      <c r="T159" s="680">
        <f t="shared" si="77"/>
        <v>0.32741547688289052</v>
      </c>
      <c r="U159" s="681">
        <f t="shared" si="89"/>
        <v>0.99311273631982577</v>
      </c>
      <c r="V159" s="682">
        <f t="shared" si="90"/>
        <v>-0.14044777765412189</v>
      </c>
      <c r="W159" s="683">
        <f t="shared" si="78"/>
        <v>-5.4439219707170148</v>
      </c>
      <c r="X159" s="684">
        <f t="shared" si="79"/>
        <v>-120.12714397550889</v>
      </c>
      <c r="Y159" s="687">
        <f t="shared" si="80"/>
        <v>59.872856024491114</v>
      </c>
      <c r="AA159" s="170">
        <f t="shared" si="81"/>
        <v>8964.4</v>
      </c>
      <c r="AB159" s="170">
        <f t="shared" si="82"/>
        <v>80360467.359999999</v>
      </c>
      <c r="AD159" s="686">
        <f t="shared" si="83"/>
        <v>27.18187713889759</v>
      </c>
      <c r="AE159" s="687">
        <f t="shared" si="84"/>
        <v>-21.287979376259987</v>
      </c>
      <c r="AG159" s="686">
        <f t="shared" si="85"/>
        <v>20.99760061966732</v>
      </c>
      <c r="AH159" s="687">
        <f t="shared" si="86"/>
        <v>-82.745034777712689</v>
      </c>
      <c r="AJ159" s="170">
        <f t="shared" si="87"/>
        <v>0</v>
      </c>
      <c r="AK159" s="170">
        <f t="shared" si="99"/>
        <v>0</v>
      </c>
      <c r="AM159" s="170" t="str">
        <f t="shared" si="91"/>
        <v>0.020189928177847+0.199930545829963i</v>
      </c>
      <c r="AN159" s="170" t="str">
        <f t="shared" si="92"/>
        <v>0.201287034937655i</v>
      </c>
      <c r="AO159" s="170" t="str">
        <f t="shared" si="93"/>
        <v>0.993260921608229-0.100304166058686i</v>
      </c>
      <c r="AP159" s="170" t="str">
        <f t="shared" si="94"/>
        <v>0.163301678637025-0.0333217576383272i</v>
      </c>
      <c r="AQ159" s="170" t="str">
        <f t="shared" si="95"/>
        <v>0.836698321362975+0.0333217576383272i</v>
      </c>
      <c r="AR159" s="170" t="str">
        <f t="shared" si="96"/>
        <v>0.99400331973698-0.0395864756343875i</v>
      </c>
    </row>
    <row r="160" spans="7:44">
      <c r="G160" s="688">
        <v>9016.2999999999993</v>
      </c>
      <c r="H160" s="676">
        <f t="shared" si="88"/>
        <v>9.0162999999999993</v>
      </c>
      <c r="I160" s="677">
        <f t="shared" si="66"/>
        <v>47.093440872631085</v>
      </c>
      <c r="J160" s="678">
        <f t="shared" si="67"/>
        <v>1.5495603511147602</v>
      </c>
      <c r="K160" s="678">
        <f t="shared" si="68"/>
        <v>1.0000776631398822</v>
      </c>
      <c r="L160" s="679">
        <f t="shared" si="69"/>
        <v>1.2462593142079793E-2</v>
      </c>
      <c r="M160" s="678">
        <f t="shared" si="70"/>
        <v>1.0011458809763094</v>
      </c>
      <c r="N160" s="679">
        <f t="shared" si="71"/>
        <v>-4.7849510812506817E-2</v>
      </c>
      <c r="O160" s="677">
        <f t="shared" si="72"/>
        <v>169953.25086411199</v>
      </c>
      <c r="P160" s="680">
        <f t="shared" si="73"/>
        <v>1.5707904428238932</v>
      </c>
      <c r="Q160" s="689">
        <f t="shared" si="100"/>
        <v>22.795680158310518</v>
      </c>
      <c r="R160" s="690">
        <f t="shared" si="101"/>
        <v>1.5269142840519383</v>
      </c>
      <c r="S160" s="677">
        <f t="shared" si="76"/>
        <v>1.0567377548961701</v>
      </c>
      <c r="T160" s="680">
        <f t="shared" si="77"/>
        <v>0.3291774162496019</v>
      </c>
      <c r="U160" s="681">
        <f t="shared" si="89"/>
        <v>0.99303810264989156</v>
      </c>
      <c r="V160" s="682">
        <f t="shared" si="90"/>
        <v>-0.14125565851693114</v>
      </c>
      <c r="W160" s="683">
        <f t="shared" si="78"/>
        <v>-5.4998826868964077</v>
      </c>
      <c r="X160" s="684">
        <f t="shared" si="79"/>
        <v>-120.27853783597996</v>
      </c>
      <c r="Y160" s="687">
        <f t="shared" si="80"/>
        <v>59.721462164020039</v>
      </c>
      <c r="AA160" s="170">
        <f t="shared" si="81"/>
        <v>9016.2999999999993</v>
      </c>
      <c r="AB160" s="170">
        <f t="shared" si="82"/>
        <v>81293665.689999983</v>
      </c>
      <c r="AD160" s="686">
        <f t="shared" si="83"/>
        <v>27.176567193788138</v>
      </c>
      <c r="AE160" s="687">
        <f t="shared" si="84"/>
        <v>-21.374395405426046</v>
      </c>
      <c r="AG160" s="686">
        <f t="shared" si="85"/>
        <v>20.948255408694671</v>
      </c>
      <c r="AH160" s="687">
        <f t="shared" si="86"/>
        <v>-82.717436281335225</v>
      </c>
      <c r="AJ160" s="170">
        <f t="shared" si="87"/>
        <v>0</v>
      </c>
      <c r="AK160" s="170">
        <f t="shared" si="99"/>
        <v>0</v>
      </c>
      <c r="AM160" s="170" t="str">
        <f t="shared" si="91"/>
        <v>0.020423585493619+0.201072246077928i</v>
      </c>
      <c r="AN160" s="170" t="str">
        <f t="shared" si="92"/>
        <v>0.202452399838068i</v>
      </c>
      <c r="AO160" s="170" t="str">
        <f t="shared" si="93"/>
        <v>0.993182823413089-0.100880925639582i</v>
      </c>
      <c r="AP160" s="170" t="str">
        <f t="shared" si="94"/>
        <v>0.163262735751064-0.033512041012988i</v>
      </c>
      <c r="AQ160" s="170" t="str">
        <f t="shared" si="95"/>
        <v>0.836737264248936+0.033512041012988i</v>
      </c>
      <c r="AR160" s="170" t="str">
        <f t="shared" si="96"/>
        <v>0.993939178355278-0.0398081117366706i</v>
      </c>
    </row>
    <row r="161" spans="7:44">
      <c r="G161" s="688">
        <v>9068.2000000000007</v>
      </c>
      <c r="H161" s="676">
        <f t="shared" si="88"/>
        <v>9.0682000000000009</v>
      </c>
      <c r="I161" s="677">
        <f t="shared" si="66"/>
        <v>47.364400209531503</v>
      </c>
      <c r="J161" s="678">
        <f t="shared" si="67"/>
        <v>1.5496818546823077</v>
      </c>
      <c r="K161" s="678">
        <f t="shared" si="68"/>
        <v>1.0000785597735524</v>
      </c>
      <c r="L161" s="679">
        <f t="shared" si="69"/>
        <v>1.2534323345557707E-2</v>
      </c>
      <c r="M161" s="678">
        <f t="shared" si="70"/>
        <v>1.001159103220906</v>
      </c>
      <c r="N161" s="679">
        <f t="shared" si="71"/>
        <v>-4.8124520298021438E-2</v>
      </c>
      <c r="O161" s="677">
        <f t="shared" si="72"/>
        <v>170931.54281530518</v>
      </c>
      <c r="P161" s="680">
        <f t="shared" si="73"/>
        <v>1.5707904764996057</v>
      </c>
      <c r="Q161" s="689">
        <f t="shared" si="100"/>
        <v>22.926645804511562</v>
      </c>
      <c r="R161" s="690">
        <f t="shared" si="101"/>
        <v>1.5271651144728466</v>
      </c>
      <c r="S161" s="677">
        <f t="shared" si="76"/>
        <v>1.0573750492447056</v>
      </c>
      <c r="T161" s="680">
        <f t="shared" si="77"/>
        <v>0.33093723718435664</v>
      </c>
      <c r="U161" s="681">
        <f t="shared" si="89"/>
        <v>0.99296305418427366</v>
      </c>
      <c r="V161" s="682">
        <f t="shared" si="90"/>
        <v>-0.14206344940067356</v>
      </c>
      <c r="W161" s="683">
        <f t="shared" si="78"/>
        <v>-5.555581093859332</v>
      </c>
      <c r="X161" s="684">
        <f t="shared" si="79"/>
        <v>-120.42989024830474</v>
      </c>
      <c r="Y161" s="687">
        <f t="shared" si="80"/>
        <v>59.570109751695256</v>
      </c>
      <c r="AA161" s="170">
        <f t="shared" si="81"/>
        <v>9068.2000000000007</v>
      </c>
      <c r="AB161" s="170">
        <f t="shared" si="82"/>
        <v>82232251.24000001</v>
      </c>
      <c r="AD161" s="686">
        <f t="shared" si="83"/>
        <v>27.171235118681551</v>
      </c>
      <c r="AE161" s="687">
        <f t="shared" si="84"/>
        <v>-21.460856122769709</v>
      </c>
      <c r="AG161" s="686">
        <f t="shared" si="85"/>
        <v>20.899201991864452</v>
      </c>
      <c r="AH161" s="687">
        <f t="shared" si="86"/>
        <v>-82.689761959475419</v>
      </c>
      <c r="AJ161" s="170">
        <f t="shared" si="87"/>
        <v>0</v>
      </c>
      <c r="AK161" s="170">
        <f t="shared" si="99"/>
        <v>0</v>
      </c>
      <c r="AM161" s="170" t="str">
        <f t="shared" si="91"/>
        <v>0.020658573147824+0.202213673254662i</v>
      </c>
      <c r="AN161" s="170" t="str">
        <f t="shared" si="92"/>
        <v>0.203617764738481i</v>
      </c>
      <c r="AO161" s="170" t="str">
        <f t="shared" si="93"/>
        <v>0.993104278078966-0.101457616796634i</v>
      </c>
      <c r="AP161" s="170" t="str">
        <f t="shared" si="94"/>
        <v>0.163223571142029-0.033702278875777i</v>
      </c>
      <c r="AQ161" s="170" t="str">
        <f t="shared" si="95"/>
        <v>0.836776428857971+0.033702278875777i</v>
      </c>
      <c r="AR161" s="170" t="str">
        <f t="shared" si="96"/>
        <v>0.993874686149985-0.0400296192447929i</v>
      </c>
    </row>
    <row r="162" spans="7:44">
      <c r="G162" s="688">
        <v>9120.1</v>
      </c>
      <c r="H162" s="676">
        <f t="shared" si="88"/>
        <v>9.1201000000000008</v>
      </c>
      <c r="I162" s="677">
        <f t="shared" si="66"/>
        <v>47.635360237723177</v>
      </c>
      <c r="J162" s="678">
        <f t="shared" si="67"/>
        <v>1.5498019759755075</v>
      </c>
      <c r="K162" s="678">
        <f t="shared" si="68"/>
        <v>1.0000794615528397</v>
      </c>
      <c r="L162" s="679">
        <f t="shared" si="69"/>
        <v>1.2606053420045341E-2</v>
      </c>
      <c r="M162" s="678">
        <f t="shared" si="70"/>
        <v>1.0011724011813798</v>
      </c>
      <c r="N162" s="679">
        <f t="shared" si="71"/>
        <v>-4.8399522498768582E-2</v>
      </c>
      <c r="O162" s="677">
        <f t="shared" si="72"/>
        <v>171909.8347664985</v>
      </c>
      <c r="P162" s="680">
        <f t="shared" si="73"/>
        <v>1.5707905097920394</v>
      </c>
      <c r="Q162" s="689">
        <f t="shared" si="100"/>
        <v>23.057612876777064</v>
      </c>
      <c r="R162" s="690">
        <f t="shared" si="101"/>
        <v>1.5274130954793022</v>
      </c>
      <c r="S162" s="677">
        <f t="shared" si="76"/>
        <v>1.0580156143008694</v>
      </c>
      <c r="T162" s="680">
        <f t="shared" si="77"/>
        <v>0.33269493262491351</v>
      </c>
      <c r="U162" s="681">
        <f t="shared" si="89"/>
        <v>0.9928875911943067</v>
      </c>
      <c r="V162" s="682">
        <f t="shared" si="90"/>
        <v>-0.14287114981477028</v>
      </c>
      <c r="W162" s="683">
        <f t="shared" si="78"/>
        <v>-5.6110204104136985</v>
      </c>
      <c r="X162" s="684">
        <f t="shared" si="79"/>
        <v>-120.58119932423359</v>
      </c>
      <c r="Y162" s="687">
        <f t="shared" si="80"/>
        <v>59.418800675766406</v>
      </c>
      <c r="AA162" s="170">
        <f t="shared" si="81"/>
        <v>9120.1</v>
      </c>
      <c r="AB162" s="170">
        <f t="shared" si="82"/>
        <v>83176224.010000005</v>
      </c>
      <c r="AD162" s="686">
        <f t="shared" si="83"/>
        <v>27.165880969469754</v>
      </c>
      <c r="AE162" s="687">
        <f t="shared" si="84"/>
        <v>-21.547358295728486</v>
      </c>
      <c r="AG162" s="686">
        <f t="shared" si="85"/>
        <v>20.850437091389786</v>
      </c>
      <c r="AH162" s="687">
        <f t="shared" si="86"/>
        <v>-82.662013212662316</v>
      </c>
      <c r="AJ162" s="170">
        <f t="shared" si="87"/>
        <v>0</v>
      </c>
      <c r="AK162" s="170">
        <f t="shared" si="99"/>
        <v>0</v>
      </c>
      <c r="AM162" s="170" t="str">
        <f t="shared" si="91"/>
        <v>0.02089489082133+0.203354825810023i</v>
      </c>
      <c r="AN162" s="170" t="str">
        <f t="shared" si="92"/>
        <v>0.204783129638894i</v>
      </c>
      <c r="AO162" s="170" t="str">
        <f t="shared" si="93"/>
        <v>0.993025285669823-0.102034239139597i</v>
      </c>
      <c r="AP162" s="170" t="str">
        <f t="shared" si="94"/>
        <v>0.163184184863112-0.0338924709683372i</v>
      </c>
      <c r="AQ162" s="170" t="str">
        <f t="shared" si="95"/>
        <v>0.836815815136888+0.0338924709683372i</v>
      </c>
      <c r="AR162" s="170" t="str">
        <f t="shared" si="96"/>
        <v>0.993809843448511-0.0402509974809887i</v>
      </c>
    </row>
    <row r="163" spans="7:44">
      <c r="G163" s="688">
        <v>9173.2000000000007</v>
      </c>
      <c r="H163" s="676">
        <f t="shared" si="88"/>
        <v>9.1732000000000014</v>
      </c>
      <c r="I163" s="677">
        <f t="shared" si="66"/>
        <v>47.912585940884597</v>
      </c>
      <c r="J163" s="678">
        <f t="shared" si="67"/>
        <v>1.5499234685102892</v>
      </c>
      <c r="K163" s="678">
        <f t="shared" si="68"/>
        <v>1.000080389507954</v>
      </c>
      <c r="L163" s="679">
        <f t="shared" si="69"/>
        <v>1.2679441859097201E-2</v>
      </c>
      <c r="M163" s="678">
        <f t="shared" si="70"/>
        <v>1.0011860849681011</v>
      </c>
      <c r="N163" s="679">
        <f t="shared" si="71"/>
        <v>-4.8680875549460774E-2</v>
      </c>
      <c r="O163" s="677">
        <f t="shared" si="72"/>
        <v>172910.74618477171</v>
      </c>
      <c r="P163" s="680">
        <f t="shared" si="73"/>
        <v>1.5707905434643514</v>
      </c>
      <c r="Q163" s="689">
        <f t="shared" si="100"/>
        <v>23.191609540149518</v>
      </c>
      <c r="R163" s="690">
        <f t="shared" si="101"/>
        <v>1.5276639114649986</v>
      </c>
      <c r="S163" s="677">
        <f t="shared" si="76"/>
        <v>1.0586743689346219</v>
      </c>
      <c r="T163" s="680">
        <f t="shared" si="77"/>
        <v>0.33449106135116935</v>
      </c>
      <c r="U163" s="681">
        <f t="shared" si="89"/>
        <v>0.99280995466801503</v>
      </c>
      <c r="V163" s="682">
        <f t="shared" si="90"/>
        <v>-0.14369743124030374</v>
      </c>
      <c r="W163" s="683">
        <f t="shared" si="78"/>
        <v>-5.667476712724314</v>
      </c>
      <c r="X163" s="684">
        <f t="shared" si="79"/>
        <v>-120.73596009414717</v>
      </c>
      <c r="Y163" s="687">
        <f t="shared" si="80"/>
        <v>59.264039905852826</v>
      </c>
      <c r="AA163" s="170">
        <f t="shared" si="81"/>
        <v>9173.2000000000007</v>
      </c>
      <c r="AB163" s="170">
        <f t="shared" si="82"/>
        <v>84147598.24000001</v>
      </c>
      <c r="AD163" s="686">
        <f t="shared" si="83"/>
        <v>27.160380238880656</v>
      </c>
      <c r="AE163" s="687">
        <f t="shared" si="84"/>
        <v>-21.63590012317287</v>
      </c>
      <c r="AG163" s="686">
        <f t="shared" si="85"/>
        <v>20.800839918485856</v>
      </c>
      <c r="AH163" s="687">
        <f t="shared" si="86"/>
        <v>-82.633547278277092</v>
      </c>
      <c r="AJ163" s="170">
        <f t="shared" si="87"/>
        <v>0</v>
      </c>
      <c r="AK163" s="170">
        <f t="shared" si="99"/>
        <v>0</v>
      </c>
      <c r="AM163" s="170" t="str">
        <f t="shared" si="91"/>
        <v>0.021138048655215+0.20452207756005i</v>
      </c>
      <c r="AN163" s="170" t="str">
        <f t="shared" si="92"/>
        <v>0.205975439392496i</v>
      </c>
      <c r="AO163" s="170" t="str">
        <f t="shared" si="93"/>
        <v>0.992944004213645-0.102624122165048i</v>
      </c>
      <c r="AP163" s="170" t="str">
        <f t="shared" si="94"/>
        <v>0.163143658557464-0.034087012926675i</v>
      </c>
      <c r="AQ163" s="170" t="str">
        <f t="shared" si="95"/>
        <v>0.836856341442536+0.034087012926675i</v>
      </c>
      <c r="AR163" s="170" t="str">
        <f t="shared" si="96"/>
        <v>0.9937431390912-0.0404773597934459i</v>
      </c>
    </row>
    <row r="164" spans="7:44">
      <c r="G164" s="688">
        <v>9226.2999999999993</v>
      </c>
      <c r="H164" s="676">
        <f t="shared" si="88"/>
        <v>9.2262999999999984</v>
      </c>
      <c r="I164" s="677">
        <f t="shared" si="66"/>
        <v>48.189812343119797</v>
      </c>
      <c r="J164" s="678">
        <f t="shared" si="67"/>
        <v>1.5500435632020675</v>
      </c>
      <c r="K164" s="678">
        <f t="shared" si="68"/>
        <v>1.0000813228493539</v>
      </c>
      <c r="L164" s="679">
        <f t="shared" si="69"/>
        <v>1.2752830161562518E-2</v>
      </c>
      <c r="M164" s="678">
        <f t="shared" si="70"/>
        <v>1.0011998480060813</v>
      </c>
      <c r="N164" s="679">
        <f t="shared" si="71"/>
        <v>-4.8962220887159319E-2</v>
      </c>
      <c r="O164" s="677">
        <f t="shared" si="72"/>
        <v>173911.65760304502</v>
      </c>
      <c r="P164" s="680">
        <f t="shared" si="73"/>
        <v>1.5707905767490757</v>
      </c>
      <c r="Q164" s="689">
        <f t="shared" si="100"/>
        <v>23.325607645712715</v>
      </c>
      <c r="R164" s="690">
        <f t="shared" si="101"/>
        <v>1.5279118457519827</v>
      </c>
      <c r="S164" s="677">
        <f t="shared" si="76"/>
        <v>1.0593365346807357</v>
      </c>
      <c r="T164" s="680">
        <f t="shared" si="77"/>
        <v>0.33628495042505002</v>
      </c>
      <c r="U164" s="681">
        <f t="shared" si="89"/>
        <v>0.99273188480605945</v>
      </c>
      <c r="V164" s="682">
        <f t="shared" si="90"/>
        <v>-0.14452361692681928</v>
      </c>
      <c r="W164" s="683">
        <f t="shared" si="78"/>
        <v>-5.7236684407789795</v>
      </c>
      <c r="X164" s="684">
        <f t="shared" si="79"/>
        <v>-120.89067161835663</v>
      </c>
      <c r="Y164" s="687">
        <f t="shared" si="80"/>
        <v>59.109328381643365</v>
      </c>
      <c r="AA164" s="170">
        <f t="shared" si="81"/>
        <v>9226.2999999999993</v>
      </c>
      <c r="AB164" s="170">
        <f t="shared" si="82"/>
        <v>85124611.689999983</v>
      </c>
      <c r="AD164" s="686">
        <f t="shared" si="83"/>
        <v>27.154856523821991</v>
      </c>
      <c r="AE164" s="687">
        <f t="shared" si="84"/>
        <v>-21.724478714955531</v>
      </c>
      <c r="AG164" s="686">
        <f t="shared" si="85"/>
        <v>20.75153799346015</v>
      </c>
      <c r="AH164" s="687">
        <f t="shared" si="86"/>
        <v>-82.60500630473274</v>
      </c>
      <c r="AJ164" s="170">
        <f t="shared" si="87"/>
        <v>0</v>
      </c>
      <c r="AK164" s="170">
        <f t="shared" si="99"/>
        <v>0</v>
      </c>
      <c r="AM164" s="170" t="str">
        <f t="shared" si="91"/>
        <v>0.021382598041579+0.205689038561006i</v>
      </c>
      <c r="AN164" s="170" t="str">
        <f t="shared" si="92"/>
        <v>0.207167749146098i</v>
      </c>
      <c r="AO164" s="170" t="str">
        <f t="shared" si="93"/>
        <v>0.992862254906051-0.103213932331232i</v>
      </c>
      <c r="AP164" s="170" t="str">
        <f t="shared" si="94"/>
        <v>0.163102900326403-0.0342815064268343i</v>
      </c>
      <c r="AQ164" s="170" t="str">
        <f t="shared" si="95"/>
        <v>0.836897099673597+0.0342815064268343i</v>
      </c>
      <c r="AR164" s="170" t="str">
        <f t="shared" si="96"/>
        <v>0.99367606854104-0.0407035853549581i</v>
      </c>
    </row>
    <row r="165" spans="7:44">
      <c r="G165" s="688">
        <v>9279.4</v>
      </c>
      <c r="H165" s="676">
        <f t="shared" si="88"/>
        <v>9.279399999999999</v>
      </c>
      <c r="I165" s="677">
        <f t="shared" si="66"/>
        <v>48.467039432432912</v>
      </c>
      <c r="J165" s="678">
        <f t="shared" si="67"/>
        <v>1.5501622840339553</v>
      </c>
      <c r="K165" s="678">
        <f t="shared" si="68"/>
        <v>1.0000822615770248</v>
      </c>
      <c r="L165" s="679">
        <f t="shared" si="69"/>
        <v>1.2826218326651168E-2</v>
      </c>
      <c r="M165" s="678">
        <f t="shared" si="70"/>
        <v>1.0012136902920525</v>
      </c>
      <c r="N165" s="679">
        <f t="shared" si="71"/>
        <v>-4.9243558467643327E-2</v>
      </c>
      <c r="O165" s="677">
        <f t="shared" si="72"/>
        <v>174912.56902131857</v>
      </c>
      <c r="P165" s="680">
        <f t="shared" si="73"/>
        <v>1.5707906096528661</v>
      </c>
      <c r="Q165" s="689">
        <f t="shared" si="100"/>
        <v>23.459607168753863</v>
      </c>
      <c r="R165" s="690">
        <f t="shared" si="101"/>
        <v>1.5281569476896517</v>
      </c>
      <c r="S165" s="677">
        <f t="shared" si="76"/>
        <v>1.0600021051466151</v>
      </c>
      <c r="T165" s="680">
        <f t="shared" si="77"/>
        <v>0.33807659250902172</v>
      </c>
      <c r="U165" s="681">
        <f t="shared" si="89"/>
        <v>0.99265338190351915</v>
      </c>
      <c r="V165" s="682">
        <f t="shared" si="90"/>
        <v>-0.14534970635043351</v>
      </c>
      <c r="W165" s="683">
        <f t="shared" si="78"/>
        <v>-5.779598861191694</v>
      </c>
      <c r="X165" s="684">
        <f t="shared" si="79"/>
        <v>-121.04533199094766</v>
      </c>
      <c r="Y165" s="687">
        <f t="shared" si="80"/>
        <v>58.954668009052341</v>
      </c>
      <c r="AA165" s="170">
        <f t="shared" si="81"/>
        <v>9279.4</v>
      </c>
      <c r="AB165" s="170">
        <f t="shared" si="82"/>
        <v>86107264.359999999</v>
      </c>
      <c r="AD165" s="686">
        <f t="shared" si="83"/>
        <v>27.149309887958708</v>
      </c>
      <c r="AE165" s="687">
        <f t="shared" si="84"/>
        <v>-21.813090823535788</v>
      </c>
      <c r="AG165" s="686">
        <f t="shared" si="85"/>
        <v>20.702527982675477</v>
      </c>
      <c r="AH165" s="687">
        <f t="shared" si="86"/>
        <v>-82.576391693688393</v>
      </c>
      <c r="AJ165" s="170">
        <f t="shared" si="87"/>
        <v>0</v>
      </c>
      <c r="AK165" s="170">
        <f t="shared" si="99"/>
        <v>0</v>
      </c>
      <c r="AM165" s="170" t="str">
        <f t="shared" si="91"/>
        <v>0.021628538632772+0.206855707153934i</v>
      </c>
      <c r="AN165" s="170" t="str">
        <f t="shared" si="92"/>
        <v>0.2083600588997i</v>
      </c>
      <c r="AO165" s="170" t="str">
        <f t="shared" si="93"/>
        <v>0.9927800378167-0.103803669220422i</v>
      </c>
      <c r="AP165" s="170" t="str">
        <f t="shared" si="94"/>
        <v>0.163061910227871-0.0344759511923223i</v>
      </c>
      <c r="AQ165" s="170" t="str">
        <f t="shared" si="95"/>
        <v>0.836938089772129+0.0344759511923223i</v>
      </c>
      <c r="AR165" s="170" t="str">
        <f t="shared" si="96"/>
        <v>0.993608632153992-0.0409296734430355i</v>
      </c>
    </row>
    <row r="166" spans="7:44">
      <c r="G166" s="688">
        <v>9332.5</v>
      </c>
      <c r="H166" s="676">
        <f t="shared" si="88"/>
        <v>9.3324999999999996</v>
      </c>
      <c r="I166" s="677">
        <f t="shared" si="66"/>
        <v>48.74426719710091</v>
      </c>
      <c r="J166" s="678">
        <f t="shared" si="67"/>
        <v>1.5502796544436168</v>
      </c>
      <c r="K166" s="678">
        <f t="shared" si="68"/>
        <v>1.0000832056909514</v>
      </c>
      <c r="L166" s="679">
        <f t="shared" si="69"/>
        <v>1.2899606353573024E-2</v>
      </c>
      <c r="M166" s="678">
        <f t="shared" si="70"/>
        <v>1.0012276118227275</v>
      </c>
      <c r="N166" s="679">
        <f t="shared" si="71"/>
        <v>-4.9524888246699261E-2</v>
      </c>
      <c r="O166" s="677">
        <f t="shared" si="72"/>
        <v>175913.48043959233</v>
      </c>
      <c r="P166" s="680">
        <f t="shared" si="73"/>
        <v>1.5707906421822251</v>
      </c>
      <c r="Q166" s="689">
        <f t="shared" si="100"/>
        <v>23.593608085121335</v>
      </c>
      <c r="R166" s="690">
        <f t="shared" si="101"/>
        <v>1.5283992655076535</v>
      </c>
      <c r="S166" s="677">
        <f t="shared" si="76"/>
        <v>1.0606710739228813</v>
      </c>
      <c r="T166" s="680">
        <f t="shared" si="77"/>
        <v>0.33986598034162246</v>
      </c>
      <c r="U166" s="681">
        <f t="shared" si="89"/>
        <v>0.99257444625700575</v>
      </c>
      <c r="V166" s="682">
        <f t="shared" si="90"/>
        <v>-0.14617569898775087</v>
      </c>
      <c r="W166" s="683">
        <f t="shared" si="78"/>
        <v>-5.8352711824308976</v>
      </c>
      <c r="X166" s="684">
        <f t="shared" si="79"/>
        <v>-121.1999393432894</v>
      </c>
      <c r="Y166" s="687">
        <f t="shared" si="80"/>
        <v>58.800060656710599</v>
      </c>
      <c r="AA166" s="170">
        <f t="shared" si="81"/>
        <v>9332.5</v>
      </c>
      <c r="AB166" s="170">
        <f t="shared" si="82"/>
        <v>87095556.25</v>
      </c>
      <c r="AD166" s="686">
        <f t="shared" si="83"/>
        <v>27.143740396153781</v>
      </c>
      <c r="AE166" s="687">
        <f t="shared" si="84"/>
        <v>-21.90173326987982</v>
      </c>
      <c r="AG166" s="686">
        <f t="shared" si="85"/>
        <v>20.653806609424237</v>
      </c>
      <c r="AH166" s="687">
        <f t="shared" si="86"/>
        <v>-82.547704815523602</v>
      </c>
      <c r="AJ166" s="170">
        <f t="shared" si="87"/>
        <v>0</v>
      </c>
      <c r="AK166" s="170">
        <f t="shared" si="99"/>
        <v>0</v>
      </c>
      <c r="AM166" s="170" t="str">
        <f t="shared" si="91"/>
        <v>0.021875870079162+0.208022081680297i</v>
      </c>
      <c r="AN166" s="170" t="str">
        <f t="shared" si="92"/>
        <v>0.209552368653302i</v>
      </c>
      <c r="AO166" s="170" t="str">
        <f t="shared" si="93"/>
        <v>0.992697353015671-0.104393332414939i</v>
      </c>
      <c r="AP166" s="170" t="str">
        <f t="shared" si="94"/>
        <v>0.16302068832014-0.0346703469467162i</v>
      </c>
      <c r="AQ166" s="170" t="str">
        <f t="shared" si="95"/>
        <v>0.83697931167986+0.0346703469467162i</v>
      </c>
      <c r="AR166" s="170" t="str">
        <f t="shared" si="96"/>
        <v>0.993540830287801-0.0411556233363413i</v>
      </c>
    </row>
    <row r="167" spans="7:44">
      <c r="G167" s="688">
        <v>9386.85</v>
      </c>
      <c r="H167" s="676">
        <f t="shared" si="88"/>
        <v>9.3868500000000008</v>
      </c>
      <c r="I167" s="677">
        <f t="shared" si="66"/>
        <v>49.028021726523754</v>
      </c>
      <c r="J167" s="678">
        <f t="shared" si="67"/>
        <v>1.5503984132352264</v>
      </c>
      <c r="K167" s="678">
        <f t="shared" si="68"/>
        <v>1.000084177607707</v>
      </c>
      <c r="L167" s="679">
        <f t="shared" si="69"/>
        <v>1.2974721826673995E-2</v>
      </c>
      <c r="M167" s="678">
        <f t="shared" si="70"/>
        <v>1.0012419431344506</v>
      </c>
      <c r="N167" s="679">
        <f t="shared" si="71"/>
        <v>-4.9812832541302726E-2</v>
      </c>
      <c r="O167" s="677">
        <f t="shared" si="72"/>
        <v>176937.95380274087</v>
      </c>
      <c r="P167" s="680">
        <f t="shared" si="73"/>
        <v>1.5707906750962164</v>
      </c>
      <c r="Q167" s="689">
        <f t="shared" si="100"/>
        <v>23.7307648669494</v>
      </c>
      <c r="R167" s="690">
        <f t="shared" si="101"/>
        <v>1.5286444536010106</v>
      </c>
      <c r="S167" s="677">
        <f t="shared" si="76"/>
        <v>1.0613593030936079</v>
      </c>
      <c r="T167" s="680">
        <f t="shared" si="77"/>
        <v>0.34169514926562228</v>
      </c>
      <c r="U167" s="681">
        <f t="shared" si="89"/>
        <v>0.99249320459349388</v>
      </c>
      <c r="V167" s="682">
        <f t="shared" si="90"/>
        <v>-0.14702103511977146</v>
      </c>
      <c r="W167" s="683">
        <f t="shared" si="78"/>
        <v>-5.8919900620947772</v>
      </c>
      <c r="X167" s="684">
        <f t="shared" si="79"/>
        <v>-121.3581294091332</v>
      </c>
      <c r="Y167" s="687">
        <f t="shared" si="80"/>
        <v>58.641870590866802</v>
      </c>
      <c r="AA167" s="170">
        <f t="shared" si="81"/>
        <v>9386.85</v>
      </c>
      <c r="AB167" s="170">
        <f t="shared" si="82"/>
        <v>88112952.922499999</v>
      </c>
      <c r="AD167" s="686">
        <f t="shared" si="83"/>
        <v>27.138016195363601</v>
      </c>
      <c r="AE167" s="687">
        <f t="shared" si="84"/>
        <v>-21.992490572241763</v>
      </c>
      <c r="AG167" s="686">
        <f t="shared" si="85"/>
        <v>20.604233859165152</v>
      </c>
      <c r="AH167" s="687">
        <f t="shared" si="86"/>
        <v>-82.518269193625414</v>
      </c>
      <c r="AJ167" s="170">
        <f t="shared" si="87"/>
        <v>0</v>
      </c>
      <c r="AK167" s="170">
        <f t="shared" si="99"/>
        <v>0</v>
      </c>
      <c r="AM167" s="170" t="str">
        <f t="shared" si="91"/>
        <v>0.022130463814607+0.209215606971764i</v>
      </c>
      <c r="AN167" s="170" t="str">
        <f t="shared" si="92"/>
        <v>0.210772745962309i</v>
      </c>
      <c r="AO167" s="170" t="str">
        <f t="shared" si="93"/>
        <v>0.992612237490973-0.104996799816635i</v>
      </c>
      <c r="AP167" s="170" t="str">
        <f t="shared" si="94"/>
        <v>0.162978256030899-0.0348692678286273i</v>
      </c>
      <c r="AQ167" s="170" t="str">
        <f t="shared" si="95"/>
        <v>0.837021743969101+0.0348692678286273i</v>
      </c>
      <c r="AR167" s="170" t="str">
        <f t="shared" si="96"/>
        <v>0.993471054221983-0.0413867483362939i</v>
      </c>
    </row>
    <row r="168" spans="7:44">
      <c r="G168" s="688">
        <v>9441.2000000000007</v>
      </c>
      <c r="H168" s="676">
        <f t="shared" si="88"/>
        <v>9.4412000000000003</v>
      </c>
      <c r="I168" s="677">
        <f t="shared" si="66"/>
        <v>49.311776939462789</v>
      </c>
      <c r="J168" s="678">
        <f t="shared" si="67"/>
        <v>1.5505158052788555</v>
      </c>
      <c r="K168" s="678">
        <f t="shared" si="68"/>
        <v>1.0000851551672609</v>
      </c>
      <c r="L168" s="679">
        <f t="shared" si="69"/>
        <v>1.3049837153351597E-2</v>
      </c>
      <c r="M168" s="678">
        <f t="shared" si="70"/>
        <v>1.0012563574586819</v>
      </c>
      <c r="N168" s="679">
        <f t="shared" si="71"/>
        <v>-5.0100768569150106E-2</v>
      </c>
      <c r="O168" s="677">
        <f t="shared" si="72"/>
        <v>177962.42716588962</v>
      </c>
      <c r="P168" s="680">
        <f t="shared" si="73"/>
        <v>1.5707907076312566</v>
      </c>
      <c r="Q168" s="689">
        <f t="shared" si="100"/>
        <v>23.867923059008383</v>
      </c>
      <c r="R168" s="690">
        <f t="shared" si="101"/>
        <v>1.5288868237379591</v>
      </c>
      <c r="S168" s="677">
        <f t="shared" si="76"/>
        <v>1.0620510788134991</v>
      </c>
      <c r="T168" s="680">
        <f t="shared" si="77"/>
        <v>0.34352194140669606</v>
      </c>
      <c r="U168" s="681">
        <f t="shared" si="89"/>
        <v>0.99241151020582341</v>
      </c>
      <c r="V168" s="682">
        <f t="shared" si="90"/>
        <v>-0.14786626874718406</v>
      </c>
      <c r="W168" s="683">
        <f t="shared" si="78"/>
        <v>-5.9484451688339686</v>
      </c>
      <c r="X168" s="684">
        <f t="shared" si="79"/>
        <v>-121.51626008341015</v>
      </c>
      <c r="Y168" s="687">
        <f t="shared" si="80"/>
        <v>58.483739916589855</v>
      </c>
      <c r="AA168" s="170">
        <f t="shared" si="81"/>
        <v>9441.2000000000007</v>
      </c>
      <c r="AB168" s="170">
        <f t="shared" si="82"/>
        <v>89136257.440000013</v>
      </c>
      <c r="AD168" s="686">
        <f t="shared" si="83"/>
        <v>27.132268191062696</v>
      </c>
      <c r="AE168" s="687">
        <f t="shared" si="84"/>
        <v>-22.083273130270037</v>
      </c>
      <c r="AG168" s="686">
        <f t="shared" si="85"/>
        <v>20.554956726499146</v>
      </c>
      <c r="AH168" s="687">
        <f t="shared" si="86"/>
        <v>-82.488760670656816</v>
      </c>
      <c r="AJ168" s="170">
        <f t="shared" si="87"/>
        <v>0</v>
      </c>
      <c r="AK168" s="170">
        <f t="shared" si="99"/>
        <v>0</v>
      </c>
      <c r="AM168" s="170" t="str">
        <f t="shared" si="91"/>
        <v>0.022386513911287+0.21040882067412i</v>
      </c>
      <c r="AN168" s="170" t="str">
        <f t="shared" si="92"/>
        <v>0.211993123271316i</v>
      </c>
      <c r="AO168" s="170" t="str">
        <f t="shared" si="93"/>
        <v>0.992526632124909-0.105600189128003i</v>
      </c>
      <c r="AP168" s="170" t="str">
        <f t="shared" si="94"/>
        <v>0.162935581014786-0.03506813677902i</v>
      </c>
      <c r="AQ168" s="170" t="str">
        <f t="shared" si="95"/>
        <v>0.837064418985214+0.03506813677902i</v>
      </c>
      <c r="AR168" s="170" t="str">
        <f t="shared" si="96"/>
        <v>0.993400896031468-0.0416177270330826i</v>
      </c>
    </row>
    <row r="169" spans="7:44">
      <c r="G169" s="688">
        <v>9495.5499999999993</v>
      </c>
      <c r="H169" s="676">
        <f t="shared" si="88"/>
        <v>9.4955499999999997</v>
      </c>
      <c r="I169" s="677">
        <f t="shared" si="66"/>
        <v>49.595532824186023</v>
      </c>
      <c r="J169" s="678">
        <f t="shared" si="67"/>
        <v>1.5506318540303763</v>
      </c>
      <c r="K169" s="678">
        <f t="shared" si="68"/>
        <v>1.0000861383695965</v>
      </c>
      <c r="L169" s="679">
        <f t="shared" si="69"/>
        <v>1.3124952332758613E-2</v>
      </c>
      <c r="M169" s="678">
        <f t="shared" si="70"/>
        <v>1.0012708547918363</v>
      </c>
      <c r="N169" s="679">
        <f t="shared" si="71"/>
        <v>-5.038869628285552E-2</v>
      </c>
      <c r="O169" s="677">
        <f t="shared" si="72"/>
        <v>178986.90052903851</v>
      </c>
      <c r="P169" s="680">
        <f t="shared" si="73"/>
        <v>1.5707907397938532</v>
      </c>
      <c r="Q169" s="689">
        <f t="shared" si="100"/>
        <v>24.005082637125312</v>
      </c>
      <c r="R169" s="690">
        <f t="shared" si="101"/>
        <v>1.5291264241932609</v>
      </c>
      <c r="S169" s="677">
        <f t="shared" si="76"/>
        <v>1.0627463941568673</v>
      </c>
      <c r="T169" s="680">
        <f t="shared" si="77"/>
        <v>0.34534634922552659</v>
      </c>
      <c r="U169" s="681">
        <f t="shared" si="89"/>
        <v>0.99232936341694711</v>
      </c>
      <c r="V169" s="682">
        <f t="shared" si="90"/>
        <v>-0.14871139931045202</v>
      </c>
      <c r="W169" s="683">
        <f t="shared" si="78"/>
        <v>-6.0046397624056391</v>
      </c>
      <c r="X169" s="684">
        <f t="shared" si="79"/>
        <v>-121.6743294777787</v>
      </c>
      <c r="Y169" s="687">
        <f t="shared" si="80"/>
        <v>58.325670522221301</v>
      </c>
      <c r="AA169" s="170">
        <f t="shared" si="81"/>
        <v>9495.5499999999993</v>
      </c>
      <c r="AB169" s="170">
        <f t="shared" si="82"/>
        <v>90165469.80249998</v>
      </c>
      <c r="AD169" s="686">
        <f t="shared" si="83"/>
        <v>27.126496456443054</v>
      </c>
      <c r="AE169" s="687">
        <f t="shared" si="84"/>
        <v>-22.174077746426288</v>
      </c>
      <c r="AG169" s="686">
        <f t="shared" si="85"/>
        <v>20.505971874799734</v>
      </c>
      <c r="AH169" s="687">
        <f t="shared" si="86"/>
        <v>-82.459180619932937</v>
      </c>
      <c r="AJ169" s="170">
        <f t="shared" si="87"/>
        <v>0</v>
      </c>
      <c r="AK169" s="170">
        <f t="shared" si="99"/>
        <v>0</v>
      </c>
      <c r="AM169" s="170" t="str">
        <f t="shared" si="91"/>
        <v>0.022644019987863+0.211601721010286i</v>
      </c>
      <c r="AN169" s="170" t="str">
        <f t="shared" si="92"/>
        <v>0.213213500580323i</v>
      </c>
      <c r="AO169" s="170" t="str">
        <f t="shared" si="93"/>
        <v>0.992440536993905-0.106203499901416i</v>
      </c>
      <c r="AP169" s="170" t="str">
        <f t="shared" si="94"/>
        <v>0.162892663335356-0.0352669535017143i</v>
      </c>
      <c r="AQ169" s="170" t="str">
        <f t="shared" si="95"/>
        <v>0.837107336664644+0.0352669535017143i</v>
      </c>
      <c r="AR169" s="170" t="str">
        <f t="shared" si="96"/>
        <v>0.993330356105634-0.0418485586570039i</v>
      </c>
    </row>
    <row r="170" spans="7:44">
      <c r="G170" s="688">
        <v>9549.9</v>
      </c>
      <c r="H170" s="676">
        <f t="shared" si="88"/>
        <v>9.5498999999999992</v>
      </c>
      <c r="I170" s="677">
        <f t="shared" si="66"/>
        <v>49.879289369228431</v>
      </c>
      <c r="J170" s="678">
        <f t="shared" si="67"/>
        <v>1.5507465824120592</v>
      </c>
      <c r="K170" s="678">
        <f t="shared" si="68"/>
        <v>1.0000871272146969</v>
      </c>
      <c r="L170" s="679">
        <f t="shared" si="69"/>
        <v>1.3200067364047836E-2</v>
      </c>
      <c r="M170" s="678">
        <f t="shared" si="70"/>
        <v>1.0012854351303082</v>
      </c>
      <c r="N170" s="679">
        <f t="shared" si="71"/>
        <v>-5.0676615635041389E-2</v>
      </c>
      <c r="O170" s="677">
        <f t="shared" si="72"/>
        <v>180011.37389218761</v>
      </c>
      <c r="P170" s="680">
        <f t="shared" si="73"/>
        <v>1.5707907715903648</v>
      </c>
      <c r="Q170" s="689">
        <f t="shared" si="100"/>
        <v>24.142243577676314</v>
      </c>
      <c r="R170" s="690">
        <f t="shared" si="101"/>
        <v>1.5293633021459008</v>
      </c>
      <c r="S170" s="677">
        <f t="shared" si="76"/>
        <v>1.0634452421807468</v>
      </c>
      <c r="T170" s="680">
        <f t="shared" si="77"/>
        <v>0.34716836526595285</v>
      </c>
      <c r="U170" s="681">
        <f t="shared" si="89"/>
        <v>0.99224676455147798</v>
      </c>
      <c r="V170" s="682">
        <f t="shared" si="90"/>
        <v>-0.14955642625060298</v>
      </c>
      <c r="W170" s="683">
        <f t="shared" si="78"/>
        <v>-6.0605770444078644</v>
      </c>
      <c r="X170" s="684">
        <f t="shared" si="79"/>
        <v>-121.83233574089658</v>
      </c>
      <c r="Y170" s="687">
        <f t="shared" si="80"/>
        <v>58.167664259103418</v>
      </c>
      <c r="AA170" s="170">
        <f t="shared" si="81"/>
        <v>9549.9</v>
      </c>
      <c r="AB170" s="170">
        <f t="shared" si="82"/>
        <v>91200590.00999999</v>
      </c>
      <c r="AD170" s="686">
        <f t="shared" si="83"/>
        <v>27.120701065841104</v>
      </c>
      <c r="AE170" s="687">
        <f t="shared" si="84"/>
        <v>-22.264901290711581</v>
      </c>
      <c r="AG170" s="686">
        <f t="shared" si="85"/>
        <v>20.457276024435625</v>
      </c>
      <c r="AH170" s="687">
        <f t="shared" si="86"/>
        <v>-82.429530384163883</v>
      </c>
      <c r="AJ170" s="170">
        <f t="shared" si="87"/>
        <v>0</v>
      </c>
      <c r="AK170" s="170">
        <f t="shared" si="99"/>
        <v>0</v>
      </c>
      <c r="AM170" s="170" t="str">
        <f t="shared" si="91"/>
        <v>0.0229029816608251+0.212794306203652i</v>
      </c>
      <c r="AN170" s="170" t="str">
        <f t="shared" si="92"/>
        <v>0.21443387788933i</v>
      </c>
      <c r="AO170" s="170" t="str">
        <f t="shared" si="93"/>
        <v>0.992353952174832-0.106806731689315i</v>
      </c>
      <c r="AP170" s="170" t="str">
        <f t="shared" si="94"/>
        <v>0.162849503056529-0.0354657177006087i</v>
      </c>
      <c r="AQ170" s="170" t="str">
        <f t="shared" si="95"/>
        <v>0.837150496943471+0.0354657177006087i</v>
      </c>
      <c r="AR170" s="170" t="str">
        <f t="shared" si="96"/>
        <v>0.993259434835799-0.0420792424396438i</v>
      </c>
    </row>
    <row r="171" spans="7:44">
      <c r="G171" s="688">
        <v>9605.5249999999996</v>
      </c>
      <c r="H171" s="676">
        <f t="shared" si="88"/>
        <v>9.6055250000000001</v>
      </c>
      <c r="I171" s="677">
        <f t="shared" si="66"/>
        <v>50.169703248595376</v>
      </c>
      <c r="J171" s="678">
        <f t="shared" si="67"/>
        <v>1.5508626583953833</v>
      </c>
      <c r="K171" s="678">
        <f t="shared" si="68"/>
        <v>1.0000881451000372</v>
      </c>
      <c r="L171" s="679">
        <f t="shared" si="69"/>
        <v>1.3276944369231275E-2</v>
      </c>
      <c r="M171" s="678">
        <f t="shared" si="70"/>
        <v>1.0013004434550528</v>
      </c>
      <c r="N171" s="679">
        <f t="shared" si="71"/>
        <v>-5.0971280597573686E-2</v>
      </c>
      <c r="O171" s="677">
        <f t="shared" si="72"/>
        <v>181059.88043910902</v>
      </c>
      <c r="P171" s="680">
        <f t="shared" si="73"/>
        <v>1.5707908037602101</v>
      </c>
      <c r="Q171" s="689">
        <f t="shared" si="100"/>
        <v>24.282623571844145</v>
      </c>
      <c r="R171" s="690">
        <f t="shared" si="101"/>
        <v>1.5296029660966999</v>
      </c>
      <c r="S171" s="677">
        <f t="shared" si="76"/>
        <v>1.0641641352228861</v>
      </c>
      <c r="T171" s="680">
        <f t="shared" si="77"/>
        <v>0.34903063979935134</v>
      </c>
      <c r="U171" s="681">
        <f t="shared" si="89"/>
        <v>0.9921617602256817</v>
      </c>
      <c r="V171" s="682">
        <f t="shared" si="90"/>
        <v>-0.15042116884913007</v>
      </c>
      <c r="W171" s="683">
        <f t="shared" si="78"/>
        <v>-6.1175634071693841</v>
      </c>
      <c r="X171" s="684">
        <f t="shared" si="79"/>
        <v>-121.99398141844681</v>
      </c>
      <c r="Y171" s="687">
        <f t="shared" si="80"/>
        <v>58.006018581553192</v>
      </c>
      <c r="AA171" s="170">
        <f t="shared" si="81"/>
        <v>9605.5249999999996</v>
      </c>
      <c r="AB171" s="170">
        <f t="shared" si="82"/>
        <v>92266110.52562499</v>
      </c>
      <c r="AD171" s="686">
        <f t="shared" si="83"/>
        <v>27.114745304635797</v>
      </c>
      <c r="AE171" s="687">
        <f t="shared" si="84"/>
        <v>-22.357871872190383</v>
      </c>
      <c r="AG171" s="686">
        <f t="shared" si="85"/>
        <v>20.407733701495143</v>
      </c>
      <c r="AH171" s="687">
        <f t="shared" si="86"/>
        <v>-82.399113277600506</v>
      </c>
      <c r="AJ171" s="170">
        <f t="shared" si="87"/>
        <v>0</v>
      </c>
      <c r="AK171" s="170">
        <f t="shared" si="99"/>
        <v>0</v>
      </c>
      <c r="AM171" s="170" t="str">
        <f t="shared" si="91"/>
        <v>0.023169525146446+0.214014540154121i</v>
      </c>
      <c r="AN171" s="170" t="str">
        <f t="shared" si="92"/>
        <v>0.21568288410485i</v>
      </c>
      <c r="AO171" s="170" t="str">
        <f t="shared" si="93"/>
        <v>0.992264829183581-0.107424032475301i</v>
      </c>
      <c r="AP171" s="170" t="str">
        <f t="shared" si="94"/>
        <v>0.162805079142259-0.0356690900256868i</v>
      </c>
      <c r="AQ171" s="170" t="str">
        <f t="shared" si="95"/>
        <v>0.837194920857741+0.0356690900256868i</v>
      </c>
      <c r="AR171" s="170" t="str">
        <f t="shared" si="96"/>
        <v>0.99318645536202-0.0423151839625415i</v>
      </c>
    </row>
    <row r="172" spans="7:44">
      <c r="G172" s="688">
        <v>9661.15</v>
      </c>
      <c r="H172" s="676">
        <f t="shared" si="88"/>
        <v>9.6611499999999992</v>
      </c>
      <c r="I172" s="677">
        <f t="shared" si="66"/>
        <v>50.46011779614971</v>
      </c>
      <c r="J172" s="678">
        <f t="shared" si="67"/>
        <v>1.5509773982694388</v>
      </c>
      <c r="K172" s="678">
        <f t="shared" si="68"/>
        <v>1.0000891688959601</v>
      </c>
      <c r="L172" s="679">
        <f t="shared" si="69"/>
        <v>1.3353821217470365E-2</v>
      </c>
      <c r="M172" s="678">
        <f t="shared" si="70"/>
        <v>1.001315538717541</v>
      </c>
      <c r="N172" s="679">
        <f t="shared" si="71"/>
        <v>-5.126593670128745E-2</v>
      </c>
      <c r="O172" s="677">
        <f t="shared" si="72"/>
        <v>182108.38698603064</v>
      </c>
      <c r="P172" s="680">
        <f t="shared" si="73"/>
        <v>1.5707908355596134</v>
      </c>
      <c r="Q172" s="689">
        <f t="shared" si="100"/>
        <v>24.423004944743088</v>
      </c>
      <c r="R172" s="690">
        <f t="shared" si="101"/>
        <v>1.5298398749246187</v>
      </c>
      <c r="S172" s="677">
        <f t="shared" si="76"/>
        <v>1.0648867138665328</v>
      </c>
      <c r="T172" s="680">
        <f t="shared" si="77"/>
        <v>0.35089039348328016</v>
      </c>
      <c r="U172" s="681">
        <f t="shared" si="89"/>
        <v>0.99207628305719331</v>
      </c>
      <c r="V172" s="682">
        <f t="shared" si="90"/>
        <v>-0.15128580172281378</v>
      </c>
      <c r="W172" s="683">
        <f t="shared" si="78"/>
        <v>-6.1742868491019234</v>
      </c>
      <c r="X172" s="684">
        <f t="shared" si="79"/>
        <v>-122.15555715887675</v>
      </c>
      <c r="Y172" s="687">
        <f t="shared" si="80"/>
        <v>57.844442841123254</v>
      </c>
      <c r="AA172" s="170">
        <f t="shared" si="81"/>
        <v>9661.15</v>
      </c>
      <c r="AB172" s="170">
        <f t="shared" si="82"/>
        <v>93337819.32249999</v>
      </c>
      <c r="AD172" s="686">
        <f t="shared" si="83"/>
        <v>27.108764925595324</v>
      </c>
      <c r="AE172" s="687">
        <f t="shared" si="84"/>
        <v>-22.450855855322128</v>
      </c>
      <c r="AG172" s="686">
        <f t="shared" si="85"/>
        <v>20.358487324456949</v>
      </c>
      <c r="AH172" s="687">
        <f t="shared" si="86"/>
        <v>-82.368625405804778</v>
      </c>
      <c r="AJ172" s="170">
        <f t="shared" si="87"/>
        <v>0</v>
      </c>
      <c r="AK172" s="170">
        <f t="shared" si="99"/>
        <v>0</v>
      </c>
      <c r="AM172" s="170" t="str">
        <f t="shared" si="91"/>
        <v>0.023437592503553+0.215234440238413i</v>
      </c>
      <c r="AN172" s="170" t="str">
        <f t="shared" si="92"/>
        <v>0.21693189032037i</v>
      </c>
      <c r="AO172" s="170" t="str">
        <f t="shared" si="93"/>
        <v>0.992175193423843-0.108041249578104i</v>
      </c>
      <c r="AP172" s="170" t="str">
        <f t="shared" si="94"/>
        <v>0.162760401249408-0.0358724067064022i</v>
      </c>
      <c r="AQ172" s="170" t="str">
        <f t="shared" si="95"/>
        <v>0.837239598750592+0.0358724067064022i</v>
      </c>
      <c r="AR172" s="170" t="str">
        <f t="shared" si="96"/>
        <v>0.993113077278018-0.0425509690018571i</v>
      </c>
    </row>
    <row r="173" spans="7:44">
      <c r="G173" s="688">
        <v>9716.7749999999996</v>
      </c>
      <c r="H173" s="676">
        <f t="shared" si="88"/>
        <v>9.7167750000000002</v>
      </c>
      <c r="I173" s="677">
        <f t="shared" si="66"/>
        <v>50.750533000420546</v>
      </c>
      <c r="J173" s="678">
        <f t="shared" si="67"/>
        <v>1.551090824968461</v>
      </c>
      <c r="K173" s="678">
        <f t="shared" si="68"/>
        <v>1.0000901986024475</v>
      </c>
      <c r="L173" s="679">
        <f t="shared" si="69"/>
        <v>1.3430697907856897E-2</v>
      </c>
      <c r="M173" s="678">
        <f t="shared" si="70"/>
        <v>1.0013307209138411</v>
      </c>
      <c r="N173" s="679">
        <f t="shared" si="71"/>
        <v>-5.1560583895419079E-2</v>
      </c>
      <c r="O173" s="677">
        <f t="shared" si="72"/>
        <v>183156.89353295241</v>
      </c>
      <c r="P173" s="680">
        <f t="shared" si="73"/>
        <v>1.5707908669949364</v>
      </c>
      <c r="Q173" s="689">
        <f t="shared" si="100"/>
        <v>24.563387672734528</v>
      </c>
      <c r="R173" s="690">
        <f t="shared" si="101"/>
        <v>1.5300740758404134</v>
      </c>
      <c r="S173" s="677">
        <f t="shared" si="76"/>
        <v>1.0656129706142075</v>
      </c>
      <c r="T173" s="680">
        <f t="shared" si="77"/>
        <v>0.35274761859433035</v>
      </c>
      <c r="U173" s="681">
        <f t="shared" si="89"/>
        <v>0.99199033339935927</v>
      </c>
      <c r="V173" s="682">
        <f t="shared" si="90"/>
        <v>-0.15215032427429565</v>
      </c>
      <c r="W173" s="683">
        <f t="shared" si="78"/>
        <v>-6.2307506217881468</v>
      </c>
      <c r="X173" s="684">
        <f t="shared" si="79"/>
        <v>-122.31706109200726</v>
      </c>
      <c r="Y173" s="687">
        <f t="shared" si="80"/>
        <v>57.682938907992735</v>
      </c>
      <c r="AA173" s="170">
        <f t="shared" si="81"/>
        <v>9716.7749999999996</v>
      </c>
      <c r="AB173" s="170">
        <f t="shared" si="82"/>
        <v>94415716.40062499</v>
      </c>
      <c r="AD173" s="686">
        <f t="shared" si="83"/>
        <v>27.102760011882051</v>
      </c>
      <c r="AE173" s="687">
        <f t="shared" si="84"/>
        <v>-22.543850092975482</v>
      </c>
      <c r="AG173" s="686">
        <f t="shared" si="85"/>
        <v>20.309533554550363</v>
      </c>
      <c r="AH173" s="687">
        <f t="shared" si="86"/>
        <v>-82.338068114181169</v>
      </c>
      <c r="AJ173" s="170">
        <f t="shared" si="87"/>
        <v>0</v>
      </c>
      <c r="AK173" s="170">
        <f t="shared" si="99"/>
        <v>0</v>
      </c>
      <c r="AM173" s="170" t="str">
        <f t="shared" si="91"/>
        <v>0.023707183313957+0.216454004553466i</v>
      </c>
      <c r="AN173" s="170" t="str">
        <f t="shared" si="92"/>
        <v>0.21818089653589i</v>
      </c>
      <c r="AO173" s="170" t="str">
        <f t="shared" si="93"/>
        <v>0.992085044979454-0.108658382518184i</v>
      </c>
      <c r="AP173" s="170" t="str">
        <f t="shared" si="94"/>
        <v>0.162715469447674-0.0360756674255777i</v>
      </c>
      <c r="AQ173" s="170" t="str">
        <f t="shared" si="95"/>
        <v>0.837284530552326+0.0360756674255777i</v>
      </c>
      <c r="AR173" s="170" t="str">
        <f t="shared" si="96"/>
        <v>0.993039301009568-0.0427865967380493i</v>
      </c>
    </row>
    <row r="174" spans="7:44">
      <c r="G174" s="688">
        <v>9772.4</v>
      </c>
      <c r="H174" s="676">
        <f t="shared" si="88"/>
        <v>9.7723999999999993</v>
      </c>
      <c r="I174" s="677">
        <f t="shared" si="66"/>
        <v>51.040948850198021</v>
      </c>
      <c r="J174" s="678">
        <f t="shared" si="67"/>
        <v>1.5512029609048521</v>
      </c>
      <c r="K174" s="678">
        <f t="shared" si="68"/>
        <v>1.0000912342194814</v>
      </c>
      <c r="L174" s="679">
        <f t="shared" si="69"/>
        <v>1.3507574439482681E-2</v>
      </c>
      <c r="M174" s="678">
        <f t="shared" si="70"/>
        <v>1.0013459900399988</v>
      </c>
      <c r="N174" s="679">
        <f t="shared" si="71"/>
        <v>-5.185522212921425E-2</v>
      </c>
      <c r="O174" s="677">
        <f t="shared" si="72"/>
        <v>184205.40007987438</v>
      </c>
      <c r="P174" s="680">
        <f t="shared" si="73"/>
        <v>1.5707908980723968</v>
      </c>
      <c r="Q174" s="689">
        <f t="shared" si="100"/>
        <v>24.703771732716945</v>
      </c>
      <c r="R174" s="690">
        <f t="shared" si="101"/>
        <v>1.5303056149829066</v>
      </c>
      <c r="S174" s="677">
        <f t="shared" si="76"/>
        <v>1.0663428979507443</v>
      </c>
      <c r="T174" s="680">
        <f t="shared" si="77"/>
        <v>0.35460230749985433</v>
      </c>
      <c r="U174" s="681">
        <f t="shared" si="89"/>
        <v>0.99190391160729441</v>
      </c>
      <c r="V174" s="682">
        <f t="shared" si="90"/>
        <v>-0.15301473590685241</v>
      </c>
      <c r="W174" s="683">
        <f t="shared" si="78"/>
        <v>-6.2869579186594384</v>
      </c>
      <c r="X174" s="684">
        <f t="shared" si="79"/>
        <v>-122.47849138440674</v>
      </c>
      <c r="Y174" s="687">
        <f t="shared" si="80"/>
        <v>57.521508615593262</v>
      </c>
      <c r="AA174" s="170">
        <f t="shared" si="81"/>
        <v>9772.4</v>
      </c>
      <c r="AB174" s="170">
        <f t="shared" si="82"/>
        <v>95499801.75999999</v>
      </c>
      <c r="AD174" s="686">
        <f t="shared" si="83"/>
        <v>27.096730647747755</v>
      </c>
      <c r="AE174" s="687">
        <f t="shared" si="84"/>
        <v>-22.636851504628392</v>
      </c>
      <c r="AG174" s="686">
        <f t="shared" si="85"/>
        <v>20.260869110046048</v>
      </c>
      <c r="AH174" s="687">
        <f t="shared" si="86"/>
        <v>-82.307442718199511</v>
      </c>
      <c r="AJ174" s="170">
        <f t="shared" si="87"/>
        <v>0</v>
      </c>
      <c r="AK174" s="170">
        <f t="shared" si="99"/>
        <v>0</v>
      </c>
      <c r="AM174" s="170" t="str">
        <f t="shared" si="91"/>
        <v>0.023978297157091+0.217673231196738i</v>
      </c>
      <c r="AN174" s="170" t="str">
        <f t="shared" si="92"/>
        <v>0.21942990275141i</v>
      </c>
      <c r="AO174" s="170" t="str">
        <f t="shared" si="93"/>
        <v>0.991994383934709-0.109275430816081i</v>
      </c>
      <c r="AP174" s="170" t="str">
        <f t="shared" si="94"/>
        <v>0.162670283807152-0.036278871866123i</v>
      </c>
      <c r="AQ174" s="170" t="str">
        <f t="shared" si="95"/>
        <v>0.837329716192848+0.036278871866123i</v>
      </c>
      <c r="AR174" s="170" t="str">
        <f t="shared" si="96"/>
        <v>0.992965126984543-0.043022066353016i</v>
      </c>
    </row>
    <row r="175" spans="7:44">
      <c r="G175" s="688">
        <v>9829.2999999999993</v>
      </c>
      <c r="H175" s="676">
        <f t="shared" si="88"/>
        <v>9.8292999999999999</v>
      </c>
      <c r="I175" s="677">
        <f t="shared" si="66"/>
        <v>51.338022079273479</v>
      </c>
      <c r="J175" s="678">
        <f t="shared" si="67"/>
        <v>1.5513163545017965</v>
      </c>
      <c r="K175" s="678">
        <f t="shared" si="68"/>
        <v>1.0000922996895505</v>
      </c>
      <c r="L175" s="679">
        <f t="shared" si="69"/>
        <v>1.3586212919659271E-2</v>
      </c>
      <c r="M175" s="678">
        <f t="shared" si="70"/>
        <v>1.0013616990924876</v>
      </c>
      <c r="N175" s="679">
        <f t="shared" si="71"/>
        <v>-5.2156604544924115E-2</v>
      </c>
      <c r="O175" s="677">
        <f t="shared" si="72"/>
        <v>185277.93981056864</v>
      </c>
      <c r="P175" s="680">
        <f t="shared" si="73"/>
        <v>1.5707909294982674</v>
      </c>
      <c r="Q175" s="689">
        <f t="shared" si="100"/>
        <v>24.847374939236154</v>
      </c>
      <c r="R175" s="690">
        <f t="shared" si="101"/>
        <v>1.5305397543349679</v>
      </c>
      <c r="S175" s="677">
        <f t="shared" si="76"/>
        <v>1.0670933461082357</v>
      </c>
      <c r="T175" s="680">
        <f t="shared" si="77"/>
        <v>0.35649687644175521</v>
      </c>
      <c r="U175" s="681">
        <f t="shared" si="89"/>
        <v>0.99181502079216022</v>
      </c>
      <c r="V175" s="682">
        <f t="shared" si="90"/>
        <v>-0.15389884563641679</v>
      </c>
      <c r="W175" s="683">
        <f t="shared" si="78"/>
        <v>-6.3441914709535485</v>
      </c>
      <c r="X175" s="684">
        <f t="shared" si="79"/>
        <v>-122.64354381091894</v>
      </c>
      <c r="Y175" s="687">
        <f t="shared" si="80"/>
        <v>57.356456189081058</v>
      </c>
      <c r="AA175" s="170">
        <f t="shared" si="81"/>
        <v>9829.2999999999993</v>
      </c>
      <c r="AB175" s="170">
        <f t="shared" si="82"/>
        <v>96615138.48999998</v>
      </c>
      <c r="AD175" s="686">
        <f t="shared" si="83"/>
        <v>27.090537873897471</v>
      </c>
      <c r="AE175" s="687">
        <f t="shared" si="84"/>
        <v>-22.731988912983294</v>
      </c>
      <c r="AG175" s="686">
        <f t="shared" si="85"/>
        <v>20.21138519693833</v>
      </c>
      <c r="AH175" s="687">
        <f t="shared" si="86"/>
        <v>-82.27604622398006</v>
      </c>
      <c r="AJ175" s="170">
        <f t="shared" si="87"/>
        <v>0</v>
      </c>
      <c r="AK175" s="170">
        <f t="shared" si="99"/>
        <v>0</v>
      </c>
      <c r="AM175" s="170" t="str">
        <f t="shared" si="91"/>
        <v>0.024257200651873+0.21892005280531i</v>
      </c>
      <c r="AN175" s="170" t="str">
        <f t="shared" si="92"/>
        <v>0.220707537873443i</v>
      </c>
      <c r="AO175" s="170" t="str">
        <f t="shared" si="93"/>
        <v>0.991901114545721-0.109906534618598i</v>
      </c>
      <c r="AP175" s="170" t="str">
        <f t="shared" si="94"/>
        <v>0.162623799891355-0.0364866754675517i</v>
      </c>
      <c r="AQ175" s="170" t="str">
        <f t="shared" si="95"/>
        <v>0.837376200108645+0.0364866754675517i</v>
      </c>
      <c r="AR175" s="170" t="str">
        <f t="shared" si="96"/>
        <v>0.992888841702396-0.0432627687983589i</v>
      </c>
    </row>
    <row r="176" spans="7:44">
      <c r="G176" s="688">
        <v>9886.2000000000007</v>
      </c>
      <c r="H176" s="676">
        <f t="shared" si="88"/>
        <v>9.8862000000000005</v>
      </c>
      <c r="I176" s="677">
        <f t="shared" si="66"/>
        <v>51.635095960863111</v>
      </c>
      <c r="J176" s="678">
        <f t="shared" si="67"/>
        <v>1.5514284433180094</v>
      </c>
      <c r="K176" s="678">
        <f t="shared" si="68"/>
        <v>1.000093371344188</v>
      </c>
      <c r="L176" s="679">
        <f t="shared" si="69"/>
        <v>1.3664851231791317E-2</v>
      </c>
      <c r="M176" s="678">
        <f t="shared" si="70"/>
        <v>1.0013774990971633</v>
      </c>
      <c r="N176" s="679">
        <f t="shared" si="71"/>
        <v>-5.2457977477421057E-2</v>
      </c>
      <c r="O176" s="677">
        <f t="shared" si="72"/>
        <v>186350.47954126314</v>
      </c>
      <c r="P176" s="680">
        <f t="shared" si="73"/>
        <v>1.5707909605623951</v>
      </c>
      <c r="Q176" s="689">
        <f t="shared" si="100"/>
        <v>24.990979492264604</v>
      </c>
      <c r="R176" s="690">
        <f t="shared" si="101"/>
        <v>1.5307712028505234</v>
      </c>
      <c r="S176" s="677">
        <f t="shared" si="76"/>
        <v>1.0678476190899746</v>
      </c>
      <c r="T176" s="680">
        <f t="shared" si="77"/>
        <v>0.35838877571310634</v>
      </c>
      <c r="U176" s="681">
        <f t="shared" si="89"/>
        <v>0.99172563670827507</v>
      </c>
      <c r="V176" s="682">
        <f t="shared" si="90"/>
        <v>-0.15478283804292731</v>
      </c>
      <c r="W176" s="683">
        <f t="shared" si="78"/>
        <v>-6.4011632341459013</v>
      </c>
      <c r="X176" s="684">
        <f t="shared" si="79"/>
        <v>-122.80851541515986</v>
      </c>
      <c r="Y176" s="687">
        <f t="shared" si="80"/>
        <v>57.19148458484014</v>
      </c>
      <c r="AA176" s="170">
        <f t="shared" si="81"/>
        <v>9886.2000000000007</v>
      </c>
      <c r="AB176" s="170">
        <f t="shared" si="82"/>
        <v>97736950.440000013</v>
      </c>
      <c r="AD176" s="686">
        <f t="shared" si="83"/>
        <v>27.084319697569946</v>
      </c>
      <c r="AE176" s="687">
        <f t="shared" si="84"/>
        <v>-22.827127513331828</v>
      </c>
      <c r="AG176" s="686">
        <f t="shared" si="85"/>
        <v>20.162197255396912</v>
      </c>
      <c r="AH176" s="687">
        <f t="shared" si="86"/>
        <v>-82.244581159727417</v>
      </c>
      <c r="AJ176" s="170">
        <f t="shared" si="87"/>
        <v>0</v>
      </c>
      <c r="AK176" s="170">
        <f t="shared" si="99"/>
        <v>0</v>
      </c>
      <c r="AM176" s="170" t="str">
        <f t="shared" si="91"/>
        <v>0.024537696901664+0.220166517059454i</v>
      </c>
      <c r="AN176" s="170" t="str">
        <f t="shared" si="92"/>
        <v>0.221985172995476i</v>
      </c>
      <c r="AO176" s="170" t="str">
        <f t="shared" si="93"/>
        <v>0.991807308968068-0.110537548839643i</v>
      </c>
      <c r="AP176" s="170" t="str">
        <f t="shared" si="94"/>
        <v>0.162577050516389-0.036694419509909i</v>
      </c>
      <c r="AQ176" s="170" t="str">
        <f t="shared" si="95"/>
        <v>0.837422949483611+0.036694419509909i</v>
      </c>
      <c r="AR176" s="170" t="str">
        <f t="shared" si="96"/>
        <v>0.992812141132863-0.0435033040636454i</v>
      </c>
    </row>
    <row r="177" spans="7:44">
      <c r="G177" s="688">
        <v>9943.1</v>
      </c>
      <c r="H177" s="676">
        <f t="shared" si="88"/>
        <v>9.9431000000000012</v>
      </c>
      <c r="I177" s="677">
        <f t="shared" si="66"/>
        <v>51.93217048376895</v>
      </c>
      <c r="J177" s="678">
        <f t="shared" si="67"/>
        <v>1.5515392497423837</v>
      </c>
      <c r="K177" s="678">
        <f t="shared" si="68"/>
        <v>1.0000944491833734</v>
      </c>
      <c r="L177" s="679">
        <f t="shared" si="69"/>
        <v>1.3743489374906758E-2</v>
      </c>
      <c r="M177" s="678">
        <f t="shared" si="70"/>
        <v>1.0013933900497209</v>
      </c>
      <c r="N177" s="679">
        <f t="shared" si="71"/>
        <v>-5.2759340872410444E-2</v>
      </c>
      <c r="O177" s="677">
        <f t="shared" si="72"/>
        <v>187423.0192719578</v>
      </c>
      <c r="P177" s="680">
        <f t="shared" si="73"/>
        <v>1.5707909912709899</v>
      </c>
      <c r="Q177" s="689">
        <f t="shared" si="100"/>
        <v>25.134585368722743</v>
      </c>
      <c r="R177" s="690">
        <f t="shared" si="101"/>
        <v>1.5310000066266589</v>
      </c>
      <c r="S177" s="677">
        <f t="shared" si="76"/>
        <v>1.0686057087967304</v>
      </c>
      <c r="T177" s="680">
        <f t="shared" si="77"/>
        <v>0.3602779974381452</v>
      </c>
      <c r="U177" s="681">
        <f t="shared" si="89"/>
        <v>0.99163575974154028</v>
      </c>
      <c r="V177" s="682">
        <f t="shared" si="90"/>
        <v>-0.15566671248979483</v>
      </c>
      <c r="W177" s="683">
        <f t="shared" si="78"/>
        <v>-6.4578764460289975</v>
      </c>
      <c r="X177" s="684">
        <f t="shared" si="79"/>
        <v>-122.97340434832904</v>
      </c>
      <c r="Y177" s="687">
        <f t="shared" si="80"/>
        <v>57.026595651670959</v>
      </c>
      <c r="AA177" s="170">
        <f t="shared" si="81"/>
        <v>9943.1</v>
      </c>
      <c r="AB177" s="170">
        <f t="shared" si="82"/>
        <v>98865237.610000014</v>
      </c>
      <c r="AD177" s="686">
        <f t="shared" si="83"/>
        <v>27.078076212235622</v>
      </c>
      <c r="AE177" s="687">
        <f t="shared" si="84"/>
        <v>-22.922264213613335</v>
      </c>
      <c r="AG177" s="686">
        <f t="shared" si="85"/>
        <v>20.113301949760022</v>
      </c>
      <c r="AH177" s="687">
        <f t="shared" si="86"/>
        <v>-82.213048841649353</v>
      </c>
      <c r="AJ177" s="170">
        <f t="shared" si="87"/>
        <v>0</v>
      </c>
      <c r="AK177" s="170">
        <f t="shared" si="99"/>
        <v>0</v>
      </c>
      <c r="AM177" s="170" t="str">
        <f t="shared" si="91"/>
        <v>0.024819785448598+0.221412621924501i</v>
      </c>
      <c r="AN177" s="170" t="str">
        <f t="shared" si="92"/>
        <v>0.223262808117509i</v>
      </c>
      <c r="AO177" s="170" t="str">
        <f t="shared" si="93"/>
        <v>0.991712967293531-0.111168472966329i</v>
      </c>
      <c r="AP177" s="170" t="str">
        <f t="shared" si="94"/>
        <v>0.162530035758567-0.0369021036540835i</v>
      </c>
      <c r="AQ177" s="170" t="str">
        <f t="shared" si="95"/>
        <v>0.837469964241433+0.0369021036540835i</v>
      </c>
      <c r="AR177" s="170" t="str">
        <f t="shared" si="96"/>
        <v>0.992735025740711-0.0437436712779371i</v>
      </c>
    </row>
    <row r="178" spans="7:44" s="327" customFormat="1">
      <c r="G178" s="762">
        <v>10000</v>
      </c>
      <c r="H178" s="763">
        <f t="shared" si="88"/>
        <v>10</v>
      </c>
      <c r="I178" s="764">
        <f t="shared" si="66"/>
        <v>52.229245637047761</v>
      </c>
      <c r="J178" s="765">
        <f t="shared" si="67"/>
        <v>1.5516487956545559</v>
      </c>
      <c r="K178" s="765">
        <f t="shared" si="68"/>
        <v>1.0000955332070873</v>
      </c>
      <c r="L178" s="766">
        <f t="shared" si="69"/>
        <v>1.3822127348033553E-2</v>
      </c>
      <c r="M178" s="765">
        <f t="shared" si="70"/>
        <v>1.0014093719458308</v>
      </c>
      <c r="N178" s="766">
        <f t="shared" si="71"/>
        <v>-5.3060694675608061E-2</v>
      </c>
      <c r="O178" s="764">
        <f t="shared" si="72"/>
        <v>188495.55900265259</v>
      </c>
      <c r="P178" s="767">
        <f t="shared" si="73"/>
        <v>1.5707910216301209</v>
      </c>
      <c r="Q178" s="768">
        <f t="shared" si="100"/>
        <v>25.278192546055287</v>
      </c>
      <c r="R178" s="769">
        <f t="shared" si="101"/>
        <v>1.5312262107140602</v>
      </c>
      <c r="S178" s="764">
        <f t="shared" si="76"/>
        <v>1.069367607111313</v>
      </c>
      <c r="T178" s="767">
        <f t="shared" si="77"/>
        <v>0.36216453383983804</v>
      </c>
      <c r="U178" s="770">
        <f t="shared" si="89"/>
        <v>0.99154539027980682</v>
      </c>
      <c r="V178" s="771">
        <f t="shared" si="90"/>
        <v>-0.15655046834112557</v>
      </c>
      <c r="W178" s="772">
        <f t="shared" si="78"/>
        <v>-6.5143342863747256</v>
      </c>
      <c r="X178" s="773">
        <f t="shared" si="79"/>
        <v>-123.13820879809096</v>
      </c>
      <c r="Y178" s="774">
        <f t="shared" si="80"/>
        <v>56.861791201909043</v>
      </c>
      <c r="AA178" s="327">
        <f t="shared" si="81"/>
        <v>10000</v>
      </c>
      <c r="AB178" s="327">
        <f t="shared" si="82"/>
        <v>100000000</v>
      </c>
      <c r="AD178" s="775">
        <f t="shared" si="83"/>
        <v>27.071807512395605</v>
      </c>
      <c r="AE178" s="774">
        <f t="shared" si="84"/>
        <v>-23.017395987370215</v>
      </c>
      <c r="AG178" s="775">
        <f>20*LOG10((K178*M178/(I178*U178))*Acs*Am)</f>
        <v>20.064696001332962</v>
      </c>
      <c r="AH178" s="774">
        <f t="shared" si="86"/>
        <v>-82.181450556736195</v>
      </c>
      <c r="AJ178" s="327">
        <f t="shared" si="87"/>
        <v>0</v>
      </c>
      <c r="AK178" s="170">
        <f t="shared" si="99"/>
        <v>0</v>
      </c>
      <c r="AM178" s="327" t="str">
        <f t="shared" si="91"/>
        <v>0.025103465832206+0.22265836536637i</v>
      </c>
      <c r="AN178" s="327" t="str">
        <f t="shared" si="92"/>
        <v>0.224540443239542i</v>
      </c>
      <c r="AO178" s="327" t="str">
        <f t="shared" si="93"/>
        <v>0.991618089614421-0.111799306485849i</v>
      </c>
      <c r="AP178" s="327" t="str">
        <f t="shared" si="94"/>
        <v>0.162482755694632-0.0371097275610617i</v>
      </c>
      <c r="AQ178" s="327" t="str">
        <f t="shared" si="95"/>
        <v>0.837517244305368+0.0371097275610617i</v>
      </c>
      <c r="AR178" s="327" t="str">
        <f t="shared" si="96"/>
        <v>0.992657495992978-0.0439838695719008i</v>
      </c>
    </row>
    <row r="179" spans="7:44">
      <c r="G179" s="688">
        <v>10058.25</v>
      </c>
      <c r="H179" s="676">
        <f t="shared" si="88"/>
        <v>10.058249999999999</v>
      </c>
      <c r="I179" s="677">
        <f t="shared" si="66"/>
        <v>52.533369788154971</v>
      </c>
      <c r="J179" s="678">
        <f t="shared" si="67"/>
        <v>1.5517596572319521</v>
      </c>
      <c r="K179" s="678">
        <f t="shared" si="68"/>
        <v>1.0000966493565164</v>
      </c>
      <c r="L179" s="679">
        <f t="shared" si="69"/>
        <v>1.3902630895618563E-2</v>
      </c>
      <c r="M179" s="678">
        <f t="shared" si="70"/>
        <v>1.0014258272269378</v>
      </c>
      <c r="N179" s="679">
        <f t="shared" si="71"/>
        <v>-5.3369188356839528E-2</v>
      </c>
      <c r="O179" s="677">
        <f t="shared" si="72"/>
        <v>189593.54563381223</v>
      </c>
      <c r="P179" s="680">
        <f t="shared" si="73"/>
        <v>1.5707910523537405</v>
      </c>
      <c r="Q179" s="689">
        <f t="shared" si="100"/>
        <v>25.425208248075926</v>
      </c>
      <c r="R179" s="690">
        <f t="shared" si="101"/>
        <v>1.5314551347100327</v>
      </c>
      <c r="S179" s="677">
        <f t="shared" si="76"/>
        <v>1.0701515188294863</v>
      </c>
      <c r="T179" s="680">
        <f t="shared" si="77"/>
        <v>0.36409304022987116</v>
      </c>
      <c r="U179" s="681">
        <f t="shared" si="89"/>
        <v>0.9914523669732429</v>
      </c>
      <c r="V179" s="682">
        <f t="shared" si="90"/>
        <v>-0.15745506852505237</v>
      </c>
      <c r="W179" s="683">
        <f t="shared" si="78"/>
        <v>-6.5718703646913461</v>
      </c>
      <c r="X179" s="684">
        <f t="shared" si="79"/>
        <v>-123.30683400234108</v>
      </c>
      <c r="Y179" s="687">
        <f t="shared" si="80"/>
        <v>56.693165997658923</v>
      </c>
      <c r="AA179" s="170">
        <f t="shared" si="81"/>
        <v>10058.25</v>
      </c>
      <c r="AB179" s="170">
        <f t="shared" si="82"/>
        <v>101168393.0625</v>
      </c>
      <c r="AD179" s="686">
        <f t="shared" si="83"/>
        <v>27.065364063171277</v>
      </c>
      <c r="AE179" s="687">
        <f t="shared" si="84"/>
        <v>-23.114776645929641</v>
      </c>
      <c r="AG179" s="686">
        <f t="shared" si="85"/>
        <v>20.015233208022817</v>
      </c>
      <c r="AH179" s="687">
        <f t="shared" si="86"/>
        <v>-82.149035556936923</v>
      </c>
      <c r="AJ179" s="170">
        <f t="shared" si="87"/>
        <v>0</v>
      </c>
      <c r="AK179" s="170">
        <f t="shared" si="99"/>
        <v>0</v>
      </c>
      <c r="AM179" s="170" t="str">
        <f t="shared" si="91"/>
        <v>0.025395525222435+0.223933288600751i</v>
      </c>
      <c r="AN179" s="170" t="str">
        <f t="shared" si="92"/>
        <v>0.225848391321412i</v>
      </c>
      <c r="AO179" s="170" t="str">
        <f t="shared" si="93"/>
        <v>0.991520405748937-0.112445012664685i</v>
      </c>
      <c r="AP179" s="170" t="str">
        <f t="shared" si="94"/>
        <v>0.162434079129594-0.0373222147667918i</v>
      </c>
      <c r="AQ179" s="170" t="str">
        <f t="shared" si="95"/>
        <v>0.837565920870406+0.0373222147667918i</v>
      </c>
      <c r="AR179" s="170" t="str">
        <f t="shared" si="96"/>
        <v>0.992577698058657-0.0442295908854258i</v>
      </c>
    </row>
    <row r="180" spans="7:44">
      <c r="G180" s="688">
        <v>10116.5</v>
      </c>
      <c r="H180" s="676">
        <f t="shared" si="88"/>
        <v>10.1165</v>
      </c>
      <c r="I180" s="677">
        <f t="shared" si="66"/>
        <v>52.83749457747998</v>
      </c>
      <c r="J180" s="678">
        <f t="shared" si="67"/>
        <v>1.5518692426050582</v>
      </c>
      <c r="K180" s="678">
        <f t="shared" si="68"/>
        <v>1.0000977719873785</v>
      </c>
      <c r="L180" s="679">
        <f t="shared" si="69"/>
        <v>1.3983134262991437E-2</v>
      </c>
      <c r="M180" s="678">
        <f t="shared" si="70"/>
        <v>1.0014423778089525</v>
      </c>
      <c r="N180" s="679">
        <f t="shared" si="71"/>
        <v>-5.3677671870635733E-2</v>
      </c>
      <c r="O180" s="677">
        <f t="shared" si="72"/>
        <v>190691.53226497208</v>
      </c>
      <c r="P180" s="680">
        <f t="shared" si="73"/>
        <v>1.5707910827235521</v>
      </c>
      <c r="Q180" s="689">
        <f t="shared" si="100"/>
        <v>25.572225267214488</v>
      </c>
      <c r="R180" s="690">
        <f t="shared" si="101"/>
        <v>1.5316814265085359</v>
      </c>
      <c r="S180" s="677">
        <f t="shared" si="76"/>
        <v>1.0709394047523706</v>
      </c>
      <c r="T180" s="680">
        <f t="shared" si="77"/>
        <v>0.3660187161838116</v>
      </c>
      <c r="U180" s="681">
        <f t="shared" si="89"/>
        <v>0.99135882835355704</v>
      </c>
      <c r="V180" s="682">
        <f t="shared" si="90"/>
        <v>-0.15835954307279393</v>
      </c>
      <c r="W180" s="683">
        <f t="shared" si="78"/>
        <v>-6.6291453732738868</v>
      </c>
      <c r="X180" s="684">
        <f t="shared" si="79"/>
        <v>-123.47536693631439</v>
      </c>
      <c r="Y180" s="687">
        <f t="shared" si="80"/>
        <v>56.524633063685613</v>
      </c>
      <c r="AA180" s="170">
        <f t="shared" si="81"/>
        <v>10116.5</v>
      </c>
      <c r="AB180" s="170">
        <f t="shared" si="82"/>
        <v>102343572.25</v>
      </c>
      <c r="AD180" s="686">
        <f t="shared" si="83"/>
        <v>27.058894392352258</v>
      </c>
      <c r="AE180" s="687">
        <f t="shared" si="84"/>
        <v>-23.212145925980881</v>
      </c>
      <c r="AG180" s="686">
        <f t="shared" si="85"/>
        <v>19.966066888901125</v>
      </c>
      <c r="AH180" s="687">
        <f t="shared" si="86"/>
        <v>-82.116554062215386</v>
      </c>
      <c r="AJ180" s="170">
        <f t="shared" si="87"/>
        <v>0</v>
      </c>
      <c r="AK180" s="170">
        <f t="shared" si="99"/>
        <v>0</v>
      </c>
      <c r="AM180" s="170" t="str">
        <f t="shared" si="91"/>
        <v>0.025689251895771+0.225207828746198i</v>
      </c>
      <c r="AN180" s="170" t="str">
        <f t="shared" si="92"/>
        <v>0.227156339403282i</v>
      </c>
      <c r="AO180" s="170" t="str">
        <f t="shared" si="93"/>
        <v>0.991422160340308-0.113090622798616i</v>
      </c>
      <c r="AP180" s="170" t="str">
        <f t="shared" si="94"/>
        <v>0.162385124684038-0.0375346381243663i</v>
      </c>
      <c r="AQ180" s="170" t="str">
        <f t="shared" si="95"/>
        <v>0.837614875315962+0.0375346381243663i</v>
      </c>
      <c r="AR180" s="170" t="str">
        <f t="shared" si="96"/>
        <v>0.992497466871462-0.0444751333294052i</v>
      </c>
    </row>
    <row r="181" spans="7:44">
      <c r="G181" s="688">
        <v>10174.75</v>
      </c>
      <c r="H181" s="676">
        <f t="shared" si="88"/>
        <v>10.17475</v>
      </c>
      <c r="I181" s="677">
        <f t="shared" si="66"/>
        <v>53.141619994065387</v>
      </c>
      <c r="J181" s="678">
        <f t="shared" si="67"/>
        <v>1.5519775736820773</v>
      </c>
      <c r="K181" s="678">
        <f t="shared" si="68"/>
        <v>1.0000989010996517</v>
      </c>
      <c r="L181" s="679">
        <f t="shared" si="69"/>
        <v>1.4063637449109332E-2</v>
      </c>
      <c r="M181" s="678">
        <f t="shared" si="70"/>
        <v>1.0014590236871499</v>
      </c>
      <c r="N181" s="679">
        <f t="shared" si="71"/>
        <v>-5.3986145158790376E-2</v>
      </c>
      <c r="O181" s="677">
        <f t="shared" si="72"/>
        <v>191789.51889613201</v>
      </c>
      <c r="P181" s="680">
        <f t="shared" si="73"/>
        <v>1.5707911127456318</v>
      </c>
      <c r="Q181" s="689">
        <f t="shared" si="100"/>
        <v>25.719243580884147</v>
      </c>
      <c r="R181" s="690">
        <f t="shared" si="101"/>
        <v>1.5319051312253003</v>
      </c>
      <c r="S181" s="677">
        <f t="shared" si="76"/>
        <v>1.0717312561150258</v>
      </c>
      <c r="T181" s="680">
        <f t="shared" si="77"/>
        <v>0.36794155367816733</v>
      </c>
      <c r="U181" s="681">
        <f t="shared" si="89"/>
        <v>0.99126477484317443</v>
      </c>
      <c r="V181" s="682">
        <f t="shared" si="90"/>
        <v>-0.15926389130445892</v>
      </c>
      <c r="W181" s="683">
        <f t="shared" si="78"/>
        <v>-6.6861625432438121</v>
      </c>
      <c r="X181" s="684">
        <f t="shared" si="79"/>
        <v>-123.64380576872334</v>
      </c>
      <c r="Y181" s="687">
        <f t="shared" si="80"/>
        <v>56.35619423127666</v>
      </c>
      <c r="AA181" s="170">
        <f t="shared" si="81"/>
        <v>10174.75</v>
      </c>
      <c r="AB181" s="170">
        <f t="shared" si="82"/>
        <v>103525537.5625</v>
      </c>
      <c r="AD181" s="686">
        <f t="shared" si="83"/>
        <v>27.052398604441521</v>
      </c>
      <c r="AE181" s="687">
        <f t="shared" si="84"/>
        <v>-23.309500783218915</v>
      </c>
      <c r="AG181" s="686">
        <f t="shared" si="85"/>
        <v>19.91719370352547</v>
      </c>
      <c r="AH181" s="687">
        <f t="shared" si="86"/>
        <v>-82.084007363498856</v>
      </c>
      <c r="AJ181" s="170">
        <f t="shared" si="87"/>
        <v>0</v>
      </c>
      <c r="AK181" s="170">
        <f t="shared" si="99"/>
        <v>0</v>
      </c>
      <c r="AM181" s="170" t="str">
        <f t="shared" si="91"/>
        <v>0.025984645349726+0.226481983622321i</v>
      </c>
      <c r="AN181" s="170" t="str">
        <f t="shared" si="92"/>
        <v>0.228464287485153i</v>
      </c>
      <c r="AO181" s="170" t="str">
        <f t="shared" si="93"/>
        <v>0.991323353489281-0.113736136337784i</v>
      </c>
      <c r="AP181" s="170" t="str">
        <f t="shared" si="94"/>
        <v>0.162335892441712-0.0377469972703868i</v>
      </c>
      <c r="AQ181" s="170" t="str">
        <f t="shared" si="95"/>
        <v>0.837664107558288+0.0377469972703868i</v>
      </c>
      <c r="AR181" s="170" t="str">
        <f t="shared" si="96"/>
        <v>0.992416802939836-0.0447204959764249i</v>
      </c>
    </row>
    <row r="182" spans="7:44">
      <c r="G182" s="688">
        <v>10233</v>
      </c>
      <c r="H182" s="676">
        <f t="shared" si="88"/>
        <v>10.233000000000001</v>
      </c>
      <c r="I182" s="677">
        <f t="shared" si="66"/>
        <v>53.445746027203178</v>
      </c>
      <c r="J182" s="678">
        <f t="shared" si="67"/>
        <v>1.5520846718726684</v>
      </c>
      <c r="K182" s="678">
        <f t="shared" si="68"/>
        <v>1.0001000366933144</v>
      </c>
      <c r="L182" s="679">
        <f t="shared" si="69"/>
        <v>1.4144140452929419E-2</v>
      </c>
      <c r="M182" s="678">
        <f t="shared" si="70"/>
        <v>1.0014757648567782</v>
      </c>
      <c r="N182" s="679">
        <f t="shared" si="71"/>
        <v>-5.4294608163108798E-2</v>
      </c>
      <c r="O182" s="677">
        <f t="shared" si="72"/>
        <v>192887.5055272922</v>
      </c>
      <c r="P182" s="680">
        <f t="shared" si="73"/>
        <v>1.570791142425918</v>
      </c>
      <c r="Q182" s="689">
        <f t="shared" si="100"/>
        <v>25.866263167011379</v>
      </c>
      <c r="R182" s="690">
        <f t="shared" si="101"/>
        <v>1.5321262929513846</v>
      </c>
      <c r="S182" s="677">
        <f t="shared" si="76"/>
        <v>1.0725270641343485</v>
      </c>
      <c r="T182" s="680">
        <f t="shared" si="77"/>
        <v>0.36986154479703842</v>
      </c>
      <c r="U182" s="681">
        <f t="shared" si="89"/>
        <v>0.99117020686663326</v>
      </c>
      <c r="V182" s="682">
        <f t="shared" si="90"/>
        <v>-0.1601681125409784</v>
      </c>
      <c r="W182" s="683">
        <f t="shared" si="78"/>
        <v>-6.7429250476531202</v>
      </c>
      <c r="X182" s="684">
        <f t="shared" si="79"/>
        <v>-123.81214870462966</v>
      </c>
      <c r="Y182" s="687">
        <f t="shared" si="80"/>
        <v>56.187851295370336</v>
      </c>
      <c r="AA182" s="170">
        <f t="shared" si="81"/>
        <v>10233</v>
      </c>
      <c r="AB182" s="170">
        <f t="shared" si="82"/>
        <v>104714289</v>
      </c>
      <c r="AD182" s="686">
        <f t="shared" si="83"/>
        <v>27.045876804914979</v>
      </c>
      <c r="AE182" s="687">
        <f t="shared" si="84"/>
        <v>-23.406838238204724</v>
      </c>
      <c r="AG182" s="686">
        <f t="shared" si="85"/>
        <v>19.868610368525161</v>
      </c>
      <c r="AH182" s="687">
        <f t="shared" si="86"/>
        <v>-82.051396723103636</v>
      </c>
      <c r="AJ182" s="170">
        <f t="shared" si="87"/>
        <v>0</v>
      </c>
      <c r="AK182" s="170">
        <f t="shared" si="99"/>
        <v>0</v>
      </c>
      <c r="AM182" s="170" t="str">
        <f t="shared" si="91"/>
        <v>0.026281705078964+0.227755751049385i</v>
      </c>
      <c r="AN182" s="170" t="str">
        <f t="shared" si="92"/>
        <v>0.229772235567023i</v>
      </c>
      <c r="AO182" s="170" t="str">
        <f t="shared" si="93"/>
        <v>0.991223985297171-0.114381552732457i</v>
      </c>
      <c r="AP182" s="170" t="str">
        <f t="shared" si="94"/>
        <v>0.162286382486839-0.0379592918415642i</v>
      </c>
      <c r="AQ182" s="170" t="str">
        <f t="shared" si="95"/>
        <v>0.837713617513161+0.0379592918415642i</v>
      </c>
      <c r="AR182" s="170" t="str">
        <f t="shared" si="96"/>
        <v>0.992335706774693-0.0449656779008653i</v>
      </c>
    </row>
    <row r="183" spans="7:44">
      <c r="G183" s="688">
        <v>10292.5</v>
      </c>
      <c r="H183" s="676">
        <f t="shared" si="88"/>
        <v>10.2925</v>
      </c>
      <c r="I183" s="677">
        <f t="shared" si="66"/>
        <v>53.756398995724474</v>
      </c>
      <c r="J183" s="678">
        <f t="shared" si="67"/>
        <v>1.5521928172076911</v>
      </c>
      <c r="K183" s="678">
        <f t="shared" si="68"/>
        <v>1.0001012033474266</v>
      </c>
      <c r="L183" s="679">
        <f t="shared" si="69"/>
        <v>1.4226370799728265E-2</v>
      </c>
      <c r="M183" s="678">
        <f t="shared" si="70"/>
        <v>1.001492963654697</v>
      </c>
      <c r="N183" s="679">
        <f t="shared" si="71"/>
        <v>-5.4609679867474635E-2</v>
      </c>
      <c r="O183" s="677">
        <f t="shared" si="72"/>
        <v>194009.05410332722</v>
      </c>
      <c r="P183" s="680">
        <f t="shared" si="73"/>
        <v>1.5707911723962804</v>
      </c>
      <c r="Q183" s="689">
        <f t="shared" si="100"/>
        <v>26.016438971158305</v>
      </c>
      <c r="R183" s="690">
        <f t="shared" si="101"/>
        <v>1.5323496200103679</v>
      </c>
      <c r="S183" s="677">
        <f t="shared" si="76"/>
        <v>1.0733440253555713</v>
      </c>
      <c r="T183" s="680">
        <f t="shared" si="77"/>
        <v>0.37181979067092286</v>
      </c>
      <c r="U183" s="681">
        <f t="shared" si="89"/>
        <v>0.99107307883333373</v>
      </c>
      <c r="V183" s="682">
        <f t="shared" si="90"/>
        <v>-0.1610916058492019</v>
      </c>
      <c r="W183" s="683">
        <f t="shared" si="78"/>
        <v>-6.8006459500142675</v>
      </c>
      <c r="X183" s="684">
        <f t="shared" si="79"/>
        <v>-123.98400331521829</v>
      </c>
      <c r="Y183" s="687">
        <f t="shared" si="80"/>
        <v>56.015996684781712</v>
      </c>
      <c r="AA183" s="170">
        <f t="shared" si="81"/>
        <v>10292.5</v>
      </c>
      <c r="AB183" s="170">
        <f t="shared" si="82"/>
        <v>105935556.25</v>
      </c>
      <c r="AD183" s="686">
        <f t="shared" si="83"/>
        <v>27.039188308372761</v>
      </c>
      <c r="AE183" s="687">
        <f t="shared" si="84"/>
        <v>-23.506243481385265</v>
      </c>
      <c r="AG183" s="686">
        <f t="shared" si="85"/>
        <v>19.819280363990195</v>
      </c>
      <c r="AH183" s="687">
        <f t="shared" si="86"/>
        <v>-82.018021552451231</v>
      </c>
      <c r="AJ183" s="170">
        <f t="shared" si="87"/>
        <v>0</v>
      </c>
      <c r="AK183" s="170">
        <f t="shared" si="99"/>
        <v>0</v>
      </c>
      <c r="AM183" s="170" t="str">
        <f t="shared" si="91"/>
        <v>0.026586859246481+0.229056450265803i</v>
      </c>
      <c r="AN183" s="170" t="str">
        <f t="shared" si="92"/>
        <v>0.231108251204298i</v>
      </c>
      <c r="AO183" s="170" t="str">
        <f t="shared" si="93"/>
        <v>0.991121905307132-0.115040718399009i</v>
      </c>
      <c r="AP183" s="170" t="str">
        <f t="shared" si="94"/>
        <v>0.16223552345892-0.0381760750443005i</v>
      </c>
      <c r="AQ183" s="170" t="str">
        <f t="shared" si="95"/>
        <v>0.83776447654108+0.0381760750443005i</v>
      </c>
      <c r="AR183" s="170" t="str">
        <f t="shared" si="96"/>
        <v>0.992252424636181-0.0452159336979747i</v>
      </c>
    </row>
    <row r="184" spans="7:44">
      <c r="G184" s="688">
        <v>10352</v>
      </c>
      <c r="H184" s="676">
        <f t="shared" si="88"/>
        <v>10.352</v>
      </c>
      <c r="I184" s="677">
        <f t="shared" si="66"/>
        <v>54.067052585724412</v>
      </c>
      <c r="J184" s="678">
        <f t="shared" si="67"/>
        <v>1.552299719800545</v>
      </c>
      <c r="K184" s="678">
        <f t="shared" si="68"/>
        <v>1.0001023767640373</v>
      </c>
      <c r="L184" s="679">
        <f t="shared" si="69"/>
        <v>1.4308600954121981E-2</v>
      </c>
      <c r="M184" s="678">
        <f t="shared" si="70"/>
        <v>1.0015102618675811</v>
      </c>
      <c r="N184" s="679">
        <f t="shared" si="71"/>
        <v>-5.4924740719198457E-2</v>
      </c>
      <c r="O184" s="677">
        <f t="shared" si="72"/>
        <v>195130.6026793624</v>
      </c>
      <c r="P184" s="680">
        <f t="shared" si="73"/>
        <v>1.5707912020221224</v>
      </c>
      <c r="Q184" s="689">
        <f t="shared" si="100"/>
        <v>26.166616057980388</v>
      </c>
      <c r="R184" s="690">
        <f t="shared" si="101"/>
        <v>1.5325703836148816</v>
      </c>
      <c r="S184" s="677">
        <f t="shared" si="76"/>
        <v>1.0741650962879474</v>
      </c>
      <c r="T184" s="680">
        <f t="shared" si="77"/>
        <v>0.3737750503429581</v>
      </c>
      <c r="U184" s="681">
        <f t="shared" si="89"/>
        <v>0.9909754149190122</v>
      </c>
      <c r="V184" s="682">
        <f t="shared" si="90"/>
        <v>-0.1620149652236525</v>
      </c>
      <c r="W184" s="683">
        <f t="shared" si="78"/>
        <v>-6.8581076525346782</v>
      </c>
      <c r="X184" s="684">
        <f t="shared" si="79"/>
        <v>-124.15575419591876</v>
      </c>
      <c r="Y184" s="687">
        <f t="shared" si="80"/>
        <v>55.84424580408124</v>
      </c>
      <c r="AA184" s="170">
        <f t="shared" si="81"/>
        <v>10352</v>
      </c>
      <c r="AB184" s="170">
        <f t="shared" si="82"/>
        <v>107163904</v>
      </c>
      <c r="AD184" s="686">
        <f t="shared" si="83"/>
        <v>27.032472897269258</v>
      </c>
      <c r="AE184" s="687">
        <f t="shared" si="84"/>
        <v>-23.605624483185551</v>
      </c>
      <c r="AG184" s="686">
        <f t="shared" si="85"/>
        <v>19.770246034686789</v>
      </c>
      <c r="AH184" s="687">
        <f t="shared" si="86"/>
        <v>-81.984582240970795</v>
      </c>
      <c r="AJ184" s="170">
        <f t="shared" si="87"/>
        <v>0</v>
      </c>
      <c r="AK184" s="170">
        <f t="shared" si="99"/>
        <v>0</v>
      </c>
      <c r="AM184" s="170" t="str">
        <f t="shared" si="91"/>
        <v>0.0268937508956339+0.23035674063077i</v>
      </c>
      <c r="AN184" s="170" t="str">
        <f t="shared" si="92"/>
        <v>0.232444266841574i</v>
      </c>
      <c r="AO184" s="170" t="str">
        <f t="shared" si="93"/>
        <v>0.99101923984115-0.115699781547909i</v>
      </c>
      <c r="AP184" s="170" t="str">
        <f t="shared" si="94"/>
        <v>0.162184374850728-0.0383927901051283i</v>
      </c>
      <c r="AQ184" s="170" t="str">
        <f t="shared" si="95"/>
        <v>0.837815625149272+0.0383927901051283i</v>
      </c>
      <c r="AR184" s="170" t="str">
        <f t="shared" si="96"/>
        <v>0.992168692599748-0.0454659989864415i</v>
      </c>
    </row>
    <row r="185" spans="7:44">
      <c r="G185" s="688">
        <v>10411.5</v>
      </c>
      <c r="H185" s="676">
        <f t="shared" si="88"/>
        <v>10.4115</v>
      </c>
      <c r="I185" s="677">
        <f t="shared" si="66"/>
        <v>54.37770678655167</v>
      </c>
      <c r="J185" s="678">
        <f t="shared" si="67"/>
        <v>1.5524054009477373</v>
      </c>
      <c r="K185" s="678">
        <f t="shared" si="68"/>
        <v>1.0001035569431227</v>
      </c>
      <c r="L185" s="679">
        <f t="shared" si="69"/>
        <v>1.4390830914999198E-2</v>
      </c>
      <c r="M185" s="678">
        <f t="shared" si="70"/>
        <v>1.0015276594902791</v>
      </c>
      <c r="N185" s="679">
        <f t="shared" si="71"/>
        <v>-5.5239790656296237E-2</v>
      </c>
      <c r="O185" s="677">
        <f t="shared" si="72"/>
        <v>196252.15125539777</v>
      </c>
      <c r="P185" s="680">
        <f t="shared" si="73"/>
        <v>1.5707912313093511</v>
      </c>
      <c r="Q185" s="689">
        <f t="shared" si="100"/>
        <v>26.316794405518831</v>
      </c>
      <c r="R185" s="690">
        <f t="shared" si="101"/>
        <v>1.5327886276287352</v>
      </c>
      <c r="S185" s="677">
        <f t="shared" si="76"/>
        <v>1.0749902675145613</v>
      </c>
      <c r="T185" s="680">
        <f t="shared" si="77"/>
        <v>0.37572731572277168</v>
      </c>
      <c r="U185" s="681">
        <f t="shared" si="89"/>
        <v>0.99087721558292863</v>
      </c>
      <c r="V185" s="682">
        <f t="shared" si="90"/>
        <v>-0.16293818994319348</v>
      </c>
      <c r="W185" s="683">
        <f t="shared" si="78"/>
        <v>-6.915313357809838</v>
      </c>
      <c r="X185" s="684">
        <f t="shared" si="79"/>
        <v>-124.32739954570836</v>
      </c>
      <c r="Y185" s="687">
        <f t="shared" si="80"/>
        <v>55.67260045429164</v>
      </c>
      <c r="AA185" s="170">
        <f t="shared" si="81"/>
        <v>10411.5</v>
      </c>
      <c r="AB185" s="170">
        <f t="shared" si="82"/>
        <v>108399332.25</v>
      </c>
      <c r="AD185" s="686">
        <f t="shared" si="83"/>
        <v>27.02573068692584</v>
      </c>
      <c r="AE185" s="687">
        <f t="shared" si="84"/>
        <v>-23.704978267188693</v>
      </c>
      <c r="AG185" s="686">
        <f t="shared" si="85"/>
        <v>19.721504057456865</v>
      </c>
      <c r="AH185" s="687">
        <f t="shared" si="86"/>
        <v>-81.951080046692667</v>
      </c>
      <c r="AJ185" s="170">
        <f t="shared" si="87"/>
        <v>0</v>
      </c>
      <c r="AK185" s="170">
        <f t="shared" si="99"/>
        <v>0</v>
      </c>
      <c r="AM185" s="170" t="str">
        <f t="shared" si="91"/>
        <v>0.027202379478639+0.231656619823347i</v>
      </c>
      <c r="AN185" s="170" t="str">
        <f t="shared" si="92"/>
        <v>0.233780282478849i</v>
      </c>
      <c r="AO185" s="170" t="str">
        <f t="shared" si="93"/>
        <v>0.990915989009064-0.116358741593616i</v>
      </c>
      <c r="AP185" s="170" t="str">
        <f t="shared" si="94"/>
        <v>0.16213293675356-0.0386094366372245i</v>
      </c>
      <c r="AQ185" s="170" t="str">
        <f t="shared" si="95"/>
        <v>0.83786706324644+0.0386094366372245i</v>
      </c>
      <c r="AR185" s="170" t="str">
        <f t="shared" si="96"/>
        <v>0.992084511217836-0.0457158727856219i</v>
      </c>
    </row>
    <row r="186" spans="7:44">
      <c r="G186" s="688">
        <v>10471</v>
      </c>
      <c r="H186" s="676">
        <f t="shared" si="88"/>
        <v>10.471</v>
      </c>
      <c r="I186" s="677">
        <f t="shared" si="66"/>
        <v>54.68836158779694</v>
      </c>
      <c r="J186" s="678">
        <f t="shared" si="67"/>
        <v>1.5525098814619898</v>
      </c>
      <c r="K186" s="678">
        <f t="shared" si="68"/>
        <v>1.0001047438846589</v>
      </c>
      <c r="L186" s="679">
        <f t="shared" si="69"/>
        <v>1.4473060681248567E-2</v>
      </c>
      <c r="M186" s="678">
        <f t="shared" si="70"/>
        <v>1.0015451565176108</v>
      </c>
      <c r="N186" s="679">
        <f t="shared" si="71"/>
        <v>-5.5554829616796919E-2</v>
      </c>
      <c r="O186" s="677">
        <f t="shared" si="72"/>
        <v>197373.69983143327</v>
      </c>
      <c r="P186" s="680">
        <f t="shared" si="73"/>
        <v>1.5707912602637384</v>
      </c>
      <c r="Q186" s="689">
        <f t="shared" si="100"/>
        <v>26.466973992313036</v>
      </c>
      <c r="R186" s="690">
        <f t="shared" si="101"/>
        <v>1.5330043949211389</v>
      </c>
      <c r="S186" s="677">
        <f t="shared" si="76"/>
        <v>1.075819529600434</v>
      </c>
      <c r="T186" s="680">
        <f t="shared" si="77"/>
        <v>0.37767657883604866</v>
      </c>
      <c r="U186" s="681">
        <f t="shared" si="89"/>
        <v>0.99077848128662749</v>
      </c>
      <c r="V186" s="682">
        <f t="shared" si="90"/>
        <v>-0.16386127928758548</v>
      </c>
      <c r="W186" s="683">
        <f t="shared" si="78"/>
        <v>-6.97226621082919</v>
      </c>
      <c r="X186" s="684">
        <f t="shared" si="79"/>
        <v>-124.49893759952579</v>
      </c>
      <c r="Y186" s="687">
        <f t="shared" si="80"/>
        <v>55.501062400474211</v>
      </c>
      <c r="AA186" s="170">
        <f t="shared" si="81"/>
        <v>10471</v>
      </c>
      <c r="AB186" s="170">
        <f t="shared" si="82"/>
        <v>109641841</v>
      </c>
      <c r="AD186" s="686">
        <f t="shared" si="83"/>
        <v>27.018961793568202</v>
      </c>
      <c r="AE186" s="687">
        <f t="shared" si="84"/>
        <v>-23.80430192060598</v>
      </c>
      <c r="AG186" s="686">
        <f t="shared" si="85"/>
        <v>19.673051165817164</v>
      </c>
      <c r="AH186" s="687">
        <f t="shared" si="86"/>
        <v>-81.91751619987761</v>
      </c>
      <c r="AJ186" s="170">
        <f t="shared" si="87"/>
        <v>0</v>
      </c>
      <c r="AK186" s="170">
        <f t="shared" si="99"/>
        <v>0</v>
      </c>
      <c r="AM186" s="170" t="str">
        <f t="shared" si="91"/>
        <v>0.027512744444614+0.232956085523332i</v>
      </c>
      <c r="AN186" s="170" t="str">
        <f t="shared" si="92"/>
        <v>0.235116298116124i</v>
      </c>
      <c r="AO186" s="170" t="str">
        <f t="shared" si="93"/>
        <v>0.990812152921338-0.117017597950719i</v>
      </c>
      <c r="AP186" s="170" t="str">
        <f t="shared" si="94"/>
        <v>0.162081209259231-0.0388260142538887i</v>
      </c>
      <c r="AQ186" s="170" t="str">
        <f t="shared" si="95"/>
        <v>0.837918790740769+0.0388260142538887i</v>
      </c>
      <c r="AR186" s="170" t="str">
        <f t="shared" si="96"/>
        <v>0.991999881045546-0.0459655541168619i</v>
      </c>
    </row>
    <row r="187" spans="7:44">
      <c r="G187" s="688">
        <v>10532</v>
      </c>
      <c r="H187" s="676">
        <f t="shared" si="88"/>
        <v>10.532</v>
      </c>
      <c r="I187" s="677">
        <f t="shared" si="66"/>
        <v>55.006848635351375</v>
      </c>
      <c r="J187" s="678">
        <f t="shared" si="67"/>
        <v>1.5526157708149819</v>
      </c>
      <c r="K187" s="678">
        <f t="shared" si="68"/>
        <v>1.0001059677693882</v>
      </c>
      <c r="L187" s="679">
        <f t="shared" si="69"/>
        <v>1.4557363263602159E-2</v>
      </c>
      <c r="M187" s="678">
        <f t="shared" si="70"/>
        <v>1.0015631978362385</v>
      </c>
      <c r="N187" s="679">
        <f t="shared" si="71"/>
        <v>-5.5877799275938014E-2</v>
      </c>
      <c r="O187" s="677">
        <f t="shared" si="72"/>
        <v>198523.52274131859</v>
      </c>
      <c r="P187" s="680">
        <f t="shared" si="73"/>
        <v>1.5707912896084404</v>
      </c>
      <c r="Q187" s="689">
        <f t="shared" si="100"/>
        <v>26.620940883666453</v>
      </c>
      <c r="R187" s="690">
        <f t="shared" si="101"/>
        <v>1.5332230744189081</v>
      </c>
      <c r="S187" s="677">
        <f t="shared" si="76"/>
        <v>1.0766739344131186</v>
      </c>
      <c r="T187" s="680">
        <f t="shared" si="77"/>
        <v>0.37967185805853637</v>
      </c>
      <c r="U187" s="681">
        <f t="shared" si="89"/>
        <v>0.99067670301618216</v>
      </c>
      <c r="V187" s="682">
        <f t="shared" si="90"/>
        <v>-0.16480749850147441</v>
      </c>
      <c r="W187" s="683">
        <f t="shared" si="78"/>
        <v>-7.0303955888775533</v>
      </c>
      <c r="X187" s="684">
        <f t="shared" si="79"/>
        <v>-124.67468694384513</v>
      </c>
      <c r="Y187" s="687">
        <f t="shared" si="80"/>
        <v>55.325313056154869</v>
      </c>
      <c r="AA187" s="170">
        <f t="shared" si="81"/>
        <v>10532</v>
      </c>
      <c r="AB187" s="170">
        <f t="shared" si="82"/>
        <v>110923024</v>
      </c>
      <c r="AD187" s="686">
        <f t="shared" si="83"/>
        <v>27.011994677911446</v>
      </c>
      <c r="AE187" s="687">
        <f t="shared" si="84"/>
        <v>-23.90609526816035</v>
      </c>
      <c r="AG187" s="686">
        <f t="shared" si="85"/>
        <v>19.623673520776325</v>
      </c>
      <c r="AH187" s="687">
        <f t="shared" si="86"/>
        <v>-81.883043461618669</v>
      </c>
      <c r="AJ187" s="170">
        <f t="shared" si="87"/>
        <v>0</v>
      </c>
      <c r="AK187" s="170">
        <f t="shared" si="99"/>
        <v>0</v>
      </c>
      <c r="AM187" s="170" t="str">
        <f t="shared" si="91"/>
        <v>0.027832735753791+0.234287879174407i</v>
      </c>
      <c r="AN187" s="170" t="str">
        <f t="shared" si="92"/>
        <v>0.236485994819885i</v>
      </c>
      <c r="AO187" s="170" t="str">
        <f t="shared" si="93"/>
        <v>0.990705091660281-0.117692955876686i</v>
      </c>
      <c r="AP187" s="170" t="str">
        <f t="shared" si="94"/>
        <v>0.162027877374368-0.0390479798624012i</v>
      </c>
      <c r="AQ187" s="170" t="str">
        <f t="shared" si="95"/>
        <v>0.837972122625632+0.0390479798624012i</v>
      </c>
      <c r="AR187" s="170" t="str">
        <f t="shared" si="96"/>
        <v>0.991912652019339-0.0462213291057368i</v>
      </c>
    </row>
    <row r="188" spans="7:44">
      <c r="G188" s="688">
        <v>10593</v>
      </c>
      <c r="H188" s="676">
        <f t="shared" si="88"/>
        <v>10.593</v>
      </c>
      <c r="I188" s="677">
        <f t="shared" si="66"/>
        <v>55.325336292572132</v>
      </c>
      <c r="J188" s="678">
        <f t="shared" si="67"/>
        <v>1.5527204410368465</v>
      </c>
      <c r="K188" s="678">
        <f t="shared" si="68"/>
        <v>1.0001071987617787</v>
      </c>
      <c r="L188" s="679">
        <f t="shared" si="69"/>
        <v>1.4641665639025456E-2</v>
      </c>
      <c r="M188" s="678">
        <f t="shared" si="70"/>
        <v>1.001581343623553</v>
      </c>
      <c r="N188" s="679">
        <f t="shared" si="71"/>
        <v>-5.6200757266193953E-2</v>
      </c>
      <c r="O188" s="677">
        <f t="shared" si="72"/>
        <v>199673.34565120412</v>
      </c>
      <c r="P188" s="680">
        <f t="shared" si="73"/>
        <v>1.5707913186151781</v>
      </c>
      <c r="Q188" s="689">
        <f t="shared" si="100"/>
        <v>26.774909033411532</v>
      </c>
      <c r="R188" s="690">
        <f t="shared" si="101"/>
        <v>1.5334392389097693</v>
      </c>
      <c r="S188" s="677">
        <f t="shared" si="76"/>
        <v>1.0775326188070498</v>
      </c>
      <c r="T188" s="680">
        <f t="shared" si="77"/>
        <v>0.38166396513034784</v>
      </c>
      <c r="U188" s="681">
        <f t="shared" si="89"/>
        <v>0.99057436346250693</v>
      </c>
      <c r="V188" s="682">
        <f t="shared" si="90"/>
        <v>-0.16575357389830167</v>
      </c>
      <c r="W188" s="683">
        <f t="shared" si="78"/>
        <v>-7.088265719507854</v>
      </c>
      <c r="X188" s="684">
        <f t="shared" si="79"/>
        <v>-124.85031986933542</v>
      </c>
      <c r="Y188" s="687">
        <f t="shared" si="80"/>
        <v>55.149680130664578</v>
      </c>
      <c r="AA188" s="170">
        <f t="shared" si="81"/>
        <v>10593</v>
      </c>
      <c r="AB188" s="170">
        <f t="shared" si="82"/>
        <v>112211649</v>
      </c>
      <c r="AD188" s="686">
        <f t="shared" si="83"/>
        <v>27.00499976707998</v>
      </c>
      <c r="AE188" s="687">
        <f t="shared" si="84"/>
        <v>-24.007850944786288</v>
      </c>
      <c r="AG188" s="686">
        <f t="shared" si="85"/>
        <v>19.574592944946975</v>
      </c>
      <c r="AH188" s="687">
        <f t="shared" si="86"/>
        <v>-81.848508455680388</v>
      </c>
      <c r="AJ188" s="170">
        <f t="shared" si="87"/>
        <v>0</v>
      </c>
      <c r="AK188" s="170">
        <f t="shared" si="99"/>
        <v>0</v>
      </c>
      <c r="AM188" s="170" t="str">
        <f t="shared" si="91"/>
        <v>0.028154550915608+0.23561923328531i</v>
      </c>
      <c r="AN188" s="170" t="str">
        <f t="shared" si="92"/>
        <v>0.237855691523647i</v>
      </c>
      <c r="AO188" s="170" t="str">
        <f t="shared" si="93"/>
        <v>0.990597415500084-0.118368203574431i</v>
      </c>
      <c r="AP188" s="170" t="str">
        <f t="shared" si="94"/>
        <v>0.161974241514065-0.0392698722142183i</v>
      </c>
      <c r="AQ188" s="170" t="str">
        <f t="shared" si="95"/>
        <v>0.838025758485935+0.0392698722142183i</v>
      </c>
      <c r="AR188" s="170" t="str">
        <f t="shared" si="96"/>
        <v>0.991824952479549-0.0464768997233618i</v>
      </c>
    </row>
    <row r="189" spans="7:44">
      <c r="G189" s="688">
        <v>10654</v>
      </c>
      <c r="H189" s="676">
        <f t="shared" si="88"/>
        <v>10.654</v>
      </c>
      <c r="I189" s="677">
        <f t="shared" si="66"/>
        <v>55.643824548990601</v>
      </c>
      <c r="J189" s="678">
        <f t="shared" si="67"/>
        <v>1.5528239130590731</v>
      </c>
      <c r="K189" s="678">
        <f t="shared" si="68"/>
        <v>1.0001084368618041</v>
      </c>
      <c r="L189" s="679">
        <f t="shared" si="69"/>
        <v>1.4725967806320964E-2</v>
      </c>
      <c r="M189" s="678">
        <f t="shared" si="70"/>
        <v>1.0015995938738766</v>
      </c>
      <c r="N189" s="679">
        <f t="shared" si="71"/>
        <v>-5.6523703520830533E-2</v>
      </c>
      <c r="O189" s="677">
        <f t="shared" si="72"/>
        <v>200823.16856108975</v>
      </c>
      <c r="P189" s="680">
        <f t="shared" si="73"/>
        <v>1.570791347289757</v>
      </c>
      <c r="Q189" s="689">
        <f t="shared" si="100"/>
        <v>26.928878419963382</v>
      </c>
      <c r="R189" s="690">
        <f t="shared" si="101"/>
        <v>1.5336529315129888</v>
      </c>
      <c r="S189" s="677">
        <f t="shared" si="76"/>
        <v>1.0783955725592362</v>
      </c>
      <c r="T189" s="680">
        <f t="shared" si="77"/>
        <v>0.38365289183667994</v>
      </c>
      <c r="U189" s="681">
        <f t="shared" si="89"/>
        <v>0.99047146313035683</v>
      </c>
      <c r="V189" s="682">
        <f t="shared" si="90"/>
        <v>-0.16669950470490999</v>
      </c>
      <c r="W189" s="683">
        <f t="shared" si="78"/>
        <v>-7.1458798116028523</v>
      </c>
      <c r="X189" s="684">
        <f t="shared" si="79"/>
        <v>-125.02583458633612</v>
      </c>
      <c r="Y189" s="687">
        <f t="shared" si="80"/>
        <v>54.974165413663883</v>
      </c>
      <c r="AA189" s="170">
        <f t="shared" si="81"/>
        <v>10654</v>
      </c>
      <c r="AB189" s="170">
        <f t="shared" si="82"/>
        <v>113507716</v>
      </c>
      <c r="AD189" s="686">
        <f t="shared" si="83"/>
        <v>26.997977189040157</v>
      </c>
      <c r="AE189" s="687">
        <f t="shared" si="84"/>
        <v>-24.109566009590921</v>
      </c>
      <c r="AG189" s="686">
        <f t="shared" si="85"/>
        <v>19.525806095715971</v>
      </c>
      <c r="AH189" s="687">
        <f t="shared" si="86"/>
        <v>-81.813912421892454</v>
      </c>
      <c r="AJ189" s="170">
        <f t="shared" si="87"/>
        <v>0</v>
      </c>
      <c r="AK189" s="170">
        <f t="shared" si="99"/>
        <v>0</v>
      </c>
      <c r="AM189" s="170" t="str">
        <f t="shared" si="91"/>
        <v>0.028478189326319+0.236950145358327i</v>
      </c>
      <c r="AN189" s="170" t="str">
        <f t="shared" si="92"/>
        <v>0.239225388227408i</v>
      </c>
      <c r="AO189" s="170" t="str">
        <f t="shared" si="93"/>
        <v>0.990489124561821-0.11904334041355i</v>
      </c>
      <c r="AP189" s="170" t="str">
        <f t="shared" si="94"/>
        <v>0.161920301778947-0.0394916908930545i</v>
      </c>
      <c r="AQ189" s="170" t="str">
        <f t="shared" si="95"/>
        <v>0.838079698221053+0.0394916908930545i</v>
      </c>
      <c r="AR189" s="170" t="str">
        <f t="shared" si="96"/>
        <v>0.991736783032956-0.0467322649217538i</v>
      </c>
    </row>
    <row r="190" spans="7:44">
      <c r="G190" s="688">
        <v>10715</v>
      </c>
      <c r="H190" s="676">
        <f t="shared" si="88"/>
        <v>10.715</v>
      </c>
      <c r="I190" s="677">
        <f t="shared" si="66"/>
        <v>55.962313394376466</v>
      </c>
      <c r="J190" s="678">
        <f t="shared" si="67"/>
        <v>1.5529262073367593</v>
      </c>
      <c r="K190" s="678">
        <f t="shared" si="68"/>
        <v>1.0001096820694377</v>
      </c>
      <c r="L190" s="679">
        <f t="shared" si="69"/>
        <v>1.4810269764291213E-2</v>
      </c>
      <c r="M190" s="678">
        <f t="shared" si="70"/>
        <v>1.0016179485814989</v>
      </c>
      <c r="N190" s="679">
        <f t="shared" si="71"/>
        <v>-5.6846637973128208E-2</v>
      </c>
      <c r="O190" s="677">
        <f t="shared" si="72"/>
        <v>201972.9914709756</v>
      </c>
      <c r="P190" s="680">
        <f t="shared" si="73"/>
        <v>1.5707913756378498</v>
      </c>
      <c r="Q190" s="689">
        <f t="shared" si="100"/>
        <v>27.082849022227812</v>
      </c>
      <c r="R190" s="690">
        <f t="shared" si="101"/>
        <v>1.5338641943681866</v>
      </c>
      <c r="S190" s="677">
        <f t="shared" si="76"/>
        <v>1.0792627854286354</v>
      </c>
      <c r="T190" s="680">
        <f t="shared" si="77"/>
        <v>0.38563863008958521</v>
      </c>
      <c r="U190" s="681">
        <f t="shared" si="89"/>
        <v>0.99036800252698465</v>
      </c>
      <c r="V190" s="682">
        <f t="shared" si="90"/>
        <v>-0.16764529014913068</v>
      </c>
      <c r="W190" s="683">
        <f t="shared" si="78"/>
        <v>-7.2032410160592573</v>
      </c>
      <c r="X190" s="684">
        <f t="shared" si="79"/>
        <v>-125.20122934133919</v>
      </c>
      <c r="Y190" s="687">
        <f t="shared" si="80"/>
        <v>54.798770658660814</v>
      </c>
      <c r="AA190" s="170">
        <f t="shared" si="81"/>
        <v>10715</v>
      </c>
      <c r="AB190" s="170">
        <f t="shared" si="82"/>
        <v>114811225</v>
      </c>
      <c r="AD190" s="686">
        <f t="shared" si="83"/>
        <v>26.990927072603785</v>
      </c>
      <c r="AE190" s="687">
        <f t="shared" si="84"/>
        <v>-24.211237585071611</v>
      </c>
      <c r="AG190" s="686">
        <f t="shared" si="85"/>
        <v>19.477309687581258</v>
      </c>
      <c r="AH190" s="687">
        <f t="shared" si="86"/>
        <v>-81.779256572733502</v>
      </c>
      <c r="AJ190" s="170">
        <f t="shared" si="87"/>
        <v>0</v>
      </c>
      <c r="AK190" s="170">
        <f t="shared" si="99"/>
        <v>0</v>
      </c>
      <c r="AM190" s="170" t="str">
        <f t="shared" si="91"/>
        <v>0.028803650378755+0.238280612896578i</v>
      </c>
      <c r="AN190" s="170" t="str">
        <f t="shared" si="92"/>
        <v>0.240595084931169i</v>
      </c>
      <c r="AO190" s="170" t="str">
        <f t="shared" si="93"/>
        <v>0.990380218967261-0.11971836576377i</v>
      </c>
      <c r="AP190" s="170" t="str">
        <f t="shared" si="94"/>
        <v>0.161866058270208-0.039713435482763i</v>
      </c>
      <c r="AQ190" s="170" t="str">
        <f t="shared" si="95"/>
        <v>0.838133941729792+0.039713435482763i</v>
      </c>
      <c r="AR190" s="170" t="str">
        <f t="shared" si="96"/>
        <v>0.991648144289234-0.0469874236551662i</v>
      </c>
    </row>
    <row r="191" spans="7:44">
      <c r="G191" s="688">
        <v>10777.5</v>
      </c>
      <c r="H191" s="676">
        <f t="shared" si="88"/>
        <v>10.7775</v>
      </c>
      <c r="I191" s="677">
        <f t="shared" si="66"/>
        <v>56.288634533097174</v>
      </c>
      <c r="J191" s="678">
        <f t="shared" si="67"/>
        <v>1.5530298164081875</v>
      </c>
      <c r="K191" s="678">
        <f t="shared" si="68"/>
        <v>1.0001109652688265</v>
      </c>
      <c r="L191" s="679">
        <f t="shared" si="69"/>
        <v>1.489664450286622E-2</v>
      </c>
      <c r="M191" s="678">
        <f t="shared" si="70"/>
        <v>1.001636862970199</v>
      </c>
      <c r="N191" s="679">
        <f t="shared" si="71"/>
        <v>-5.7177501125556168E-2</v>
      </c>
      <c r="O191" s="677">
        <f t="shared" si="72"/>
        <v>203151.08871471125</v>
      </c>
      <c r="P191" s="680">
        <f t="shared" si="73"/>
        <v>1.5707914043501963</v>
      </c>
      <c r="Q191" s="689">
        <f t="shared" si="100"/>
        <v>27.240607026208611</v>
      </c>
      <c r="R191" s="690">
        <f t="shared" si="101"/>
        <v>1.5340781751706176</v>
      </c>
      <c r="S191" s="677">
        <f t="shared" si="76"/>
        <v>1.0801557299807159</v>
      </c>
      <c r="T191" s="680">
        <f t="shared" si="77"/>
        <v>0.38766988262295571</v>
      </c>
      <c r="U191" s="681">
        <f t="shared" si="89"/>
        <v>0.9902614172370956</v>
      </c>
      <c r="V191" s="682">
        <f t="shared" si="90"/>
        <v>-0.16861418103802356</v>
      </c>
      <c r="W191" s="683">
        <f t="shared" si="78"/>
        <v>-7.2617536852752931</v>
      </c>
      <c r="X191" s="684">
        <f t="shared" si="79"/>
        <v>-125.38081086255988</v>
      </c>
      <c r="Y191" s="687">
        <f t="shared" si="80"/>
        <v>54.619189137440117</v>
      </c>
      <c r="AA191" s="170">
        <f t="shared" si="81"/>
        <v>10777.5</v>
      </c>
      <c r="AB191" s="170">
        <f t="shared" si="82"/>
        <v>116154506.25</v>
      </c>
      <c r="AD191" s="686">
        <f t="shared" si="83"/>
        <v>26.98367516571426</v>
      </c>
      <c r="AE191" s="687">
        <f t="shared" si="84"/>
        <v>-24.315361230698119</v>
      </c>
      <c r="AG191" s="686">
        <f t="shared" si="85"/>
        <v>19.427918609824054</v>
      </c>
      <c r="AH191" s="687">
        <f t="shared" si="86"/>
        <v>-81.74368773071636</v>
      </c>
      <c r="AJ191" s="170">
        <f t="shared" si="87"/>
        <v>0</v>
      </c>
      <c r="AK191" s="170">
        <f t="shared" si="99"/>
        <v>0</v>
      </c>
      <c r="AM191" s="170" t="str">
        <f t="shared" si="91"/>
        <v>0.029139004354686+0.239643333173677i</v>
      </c>
      <c r="AN191" s="170" t="str">
        <f t="shared" si="92"/>
        <v>0.241998462701416i</v>
      </c>
      <c r="AO191" s="170" t="str">
        <f t="shared" si="93"/>
        <v>0.990267997980447-0.120409873804192i</v>
      </c>
      <c r="AP191" s="170" t="str">
        <f t="shared" si="94"/>
        <v>0.161810165940886-0.0399405555289462i</v>
      </c>
      <c r="AQ191" s="170" t="str">
        <f t="shared" si="95"/>
        <v>0.838189834059114+0.0399405555289462i</v>
      </c>
      <c r="AR191" s="170" t="str">
        <f t="shared" si="96"/>
        <v>0.991556839795681-0.0472486415495857i</v>
      </c>
    </row>
    <row r="192" spans="7:44">
      <c r="G192" s="688">
        <v>10840</v>
      </c>
      <c r="H192" s="676">
        <f t="shared" si="88"/>
        <v>10.84</v>
      </c>
      <c r="I192" s="677">
        <f t="shared" si="66"/>
        <v>56.614956269101718</v>
      </c>
      <c r="J192" s="678">
        <f t="shared" si="67"/>
        <v>1.5531322311004812</v>
      </c>
      <c r="K192" s="678">
        <f t="shared" si="68"/>
        <v>1.0001122559296196</v>
      </c>
      <c r="L192" s="679">
        <f t="shared" si="69"/>
        <v>1.498301901914968E-2</v>
      </c>
      <c r="M192" s="678">
        <f t="shared" si="70"/>
        <v>1.0016558870043648</v>
      </c>
      <c r="N192" s="679">
        <f t="shared" si="71"/>
        <v>-5.7508351746308528E-2</v>
      </c>
      <c r="O192" s="677">
        <f t="shared" si="72"/>
        <v>204329.18595844708</v>
      </c>
      <c r="P192" s="680">
        <f t="shared" si="73"/>
        <v>1.5707914327314503</v>
      </c>
      <c r="Q192" s="689">
        <f t="shared" si="100"/>
        <v>27.398366263112809</v>
      </c>
      <c r="R192" s="690">
        <f t="shared" si="101"/>
        <v>1.5342896917884055</v>
      </c>
      <c r="S192" s="677">
        <f t="shared" si="76"/>
        <v>1.0810531238679844</v>
      </c>
      <c r="T192" s="680">
        <f t="shared" si="77"/>
        <v>0.38969777118243881</v>
      </c>
      <c r="U192" s="681">
        <f t="shared" si="89"/>
        <v>0.99015424486895987</v>
      </c>
      <c r="V192" s="682">
        <f t="shared" si="90"/>
        <v>-0.16958291768976064</v>
      </c>
      <c r="W192" s="683">
        <f t="shared" si="78"/>
        <v>-7.3200073927904983</v>
      </c>
      <c r="X192" s="684">
        <f t="shared" si="79"/>
        <v>-125.56026283538671</v>
      </c>
      <c r="Y192" s="687">
        <f t="shared" si="80"/>
        <v>54.439737164613291</v>
      </c>
      <c r="AA192" s="170">
        <f t="shared" si="81"/>
        <v>10840</v>
      </c>
      <c r="AB192" s="170">
        <f t="shared" si="82"/>
        <v>117505600</v>
      </c>
      <c r="AD192" s="686">
        <f t="shared" si="83"/>
        <v>26.976394625771029</v>
      </c>
      <c r="AE192" s="687">
        <f t="shared" si="84"/>
        <v>-24.419433303228232</v>
      </c>
      <c r="AG192" s="686">
        <f t="shared" si="85"/>
        <v>19.378825628074875</v>
      </c>
      <c r="AH192" s="687">
        <f t="shared" si="86"/>
        <v>-81.708058587677883</v>
      </c>
      <c r="AJ192" s="170">
        <f t="shared" si="87"/>
        <v>0</v>
      </c>
      <c r="AK192" s="170">
        <f t="shared" si="99"/>
        <v>0</v>
      </c>
      <c r="AM192" s="170" t="str">
        <f t="shared" si="91"/>
        <v>0.029476270411099+0.241005581480697i</v>
      </c>
      <c r="AN192" s="170" t="str">
        <f t="shared" si="92"/>
        <v>0.243401840471663i</v>
      </c>
      <c r="AO192" s="170" t="str">
        <f t="shared" si="93"/>
        <v>0.990155131997677-0.121101263466127i</v>
      </c>
      <c r="AP192" s="170" t="str">
        <f t="shared" si="94"/>
        <v>0.161753954931484-0.0401675969134495i</v>
      </c>
      <c r="AQ192" s="170" t="str">
        <f t="shared" si="95"/>
        <v>0.838246045068516+0.0401675969134495i</v>
      </c>
      <c r="AR192" s="170" t="str">
        <f t="shared" si="96"/>
        <v>0.991465043946104-0.0475096404847904i</v>
      </c>
    </row>
    <row r="193" spans="7:44">
      <c r="G193" s="688">
        <v>10902.5</v>
      </c>
      <c r="H193" s="676">
        <f t="shared" si="88"/>
        <v>10.9025</v>
      </c>
      <c r="I193" s="677">
        <f t="shared" si="66"/>
        <v>56.941278592121272</v>
      </c>
      <c r="J193" s="678">
        <f t="shared" si="67"/>
        <v>1.5532334719459213</v>
      </c>
      <c r="K193" s="678">
        <f t="shared" si="68"/>
        <v>1.000113554051788</v>
      </c>
      <c r="L193" s="679">
        <f t="shared" si="69"/>
        <v>1.5069393311853649E-2</v>
      </c>
      <c r="M193" s="678">
        <f t="shared" si="70"/>
        <v>1.0016750206777489</v>
      </c>
      <c r="N193" s="679">
        <f t="shared" si="71"/>
        <v>-5.7839189763670133E-2</v>
      </c>
      <c r="O193" s="677">
        <f t="shared" si="72"/>
        <v>205507.28320218305</v>
      </c>
      <c r="P193" s="680">
        <f t="shared" si="73"/>
        <v>1.5707914607873059</v>
      </c>
      <c r="Q193" s="689">
        <f t="shared" si="100"/>
        <v>27.55612671176489</v>
      </c>
      <c r="R193" s="690">
        <f t="shared" si="101"/>
        <v>1.5344987865252659</v>
      </c>
      <c r="S193" s="677">
        <f t="shared" si="76"/>
        <v>1.0819549560193527</v>
      </c>
      <c r="T193" s="680">
        <f t="shared" si="77"/>
        <v>0.39172228748056442</v>
      </c>
      <c r="U193" s="681">
        <f t="shared" si="89"/>
        <v>0.99004648597627587</v>
      </c>
      <c r="V193" s="682">
        <f t="shared" si="90"/>
        <v>-0.17055149927709387</v>
      </c>
      <c r="W193" s="683">
        <f t="shared" si="78"/>
        <v>-7.3780053469144926</v>
      </c>
      <c r="X193" s="684">
        <f t="shared" si="79"/>
        <v>-125.73958348646453</v>
      </c>
      <c r="Y193" s="687">
        <f t="shared" si="80"/>
        <v>54.260416513535475</v>
      </c>
      <c r="AA193" s="170">
        <f t="shared" si="81"/>
        <v>10902.5</v>
      </c>
      <c r="AB193" s="170">
        <f t="shared" si="82"/>
        <v>118864506.25</v>
      </c>
      <c r="AD193" s="686">
        <f t="shared" si="83"/>
        <v>26.96908559385416</v>
      </c>
      <c r="AE193" s="687">
        <f t="shared" si="84"/>
        <v>-24.523450904326751</v>
      </c>
      <c r="AG193" s="686">
        <f t="shared" si="85"/>
        <v>19.330027386616866</v>
      </c>
      <c r="AH193" s="687">
        <f t="shared" si="86"/>
        <v>-81.672370363393838</v>
      </c>
      <c r="AJ193" s="170">
        <f t="shared" si="87"/>
        <v>0</v>
      </c>
      <c r="AK193" s="170">
        <f t="shared" si="99"/>
        <v>0</v>
      </c>
      <c r="AM193" s="170" t="str">
        <f t="shared" si="91"/>
        <v>0.029815447883758+0.242367355134735i</v>
      </c>
      <c r="AN193" s="170" t="str">
        <f t="shared" si="92"/>
        <v>0.24480521824191i</v>
      </c>
      <c r="AO193" s="170" t="str">
        <f t="shared" si="93"/>
        <v>0.990041621152185-0.121792534072109i</v>
      </c>
      <c r="AP193" s="170" t="str">
        <f t="shared" si="94"/>
        <v>0.161697425352707-0.0403945591891225i</v>
      </c>
      <c r="AQ193" s="170" t="str">
        <f t="shared" si="95"/>
        <v>0.838302574647293+0.0403945591891225i</v>
      </c>
      <c r="AR193" s="170" t="str">
        <f t="shared" si="96"/>
        <v>0.991372757405654-0.0477704193433442i</v>
      </c>
    </row>
    <row r="194" spans="7:44">
      <c r="G194" s="688">
        <v>10965</v>
      </c>
      <c r="H194" s="676">
        <f t="shared" si="88"/>
        <v>10.965</v>
      </c>
      <c r="I194" s="677">
        <f t="shared" si="66"/>
        <v>57.267601492121052</v>
      </c>
      <c r="J194" s="678">
        <f t="shared" si="67"/>
        <v>1.5533335590088972</v>
      </c>
      <c r="K194" s="678">
        <f t="shared" si="68"/>
        <v>1.0001148596353027</v>
      </c>
      <c r="L194" s="679">
        <f t="shared" si="69"/>
        <v>1.515576737969021E-2</v>
      </c>
      <c r="M194" s="678">
        <f t="shared" si="70"/>
        <v>1.0016942639840689</v>
      </c>
      <c r="N194" s="679">
        <f t="shared" si="71"/>
        <v>-5.8170015105942344E-2</v>
      </c>
      <c r="O194" s="677">
        <f t="shared" si="72"/>
        <v>206685.38044591915</v>
      </c>
      <c r="P194" s="680">
        <f t="shared" si="73"/>
        <v>1.5707914885233274</v>
      </c>
      <c r="Q194" s="689">
        <f t="shared" si="100"/>
        <v>27.713888351471343</v>
      </c>
      <c r="R194" s="690">
        <f t="shared" si="101"/>
        <v>1.5347055007225157</v>
      </c>
      <c r="S194" s="677">
        <f t="shared" si="76"/>
        <v>1.0828612153459507</v>
      </c>
      <c r="T194" s="680">
        <f t="shared" si="77"/>
        <v>0.39374342336797596</v>
      </c>
      <c r="U194" s="681">
        <f t="shared" si="89"/>
        <v>0.98993814111543565</v>
      </c>
      <c r="V194" s="682">
        <f t="shared" si="90"/>
        <v>-0.17151992497390969</v>
      </c>
      <c r="W194" s="683">
        <f t="shared" si="78"/>
        <v>-7.4357506977427326</v>
      </c>
      <c r="X194" s="684">
        <f t="shared" si="79"/>
        <v>-125.91877107874325</v>
      </c>
      <c r="Y194" s="687">
        <f t="shared" si="80"/>
        <v>54.081228921256752</v>
      </c>
      <c r="AA194" s="170">
        <f t="shared" si="81"/>
        <v>10965</v>
      </c>
      <c r="AB194" s="170">
        <f t="shared" si="82"/>
        <v>120231225</v>
      </c>
      <c r="AD194" s="686">
        <f t="shared" si="83"/>
        <v>26.961748211822957</v>
      </c>
      <c r="AE194" s="687">
        <f t="shared" si="84"/>
        <v>-24.627411198705783</v>
      </c>
      <c r="AG194" s="686">
        <f t="shared" si="85"/>
        <v>19.281520587136345</v>
      </c>
      <c r="AH194" s="687">
        <f t="shared" si="86"/>
        <v>-81.636624250767554</v>
      </c>
      <c r="AJ194" s="170">
        <f t="shared" si="87"/>
        <v>0</v>
      </c>
      <c r="AK194" s="170">
        <f t="shared" si="99"/>
        <v>0</v>
      </c>
      <c r="AM194" s="170" t="str">
        <f t="shared" si="91"/>
        <v>0.030156536104664+0.243728651453817i</v>
      </c>
      <c r="AN194" s="170" t="str">
        <f t="shared" si="92"/>
        <v>0.246208596012157i</v>
      </c>
      <c r="AO194" s="170" t="str">
        <f t="shared" si="93"/>
        <v>0.989927465577938-0.122483684944838i</v>
      </c>
      <c r="AP194" s="170" t="str">
        <f t="shared" si="94"/>
        <v>0.161640577315889-0.0406214419089695i</v>
      </c>
      <c r="AQ194" s="170" t="str">
        <f t="shared" si="95"/>
        <v>0.838359422684111+0.0406214419089695i</v>
      </c>
      <c r="AR194" s="170" t="str">
        <f t="shared" si="96"/>
        <v>0.99127998084263-0.0480309770103172i</v>
      </c>
    </row>
    <row r="195" spans="7:44">
      <c r="G195" s="688">
        <v>11028.75</v>
      </c>
      <c r="H195" s="676">
        <f t="shared" si="88"/>
        <v>11.02875</v>
      </c>
      <c r="I195" s="677">
        <f t="shared" si="66"/>
        <v>57.600451434356067</v>
      </c>
      <c r="J195" s="678">
        <f t="shared" si="67"/>
        <v>1.5534344795207773</v>
      </c>
      <c r="K195" s="678">
        <f t="shared" si="68"/>
        <v>1.0001161990171361</v>
      </c>
      <c r="L195" s="679">
        <f t="shared" si="69"/>
        <v>1.524386869588946E-2</v>
      </c>
      <c r="M195" s="678">
        <f t="shared" si="70"/>
        <v>1.0017140050938127</v>
      </c>
      <c r="N195" s="679">
        <f t="shared" si="71"/>
        <v>-5.8507443822843834E-2</v>
      </c>
      <c r="O195" s="677">
        <f t="shared" si="72"/>
        <v>207887.03963453017</v>
      </c>
      <c r="P195" s="680">
        <f t="shared" si="73"/>
        <v>1.5707915164902151</v>
      </c>
      <c r="Q195" s="689">
        <f t="shared" si="100"/>
        <v>27.874806430023668</v>
      </c>
      <c r="R195" s="690">
        <f t="shared" si="101"/>
        <v>1.5349139386709574</v>
      </c>
      <c r="S195" s="677">
        <f t="shared" si="76"/>
        <v>1.0837901492171074</v>
      </c>
      <c r="T195" s="680">
        <f t="shared" si="77"/>
        <v>0.39580149116605823</v>
      </c>
      <c r="U195" s="681">
        <f t="shared" si="89"/>
        <v>0.98982702627284791</v>
      </c>
      <c r="V195" s="682">
        <f t="shared" si="90"/>
        <v>-0.17250755773068954</v>
      </c>
      <c r="W195" s="683">
        <f t="shared" si="78"/>
        <v>-7.49439393126229</v>
      </c>
      <c r="X195" s="684">
        <f t="shared" si="79"/>
        <v>-126.10140358122898</v>
      </c>
      <c r="Y195" s="687">
        <f t="shared" si="80"/>
        <v>53.898596418771021</v>
      </c>
      <c r="AA195" s="170">
        <f t="shared" si="81"/>
        <v>11028.75</v>
      </c>
      <c r="AB195" s="170">
        <f t="shared" si="82"/>
        <v>121633326.5625</v>
      </c>
      <c r="AD195" s="686">
        <f t="shared" si="83"/>
        <v>26.954235023756006</v>
      </c>
      <c r="AE195" s="687">
        <f t="shared" si="84"/>
        <v>-24.733388785257336</v>
      </c>
      <c r="AG195" s="686">
        <f t="shared" si="85"/>
        <v>19.232340533080247</v>
      </c>
      <c r="AH195" s="687">
        <f t="shared" si="86"/>
        <v>-81.6001047892277</v>
      </c>
      <c r="AJ195" s="170">
        <f t="shared" si="87"/>
        <v>0</v>
      </c>
      <c r="AK195" s="170">
        <f t="shared" si="99"/>
        <v>0</v>
      </c>
      <c r="AM195" s="170" t="str">
        <f t="shared" si="91"/>
        <v>0.03050641384615+0.245116679168407i</v>
      </c>
      <c r="AN195" s="170" t="str">
        <f t="shared" si="92"/>
        <v>0.24764004133781i</v>
      </c>
      <c r="AO195" s="170" t="str">
        <f t="shared" si="93"/>
        <v>0.989810362832395-0.12318853478358i</v>
      </c>
      <c r="AP195" s="170" t="str">
        <f t="shared" si="94"/>
        <v>0.161582264358975-0.0408527798614012i</v>
      </c>
      <c r="AQ195" s="170" t="str">
        <f t="shared" si="95"/>
        <v>0.838417735641025+0.0408527798614012i</v>
      </c>
      <c r="AR195" s="170" t="str">
        <f t="shared" si="96"/>
        <v>0.991184844623427-0.0482965168054308i</v>
      </c>
    </row>
    <row r="196" spans="7:44">
      <c r="G196" s="688">
        <v>11092.5</v>
      </c>
      <c r="H196" s="676">
        <f t="shared" si="88"/>
        <v>11.092499999999999</v>
      </c>
      <c r="I196" s="677">
        <f t="shared" si="66"/>
        <v>57.933301956507627</v>
      </c>
      <c r="J196" s="678">
        <f t="shared" si="67"/>
        <v>1.5535342403744024</v>
      </c>
      <c r="K196" s="678">
        <f t="shared" si="68"/>
        <v>1.0001175461616927</v>
      </c>
      <c r="L196" s="679">
        <f t="shared" si="69"/>
        <v>1.5331969775430014E-2</v>
      </c>
      <c r="M196" s="678">
        <f t="shared" si="70"/>
        <v>1.0017338602523462</v>
      </c>
      <c r="N196" s="679">
        <f t="shared" si="71"/>
        <v>-5.8844859201952683E-2</v>
      </c>
      <c r="O196" s="677">
        <f t="shared" si="72"/>
        <v>209088.69882314137</v>
      </c>
      <c r="P196" s="680">
        <f t="shared" si="73"/>
        <v>1.5707915441356441</v>
      </c>
      <c r="Q196" s="689">
        <f t="shared" si="100"/>
        <v>28.035725705732986</v>
      </c>
      <c r="R196" s="690">
        <f t="shared" si="101"/>
        <v>1.5351199838467091</v>
      </c>
      <c r="S196" s="677">
        <f t="shared" si="76"/>
        <v>1.0847236657626664</v>
      </c>
      <c r="T196" s="680">
        <f t="shared" si="77"/>
        <v>0.39785602529492403</v>
      </c>
      <c r="U196" s="681">
        <f t="shared" si="89"/>
        <v>0.98971530296692056</v>
      </c>
      <c r="V196" s="682">
        <f t="shared" si="90"/>
        <v>-0.17349502656638741</v>
      </c>
      <c r="W196" s="683">
        <f t="shared" si="78"/>
        <v>-7.5527807973028436</v>
      </c>
      <c r="X196" s="684">
        <f t="shared" si="79"/>
        <v>-126.28389411059094</v>
      </c>
      <c r="Y196" s="687">
        <f t="shared" si="80"/>
        <v>53.716105889409064</v>
      </c>
      <c r="AA196" s="170">
        <f t="shared" si="81"/>
        <v>11092.5</v>
      </c>
      <c r="AB196" s="170">
        <f t="shared" si="82"/>
        <v>123043556.25</v>
      </c>
      <c r="AD196" s="686">
        <f t="shared" si="83"/>
        <v>26.94669264068775</v>
      </c>
      <c r="AE196" s="687">
        <f t="shared" si="84"/>
        <v>-24.839300984834761</v>
      </c>
      <c r="AG196" s="686">
        <f t="shared" si="85"/>
        <v>19.183456940344005</v>
      </c>
      <c r="AH196" s="687">
        <f t="shared" si="86"/>
        <v>-81.56352752551058</v>
      </c>
      <c r="AJ196" s="170">
        <f t="shared" si="87"/>
        <v>0</v>
      </c>
      <c r="AK196" s="170">
        <f t="shared" si="99"/>
        <v>0</v>
      </c>
      <c r="AM196" s="170" t="str">
        <f t="shared" si="91"/>
        <v>0.030858278114285+0.246504204630249i</v>
      </c>
      <c r="AN196" s="170" t="str">
        <f t="shared" si="92"/>
        <v>0.249071486663462i</v>
      </c>
      <c r="AO196" s="170" t="str">
        <f t="shared" si="93"/>
        <v>0.989692589595043-0.123893258628916i</v>
      </c>
      <c r="AP196" s="170" t="str">
        <f t="shared" si="94"/>
        <v>0.161523620314286-0.0410840341050415i</v>
      </c>
      <c r="AQ196" s="170" t="str">
        <f t="shared" si="95"/>
        <v>0.838476379685714+0.0410840341050415i</v>
      </c>
      <c r="AR196" s="170" t="str">
        <f t="shared" si="96"/>
        <v>0.991089199999181-0.04856182413769i</v>
      </c>
    </row>
    <row r="197" spans="7:44">
      <c r="G197" s="688">
        <v>11156.25</v>
      </c>
      <c r="H197" s="676">
        <f t="shared" si="88"/>
        <v>11.15625</v>
      </c>
      <c r="I197" s="677">
        <f t="shared" si="66"/>
        <v>58.266153048637243</v>
      </c>
      <c r="J197" s="678">
        <f t="shared" si="67"/>
        <v>1.5536328614417527</v>
      </c>
      <c r="K197" s="678">
        <f t="shared" si="68"/>
        <v>1.0001189010689406</v>
      </c>
      <c r="L197" s="679">
        <f t="shared" si="69"/>
        <v>1.5420070616945189E-2</v>
      </c>
      <c r="M197" s="678">
        <f t="shared" si="70"/>
        <v>1.0017538294528878</v>
      </c>
      <c r="N197" s="679">
        <f t="shared" si="71"/>
        <v>-5.9182261167235371E-2</v>
      </c>
      <c r="O197" s="677">
        <f t="shared" si="72"/>
        <v>210290.35801175269</v>
      </c>
      <c r="P197" s="680">
        <f t="shared" si="73"/>
        <v>1.5707915714651257</v>
      </c>
      <c r="Q197" s="689">
        <f t="shared" si="100"/>
        <v>28.196646158102649</v>
      </c>
      <c r="R197" s="690">
        <f t="shared" si="101"/>
        <v>1.5353236771993439</v>
      </c>
      <c r="S197" s="677">
        <f t="shared" si="76"/>
        <v>1.0856617531612598</v>
      </c>
      <c r="T197" s="680">
        <f t="shared" si="77"/>
        <v>0.39990701754754315</v>
      </c>
      <c r="U197" s="681">
        <f t="shared" si="89"/>
        <v>0.98960297179680323</v>
      </c>
      <c r="V197" s="682">
        <f t="shared" si="90"/>
        <v>-0.17448233060797014</v>
      </c>
      <c r="W197" s="683">
        <f t="shared" si="78"/>
        <v>-7.6109144601031522</v>
      </c>
      <c r="X197" s="684">
        <f t="shared" si="79"/>
        <v>-126.46624093496045</v>
      </c>
      <c r="Y197" s="687">
        <f t="shared" si="80"/>
        <v>53.533759065039547</v>
      </c>
      <c r="AA197" s="170">
        <f t="shared" si="81"/>
        <v>11156.25</v>
      </c>
      <c r="AB197" s="170">
        <f t="shared" si="82"/>
        <v>124461914.0625</v>
      </c>
      <c r="AD197" s="686">
        <f t="shared" si="83"/>
        <v>26.939121215439869</v>
      </c>
      <c r="AE197" s="687">
        <f t="shared" si="84"/>
        <v>-24.94514498128791</v>
      </c>
      <c r="AG197" s="686">
        <f t="shared" si="85"/>
        <v>19.134866485015873</v>
      </c>
      <c r="AH197" s="687">
        <f t="shared" si="86"/>
        <v>-81.526893643939815</v>
      </c>
      <c r="AJ197" s="170">
        <f t="shared" si="87"/>
        <v>0</v>
      </c>
      <c r="AK197" s="170">
        <f t="shared" si="99"/>
        <v>0</v>
      </c>
      <c r="AM197" s="170" t="str">
        <f t="shared" si="91"/>
        <v>0.0312121281880871+0.247891224996258i</v>
      </c>
      <c r="AN197" s="170" t="str">
        <f t="shared" si="92"/>
        <v>0.250502931989114i</v>
      </c>
      <c r="AO197" s="170" t="str">
        <f t="shared" si="93"/>
        <v>0.989574146010517-0.124597855762596i</v>
      </c>
      <c r="AP197" s="170" t="str">
        <f t="shared" si="94"/>
        <v>0.161464645301985-0.041315204166043i</v>
      </c>
      <c r="AQ197" s="170" t="str">
        <f t="shared" si="95"/>
        <v>0.838535354698015+0.041315204166043i</v>
      </c>
      <c r="AR197" s="170" t="str">
        <f t="shared" si="96"/>
        <v>0.990993047689133-0.0488268978320547i</v>
      </c>
    </row>
    <row r="198" spans="7:44">
      <c r="G198" s="688">
        <v>11220</v>
      </c>
      <c r="H198" s="676">
        <f t="shared" si="88"/>
        <v>11.22</v>
      </c>
      <c r="I198" s="677">
        <f t="shared" si="66"/>
        <v>58.599004701032236</v>
      </c>
      <c r="J198" s="678">
        <f t="shared" si="67"/>
        <v>1.5537303621433949</v>
      </c>
      <c r="K198" s="678">
        <f t="shared" si="68"/>
        <v>1.0001202637388489</v>
      </c>
      <c r="L198" s="679">
        <f t="shared" si="69"/>
        <v>1.5508171219068318E-2</v>
      </c>
      <c r="M198" s="678">
        <f t="shared" si="70"/>
        <v>1.0017739126886176</v>
      </c>
      <c r="N198" s="679">
        <f t="shared" si="71"/>
        <v>-5.9519649642676642E-2</v>
      </c>
      <c r="O198" s="677">
        <f t="shared" si="72"/>
        <v>211492.01720036418</v>
      </c>
      <c r="P198" s="680">
        <f t="shared" si="73"/>
        <v>1.5707915984840448</v>
      </c>
      <c r="Q198" s="689">
        <f t="shared" si="100"/>
        <v>28.357567767101102</v>
      </c>
      <c r="R198" s="690">
        <f t="shared" si="101"/>
        <v>1.5355250587497138</v>
      </c>
      <c r="S198" s="677">
        <f t="shared" si="76"/>
        <v>1.0866043995745598</v>
      </c>
      <c r="T198" s="680">
        <f t="shared" si="77"/>
        <v>0.40195445986434974</v>
      </c>
      <c r="U198" s="681">
        <f t="shared" si="89"/>
        <v>0.9894900333645269</v>
      </c>
      <c r="V198" s="682">
        <f t="shared" si="90"/>
        <v>-0.17546946898363996</v>
      </c>
      <c r="W198" s="683">
        <f t="shared" si="78"/>
        <v>-7.6687980264988864</v>
      </c>
      <c r="X198" s="684">
        <f t="shared" si="79"/>
        <v>-126.64844235833002</v>
      </c>
      <c r="Y198" s="687">
        <f t="shared" si="80"/>
        <v>53.351557641669984</v>
      </c>
      <c r="AA198" s="170">
        <f t="shared" si="81"/>
        <v>11220</v>
      </c>
      <c r="AB198" s="170">
        <f t="shared" si="82"/>
        <v>125888400</v>
      </c>
      <c r="AD198" s="686">
        <f t="shared" si="83"/>
        <v>26.931520901528835</v>
      </c>
      <c r="AE198" s="687">
        <f t="shared" si="84"/>
        <v>-25.050918020120307</v>
      </c>
      <c r="AG198" s="686">
        <f t="shared" si="85"/>
        <v>19.086565899858389</v>
      </c>
      <c r="AH198" s="687">
        <f t="shared" si="86"/>
        <v>-81.490204302905198</v>
      </c>
      <c r="AJ198" s="170">
        <f t="shared" si="87"/>
        <v>0</v>
      </c>
      <c r="AK198" s="170">
        <f t="shared" si="99"/>
        <v>0</v>
      </c>
      <c r="AM198" s="170" t="str">
        <f t="shared" si="91"/>
        <v>0.031567963342505+0.249277737424378i</v>
      </c>
      <c r="AN198" s="170" t="str">
        <f t="shared" si="92"/>
        <v>0.251934377314766i</v>
      </c>
      <c r="AO198" s="170" t="str">
        <f t="shared" si="93"/>
        <v>0.989455032224249-0.12530232546654i</v>
      </c>
      <c r="AP198" s="170" t="str">
        <f t="shared" si="94"/>
        <v>0.161405339442916-0.0415462895707297i</v>
      </c>
      <c r="AQ198" s="170" t="str">
        <f t="shared" si="95"/>
        <v>0.838594660557084+0.0415462895707297i</v>
      </c>
      <c r="AR198" s="170" t="str">
        <f t="shared" si="96"/>
        <v>0.990896388415882-0.0490917367162441i</v>
      </c>
    </row>
    <row r="199" spans="7:44">
      <c r="G199" s="688">
        <v>11285.5</v>
      </c>
      <c r="H199" s="676">
        <f t="shared" si="88"/>
        <v>11.285500000000001</v>
      </c>
      <c r="I199" s="677">
        <f t="shared" si="66"/>
        <v>58.940994031180175</v>
      </c>
      <c r="J199" s="678">
        <f t="shared" si="67"/>
        <v>1.5538293923628139</v>
      </c>
      <c r="K199" s="678">
        <f t="shared" si="68"/>
        <v>1.0001216719005726</v>
      </c>
      <c r="L199" s="679">
        <f t="shared" si="69"/>
        <v>1.5598690018316848E-2</v>
      </c>
      <c r="M199" s="678">
        <f t="shared" si="70"/>
        <v>1.0017946659953696</v>
      </c>
      <c r="N199" s="679">
        <f t="shared" si="71"/>
        <v>-5.9866285632274641E-2</v>
      </c>
      <c r="O199" s="677">
        <f t="shared" si="72"/>
        <v>212726.66311180044</v>
      </c>
      <c r="P199" s="680">
        <f t="shared" si="73"/>
        <v>1.5707916259267245</v>
      </c>
      <c r="Q199" s="689">
        <f t="shared" si="100"/>
        <v>28.522908016146744</v>
      </c>
      <c r="R199" s="690">
        <f t="shared" si="101"/>
        <v>1.5357296016661648</v>
      </c>
      <c r="S199" s="677">
        <f t="shared" si="76"/>
        <v>1.0875776585522308</v>
      </c>
      <c r="T199" s="680">
        <f t="shared" si="77"/>
        <v>0.40405440071707899</v>
      </c>
      <c r="U199" s="681">
        <f t="shared" si="89"/>
        <v>0.98937336280155008</v>
      </c>
      <c r="V199" s="682">
        <f t="shared" si="90"/>
        <v>-0.17648353181061738</v>
      </c>
      <c r="W199" s="683">
        <f t="shared" si="78"/>
        <v>-7.7280132710148708</v>
      </c>
      <c r="X199" s="684">
        <f t="shared" si="79"/>
        <v>-126.83549220097167</v>
      </c>
      <c r="Y199" s="687">
        <f t="shared" si="80"/>
        <v>53.164507799028328</v>
      </c>
      <c r="AA199" s="170">
        <f t="shared" si="81"/>
        <v>11285.5</v>
      </c>
      <c r="AB199" s="170">
        <f t="shared" si="82"/>
        <v>127362510.25</v>
      </c>
      <c r="AD199" s="686">
        <f t="shared" si="83"/>
        <v>26.923682024525743</v>
      </c>
      <c r="AE199" s="687">
        <f t="shared" si="84"/>
        <v>-25.159517894840683</v>
      </c>
      <c r="AG199" s="686">
        <f t="shared" si="85"/>
        <v>19.037237955975272</v>
      </c>
      <c r="AH199" s="687">
        <f t="shared" si="86"/>
        <v>-81.452451230399888</v>
      </c>
      <c r="AJ199" s="170">
        <f t="shared" si="87"/>
        <v>0</v>
      </c>
      <c r="AK199" s="170">
        <f t="shared" si="99"/>
        <v>0</v>
      </c>
      <c r="AM199" s="170" t="str">
        <f t="shared" si="91"/>
        <v>0.03193563332154+0.250701778947484i</v>
      </c>
      <c r="AN199" s="170" t="str">
        <f t="shared" si="92"/>
        <v>0.253405117217985i</v>
      </c>
      <c r="AO199" s="170" t="str">
        <f t="shared" si="93"/>
        <v>0.98933195075072-0.126026000075082i</v>
      </c>
      <c r="AP199" s="170" t="str">
        <f t="shared" si="94"/>
        <v>0.161344061113077-0.0417836298245807i</v>
      </c>
      <c r="AQ199" s="170" t="str">
        <f t="shared" si="95"/>
        <v>0.838655938886923+0.0417836298245807i</v>
      </c>
      <c r="AR199" s="170" t="str">
        <f t="shared" si="96"/>
        <v>0.990796548484688-0.0493635998909182i</v>
      </c>
    </row>
    <row r="200" spans="7:44">
      <c r="G200" s="688">
        <v>11351</v>
      </c>
      <c r="H200" s="676">
        <f t="shared" si="88"/>
        <v>11.351000000000001</v>
      </c>
      <c r="I200" s="677">
        <f t="shared" si="66"/>
        <v>59.282983932692453</v>
      </c>
      <c r="J200" s="678">
        <f t="shared" si="67"/>
        <v>1.5539272800180586</v>
      </c>
      <c r="K200" s="678">
        <f t="shared" si="68"/>
        <v>1.000123088256923</v>
      </c>
      <c r="L200" s="679">
        <f t="shared" si="69"/>
        <v>1.568920856192486E-2</v>
      </c>
      <c r="M200" s="678">
        <f t="shared" si="70"/>
        <v>1.0018155396692758</v>
      </c>
      <c r="N200" s="679">
        <f t="shared" si="71"/>
        <v>-6.0212907218612124E-2</v>
      </c>
      <c r="O200" s="677">
        <f t="shared" si="72"/>
        <v>213961.30902323688</v>
      </c>
      <c r="P200" s="680">
        <f t="shared" si="73"/>
        <v>1.5707916530526926</v>
      </c>
      <c r="Q200" s="689">
        <f t="shared" si="100"/>
        <v>28.688249444773</v>
      </c>
      <c r="R200" s="690">
        <f t="shared" si="101"/>
        <v>1.5359317868718105</v>
      </c>
      <c r="S200" s="677">
        <f t="shared" si="76"/>
        <v>1.0885557048889329</v>
      </c>
      <c r="T200" s="680">
        <f t="shared" si="77"/>
        <v>0.40615057728679149</v>
      </c>
      <c r="U200" s="681">
        <f t="shared" si="89"/>
        <v>0.98925605247684634</v>
      </c>
      <c r="V200" s="682">
        <f t="shared" si="90"/>
        <v>-0.17749741788960519</v>
      </c>
      <c r="W200" s="683">
        <f t="shared" si="78"/>
        <v>-7.7869709688620201</v>
      </c>
      <c r="X200" s="684">
        <f t="shared" si="79"/>
        <v>-127.02238503319784</v>
      </c>
      <c r="Y200" s="687">
        <f t="shared" si="80"/>
        <v>52.977614966802165</v>
      </c>
      <c r="AA200" s="170">
        <f t="shared" si="81"/>
        <v>11351</v>
      </c>
      <c r="AB200" s="170">
        <f t="shared" si="82"/>
        <v>128845201</v>
      </c>
      <c r="AD200" s="686">
        <f t="shared" si="83"/>
        <v>26.915812981719842</v>
      </c>
      <c r="AE200" s="687">
        <f t="shared" si="84"/>
        <v>-25.268037160763424</v>
      </c>
      <c r="AG200" s="686">
        <f t="shared" si="85"/>
        <v>18.988209200634511</v>
      </c>
      <c r="AH200" s="687">
        <f t="shared" si="86"/>
        <v>-81.41464201010443</v>
      </c>
      <c r="AJ200" s="170">
        <f t="shared" si="87"/>
        <v>0</v>
      </c>
      <c r="AK200" s="170">
        <f t="shared" si="99"/>
        <v>0</v>
      </c>
      <c r="AM200" s="170" t="str">
        <f t="shared" si="91"/>
        <v>0.032305397296863+0.25212527818372i</v>
      </c>
      <c r="AN200" s="170" t="str">
        <f t="shared" si="92"/>
        <v>0.254875857121204i</v>
      </c>
      <c r="AO200" s="170" t="str">
        <f t="shared" si="93"/>
        <v>0.989208162088981-0.126749538625388i</v>
      </c>
      <c r="AP200" s="170" t="str">
        <f t="shared" si="94"/>
        <v>0.161282433783856-0.0420208796972867i</v>
      </c>
      <c r="AQ200" s="170" t="str">
        <f t="shared" si="95"/>
        <v>0.838717566216144+0.0420208796972867i</v>
      </c>
      <c r="AR200" s="170" t="str">
        <f t="shared" si="96"/>
        <v>0.990696174932385-0.049635212686922i</v>
      </c>
    </row>
    <row r="201" spans="7:44">
      <c r="G201" s="688">
        <v>11416.5</v>
      </c>
      <c r="H201" s="676">
        <f t="shared" si="88"/>
        <v>11.416499999999999</v>
      </c>
      <c r="I201" s="677">
        <f t="shared" si="66"/>
        <v>59.624974395737553</v>
      </c>
      <c r="J201" s="678">
        <f t="shared" si="67"/>
        <v>1.5540240447674234</v>
      </c>
      <c r="K201" s="678">
        <f t="shared" si="68"/>
        <v>1.0001245128078655</v>
      </c>
      <c r="L201" s="679">
        <f t="shared" si="69"/>
        <v>1.5779726848410097E-2</v>
      </c>
      <c r="M201" s="678">
        <f t="shared" si="70"/>
        <v>1.0018365337028128</v>
      </c>
      <c r="N201" s="679">
        <f t="shared" si="71"/>
        <v>-6.055951431930124E-2</v>
      </c>
      <c r="O201" s="677">
        <f t="shared" si="72"/>
        <v>215195.9549346735</v>
      </c>
      <c r="P201" s="680">
        <f t="shared" si="73"/>
        <v>1.5707916798674006</v>
      </c>
      <c r="Q201" s="689">
        <f t="shared" si="100"/>
        <v>28.853592032701606</v>
      </c>
      <c r="R201" s="690">
        <f t="shared" si="101"/>
        <v>1.5361316548818467</v>
      </c>
      <c r="S201" s="677">
        <f t="shared" si="76"/>
        <v>1.0895385256922565</v>
      </c>
      <c r="T201" s="680">
        <f t="shared" si="77"/>
        <v>0.40824298131458614</v>
      </c>
      <c r="U201" s="681">
        <f t="shared" si="89"/>
        <v>0.98913810305293481</v>
      </c>
      <c r="V201" s="682">
        <f t="shared" si="90"/>
        <v>-0.17851112627914695</v>
      </c>
      <c r="W201" s="683">
        <f t="shared" si="78"/>
        <v>-7.8456743090970535</v>
      </c>
      <c r="X201" s="684">
        <f t="shared" si="79"/>
        <v>-127.20911912853127</v>
      </c>
      <c r="Y201" s="687">
        <f t="shared" si="80"/>
        <v>52.79088087146873</v>
      </c>
      <c r="AA201" s="170">
        <f t="shared" si="81"/>
        <v>11416.5</v>
      </c>
      <c r="AB201" s="170">
        <f t="shared" si="82"/>
        <v>130336472.25</v>
      </c>
      <c r="AD201" s="686">
        <f t="shared" si="83"/>
        <v>26.907913941685244</v>
      </c>
      <c r="AE201" s="687">
        <f t="shared" si="84"/>
        <v>-25.376473023650991</v>
      </c>
      <c r="AG201" s="686">
        <f t="shared" si="85"/>
        <v>18.939476268623913</v>
      </c>
      <c r="AH201" s="687">
        <f t="shared" si="86"/>
        <v>-81.376777817662045</v>
      </c>
      <c r="AJ201" s="170">
        <f t="shared" si="87"/>
        <v>0</v>
      </c>
      <c r="AK201" s="170">
        <f t="shared" si="99"/>
        <v>0</v>
      </c>
      <c r="AM201" s="170" t="str">
        <f t="shared" si="91"/>
        <v>0.032677254468647+0.253548232053951i</v>
      </c>
      <c r="AN201" s="170" t="str">
        <f t="shared" si="92"/>
        <v>0.256346597024423i</v>
      </c>
      <c r="AO201" s="170" t="str">
        <f t="shared" si="93"/>
        <v>0.989083666399498-0.127472940339184i</v>
      </c>
      <c r="AP201" s="170" t="str">
        <f t="shared" si="94"/>
        <v>0.161220457588559-0.0422580386756585i</v>
      </c>
      <c r="AQ201" s="170" t="str">
        <f t="shared" si="95"/>
        <v>0.838779542411441+0.0422580386756585i</v>
      </c>
      <c r="AR201" s="170" t="str">
        <f t="shared" si="96"/>
        <v>0.990595268553708-0.049906573841942i</v>
      </c>
    </row>
    <row r="202" spans="7:44">
      <c r="G202" s="688">
        <v>11482</v>
      </c>
      <c r="H202" s="676">
        <f t="shared" si="88"/>
        <v>11.481999999999999</v>
      </c>
      <c r="I202" s="677">
        <f t="shared" si="66"/>
        <v>59.966965410708276</v>
      </c>
      <c r="J202" s="678">
        <f t="shared" si="67"/>
        <v>1.5541197058208442</v>
      </c>
      <c r="K202" s="678">
        <f t="shared" si="68"/>
        <v>1.0001259455533649</v>
      </c>
      <c r="L202" s="679">
        <f t="shared" si="69"/>
        <v>1.5870244876290324E-2</v>
      </c>
      <c r="M202" s="678">
        <f t="shared" si="70"/>
        <v>1.0018576480884143</v>
      </c>
      <c r="N202" s="679">
        <f t="shared" si="71"/>
        <v>-6.0906106851974944E-2</v>
      </c>
      <c r="O202" s="677">
        <f t="shared" si="72"/>
        <v>216430.60084611023</v>
      </c>
      <c r="P202" s="680">
        <f t="shared" si="73"/>
        <v>1.5707917063761754</v>
      </c>
      <c r="Q202" s="689">
        <f t="shared" si="100"/>
        <v>29.018935760116335</v>
      </c>
      <c r="R202" s="690">
        <f t="shared" si="101"/>
        <v>1.5363292452888306</v>
      </c>
      <c r="S202" s="677">
        <f t="shared" si="76"/>
        <v>1.0905261080534459</v>
      </c>
      <c r="T202" s="680">
        <f t="shared" si="77"/>
        <v>0.41033160470339575</v>
      </c>
      <c r="U202" s="681">
        <f t="shared" si="89"/>
        <v>0.98901951519551956</v>
      </c>
      <c r="V202" s="682">
        <f t="shared" si="90"/>
        <v>-0.17952465603918175</v>
      </c>
      <c r="W202" s="683">
        <f t="shared" si="78"/>
        <v>-7.9041264225098073</v>
      </c>
      <c r="X202" s="684">
        <f t="shared" si="79"/>
        <v>-127.39569279701526</v>
      </c>
      <c r="Y202" s="687">
        <f t="shared" si="80"/>
        <v>52.604307202984742</v>
      </c>
      <c r="AA202" s="170">
        <f t="shared" si="81"/>
        <v>11482</v>
      </c>
      <c r="AB202" s="170">
        <f t="shared" si="82"/>
        <v>131836324</v>
      </c>
      <c r="AD202" s="686">
        <f t="shared" si="83"/>
        <v>26.899985073620492</v>
      </c>
      <c r="AE202" s="687">
        <f t="shared" si="84"/>
        <v>-25.484822751394358</v>
      </c>
      <c r="AG202" s="686">
        <f t="shared" si="85"/>
        <v>18.891035852335957</v>
      </c>
      <c r="AH202" s="687">
        <f t="shared" si="86"/>
        <v>-81.338859802948178</v>
      </c>
      <c r="AJ202" s="170">
        <f t="shared" si="87"/>
        <v>0</v>
      </c>
      <c r="AK202" s="170">
        <f t="shared" si="99"/>
        <v>0</v>
      </c>
      <c r="AM202" s="170" t="str">
        <f t="shared" si="91"/>
        <v>0.033051204032535+0.254970637480221i</v>
      </c>
      <c r="AN202" s="170" t="str">
        <f t="shared" si="92"/>
        <v>0.257817336927642i</v>
      </c>
      <c r="AO202" s="170" t="str">
        <f t="shared" si="93"/>
        <v>0.988958463843648-0.128196204438381i</v>
      </c>
      <c r="AP202" s="170" t="str">
        <f t="shared" si="94"/>
        <v>0.161158132661244-0.0424951062467035i</v>
      </c>
      <c r="AQ202" s="170" t="str">
        <f t="shared" si="95"/>
        <v>0.838841867338756+0.0424951062467035i</v>
      </c>
      <c r="AR202" s="170" t="str">
        <f t="shared" si="96"/>
        <v>0.990493830147068-0.0501776820967926i</v>
      </c>
    </row>
    <row r="203" spans="7:44">
      <c r="G203" s="688">
        <v>11548.75</v>
      </c>
      <c r="H203" s="676">
        <f t="shared" si="88"/>
        <v>11.54875</v>
      </c>
      <c r="I203" s="677">
        <f t="shared" si="66"/>
        <v>60.315483529871514</v>
      </c>
      <c r="J203" s="678">
        <f t="shared" si="67"/>
        <v>1.5542160764115154</v>
      </c>
      <c r="K203" s="678">
        <f t="shared" si="68"/>
        <v>1.0001274140719254</v>
      </c>
      <c r="L203" s="679">
        <f t="shared" si="69"/>
        <v>1.5962490079861186E-2</v>
      </c>
      <c r="M203" s="678">
        <f t="shared" si="70"/>
        <v>1.0018792892316004</v>
      </c>
      <c r="N203" s="679">
        <f t="shared" si="71"/>
        <v>-6.1259298673010477E-2</v>
      </c>
      <c r="O203" s="677">
        <f t="shared" si="72"/>
        <v>217688.80870242187</v>
      </c>
      <c r="P203" s="680">
        <f t="shared" si="73"/>
        <v>1.5707917330814853</v>
      </c>
      <c r="Q203" s="689">
        <f t="shared" si="100"/>
        <v>29.187436054439061</v>
      </c>
      <c r="R203" s="690">
        <f t="shared" si="101"/>
        <v>1.5365283033484494</v>
      </c>
      <c r="S203" s="677">
        <f t="shared" si="76"/>
        <v>1.0915374227538848</v>
      </c>
      <c r="T203" s="680">
        <f t="shared" si="77"/>
        <v>0.41245618954969221</v>
      </c>
      <c r="U203" s="681">
        <f t="shared" si="89"/>
        <v>0.98889800807807371</v>
      </c>
      <c r="V203" s="682">
        <f t="shared" si="90"/>
        <v>-0.18055734322293432</v>
      </c>
      <c r="W203" s="683">
        <f t="shared" si="78"/>
        <v>-7.9634387523529782</v>
      </c>
      <c r="X203" s="684">
        <f t="shared" si="79"/>
        <v>-127.58566027070977</v>
      </c>
      <c r="Y203" s="687">
        <f t="shared" si="80"/>
        <v>52.414339729290234</v>
      </c>
      <c r="AA203" s="170">
        <f t="shared" si="81"/>
        <v>11548.75</v>
      </c>
      <c r="AB203" s="170">
        <f t="shared" si="82"/>
        <v>133373626.5625</v>
      </c>
      <c r="AD203" s="686">
        <f t="shared" si="83"/>
        <v>26.891874379755066</v>
      </c>
      <c r="AE203" s="687">
        <f t="shared" si="84"/>
        <v>-25.595148839838</v>
      </c>
      <c r="AG203" s="686">
        <f t="shared" si="85"/>
        <v>18.841968577172111</v>
      </c>
      <c r="AH203" s="687">
        <f t="shared" si="86"/>
        <v>-81.300163953691268</v>
      </c>
      <c r="AJ203" s="170">
        <f t="shared" si="87"/>
        <v>0</v>
      </c>
      <c r="AK203" s="170">
        <f t="shared" si="99"/>
        <v>0</v>
      </c>
      <c r="AM203" s="170" t="str">
        <f t="shared" si="91"/>
        <v>0.033434441870832+0.256419620619111i</v>
      </c>
      <c r="AN203" s="170" t="str">
        <f t="shared" si="92"/>
        <v>0.259316144386266i</v>
      </c>
      <c r="AO203" s="170" t="str">
        <f t="shared" si="93"/>
        <v>0.988830144864253-0.128933128903187i</v>
      </c>
      <c r="AP203" s="170" t="str">
        <f t="shared" si="94"/>
        <v>0.161094259688195-0.0427366034365185i</v>
      </c>
      <c r="AQ203" s="170" t="str">
        <f t="shared" si="95"/>
        <v>0.838905740311805+0.0427366034365185i</v>
      </c>
      <c r="AR203" s="170" t="str">
        <f t="shared" si="96"/>
        <v>0.990389909368778-0.0504537026871353i</v>
      </c>
    </row>
    <row r="204" spans="7:44">
      <c r="G204" s="688">
        <v>11615.5</v>
      </c>
      <c r="H204" s="676">
        <f t="shared" si="88"/>
        <v>11.615500000000001</v>
      </c>
      <c r="I204" s="677">
        <f t="shared" si="66"/>
        <v>60.664002202765779</v>
      </c>
      <c r="J204" s="678">
        <f t="shared" si="67"/>
        <v>1.5543113396923303</v>
      </c>
      <c r="K204" s="678">
        <f t="shared" si="68"/>
        <v>1.0001288911007229</v>
      </c>
      <c r="L204" s="679">
        <f t="shared" si="69"/>
        <v>1.6054735011754452E-2</v>
      </c>
      <c r="M204" s="678">
        <f t="shared" si="70"/>
        <v>1.0019010553482717</v>
      </c>
      <c r="N204" s="679">
        <f t="shared" si="71"/>
        <v>-6.1612475192046164E-2</v>
      </c>
      <c r="O204" s="677">
        <f t="shared" si="72"/>
        <v>218947.01655873368</v>
      </c>
      <c r="P204" s="680">
        <f t="shared" si="73"/>
        <v>1.5707917594798644</v>
      </c>
      <c r="Q204" s="689">
        <f t="shared" si="100"/>
        <v>29.355937492011265</v>
      </c>
      <c r="R204" s="690">
        <f t="shared" si="101"/>
        <v>1.5367250762515565</v>
      </c>
      <c r="S204" s="677">
        <f t="shared" si="76"/>
        <v>1.0925536553679396</v>
      </c>
      <c r="T204" s="680">
        <f t="shared" si="77"/>
        <v>0.41457683161227105</v>
      </c>
      <c r="U204" s="681">
        <f t="shared" si="89"/>
        <v>0.98877583933290636</v>
      </c>
      <c r="V204" s="682">
        <f t="shared" si="90"/>
        <v>-0.18158984292751584</v>
      </c>
      <c r="W204" s="683">
        <f t="shared" si="78"/>
        <v>-8.0224965610144192</v>
      </c>
      <c r="X204" s="684">
        <f t="shared" si="79"/>
        <v>-127.77545770465466</v>
      </c>
      <c r="Y204" s="687">
        <f t="shared" si="80"/>
        <v>52.224542295345344</v>
      </c>
      <c r="AA204" s="170">
        <f t="shared" si="81"/>
        <v>11615.5</v>
      </c>
      <c r="AB204" s="170">
        <f t="shared" si="82"/>
        <v>134919840.25</v>
      </c>
      <c r="AD204" s="686">
        <f t="shared" si="83"/>
        <v>26.883733065141598</v>
      </c>
      <c r="AE204" s="687">
        <f t="shared" si="84"/>
        <v>-25.705379935652765</v>
      </c>
      <c r="AG204" s="686">
        <f t="shared" si="85"/>
        <v>18.793198330323566</v>
      </c>
      <c r="AH204" s="687">
        <f t="shared" si="86"/>
        <v>-81.261414540844143</v>
      </c>
      <c r="AJ204" s="170">
        <f t="shared" si="87"/>
        <v>0</v>
      </c>
      <c r="AK204" s="170">
        <f t="shared" si="99"/>
        <v>0</v>
      </c>
      <c r="AM204" s="170" t="str">
        <f t="shared" si="91"/>
        <v>0.0338198510245939+0.257868027730972i</v>
      </c>
      <c r="AN204" s="170" t="str">
        <f t="shared" si="92"/>
        <v>0.26081495184489i</v>
      </c>
      <c r="AO204" s="170" t="str">
        <f t="shared" si="93"/>
        <v>0.988701092122699-0.129669908819902i</v>
      </c>
      <c r="AP204" s="170" t="str">
        <f t="shared" si="94"/>
        <v>0.161030024829234-0.0429780046218287i</v>
      </c>
      <c r="AQ204" s="170" t="str">
        <f t="shared" si="95"/>
        <v>0.838969975170766+0.0429780046218287i</v>
      </c>
      <c r="AR204" s="170" t="str">
        <f t="shared" si="96"/>
        <v>0.990285437748132-0.0507294580021246i</v>
      </c>
    </row>
    <row r="205" spans="7:44">
      <c r="G205" s="688">
        <v>11682.25</v>
      </c>
      <c r="H205" s="676">
        <f t="shared" si="88"/>
        <v>11.68225</v>
      </c>
      <c r="I205" s="677">
        <f t="shared" ref="I205:I268" si="102">SQRT(1+(G205/pole1)^2)</f>
        <v>61.012521419901951</v>
      </c>
      <c r="J205" s="678">
        <f t="shared" ref="J205:J268" si="103">ATAN(G205/pole1)</f>
        <v>1.5544055146372606</v>
      </c>
      <c r="K205" s="678">
        <f t="shared" ref="K205:K268" si="104">SQRT(1+(G205/Zero1)^2)</f>
        <v>1.0001303766397192</v>
      </c>
      <c r="L205" s="679">
        <f t="shared" ref="L205:L268" si="105">ATAN(G205/Zero1)</f>
        <v>1.6146979670401473E-2</v>
      </c>
      <c r="M205" s="678">
        <f t="shared" ref="M205:M268" si="106">SQRT(1+(G205/z_RHP)^2)</f>
        <v>1.001922946430283</v>
      </c>
      <c r="N205" s="679">
        <f t="shared" ref="N205:N268" si="107">-ATAN(G205/z_RHP)</f>
        <v>-6.1965636321976172E-2</v>
      </c>
      <c r="O205" s="677">
        <f t="shared" ref="O205:O268" si="108">SQRT(1+(G205/Pole2)^2)</f>
        <v>220205.22441504561</v>
      </c>
      <c r="P205" s="680">
        <f t="shared" ref="P205:P268" si="109">ATAN(G205/Pole2)</f>
        <v>1.5707917855765734</v>
      </c>
      <c r="Q205" s="689">
        <f t="shared" si="100"/>
        <v>29.524440053258743</v>
      </c>
      <c r="R205" s="690">
        <f t="shared" si="101"/>
        <v>1.5369196031084753</v>
      </c>
      <c r="S205" s="677">
        <f t="shared" ref="S205:S268" si="110">SQRT(1+(G205/pole4)^2)</f>
        <v>1.0935747921853152</v>
      </c>
      <c r="T205" s="680">
        <f t="shared" ref="T205:T268" si="111">ATAN(G205/pole4)</f>
        <v>0.41669352283600219</v>
      </c>
      <c r="U205" s="681">
        <f t="shared" si="89"/>
        <v>0.98865300967474412</v>
      </c>
      <c r="V205" s="682">
        <f t="shared" si="90"/>
        <v>-0.18262215416257208</v>
      </c>
      <c r="W205" s="683">
        <f t="shared" ref="W205:W268" si="112">20*LOG10(((K205*Q205*M205*U205)/(I205*O205*S205))*Adc)</f>
        <v>-8.0813029837269532</v>
      </c>
      <c r="X205" s="684">
        <f t="shared" ref="X205:X268" si="113">((L205+R205+N205+V205)-(J205+P205+T205))*radconv</f>
        <v>-127.96508342225444</v>
      </c>
      <c r="Y205" s="687">
        <f t="shared" ref="Y205:Y268" si="114">IF(X205&gt;0,X205,X205+180)</f>
        <v>52.034916577745562</v>
      </c>
      <c r="AA205" s="170">
        <f t="shared" ref="AA205:AA268" si="115">IF(W205&lt;0,G205,1000000000)</f>
        <v>11682.25</v>
      </c>
      <c r="AB205" s="170">
        <f t="shared" ref="AB205:AB268" si="116">G205^2</f>
        <v>136474965.0625</v>
      </c>
      <c r="AD205" s="686">
        <f t="shared" ref="AD205:AD268" si="117">20*LOG10((Q205/(O205*S205))*Aea)</f>
        <v>26.875561310630349</v>
      </c>
      <c r="AE205" s="687">
        <f t="shared" ref="AE205:AE268" si="118">(R205-(P205+T205))*radconv</f>
        <v>-25.815513336758681</v>
      </c>
      <c r="AG205" s="686">
        <f t="shared" ref="AG205:AG268" si="119">20*LOG10((K205*M205/(I205*U205))*Acs*Am)</f>
        <v>18.744721787522312</v>
      </c>
      <c r="AH205" s="687">
        <f t="shared" ref="AH205:AH268" si="120">(L205+N205-(J205+V205))*radconv</f>
        <v>-81.222612703377479</v>
      </c>
      <c r="AJ205" s="170">
        <f t="shared" ref="AJ205:AJ268" si="121">SUM((W206&lt;0)*(W205&gt;0))*G205</f>
        <v>0</v>
      </c>
      <c r="AK205" s="170">
        <f t="shared" si="99"/>
        <v>0</v>
      </c>
      <c r="AM205" s="170" t="str">
        <f t="shared" si="91"/>
        <v>0.034207430628029+0.259315855562067i</v>
      </c>
      <c r="AN205" s="170" t="str">
        <f t="shared" si="92"/>
        <v>0.262313759303514i</v>
      </c>
      <c r="AO205" s="170" t="str">
        <f t="shared" si="93"/>
        <v>0.9885713057927-0.130406543365683i</v>
      </c>
      <c r="AP205" s="170" t="str">
        <f t="shared" si="94"/>
        <v>0.160965428228662-0.0432193092603445i</v>
      </c>
      <c r="AQ205" s="170" t="str">
        <f t="shared" si="95"/>
        <v>0.839034571771338+0.0432193092603445i</v>
      </c>
      <c r="AR205" s="170" t="str">
        <f t="shared" si="96"/>
        <v>0.990180416141841-0.0510049467192083i</v>
      </c>
    </row>
    <row r="206" spans="7:44">
      <c r="G206" s="688">
        <v>11749</v>
      </c>
      <c r="H206" s="676">
        <f t="shared" ref="H206:H269" si="122">G206/1000</f>
        <v>11.749000000000001</v>
      </c>
      <c r="I206" s="677">
        <f t="shared" si="102"/>
        <v>61.361041172006438</v>
      </c>
      <c r="J206" s="678">
        <f t="shared" si="103"/>
        <v>1.5544986197892821</v>
      </c>
      <c r="K206" s="678">
        <f t="shared" si="104"/>
        <v>1.0001318706888769</v>
      </c>
      <c r="L206" s="679">
        <f t="shared" si="105"/>
        <v>1.6239224054233645E-2</v>
      </c>
      <c r="M206" s="678">
        <f t="shared" si="106"/>
        <v>1.0019449624694439</v>
      </c>
      <c r="N206" s="679">
        <f t="shared" si="107"/>
        <v>-6.2318781975717621E-2</v>
      </c>
      <c r="O206" s="677">
        <f t="shared" si="108"/>
        <v>221463.43227135771</v>
      </c>
      <c r="P206" s="680">
        <f t="shared" si="109"/>
        <v>1.5707918113767541</v>
      </c>
      <c r="Q206" s="689">
        <f t="shared" si="100"/>
        <v>29.692943719051481</v>
      </c>
      <c r="R206" s="690">
        <f t="shared" si="101"/>
        <v>1.5371119221424332</v>
      </c>
      <c r="S206" s="677">
        <f t="shared" si="110"/>
        <v>1.0946008194808374</v>
      </c>
      <c r="T206" s="680">
        <f t="shared" si="111"/>
        <v>0.41880625533735022</v>
      </c>
      <c r="U206" s="681">
        <f t="shared" ref="U206:U269" si="123">IMABS(IMPRODUCT(AO206, AR206))</f>
        <v>0.98852951982171422</v>
      </c>
      <c r="V206" s="682">
        <f t="shared" ref="V206:V269" si="124">IMARGUMENT(IMPRODUCT(AO206, AR206))</f>
        <v>-0.18365427593929545</v>
      </c>
      <c r="W206" s="683">
        <f t="shared" si="112"/>
        <v>-8.1398610984896234</v>
      </c>
      <c r="X206" s="684">
        <f t="shared" si="113"/>
        <v>-128.15453578296083</v>
      </c>
      <c r="Y206" s="687">
        <f t="shared" si="114"/>
        <v>51.845464217039165</v>
      </c>
      <c r="AA206" s="170">
        <f t="shared" si="115"/>
        <v>11749</v>
      </c>
      <c r="AB206" s="170">
        <f t="shared" si="116"/>
        <v>138039001</v>
      </c>
      <c r="AD206" s="686">
        <f t="shared" si="117"/>
        <v>26.867359297598604</v>
      </c>
      <c r="AE206" s="687">
        <f t="shared" si="118"/>
        <v>-25.925546401727409</v>
      </c>
      <c r="AG206" s="686">
        <f t="shared" si="119"/>
        <v>18.696535681166591</v>
      </c>
      <c r="AH206" s="687">
        <f t="shared" si="120"/>
        <v>-81.183759555480449</v>
      </c>
      <c r="AJ206" s="170">
        <f t="shared" si="121"/>
        <v>0</v>
      </c>
      <c r="AK206" s="170">
        <f t="shared" si="99"/>
        <v>0</v>
      </c>
      <c r="AM206" s="170" t="str">
        <f t="shared" ref="AM206:AM269" si="125">IMSUB(1,IMEXP(COMPLEX(0,-2*Pi*G206*Tsw)))</f>
        <v>0.0345971798104699+0.260763100859962i</v>
      </c>
      <c r="AN206" s="170" t="str">
        <f t="shared" ref="AN206:AN269" si="126">COMPLEX(0, 2*Pi*G206*Tsw)</f>
        <v>0.263812566762138i</v>
      </c>
      <c r="AO206" s="170" t="str">
        <f t="shared" ref="AO206:AO269" si="127">IMDIV(AM206, AN206)</f>
        <v>0.988440786048962-0.131143031717908i</v>
      </c>
      <c r="AP206" s="170" t="str">
        <f t="shared" ref="AP206:AP269" si="128">IMDIV(IMEXP(COMPLEX(0,-2*Pi*G206*Tsw)),6)</f>
        <v>0.160900470031588-0.0434605168099937i</v>
      </c>
      <c r="AQ206" s="170" t="str">
        <f t="shared" ref="AQ206:AQ269" si="129">IMSUB(1, AP206)</f>
        <v>0.839099529968412+0.0434605168099937i</v>
      </c>
      <c r="AR206" s="170" t="str">
        <f t="shared" ref="AR206:AR269" si="130">IMDIV(0.833, AQ206)</f>
        <v>0.990074845410513-0.0512801675192636i</v>
      </c>
    </row>
    <row r="207" spans="7:44">
      <c r="G207" s="688">
        <v>11817.5</v>
      </c>
      <c r="H207" s="676">
        <f t="shared" si="122"/>
        <v>11.817500000000001</v>
      </c>
      <c r="I207" s="677">
        <f t="shared" si="102"/>
        <v>61.718698692761855</v>
      </c>
      <c r="J207" s="678">
        <f t="shared" si="103"/>
        <v>1.5545930726742514</v>
      </c>
      <c r="K207" s="678">
        <f t="shared" si="104"/>
        <v>1.0001334127555774</v>
      </c>
      <c r="L207" s="679">
        <f t="shared" si="105"/>
        <v>1.6333886542789618E-2</v>
      </c>
      <c r="M207" s="678">
        <f t="shared" si="106"/>
        <v>1.0019676856136333</v>
      </c>
      <c r="N207" s="679">
        <f t="shared" si="107"/>
        <v>-6.2681169948318696E-2</v>
      </c>
      <c r="O207" s="677">
        <f t="shared" si="108"/>
        <v>222754.62685049465</v>
      </c>
      <c r="P207" s="680">
        <f t="shared" si="109"/>
        <v>1.5707918375503223</v>
      </c>
      <c r="Q207" s="689">
        <f t="shared" si="100"/>
        <v>29.865866212702336</v>
      </c>
      <c r="R207" s="690">
        <f t="shared" si="101"/>
        <v>1.5373070270191094</v>
      </c>
      <c r="S207" s="677">
        <f t="shared" si="110"/>
        <v>1.0956588164400827</v>
      </c>
      <c r="T207" s="680">
        <f t="shared" si="111"/>
        <v>0.42097025397881405</v>
      </c>
      <c r="U207" s="681">
        <f t="shared" si="123"/>
        <v>0.98840210677923157</v>
      </c>
      <c r="V207" s="682">
        <f t="shared" si="124"/>
        <v>-0.18471325907901442</v>
      </c>
      <c r="W207" s="683">
        <f t="shared" si="112"/>
        <v>-8.1996994555675542</v>
      </c>
      <c r="X207" s="684">
        <f t="shared" si="113"/>
        <v>-128.34877314230661</v>
      </c>
      <c r="Y207" s="687">
        <f t="shared" si="114"/>
        <v>51.651226857693388</v>
      </c>
      <c r="AA207" s="170">
        <f t="shared" si="115"/>
        <v>11817.5</v>
      </c>
      <c r="AB207" s="170">
        <f t="shared" si="116"/>
        <v>139653306.25</v>
      </c>
      <c r="AD207" s="686">
        <f t="shared" si="117"/>
        <v>26.858910982396353</v>
      </c>
      <c r="AE207" s="687">
        <f t="shared" si="118"/>
        <v>-26.038357204523265</v>
      </c>
      <c r="AG207" s="686">
        <f t="shared" si="119"/>
        <v>18.647384858112829</v>
      </c>
      <c r="AH207" s="687">
        <f t="shared" si="120"/>
        <v>-81.143835582928901</v>
      </c>
      <c r="AJ207" s="170">
        <f t="shared" si="121"/>
        <v>0</v>
      </c>
      <c r="AK207" s="170">
        <f t="shared" si="99"/>
        <v>0</v>
      </c>
      <c r="AM207" s="170" t="str">
        <f t="shared" si="125"/>
        <v>0.03499940186316+0.262247679866839i</v>
      </c>
      <c r="AN207" s="170" t="str">
        <f t="shared" si="126"/>
        <v>0.265350668798328i</v>
      </c>
      <c r="AO207" s="170" t="str">
        <f t="shared" si="127"/>
        <v>0.988306082115635-0.131898675898044i</v>
      </c>
      <c r="AP207" s="170" t="str">
        <f t="shared" si="128"/>
        <v>0.160833433022807-0.0437079466444732i</v>
      </c>
      <c r="AQ207" s="170" t="str">
        <f t="shared" si="129"/>
        <v>0.839166566977193+0.0437079466444732i</v>
      </c>
      <c r="AR207" s="170" t="str">
        <f t="shared" si="130"/>
        <v>0.989965936905321-0.0515623239209429i</v>
      </c>
    </row>
    <row r="208" spans="7:44">
      <c r="G208" s="688">
        <v>11886</v>
      </c>
      <c r="H208" s="676">
        <f t="shared" si="122"/>
        <v>11.885999999999999</v>
      </c>
      <c r="I208" s="677">
        <f t="shared" si="102"/>
        <v>62.076356757786421</v>
      </c>
      <c r="J208" s="678">
        <f t="shared" si="103"/>
        <v>1.5546864371638238</v>
      </c>
      <c r="K208" s="678">
        <f t="shared" si="104"/>
        <v>1.0001349637844326</v>
      </c>
      <c r="L208" s="679">
        <f t="shared" si="105"/>
        <v>1.6428548738584976E-2</v>
      </c>
      <c r="M208" s="678">
        <f t="shared" si="106"/>
        <v>1.0019905403352933</v>
      </c>
      <c r="N208" s="679">
        <f t="shared" si="107"/>
        <v>-6.3043541436860834E-2</v>
      </c>
      <c r="O208" s="677">
        <f t="shared" si="108"/>
        <v>224045.8214296317</v>
      </c>
      <c r="P208" s="680">
        <f t="shared" si="109"/>
        <v>1.5707918634222096</v>
      </c>
      <c r="Q208" s="689">
        <f t="shared" si="100"/>
        <v>30.038789830135507</v>
      </c>
      <c r="R208" s="690">
        <f t="shared" si="101"/>
        <v>1.5374998855914548</v>
      </c>
      <c r="S208" s="677">
        <f t="shared" si="110"/>
        <v>1.0967219343358128</v>
      </c>
      <c r="T208" s="680">
        <f t="shared" si="111"/>
        <v>0.42313006733259001</v>
      </c>
      <c r="U208" s="681">
        <f t="shared" si="123"/>
        <v>0.98827400001446852</v>
      </c>
      <c r="V208" s="682">
        <f t="shared" si="124"/>
        <v>-0.18577204059107963</v>
      </c>
      <c r="W208" s="683">
        <f t="shared" si="112"/>
        <v>-8.2592827027536568</v>
      </c>
      <c r="X208" s="684">
        <f t="shared" si="113"/>
        <v>-128.54282454823493</v>
      </c>
      <c r="Y208" s="687">
        <f t="shared" si="114"/>
        <v>51.457175451765067</v>
      </c>
      <c r="AA208" s="170">
        <f t="shared" si="115"/>
        <v>11886</v>
      </c>
      <c r="AB208" s="170">
        <f t="shared" si="116"/>
        <v>141276996</v>
      </c>
      <c r="AD208" s="686">
        <f t="shared" si="117"/>
        <v>26.850431189875216</v>
      </c>
      <c r="AE208" s="687">
        <f t="shared" si="118"/>
        <v>-26.15105689447104</v>
      </c>
      <c r="AG208" s="686">
        <f t="shared" si="119"/>
        <v>18.598533105116857</v>
      </c>
      <c r="AH208" s="687">
        <f t="shared" si="120"/>
        <v>-81.103859874635106</v>
      </c>
      <c r="AJ208" s="170">
        <f t="shared" si="121"/>
        <v>0</v>
      </c>
      <c r="AK208" s="170">
        <f t="shared" si="99"/>
        <v>0</v>
      </c>
      <c r="AM208" s="170" t="str">
        <f t="shared" si="125"/>
        <v>0.035403906873162+0.263731638459327i</v>
      </c>
      <c r="AN208" s="170" t="str">
        <f t="shared" si="126"/>
        <v>0.266888770834519i</v>
      </c>
      <c r="AO208" s="170" t="str">
        <f t="shared" si="127"/>
        <v>0.988170606184291-0.132654164363902i</v>
      </c>
      <c r="AP208" s="170" t="str">
        <f t="shared" si="128"/>
        <v>0.16076601552114-0.0439552730765545i</v>
      </c>
      <c r="AQ208" s="170" t="str">
        <f t="shared" si="129"/>
        <v>0.83923398447886+0.0439552730765545i</v>
      </c>
      <c r="AR208" s="170" t="str">
        <f t="shared" si="130"/>
        <v>0.989856451953557-0.051844195369693i</v>
      </c>
    </row>
    <row r="209" spans="7:44">
      <c r="G209" s="688">
        <v>11954.5</v>
      </c>
      <c r="H209" s="676">
        <f t="shared" si="122"/>
        <v>11.954499999999999</v>
      </c>
      <c r="I209" s="677">
        <f t="shared" si="102"/>
        <v>62.434015357726473</v>
      </c>
      <c r="J209" s="678">
        <f t="shared" si="103"/>
        <v>1.5547787319612563</v>
      </c>
      <c r="K209" s="678">
        <f t="shared" si="104"/>
        <v>1.0001365237754007</v>
      </c>
      <c r="L209" s="679">
        <f t="shared" si="105"/>
        <v>1.6523210639924568E-2</v>
      </c>
      <c r="M209" s="678">
        <f t="shared" si="106"/>
        <v>1.0020135266254209</v>
      </c>
      <c r="N209" s="679">
        <f t="shared" si="107"/>
        <v>-6.3405896347307006E-2</v>
      </c>
      <c r="O209" s="677">
        <f t="shared" si="108"/>
        <v>225337.01600876893</v>
      </c>
      <c r="P209" s="680">
        <f t="shared" si="109"/>
        <v>1.570791888997602</v>
      </c>
      <c r="Q209" s="689">
        <f t="shared" si="100"/>
        <v>30.211714552054328</v>
      </c>
      <c r="R209" s="690">
        <f t="shared" si="101"/>
        <v>1.5376905364169451</v>
      </c>
      <c r="S209" s="677">
        <f t="shared" si="110"/>
        <v>1.0977901582904324</v>
      </c>
      <c r="T209" s="680">
        <f t="shared" si="111"/>
        <v>0.42528568743714429</v>
      </c>
      <c r="U209" s="681">
        <f t="shared" si="123"/>
        <v>0.98814520031461905</v>
      </c>
      <c r="V209" s="682">
        <f t="shared" si="124"/>
        <v>-0.18683061941198284</v>
      </c>
      <c r="W209" s="683">
        <f t="shared" si="112"/>
        <v>-8.3186139871249924</v>
      </c>
      <c r="X209" s="684">
        <f t="shared" si="113"/>
        <v>-128.73668834109222</v>
      </c>
      <c r="Y209" s="687">
        <f t="shared" si="114"/>
        <v>51.263311658907782</v>
      </c>
      <c r="AA209" s="170">
        <f t="shared" si="115"/>
        <v>11954.5</v>
      </c>
      <c r="AB209" s="170">
        <f t="shared" si="116"/>
        <v>142910070.25</v>
      </c>
      <c r="AD209" s="686">
        <f t="shared" si="117"/>
        <v>26.841920117563248</v>
      </c>
      <c r="AE209" s="687">
        <f t="shared" si="118"/>
        <v>-26.263642806524963</v>
      </c>
      <c r="AG209" s="686">
        <f t="shared" si="119"/>
        <v>18.549977068551648</v>
      </c>
      <c r="AH209" s="687">
        <f t="shared" si="120"/>
        <v>-81.063833557860548</v>
      </c>
      <c r="AJ209" s="170">
        <f t="shared" si="121"/>
        <v>0</v>
      </c>
      <c r="AK209" s="170">
        <f t="shared" si="99"/>
        <v>0</v>
      </c>
      <c r="AM209" s="170" t="str">
        <f t="shared" si="125"/>
        <v>0.035810693883517+0.265214973126737i</v>
      </c>
      <c r="AN209" s="170" t="str">
        <f t="shared" si="126"/>
        <v>0.26842687287071i</v>
      </c>
      <c r="AO209" s="170" t="str">
        <f t="shared" si="127"/>
        <v>0.988034358446965-0.133409496227174i</v>
      </c>
      <c r="AP209" s="170" t="str">
        <f t="shared" si="128"/>
        <v>0.160698217686081-0.0442024955211228i</v>
      </c>
      <c r="AQ209" s="170" t="str">
        <f t="shared" si="129"/>
        <v>0.839301782313919+0.0442024955211228i</v>
      </c>
      <c r="AR209" s="170" t="str">
        <f t="shared" si="130"/>
        <v>0.989746391498032-0.0521257804512513i</v>
      </c>
    </row>
    <row r="210" spans="7:44">
      <c r="G210" s="688">
        <v>12023</v>
      </c>
      <c r="H210" s="676">
        <f t="shared" si="122"/>
        <v>12.023</v>
      </c>
      <c r="I210" s="677">
        <f t="shared" si="102"/>
        <v>62.791674483441447</v>
      </c>
      <c r="J210" s="678">
        <f t="shared" si="103"/>
        <v>1.5548699753437472</v>
      </c>
      <c r="K210" s="678">
        <f t="shared" si="104"/>
        <v>1.0001380927284398</v>
      </c>
      <c r="L210" s="679">
        <f t="shared" si="105"/>
        <v>1.6617872245113265E-2</v>
      </c>
      <c r="M210" s="678">
        <f t="shared" si="106"/>
        <v>1.0020366444749618</v>
      </c>
      <c r="N210" s="679">
        <f t="shared" si="107"/>
        <v>-6.3768234585646191E-2</v>
      </c>
      <c r="O210" s="677">
        <f t="shared" si="108"/>
        <v>226628.21058790627</v>
      </c>
      <c r="P210" s="680">
        <f t="shared" si="109"/>
        <v>1.5707919142815674</v>
      </c>
      <c r="Q210" s="689">
        <f t="shared" si="100"/>
        <v>30.384640359601285</v>
      </c>
      <c r="R210" s="690">
        <f t="shared" si="101"/>
        <v>1.5378790171759495</v>
      </c>
      <c r="S210" s="677">
        <f t="shared" si="110"/>
        <v>1.0988634734128804</v>
      </c>
      <c r="T210" s="680">
        <f t="shared" si="111"/>
        <v>0.427437106517704</v>
      </c>
      <c r="U210" s="681">
        <f t="shared" si="123"/>
        <v>0.9880157084705995</v>
      </c>
      <c r="V210" s="682">
        <f t="shared" si="124"/>
        <v>-0.18788899447994942</v>
      </c>
      <c r="W210" s="683">
        <f t="shared" si="112"/>
        <v>-8.3776963979538994</v>
      </c>
      <c r="X210" s="684">
        <f t="shared" si="113"/>
        <v>-128.93036289786303</v>
      </c>
      <c r="Y210" s="687">
        <f t="shared" si="114"/>
        <v>51.069637102136966</v>
      </c>
      <c r="AA210" s="170">
        <f t="shared" si="115"/>
        <v>12023</v>
      </c>
      <c r="AB210" s="170">
        <f t="shared" si="116"/>
        <v>144552529</v>
      </c>
      <c r="AD210" s="686">
        <f t="shared" si="117"/>
        <v>26.833377963425598</v>
      </c>
      <c r="AE210" s="687">
        <f t="shared" si="118"/>
        <v>-26.3761123365876</v>
      </c>
      <c r="AG210" s="686">
        <f t="shared" si="119"/>
        <v>18.501713452113304</v>
      </c>
      <c r="AH210" s="687">
        <f t="shared" si="120"/>
        <v>-81.023757735357421</v>
      </c>
      <c r="AJ210" s="170">
        <f t="shared" si="121"/>
        <v>0</v>
      </c>
      <c r="AK210" s="170">
        <f t="shared" si="99"/>
        <v>0</v>
      </c>
      <c r="AM210" s="170" t="str">
        <f t="shared" si="125"/>
        <v>0.036219761931865+0.266697680359859i</v>
      </c>
      <c r="AN210" s="170" t="str">
        <f t="shared" si="126"/>
        <v>0.269964974906901i</v>
      </c>
      <c r="AO210" s="170" t="str">
        <f t="shared" si="127"/>
        <v>0.987897339096789-0.13416467059979i</v>
      </c>
      <c r="AP210" s="170" t="str">
        <f t="shared" si="128"/>
        <v>0.160630039678023-0.0444496133933098i</v>
      </c>
      <c r="AQ210" s="170" t="str">
        <f t="shared" si="129"/>
        <v>0.839369960321977+0.0444496133933098i</v>
      </c>
      <c r="AR210" s="170" t="str">
        <f t="shared" si="130"/>
        <v>0.989635756485814-0.0524070777552204i</v>
      </c>
    </row>
    <row r="211" spans="7:44">
      <c r="G211" s="688">
        <v>12093</v>
      </c>
      <c r="H211" s="676">
        <f t="shared" si="122"/>
        <v>12.093</v>
      </c>
      <c r="I211" s="677">
        <f t="shared" si="102"/>
        <v>63.157166094690083</v>
      </c>
      <c r="J211" s="678">
        <f t="shared" si="103"/>
        <v>1.5549621491405881</v>
      </c>
      <c r="K211" s="678">
        <f t="shared" si="104"/>
        <v>1.000139705296665</v>
      </c>
      <c r="L211" s="679">
        <f t="shared" si="105"/>
        <v>1.6714606424453972E-2</v>
      </c>
      <c r="M211" s="678">
        <f t="shared" si="106"/>
        <v>1.002060404457559</v>
      </c>
      <c r="N211" s="679">
        <f t="shared" si="107"/>
        <v>-6.4138489916432395E-2</v>
      </c>
      <c r="O211" s="677">
        <f t="shared" si="108"/>
        <v>227947.67950089352</v>
      </c>
      <c r="P211" s="680">
        <f t="shared" si="109"/>
        <v>1.5707919398232801</v>
      </c>
      <c r="Q211" s="689">
        <f t="shared" si="100"/>
        <v>30.561353966034428</v>
      </c>
      <c r="R211" s="690">
        <f t="shared" si="101"/>
        <v>1.5380694217040451</v>
      </c>
      <c r="S211" s="677">
        <f t="shared" si="110"/>
        <v>1.0999655358934575</v>
      </c>
      <c r="T211" s="680">
        <f t="shared" si="111"/>
        <v>0.42963128904772807</v>
      </c>
      <c r="U211" s="681">
        <f t="shared" si="123"/>
        <v>0.98788266682091119</v>
      </c>
      <c r="V211" s="682">
        <f t="shared" si="124"/>
        <v>-0.18897033404682193</v>
      </c>
      <c r="W211" s="683">
        <f t="shared" si="112"/>
        <v>-8.4378186320150093</v>
      </c>
      <c r="X211" s="684">
        <f t="shared" si="113"/>
        <v>-129.12808135464132</v>
      </c>
      <c r="Y211" s="687">
        <f t="shared" si="114"/>
        <v>50.871918645358676</v>
      </c>
      <c r="AA211" s="170">
        <f t="shared" si="115"/>
        <v>12093</v>
      </c>
      <c r="AB211" s="170">
        <f t="shared" si="116"/>
        <v>146240649</v>
      </c>
      <c r="AD211" s="686">
        <f t="shared" si="117"/>
        <v>26.824616851032953</v>
      </c>
      <c r="AE211" s="687">
        <f t="shared" si="118"/>
        <v>-26.490921822742774</v>
      </c>
      <c r="AG211" s="686">
        <f t="shared" si="119"/>
        <v>18.452691691826285</v>
      </c>
      <c r="AH211" s="687">
        <f t="shared" si="120"/>
        <v>-80.982754319034328</v>
      </c>
      <c r="AJ211" s="170">
        <f t="shared" si="121"/>
        <v>0</v>
      </c>
      <c r="AK211" s="170">
        <f t="shared" si="99"/>
        <v>0</v>
      </c>
      <c r="AM211" s="170" t="str">
        <f t="shared" si="125"/>
        <v>0.036640143177093+0.268212203790483i</v>
      </c>
      <c r="AN211" s="170" t="str">
        <f t="shared" si="126"/>
        <v>0.271536758009578i</v>
      </c>
      <c r="AO211" s="170" t="str">
        <f t="shared" si="127"/>
        <v>0.987756522382219-0.134936218012151i</v>
      </c>
      <c r="AP211" s="170" t="str">
        <f t="shared" si="128"/>
        <v>0.160559976137151-0.0447020339650805i</v>
      </c>
      <c r="AQ211" s="170" t="str">
        <f t="shared" si="129"/>
        <v>0.839440023862849+0.0447020339650805i</v>
      </c>
      <c r="AR211" s="170" t="str">
        <f t="shared" si="130"/>
        <v>0.989522106232324-0.0526942360913951i</v>
      </c>
    </row>
    <row r="212" spans="7:44">
      <c r="G212" s="688">
        <v>12163</v>
      </c>
      <c r="H212" s="676">
        <f t="shared" si="122"/>
        <v>12.163</v>
      </c>
      <c r="I212" s="677">
        <f t="shared" si="102"/>
        <v>63.522658236347844</v>
      </c>
      <c r="J212" s="678">
        <f t="shared" si="103"/>
        <v>1.5550532622521556</v>
      </c>
      <c r="K212" s="678">
        <f t="shared" si="104"/>
        <v>1.0001413272236688</v>
      </c>
      <c r="L212" s="679">
        <f t="shared" si="105"/>
        <v>1.6811340290952641E-2</v>
      </c>
      <c r="M212" s="678">
        <f t="shared" si="106"/>
        <v>1.0020843018050998</v>
      </c>
      <c r="N212" s="679">
        <f t="shared" si="107"/>
        <v>-6.4508727638539043E-2</v>
      </c>
      <c r="O212" s="677">
        <f t="shared" si="108"/>
        <v>229267.14841388087</v>
      </c>
      <c r="P212" s="680">
        <f t="shared" si="109"/>
        <v>1.5707919650709998</v>
      </c>
      <c r="Q212" s="689">
        <f t="shared" si="100"/>
        <v>30.738068667695899</v>
      </c>
      <c r="R212" s="690">
        <f t="shared" si="101"/>
        <v>1.5382576369484955</v>
      </c>
      <c r="S212" s="677">
        <f t="shared" si="110"/>
        <v>1.1010728834729777</v>
      </c>
      <c r="T212" s="680">
        <f t="shared" si="111"/>
        <v>0.43182106872959841</v>
      </c>
      <c r="U212" s="681">
        <f t="shared" si="123"/>
        <v>0.98774890406405813</v>
      </c>
      <c r="V212" s="682">
        <f t="shared" si="124"/>
        <v>-0.19005145860332776</v>
      </c>
      <c r="W212" s="683">
        <f t="shared" si="112"/>
        <v>-8.4976873174233631</v>
      </c>
      <c r="X212" s="684">
        <f t="shared" si="113"/>
        <v>-129.32559888371617</v>
      </c>
      <c r="Y212" s="687">
        <f t="shared" si="114"/>
        <v>50.674401116283832</v>
      </c>
      <c r="AA212" s="170">
        <f t="shared" si="115"/>
        <v>12163</v>
      </c>
      <c r="AB212" s="170">
        <f t="shared" si="116"/>
        <v>147938569</v>
      </c>
      <c r="AD212" s="686">
        <f t="shared" si="117"/>
        <v>26.815823699898228</v>
      </c>
      <c r="AE212" s="687">
        <f t="shared" si="118"/>
        <v>-26.605604464149245</v>
      </c>
      <c r="AG212" s="686">
        <f t="shared" si="119"/>
        <v>18.403968516287161</v>
      </c>
      <c r="AH212" s="687">
        <f t="shared" si="120"/>
        <v>-80.941701458129685</v>
      </c>
      <c r="AJ212" s="170">
        <f t="shared" si="121"/>
        <v>0</v>
      </c>
      <c r="AK212" s="170">
        <f t="shared" si="99"/>
        <v>0</v>
      </c>
      <c r="AM212" s="170" t="str">
        <f t="shared" si="125"/>
        <v>0.0370629044044+0.269726064602424i</v>
      </c>
      <c r="AN212" s="170" t="str">
        <f t="shared" si="126"/>
        <v>0.273108541112255i</v>
      </c>
      <c r="AO212" s="170" t="str">
        <f t="shared" si="127"/>
        <v>0.987614900302804-0.135707599086644i</v>
      </c>
      <c r="AP212" s="170" t="str">
        <f t="shared" si="128"/>
        <v>0.1604895159326-0.044954344100404i</v>
      </c>
      <c r="AQ212" s="170" t="str">
        <f t="shared" si="129"/>
        <v>0.8395104840674+0.044954344100404i</v>
      </c>
      <c r="AR212" s="170" t="str">
        <f t="shared" si="130"/>
        <v>0.989407857996738-0.0529810909430621i</v>
      </c>
    </row>
    <row r="213" spans="7:44">
      <c r="G213" s="688">
        <v>12233</v>
      </c>
      <c r="H213" s="676">
        <f t="shared" si="122"/>
        <v>12.233000000000001</v>
      </c>
      <c r="I213" s="677">
        <f t="shared" si="102"/>
        <v>63.888150899311619</v>
      </c>
      <c r="J213" s="678">
        <f t="shared" si="103"/>
        <v>1.5551433328808948</v>
      </c>
      <c r="K213" s="678">
        <f t="shared" si="104"/>
        <v>1.0001429585094055</v>
      </c>
      <c r="L213" s="679">
        <f t="shared" si="105"/>
        <v>1.690807384280045E-2</v>
      </c>
      <c r="M213" s="678">
        <f t="shared" si="106"/>
        <v>1.0021083365077568</v>
      </c>
      <c r="N213" s="679">
        <f t="shared" si="107"/>
        <v>-6.4878947651728178E-2</v>
      </c>
      <c r="O213" s="677">
        <f t="shared" si="108"/>
        <v>230586.61732686841</v>
      </c>
      <c r="P213" s="680">
        <f t="shared" si="109"/>
        <v>1.5707919900297729</v>
      </c>
      <c r="Q213" s="689">
        <f t="shared" si="100"/>
        <v>30.914784445804099</v>
      </c>
      <c r="R213" s="690">
        <f t="shared" si="101"/>
        <v>1.5384437004391454</v>
      </c>
      <c r="S213" s="677">
        <f t="shared" si="110"/>
        <v>1.1021855002218863</v>
      </c>
      <c r="T213" s="680">
        <f t="shared" si="111"/>
        <v>0.43400643786485338</v>
      </c>
      <c r="U213" s="681">
        <f t="shared" si="123"/>
        <v>0.98761442105601649</v>
      </c>
      <c r="V213" s="682">
        <f t="shared" si="124"/>
        <v>-0.19113236702211078</v>
      </c>
      <c r="W213" s="683">
        <f t="shared" si="112"/>
        <v>-8.5573055723515274</v>
      </c>
      <c r="X213" s="684">
        <f t="shared" si="113"/>
        <v>-129.52291386667665</v>
      </c>
      <c r="Y213" s="687">
        <f t="shared" si="114"/>
        <v>50.477086133323354</v>
      </c>
      <c r="AA213" s="170">
        <f t="shared" si="115"/>
        <v>12233</v>
      </c>
      <c r="AB213" s="170">
        <f t="shared" si="116"/>
        <v>149646289</v>
      </c>
      <c r="AD213" s="686">
        <f t="shared" si="117"/>
        <v>26.806998722470983</v>
      </c>
      <c r="AE213" s="687">
        <f t="shared" si="118"/>
        <v>-26.720157669705074</v>
      </c>
      <c r="AG213" s="686">
        <f t="shared" si="119"/>
        <v>18.355540585055447</v>
      </c>
      <c r="AH213" s="687">
        <f t="shared" si="120"/>
        <v>-80.900600254519972</v>
      </c>
      <c r="AJ213" s="170">
        <f t="shared" si="121"/>
        <v>0</v>
      </c>
      <c r="AK213" s="170">
        <f t="shared" si="99"/>
        <v>0</v>
      </c>
      <c r="AM213" s="170" t="str">
        <f t="shared" si="125"/>
        <v>0.0374880445693559+0.271239259055686i</v>
      </c>
      <c r="AN213" s="170" t="str">
        <f t="shared" si="126"/>
        <v>0.274680324214931i</v>
      </c>
      <c r="AO213" s="170" t="str">
        <f t="shared" si="127"/>
        <v>0.987472473068175-0.136478812876391i</v>
      </c>
      <c r="AP213" s="170" t="str">
        <f t="shared" si="128"/>
        <v>0.160418659238441-0.0452065431759477i</v>
      </c>
      <c r="AQ213" s="170" t="str">
        <f t="shared" si="129"/>
        <v>0.839581340761559+0.0452065431759477i</v>
      </c>
      <c r="AR213" s="170" t="str">
        <f t="shared" si="130"/>
        <v>0.989293012803366-0.0532676408177346i</v>
      </c>
    </row>
    <row r="214" spans="7:44">
      <c r="G214" s="688">
        <v>12303</v>
      </c>
      <c r="H214" s="676">
        <f t="shared" si="122"/>
        <v>12.303000000000001</v>
      </c>
      <c r="I214" s="677">
        <f t="shared" si="102"/>
        <v>64.253644074685411</v>
      </c>
      <c r="J214" s="678">
        <f t="shared" si="103"/>
        <v>1.5552323788151567</v>
      </c>
      <c r="K214" s="678">
        <f t="shared" si="104"/>
        <v>1.0001445991538296</v>
      </c>
      <c r="L214" s="679">
        <f t="shared" si="105"/>
        <v>1.7004807078188588E-2</v>
      </c>
      <c r="M214" s="678">
        <f t="shared" si="106"/>
        <v>1.0021325085556472</v>
      </c>
      <c r="N214" s="679">
        <f t="shared" si="107"/>
        <v>-6.5249149855790764E-2</v>
      </c>
      <c r="O214" s="677">
        <f t="shared" si="108"/>
        <v>231906.08623985606</v>
      </c>
      <c r="P214" s="680">
        <f t="shared" si="109"/>
        <v>1.5707920147045318</v>
      </c>
      <c r="Q214" s="689">
        <f t="shared" si="100"/>
        <v>31.09150128200432</v>
      </c>
      <c r="R214" s="690">
        <f t="shared" si="101"/>
        <v>1.5386276488532</v>
      </c>
      <c r="S214" s="677">
        <f t="shared" si="110"/>
        <v>1.1033033701992381</v>
      </c>
      <c r="T214" s="680">
        <f t="shared" si="111"/>
        <v>0.43618738895452258</v>
      </c>
      <c r="U214" s="681">
        <f t="shared" si="123"/>
        <v>0.98747921865676136</v>
      </c>
      <c r="V214" s="682">
        <f t="shared" si="124"/>
        <v>-0.19221305817774065</v>
      </c>
      <c r="W214" s="683">
        <f t="shared" si="112"/>
        <v>-8.6166764575805352</v>
      </c>
      <c r="X214" s="684">
        <f t="shared" si="113"/>
        <v>-129.72002472177405</v>
      </c>
      <c r="Y214" s="687">
        <f t="shared" si="114"/>
        <v>50.279975278225947</v>
      </c>
      <c r="AA214" s="170">
        <f t="shared" si="115"/>
        <v>12303</v>
      </c>
      <c r="AB214" s="170">
        <f t="shared" si="116"/>
        <v>151363809</v>
      </c>
      <c r="AD214" s="686">
        <f t="shared" si="117"/>
        <v>26.798142131531083</v>
      </c>
      <c r="AE214" s="687">
        <f t="shared" si="118"/>
        <v>-26.834578908584405</v>
      </c>
      <c r="AG214" s="686">
        <f t="shared" si="119"/>
        <v>18.307404614703906</v>
      </c>
      <c r="AH214" s="687">
        <f t="shared" si="120"/>
        <v>-80.859451786247106</v>
      </c>
      <c r="AJ214" s="170">
        <f t="shared" si="121"/>
        <v>0</v>
      </c>
      <c r="AK214" s="170">
        <f t="shared" si="99"/>
        <v>0</v>
      </c>
      <c r="AM214" s="170" t="str">
        <f t="shared" si="125"/>
        <v>0.03791556262165+0.272751783411923i</v>
      </c>
      <c r="AN214" s="170" t="str">
        <f t="shared" si="126"/>
        <v>0.276252107317608i</v>
      </c>
      <c r="AO214" s="170" t="str">
        <f t="shared" si="127"/>
        <v>0.987329240889154-0.137249858434775i</v>
      </c>
      <c r="AP214" s="170" t="str">
        <f t="shared" si="128"/>
        <v>0.160347406229725-0.0454586305686538i</v>
      </c>
      <c r="AQ214" s="170" t="str">
        <f t="shared" si="129"/>
        <v>0.839652593770275+0.0454586305686538i</v>
      </c>
      <c r="AR214" s="170" t="str">
        <f t="shared" si="130"/>
        <v>0.989177571681078-0.0535538842272079i</v>
      </c>
    </row>
    <row r="215" spans="7:44">
      <c r="G215" s="688">
        <v>12374.5</v>
      </c>
      <c r="H215" s="676">
        <f t="shared" si="122"/>
        <v>12.374499999999999</v>
      </c>
      <c r="I215" s="677">
        <f t="shared" si="102"/>
        <v>64.62696976663311</v>
      </c>
      <c r="J215" s="678">
        <f t="shared" si="103"/>
        <v>1.5553222930850406</v>
      </c>
      <c r="K215" s="678">
        <f t="shared" si="104"/>
        <v>1.0001462846165228</v>
      </c>
      <c r="L215" s="679">
        <f t="shared" si="105"/>
        <v>1.7103612840035861E-2</v>
      </c>
      <c r="M215" s="678">
        <f t="shared" si="106"/>
        <v>1.0021573403570936</v>
      </c>
      <c r="N215" s="679">
        <f t="shared" si="107"/>
        <v>-6.562726647441311E-2</v>
      </c>
      <c r="O215" s="677">
        <f t="shared" si="108"/>
        <v>233253.8294866936</v>
      </c>
      <c r="P215" s="680">
        <f t="shared" si="109"/>
        <v>1.5707920396198385</v>
      </c>
      <c r="Q215" s="689">
        <f t="shared" ref="Q215:Q278" si="131">SQRT(1+(G215/Zero2)^2)</f>
        <v>31.272005981246082</v>
      </c>
      <c r="R215" s="690">
        <f t="shared" ref="R215:R278" si="132">ATAN(G215/Zero2)</f>
        <v>1.5388133927411629</v>
      </c>
      <c r="S215" s="677">
        <f t="shared" si="110"/>
        <v>1.1044506012359701</v>
      </c>
      <c r="T215" s="680">
        <f t="shared" si="111"/>
        <v>0.43841050605222093</v>
      </c>
      <c r="U215" s="681">
        <f t="shared" si="123"/>
        <v>0.9873403772818754</v>
      </c>
      <c r="V215" s="682">
        <f t="shared" si="124"/>
        <v>-0.19331668153637802</v>
      </c>
      <c r="W215" s="683">
        <f t="shared" si="112"/>
        <v>-8.6770673222399051</v>
      </c>
      <c r="X215" s="684">
        <f t="shared" si="113"/>
        <v>-129.92114703782636</v>
      </c>
      <c r="Y215" s="687">
        <f t="shared" si="114"/>
        <v>50.078852962173642</v>
      </c>
      <c r="AA215" s="170">
        <f t="shared" si="115"/>
        <v>12374.5</v>
      </c>
      <c r="AB215" s="170">
        <f t="shared" si="116"/>
        <v>153128250.25</v>
      </c>
      <c r="AD215" s="686">
        <f t="shared" si="117"/>
        <v>26.789063341126433</v>
      </c>
      <c r="AE215" s="687">
        <f t="shared" si="118"/>
        <v>-26.95131322247056</v>
      </c>
      <c r="AG215" s="686">
        <f t="shared" si="119"/>
        <v>18.258535215950126</v>
      </c>
      <c r="AH215" s="687">
        <f t="shared" si="120"/>
        <v>-80.81737386702477</v>
      </c>
      <c r="AJ215" s="170">
        <f t="shared" si="121"/>
        <v>0</v>
      </c>
      <c r="AK215" s="170">
        <f t="shared" ref="AK215:AK278" si="133">IF(AJ215&gt;0,Y215,0)</f>
        <v>0</v>
      </c>
      <c r="AM215" s="170" t="str">
        <f t="shared" si="125"/>
        <v>0.038354695542244+0.27429602332945i</v>
      </c>
      <c r="AN215" s="170" t="str">
        <f t="shared" si="126"/>
        <v>0.277857571486771i</v>
      </c>
      <c r="AO215" s="170" t="str">
        <f t="shared" si="127"/>
        <v>0.987182108667172-0.138037251736615i</v>
      </c>
      <c r="AP215" s="170" t="str">
        <f t="shared" si="128"/>
        <v>0.160274217409626-0.0457160038882417i</v>
      </c>
      <c r="AQ215" s="170" t="str">
        <f t="shared" si="129"/>
        <v>0.839725782590374+0.0457160038882417i</v>
      </c>
      <c r="AR215" s="170" t="str">
        <f t="shared" si="130"/>
        <v>0.989059042674368-0.0538459434949358i</v>
      </c>
    </row>
    <row r="216" spans="7:44">
      <c r="G216" s="688">
        <v>12446</v>
      </c>
      <c r="H216" s="676">
        <f t="shared" si="122"/>
        <v>12.446</v>
      </c>
      <c r="I216" s="677">
        <f t="shared" si="102"/>
        <v>65.000295975060737</v>
      </c>
      <c r="J216" s="678">
        <f t="shared" si="103"/>
        <v>1.5554111745186938</v>
      </c>
      <c r="K216" s="678">
        <f t="shared" si="104"/>
        <v>1.0001479798431896</v>
      </c>
      <c r="L216" s="679">
        <f t="shared" si="105"/>
        <v>1.7202418267900969E-2</v>
      </c>
      <c r="M216" s="678">
        <f t="shared" si="106"/>
        <v>1.0021823154320448</v>
      </c>
      <c r="N216" s="679">
        <f t="shared" si="107"/>
        <v>-6.6005364301236505E-2</v>
      </c>
      <c r="O216" s="677">
        <f t="shared" si="108"/>
        <v>234601.5727335313</v>
      </c>
      <c r="P216" s="680">
        <f t="shared" si="109"/>
        <v>1.5707920642488773</v>
      </c>
      <c r="Q216" s="689">
        <f t="shared" si="131"/>
        <v>31.452511747013162</v>
      </c>
      <c r="R216" s="690">
        <f t="shared" si="132"/>
        <v>1.5389970046694061</v>
      </c>
      <c r="S216" s="677">
        <f t="shared" si="110"/>
        <v>1.1056032793995774</v>
      </c>
      <c r="T216" s="680">
        <f t="shared" si="111"/>
        <v>0.44062899854726234</v>
      </c>
      <c r="U216" s="681">
        <f t="shared" si="123"/>
        <v>0.98720078718074544</v>
      </c>
      <c r="V216" s="682">
        <f t="shared" si="124"/>
        <v>-0.19442007585352852</v>
      </c>
      <c r="W216" s="683">
        <f t="shared" si="112"/>
        <v>-8.7372063797810533</v>
      </c>
      <c r="X216" s="684">
        <f t="shared" si="113"/>
        <v>-130.12205316173393</v>
      </c>
      <c r="Y216" s="687">
        <f t="shared" si="114"/>
        <v>49.87794683826607</v>
      </c>
      <c r="AA216" s="170">
        <f t="shared" si="115"/>
        <v>12446</v>
      </c>
      <c r="AB216" s="170">
        <f t="shared" si="116"/>
        <v>154902916</v>
      </c>
      <c r="AD216" s="686">
        <f t="shared" si="117"/>
        <v>26.779952017485805</v>
      </c>
      <c r="AE216" s="687">
        <f t="shared" si="118"/>
        <v>-27.067904702034504</v>
      </c>
      <c r="AG216" s="686">
        <f t="shared" si="119"/>
        <v>18.20996367640366</v>
      </c>
      <c r="AH216" s="687">
        <f t="shared" si="120"/>
        <v>-80.775248836200987</v>
      </c>
      <c r="AJ216" s="170">
        <f t="shared" si="121"/>
        <v>0</v>
      </c>
      <c r="AK216" s="170">
        <f t="shared" si="133"/>
        <v>0</v>
      </c>
      <c r="AM216" s="170" t="str">
        <f t="shared" si="125"/>
        <v>0.038796307117694+0.27583955624496i</v>
      </c>
      <c r="AN216" s="170" t="str">
        <f t="shared" si="126"/>
        <v>0.279463035655934i</v>
      </c>
      <c r="AO216" s="170" t="str">
        <f t="shared" si="127"/>
        <v>0.987034137081961-0.138824467524423i</v>
      </c>
      <c r="AP216" s="170" t="str">
        <f t="shared" si="128"/>
        <v>0.160200615480384-0.04597325937416i</v>
      </c>
      <c r="AQ216" s="170" t="str">
        <f t="shared" si="129"/>
        <v>0.839799384519616+0.04597325937416i</v>
      </c>
      <c r="AR216" s="170" t="str">
        <f t="shared" si="130"/>
        <v>0.988939894109617-0.0541376798976373i</v>
      </c>
    </row>
    <row r="217" spans="7:44">
      <c r="G217" s="688">
        <v>12517.5</v>
      </c>
      <c r="H217" s="676">
        <f t="shared" si="122"/>
        <v>12.5175</v>
      </c>
      <c r="I217" s="677">
        <f t="shared" si="102"/>
        <v>65.373622691120033</v>
      </c>
      <c r="J217" s="678">
        <f t="shared" si="103"/>
        <v>1.5554990408092388</v>
      </c>
      <c r="K217" s="678">
        <f t="shared" si="104"/>
        <v>1.0001496848337803</v>
      </c>
      <c r="L217" s="679">
        <f t="shared" si="105"/>
        <v>1.7301223359856434E-2</v>
      </c>
      <c r="M217" s="678">
        <f t="shared" si="106"/>
        <v>1.0022074337697895</v>
      </c>
      <c r="N217" s="679">
        <f t="shared" si="107"/>
        <v>-6.6383443229565686E-2</v>
      </c>
      <c r="O217" s="677">
        <f t="shared" si="108"/>
        <v>235949.31598036914</v>
      </c>
      <c r="P217" s="680">
        <f t="shared" si="109"/>
        <v>1.5707920885965536</v>
      </c>
      <c r="Q217" s="689">
        <f t="shared" si="131"/>
        <v>31.633018561047994</v>
      </c>
      <c r="R217" s="690">
        <f t="shared" si="132"/>
        <v>1.5391785211221101</v>
      </c>
      <c r="S217" s="677">
        <f t="shared" si="110"/>
        <v>1.1067613876707172</v>
      </c>
      <c r="T217" s="680">
        <f t="shared" si="111"/>
        <v>0.44284285908567406</v>
      </c>
      <c r="U217" s="681">
        <f t="shared" si="123"/>
        <v>0.98706044928263936</v>
      </c>
      <c r="V217" s="682">
        <f t="shared" si="124"/>
        <v>-0.19552323993616447</v>
      </c>
      <c r="W217" s="683">
        <f t="shared" si="112"/>
        <v>-8.7970967150386965</v>
      </c>
      <c r="X217" s="684">
        <f t="shared" si="113"/>
        <v>-130.32274152141952</v>
      </c>
      <c r="Y217" s="687">
        <f t="shared" si="114"/>
        <v>49.677258478580484</v>
      </c>
      <c r="AA217" s="170">
        <f t="shared" si="115"/>
        <v>12517.5</v>
      </c>
      <c r="AB217" s="170">
        <f t="shared" si="116"/>
        <v>156687806.25</v>
      </c>
      <c r="AD217" s="686">
        <f t="shared" si="117"/>
        <v>26.770808388210355</v>
      </c>
      <c r="AE217" s="687">
        <f t="shared" si="118"/>
        <v>-27.184350835816073</v>
      </c>
      <c r="AG217" s="686">
        <f t="shared" si="119"/>
        <v>18.161686672960379</v>
      </c>
      <c r="AH217" s="687">
        <f t="shared" si="120"/>
        <v>-80.733077769869695</v>
      </c>
      <c r="AJ217" s="170">
        <f t="shared" si="121"/>
        <v>0</v>
      </c>
      <c r="AK217" s="170">
        <f t="shared" si="133"/>
        <v>0</v>
      </c>
      <c r="AM217" s="170" t="str">
        <f t="shared" si="125"/>
        <v>0.039240396209738+0.277382378179974i</v>
      </c>
      <c r="AN217" s="170" t="str">
        <f t="shared" si="126"/>
        <v>0.281068499825096i</v>
      </c>
      <c r="AO217" s="170" t="str">
        <f t="shared" si="127"/>
        <v>0.986885326362023-0.139611504790315i</v>
      </c>
      <c r="AP217" s="170" t="str">
        <f t="shared" si="128"/>
        <v>0.16012660063171-0.046230396363329i</v>
      </c>
      <c r="AQ217" s="170" t="str">
        <f t="shared" si="129"/>
        <v>0.83987339936829+0.046230396363329i</v>
      </c>
      <c r="AR217" s="170" t="str">
        <f t="shared" si="130"/>
        <v>0.988820127097858-0.0544290918633151i</v>
      </c>
    </row>
    <row r="218" spans="7:44">
      <c r="G218" s="688">
        <v>12589</v>
      </c>
      <c r="H218" s="676">
        <f t="shared" si="122"/>
        <v>12.589</v>
      </c>
      <c r="I218" s="677">
        <f t="shared" si="102"/>
        <v>65.746949906163579</v>
      </c>
      <c r="J218" s="678">
        <f t="shared" si="103"/>
        <v>1.5555859092479976</v>
      </c>
      <c r="K218" s="678">
        <f t="shared" si="104"/>
        <v>1.0001513995882454</v>
      </c>
      <c r="L218" s="679">
        <f t="shared" si="105"/>
        <v>1.7400028113974821E-2</v>
      </c>
      <c r="M218" s="678">
        <f t="shared" si="106"/>
        <v>1.0022326953595562</v>
      </c>
      <c r="N218" s="679">
        <f t="shared" si="107"/>
        <v>-6.6761503152737697E-2</v>
      </c>
      <c r="O218" s="677">
        <f t="shared" si="108"/>
        <v>237297.05922720709</v>
      </c>
      <c r="P218" s="680">
        <f t="shared" si="109"/>
        <v>1.5707921126676618</v>
      </c>
      <c r="Q218" s="689">
        <f t="shared" si="131"/>
        <v>31.813526405507279</v>
      </c>
      <c r="R218" s="690">
        <f t="shared" si="132"/>
        <v>1.5393579777559794</v>
      </c>
      <c r="S218" s="677">
        <f t="shared" si="110"/>
        <v>1.1079249090211978</v>
      </c>
      <c r="T218" s="680">
        <f t="shared" si="111"/>
        <v>0.44505208052577427</v>
      </c>
      <c r="U218" s="681">
        <f t="shared" si="123"/>
        <v>0.98691936452110485</v>
      </c>
      <c r="V218" s="682">
        <f t="shared" si="124"/>
        <v>-0.19662617259341231</v>
      </c>
      <c r="W218" s="683">
        <f t="shared" si="112"/>
        <v>-8.8567413559726003</v>
      </c>
      <c r="X218" s="684">
        <f t="shared" si="113"/>
        <v>-130.52321058147791</v>
      </c>
      <c r="Y218" s="687">
        <f t="shared" si="114"/>
        <v>49.476789418522088</v>
      </c>
      <c r="AA218" s="170">
        <f t="shared" si="115"/>
        <v>12589</v>
      </c>
      <c r="AB218" s="170">
        <f t="shared" si="116"/>
        <v>158482921</v>
      </c>
      <c r="AD218" s="686">
        <f t="shared" si="117"/>
        <v>26.76163268111582</v>
      </c>
      <c r="AE218" s="687">
        <f t="shared" si="118"/>
        <v>-27.300649171923087</v>
      </c>
      <c r="AG218" s="686">
        <f t="shared" si="119"/>
        <v>18.113700939125014</v>
      </c>
      <c r="AH218" s="687">
        <f t="shared" si="120"/>
        <v>-80.690861720981772</v>
      </c>
      <c r="AJ218" s="170">
        <f t="shared" si="121"/>
        <v>0</v>
      </c>
      <c r="AK218" s="170">
        <f t="shared" si="133"/>
        <v>0</v>
      </c>
      <c r="AM218" s="170" t="str">
        <f t="shared" si="125"/>
        <v>0.039686961673731+0.278924485157846i</v>
      </c>
      <c r="AN218" s="170" t="str">
        <f t="shared" si="126"/>
        <v>0.282673963994259i</v>
      </c>
      <c r="AO218" s="170" t="str">
        <f t="shared" si="127"/>
        <v>0.986735676737143-0.14039836252672i</v>
      </c>
      <c r="AP218" s="170" t="str">
        <f t="shared" si="128"/>
        <v>0.160052173054378-0.0464874141929743i</v>
      </c>
      <c r="AQ218" s="170" t="str">
        <f t="shared" si="129"/>
        <v>0.839947826945622+0.0464874141929743i</v>
      </c>
      <c r="AR218" s="170" t="str">
        <f t="shared" si="130"/>
        <v>0.988699742754991-0.0547201778247043i</v>
      </c>
    </row>
    <row r="219" spans="7:44">
      <c r="G219" s="688">
        <v>12662.25</v>
      </c>
      <c r="H219" s="676">
        <f t="shared" si="122"/>
        <v>12.66225</v>
      </c>
      <c r="I219" s="677">
        <f t="shared" si="102"/>
        <v>66.129415009214199</v>
      </c>
      <c r="J219" s="678">
        <f t="shared" si="103"/>
        <v>1.5556738867192272</v>
      </c>
      <c r="K219" s="678">
        <f t="shared" si="104"/>
        <v>1.0001531664374355</v>
      </c>
      <c r="L219" s="679">
        <f t="shared" si="105"/>
        <v>1.7501250813914515E-2</v>
      </c>
      <c r="M219" s="678">
        <f t="shared" si="106"/>
        <v>1.0022587237828386</v>
      </c>
      <c r="N219" s="679">
        <f t="shared" si="107"/>
        <v>-6.7148796470741845E-2</v>
      </c>
      <c r="O219" s="677">
        <f t="shared" si="108"/>
        <v>238677.78919686988</v>
      </c>
      <c r="P219" s="680">
        <f t="shared" si="109"/>
        <v>1.5707921370460165</v>
      </c>
      <c r="Q219" s="689">
        <f t="shared" si="131"/>
        <v>31.998453324463714</v>
      </c>
      <c r="R219" s="690">
        <f t="shared" si="132"/>
        <v>1.5395397270589408</v>
      </c>
      <c r="S219" s="677">
        <f t="shared" si="110"/>
        <v>1.109122503788704</v>
      </c>
      <c r="T219" s="680">
        <f t="shared" si="111"/>
        <v>0.4473105557704512</v>
      </c>
      <c r="U219" s="681">
        <f t="shared" si="123"/>
        <v>0.98677405310958666</v>
      </c>
      <c r="V219" s="682">
        <f t="shared" si="124"/>
        <v>-0.19775585887205568</v>
      </c>
      <c r="W219" s="683">
        <f t="shared" si="112"/>
        <v>-8.9175941498303697</v>
      </c>
      <c r="X219" s="684">
        <f t="shared" si="113"/>
        <v>-130.72835724294637</v>
      </c>
      <c r="Y219" s="687">
        <f t="shared" si="114"/>
        <v>49.271642757053627</v>
      </c>
      <c r="AA219" s="170">
        <f t="shared" si="115"/>
        <v>12662.25</v>
      </c>
      <c r="AB219" s="170">
        <f t="shared" si="116"/>
        <v>160332575.0625</v>
      </c>
      <c r="AD219" s="686">
        <f t="shared" si="117"/>
        <v>26.752199367033334</v>
      </c>
      <c r="AE219" s="687">
        <f t="shared" si="118"/>
        <v>-27.419638200501524</v>
      </c>
      <c r="AG219" s="686">
        <f t="shared" si="119"/>
        <v>18.06483942275905</v>
      </c>
      <c r="AH219" s="687">
        <f t="shared" si="120"/>
        <v>-80.64756684184367</v>
      </c>
      <c r="AJ219" s="170">
        <f t="shared" si="121"/>
        <v>0</v>
      </c>
      <c r="AK219" s="170">
        <f t="shared" si="133"/>
        <v>0</v>
      </c>
      <c r="AM219" s="170" t="str">
        <f t="shared" si="125"/>
        <v>0.040147023887696+0.280503590437544i</v>
      </c>
      <c r="AN219" s="170" t="str">
        <f t="shared" si="126"/>
        <v>0.284318722740989i</v>
      </c>
      <c r="AO219" s="170" t="str">
        <f t="shared" si="127"/>
        <v>0.986581494645639-0.141204291791468i</v>
      </c>
      <c r="AP219" s="170" t="str">
        <f t="shared" si="128"/>
        <v>0.159975496018717-0.0467505984062573i</v>
      </c>
      <c r="AQ219" s="170" t="str">
        <f t="shared" si="129"/>
        <v>0.840024503981283+0.0467505984062573i</v>
      </c>
      <c r="AR219" s="170" t="str">
        <f t="shared" si="130"/>
        <v>0.98857577293366-0.0550180485635056i</v>
      </c>
    </row>
    <row r="220" spans="7:44">
      <c r="G220" s="688">
        <v>12735.5</v>
      </c>
      <c r="H220" s="676">
        <f t="shared" si="122"/>
        <v>12.7355</v>
      </c>
      <c r="I220" s="677">
        <f t="shared" si="102"/>
        <v>66.511880618222307</v>
      </c>
      <c r="J220" s="678">
        <f t="shared" si="103"/>
        <v>1.5557608523912227</v>
      </c>
      <c r="K220" s="678">
        <f t="shared" si="104"/>
        <v>1.0001549435341937</v>
      </c>
      <c r="L220" s="679">
        <f t="shared" si="105"/>
        <v>1.7602473155182E-2</v>
      </c>
      <c r="M220" s="678">
        <f t="shared" si="106"/>
        <v>1.0022849025332141</v>
      </c>
      <c r="N220" s="679">
        <f t="shared" si="107"/>
        <v>-6.753606961534972E-2</v>
      </c>
      <c r="O220" s="677">
        <f t="shared" si="108"/>
        <v>240058.51916653285</v>
      </c>
      <c r="P220" s="680">
        <f t="shared" si="109"/>
        <v>1.5707921611439399</v>
      </c>
      <c r="Q220" s="689">
        <f t="shared" si="131"/>
        <v>32.183381288271818</v>
      </c>
      <c r="R220" s="690">
        <f t="shared" si="132"/>
        <v>1.5397193876793223</v>
      </c>
      <c r="S220" s="677">
        <f t="shared" si="110"/>
        <v>1.1103257436481935</v>
      </c>
      <c r="T220" s="680">
        <f t="shared" si="111"/>
        <v>0.44956414755206164</v>
      </c>
      <c r="U220" s="681">
        <f t="shared" si="123"/>
        <v>0.98662795982479945</v>
      </c>
      <c r="V220" s="682">
        <f t="shared" si="124"/>
        <v>-0.19888529973474831</v>
      </c>
      <c r="W220" s="683">
        <f t="shared" si="112"/>
        <v>-8.9781953316109195</v>
      </c>
      <c r="X220" s="684">
        <f t="shared" si="113"/>
        <v>-130.93327059079644</v>
      </c>
      <c r="Y220" s="687">
        <f t="shared" si="114"/>
        <v>49.06672940920356</v>
      </c>
      <c r="AA220" s="170">
        <f t="shared" si="115"/>
        <v>12735.5</v>
      </c>
      <c r="AB220" s="170">
        <f t="shared" si="116"/>
        <v>162192960.25</v>
      </c>
      <c r="AD220" s="686">
        <f t="shared" si="117"/>
        <v>26.742732870277123</v>
      </c>
      <c r="AE220" s="687">
        <f t="shared" si="118"/>
        <v>-27.538467083885713</v>
      </c>
      <c r="AG220" s="686">
        <f t="shared" si="119"/>
        <v>18.016276844467207</v>
      </c>
      <c r="AH220" s="687">
        <f t="shared" si="120"/>
        <v>-80.604226916877835</v>
      </c>
      <c r="AJ220" s="170">
        <f t="shared" si="121"/>
        <v>0</v>
      </c>
      <c r="AK220" s="170">
        <f t="shared" si="133"/>
        <v>0</v>
      </c>
      <c r="AM220" s="170" t="str">
        <f t="shared" si="125"/>
        <v>0.040609682725424+0.28208193689031i</v>
      </c>
      <c r="AN220" s="170" t="str">
        <f t="shared" si="126"/>
        <v>0.285963481487718i</v>
      </c>
      <c r="AO220" s="170" t="str">
        <f t="shared" si="127"/>
        <v>0.986426432573788-0.142010030491142i</v>
      </c>
      <c r="AP220" s="170" t="str">
        <f t="shared" si="128"/>
        <v>0.159898386212429-0.047013656148385i</v>
      </c>
      <c r="AQ220" s="170" t="str">
        <f t="shared" si="129"/>
        <v>0.840101613787571+0.047013656148385i</v>
      </c>
      <c r="AR220" s="170" t="str">
        <f t="shared" si="130"/>
        <v>0.988451157579013-0.0553155738296718i</v>
      </c>
    </row>
    <row r="221" spans="7:44">
      <c r="G221" s="688">
        <v>12808.75</v>
      </c>
      <c r="H221" s="676">
        <f t="shared" si="122"/>
        <v>12.80875</v>
      </c>
      <c r="I221" s="677">
        <f t="shared" si="102"/>
        <v>66.894346724509504</v>
      </c>
      <c r="J221" s="678">
        <f t="shared" si="103"/>
        <v>1.5558468236174379</v>
      </c>
      <c r="K221" s="678">
        <f t="shared" si="104"/>
        <v>1.0001567308784651</v>
      </c>
      <c r="L221" s="679">
        <f t="shared" si="105"/>
        <v>1.770369513570496E-2</v>
      </c>
      <c r="M221" s="678">
        <f t="shared" si="106"/>
        <v>1.0023112315989031</v>
      </c>
      <c r="N221" s="679">
        <f t="shared" si="107"/>
        <v>-6.7923322471979755E-2</v>
      </c>
      <c r="O221" s="677">
        <f t="shared" si="108"/>
        <v>241439.24913619593</v>
      </c>
      <c r="P221" s="680">
        <f t="shared" si="109"/>
        <v>1.5707921849662438</v>
      </c>
      <c r="Q221" s="689">
        <f t="shared" si="131"/>
        <v>32.368310279023127</v>
      </c>
      <c r="R221" s="690">
        <f t="shared" si="132"/>
        <v>1.5398969954050659</v>
      </c>
      <c r="S221" s="677">
        <f t="shared" si="110"/>
        <v>1.111534610267175</v>
      </c>
      <c r="T221" s="680">
        <f t="shared" si="111"/>
        <v>0.45181284887640827</v>
      </c>
      <c r="U221" s="681">
        <f t="shared" si="123"/>
        <v>0.9864810856844044</v>
      </c>
      <c r="V221" s="682">
        <f t="shared" si="124"/>
        <v>-0.2000144939080864</v>
      </c>
      <c r="W221" s="683">
        <f t="shared" si="112"/>
        <v>-9.038547979900093</v>
      </c>
      <c r="X221" s="684">
        <f t="shared" si="113"/>
        <v>-131.13794908894039</v>
      </c>
      <c r="Y221" s="687">
        <f t="shared" si="114"/>
        <v>48.862050911059612</v>
      </c>
      <c r="AA221" s="170">
        <f t="shared" si="115"/>
        <v>12808.75</v>
      </c>
      <c r="AB221" s="170">
        <f t="shared" si="116"/>
        <v>164064076.5625</v>
      </c>
      <c r="AD221" s="686">
        <f t="shared" si="117"/>
        <v>26.733233436283591</v>
      </c>
      <c r="AE221" s="687">
        <f t="shared" si="118"/>
        <v>-27.657133371115297</v>
      </c>
      <c r="AG221" s="686">
        <f t="shared" si="119"/>
        <v>17.968009868533642</v>
      </c>
      <c r="AH221" s="687">
        <f t="shared" si="120"/>
        <v>-80.560843006878272</v>
      </c>
      <c r="AJ221" s="170">
        <f t="shared" si="121"/>
        <v>0</v>
      </c>
      <c r="AK221" s="170">
        <f t="shared" si="133"/>
        <v>0</v>
      </c>
      <c r="AM221" s="170" t="str">
        <f t="shared" si="125"/>
        <v>0.0410749369353161+0.283659520246353i</v>
      </c>
      <c r="AN221" s="170" t="str">
        <f t="shared" si="126"/>
        <v>0.287608240234448i</v>
      </c>
      <c r="AO221" s="170" t="str">
        <f t="shared" si="127"/>
        <v>0.986270490772879-0.142815577543374i</v>
      </c>
      <c r="AP221" s="170" t="str">
        <f t="shared" si="128"/>
        <v>0.159820843844114-0.0472765867077255i</v>
      </c>
      <c r="AQ221" s="170" t="str">
        <f t="shared" si="129"/>
        <v>0.840179156155886+0.0472765867077255i</v>
      </c>
      <c r="AR221" s="170" t="str">
        <f t="shared" si="130"/>
        <v>0.988325897906642-0.0556127519535902i</v>
      </c>
    </row>
    <row r="222" spans="7:44">
      <c r="G222" s="688">
        <v>12882</v>
      </c>
      <c r="H222" s="676">
        <f t="shared" si="122"/>
        <v>12.882</v>
      </c>
      <c r="I222" s="677">
        <f t="shared" si="102"/>
        <v>67.27681331959478</v>
      </c>
      <c r="J222" s="678">
        <f t="shared" si="103"/>
        <v>1.5559318173567713</v>
      </c>
      <c r="K222" s="678">
        <f t="shared" si="104"/>
        <v>1.0001585284701953</v>
      </c>
      <c r="L222" s="679">
        <f t="shared" si="105"/>
        <v>1.7804916753411112E-2</v>
      </c>
      <c r="M222" s="678">
        <f t="shared" si="106"/>
        <v>1.0023377109680609</v>
      </c>
      <c r="N222" s="679">
        <f t="shared" si="107"/>
        <v>-6.8310554926086731E-2</v>
      </c>
      <c r="O222" s="677">
        <f t="shared" si="108"/>
        <v>242819.97910585915</v>
      </c>
      <c r="P222" s="680">
        <f t="shared" si="109"/>
        <v>1.5707922085176294</v>
      </c>
      <c r="Q222" s="689">
        <f t="shared" si="131"/>
        <v>32.553240279216006</v>
      </c>
      <c r="R222" s="690">
        <f t="shared" si="132"/>
        <v>1.540072585211415</v>
      </c>
      <c r="S222" s="677">
        <f t="shared" si="110"/>
        <v>1.1127490853072779</v>
      </c>
      <c r="T222" s="680">
        <f t="shared" si="111"/>
        <v>0.45405665297744979</v>
      </c>
      <c r="U222" s="681">
        <f t="shared" si="123"/>
        <v>0.98633343171072174</v>
      </c>
      <c r="V222" s="682">
        <f t="shared" si="124"/>
        <v>-0.20114344012106028</v>
      </c>
      <c r="W222" s="683">
        <f t="shared" si="112"/>
        <v>-9.0986551162547364</v>
      </c>
      <c r="X222" s="684">
        <f t="shared" si="113"/>
        <v>-131.34239123845381</v>
      </c>
      <c r="Y222" s="687">
        <f t="shared" si="114"/>
        <v>48.657608761546186</v>
      </c>
      <c r="AA222" s="170">
        <f t="shared" si="115"/>
        <v>12882</v>
      </c>
      <c r="AB222" s="170">
        <f t="shared" si="116"/>
        <v>165945924</v>
      </c>
      <c r="AD222" s="686">
        <f t="shared" si="117"/>
        <v>26.723701310579926</v>
      </c>
      <c r="AE222" s="687">
        <f t="shared" si="118"/>
        <v>-27.775634670860196</v>
      </c>
      <c r="AG222" s="686">
        <f t="shared" si="119"/>
        <v>17.920035216124376</v>
      </c>
      <c r="AH222" s="687">
        <f t="shared" si="120"/>
        <v>-80.517416149897585</v>
      </c>
      <c r="AJ222" s="170">
        <f t="shared" si="121"/>
        <v>0</v>
      </c>
      <c r="AK222" s="170">
        <f t="shared" si="133"/>
        <v>0</v>
      </c>
      <c r="AM222" s="170" t="str">
        <f t="shared" si="125"/>
        <v>0.041542785258751+0.285236336237948i</v>
      </c>
      <c r="AN222" s="170" t="str">
        <f t="shared" si="126"/>
        <v>0.289252998981178i</v>
      </c>
      <c r="AO222" s="170" t="str">
        <f t="shared" si="127"/>
        <v>0.98611366949564-0.143620931866135i</v>
      </c>
      <c r="AP222" s="170" t="str">
        <f t="shared" si="128"/>
        <v>0.159742869123541-0.0475393893729913i</v>
      </c>
      <c r="AQ222" s="170" t="str">
        <f t="shared" si="129"/>
        <v>0.840257130876459+0.0475393893729913i</v>
      </c>
      <c r="AR222" s="170" t="str">
        <f t="shared" si="130"/>
        <v>0.988199995137397-0.0559095812709407i</v>
      </c>
    </row>
    <row r="223" spans="7:44">
      <c r="G223" s="688">
        <v>12957.25</v>
      </c>
      <c r="H223" s="676">
        <f t="shared" si="122"/>
        <v>12.95725</v>
      </c>
      <c r="I223" s="677">
        <f t="shared" si="102"/>
        <v>67.669723188897493</v>
      </c>
      <c r="J223" s="678">
        <f t="shared" si="103"/>
        <v>1.5560181312743826</v>
      </c>
      <c r="K223" s="678">
        <f t="shared" si="104"/>
        <v>1.0001603858138393</v>
      </c>
      <c r="L223" s="679">
        <f t="shared" si="105"/>
        <v>1.790890172130459E-2</v>
      </c>
      <c r="M223" s="678">
        <f t="shared" si="106"/>
        <v>1.0023650698261568</v>
      </c>
      <c r="N223" s="679">
        <f t="shared" si="107"/>
        <v>-6.8708338913912134E-2</v>
      </c>
      <c r="O223" s="677">
        <f t="shared" si="108"/>
        <v>244238.4081873222</v>
      </c>
      <c r="P223" s="680">
        <f t="shared" si="109"/>
        <v>1.5707922324347694</v>
      </c>
      <c r="Q223" s="689">
        <f t="shared" si="131"/>
        <v>32.743220595878164</v>
      </c>
      <c r="R223" s="690">
        <f t="shared" si="132"/>
        <v>1.5402509038787171</v>
      </c>
      <c r="S223" s="677">
        <f t="shared" si="110"/>
        <v>1.114002541008245</v>
      </c>
      <c r="T223" s="680">
        <f t="shared" si="111"/>
        <v>0.45635661486670404</v>
      </c>
      <c r="U223" s="681">
        <f t="shared" si="123"/>
        <v>0.98618093524582917</v>
      </c>
      <c r="V223" s="682">
        <f t="shared" si="124"/>
        <v>-0.20230295126283876</v>
      </c>
      <c r="W223" s="683">
        <f t="shared" si="112"/>
        <v>-9.1601508606874535</v>
      </c>
      <c r="X223" s="684">
        <f t="shared" si="113"/>
        <v>-131.55216777307692</v>
      </c>
      <c r="Y223" s="687">
        <f t="shared" si="114"/>
        <v>48.447832226923083</v>
      </c>
      <c r="AA223" s="170">
        <f t="shared" si="115"/>
        <v>12957.25</v>
      </c>
      <c r="AB223" s="170">
        <f t="shared" si="116"/>
        <v>167890327.5625</v>
      </c>
      <c r="AD223" s="686">
        <f t="shared" si="117"/>
        <v>26.713875137313835</v>
      </c>
      <c r="AE223" s="687">
        <f t="shared" si="118"/>
        <v>-27.897197243600669</v>
      </c>
      <c r="AG223" s="686">
        <f t="shared" si="119"/>
        <v>17.871051693767498</v>
      </c>
      <c r="AH223" s="687">
        <f t="shared" si="120"/>
        <v>-80.472759922183812</v>
      </c>
      <c r="AJ223" s="170">
        <f t="shared" si="121"/>
        <v>0</v>
      </c>
      <c r="AK223" s="170">
        <f t="shared" si="133"/>
        <v>0</v>
      </c>
      <c r="AM223" s="170" t="str">
        <f t="shared" si="125"/>
        <v>0.0420261075919049+0.286855401665164i</v>
      </c>
      <c r="AN223" s="170" t="str">
        <f t="shared" si="126"/>
        <v>0.290942665816555i</v>
      </c>
      <c r="AO223" s="170" t="str">
        <f t="shared" si="127"/>
        <v>0.985951650852171-0.144448073554132i</v>
      </c>
      <c r="AP223" s="170" t="str">
        <f t="shared" si="128"/>
        <v>0.159662315401349-0.0478092336108607i</v>
      </c>
      <c r="AQ223" s="170" t="str">
        <f t="shared" si="129"/>
        <v>0.840337684598651+0.0478092336108607i</v>
      </c>
      <c r="AR223" s="170" t="str">
        <f t="shared" si="130"/>
        <v>0.988069986363261-0.0562141501775951i</v>
      </c>
    </row>
    <row r="224" spans="7:44">
      <c r="G224" s="688">
        <v>13032.5</v>
      </c>
      <c r="H224" s="676">
        <f t="shared" si="122"/>
        <v>13.032500000000001</v>
      </c>
      <c r="I224" s="677">
        <f t="shared" si="102"/>
        <v>68.06263355652527</v>
      </c>
      <c r="J224" s="678">
        <f t="shared" si="103"/>
        <v>1.5561034486507228</v>
      </c>
      <c r="K224" s="678">
        <f t="shared" si="104"/>
        <v>1.0001622539720509</v>
      </c>
      <c r="L224" s="679">
        <f t="shared" si="105"/>
        <v>1.8012886301864723E-2</v>
      </c>
      <c r="M224" s="678">
        <f t="shared" si="106"/>
        <v>1.0023925872819115</v>
      </c>
      <c r="N224" s="679">
        <f t="shared" si="107"/>
        <v>-6.9106101124920369E-2</v>
      </c>
      <c r="O224" s="677">
        <f t="shared" si="108"/>
        <v>245656.8372687854</v>
      </c>
      <c r="P224" s="680">
        <f t="shared" si="109"/>
        <v>1.5707922560757133</v>
      </c>
      <c r="Q224" s="689">
        <f t="shared" si="131"/>
        <v>32.933201941682285</v>
      </c>
      <c r="R224" s="690">
        <f t="shared" si="132"/>
        <v>1.5404271652222856</v>
      </c>
      <c r="S224" s="677">
        <f t="shared" si="110"/>
        <v>1.1152618763230526</v>
      </c>
      <c r="T224" s="680">
        <f t="shared" si="111"/>
        <v>0.45865139471409816</v>
      </c>
      <c r="U224" s="681">
        <f t="shared" si="123"/>
        <v>0.98602761798376948</v>
      </c>
      <c r="V224" s="682">
        <f t="shared" si="124"/>
        <v>-0.20346219800741852</v>
      </c>
      <c r="W224" s="683">
        <f t="shared" si="112"/>
        <v>-9.2213937888147903</v>
      </c>
      <c r="X224" s="684">
        <f t="shared" si="113"/>
        <v>-131.76169178673436</v>
      </c>
      <c r="Y224" s="687">
        <f t="shared" si="114"/>
        <v>48.23830821326564</v>
      </c>
      <c r="AA224" s="170">
        <f t="shared" si="115"/>
        <v>13032.5</v>
      </c>
      <c r="AB224" s="170">
        <f t="shared" si="116"/>
        <v>169846056.25</v>
      </c>
      <c r="AD224" s="686">
        <f t="shared" si="117"/>
        <v>26.704014988209703</v>
      </c>
      <c r="AE224" s="687">
        <f t="shared" si="118"/>
        <v>-28.01858076735526</v>
      </c>
      <c r="AG224" s="686">
        <f t="shared" si="119"/>
        <v>17.822369839691326</v>
      </c>
      <c r="AH224" s="687">
        <f t="shared" si="120"/>
        <v>-80.428060520177482</v>
      </c>
      <c r="AJ224" s="170">
        <f t="shared" si="121"/>
        <v>0</v>
      </c>
      <c r="AK224" s="170">
        <f t="shared" si="133"/>
        <v>0</v>
      </c>
      <c r="AM224" s="170" t="str">
        <f t="shared" si="125"/>
        <v>0.042512164914977+0.288473648127859i</v>
      </c>
      <c r="AN224" s="170" t="str">
        <f t="shared" si="126"/>
        <v>0.292632332651933i</v>
      </c>
      <c r="AO224" s="170" t="str">
        <f t="shared" si="127"/>
        <v>0.985788704596014-0.14527500953062i</v>
      </c>
      <c r="AP224" s="170" t="str">
        <f t="shared" si="128"/>
        <v>0.159581305847504-0.0480789413546432i</v>
      </c>
      <c r="AQ224" s="170" t="str">
        <f t="shared" si="129"/>
        <v>0.840418694152496+0.0480789413546432i</v>
      </c>
      <c r="AR224" s="170" t="str">
        <f t="shared" si="130"/>
        <v>0.987939301523865-0.0565183474265914i</v>
      </c>
    </row>
    <row r="225" spans="7:44">
      <c r="G225" s="688">
        <v>13107.75</v>
      </c>
      <c r="H225" s="676">
        <f t="shared" si="122"/>
        <v>13.107749999999999</v>
      </c>
      <c r="I225" s="677">
        <f t="shared" si="102"/>
        <v>68.455544413897485</v>
      </c>
      <c r="J225" s="678">
        <f t="shared" si="103"/>
        <v>1.5561877866439333</v>
      </c>
      <c r="K225" s="678">
        <f t="shared" si="104"/>
        <v>1.0001641329447697</v>
      </c>
      <c r="L225" s="679">
        <f t="shared" si="105"/>
        <v>1.8116870492844956E-2</v>
      </c>
      <c r="M225" s="678">
        <f t="shared" si="106"/>
        <v>1.0024202633222632</v>
      </c>
      <c r="N225" s="679">
        <f t="shared" si="107"/>
        <v>-6.9503841435046315E-2</v>
      </c>
      <c r="O225" s="677">
        <f t="shared" si="108"/>
        <v>247075.26635024871</v>
      </c>
      <c r="P225" s="680">
        <f t="shared" si="109"/>
        <v>1.5707922794452174</v>
      </c>
      <c r="Q225" s="689">
        <f t="shared" si="131"/>
        <v>33.123184298920123</v>
      </c>
      <c r="R225" s="690">
        <f t="shared" si="132"/>
        <v>1.5406014046312211</v>
      </c>
      <c r="S225" s="677">
        <f t="shared" si="110"/>
        <v>1.1165270713567814</v>
      </c>
      <c r="T225" s="680">
        <f t="shared" si="111"/>
        <v>0.46094098592643695</v>
      </c>
      <c r="U225" s="681">
        <f t="shared" si="123"/>
        <v>0.98587348104807793</v>
      </c>
      <c r="V225" s="682">
        <f t="shared" si="124"/>
        <v>-0.20462117898481963</v>
      </c>
      <c r="W225" s="683">
        <f t="shared" si="112"/>
        <v>-9.282386997153246</v>
      </c>
      <c r="X225" s="684">
        <f t="shared" si="113"/>
        <v>-131.97096177190562</v>
      </c>
      <c r="Y225" s="687">
        <f t="shared" si="114"/>
        <v>48.029038228094379</v>
      </c>
      <c r="AA225" s="170">
        <f t="shared" si="115"/>
        <v>13107.75</v>
      </c>
      <c r="AB225" s="170">
        <f t="shared" si="116"/>
        <v>171813110.0625</v>
      </c>
      <c r="AD225" s="686">
        <f t="shared" si="117"/>
        <v>26.694121129535095</v>
      </c>
      <c r="AE225" s="687">
        <f t="shared" si="118"/>
        <v>-28.139782836988111</v>
      </c>
      <c r="AG225" s="686">
        <f t="shared" si="119"/>
        <v>17.773986278189369</v>
      </c>
      <c r="AH225" s="687">
        <f t="shared" si="120"/>
        <v>-80.383318998482096</v>
      </c>
      <c r="AJ225" s="170">
        <f t="shared" si="121"/>
        <v>0</v>
      </c>
      <c r="AK225" s="170">
        <f t="shared" si="133"/>
        <v>0</v>
      </c>
      <c r="AM225" s="170" t="str">
        <f t="shared" si="125"/>
        <v>0.043000955840287+0.29009107100598i</v>
      </c>
      <c r="AN225" s="170" t="str">
        <f t="shared" si="126"/>
        <v>0.29432199948731i</v>
      </c>
      <c r="AO225" s="170" t="str">
        <f t="shared" si="127"/>
        <v>0.985624831005837-0.146101738623657i</v>
      </c>
      <c r="AP225" s="170" t="str">
        <f t="shared" si="128"/>
        <v>0.159499840693286-0.04834851183433i</v>
      </c>
      <c r="AQ225" s="170" t="str">
        <f t="shared" si="129"/>
        <v>0.840500159306714+0.04834851183433i</v>
      </c>
      <c r="AR225" s="170" t="str">
        <f t="shared" si="130"/>
        <v>0.987807941959956-0.0568221712311038i</v>
      </c>
    </row>
    <row r="226" spans="7:44">
      <c r="G226" s="688">
        <v>13183</v>
      </c>
      <c r="H226" s="676">
        <f t="shared" si="122"/>
        <v>13.183</v>
      </c>
      <c r="I226" s="677">
        <f t="shared" si="102"/>
        <v>68.848455752629349</v>
      </c>
      <c r="J226" s="678">
        <f t="shared" si="103"/>
        <v>1.5562711620205318</v>
      </c>
      <c r="K226" s="678">
        <f t="shared" si="104"/>
        <v>1.0001660227319344</v>
      </c>
      <c r="L226" s="679">
        <f t="shared" si="105"/>
        <v>1.8220854291998791E-2</v>
      </c>
      <c r="M226" s="678">
        <f t="shared" si="106"/>
        <v>1.0024480979340777</v>
      </c>
      <c r="N226" s="679">
        <f t="shared" si="107"/>
        <v>-6.9901559720266196E-2</v>
      </c>
      <c r="O226" s="677">
        <f t="shared" si="108"/>
        <v>248493.69543171214</v>
      </c>
      <c r="P226" s="680">
        <f t="shared" si="109"/>
        <v>1.5707923025479302</v>
      </c>
      <c r="Q226" s="689">
        <f t="shared" si="131"/>
        <v>33.313167650287298</v>
      </c>
      <c r="R226" s="690">
        <f t="shared" si="132"/>
        <v>1.5407736566878327</v>
      </c>
      <c r="S226" s="677">
        <f t="shared" si="110"/>
        <v>1.1177981062122235</v>
      </c>
      <c r="T226" s="680">
        <f t="shared" si="111"/>
        <v>0.46322538215790487</v>
      </c>
      <c r="U226" s="681">
        <f t="shared" si="123"/>
        <v>0.98571852556737194</v>
      </c>
      <c r="V226" s="682">
        <f t="shared" si="124"/>
        <v>-0.20577989282779457</v>
      </c>
      <c r="W226" s="683">
        <f t="shared" si="112"/>
        <v>-9.3431335244287439</v>
      </c>
      <c r="X226" s="684">
        <f t="shared" si="113"/>
        <v>-132.17997625918412</v>
      </c>
      <c r="Y226" s="687">
        <f t="shared" si="114"/>
        <v>47.820023740815884</v>
      </c>
      <c r="AA226" s="170">
        <f t="shared" si="115"/>
        <v>13183</v>
      </c>
      <c r="AB226" s="170">
        <f t="shared" si="116"/>
        <v>173791489</v>
      </c>
      <c r="AD226" s="686">
        <f t="shared" si="117"/>
        <v>26.684193827510207</v>
      </c>
      <c r="AE226" s="687">
        <f t="shared" si="118"/>
        <v>-28.260801107756734</v>
      </c>
      <c r="AG226" s="686">
        <f t="shared" si="119"/>
        <v>17.725897691331451</v>
      </c>
      <c r="AH226" s="687">
        <f t="shared" si="120"/>
        <v>-80.338536389108498</v>
      </c>
      <c r="AJ226" s="170">
        <f t="shared" si="121"/>
        <v>0</v>
      </c>
      <c r="AK226" s="170">
        <f t="shared" si="133"/>
        <v>0</v>
      </c>
      <c r="AM226" s="170" t="str">
        <f t="shared" si="125"/>
        <v>0.043492478972351+0.291707665681828i</v>
      </c>
      <c r="AN226" s="170" t="str">
        <f t="shared" si="126"/>
        <v>0.296011666322688i</v>
      </c>
      <c r="AO226" s="170" t="str">
        <f t="shared" si="127"/>
        <v>0.985460030361884-0.146928259661695i</v>
      </c>
      <c r="AP226" s="170" t="str">
        <f t="shared" si="128"/>
        <v>0.159417920171275-0.0486179442803047i</v>
      </c>
      <c r="AQ226" s="170" t="str">
        <f t="shared" si="129"/>
        <v>0.840582079828725+0.0486179442803047i</v>
      </c>
      <c r="AR226" s="170" t="str">
        <f t="shared" si="130"/>
        <v>0.98767590901801-0.057125619810288i</v>
      </c>
    </row>
    <row r="227" spans="7:44">
      <c r="G227" s="688">
        <v>13259.75</v>
      </c>
      <c r="H227" s="676">
        <f t="shared" si="122"/>
        <v>13.25975</v>
      </c>
      <c r="I227" s="677">
        <f t="shared" si="102"/>
        <v>69.249199698422061</v>
      </c>
      <c r="J227" s="678">
        <f t="shared" si="103"/>
        <v>1.5563552247637957</v>
      </c>
      <c r="K227" s="678">
        <f t="shared" si="104"/>
        <v>1.0001679613291616</v>
      </c>
      <c r="L227" s="679">
        <f t="shared" si="105"/>
        <v>1.8326910451963749E-2</v>
      </c>
      <c r="M227" s="678">
        <f t="shared" si="106"/>
        <v>1.0024766507192617</v>
      </c>
      <c r="N227" s="679">
        <f t="shared" si="107"/>
        <v>-7.0307183128330272E-2</v>
      </c>
      <c r="O227" s="677">
        <f t="shared" si="108"/>
        <v>249940.3988470255</v>
      </c>
      <c r="P227" s="680">
        <f t="shared" si="109"/>
        <v>1.5707923258410508</v>
      </c>
      <c r="Q227" s="689">
        <f t="shared" si="131"/>
        <v>33.506939051720195</v>
      </c>
      <c r="R227" s="690">
        <f t="shared" si="132"/>
        <v>1.5409473302136487</v>
      </c>
      <c r="S227" s="677">
        <f t="shared" si="110"/>
        <v>1.1191004722716056</v>
      </c>
      <c r="T227" s="680">
        <f t="shared" si="111"/>
        <v>0.46554995685797357</v>
      </c>
      <c r="U227" s="681">
        <f t="shared" si="123"/>
        <v>0.98555963926629186</v>
      </c>
      <c r="V227" s="682">
        <f t="shared" si="124"/>
        <v>-0.20696142736684744</v>
      </c>
      <c r="W227" s="683">
        <f t="shared" si="112"/>
        <v>-9.4048399321930525</v>
      </c>
      <c r="X227" s="684">
        <f t="shared" si="113"/>
        <v>-132.3928924752957</v>
      </c>
      <c r="Y227" s="687">
        <f t="shared" si="114"/>
        <v>47.607107524704304</v>
      </c>
      <c r="AA227" s="170">
        <f t="shared" si="115"/>
        <v>13259.75</v>
      </c>
      <c r="AB227" s="170">
        <f t="shared" si="116"/>
        <v>175820970.0625</v>
      </c>
      <c r="AD227" s="686">
        <f t="shared" si="117"/>
        <v>26.674034465073689</v>
      </c>
      <c r="AE227" s="687">
        <f t="shared" si="118"/>
        <v>-28.384040001929478</v>
      </c>
      <c r="AG227" s="686">
        <f t="shared" si="119"/>
        <v>17.677150999406418</v>
      </c>
      <c r="AH227" s="687">
        <f t="shared" si="120"/>
        <v>-80.29281982601934</v>
      </c>
      <c r="AJ227" s="170">
        <f t="shared" si="121"/>
        <v>0</v>
      </c>
      <c r="AK227" s="170">
        <f t="shared" si="133"/>
        <v>0</v>
      </c>
      <c r="AM227" s="170" t="str">
        <f t="shared" si="125"/>
        <v>0.043996612896002+0.293355626920098i</v>
      </c>
      <c r="AN227" s="170" t="str">
        <f t="shared" si="126"/>
        <v>0.297735014224551i</v>
      </c>
      <c r="AO227" s="170" t="str">
        <f t="shared" si="127"/>
        <v>0.985290989990347-0.14777104067048i</v>
      </c>
      <c r="AP227" s="170" t="str">
        <f t="shared" si="128"/>
        <v>0.159333897850666-0.048892604486683i</v>
      </c>
      <c r="AQ227" s="170" t="str">
        <f t="shared" si="129"/>
        <v>0.840666102149334+0.048892604486683i</v>
      </c>
      <c r="AR227" s="170" t="str">
        <f t="shared" si="130"/>
        <v>0.987540551946287-0.0574347288387435i</v>
      </c>
    </row>
    <row r="228" spans="7:44">
      <c r="G228" s="688">
        <v>13336.5</v>
      </c>
      <c r="H228" s="676">
        <f t="shared" si="122"/>
        <v>13.336499999999999</v>
      </c>
      <c r="I228" s="677">
        <f t="shared" si="102"/>
        <v>69.64994412793618</v>
      </c>
      <c r="J228" s="678">
        <f t="shared" si="103"/>
        <v>1.5564383201651253</v>
      </c>
      <c r="K228" s="678">
        <f t="shared" si="104"/>
        <v>1.0001699111761433</v>
      </c>
      <c r="L228" s="679">
        <f t="shared" si="105"/>
        <v>1.8432966199605303E-2</v>
      </c>
      <c r="M228" s="678">
        <f t="shared" si="106"/>
        <v>1.002505368432868</v>
      </c>
      <c r="N228" s="679">
        <f t="shared" si="107"/>
        <v>-7.0712783364193094E-2</v>
      </c>
      <c r="O228" s="677">
        <f t="shared" si="108"/>
        <v>251387.10226233897</v>
      </c>
      <c r="P228" s="680">
        <f t="shared" si="109"/>
        <v>1.5707923488660729</v>
      </c>
      <c r="Q228" s="689">
        <f t="shared" si="131"/>
        <v>33.700711452183867</v>
      </c>
      <c r="R228" s="690">
        <f t="shared" si="132"/>
        <v>1.5411190065680029</v>
      </c>
      <c r="S228" s="677">
        <f t="shared" si="110"/>
        <v>1.1204088714778437</v>
      </c>
      <c r="T228" s="680">
        <f t="shared" si="111"/>
        <v>0.46786911484818561</v>
      </c>
      <c r="U228" s="681">
        <f t="shared" si="123"/>
        <v>0.98539990384952225</v>
      </c>
      <c r="V228" s="682">
        <f t="shared" si="124"/>
        <v>-0.20814268115119106</v>
      </c>
      <c r="W228" s="683">
        <f t="shared" si="112"/>
        <v>-9.4662959337336812</v>
      </c>
      <c r="X228" s="684">
        <f t="shared" si="113"/>
        <v>-132.60553993621315</v>
      </c>
      <c r="Y228" s="687">
        <f t="shared" si="114"/>
        <v>47.394460063786852</v>
      </c>
      <c r="AA228" s="170">
        <f t="shared" si="115"/>
        <v>13336.5</v>
      </c>
      <c r="AB228" s="170">
        <f t="shared" si="116"/>
        <v>177862232.25</v>
      </c>
      <c r="AD228" s="686">
        <f t="shared" si="117"/>
        <v>26.66384087180921</v>
      </c>
      <c r="AE228" s="687">
        <f t="shared" si="118"/>
        <v>-28.507082955623151</v>
      </c>
      <c r="AG228" s="686">
        <f t="shared" si="119"/>
        <v>17.628704365222106</v>
      </c>
      <c r="AH228" s="687">
        <f t="shared" si="120"/>
        <v>-80.247062620334916</v>
      </c>
      <c r="AJ228" s="170">
        <f t="shared" si="121"/>
        <v>0</v>
      </c>
      <c r="AK228" s="170">
        <f t="shared" si="133"/>
        <v>0</v>
      </c>
      <c r="AM228" s="170" t="str">
        <f t="shared" si="125"/>
        <v>0.04450358608017+0.295002716913497i</v>
      </c>
      <c r="AN228" s="170" t="str">
        <f t="shared" si="126"/>
        <v>0.299458362126415i</v>
      </c>
      <c r="AO228" s="170" t="str">
        <f t="shared" si="127"/>
        <v>0.985120985831623-0.148613602786564i</v>
      </c>
      <c r="AP228" s="170" t="str">
        <f t="shared" si="128"/>
        <v>0.159249402319972-0.0491671194855828i</v>
      </c>
      <c r="AQ228" s="170" t="str">
        <f t="shared" si="129"/>
        <v>0.840750597680028+0.0491671194855828i</v>
      </c>
      <c r="AR228" s="170" t="str">
        <f t="shared" si="130"/>
        <v>0.98740449723069-0.0577434438106929i</v>
      </c>
    </row>
    <row r="229" spans="7:44">
      <c r="G229" s="688">
        <v>13413.25</v>
      </c>
      <c r="H229" s="676">
        <f t="shared" si="122"/>
        <v>13.41325</v>
      </c>
      <c r="I229" s="677">
        <f t="shared" si="102"/>
        <v>70.050689032869926</v>
      </c>
      <c r="J229" s="678">
        <f t="shared" si="103"/>
        <v>1.5565204648252275</v>
      </c>
      <c r="K229" s="678">
        <f t="shared" si="104"/>
        <v>1.0001718722728139</v>
      </c>
      <c r="L229" s="679">
        <f t="shared" si="105"/>
        <v>1.8539021532540077E-2</v>
      </c>
      <c r="M229" s="678">
        <f t="shared" si="106"/>
        <v>1.0025342510607231</v>
      </c>
      <c r="N229" s="679">
        <f t="shared" si="107"/>
        <v>-7.1118360296399855E-2</v>
      </c>
      <c r="O229" s="677">
        <f t="shared" si="108"/>
        <v>252833.80567765259</v>
      </c>
      <c r="P229" s="680">
        <f t="shared" si="109"/>
        <v>1.5707923716275989</v>
      </c>
      <c r="Q229" s="689">
        <f t="shared" si="131"/>
        <v>33.894484834544137</v>
      </c>
      <c r="R229" s="690">
        <f t="shared" si="132"/>
        <v>1.5412887199939307</v>
      </c>
      <c r="S229" s="677">
        <f t="shared" si="110"/>
        <v>1.121723282719409</v>
      </c>
      <c r="T229" s="680">
        <f t="shared" si="111"/>
        <v>0.47018285017955874</v>
      </c>
      <c r="U229" s="681">
        <f t="shared" si="123"/>
        <v>0.98523932053072649</v>
      </c>
      <c r="V229" s="682">
        <f t="shared" si="124"/>
        <v>-0.20932365273900114</v>
      </c>
      <c r="W229" s="683">
        <f t="shared" si="112"/>
        <v>-9.5275045759446737</v>
      </c>
      <c r="X229" s="684">
        <f t="shared" si="113"/>
        <v>-132.81791720051189</v>
      </c>
      <c r="Y229" s="687">
        <f t="shared" si="114"/>
        <v>47.182082799488114</v>
      </c>
      <c r="AA229" s="170">
        <f t="shared" si="115"/>
        <v>13413.25</v>
      </c>
      <c r="AB229" s="170">
        <f t="shared" si="116"/>
        <v>179915275.5625</v>
      </c>
      <c r="AD229" s="686">
        <f t="shared" si="117"/>
        <v>26.653613329801587</v>
      </c>
      <c r="AE229" s="687">
        <f t="shared" si="118"/>
        <v>-28.629927666268514</v>
      </c>
      <c r="AG229" s="686">
        <f t="shared" si="119"/>
        <v>17.580554445826678</v>
      </c>
      <c r="AH229" s="687">
        <f t="shared" si="120"/>
        <v>-80.201265798420891</v>
      </c>
      <c r="AJ229" s="170">
        <f t="shared" si="121"/>
        <v>0</v>
      </c>
      <c r="AK229" s="170">
        <f t="shared" si="133"/>
        <v>0</v>
      </c>
      <c r="AM229" s="170" t="str">
        <f t="shared" si="125"/>
        <v>0.0450133970191799+0.296648930770286i</v>
      </c>
      <c r="AN229" s="170" t="str">
        <f t="shared" si="126"/>
        <v>0.301181710028278i</v>
      </c>
      <c r="AO229" s="170" t="str">
        <f t="shared" si="127"/>
        <v>0.984950018188135-0.149455944768205i</v>
      </c>
      <c r="AP229" s="170" t="str">
        <f t="shared" si="128"/>
        <v>0.159164433830137-0.0494414884617143i</v>
      </c>
      <c r="AQ229" s="170" t="str">
        <f t="shared" si="129"/>
        <v>0.840835566169863+0.0494414884617143i</v>
      </c>
      <c r="AR229" s="170" t="str">
        <f t="shared" si="130"/>
        <v>0.987267746318037-0.0580517628560268i</v>
      </c>
    </row>
    <row r="230" spans="7:44">
      <c r="G230" s="688">
        <v>13490</v>
      </c>
      <c r="H230" s="676">
        <f t="shared" si="122"/>
        <v>13.49</v>
      </c>
      <c r="I230" s="677">
        <f t="shared" si="102"/>
        <v>70.451434405110376</v>
      </c>
      <c r="J230" s="678">
        <f t="shared" si="103"/>
        <v>1.5566016749671459</v>
      </c>
      <c r="K230" s="678">
        <f t="shared" si="104"/>
        <v>1.0001738446191073</v>
      </c>
      <c r="L230" s="679">
        <f t="shared" si="105"/>
        <v>1.8645076448384756E-2</v>
      </c>
      <c r="M230" s="678">
        <f t="shared" si="106"/>
        <v>1.0025632985885744</v>
      </c>
      <c r="N230" s="679">
        <f t="shared" si="107"/>
        <v>-7.1523913793541546E-2</v>
      </c>
      <c r="O230" s="677">
        <f t="shared" si="108"/>
        <v>254280.50909296636</v>
      </c>
      <c r="P230" s="680">
        <f t="shared" si="109"/>
        <v>1.5707923941301258</v>
      </c>
      <c r="Q230" s="689">
        <f t="shared" si="131"/>
        <v>34.088259182056355</v>
      </c>
      <c r="R230" s="690">
        <f t="shared" si="132"/>
        <v>1.5414565039563088</v>
      </c>
      <c r="S230" s="677">
        <f t="shared" si="110"/>
        <v>1.1230436848868284</v>
      </c>
      <c r="T230" s="680">
        <f t="shared" si="111"/>
        <v>0.47249115716313173</v>
      </c>
      <c r="U230" s="681">
        <f t="shared" si="123"/>
        <v>0.98507789052897055</v>
      </c>
      <c r="V230" s="682">
        <f t="shared" si="124"/>
        <v>-0.21050434069145627</v>
      </c>
      <c r="W230" s="683">
        <f t="shared" si="112"/>
        <v>-9.5884688488354701</v>
      </c>
      <c r="X230" s="684">
        <f t="shared" si="113"/>
        <v>-133.03002286478079</v>
      </c>
      <c r="Y230" s="687">
        <f t="shared" si="114"/>
        <v>46.96997713521921</v>
      </c>
      <c r="AA230" s="170">
        <f t="shared" si="115"/>
        <v>13490</v>
      </c>
      <c r="AB230" s="170">
        <f t="shared" si="116"/>
        <v>181980100</v>
      </c>
      <c r="AD230" s="686">
        <f t="shared" si="117"/>
        <v>26.643352120937685</v>
      </c>
      <c r="AE230" s="687">
        <f t="shared" si="118"/>
        <v>-28.752571890773535</v>
      </c>
      <c r="AG230" s="686">
        <f t="shared" si="119"/>
        <v>17.532697955285091</v>
      </c>
      <c r="AH230" s="687">
        <f t="shared" si="120"/>
        <v>-80.155430364834956</v>
      </c>
      <c r="AJ230" s="170">
        <f t="shared" si="121"/>
        <v>0</v>
      </c>
      <c r="AK230" s="170">
        <f t="shared" si="133"/>
        <v>0</v>
      </c>
      <c r="AM230" s="170" t="str">
        <f t="shared" si="125"/>
        <v>0.045526044198931+0.29829426360133i</v>
      </c>
      <c r="AN230" s="170" t="str">
        <f t="shared" si="126"/>
        <v>0.302905057930142i</v>
      </c>
      <c r="AO230" s="170" t="str">
        <f t="shared" si="127"/>
        <v>0.98477808736401-0.150298065374103i</v>
      </c>
      <c r="AP230" s="170" t="str">
        <f t="shared" si="128"/>
        <v>0.159078992633511-0.0497157106002217i</v>
      </c>
      <c r="AQ230" s="170" t="str">
        <f t="shared" si="129"/>
        <v>0.840921007366489+0.0497157106002217i</v>
      </c>
      <c r="AR230" s="170" t="str">
        <f t="shared" si="130"/>
        <v>0.987130300661207-0.0583596841112024i</v>
      </c>
    </row>
    <row r="231" spans="7:44">
      <c r="G231" s="688">
        <v>13568.5</v>
      </c>
      <c r="H231" s="676">
        <f t="shared" si="122"/>
        <v>13.5685</v>
      </c>
      <c r="I231" s="677">
        <f t="shared" si="102"/>
        <v>70.861317769128789</v>
      </c>
      <c r="J231" s="678">
        <f t="shared" si="103"/>
        <v>1.5566837866076739</v>
      </c>
      <c r="K231" s="678">
        <f t="shared" si="104"/>
        <v>1.0001758735747024</v>
      </c>
      <c r="L231" s="679">
        <f t="shared" si="105"/>
        <v>1.8753549120545051E-2</v>
      </c>
      <c r="M231" s="678">
        <f t="shared" si="106"/>
        <v>1.0025931790057319</v>
      </c>
      <c r="N231" s="679">
        <f t="shared" si="107"/>
        <v>-7.1938690059222002E-2</v>
      </c>
      <c r="O231" s="677">
        <f t="shared" si="108"/>
        <v>255760.19923110498</v>
      </c>
      <c r="P231" s="680">
        <f t="shared" si="109"/>
        <v>1.5707924168823966</v>
      </c>
      <c r="Q231" s="689">
        <f t="shared" si="131"/>
        <v>34.286452818522839</v>
      </c>
      <c r="R231" s="690">
        <f t="shared" si="132"/>
        <v>1.5416261517437742</v>
      </c>
      <c r="S231" s="677">
        <f t="shared" si="110"/>
        <v>1.1244003693290388</v>
      </c>
      <c r="T231" s="680">
        <f t="shared" si="111"/>
        <v>0.47484647547524933</v>
      </c>
      <c r="U231" s="681">
        <f t="shared" si="123"/>
        <v>0.9849119051278824</v>
      </c>
      <c r="V231" s="682">
        <f t="shared" si="124"/>
        <v>-0.21171165496105374</v>
      </c>
      <c r="W231" s="683">
        <f t="shared" si="112"/>
        <v>-9.6505734541555555</v>
      </c>
      <c r="X231" s="684">
        <f t="shared" si="113"/>
        <v>-133.24668243090963</v>
      </c>
      <c r="Y231" s="687">
        <f t="shared" si="114"/>
        <v>46.75331756909037</v>
      </c>
      <c r="AA231" s="170">
        <f t="shared" si="115"/>
        <v>13568.5</v>
      </c>
      <c r="AB231" s="170">
        <f t="shared" si="116"/>
        <v>184104192.25</v>
      </c>
      <c r="AD231" s="686">
        <f t="shared" si="117"/>
        <v>26.632822409635466</v>
      </c>
      <c r="AE231" s="687">
        <f t="shared" si="118"/>
        <v>-28.877802890994442</v>
      </c>
      <c r="AG231" s="686">
        <f t="shared" si="119"/>
        <v>17.484050448773441</v>
      </c>
      <c r="AH231" s="687">
        <f t="shared" si="120"/>
        <v>-80.10851090619704</v>
      </c>
      <c r="AJ231" s="170">
        <f t="shared" si="121"/>
        <v>0</v>
      </c>
      <c r="AK231" s="170">
        <f t="shared" si="133"/>
        <v>0</v>
      </c>
      <c r="AM231" s="170" t="str">
        <f t="shared" si="125"/>
        <v>0.046053312798308+0.299976195683786i</v>
      </c>
      <c r="AN231" s="170" t="str">
        <f t="shared" si="126"/>
        <v>0.304667700409572i</v>
      </c>
      <c r="AO231" s="170" t="str">
        <f t="shared" si="127"/>
        <v>0.984601240238204-0.15115915712889i</v>
      </c>
      <c r="AP231" s="170" t="str">
        <f t="shared" si="128"/>
        <v>0.158991114533615-0.0499960326139643i</v>
      </c>
      <c r="AQ231" s="170" t="str">
        <f t="shared" si="129"/>
        <v>0.841008885466385+0.0499960326139643i</v>
      </c>
      <c r="AR231" s="170" t="str">
        <f t="shared" si="130"/>
        <v>0.986989003898621-0.0586742129379226i</v>
      </c>
    </row>
    <row r="232" spans="7:44">
      <c r="G232" s="688">
        <v>13647</v>
      </c>
      <c r="H232" s="676">
        <f t="shared" si="122"/>
        <v>13.647</v>
      </c>
      <c r="I232" s="677">
        <f t="shared" si="102"/>
        <v>71.271201605421652</v>
      </c>
      <c r="J232" s="678">
        <f t="shared" si="103"/>
        <v>1.5567649537933828</v>
      </c>
      <c r="K232" s="678">
        <f t="shared" si="104"/>
        <v>1.0001779142986398</v>
      </c>
      <c r="L232" s="679">
        <f t="shared" si="105"/>
        <v>1.8862021351334853E-2</v>
      </c>
      <c r="M232" s="678">
        <f t="shared" si="106"/>
        <v>1.0026232318980706</v>
      </c>
      <c r="N232" s="679">
        <f t="shared" si="107"/>
        <v>-7.2353441531026796E-2</v>
      </c>
      <c r="O232" s="677">
        <f t="shared" si="108"/>
        <v>257239.88936924376</v>
      </c>
      <c r="P232" s="680">
        <f t="shared" si="109"/>
        <v>1.5707924393729169</v>
      </c>
      <c r="Q232" s="689">
        <f t="shared" si="131"/>
        <v>34.484647430423571</v>
      </c>
      <c r="R232" s="690">
        <f t="shared" si="132"/>
        <v>1.5417938494927452</v>
      </c>
      <c r="S232" s="677">
        <f t="shared" si="110"/>
        <v>1.1257632763552643</v>
      </c>
      <c r="T232" s="680">
        <f t="shared" si="111"/>
        <v>0.47719610385634526</v>
      </c>
      <c r="U232" s="681">
        <f t="shared" si="123"/>
        <v>0.98474503658956392</v>
      </c>
      <c r="V232" s="682">
        <f t="shared" si="124"/>
        <v>-0.21291866947829263</v>
      </c>
      <c r="W232" s="683">
        <f t="shared" si="112"/>
        <v>-9.7124285698916513</v>
      </c>
      <c r="X232" s="684">
        <f t="shared" si="113"/>
        <v>-133.46305501886729</v>
      </c>
      <c r="Y232" s="687">
        <f t="shared" si="114"/>
        <v>46.536944981132706</v>
      </c>
      <c r="AA232" s="170">
        <f t="shared" si="115"/>
        <v>13647</v>
      </c>
      <c r="AB232" s="170">
        <f t="shared" si="116"/>
        <v>186240609</v>
      </c>
      <c r="AD232" s="686">
        <f t="shared" si="117"/>
        <v>26.622258074396253</v>
      </c>
      <c r="AE232" s="687">
        <f t="shared" si="118"/>
        <v>-29.002819596160258</v>
      </c>
      <c r="AG232" s="686">
        <f t="shared" si="119"/>
        <v>17.435703128491721</v>
      </c>
      <c r="AH232" s="687">
        <f t="shared" si="120"/>
        <v>-80.061553113533279</v>
      </c>
      <c r="AJ232" s="170">
        <f t="shared" si="121"/>
        <v>0</v>
      </c>
      <c r="AK232" s="170">
        <f t="shared" si="133"/>
        <v>0</v>
      </c>
      <c r="AM232" s="170" t="str">
        <f t="shared" si="125"/>
        <v>0.046583545221998+0.30165719576789i</v>
      </c>
      <c r="AN232" s="170" t="str">
        <f t="shared" si="126"/>
        <v>0.306430342889003i</v>
      </c>
      <c r="AO232" s="170" t="str">
        <f t="shared" si="127"/>
        <v>0.984423386156501-0.152020014672215i</v>
      </c>
      <c r="AP232" s="170" t="str">
        <f t="shared" si="128"/>
        <v>0.158902742463-0.0502761992946483i</v>
      </c>
      <c r="AQ232" s="170" t="str">
        <f t="shared" si="129"/>
        <v>0.841097257537+0.0502761992946483i</v>
      </c>
      <c r="AR232" s="170" t="str">
        <f t="shared" si="130"/>
        <v>0.986846983442203-0.0589883217050914i</v>
      </c>
    </row>
    <row r="233" spans="7:44">
      <c r="G233" s="688">
        <v>13725.5</v>
      </c>
      <c r="H233" s="676">
        <f t="shared" si="122"/>
        <v>13.7255</v>
      </c>
      <c r="I233" s="677">
        <f t="shared" si="102"/>
        <v>71.681085905887343</v>
      </c>
      <c r="J233" s="678">
        <f t="shared" si="103"/>
        <v>1.5568451927248403</v>
      </c>
      <c r="K233" s="678">
        <f t="shared" si="104"/>
        <v>1.0001799667908471</v>
      </c>
      <c r="L233" s="679">
        <f t="shared" si="105"/>
        <v>1.8970493138204259E-2</v>
      </c>
      <c r="M233" s="678">
        <f t="shared" si="106"/>
        <v>1.0026534572500814</v>
      </c>
      <c r="N233" s="679">
        <f t="shared" si="107"/>
        <v>-7.2768168068501768E-2</v>
      </c>
      <c r="O233" s="677">
        <f t="shared" si="108"/>
        <v>258719.57950738264</v>
      </c>
      <c r="P233" s="680">
        <f t="shared" si="109"/>
        <v>1.5707924616061779</v>
      </c>
      <c r="Q233" s="689">
        <f t="shared" si="131"/>
        <v>34.682843001036218</v>
      </c>
      <c r="R233" s="690">
        <f t="shared" si="132"/>
        <v>1.5419596306242715</v>
      </c>
      <c r="S233" s="677">
        <f t="shared" si="110"/>
        <v>1.1271323833928153</v>
      </c>
      <c r="T233" s="680">
        <f t="shared" si="111"/>
        <v>0.47954003705057019</v>
      </c>
      <c r="U233" s="681">
        <f t="shared" si="123"/>
        <v>0.9845772862357558</v>
      </c>
      <c r="V233" s="682">
        <f t="shared" si="124"/>
        <v>-0.21412538271349252</v>
      </c>
      <c r="W233" s="683">
        <f t="shared" si="112"/>
        <v>-9.7740372191425298</v>
      </c>
      <c r="X233" s="684">
        <f t="shared" si="113"/>
        <v>-133.6791392455668</v>
      </c>
      <c r="Y233" s="687">
        <f t="shared" si="114"/>
        <v>46.320860754433198</v>
      </c>
      <c r="AA233" s="170">
        <f t="shared" si="115"/>
        <v>13725.5</v>
      </c>
      <c r="AB233" s="170">
        <f t="shared" si="116"/>
        <v>188389350.25</v>
      </c>
      <c r="AD233" s="686">
        <f t="shared" si="117"/>
        <v>26.611659415967633</v>
      </c>
      <c r="AE233" s="687">
        <f t="shared" si="118"/>
        <v>-29.127619790505221</v>
      </c>
      <c r="AG233" s="686">
        <f t="shared" si="119"/>
        <v>17.387652655360519</v>
      </c>
      <c r="AH233" s="687">
        <f t="shared" si="120"/>
        <v>-80.01455799481073</v>
      </c>
      <c r="AJ233" s="170">
        <f t="shared" si="121"/>
        <v>0</v>
      </c>
      <c r="AK233" s="170">
        <f t="shared" si="133"/>
        <v>0</v>
      </c>
      <c r="AM233" s="170" t="str">
        <f t="shared" si="125"/>
        <v>0.047116739822619+0.303337258630926i</v>
      </c>
      <c r="AN233" s="170" t="str">
        <f t="shared" si="126"/>
        <v>0.308192985368433i</v>
      </c>
      <c r="AO233" s="170" t="str">
        <f t="shared" si="127"/>
        <v>0.98424452544985-0.152880636677349i</v>
      </c>
      <c r="AP233" s="170" t="str">
        <f t="shared" si="128"/>
        <v>0.15881387669623-0.050556209771821i</v>
      </c>
      <c r="AQ233" s="170" t="str">
        <f t="shared" si="129"/>
        <v>0.84118612330377+0.050556209771821i</v>
      </c>
      <c r="AR233" s="170" t="str">
        <f t="shared" si="130"/>
        <v>0.986704240865935-0.0593020084402289i</v>
      </c>
    </row>
    <row r="234" spans="7:44">
      <c r="G234" s="688">
        <v>13804</v>
      </c>
      <c r="H234" s="676">
        <f t="shared" si="122"/>
        <v>13.804</v>
      </c>
      <c r="I234" s="677">
        <f t="shared" si="102"/>
        <v>72.090970662608484</v>
      </c>
      <c r="J234" s="678">
        <f t="shared" si="103"/>
        <v>1.5569245192342189</v>
      </c>
      <c r="K234" s="678">
        <f t="shared" si="104"/>
        <v>1.0001820310512524</v>
      </c>
      <c r="L234" s="679">
        <f t="shared" si="105"/>
        <v>1.9078964478603425E-2</v>
      </c>
      <c r="M234" s="678">
        <f t="shared" si="106"/>
        <v>1.0026838550461683</v>
      </c>
      <c r="N234" s="679">
        <f t="shared" si="107"/>
        <v>-7.3182869531243949E-2</v>
      </c>
      <c r="O234" s="677">
        <f t="shared" si="108"/>
        <v>260199.26964552162</v>
      </c>
      <c r="P234" s="680">
        <f t="shared" si="109"/>
        <v>1.5707924835865688</v>
      </c>
      <c r="Q234" s="689">
        <f t="shared" si="131"/>
        <v>34.881039514018461</v>
      </c>
      <c r="R234" s="690">
        <f t="shared" si="132"/>
        <v>1.5421235278002261</v>
      </c>
      <c r="S234" s="677">
        <f t="shared" si="110"/>
        <v>1.1285076678761055</v>
      </c>
      <c r="T234" s="680">
        <f t="shared" si="111"/>
        <v>0.48187827007783623</v>
      </c>
      <c r="U234" s="681">
        <f t="shared" si="123"/>
        <v>0.98440865539401334</v>
      </c>
      <c r="V234" s="682">
        <f t="shared" si="124"/>
        <v>-0.21533179314030007</v>
      </c>
      <c r="W234" s="683">
        <f t="shared" si="112"/>
        <v>-9.8354023683865535</v>
      </c>
      <c r="X234" s="684">
        <f t="shared" si="113"/>
        <v>-133.89493376629872</v>
      </c>
      <c r="Y234" s="687">
        <f t="shared" si="114"/>
        <v>46.10506623370128</v>
      </c>
      <c r="AA234" s="170">
        <f t="shared" si="115"/>
        <v>13804</v>
      </c>
      <c r="AB234" s="170">
        <f t="shared" si="116"/>
        <v>190550416</v>
      </c>
      <c r="AD234" s="686">
        <f t="shared" si="117"/>
        <v>26.601026734734255</v>
      </c>
      <c r="AE234" s="687">
        <f t="shared" si="118"/>
        <v>-29.25220131755535</v>
      </c>
      <c r="AG234" s="686">
        <f t="shared" si="119"/>
        <v>17.339895747212562</v>
      </c>
      <c r="AH234" s="687">
        <f t="shared" si="120"/>
        <v>-79.967526536701271</v>
      </c>
      <c r="AJ234" s="170">
        <f t="shared" si="121"/>
        <v>0</v>
      </c>
      <c r="AK234" s="170">
        <f t="shared" si="133"/>
        <v>0</v>
      </c>
      <c r="AM234" s="170" t="str">
        <f t="shared" si="125"/>
        <v>0.047652894943583+0.305016379053096i</v>
      </c>
      <c r="AN234" s="170" t="str">
        <f t="shared" si="126"/>
        <v>0.309955627847863i</v>
      </c>
      <c r="AO234" s="170" t="str">
        <f t="shared" si="127"/>
        <v>0.984064658451075-0.153741021818041i</v>
      </c>
      <c r="AP234" s="170" t="str">
        <f t="shared" si="128"/>
        <v>0.158724517509403-0.050836063175516i</v>
      </c>
      <c r="AQ234" s="170" t="str">
        <f t="shared" si="129"/>
        <v>0.841275482490597+0.050836063175516i</v>
      </c>
      <c r="AR234" s="170" t="str">
        <f t="shared" si="130"/>
        <v>0.986560777750276-0.0596152711781421i</v>
      </c>
    </row>
    <row r="235" spans="7:44">
      <c r="G235" s="688">
        <v>13884.25</v>
      </c>
      <c r="H235" s="676">
        <f t="shared" si="122"/>
        <v>13.88425</v>
      </c>
      <c r="I235" s="677">
        <f t="shared" si="102"/>
        <v>72.509993441168774</v>
      </c>
      <c r="J235" s="678">
        <f t="shared" si="103"/>
        <v>1.5570046871215455</v>
      </c>
      <c r="K235" s="678">
        <f t="shared" si="104"/>
        <v>1.0001841534947702</v>
      </c>
      <c r="L235" s="679">
        <f t="shared" si="105"/>
        <v>1.9189853505737018E-2</v>
      </c>
      <c r="M235" s="678">
        <f t="shared" si="106"/>
        <v>1.0027151087371657</v>
      </c>
      <c r="N235" s="679">
        <f t="shared" si="107"/>
        <v>-7.3606789865446304E-2</v>
      </c>
      <c r="O235" s="677">
        <f t="shared" si="108"/>
        <v>261711.94650648552</v>
      </c>
      <c r="P235" s="680">
        <f t="shared" si="109"/>
        <v>1.5707925058000458</v>
      </c>
      <c r="Q235" s="689">
        <f t="shared" si="131"/>
        <v>35.083655378086569</v>
      </c>
      <c r="R235" s="690">
        <f t="shared" si="132"/>
        <v>1.5422891645532733</v>
      </c>
      <c r="S235" s="677">
        <f t="shared" si="110"/>
        <v>1.1299199736286092</v>
      </c>
      <c r="T235" s="680">
        <f t="shared" si="111"/>
        <v>0.48426273222531047</v>
      </c>
      <c r="U235" s="681">
        <f t="shared" si="123"/>
        <v>0.98423535650470972</v>
      </c>
      <c r="V235" s="682">
        <f t="shared" si="124"/>
        <v>-0.21656478347169875</v>
      </c>
      <c r="W235" s="683">
        <f t="shared" si="112"/>
        <v>-9.8978868587837869</v>
      </c>
      <c r="X235" s="684">
        <f t="shared" si="113"/>
        <v>-134.11523816638243</v>
      </c>
      <c r="Y235" s="687">
        <f t="shared" si="114"/>
        <v>45.884761833617574</v>
      </c>
      <c r="AA235" s="170">
        <f t="shared" si="115"/>
        <v>13884.25</v>
      </c>
      <c r="AB235" s="170">
        <f t="shared" si="116"/>
        <v>192772398.0625</v>
      </c>
      <c r="AD235" s="686">
        <f t="shared" si="117"/>
        <v>26.590122162636675</v>
      </c>
      <c r="AE235" s="687">
        <f t="shared" si="118"/>
        <v>-29.379331921016213</v>
      </c>
      <c r="AG235" s="686">
        <f t="shared" si="119"/>
        <v>17.291374289501377</v>
      </c>
      <c r="AH235" s="687">
        <f t="shared" si="120"/>
        <v>-79.919410048823494</v>
      </c>
      <c r="AJ235" s="170">
        <f t="shared" si="121"/>
        <v>0</v>
      </c>
      <c r="AK235" s="170">
        <f t="shared" si="133"/>
        <v>0</v>
      </c>
      <c r="AM235" s="170" t="str">
        <f t="shared" si="125"/>
        <v>0.048204061086786+0.306731952473675i</v>
      </c>
      <c r="AN235" s="170" t="str">
        <f t="shared" si="126"/>
        <v>0.311757564904861i</v>
      </c>
      <c r="AO235" s="170" t="str">
        <f t="shared" si="127"/>
        <v>0.983879741834911-0.154620341294674i</v>
      </c>
      <c r="AP235" s="170" t="str">
        <f t="shared" si="128"/>
        <v>0.158632656485536-0.0511219920789458i</v>
      </c>
      <c r="AQ235" s="170" t="str">
        <f t="shared" si="129"/>
        <v>0.841367343514464+0.0511219920789458i</v>
      </c>
      <c r="AR235" s="170" t="str">
        <f t="shared" si="130"/>
        <v>0.986413373251962-0.0599350771606054i</v>
      </c>
    </row>
    <row r="236" spans="7:44">
      <c r="G236" s="688">
        <v>13964.5</v>
      </c>
      <c r="H236" s="676">
        <f t="shared" si="122"/>
        <v>13.964499999999999</v>
      </c>
      <c r="I236" s="677">
        <f t="shared" si="102"/>
        <v>72.929016680387747</v>
      </c>
      <c r="J236" s="678">
        <f t="shared" si="103"/>
        <v>1.5570839337791349</v>
      </c>
      <c r="K236" s="678">
        <f t="shared" si="104"/>
        <v>1.0001862882368766</v>
      </c>
      <c r="L236" s="679">
        <f t="shared" si="105"/>
        <v>1.9300742060883364E-2</v>
      </c>
      <c r="M236" s="678">
        <f t="shared" si="106"/>
        <v>1.0027465426132893</v>
      </c>
      <c r="N236" s="679">
        <f t="shared" si="107"/>
        <v>-7.4030683697900862E-2</v>
      </c>
      <c r="O236" s="677">
        <f t="shared" si="108"/>
        <v>263224.6233674495</v>
      </c>
      <c r="P236" s="680">
        <f t="shared" si="109"/>
        <v>1.5707925277582138</v>
      </c>
      <c r="Q236" s="689">
        <f t="shared" si="131"/>
        <v>35.286272193639569</v>
      </c>
      <c r="R236" s="690">
        <f t="shared" si="132"/>
        <v>1.5424528991097515</v>
      </c>
      <c r="S236" s="677">
        <f t="shared" si="110"/>
        <v>1.131338687660691</v>
      </c>
      <c r="T236" s="680">
        <f t="shared" si="111"/>
        <v>0.48664122757227263</v>
      </c>
      <c r="U236" s="681">
        <f t="shared" si="123"/>
        <v>0.98406114025661573</v>
      </c>
      <c r="V236" s="682">
        <f t="shared" si="124"/>
        <v>-0.21779745412805671</v>
      </c>
      <c r="W236" s="683">
        <f t="shared" si="112"/>
        <v>-9.9601229656121859</v>
      </c>
      <c r="X236" s="684">
        <f t="shared" si="113"/>
        <v>-134.33523707718436</v>
      </c>
      <c r="Y236" s="687">
        <f t="shared" si="114"/>
        <v>45.66476292281564</v>
      </c>
      <c r="AA236" s="170">
        <f t="shared" si="115"/>
        <v>13964.5</v>
      </c>
      <c r="AB236" s="170">
        <f t="shared" si="116"/>
        <v>195007260.25</v>
      </c>
      <c r="AD236" s="686">
        <f t="shared" si="117"/>
        <v>26.579182667430338</v>
      </c>
      <c r="AE236" s="687">
        <f t="shared" si="118"/>
        <v>-29.506229625197349</v>
      </c>
      <c r="AG236" s="686">
        <f t="shared" si="119"/>
        <v>17.243152871297671</v>
      </c>
      <c r="AH236" s="687">
        <f t="shared" si="120"/>
        <v>-79.87125760300502</v>
      </c>
      <c r="AJ236" s="170">
        <f t="shared" si="121"/>
        <v>0</v>
      </c>
      <c r="AK236" s="170">
        <f t="shared" si="133"/>
        <v>0</v>
      </c>
      <c r="AM236" s="170" t="str">
        <f t="shared" si="125"/>
        <v>0.048758317688824+0.30844652994288i</v>
      </c>
      <c r="AN236" s="170" t="str">
        <f t="shared" si="126"/>
        <v>0.313559501961858i</v>
      </c>
      <c r="AO236" s="170" t="str">
        <f t="shared" si="127"/>
        <v>0.983693774269357-0.155499410426909i</v>
      </c>
      <c r="AP236" s="170" t="str">
        <f t="shared" si="128"/>
        <v>0.158540280385196-0.05140775499048i</v>
      </c>
      <c r="AQ236" s="170" t="str">
        <f t="shared" si="129"/>
        <v>0.841459719614804+0.05140775499048i</v>
      </c>
      <c r="AR236" s="170" t="str">
        <f t="shared" si="130"/>
        <v>0.98626521909097-0.0602544359008301i</v>
      </c>
    </row>
    <row r="237" spans="7:44">
      <c r="G237" s="688">
        <v>14044.75</v>
      </c>
      <c r="H237" s="676">
        <f t="shared" si="122"/>
        <v>14.044750000000001</v>
      </c>
      <c r="I237" s="677">
        <f t="shared" si="102"/>
        <v>73.348040372370434</v>
      </c>
      <c r="J237" s="678">
        <f t="shared" si="103"/>
        <v>1.5571622749944249</v>
      </c>
      <c r="K237" s="678">
        <f t="shared" si="104"/>
        <v>1.0001884352774926</v>
      </c>
      <c r="L237" s="679">
        <f t="shared" si="105"/>
        <v>1.9411630141318463E-2</v>
      </c>
      <c r="M237" s="678">
        <f t="shared" si="106"/>
        <v>1.0027781566575944</v>
      </c>
      <c r="N237" s="679">
        <f t="shared" si="107"/>
        <v>-7.4454550878771467E-2</v>
      </c>
      <c r="O237" s="677">
        <f t="shared" si="108"/>
        <v>264737.30022841366</v>
      </c>
      <c r="P237" s="680">
        <f t="shared" si="109"/>
        <v>1.5707925494654491</v>
      </c>
      <c r="Q237" s="689">
        <f t="shared" si="131"/>
        <v>35.488889944380517</v>
      </c>
      <c r="R237" s="690">
        <f t="shared" si="132"/>
        <v>1.5426147640416046</v>
      </c>
      <c r="S237" s="677">
        <f t="shared" si="110"/>
        <v>1.132763785894473</v>
      </c>
      <c r="T237" s="680">
        <f t="shared" si="111"/>
        <v>0.48901375167700989</v>
      </c>
      <c r="U237" s="681">
        <f t="shared" si="123"/>
        <v>0.98388600808667226</v>
      </c>
      <c r="V237" s="682">
        <f t="shared" si="124"/>
        <v>-0.21902980348956066</v>
      </c>
      <c r="W237" s="683">
        <f t="shared" si="112"/>
        <v>-10.022113683206015</v>
      </c>
      <c r="X237" s="684">
        <f t="shared" si="113"/>
        <v>-134.55492918154513</v>
      </c>
      <c r="Y237" s="687">
        <f t="shared" si="114"/>
        <v>45.445070818454866</v>
      </c>
      <c r="AA237" s="170">
        <f t="shared" si="115"/>
        <v>14044.75</v>
      </c>
      <c r="AB237" s="170">
        <f t="shared" si="116"/>
        <v>197255002.5625</v>
      </c>
      <c r="AD237" s="686">
        <f t="shared" si="117"/>
        <v>26.568208568643445</v>
      </c>
      <c r="AE237" s="687">
        <f t="shared" si="118"/>
        <v>-29.632892309623205</v>
      </c>
      <c r="AG237" s="686">
        <f t="shared" si="119"/>
        <v>17.195228162160163</v>
      </c>
      <c r="AH237" s="687">
        <f t="shared" si="120"/>
        <v>-79.823070188178946</v>
      </c>
      <c r="AJ237" s="170">
        <f t="shared" si="121"/>
        <v>0</v>
      </c>
      <c r="AK237" s="170">
        <f t="shared" si="133"/>
        <v>0</v>
      </c>
      <c r="AM237" s="170" t="str">
        <f t="shared" si="125"/>
        <v>0.04931566295004+0.310160105893519i</v>
      </c>
      <c r="AN237" s="170" t="str">
        <f t="shared" si="126"/>
        <v>0.315361439018855i</v>
      </c>
      <c r="AO237" s="170" t="str">
        <f t="shared" si="127"/>
        <v>0.983506756116035-0.156378227799409i</v>
      </c>
      <c r="AP237" s="170" t="str">
        <f t="shared" si="128"/>
        <v>0.158447389508327-0.0516933509822532i</v>
      </c>
      <c r="AQ237" s="170" t="str">
        <f t="shared" si="129"/>
        <v>0.841552610491673+0.0516933509822532i</v>
      </c>
      <c r="AR237" s="170" t="str">
        <f t="shared" si="130"/>
        <v>0.986116316976548-0.0605733453230135i</v>
      </c>
    </row>
    <row r="238" spans="7:44">
      <c r="G238" s="688">
        <v>14125</v>
      </c>
      <c r="H238" s="676">
        <f t="shared" si="122"/>
        <v>14.125</v>
      </c>
      <c r="I238" s="677">
        <f t="shared" si="102"/>
        <v>73.767064509401266</v>
      </c>
      <c r="J238" s="678">
        <f t="shared" si="103"/>
        <v>1.5572397261961843</v>
      </c>
      <c r="K238" s="678">
        <f t="shared" si="104"/>
        <v>1.0001905946165393</v>
      </c>
      <c r="L238" s="679">
        <f t="shared" si="105"/>
        <v>1.9522517744318384E-2</v>
      </c>
      <c r="M238" s="678">
        <f t="shared" si="106"/>
        <v>1.0028099508530413</v>
      </c>
      <c r="N238" s="679">
        <f t="shared" si="107"/>
        <v>-7.4878391258279151E-2</v>
      </c>
      <c r="O238" s="677">
        <f t="shared" si="108"/>
        <v>266249.97708937799</v>
      </c>
      <c r="P238" s="680">
        <f t="shared" si="109"/>
        <v>1.5707925709260289</v>
      </c>
      <c r="Q238" s="689">
        <f t="shared" si="131"/>
        <v>35.691508614382464</v>
      </c>
      <c r="R238" s="690">
        <f t="shared" si="132"/>
        <v>1.5427747911815364</v>
      </c>
      <c r="S238" s="677">
        <f t="shared" si="110"/>
        <v>1.1341952442650123</v>
      </c>
      <c r="T238" s="680">
        <f t="shared" si="111"/>
        <v>0.49138030038897185</v>
      </c>
      <c r="U238" s="681">
        <f t="shared" si="123"/>
        <v>0.98370996143802825</v>
      </c>
      <c r="V238" s="682">
        <f t="shared" si="124"/>
        <v>-0.2202618299401054</v>
      </c>
      <c r="W238" s="683">
        <f t="shared" si="112"/>
        <v>-10.083861949666899</v>
      </c>
      <c r="X238" s="684">
        <f t="shared" si="113"/>
        <v>-134.77431320100288</v>
      </c>
      <c r="Y238" s="687">
        <f t="shared" si="114"/>
        <v>45.225686798997117</v>
      </c>
      <c r="AA238" s="170">
        <f t="shared" si="115"/>
        <v>14125</v>
      </c>
      <c r="AB238" s="170">
        <f t="shared" si="116"/>
        <v>199515625</v>
      </c>
      <c r="AD238" s="686">
        <f t="shared" si="117"/>
        <v>26.557200185262225</v>
      </c>
      <c r="AE238" s="687">
        <f t="shared" si="118"/>
        <v>-29.759317912850225</v>
      </c>
      <c r="AG238" s="686">
        <f t="shared" si="119"/>
        <v>17.147596888345895</v>
      </c>
      <c r="AH238" s="687">
        <f t="shared" si="120"/>
        <v>-79.774848772518979</v>
      </c>
      <c r="AJ238" s="170">
        <f t="shared" si="121"/>
        <v>0</v>
      </c>
      <c r="AK238" s="170">
        <f t="shared" si="133"/>
        <v>0</v>
      </c>
      <c r="AM238" s="170" t="str">
        <f t="shared" si="125"/>
        <v>0.049876095060748+0.311872674761652i</v>
      </c>
      <c r="AN238" s="170" t="str">
        <f t="shared" si="126"/>
        <v>0.317163376075853i</v>
      </c>
      <c r="AO238" s="170" t="str">
        <f t="shared" si="127"/>
        <v>0.9833186877386-0.157256791997382i</v>
      </c>
      <c r="AP238" s="170" t="str">
        <f t="shared" si="128"/>
        <v>0.158353984156542-0.051978779126942i</v>
      </c>
      <c r="AQ238" s="170" t="str">
        <f t="shared" si="129"/>
        <v>0.841646015843458+0.051978779126942i</v>
      </c>
      <c r="AR238" s="170" t="str">
        <f t="shared" si="130"/>
        <v>0.985966668624835-0.0608918033594176i</v>
      </c>
    </row>
    <row r="239" spans="7:44">
      <c r="G239" s="688">
        <v>14207.25</v>
      </c>
      <c r="H239" s="676">
        <f t="shared" si="122"/>
        <v>14.20725</v>
      </c>
      <c r="I239" s="677">
        <f t="shared" si="102"/>
        <v>74.196532069513481</v>
      </c>
      <c r="J239" s="678">
        <f t="shared" si="103"/>
        <v>1.5573181998609353</v>
      </c>
      <c r="K239" s="678">
        <f t="shared" si="104"/>
        <v>1.0001928205328101</v>
      </c>
      <c r="L239" s="679">
        <f t="shared" si="105"/>
        <v>1.9636168403005638E-2</v>
      </c>
      <c r="M239" s="678">
        <f t="shared" si="106"/>
        <v>1.002842724350973</v>
      </c>
      <c r="N239" s="679">
        <f t="shared" si="107"/>
        <v>-7.5312766669637418E-2</v>
      </c>
      <c r="O239" s="677">
        <f t="shared" si="108"/>
        <v>267800.35306214209</v>
      </c>
      <c r="P239" s="680">
        <f t="shared" si="109"/>
        <v>1.5707925926698718</v>
      </c>
      <c r="Q239" s="689">
        <f t="shared" si="131"/>
        <v>35.89917790848947</v>
      </c>
      <c r="R239" s="690">
        <f t="shared" si="132"/>
        <v>1.5429369320224049</v>
      </c>
      <c r="S239" s="677">
        <f t="shared" si="110"/>
        <v>1.1356689523200456</v>
      </c>
      <c r="T239" s="680">
        <f t="shared" si="111"/>
        <v>0.49379962384150378</v>
      </c>
      <c r="U239" s="681">
        <f t="shared" si="123"/>
        <v>0.98352857990164233</v>
      </c>
      <c r="V239" s="682">
        <f t="shared" si="124"/>
        <v>-0.22152422432997049</v>
      </c>
      <c r="W239" s="683">
        <f t="shared" si="112"/>
        <v>-10.146900540082278</v>
      </c>
      <c r="X239" s="684">
        <f t="shared" si="113"/>
        <v>-134.99884373945537</v>
      </c>
      <c r="Y239" s="687">
        <f t="shared" si="114"/>
        <v>45.001156260544633</v>
      </c>
      <c r="AA239" s="170">
        <f t="shared" si="115"/>
        <v>14207.25</v>
      </c>
      <c r="AB239" s="170">
        <f t="shared" si="116"/>
        <v>201845952.5625</v>
      </c>
      <c r="AD239" s="686">
        <f t="shared" si="117"/>
        <v>26.545882205891505</v>
      </c>
      <c r="AE239" s="687">
        <f t="shared" si="118"/>
        <v>-29.888646196067061</v>
      </c>
      <c r="AG239" s="686">
        <f t="shared" si="119"/>
        <v>17.099079671254305</v>
      </c>
      <c r="AH239" s="687">
        <f t="shared" si="120"/>
        <v>-79.725391286348781</v>
      </c>
      <c r="AJ239" s="170">
        <f t="shared" si="121"/>
        <v>0</v>
      </c>
      <c r="AK239" s="170">
        <f t="shared" si="133"/>
        <v>0</v>
      </c>
      <c r="AM239" s="170" t="str">
        <f t="shared" si="125"/>
        <v>0.050453695627182+0.313626873612456i</v>
      </c>
      <c r="AN239" s="170" t="str">
        <f t="shared" si="126"/>
        <v>0.319010221221498i</v>
      </c>
      <c r="AO239" s="170" t="str">
        <f t="shared" si="127"/>
        <v>0.98312484287046-0.158156987678933i</v>
      </c>
      <c r="AP239" s="170" t="str">
        <f t="shared" si="128"/>
        <v>0.15825771739547-0.052271145602076i</v>
      </c>
      <c r="AQ239" s="170" t="str">
        <f t="shared" si="129"/>
        <v>0.84174228260453+0.052271145602076i</v>
      </c>
      <c r="AR239" s="170" t="str">
        <f t="shared" si="130"/>
        <v>0.985812518156256-0.061217727489525i</v>
      </c>
    </row>
    <row r="240" spans="7:44">
      <c r="G240" s="688">
        <v>14289.5</v>
      </c>
      <c r="H240" s="676">
        <f t="shared" si="122"/>
        <v>14.2895</v>
      </c>
      <c r="I240" s="677">
        <f t="shared" si="102"/>
        <v>74.626000081277596</v>
      </c>
      <c r="J240" s="678">
        <f t="shared" si="103"/>
        <v>1.557395770303992</v>
      </c>
      <c r="K240" s="678">
        <f t="shared" si="104"/>
        <v>1.000195059367986</v>
      </c>
      <c r="L240" s="679">
        <f t="shared" si="105"/>
        <v>1.9749818554369906E-2</v>
      </c>
      <c r="M240" s="678">
        <f t="shared" si="106"/>
        <v>1.0028756870548856</v>
      </c>
      <c r="N240" s="679">
        <f t="shared" si="107"/>
        <v>-7.5747113608681652E-2</v>
      </c>
      <c r="O240" s="677">
        <f t="shared" si="108"/>
        <v>269350.72903490631</v>
      </c>
      <c r="P240" s="680">
        <f t="shared" si="109"/>
        <v>1.570792614163401</v>
      </c>
      <c r="Q240" s="689">
        <f t="shared" si="131"/>
        <v>36.106848135517069</v>
      </c>
      <c r="R240" s="690">
        <f t="shared" si="132"/>
        <v>1.5430972077461762</v>
      </c>
      <c r="S240" s="677">
        <f t="shared" si="110"/>
        <v>1.1371492903367133</v>
      </c>
      <c r="T240" s="680">
        <f t="shared" si="111"/>
        <v>0.49621266244921253</v>
      </c>
      <c r="U240" s="681">
        <f t="shared" si="123"/>
        <v>0.98334624082667343</v>
      </c>
      <c r="V240" s="682">
        <f t="shared" si="124"/>
        <v>-0.22278627608741083</v>
      </c>
      <c r="W240" s="683">
        <f t="shared" si="112"/>
        <v>-10.209690518161166</v>
      </c>
      <c r="X240" s="684">
        <f t="shared" si="113"/>
        <v>-135.22304804736135</v>
      </c>
      <c r="Y240" s="687">
        <f t="shared" si="114"/>
        <v>44.776951952638655</v>
      </c>
      <c r="AA240" s="170">
        <f t="shared" si="115"/>
        <v>14289.5</v>
      </c>
      <c r="AB240" s="170">
        <f t="shared" si="116"/>
        <v>204189810.25</v>
      </c>
      <c r="AD240" s="686">
        <f t="shared" si="117"/>
        <v>26.534528888368285</v>
      </c>
      <c r="AE240" s="687">
        <f t="shared" si="118"/>
        <v>-30.017721233196397</v>
      </c>
      <c r="AG240" s="686">
        <f t="shared" si="119"/>
        <v>17.050863911326843</v>
      </c>
      <c r="AH240" s="687">
        <f t="shared" si="120"/>
        <v>-79.675900078503389</v>
      </c>
      <c r="AJ240" s="170">
        <f t="shared" si="121"/>
        <v>0</v>
      </c>
      <c r="AK240" s="170">
        <f t="shared" si="133"/>
        <v>0</v>
      </c>
      <c r="AM240" s="170" t="str">
        <f t="shared" si="125"/>
        <v>0.051034534940356+0.315380002733423i</v>
      </c>
      <c r="AN240" s="170" t="str">
        <f t="shared" si="126"/>
        <v>0.320857066367143i</v>
      </c>
      <c r="AO240" s="170" t="str">
        <f t="shared" si="127"/>
        <v>0.982929895558377-0.159056914401752i</v>
      </c>
      <c r="AP240" s="170" t="str">
        <f t="shared" si="128"/>
        <v>0.158160910843274-0.0525633337889038i</v>
      </c>
      <c r="AQ240" s="170" t="str">
        <f t="shared" si="129"/>
        <v>0.841839089156726+0.0525633337889038i</v>
      </c>
      <c r="AR240" s="170" t="str">
        <f t="shared" si="130"/>
        <v>0.985657587463687-0.0615431730823015i</v>
      </c>
    </row>
    <row r="241" spans="7:44">
      <c r="G241" s="688">
        <v>14371.75</v>
      </c>
      <c r="H241" s="676">
        <f t="shared" si="122"/>
        <v>14.37175</v>
      </c>
      <c r="I241" s="677">
        <f t="shared" si="102"/>
        <v>75.055468536940495</v>
      </c>
      <c r="J241" s="678">
        <f t="shared" si="103"/>
        <v>1.5574724530291544</v>
      </c>
      <c r="K241" s="678">
        <f t="shared" si="104"/>
        <v>1.0001973111219806</v>
      </c>
      <c r="L241" s="679">
        <f t="shared" si="105"/>
        <v>1.9863468195478715E-2</v>
      </c>
      <c r="M241" s="678">
        <f t="shared" si="106"/>
        <v>1.0029088389461231</v>
      </c>
      <c r="N241" s="679">
        <f t="shared" si="107"/>
        <v>-7.6181431914341943E-2</v>
      </c>
      <c r="O241" s="677">
        <f t="shared" si="108"/>
        <v>270901.1050076707</v>
      </c>
      <c r="P241" s="680">
        <f t="shared" si="109"/>
        <v>1.5707926354109136</v>
      </c>
      <c r="Q241" s="689">
        <f t="shared" si="131"/>
        <v>36.314519279460086</v>
      </c>
      <c r="R241" s="690">
        <f t="shared" si="132"/>
        <v>1.5432556503425725</v>
      </c>
      <c r="S241" s="677">
        <f t="shared" si="110"/>
        <v>1.1386362324562276</v>
      </c>
      <c r="T241" s="680">
        <f t="shared" si="111"/>
        <v>0.49861941267862503</v>
      </c>
      <c r="U241" s="681">
        <f t="shared" si="123"/>
        <v>0.98316294578696706</v>
      </c>
      <c r="V241" s="682">
        <f t="shared" si="124"/>
        <v>-0.22404798348466443</v>
      </c>
      <c r="W241" s="683">
        <f t="shared" si="112"/>
        <v>-10.272234871855694</v>
      </c>
      <c r="X241" s="684">
        <f t="shared" si="113"/>
        <v>-135.4469248698862</v>
      </c>
      <c r="Y241" s="687">
        <f t="shared" si="114"/>
        <v>44.553075130113797</v>
      </c>
      <c r="AA241" s="170">
        <f t="shared" si="115"/>
        <v>14371.75</v>
      </c>
      <c r="AB241" s="170">
        <f t="shared" si="116"/>
        <v>206547198.0625</v>
      </c>
      <c r="AD241" s="686">
        <f t="shared" si="117"/>
        <v>26.523140574133453</v>
      </c>
      <c r="AE241" s="687">
        <f t="shared" si="118"/>
        <v>-30.14654098915527</v>
      </c>
      <c r="AG241" s="686">
        <f t="shared" si="119"/>
        <v>17.002946260991479</v>
      </c>
      <c r="AH241" s="687">
        <f t="shared" si="120"/>
        <v>-79.626376127218009</v>
      </c>
      <c r="AJ241" s="170">
        <f t="shared" si="121"/>
        <v>0</v>
      </c>
      <c r="AK241" s="170">
        <f t="shared" si="133"/>
        <v>0</v>
      </c>
      <c r="AM241" s="170" t="str">
        <f t="shared" si="125"/>
        <v>0.051618611019122+0.317132056144915i</v>
      </c>
      <c r="AN241" s="170" t="str">
        <f t="shared" si="126"/>
        <v>0.322703911512788i</v>
      </c>
      <c r="AO241" s="170" t="str">
        <f t="shared" si="127"/>
        <v>0.982733846200522-0.159956570644408i</v>
      </c>
      <c r="AP241" s="170" t="str">
        <f t="shared" si="128"/>
        <v>0.158063564830146-0.0528553426908192i</v>
      </c>
      <c r="AQ241" s="170" t="str">
        <f t="shared" si="129"/>
        <v>0.841936435169854+0.0528553426908192i</v>
      </c>
      <c r="AR241" s="170" t="str">
        <f t="shared" si="130"/>
        <v>0.985501878417043-0.061868137938074i</v>
      </c>
    </row>
    <row r="242" spans="7:44">
      <c r="G242" s="688">
        <v>14454</v>
      </c>
      <c r="H242" s="676">
        <f t="shared" si="122"/>
        <v>14.454000000000001</v>
      </c>
      <c r="I242" s="677">
        <f t="shared" si="102"/>
        <v>75.484937428925576</v>
      </c>
      <c r="J242" s="678">
        <f t="shared" si="103"/>
        <v>1.5575482631874322</v>
      </c>
      <c r="K242" s="678">
        <f t="shared" si="104"/>
        <v>1.0001995757947062</v>
      </c>
      <c r="L242" s="679">
        <f t="shared" si="105"/>
        <v>1.9977117323399664E-2</v>
      </c>
      <c r="M242" s="678">
        <f t="shared" si="106"/>
        <v>1.0029421800059251</v>
      </c>
      <c r="N242" s="679">
        <f t="shared" si="107"/>
        <v>-7.6615721425612876E-2</v>
      </c>
      <c r="O242" s="677">
        <f t="shared" si="108"/>
        <v>272451.48098043521</v>
      </c>
      <c r="P242" s="680">
        <f t="shared" si="109"/>
        <v>1.5707926564166097</v>
      </c>
      <c r="Q242" s="689">
        <f t="shared" si="131"/>
        <v>36.522191324677344</v>
      </c>
      <c r="R242" s="690">
        <f t="shared" si="132"/>
        <v>1.5434122910740904</v>
      </c>
      <c r="S242" s="677">
        <f t="shared" si="110"/>
        <v>1.1401297528396388</v>
      </c>
      <c r="T242" s="680">
        <f t="shared" si="111"/>
        <v>0.50101987130605907</v>
      </c>
      <c r="U242" s="681">
        <f t="shared" si="123"/>
        <v>0.98297869636308666</v>
      </c>
      <c r="V242" s="682">
        <f t="shared" si="124"/>
        <v>-0.2253093447981262</v>
      </c>
      <c r="W242" s="683">
        <f t="shared" si="112"/>
        <v>-10.334536532713138</v>
      </c>
      <c r="X242" s="684">
        <f t="shared" si="113"/>
        <v>-135.67047299163468</v>
      </c>
      <c r="Y242" s="687">
        <f t="shared" si="114"/>
        <v>44.329527008365318</v>
      </c>
      <c r="AA242" s="170">
        <f t="shared" si="115"/>
        <v>14454</v>
      </c>
      <c r="AB242" s="170">
        <f t="shared" si="116"/>
        <v>208918116</v>
      </c>
      <c r="AD242" s="686">
        <f t="shared" si="117"/>
        <v>26.511717603883504</v>
      </c>
      <c r="AE242" s="687">
        <f t="shared" si="118"/>
        <v>-30.27510348827181</v>
      </c>
      <c r="AG242" s="686">
        <f t="shared" si="119"/>
        <v>16.9553234297424</v>
      </c>
      <c r="AH242" s="687">
        <f t="shared" si="120"/>
        <v>-79.576820390279877</v>
      </c>
      <c r="AJ242" s="170">
        <f t="shared" si="121"/>
        <v>0</v>
      </c>
      <c r="AK242" s="170">
        <f t="shared" si="133"/>
        <v>0</v>
      </c>
      <c r="AM242" s="170" t="str">
        <f t="shared" si="125"/>
        <v>0.052205921871294+0.318883027870967i</v>
      </c>
      <c r="AN242" s="170" t="str">
        <f t="shared" si="126"/>
        <v>0.324550756658434i</v>
      </c>
      <c r="AO242" s="170" t="str">
        <f t="shared" si="127"/>
        <v>0.982536695197319-0.160855954886086i</v>
      </c>
      <c r="AP242" s="170" t="str">
        <f t="shared" si="128"/>
        <v>0.157965679688118-0.0531471713118278i</v>
      </c>
      <c r="AQ242" s="170" t="str">
        <f t="shared" si="129"/>
        <v>0.842034320311882+0.0531471713118278i</v>
      </c>
      <c r="AR242" s="170" t="str">
        <f t="shared" si="130"/>
        <v>0.98534539289364-0.0621926198661853i</v>
      </c>
    </row>
    <row r="243" spans="7:44">
      <c r="G243" s="688">
        <v>14622.5</v>
      </c>
      <c r="H243" s="676">
        <f t="shared" si="122"/>
        <v>14.6225</v>
      </c>
      <c r="I243" s="677">
        <f t="shared" si="102"/>
        <v>76.364762569544965</v>
      </c>
      <c r="J243" s="678">
        <f t="shared" si="103"/>
        <v>1.5577009075388135</v>
      </c>
      <c r="K243" s="678">
        <f t="shared" si="104"/>
        <v>1.0002042556179835</v>
      </c>
      <c r="L243" s="679">
        <f t="shared" si="105"/>
        <v>2.0209940973580458E-2</v>
      </c>
      <c r="M243" s="678">
        <f t="shared" si="106"/>
        <v>1.0030110742242386</v>
      </c>
      <c r="N243" s="679">
        <f t="shared" si="107"/>
        <v>-7.750533031447128E-2</v>
      </c>
      <c r="O243" s="677">
        <f t="shared" si="108"/>
        <v>275627.63114956405</v>
      </c>
      <c r="P243" s="680">
        <f t="shared" si="109"/>
        <v>1.570792698711617</v>
      </c>
      <c r="Q243" s="689">
        <f t="shared" si="131"/>
        <v>36.947637717882174</v>
      </c>
      <c r="R243" s="690">
        <f t="shared" si="132"/>
        <v>1.5437276915392726</v>
      </c>
      <c r="S243" s="677">
        <f t="shared" si="110"/>
        <v>1.1432098603973246</v>
      </c>
      <c r="T243" s="680">
        <f t="shared" si="111"/>
        <v>0.50591786905111769</v>
      </c>
      <c r="U243" s="681">
        <f t="shared" si="123"/>
        <v>0.98259826343772871</v>
      </c>
      <c r="V243" s="682">
        <f t="shared" si="124"/>
        <v>-0.22789232224515263</v>
      </c>
      <c r="W243" s="683">
        <f t="shared" si="112"/>
        <v>-10.461423913127101</v>
      </c>
      <c r="X243" s="684">
        <f t="shared" si="113"/>
        <v>-136.12740950444271</v>
      </c>
      <c r="Y243" s="687">
        <f t="shared" si="114"/>
        <v>43.87259049555729</v>
      </c>
      <c r="AA243" s="170">
        <f t="shared" si="115"/>
        <v>14622.5</v>
      </c>
      <c r="AB243" s="170">
        <f t="shared" si="116"/>
        <v>213817506.25</v>
      </c>
      <c r="AD243" s="686">
        <f t="shared" si="117"/>
        <v>26.488209348089576</v>
      </c>
      <c r="AE243" s="687">
        <f t="shared" si="118"/>
        <v>-30.537669395242315</v>
      </c>
      <c r="AG243" s="686">
        <f t="shared" si="119"/>
        <v>16.858668841506706</v>
      </c>
      <c r="AH243" s="687">
        <f t="shared" si="120"/>
        <v>-79.475203583195068</v>
      </c>
      <c r="AJ243" s="170">
        <f t="shared" si="121"/>
        <v>0</v>
      </c>
      <c r="AK243" s="170">
        <f t="shared" si="133"/>
        <v>0</v>
      </c>
      <c r="AM243" s="170" t="str">
        <f t="shared" si="125"/>
        <v>0.0534191987821629+0.32246672195096i</v>
      </c>
      <c r="AN243" s="170" t="str">
        <f t="shared" si="126"/>
        <v>0.32833426312702i</v>
      </c>
      <c r="AO243" s="170" t="str">
        <f t="shared" si="127"/>
        <v>0.982129366822158-0.162697606620169i</v>
      </c>
      <c r="AP243" s="170" t="str">
        <f t="shared" si="128"/>
        <v>0.15776346686964-0.0537444536584933i</v>
      </c>
      <c r="AQ243" s="170" t="str">
        <f t="shared" si="129"/>
        <v>0.84223653313036+0.0537444536584933i</v>
      </c>
      <c r="AR243" s="170" t="str">
        <f t="shared" si="130"/>
        <v>0.985022394806272-0.0628558467459045i</v>
      </c>
    </row>
    <row r="244" spans="7:44">
      <c r="G244" s="688">
        <v>14706.75</v>
      </c>
      <c r="H244" s="676">
        <f t="shared" si="122"/>
        <v>14.70675</v>
      </c>
      <c r="I244" s="677">
        <f t="shared" si="102"/>
        <v>76.804675795634978</v>
      </c>
      <c r="J244" s="678">
        <f t="shared" si="103"/>
        <v>1.5577759182667386</v>
      </c>
      <c r="K244" s="678">
        <f t="shared" si="104"/>
        <v>1.0002066158612009</v>
      </c>
      <c r="L244" s="679">
        <f t="shared" si="105"/>
        <v>2.0326351978504374E-2</v>
      </c>
      <c r="M244" s="678">
        <f t="shared" si="106"/>
        <v>1.0030458189727702</v>
      </c>
      <c r="N244" s="679">
        <f t="shared" si="107"/>
        <v>-7.7950088755809499E-2</v>
      </c>
      <c r="O244" s="677">
        <f t="shared" si="108"/>
        <v>277215.70623412868</v>
      </c>
      <c r="P244" s="680">
        <f t="shared" si="109"/>
        <v>1.5707927194956797</v>
      </c>
      <c r="Q244" s="689">
        <f t="shared" si="131"/>
        <v>37.160362269110863</v>
      </c>
      <c r="R244" s="690">
        <f t="shared" si="132"/>
        <v>1.5438826835157364</v>
      </c>
      <c r="S244" s="677">
        <f t="shared" si="110"/>
        <v>1.1447601573664243</v>
      </c>
      <c r="T244" s="680">
        <f t="shared" si="111"/>
        <v>0.50835695471072595</v>
      </c>
      <c r="U244" s="681">
        <f t="shared" si="123"/>
        <v>0.98240655171960622</v>
      </c>
      <c r="V244" s="682">
        <f t="shared" si="124"/>
        <v>-0.22918325897985864</v>
      </c>
      <c r="W244" s="683">
        <f t="shared" si="112"/>
        <v>-10.524497696151133</v>
      </c>
      <c r="X244" s="684">
        <f t="shared" si="113"/>
        <v>-136.35535557056477</v>
      </c>
      <c r="Y244" s="687">
        <f t="shared" si="114"/>
        <v>43.644644429435232</v>
      </c>
      <c r="AA244" s="170">
        <f t="shared" si="115"/>
        <v>14706.75</v>
      </c>
      <c r="AB244" s="170">
        <f t="shared" si="116"/>
        <v>216288495.5625</v>
      </c>
      <c r="AD244" s="686">
        <f t="shared" si="117"/>
        <v>26.476402122469089</v>
      </c>
      <c r="AE244" s="687">
        <f t="shared" si="118"/>
        <v>-30.668539514287577</v>
      </c>
      <c r="AG244" s="686">
        <f t="shared" si="119"/>
        <v>16.810791969091973</v>
      </c>
      <c r="AH244" s="687">
        <f t="shared" si="120"/>
        <v>-79.424349077068698</v>
      </c>
      <c r="AJ244" s="170">
        <f t="shared" si="121"/>
        <v>0</v>
      </c>
      <c r="AK244" s="170">
        <f t="shared" si="133"/>
        <v>0</v>
      </c>
      <c r="AM244" s="170" t="str">
        <f t="shared" si="125"/>
        <v>0.0540309196607039+0.324256841164571i</v>
      </c>
      <c r="AN244" s="170" t="str">
        <f t="shared" si="126"/>
        <v>0.330226016361313i</v>
      </c>
      <c r="AO244" s="170" t="str">
        <f t="shared" si="127"/>
        <v>0.981923970550488-0.163617997927779i</v>
      </c>
      <c r="AP244" s="170" t="str">
        <f t="shared" si="128"/>
        <v>0.157661513389883-0.0540428068607618i</v>
      </c>
      <c r="AQ244" s="170" t="str">
        <f t="shared" si="129"/>
        <v>0.842338486610117+0.0540428068607618i</v>
      </c>
      <c r="AR244" s="170" t="str">
        <f t="shared" si="130"/>
        <v>0.984859681773931-0.0631866908767939i</v>
      </c>
    </row>
    <row r="245" spans="7:44">
      <c r="G245" s="688">
        <v>14791</v>
      </c>
      <c r="H245" s="676">
        <f t="shared" si="122"/>
        <v>14.791</v>
      </c>
      <c r="I245" s="677">
        <f t="shared" si="102"/>
        <v>77.244589448952667</v>
      </c>
      <c r="J245" s="678">
        <f t="shared" si="103"/>
        <v>1.5578500746117836</v>
      </c>
      <c r="K245" s="678">
        <f t="shared" si="104"/>
        <v>1.0002089896586761</v>
      </c>
      <c r="L245" s="679">
        <f t="shared" si="105"/>
        <v>2.0442762432449E-2</v>
      </c>
      <c r="M245" s="678">
        <f t="shared" si="106"/>
        <v>1.0030807621200983</v>
      </c>
      <c r="N245" s="679">
        <f t="shared" si="107"/>
        <v>-7.8394816298058473E-2</v>
      </c>
      <c r="O245" s="677">
        <f t="shared" si="108"/>
        <v>278803.78131869342</v>
      </c>
      <c r="P245" s="680">
        <f t="shared" si="109"/>
        <v>1.5707927400429693</v>
      </c>
      <c r="Q245" s="689">
        <f t="shared" si="131"/>
        <v>37.373087702862634</v>
      </c>
      <c r="R245" s="690">
        <f t="shared" si="132"/>
        <v>1.5440359110852802</v>
      </c>
      <c r="S245" s="677">
        <f t="shared" si="110"/>
        <v>1.1463172462282503</v>
      </c>
      <c r="T245" s="680">
        <f t="shared" si="111"/>
        <v>0.5107894285923007</v>
      </c>
      <c r="U245" s="681">
        <f t="shared" si="123"/>
        <v>0.98221384546551105</v>
      </c>
      <c r="V245" s="682">
        <f t="shared" si="124"/>
        <v>-0.23047382527498372</v>
      </c>
      <c r="W245" s="683">
        <f t="shared" si="112"/>
        <v>-10.587328784860164</v>
      </c>
      <c r="X245" s="684">
        <f t="shared" si="113"/>
        <v>-136.5829519732375</v>
      </c>
      <c r="Y245" s="687">
        <f t="shared" si="114"/>
        <v>43.417048026762501</v>
      </c>
      <c r="AA245" s="170">
        <f t="shared" si="115"/>
        <v>14791</v>
      </c>
      <c r="AB245" s="170">
        <f t="shared" si="116"/>
        <v>218773681</v>
      </c>
      <c r="AD245" s="686">
        <f t="shared" si="117"/>
        <v>26.464559982077326</v>
      </c>
      <c r="AE245" s="687">
        <f t="shared" si="118"/>
        <v>-30.799131885859932</v>
      </c>
      <c r="AG245" s="686">
        <f t="shared" si="119"/>
        <v>16.763210957011957</v>
      </c>
      <c r="AH245" s="687">
        <f t="shared" si="120"/>
        <v>-79.3734651042151</v>
      </c>
      <c r="AJ245" s="170">
        <f t="shared" si="121"/>
        <v>0</v>
      </c>
      <c r="AK245" s="170">
        <f t="shared" si="133"/>
        <v>0</v>
      </c>
      <c r="AM245" s="170" t="str">
        <f t="shared" si="125"/>
        <v>0.054646025906445+0.326045799950746i</v>
      </c>
      <c r="AN245" s="170" t="str">
        <f t="shared" si="126"/>
        <v>0.332117769595606i</v>
      </c>
      <c r="AO245" s="170" t="str">
        <f t="shared" si="127"/>
        <v>0.981717420142098-0.164538097353187i</v>
      </c>
      <c r="AP245" s="170" t="str">
        <f t="shared" si="128"/>
        <v>0.157558995682259-0.0543409666584577i</v>
      </c>
      <c r="AQ245" s="170" t="str">
        <f t="shared" si="129"/>
        <v>0.842441004317741+0.0543409666584577i</v>
      </c>
      <c r="AR245" s="170" t="str">
        <f t="shared" si="130"/>
        <v>0.984696162145654-0.0635170190453909i</v>
      </c>
    </row>
    <row r="246" spans="7:44">
      <c r="G246" s="688">
        <v>14877.25</v>
      </c>
      <c r="H246" s="676">
        <f t="shared" si="122"/>
        <v>14.87725</v>
      </c>
      <c r="I246" s="677">
        <f t="shared" si="102"/>
        <v>77.694946591339018</v>
      </c>
      <c r="J246" s="678">
        <f t="shared" si="103"/>
        <v>1.5579251214497818</v>
      </c>
      <c r="K246" s="678">
        <f t="shared" si="104"/>
        <v>1.0002114338480472</v>
      </c>
      <c r="L246" s="679">
        <f t="shared" si="105"/>
        <v>2.0561935765262249E-2</v>
      </c>
      <c r="M246" s="678">
        <f t="shared" si="106"/>
        <v>1.0031167402760386</v>
      </c>
      <c r="N246" s="679">
        <f t="shared" si="107"/>
        <v>-7.8850068982334418E-2</v>
      </c>
      <c r="O246" s="677">
        <f t="shared" si="108"/>
        <v>280429.55551505799</v>
      </c>
      <c r="P246" s="680">
        <f t="shared" si="109"/>
        <v>1.570792760836957</v>
      </c>
      <c r="Q246" s="689">
        <f t="shared" si="131"/>
        <v>37.590863897097101</v>
      </c>
      <c r="R246" s="690">
        <f t="shared" si="132"/>
        <v>1.5441909796402293</v>
      </c>
      <c r="S246" s="677">
        <f t="shared" si="110"/>
        <v>1.147918305420411</v>
      </c>
      <c r="T246" s="680">
        <f t="shared" si="111"/>
        <v>0.5132727956869606</v>
      </c>
      <c r="U246" s="681">
        <f t="shared" si="123"/>
        <v>0.98201553616353632</v>
      </c>
      <c r="V246" s="682">
        <f t="shared" si="124"/>
        <v>-0.23179464251395179</v>
      </c>
      <c r="W246" s="683">
        <f t="shared" si="112"/>
        <v>-10.651402997720181</v>
      </c>
      <c r="X246" s="684">
        <f t="shared" si="113"/>
        <v>-136.81558789348733</v>
      </c>
      <c r="Y246" s="687">
        <f t="shared" si="114"/>
        <v>43.184412106512667</v>
      </c>
      <c r="AA246" s="170">
        <f t="shared" si="115"/>
        <v>14877.25</v>
      </c>
      <c r="AB246" s="170">
        <f t="shared" si="116"/>
        <v>221332567.5625</v>
      </c>
      <c r="AD246" s="686">
        <f t="shared" si="117"/>
        <v>26.452400932235346</v>
      </c>
      <c r="AE246" s="687">
        <f t="shared" si="118"/>
        <v>-30.932534757191977</v>
      </c>
      <c r="AG246" s="686">
        <f t="shared" si="119"/>
        <v>16.71480351612275</v>
      </c>
      <c r="AH246" s="687">
        <f t="shared" si="120"/>
        <v>-79.321343646357946</v>
      </c>
      <c r="AJ246" s="170">
        <f t="shared" si="121"/>
        <v>0</v>
      </c>
      <c r="AK246" s="170">
        <f t="shared" si="133"/>
        <v>0</v>
      </c>
      <c r="AM246" s="170" t="str">
        <f t="shared" si="125"/>
        <v>0.055279238650731+0.327876017841589i</v>
      </c>
      <c r="AN246" s="170" t="str">
        <f t="shared" si="126"/>
        <v>0.334054430918547i</v>
      </c>
      <c r="AO246" s="170" t="str">
        <f t="shared" si="127"/>
        <v>0.98150477136325-0.165479734840607i</v>
      </c>
      <c r="AP246" s="170" t="str">
        <f t="shared" si="128"/>
        <v>0.157453460224878-0.0546460029735982i</v>
      </c>
      <c r="AQ246" s="170" t="str">
        <f t="shared" si="129"/>
        <v>0.842546539775122+0.0546460029735982i</v>
      </c>
      <c r="AR246" s="170" t="str">
        <f t="shared" si="130"/>
        <v>0.984527927349021-0.0638546519458315i</v>
      </c>
    </row>
    <row r="247" spans="7:44">
      <c r="G247" s="688">
        <v>14963.5</v>
      </c>
      <c r="H247" s="676">
        <f t="shared" si="122"/>
        <v>14.9635</v>
      </c>
      <c r="I247" s="677">
        <f t="shared" si="102"/>
        <v>78.145304166261852</v>
      </c>
      <c r="J247" s="678">
        <f t="shared" si="103"/>
        <v>1.5579993032864556</v>
      </c>
      <c r="K247" s="678">
        <f t="shared" si="104"/>
        <v>1.0002138922426349</v>
      </c>
      <c r="L247" s="679">
        <f t="shared" si="105"/>
        <v>2.0681108513943166E-2</v>
      </c>
      <c r="M247" s="678">
        <f t="shared" si="106"/>
        <v>1.0031529263180075</v>
      </c>
      <c r="N247" s="679">
        <f t="shared" si="107"/>
        <v>-7.9305288916920638E-2</v>
      </c>
      <c r="O247" s="677">
        <f t="shared" si="108"/>
        <v>282055.32971142273</v>
      </c>
      <c r="P247" s="680">
        <f t="shared" si="109"/>
        <v>1.5707927813912306</v>
      </c>
      <c r="Q247" s="689">
        <f t="shared" si="131"/>
        <v>37.808640984838028</v>
      </c>
      <c r="R247" s="690">
        <f t="shared" si="132"/>
        <v>1.5443442618146896</v>
      </c>
      <c r="S247" s="677">
        <f t="shared" si="110"/>
        <v>1.1495264242078491</v>
      </c>
      <c r="T247" s="680">
        <f t="shared" si="111"/>
        <v>0.51574922985416238</v>
      </c>
      <c r="U247" s="681">
        <f t="shared" si="123"/>
        <v>0.98181618823386441</v>
      </c>
      <c r="V247" s="682">
        <f t="shared" si="124"/>
        <v>-0.23311506764184819</v>
      </c>
      <c r="W247" s="683">
        <f t="shared" si="112"/>
        <v>-10.715228872054819</v>
      </c>
      <c r="X247" s="684">
        <f t="shared" si="113"/>
        <v>-137.04785505439642</v>
      </c>
      <c r="Y247" s="687">
        <f t="shared" si="114"/>
        <v>42.952144945603578</v>
      </c>
      <c r="AA247" s="170">
        <f t="shared" si="115"/>
        <v>14963.5</v>
      </c>
      <c r="AB247" s="170">
        <f t="shared" si="116"/>
        <v>223906332.25</v>
      </c>
      <c r="AD247" s="686">
        <f t="shared" si="117"/>
        <v>26.440206055961191</v>
      </c>
      <c r="AE247" s="687">
        <f t="shared" si="118"/>
        <v>-31.065642739368691</v>
      </c>
      <c r="AG247" s="686">
        <f t="shared" si="119"/>
        <v>16.666699325580737</v>
      </c>
      <c r="AH247" s="687">
        <f t="shared" si="120"/>
        <v>-79.269193250934435</v>
      </c>
      <c r="AJ247" s="170">
        <f t="shared" si="121"/>
        <v>0</v>
      </c>
      <c r="AK247" s="170">
        <f t="shared" si="133"/>
        <v>0</v>
      </c>
      <c r="AM247" s="170" t="str">
        <f t="shared" si="125"/>
        <v>0.055915994717522+0.32970500598231i</v>
      </c>
      <c r="AN247" s="170" t="str">
        <f t="shared" si="126"/>
        <v>0.335991092241488i</v>
      </c>
      <c r="AO247" s="170" t="str">
        <f t="shared" si="127"/>
        <v>0.981290913942861-0.166421062964768i</v>
      </c>
      <c r="AP247" s="170" t="str">
        <f t="shared" si="128"/>
        <v>0.157347334213746-0.054950834330385i</v>
      </c>
      <c r="AQ247" s="170" t="str">
        <f t="shared" si="129"/>
        <v>0.842652665786254+0.054950834330385i</v>
      </c>
      <c r="AR247" s="170" t="str">
        <f t="shared" si="130"/>
        <v>0.984358851578327-0.0641917392194537i</v>
      </c>
    </row>
    <row r="248" spans="7:44">
      <c r="G248" s="688">
        <v>15049.75</v>
      </c>
      <c r="H248" s="676">
        <f t="shared" si="122"/>
        <v>15.04975</v>
      </c>
      <c r="I248" s="677">
        <f t="shared" si="102"/>
        <v>78.59566216628582</v>
      </c>
      <c r="J248" s="678">
        <f t="shared" si="103"/>
        <v>1.5580726349905145</v>
      </c>
      <c r="K248" s="678">
        <f t="shared" si="104"/>
        <v>1.0002163648423346</v>
      </c>
      <c r="L248" s="679">
        <f t="shared" si="105"/>
        <v>2.0800280675111055E-2</v>
      </c>
      <c r="M248" s="678">
        <f t="shared" si="106"/>
        <v>1.0031893202235089</v>
      </c>
      <c r="N248" s="679">
        <f t="shared" si="107"/>
        <v>-7.9760475916705278E-2</v>
      </c>
      <c r="O248" s="677">
        <f t="shared" si="108"/>
        <v>283681.10390778753</v>
      </c>
      <c r="P248" s="680">
        <f t="shared" si="109"/>
        <v>1.5707928017099113</v>
      </c>
      <c r="Q248" s="689">
        <f t="shared" si="131"/>
        <v>38.026418950734111</v>
      </c>
      <c r="R248" s="690">
        <f t="shared" si="132"/>
        <v>1.5444957882932921</v>
      </c>
      <c r="S248" s="677">
        <f t="shared" si="110"/>
        <v>1.1511415730042802</v>
      </c>
      <c r="T248" s="680">
        <f t="shared" si="111"/>
        <v>0.51821872983845318</v>
      </c>
      <c r="U248" s="681">
        <f t="shared" si="123"/>
        <v>0.98161580355324218</v>
      </c>
      <c r="V248" s="682">
        <f t="shared" si="124"/>
        <v>-0.23443509870605939</v>
      </c>
      <c r="W248" s="683">
        <f t="shared" si="112"/>
        <v>-10.778809364324292</v>
      </c>
      <c r="X248" s="684">
        <f t="shared" si="113"/>
        <v>-137.27975235579419</v>
      </c>
      <c r="Y248" s="687">
        <f t="shared" si="114"/>
        <v>42.720247644205813</v>
      </c>
      <c r="AA248" s="170">
        <f t="shared" si="115"/>
        <v>15049.75</v>
      </c>
      <c r="AB248" s="170">
        <f t="shared" si="116"/>
        <v>226494975.0625</v>
      </c>
      <c r="AD248" s="686">
        <f t="shared" si="117"/>
        <v>26.427975738866671</v>
      </c>
      <c r="AE248" s="687">
        <f t="shared" si="118"/>
        <v>-31.198454002594204</v>
      </c>
      <c r="AG248" s="686">
        <f t="shared" si="119"/>
        <v>16.618895021583121</v>
      </c>
      <c r="AH248" s="687">
        <f t="shared" si="120"/>
        <v>-79.217014871322945</v>
      </c>
      <c r="AJ248" s="170">
        <f t="shared" si="121"/>
        <v>0</v>
      </c>
      <c r="AK248" s="170">
        <f t="shared" si="133"/>
        <v>0</v>
      </c>
      <c r="AM248" s="170" t="str">
        <f t="shared" si="125"/>
        <v>0.056556291718565+0.331532757513001i</v>
      </c>
      <c r="AN248" s="170" t="str">
        <f t="shared" si="126"/>
        <v>0.337927753564429i</v>
      </c>
      <c r="AO248" s="170" t="str">
        <f t="shared" si="127"/>
        <v>0.981075848361153-0.167362079977199i</v>
      </c>
      <c r="AP248" s="170" t="str">
        <f t="shared" si="128"/>
        <v>0.157240618046906-0.0552554595855002i</v>
      </c>
      <c r="AQ248" s="170" t="str">
        <f t="shared" si="129"/>
        <v>0.842759381953094+0.0552554595855002i</v>
      </c>
      <c r="AR248" s="170" t="str">
        <f t="shared" si="130"/>
        <v>0.984188937057772-0.0645282784156758i</v>
      </c>
    </row>
    <row r="249" spans="7:44">
      <c r="G249" s="688">
        <v>15136</v>
      </c>
      <c r="H249" s="676">
        <f t="shared" si="122"/>
        <v>15.135999999999999</v>
      </c>
      <c r="I249" s="677">
        <f t="shared" si="102"/>
        <v>79.046020584144969</v>
      </c>
      <c r="J249" s="678">
        <f t="shared" si="103"/>
        <v>1.5581451310918522</v>
      </c>
      <c r="K249" s="678">
        <f t="shared" si="104"/>
        <v>1.0002188516470405</v>
      </c>
      <c r="L249" s="679">
        <f t="shared" si="105"/>
        <v>2.0919452245385318E-2</v>
      </c>
      <c r="M249" s="678">
        <f t="shared" si="106"/>
        <v>1.0032259219699213</v>
      </c>
      <c r="N249" s="679">
        <f t="shared" si="107"/>
        <v>-8.0215629796657806E-2</v>
      </c>
      <c r="O249" s="677">
        <f t="shared" si="108"/>
        <v>285306.87810415257</v>
      </c>
      <c r="P249" s="680">
        <f t="shared" si="109"/>
        <v>1.5707928217970268</v>
      </c>
      <c r="Q249" s="689">
        <f t="shared" si="131"/>
        <v>38.244197779783647</v>
      </c>
      <c r="R249" s="690">
        <f t="shared" si="132"/>
        <v>1.5446455890620696</v>
      </c>
      <c r="S249" s="677">
        <f t="shared" si="110"/>
        <v>1.1527637222602565</v>
      </c>
      <c r="T249" s="680">
        <f t="shared" si="111"/>
        <v>0.52068129472969915</v>
      </c>
      <c r="U249" s="681">
        <f t="shared" si="123"/>
        <v>0.98141438400617143</v>
      </c>
      <c r="V249" s="682">
        <f t="shared" si="124"/>
        <v>-0.23575473375914216</v>
      </c>
      <c r="W249" s="683">
        <f t="shared" si="112"/>
        <v>-10.842147374710125</v>
      </c>
      <c r="X249" s="684">
        <f t="shared" si="113"/>
        <v>-137.51127873820499</v>
      </c>
      <c r="Y249" s="687">
        <f t="shared" si="114"/>
        <v>42.488721261795007</v>
      </c>
      <c r="AA249" s="170">
        <f t="shared" si="115"/>
        <v>15136</v>
      </c>
      <c r="AB249" s="170">
        <f t="shared" si="116"/>
        <v>229098496</v>
      </c>
      <c r="AD249" s="686">
        <f t="shared" si="117"/>
        <v>26.415710365357135</v>
      </c>
      <c r="AE249" s="687">
        <f t="shared" si="118"/>
        <v>-31.330966776879272</v>
      </c>
      <c r="AG249" s="686">
        <f t="shared" si="119"/>
        <v>16.571387297715361</v>
      </c>
      <c r="AH249" s="687">
        <f t="shared" si="120"/>
        <v>-79.164809441197548</v>
      </c>
      <c r="AJ249" s="170">
        <f t="shared" si="121"/>
        <v>0</v>
      </c>
      <c r="AK249" s="170">
        <f t="shared" si="133"/>
        <v>0</v>
      </c>
      <c r="AM249" s="170" t="str">
        <f t="shared" si="125"/>
        <v>0.057200127252325+0.333359265578398i</v>
      </c>
      <c r="AN249" s="170" t="str">
        <f t="shared" si="126"/>
        <v>0.33986441488737i</v>
      </c>
      <c r="AO249" s="170" t="str">
        <f t="shared" si="127"/>
        <v>0.980859575101066-0.168302784130198i</v>
      </c>
      <c r="AP249" s="170" t="str">
        <f t="shared" si="128"/>
        <v>0.157133312124612-0.0555598775963997i</v>
      </c>
      <c r="AQ249" s="170" t="str">
        <f t="shared" si="129"/>
        <v>0.842866687875388+0.0555598775963997i</v>
      </c>
      <c r="AR249" s="170" t="str">
        <f t="shared" si="130"/>
        <v>0.98401818601999-0.0648642670950887i</v>
      </c>
    </row>
    <row r="250" spans="7:44">
      <c r="G250" s="688">
        <v>15224</v>
      </c>
      <c r="H250" s="676">
        <f t="shared" si="122"/>
        <v>15.224</v>
      </c>
      <c r="I250" s="677">
        <f t="shared" si="102"/>
        <v>79.505517132303538</v>
      </c>
      <c r="J250" s="678">
        <f t="shared" si="103"/>
        <v>1.5582182516555541</v>
      </c>
      <c r="K250" s="678">
        <f t="shared" si="104"/>
        <v>1.0002214035488002</v>
      </c>
      <c r="L250" s="679">
        <f t="shared" si="105"/>
        <v>2.1041041177042589E-2</v>
      </c>
      <c r="M250" s="678">
        <f t="shared" si="106"/>
        <v>1.0032634805461453</v>
      </c>
      <c r="N250" s="679">
        <f t="shared" si="107"/>
        <v>-8.0679984356321552E-2</v>
      </c>
      <c r="O250" s="677">
        <f t="shared" si="108"/>
        <v>286965.6390233424</v>
      </c>
      <c r="P250" s="680">
        <f t="shared" si="109"/>
        <v>1.57079284205713</v>
      </c>
      <c r="Q250" s="689">
        <f t="shared" si="131"/>
        <v>38.466396184101718</v>
      </c>
      <c r="R250" s="690">
        <f t="shared" si="132"/>
        <v>1.5447966810860712</v>
      </c>
      <c r="S250" s="677">
        <f t="shared" si="110"/>
        <v>1.1544259690267116</v>
      </c>
      <c r="T250" s="680">
        <f t="shared" si="111"/>
        <v>0.52318667652890094</v>
      </c>
      <c r="U250" s="681">
        <f t="shared" si="123"/>
        <v>0.98120781307367277</v>
      </c>
      <c r="V250" s="682">
        <f t="shared" si="124"/>
        <v>-0.23710073385579566</v>
      </c>
      <c r="W250" s="683">
        <f t="shared" si="112"/>
        <v>-10.906523544438809</v>
      </c>
      <c r="X250" s="684">
        <f t="shared" si="113"/>
        <v>-137.74711941546778</v>
      </c>
      <c r="Y250" s="687">
        <f t="shared" si="114"/>
        <v>42.252880584532221</v>
      </c>
      <c r="AA250" s="170">
        <f t="shared" si="115"/>
        <v>15224</v>
      </c>
      <c r="AB250" s="170">
        <f t="shared" si="116"/>
        <v>231770176</v>
      </c>
      <c r="AD250" s="686">
        <f t="shared" si="117"/>
        <v>26.403160396200867</v>
      </c>
      <c r="AE250" s="687">
        <f t="shared" si="118"/>
        <v>-31.465858805721602</v>
      </c>
      <c r="AG250" s="686">
        <f t="shared" si="119"/>
        <v>16.523217944255777</v>
      </c>
      <c r="AH250" s="687">
        <f t="shared" si="120"/>
        <v>-79.111517839916857</v>
      </c>
      <c r="AJ250" s="170">
        <f t="shared" si="121"/>
        <v>0</v>
      </c>
      <c r="AK250" s="170">
        <f t="shared" si="133"/>
        <v>0</v>
      </c>
      <c r="AM250" s="170" t="str">
        <f t="shared" si="125"/>
        <v>0.0578606705656181+0.335221544553647i</v>
      </c>
      <c r="AN250" s="170" t="str">
        <f t="shared" si="126"/>
        <v>0.341840370787878i</v>
      </c>
      <c r="AO250" s="170" t="str">
        <f t="shared" si="127"/>
        <v>0.98063766950938-0.169262250775881i</v>
      </c>
      <c r="AP250" s="170" t="str">
        <f t="shared" si="128"/>
        <v>0.157023221572397-0.0558702574256078i</v>
      </c>
      <c r="AQ250" s="170" t="str">
        <f t="shared" si="129"/>
        <v>0.842976778427603+0.0558702574256078i</v>
      </c>
      <c r="AR250" s="170" t="str">
        <f t="shared" si="130"/>
        <v>0.9838431106451-0.0652065030316529i</v>
      </c>
    </row>
    <row r="251" spans="7:44">
      <c r="G251" s="688">
        <v>15312</v>
      </c>
      <c r="H251" s="676">
        <f t="shared" si="122"/>
        <v>15.311999999999999</v>
      </c>
      <c r="I251" s="677">
        <f t="shared" si="102"/>
        <v>79.965014100662344</v>
      </c>
      <c r="J251" s="678">
        <f t="shared" si="103"/>
        <v>1.5582905318852069</v>
      </c>
      <c r="K251" s="678">
        <f t="shared" si="104"/>
        <v>1.0002239702376261</v>
      </c>
      <c r="L251" s="679">
        <f t="shared" si="105"/>
        <v>2.1162629486475255E-2</v>
      </c>
      <c r="M251" s="678">
        <f t="shared" si="106"/>
        <v>1.0033012554349912</v>
      </c>
      <c r="N251" s="679">
        <f t="shared" si="107"/>
        <v>-8.1144304049647439E-2</v>
      </c>
      <c r="O251" s="677">
        <f t="shared" si="108"/>
        <v>288624.39994253241</v>
      </c>
      <c r="P251" s="680">
        <f t="shared" si="109"/>
        <v>1.5707928620843585</v>
      </c>
      <c r="Q251" s="689">
        <f t="shared" si="131"/>
        <v>38.688595456474665</v>
      </c>
      <c r="R251" s="690">
        <f t="shared" si="132"/>
        <v>1.5449460375871329</v>
      </c>
      <c r="S251" s="677">
        <f t="shared" si="110"/>
        <v>1.1560954411893594</v>
      </c>
      <c r="T251" s="680">
        <f t="shared" si="111"/>
        <v>0.52568483812373445</v>
      </c>
      <c r="U251" s="681">
        <f t="shared" si="123"/>
        <v>0.98100016884180652</v>
      </c>
      <c r="V251" s="682">
        <f t="shared" si="124"/>
        <v>-0.23844631762917223</v>
      </c>
      <c r="W251" s="683">
        <f t="shared" si="112"/>
        <v>-10.970653218729252</v>
      </c>
      <c r="X251" s="684">
        <f t="shared" si="113"/>
        <v>-137.98257186708531</v>
      </c>
      <c r="Y251" s="687">
        <f t="shared" si="114"/>
        <v>42.017428132914688</v>
      </c>
      <c r="AA251" s="170">
        <f t="shared" si="115"/>
        <v>15312</v>
      </c>
      <c r="AB251" s="170">
        <f t="shared" si="116"/>
        <v>234457344</v>
      </c>
      <c r="AD251" s="686">
        <f t="shared" si="117"/>
        <v>26.390574738083323</v>
      </c>
      <c r="AE251" s="687">
        <f t="shared" si="118"/>
        <v>-31.600436572122998</v>
      </c>
      <c r="AG251" s="686">
        <f t="shared" si="119"/>
        <v>16.475350551367107</v>
      </c>
      <c r="AH251" s="687">
        <f t="shared" si="120"/>
        <v>-79.058199982565284</v>
      </c>
      <c r="AJ251" s="170">
        <f t="shared" si="121"/>
        <v>0</v>
      </c>
      <c r="AK251" s="170">
        <f t="shared" si="133"/>
        <v>0</v>
      </c>
      <c r="AM251" s="170" t="str">
        <f t="shared" si="125"/>
        <v>0.058524892368132+0.337082514689746i</v>
      </c>
      <c r="AN251" s="170" t="str">
        <f t="shared" si="126"/>
        <v>0.343816326688386i</v>
      </c>
      <c r="AO251" s="170" t="str">
        <f t="shared" si="127"/>
        <v>0.980414507759129-0.170221388064492i</v>
      </c>
      <c r="AP251" s="170" t="str">
        <f t="shared" si="128"/>
        <v>0.156912517938645-0.0561804191149577i</v>
      </c>
      <c r="AQ251" s="170" t="str">
        <f t="shared" si="129"/>
        <v>0.843087482061355+0.0561804191149577i</v>
      </c>
      <c r="AR251" s="170" t="str">
        <f t="shared" si="130"/>
        <v>0.983667169184982-0.0655481607902874i</v>
      </c>
    </row>
    <row r="252" spans="7:44">
      <c r="G252" s="688">
        <v>15400</v>
      </c>
      <c r="H252" s="676">
        <f t="shared" si="122"/>
        <v>15.4</v>
      </c>
      <c r="I252" s="677">
        <f t="shared" si="102"/>
        <v>80.424511482019128</v>
      </c>
      <c r="J252" s="678">
        <f t="shared" si="103"/>
        <v>1.5583619861835418</v>
      </c>
      <c r="K252" s="678">
        <f t="shared" si="104"/>
        <v>1.0002265517134037</v>
      </c>
      <c r="L252" s="679">
        <f t="shared" si="105"/>
        <v>2.1284217170093066E-2</v>
      </c>
      <c r="M252" s="678">
        <f t="shared" si="106"/>
        <v>1.0033392466120266</v>
      </c>
      <c r="N252" s="679">
        <f t="shared" si="107"/>
        <v>-8.1608588680376987E-2</v>
      </c>
      <c r="O252" s="677">
        <f t="shared" si="108"/>
        <v>290283.16086172243</v>
      </c>
      <c r="P252" s="680">
        <f t="shared" si="109"/>
        <v>1.5707928818827046</v>
      </c>
      <c r="Q252" s="689">
        <f t="shared" si="131"/>
        <v>38.91079558203144</v>
      </c>
      <c r="R252" s="690">
        <f t="shared" si="132"/>
        <v>1.5450936882906479</v>
      </c>
      <c r="S252" s="677">
        <f t="shared" si="110"/>
        <v>1.1577721074917955</v>
      </c>
      <c r="T252" s="680">
        <f t="shared" si="111"/>
        <v>0.528175779634525</v>
      </c>
      <c r="U252" s="681">
        <f t="shared" si="123"/>
        <v>0.98079145333672757</v>
      </c>
      <c r="V252" s="682">
        <f t="shared" si="124"/>
        <v>-0.23979148302768272</v>
      </c>
      <c r="W252" s="683">
        <f t="shared" si="112"/>
        <v>-11.034539305284863</v>
      </c>
      <c r="X252" s="684">
        <f t="shared" si="113"/>
        <v>-138.21763509367014</v>
      </c>
      <c r="Y252" s="687">
        <f t="shared" si="114"/>
        <v>41.78236490632986</v>
      </c>
      <c r="AA252" s="170">
        <f t="shared" si="115"/>
        <v>15400</v>
      </c>
      <c r="AB252" s="170">
        <f t="shared" si="116"/>
        <v>237160000</v>
      </c>
      <c r="AD252" s="686">
        <f t="shared" si="117"/>
        <v>26.377953795187409</v>
      </c>
      <c r="AE252" s="687">
        <f t="shared" si="118"/>
        <v>-31.734698380066781</v>
      </c>
      <c r="AG252" s="686">
        <f t="shared" si="119"/>
        <v>16.427781783671531</v>
      </c>
      <c r="AH252" s="687">
        <f t="shared" si="120"/>
        <v>-79.004856800866818</v>
      </c>
      <c r="AJ252" s="170">
        <f t="shared" si="121"/>
        <v>0</v>
      </c>
      <c r="AK252" s="170">
        <f t="shared" si="133"/>
        <v>0</v>
      </c>
      <c r="AM252" s="170" t="str">
        <f t="shared" si="125"/>
        <v>0.059192790066481+0.338942168720723i</v>
      </c>
      <c r="AN252" s="170" t="str">
        <f t="shared" si="126"/>
        <v>0.345792282588894i</v>
      </c>
      <c r="AO252" s="170" t="str">
        <f t="shared" si="127"/>
        <v>0.980190090371927-0.171180194142315i</v>
      </c>
      <c r="AP252" s="170" t="str">
        <f t="shared" si="128"/>
        <v>0.156801201655587-0.0564903614534538i</v>
      </c>
      <c r="AQ252" s="170" t="str">
        <f t="shared" si="129"/>
        <v>0.843198798344413+0.0564903614534538i</v>
      </c>
      <c r="AR252" s="170" t="str">
        <f t="shared" si="130"/>
        <v>0.983490364037665-0.0658892378162326i</v>
      </c>
    </row>
    <row r="253" spans="7:44">
      <c r="G253" s="688">
        <v>15488</v>
      </c>
      <c r="H253" s="676">
        <f t="shared" si="122"/>
        <v>15.488</v>
      </c>
      <c r="I253" s="677">
        <f t="shared" si="102"/>
        <v>80.884009269335209</v>
      </c>
      <c r="J253" s="678">
        <f t="shared" si="103"/>
        <v>1.5584326286260397</v>
      </c>
      <c r="K253" s="678">
        <f t="shared" si="104"/>
        <v>1.000229147976019</v>
      </c>
      <c r="L253" s="679">
        <f t="shared" si="105"/>
        <v>2.1405804224305883E-2</v>
      </c>
      <c r="M253" s="678">
        <f t="shared" si="106"/>
        <v>1.0033774540526841</v>
      </c>
      <c r="N253" s="679">
        <f t="shared" si="107"/>
        <v>-8.2072838052341779E-2</v>
      </c>
      <c r="O253" s="677">
        <f t="shared" si="108"/>
        <v>291941.92178091273</v>
      </c>
      <c r="P253" s="680">
        <f t="shared" si="109"/>
        <v>1.5707929014560693</v>
      </c>
      <c r="Q253" s="689">
        <f t="shared" si="131"/>
        <v>39.132996546238729</v>
      </c>
      <c r="R253" s="690">
        <f t="shared" si="132"/>
        <v>1.5452396622471771</v>
      </c>
      <c r="S253" s="677">
        <f t="shared" si="110"/>
        <v>1.1594559367241106</v>
      </c>
      <c r="T253" s="680">
        <f t="shared" si="111"/>
        <v>0.53065950153929442</v>
      </c>
      <c r="U253" s="681">
        <f t="shared" si="123"/>
        <v>0.98058166859277363</v>
      </c>
      <c r="V253" s="682">
        <f t="shared" si="124"/>
        <v>-0.24113622800542628</v>
      </c>
      <c r="W253" s="683">
        <f t="shared" si="112"/>
        <v>-11.098184656436725</v>
      </c>
      <c r="X253" s="684">
        <f t="shared" si="113"/>
        <v>-138.45230813657014</v>
      </c>
      <c r="Y253" s="687">
        <f t="shared" si="114"/>
        <v>41.547691863429861</v>
      </c>
      <c r="AA253" s="170">
        <f t="shared" si="115"/>
        <v>15488</v>
      </c>
      <c r="AB253" s="170">
        <f t="shared" si="116"/>
        <v>239878144</v>
      </c>
      <c r="AD253" s="686">
        <f t="shared" si="117"/>
        <v>26.365297970246914</v>
      </c>
      <c r="AE253" s="687">
        <f t="shared" si="118"/>
        <v>-31.868642592690556</v>
      </c>
      <c r="AG253" s="686">
        <f t="shared" si="119"/>
        <v>16.380508362509854</v>
      </c>
      <c r="AH253" s="687">
        <f t="shared" si="120"/>
        <v>-78.951489207474708</v>
      </c>
      <c r="AJ253" s="170">
        <f t="shared" si="121"/>
        <v>0</v>
      </c>
      <c r="AK253" s="170">
        <f t="shared" si="133"/>
        <v>0</v>
      </c>
      <c r="AM253" s="170" t="str">
        <f t="shared" si="125"/>
        <v>0.059864361052924+0.340800499385745i</v>
      </c>
      <c r="AN253" s="170" t="str">
        <f t="shared" si="126"/>
        <v>0.347768238489402i</v>
      </c>
      <c r="AO253" s="170" t="str">
        <f t="shared" si="127"/>
        <v>0.979964417872309-0.172138667156484i</v>
      </c>
      <c r="AP253" s="170" t="str">
        <f t="shared" si="128"/>
        <v>0.156689273157846-0.0568000832309575i</v>
      </c>
      <c r="AQ253" s="170" t="str">
        <f t="shared" si="129"/>
        <v>0.843310726842154+0.0568000832309575i</v>
      </c>
      <c r="AR253" s="170" t="str">
        <f t="shared" si="130"/>
        <v>0.983312697610028-0.0662297315669756i</v>
      </c>
    </row>
    <row r="254" spans="7:44">
      <c r="G254" s="688">
        <v>15578.25</v>
      </c>
      <c r="H254" s="676">
        <f t="shared" si="122"/>
        <v>15.578250000000001</v>
      </c>
      <c r="I254" s="677">
        <f t="shared" si="102"/>
        <v>81.35525599407832</v>
      </c>
      <c r="J254" s="678">
        <f t="shared" si="103"/>
        <v>1.558504248418934</v>
      </c>
      <c r="K254" s="678">
        <f t="shared" si="104"/>
        <v>1.0002318259790082</v>
      </c>
      <c r="L254" s="679">
        <f t="shared" si="105"/>
        <v>2.1530499380917049E-2</v>
      </c>
      <c r="M254" s="678">
        <f t="shared" si="106"/>
        <v>1.0034168629907638</v>
      </c>
      <c r="N254" s="679">
        <f t="shared" si="107"/>
        <v>-8.2548920608717435E-2</v>
      </c>
      <c r="O254" s="677">
        <f t="shared" si="108"/>
        <v>293643.09420087776</v>
      </c>
      <c r="P254" s="680">
        <f t="shared" si="109"/>
        <v>1.5707929213002001</v>
      </c>
      <c r="Q254" s="689">
        <f t="shared" si="131"/>
        <v>39.360879641309623</v>
      </c>
      <c r="R254" s="690">
        <f t="shared" si="132"/>
        <v>1.5453876566303721</v>
      </c>
      <c r="S254" s="677">
        <f t="shared" si="110"/>
        <v>1.1611902257515665</v>
      </c>
      <c r="T254" s="680">
        <f t="shared" si="111"/>
        <v>0.53319922971656353</v>
      </c>
      <c r="U254" s="681">
        <f t="shared" si="123"/>
        <v>0.98036541157781543</v>
      </c>
      <c r="V254" s="682">
        <f t="shared" si="124"/>
        <v>-0.24251491684787024</v>
      </c>
      <c r="W254" s="683">
        <f t="shared" si="112"/>
        <v>-11.163210187586056</v>
      </c>
      <c r="X254" s="684">
        <f t="shared" si="113"/>
        <v>-138.69257510472571</v>
      </c>
      <c r="Y254" s="687">
        <f t="shared" si="114"/>
        <v>41.307424895274295</v>
      </c>
      <c r="AA254" s="170">
        <f t="shared" si="115"/>
        <v>15578.25</v>
      </c>
      <c r="AB254" s="170">
        <f t="shared" si="116"/>
        <v>242681873.0625</v>
      </c>
      <c r="AD254" s="686">
        <f t="shared" si="117"/>
        <v>26.352282747935035</v>
      </c>
      <c r="AE254" s="687">
        <f t="shared" si="118"/>
        <v>-32.005679981951324</v>
      </c>
      <c r="AG254" s="686">
        <f t="shared" si="119"/>
        <v>16.332329640137932</v>
      </c>
      <c r="AH254" s="687">
        <f t="shared" si="120"/>
        <v>-78.896732682321343</v>
      </c>
      <c r="AJ254" s="170">
        <f t="shared" si="121"/>
        <v>0</v>
      </c>
      <c r="AK254" s="170">
        <f t="shared" si="133"/>
        <v>0</v>
      </c>
      <c r="AM254" s="170" t="str">
        <f t="shared" si="125"/>
        <v>0.060556915509356+0.342704962033971i</v>
      </c>
      <c r="AN254" s="170" t="str">
        <f t="shared" si="126"/>
        <v>0.349794715989639i</v>
      </c>
      <c r="AO254" s="170" t="str">
        <f t="shared" si="127"/>
        <v>0.979731672230641-0.173121298696661i</v>
      </c>
      <c r="AP254" s="170" t="str">
        <f t="shared" si="128"/>
        <v>0.156573847415107-0.0571174936723285i</v>
      </c>
      <c r="AQ254" s="170" t="str">
        <f t="shared" si="129"/>
        <v>0.843426152584893+0.0571174936723285i</v>
      </c>
      <c r="AR254" s="170" t="str">
        <f t="shared" si="130"/>
        <v>0.983129596511497-0.0665783226376446i</v>
      </c>
    </row>
    <row r="255" spans="7:44">
      <c r="G255" s="688">
        <v>15668.5</v>
      </c>
      <c r="H255" s="676">
        <f t="shared" si="122"/>
        <v>15.6685</v>
      </c>
      <c r="I255" s="677">
        <f t="shared" si="102"/>
        <v>81.826503131318077</v>
      </c>
      <c r="J255" s="678">
        <f t="shared" si="103"/>
        <v>1.558575043280874</v>
      </c>
      <c r="K255" s="678">
        <f t="shared" si="104"/>
        <v>1.0002345195344007</v>
      </c>
      <c r="L255" s="679">
        <f t="shared" si="105"/>
        <v>2.1655193867877943E-2</v>
      </c>
      <c r="M255" s="678">
        <f t="shared" si="106"/>
        <v>1.0034564993399981</v>
      </c>
      <c r="N255" s="679">
        <f t="shared" si="107"/>
        <v>-8.3024965662635009E-2</v>
      </c>
      <c r="O255" s="677">
        <f t="shared" si="108"/>
        <v>295344.26662084291</v>
      </c>
      <c r="P255" s="680">
        <f t="shared" si="109"/>
        <v>1.5707929409157277</v>
      </c>
      <c r="Q255" s="689">
        <f t="shared" si="131"/>
        <v>39.588763588550904</v>
      </c>
      <c r="R255" s="690">
        <f t="shared" si="132"/>
        <v>1.5455339472229792</v>
      </c>
      <c r="S255" s="677">
        <f t="shared" si="110"/>
        <v>1.1629319823428148</v>
      </c>
      <c r="T255" s="680">
        <f t="shared" si="111"/>
        <v>0.53573136653850517</v>
      </c>
      <c r="U255" s="681">
        <f t="shared" si="123"/>
        <v>0.98014803430825059</v>
      </c>
      <c r="V255" s="682">
        <f t="shared" si="124"/>
        <v>-0.24389315915567772</v>
      </c>
      <c r="W255" s="683">
        <f t="shared" si="112"/>
        <v>-11.227988419402051</v>
      </c>
      <c r="X255" s="684">
        <f t="shared" si="113"/>
        <v>-138.93242976719503</v>
      </c>
      <c r="Y255" s="687">
        <f t="shared" si="114"/>
        <v>41.067570232804968</v>
      </c>
      <c r="AA255" s="170">
        <f t="shared" si="115"/>
        <v>15668.5</v>
      </c>
      <c r="AB255" s="170">
        <f t="shared" si="116"/>
        <v>245501892.25</v>
      </c>
      <c r="AD255" s="686">
        <f t="shared" si="117"/>
        <v>26.339231690228829</v>
      </c>
      <c r="AE255" s="687">
        <f t="shared" si="118"/>
        <v>-32.142380025502568</v>
      </c>
      <c r="AG255" s="686">
        <f t="shared" si="119"/>
        <v>16.284454752754279</v>
      </c>
      <c r="AH255" s="687">
        <f t="shared" si="120"/>
        <v>-78.841952366291522</v>
      </c>
      <c r="AJ255" s="170">
        <f t="shared" si="121"/>
        <v>0</v>
      </c>
      <c r="AK255" s="170">
        <f t="shared" si="133"/>
        <v>0</v>
      </c>
      <c r="AM255" s="170" t="str">
        <f t="shared" si="125"/>
        <v>0.061253327891828+0.344608017326691i</v>
      </c>
      <c r="AN255" s="170" t="str">
        <f t="shared" si="126"/>
        <v>0.351821193489876i</v>
      </c>
      <c r="AO255" s="170" t="str">
        <f t="shared" si="127"/>
        <v>0.979497607601082-0.174103575979116i</v>
      </c>
      <c r="AP255" s="170" t="str">
        <f t="shared" si="128"/>
        <v>0.156457778684695-0.0574346695544485i</v>
      </c>
      <c r="AQ255" s="170" t="str">
        <f t="shared" si="129"/>
        <v>0.843542221315305+0.0574346695544485i</v>
      </c>
      <c r="AR255" s="170" t="str">
        <f t="shared" si="130"/>
        <v>0.982945594682883-0.0669262948481509i</v>
      </c>
    </row>
    <row r="256" spans="7:44">
      <c r="G256" s="688">
        <v>15758.75</v>
      </c>
      <c r="H256" s="676">
        <f t="shared" si="122"/>
        <v>15.758749999999999</v>
      </c>
      <c r="I256" s="677">
        <f t="shared" si="102"/>
        <v>82.297750673968451</v>
      </c>
      <c r="J256" s="678">
        <f t="shared" si="103"/>
        <v>1.5586450273821273</v>
      </c>
      <c r="K256" s="678">
        <f t="shared" si="104"/>
        <v>1.0002372286420707</v>
      </c>
      <c r="L256" s="679">
        <f t="shared" si="105"/>
        <v>2.1779887681316317E-2</v>
      </c>
      <c r="M256" s="678">
        <f t="shared" si="106"/>
        <v>1.0034963630734397</v>
      </c>
      <c r="N256" s="679">
        <f t="shared" si="107"/>
        <v>-8.3500973002789594E-2</v>
      </c>
      <c r="O256" s="677">
        <f t="shared" si="108"/>
        <v>297045.4390408083</v>
      </c>
      <c r="P256" s="680">
        <f t="shared" si="109"/>
        <v>1.5707929603065802</v>
      </c>
      <c r="Q256" s="689">
        <f t="shared" si="131"/>
        <v>39.816648373330779</v>
      </c>
      <c r="R256" s="690">
        <f t="shared" si="132"/>
        <v>1.5456785632728738</v>
      </c>
      <c r="S256" s="677">
        <f t="shared" si="110"/>
        <v>1.1646811729950945</v>
      </c>
      <c r="T256" s="680">
        <f t="shared" si="111"/>
        <v>0.53825591366545467</v>
      </c>
      <c r="U256" s="681">
        <f t="shared" si="123"/>
        <v>0.97992953900493929</v>
      </c>
      <c r="V256" s="682">
        <f t="shared" si="124"/>
        <v>-0.24527095274079383</v>
      </c>
      <c r="W256" s="683">
        <f t="shared" si="112"/>
        <v>-11.292522255736069</v>
      </c>
      <c r="X256" s="684">
        <f t="shared" si="113"/>
        <v>-139.17187121819882</v>
      </c>
      <c r="Y256" s="687">
        <f t="shared" si="114"/>
        <v>40.828128781801183</v>
      </c>
      <c r="AA256" s="170">
        <f t="shared" si="115"/>
        <v>15758.75</v>
      </c>
      <c r="AB256" s="170">
        <f t="shared" si="116"/>
        <v>248338201.5625</v>
      </c>
      <c r="AD256" s="686">
        <f t="shared" si="117"/>
        <v>26.326145226587599</v>
      </c>
      <c r="AE256" s="687">
        <f t="shared" si="118"/>
        <v>-32.27874114291965</v>
      </c>
      <c r="AG256" s="686">
        <f t="shared" si="119"/>
        <v>16.23688034126404</v>
      </c>
      <c r="AH256" s="687">
        <f t="shared" si="120"/>
        <v>-78.787149184763081</v>
      </c>
      <c r="AJ256" s="170">
        <f t="shared" si="121"/>
        <v>0</v>
      </c>
      <c r="AK256" s="170">
        <f t="shared" si="133"/>
        <v>0</v>
      </c>
      <c r="AM256" s="170" t="str">
        <f t="shared" si="125"/>
        <v>0.061953595340447+0.346509657448801i</v>
      </c>
      <c r="AN256" s="170" t="str">
        <f t="shared" si="126"/>
        <v>0.353847670990113i</v>
      </c>
      <c r="AO256" s="170" t="str">
        <f t="shared" si="127"/>
        <v>0.979262224559005-0.175085497008056i</v>
      </c>
      <c r="AP256" s="170" t="str">
        <f t="shared" si="128"/>
        <v>0.156341067443259-0.0577516095748002i</v>
      </c>
      <c r="AQ256" s="170" t="str">
        <f t="shared" si="129"/>
        <v>0.843658932556741+0.0577516095748002i</v>
      </c>
      <c r="AR256" s="170" t="str">
        <f t="shared" si="130"/>
        <v>0.982760694748955-0.0672736454962905i</v>
      </c>
    </row>
    <row r="257" spans="7:44">
      <c r="G257" s="688">
        <v>15849</v>
      </c>
      <c r="H257" s="676">
        <f t="shared" si="122"/>
        <v>15.849</v>
      </c>
      <c r="I257" s="677">
        <f t="shared" si="102"/>
        <v>82.768998615104806</v>
      </c>
      <c r="J257" s="678">
        <f t="shared" si="103"/>
        <v>1.5587142145702781</v>
      </c>
      <c r="K257" s="678">
        <f t="shared" si="104"/>
        <v>1.0002399533018922</v>
      </c>
      <c r="L257" s="679">
        <f t="shared" si="105"/>
        <v>2.1904580817360037E-2</v>
      </c>
      <c r="M257" s="678">
        <f t="shared" si="106"/>
        <v>1.0035364541639913</v>
      </c>
      <c r="N257" s="679">
        <f t="shared" si="107"/>
        <v>-8.3976942417978123E-2</v>
      </c>
      <c r="O257" s="677">
        <f t="shared" si="108"/>
        <v>298746.61146077368</v>
      </c>
      <c r="P257" s="680">
        <f t="shared" si="109"/>
        <v>1.5707929794765954</v>
      </c>
      <c r="Q257" s="689">
        <f t="shared" si="131"/>
        <v>40.044533981350511</v>
      </c>
      <c r="R257" s="690">
        <f t="shared" si="132"/>
        <v>1.5458215333624397</v>
      </c>
      <c r="S257" s="677">
        <f t="shared" si="110"/>
        <v>1.1664377642640413</v>
      </c>
      <c r="T257" s="680">
        <f t="shared" si="111"/>
        <v>0.54077287313478017</v>
      </c>
      <c r="U257" s="681">
        <f t="shared" si="123"/>
        <v>0.97970992789754063</v>
      </c>
      <c r="V257" s="682">
        <f t="shared" si="124"/>
        <v>-0.24664829542155095</v>
      </c>
      <c r="W257" s="683">
        <f t="shared" si="112"/>
        <v>-11.356814544844351</v>
      </c>
      <c r="X257" s="684">
        <f t="shared" si="113"/>
        <v>-139.41089859356808</v>
      </c>
      <c r="Y257" s="687">
        <f t="shared" si="114"/>
        <v>40.589101406431922</v>
      </c>
      <c r="AA257" s="170">
        <f t="shared" si="115"/>
        <v>15849</v>
      </c>
      <c r="AB257" s="170">
        <f t="shared" si="116"/>
        <v>251190801</v>
      </c>
      <c r="AD257" s="686">
        <f t="shared" si="117"/>
        <v>26.313023784727342</v>
      </c>
      <c r="AE257" s="687">
        <f t="shared" si="118"/>
        <v>-32.414761813505145</v>
      </c>
      <c r="AG257" s="686">
        <f t="shared" si="119"/>
        <v>16.189603103799573</v>
      </c>
      <c r="AH257" s="687">
        <f t="shared" si="120"/>
        <v>-78.732324044265283</v>
      </c>
      <c r="AJ257" s="170">
        <f t="shared" si="121"/>
        <v>0</v>
      </c>
      <c r="AK257" s="170">
        <f t="shared" si="133"/>
        <v>0</v>
      </c>
      <c r="AM257" s="170" t="str">
        <f t="shared" si="125"/>
        <v>0.062657714979486+0.348409874591007i</v>
      </c>
      <c r="AN257" s="170" t="str">
        <f t="shared" si="126"/>
        <v>0.35587414849035i</v>
      </c>
      <c r="AO257" s="170" t="str">
        <f t="shared" si="127"/>
        <v>0.979025523683001-0.176067059788652i</v>
      </c>
      <c r="AP257" s="170" t="str">
        <f t="shared" si="128"/>
        <v>0.156223714170086-0.0580683124318345i</v>
      </c>
      <c r="AQ257" s="170" t="str">
        <f t="shared" si="129"/>
        <v>0.843776285829914+0.0580683124318345i</v>
      </c>
      <c r="AR257" s="170" t="str">
        <f t="shared" si="130"/>
        <v>0.982574899343936-0.0676203718935558i</v>
      </c>
    </row>
    <row r="258" spans="7:44">
      <c r="G258" s="688">
        <v>15941.25</v>
      </c>
      <c r="H258" s="676">
        <f t="shared" si="122"/>
        <v>15.94125</v>
      </c>
      <c r="I258" s="677">
        <f t="shared" si="102"/>
        <v>83.250690128696391</v>
      </c>
      <c r="J258" s="678">
        <f t="shared" si="103"/>
        <v>1.5587841254823431</v>
      </c>
      <c r="K258" s="678">
        <f t="shared" si="104"/>
        <v>1.0002427544147932</v>
      </c>
      <c r="L258" s="679">
        <f t="shared" si="105"/>
        <v>2.2032036532087493E-2</v>
      </c>
      <c r="M258" s="678">
        <f t="shared" si="106"/>
        <v>1.0035776686419082</v>
      </c>
      <c r="N258" s="679">
        <f t="shared" si="107"/>
        <v>-8.4463420217118307E-2</v>
      </c>
      <c r="O258" s="677">
        <f t="shared" si="108"/>
        <v>300485.48299253901</v>
      </c>
      <c r="P258" s="680">
        <f t="shared" si="109"/>
        <v>1.5707929988471034</v>
      </c>
      <c r="Q258" s="689">
        <f t="shared" si="131"/>
        <v>40.277470522206173</v>
      </c>
      <c r="R258" s="690">
        <f t="shared" si="132"/>
        <v>1.5459659997671888</v>
      </c>
      <c r="S258" s="677">
        <f t="shared" si="110"/>
        <v>1.168240896444358</v>
      </c>
      <c r="T258" s="680">
        <f t="shared" si="111"/>
        <v>0.54333777086810997</v>
      </c>
      <c r="U258" s="681">
        <f t="shared" si="123"/>
        <v>0.97948429922399616</v>
      </c>
      <c r="V258" s="682">
        <f t="shared" si="124"/>
        <v>-0.24805569266356478</v>
      </c>
      <c r="W258" s="683">
        <f t="shared" si="112"/>
        <v>-11.422284866592641</v>
      </c>
      <c r="X258" s="684">
        <f t="shared" si="113"/>
        <v>-139.6547941758819</v>
      </c>
      <c r="Y258" s="687">
        <f t="shared" si="114"/>
        <v>40.345205824118096</v>
      </c>
      <c r="AA258" s="170">
        <f t="shared" si="115"/>
        <v>15941.25</v>
      </c>
      <c r="AB258" s="170">
        <f t="shared" si="116"/>
        <v>254123451.5625</v>
      </c>
      <c r="AD258" s="686">
        <f t="shared" si="117"/>
        <v>26.299575856918146</v>
      </c>
      <c r="AE258" s="687">
        <f t="shared" si="118"/>
        <v>-32.5534434232409</v>
      </c>
      <c r="AG258" s="686">
        <f t="shared" si="119"/>
        <v>16.141581917579707</v>
      </c>
      <c r="AH258" s="687">
        <f t="shared" si="120"/>
        <v>-78.676262172527558</v>
      </c>
      <c r="AJ258" s="170">
        <f t="shared" si="121"/>
        <v>0</v>
      </c>
      <c r="AK258" s="170">
        <f t="shared" si="133"/>
        <v>0</v>
      </c>
      <c r="AM258" s="170" t="str">
        <f t="shared" si="125"/>
        <v>0.063381416554268+0.3503507230535i</v>
      </c>
      <c r="AN258" s="170" t="str">
        <f t="shared" si="126"/>
        <v>0.357945534079234i</v>
      </c>
      <c r="AO258" s="170" t="str">
        <f t="shared" si="127"/>
        <v>0.978782216000346-0.177070002332361i</v>
      </c>
      <c r="AP258" s="170" t="str">
        <f t="shared" si="128"/>
        <v>0.156103097240955-0.0583917871755833i</v>
      </c>
      <c r="AQ258" s="170" t="str">
        <f t="shared" si="129"/>
        <v>0.843896902759045+0.0583917871755833i</v>
      </c>
      <c r="AR258" s="170" t="str">
        <f t="shared" si="130"/>
        <v>0.982384063884254-0.0679741340387318i</v>
      </c>
    </row>
    <row r="259" spans="7:44">
      <c r="G259" s="688">
        <v>16033.5</v>
      </c>
      <c r="H259" s="676">
        <f t="shared" si="122"/>
        <v>16.0335</v>
      </c>
      <c r="I259" s="677">
        <f t="shared" si="102"/>
        <v>83.732382044497214</v>
      </c>
      <c r="J259" s="678">
        <f t="shared" si="103"/>
        <v>1.5588532320339841</v>
      </c>
      <c r="K259" s="678">
        <f t="shared" si="104"/>
        <v>1.000245571776506</v>
      </c>
      <c r="L259" s="679">
        <f t="shared" si="105"/>
        <v>2.2159491530884059E-2</v>
      </c>
      <c r="M259" s="678">
        <f t="shared" si="106"/>
        <v>1.0036191206076279</v>
      </c>
      <c r="N259" s="679">
        <f t="shared" si="107"/>
        <v>-8.4949857945885263E-2</v>
      </c>
      <c r="O259" s="677">
        <f t="shared" si="108"/>
        <v>302224.35452430445</v>
      </c>
      <c r="P259" s="680">
        <f t="shared" si="109"/>
        <v>1.570793017994712</v>
      </c>
      <c r="Q259" s="689">
        <f t="shared" si="131"/>
        <v>40.510407894007344</v>
      </c>
      <c r="R259" s="690">
        <f t="shared" si="132"/>
        <v>1.5461088047932161</v>
      </c>
      <c r="S259" s="677">
        <f t="shared" si="110"/>
        <v>1.1700516904142491</v>
      </c>
      <c r="T259" s="680">
        <f t="shared" si="111"/>
        <v>0.54589474641193325</v>
      </c>
      <c r="U259" s="681">
        <f t="shared" si="123"/>
        <v>0.97925750948316359</v>
      </c>
      <c r="V259" s="682">
        <f t="shared" si="124"/>
        <v>-0.24946261420628857</v>
      </c>
      <c r="W259" s="683">
        <f t="shared" si="112"/>
        <v>-11.487508662503567</v>
      </c>
      <c r="X259" s="684">
        <f t="shared" si="113"/>
        <v>-139.89825543052709</v>
      </c>
      <c r="Y259" s="687">
        <f t="shared" si="114"/>
        <v>40.101744569472913</v>
      </c>
      <c r="AA259" s="170">
        <f t="shared" si="115"/>
        <v>16033.5</v>
      </c>
      <c r="AB259" s="170">
        <f t="shared" si="116"/>
        <v>257073122.25</v>
      </c>
      <c r="AD259" s="686">
        <f t="shared" si="117"/>
        <v>26.286092281389667</v>
      </c>
      <c r="AE259" s="687">
        <f t="shared" si="118"/>
        <v>-32.691766302170727</v>
      </c>
      <c r="AG259" s="686">
        <f t="shared" si="119"/>
        <v>16.093864423745416</v>
      </c>
      <c r="AH259" s="687">
        <f t="shared" si="120"/>
        <v>-78.620179215050484</v>
      </c>
      <c r="AJ259" s="170">
        <f t="shared" si="121"/>
        <v>0</v>
      </c>
      <c r="AK259" s="170">
        <f t="shared" si="133"/>
        <v>0</v>
      </c>
      <c r="AM259" s="170" t="str">
        <f t="shared" si="125"/>
        <v>0.064109136819141+0.352290068288316i</v>
      </c>
      <c r="AN259" s="170" t="str">
        <f t="shared" si="126"/>
        <v>0.360016919668119i</v>
      </c>
      <c r="AO259" s="170" t="str">
        <f t="shared" si="127"/>
        <v>0.97853753266117-0.17807256636227i</v>
      </c>
      <c r="AP259" s="170" t="str">
        <f t="shared" si="128"/>
        <v>0.155981810530143-0.058715011381386i</v>
      </c>
      <c r="AQ259" s="170" t="str">
        <f t="shared" si="129"/>
        <v>0.844018189469857+0.058715011381386i</v>
      </c>
      <c r="AR259" s="170" t="str">
        <f t="shared" si="130"/>
        <v>0.982192298420648-0.0683272383225546i</v>
      </c>
    </row>
    <row r="260" spans="7:44">
      <c r="G260" s="688">
        <v>16125.75</v>
      </c>
      <c r="H260" s="676">
        <f t="shared" si="122"/>
        <v>16.12575</v>
      </c>
      <c r="I260" s="677">
        <f t="shared" si="102"/>
        <v>84.214074355605533</v>
      </c>
      <c r="J260" s="678">
        <f t="shared" si="103"/>
        <v>1.5589215480270109</v>
      </c>
      <c r="K260" s="678">
        <f t="shared" si="104"/>
        <v>1.0002484053868932</v>
      </c>
      <c r="L260" s="679">
        <f t="shared" si="105"/>
        <v>2.228694580961485E-2</v>
      </c>
      <c r="M260" s="678">
        <f t="shared" si="106"/>
        <v>1.003660810031725</v>
      </c>
      <c r="N260" s="679">
        <f t="shared" si="107"/>
        <v>-8.5436255379054735E-2</v>
      </c>
      <c r="O260" s="677">
        <f t="shared" si="108"/>
        <v>303963.22605606995</v>
      </c>
      <c r="P260" s="680">
        <f t="shared" si="109"/>
        <v>1.5707930369232468</v>
      </c>
      <c r="Q260" s="689">
        <f t="shared" si="131"/>
        <v>40.743346082502029</v>
      </c>
      <c r="R260" s="690">
        <f t="shared" si="132"/>
        <v>1.54624997692999</v>
      </c>
      <c r="S260" s="677">
        <f t="shared" si="110"/>
        <v>1.1718701106563261</v>
      </c>
      <c r="T260" s="680">
        <f t="shared" si="111"/>
        <v>0.54844380313264696</v>
      </c>
      <c r="U260" s="681">
        <f t="shared" si="123"/>
        <v>0.97902956108438277</v>
      </c>
      <c r="V260" s="682">
        <f t="shared" si="124"/>
        <v>-0.25086905774065316</v>
      </c>
      <c r="W260" s="683">
        <f t="shared" si="112"/>
        <v>-11.552488802872457</v>
      </c>
      <c r="X260" s="684">
        <f t="shared" si="113"/>
        <v>-140.14128156409501</v>
      </c>
      <c r="Y260" s="687">
        <f t="shared" si="114"/>
        <v>39.85871843590499</v>
      </c>
      <c r="AA260" s="170">
        <f t="shared" si="115"/>
        <v>16125.75</v>
      </c>
      <c r="AB260" s="170">
        <f t="shared" si="116"/>
        <v>260039813.0625</v>
      </c>
      <c r="AD260" s="686">
        <f t="shared" si="117"/>
        <v>26.272573509073457</v>
      </c>
      <c r="AE260" s="687">
        <f t="shared" si="118"/>
        <v>-32.82972901106789</v>
      </c>
      <c r="AG260" s="686">
        <f t="shared" si="119"/>
        <v>16.046447273057364</v>
      </c>
      <c r="AH260" s="687">
        <f t="shared" si="120"/>
        <v>-78.564076082251958</v>
      </c>
      <c r="AJ260" s="170">
        <f t="shared" si="121"/>
        <v>0</v>
      </c>
      <c r="AK260" s="170">
        <f t="shared" si="133"/>
        <v>0</v>
      </c>
      <c r="AM260" s="170" t="str">
        <f t="shared" si="125"/>
        <v>0.064840872651721+0.354227901974427i</v>
      </c>
      <c r="AN260" s="170" t="str">
        <f t="shared" si="126"/>
        <v>0.362088305257004i</v>
      </c>
      <c r="AO260" s="170" t="str">
        <f t="shared" si="127"/>
        <v>0.978291474293825-0.179074749751164i</v>
      </c>
      <c r="AP260" s="170" t="str">
        <f t="shared" si="128"/>
        <v>0.155859854558046-0.0590379836624045i</v>
      </c>
      <c r="AQ260" s="170" t="str">
        <f t="shared" si="129"/>
        <v>0.844140145441954+0.0590379836624045i</v>
      </c>
      <c r="AR260" s="170" t="str">
        <f t="shared" si="130"/>
        <v>0.981999605796457-0.0686796819183924i</v>
      </c>
    </row>
    <row r="261" spans="7:44">
      <c r="G261" s="688">
        <v>16218</v>
      </c>
      <c r="H261" s="676">
        <f t="shared" si="122"/>
        <v>16.218</v>
      </c>
      <c r="I261" s="677">
        <f t="shared" si="102"/>
        <v>84.695767055276633</v>
      </c>
      <c r="J261" s="678">
        <f t="shared" si="103"/>
        <v>1.5589890869492808</v>
      </c>
      <c r="K261" s="678">
        <f t="shared" si="104"/>
        <v>1.0002512552458163</v>
      </c>
      <c r="L261" s="679">
        <f t="shared" si="105"/>
        <v>2.2414399364145115E-2</v>
      </c>
      <c r="M261" s="678">
        <f t="shared" si="106"/>
        <v>1.0037027368846108</v>
      </c>
      <c r="N261" s="679">
        <f t="shared" si="107"/>
        <v>-8.5922612291516015E-2</v>
      </c>
      <c r="O261" s="677">
        <f t="shared" si="108"/>
        <v>305702.09758783563</v>
      </c>
      <c r="P261" s="680">
        <f t="shared" si="109"/>
        <v>1.5707930556364456</v>
      </c>
      <c r="Q261" s="689">
        <f t="shared" si="131"/>
        <v>40.976285073762213</v>
      </c>
      <c r="R261" s="690">
        <f t="shared" si="132"/>
        <v>1.546389544019424</v>
      </c>
      <c r="S261" s="677">
        <f t="shared" si="110"/>
        <v>1.1736961217241886</v>
      </c>
      <c r="T261" s="680">
        <f t="shared" si="111"/>
        <v>0.55098494478745963</v>
      </c>
      <c r="U261" s="681">
        <f t="shared" si="123"/>
        <v>0.97880045644635316</v>
      </c>
      <c r="V261" s="682">
        <f t="shared" si="124"/>
        <v>-0.25227502096467253</v>
      </c>
      <c r="W261" s="683">
        <f t="shared" si="112"/>
        <v>-11.617228102941139</v>
      </c>
      <c r="X261" s="684">
        <f t="shared" si="113"/>
        <v>-140.38387182509004</v>
      </c>
      <c r="Y261" s="687">
        <f t="shared" si="114"/>
        <v>39.61612817490996</v>
      </c>
      <c r="AA261" s="170">
        <f t="shared" si="115"/>
        <v>16218</v>
      </c>
      <c r="AB261" s="170">
        <f t="shared" si="116"/>
        <v>263023524</v>
      </c>
      <c r="AD261" s="686">
        <f t="shared" si="117"/>
        <v>26.259019988862132</v>
      </c>
      <c r="AE261" s="687">
        <f t="shared" si="118"/>
        <v>-32.967330170194607</v>
      </c>
      <c r="AG261" s="686">
        <f t="shared" si="119"/>
        <v>15.999327173249361</v>
      </c>
      <c r="AH261" s="687">
        <f t="shared" si="120"/>
        <v>-78.507953666162365</v>
      </c>
      <c r="AJ261" s="170">
        <f t="shared" si="121"/>
        <v>0</v>
      </c>
      <c r="AK261" s="170">
        <f t="shared" si="133"/>
        <v>0</v>
      </c>
      <c r="AM261" s="170" t="str">
        <f t="shared" si="125"/>
        <v>0.065576620912395+0.356164215797294i</v>
      </c>
      <c r="AN261" s="170" t="str">
        <f t="shared" si="126"/>
        <v>0.364159690845889i</v>
      </c>
      <c r="AO261" s="170" t="str">
        <f t="shared" si="127"/>
        <v>0.97804404153018-0.180076550372915i</v>
      </c>
      <c r="AP261" s="170" t="str">
        <f t="shared" si="128"/>
        <v>0.155737229847934-0.0593607026328823i</v>
      </c>
      <c r="AQ261" s="170" t="str">
        <f t="shared" si="129"/>
        <v>0.844262770152066+0.0593607026328823i</v>
      </c>
      <c r="AR261" s="170" t="str">
        <f t="shared" si="130"/>
        <v>0.981805988864974-0.0690314620147224i</v>
      </c>
    </row>
    <row r="262" spans="7:44">
      <c r="G262" s="688">
        <v>16312.5</v>
      </c>
      <c r="H262" s="676">
        <f t="shared" si="122"/>
        <v>16.3125</v>
      </c>
      <c r="I262" s="677">
        <f t="shared" si="102"/>
        <v>85.189208753382871</v>
      </c>
      <c r="J262" s="678">
        <f t="shared" si="103"/>
        <v>1.5590574812092601</v>
      </c>
      <c r="K262" s="678">
        <f t="shared" si="104"/>
        <v>1.0002541914611764</v>
      </c>
      <c r="L262" s="679">
        <f t="shared" si="105"/>
        <v>2.2544960786723574E-2</v>
      </c>
      <c r="M262" s="678">
        <f t="shared" si="106"/>
        <v>1.0037459324983917</v>
      </c>
      <c r="N262" s="679">
        <f t="shared" si="107"/>
        <v>-8.6420789317279201E-2</v>
      </c>
      <c r="O262" s="677">
        <f t="shared" si="108"/>
        <v>307483.38062037609</v>
      </c>
      <c r="P262" s="680">
        <f t="shared" si="109"/>
        <v>1.570793074586605</v>
      </c>
      <c r="Q262" s="689">
        <f t="shared" si="131"/>
        <v>41.214906321979377</v>
      </c>
      <c r="R262" s="690">
        <f t="shared" si="132"/>
        <v>1.5465308793800252</v>
      </c>
      <c r="S262" s="677">
        <f t="shared" si="110"/>
        <v>1.1755745034680471</v>
      </c>
      <c r="T262" s="680">
        <f t="shared" si="111"/>
        <v>0.5535798628442169</v>
      </c>
      <c r="U262" s="681">
        <f t="shared" si="123"/>
        <v>0.97856456754376364</v>
      </c>
      <c r="V262" s="682">
        <f t="shared" si="124"/>
        <v>-0.25371477555028621</v>
      </c>
      <c r="W262" s="683">
        <f t="shared" si="112"/>
        <v>-11.683299573471045</v>
      </c>
      <c r="X262" s="684">
        <f t="shared" si="113"/>
        <v>-140.63192623058936</v>
      </c>
      <c r="Y262" s="687">
        <f t="shared" si="114"/>
        <v>39.368073769410643</v>
      </c>
      <c r="AA262" s="170">
        <f t="shared" si="115"/>
        <v>16312.5</v>
      </c>
      <c r="AB262" s="170">
        <f t="shared" si="116"/>
        <v>266097656.25</v>
      </c>
      <c r="AD262" s="686">
        <f t="shared" si="117"/>
        <v>26.245100332547963</v>
      </c>
      <c r="AE262" s="687">
        <f t="shared" si="118"/>
        <v>-33.107911189295471</v>
      </c>
      <c r="AG262" s="686">
        <f t="shared" si="119"/>
        <v>15.951362426769165</v>
      </c>
      <c r="AH262" s="687">
        <f t="shared" si="120"/>
        <v>-78.450443329791753</v>
      </c>
      <c r="AJ262" s="170">
        <f t="shared" si="121"/>
        <v>0</v>
      </c>
      <c r="AK262" s="170">
        <f t="shared" si="133"/>
        <v>0</v>
      </c>
      <c r="AM262" s="170" t="str">
        <f t="shared" si="125"/>
        <v>0.066334471370323+0.358146172182066i</v>
      </c>
      <c r="AN262" s="170" t="str">
        <f t="shared" si="126"/>
        <v>0.366281598034502i</v>
      </c>
      <c r="AO262" s="170" t="str">
        <f t="shared" si="127"/>
        <v>0.977789149397372-0.181102386050185i</v>
      </c>
      <c r="AP262" s="170" t="str">
        <f t="shared" si="128"/>
        <v>0.15561092143828-0.059691028697011i</v>
      </c>
      <c r="AQ262" s="170" t="str">
        <f t="shared" si="129"/>
        <v>0.84438907856172+0.059691028697011i</v>
      </c>
      <c r="AR262" s="170" t="str">
        <f t="shared" si="130"/>
        <v>0.981606694163908-0.0693911312191766i</v>
      </c>
    </row>
    <row r="263" spans="7:44">
      <c r="G263" s="688">
        <v>16407</v>
      </c>
      <c r="H263" s="676">
        <f t="shared" si="122"/>
        <v>16.407</v>
      </c>
      <c r="I263" s="677">
        <f t="shared" si="102"/>
        <v>85.682650845395216</v>
      </c>
      <c r="J263" s="678">
        <f t="shared" si="103"/>
        <v>1.5591250877113216</v>
      </c>
      <c r="K263" s="678">
        <f t="shared" si="104"/>
        <v>1.0002571447270543</v>
      </c>
      <c r="L263" s="679">
        <f t="shared" si="105"/>
        <v>2.2675521440560654E-2</v>
      </c>
      <c r="M263" s="678">
        <f t="shared" si="106"/>
        <v>1.0037893772007125</v>
      </c>
      <c r="N263" s="679">
        <f t="shared" si="107"/>
        <v>-8.6918923343764332E-2</v>
      </c>
      <c r="O263" s="677">
        <f t="shared" si="108"/>
        <v>309264.66365291673</v>
      </c>
      <c r="P263" s="680">
        <f t="shared" si="109"/>
        <v>1.5707930933184684</v>
      </c>
      <c r="Q263" s="689">
        <f t="shared" si="131"/>
        <v>41.45352838401412</v>
      </c>
      <c r="R263" s="690">
        <f t="shared" si="132"/>
        <v>1.5466705875846662</v>
      </c>
      <c r="S263" s="677">
        <f t="shared" si="110"/>
        <v>1.177460775773002</v>
      </c>
      <c r="T263" s="680">
        <f t="shared" si="111"/>
        <v>0.55616648424193327</v>
      </c>
      <c r="U263" s="681">
        <f t="shared" si="123"/>
        <v>0.97832747048008306</v>
      </c>
      <c r="V263" s="682">
        <f t="shared" si="124"/>
        <v>-0.25515402124273368</v>
      </c>
      <c r="W263" s="683">
        <f t="shared" si="112"/>
        <v>-11.749124121258603</v>
      </c>
      <c r="X263" s="684">
        <f t="shared" si="113"/>
        <v>-140.8795217769366</v>
      </c>
      <c r="Y263" s="687">
        <f t="shared" si="114"/>
        <v>39.120478223063401</v>
      </c>
      <c r="AA263" s="170">
        <f t="shared" si="115"/>
        <v>16407</v>
      </c>
      <c r="AB263" s="170">
        <f t="shared" si="116"/>
        <v>269189649</v>
      </c>
      <c r="AD263" s="686">
        <f t="shared" si="117"/>
        <v>26.231145159558984</v>
      </c>
      <c r="AE263" s="687">
        <f t="shared" si="118"/>
        <v>-33.248110061510474</v>
      </c>
      <c r="AG263" s="686">
        <f t="shared" si="119"/>
        <v>15.903702581977761</v>
      </c>
      <c r="AH263" s="687">
        <f t="shared" si="120"/>
        <v>-78.392914596016283</v>
      </c>
      <c r="AJ263" s="170">
        <f t="shared" si="121"/>
        <v>0</v>
      </c>
      <c r="AK263" s="170">
        <f t="shared" si="133"/>
        <v>0</v>
      </c>
      <c r="AM263" s="170" t="str">
        <f t="shared" si="125"/>
        <v>0.06709652564649+0.360126516017843i</v>
      </c>
      <c r="AN263" s="170" t="str">
        <f t="shared" si="126"/>
        <v>0.368403505223116i</v>
      </c>
      <c r="AO263" s="170" t="str">
        <f t="shared" si="127"/>
        <v>0.977532816360528-0.182127815547939i</v>
      </c>
      <c r="AP263" s="170" t="str">
        <f t="shared" si="128"/>
        <v>0.155483912392252-0.0600210860029738i</v>
      </c>
      <c r="AQ263" s="170" t="str">
        <f t="shared" si="129"/>
        <v>0.844516087607748+0.0600210860029738i</v>
      </c>
      <c r="AR263" s="170" t="str">
        <f t="shared" si="130"/>
        <v>0.981406435610493-0.0697500982397022i</v>
      </c>
    </row>
    <row r="264" spans="7:44">
      <c r="G264" s="688">
        <v>16501.5</v>
      </c>
      <c r="H264" s="676">
        <f t="shared" si="122"/>
        <v>16.5015</v>
      </c>
      <c r="I264" s="677">
        <f t="shared" si="102"/>
        <v>86.176093324547153</v>
      </c>
      <c r="J264" s="678">
        <f t="shared" si="103"/>
        <v>1.5591919199868971</v>
      </c>
      <c r="K264" s="678">
        <f t="shared" si="104"/>
        <v>1.000260115043299</v>
      </c>
      <c r="L264" s="679">
        <f t="shared" si="105"/>
        <v>2.2806081321212097E-2</v>
      </c>
      <c r="M264" s="678">
        <f t="shared" si="106"/>
        <v>1.0038330709592327</v>
      </c>
      <c r="N264" s="679">
        <f t="shared" si="107"/>
        <v>-8.74170141293589E-2</v>
      </c>
      <c r="O264" s="677">
        <f t="shared" si="108"/>
        <v>311045.94668545749</v>
      </c>
      <c r="P264" s="680">
        <f t="shared" si="109"/>
        <v>1.5707931118357863</v>
      </c>
      <c r="Q264" s="689">
        <f t="shared" si="131"/>
        <v>41.692151245892951</v>
      </c>
      <c r="R264" s="690">
        <f t="shared" si="132"/>
        <v>1.5468086965666736</v>
      </c>
      <c r="S264" s="677">
        <f t="shared" si="110"/>
        <v>1.1793549007783208</v>
      </c>
      <c r="T264" s="680">
        <f t="shared" si="111"/>
        <v>0.55874481426080236</v>
      </c>
      <c r="U264" s="681">
        <f t="shared" si="123"/>
        <v>0.97808916788539391</v>
      </c>
      <c r="V264" s="682">
        <f t="shared" si="124"/>
        <v>-0.25659275559072969</v>
      </c>
      <c r="W264" s="683">
        <f t="shared" si="112"/>
        <v>-11.814704601465365</v>
      </c>
      <c r="X264" s="684">
        <f t="shared" si="113"/>
        <v>-141.12665778767462</v>
      </c>
      <c r="Y264" s="687">
        <f t="shared" si="114"/>
        <v>38.873342212325383</v>
      </c>
      <c r="AA264" s="170">
        <f t="shared" si="115"/>
        <v>16501.5</v>
      </c>
      <c r="AB264" s="170">
        <f t="shared" si="116"/>
        <v>272299502.25</v>
      </c>
      <c r="AD264" s="686">
        <f t="shared" si="117"/>
        <v>26.217154945584994</v>
      </c>
      <c r="AE264" s="687">
        <f t="shared" si="118"/>
        <v>-33.387925489125621</v>
      </c>
      <c r="AG264" s="686">
        <f t="shared" si="119"/>
        <v>15.856344277398923</v>
      </c>
      <c r="AH264" s="687">
        <f t="shared" si="120"/>
        <v>-78.335368366989442</v>
      </c>
      <c r="AJ264" s="170">
        <f t="shared" si="121"/>
        <v>0</v>
      </c>
      <c r="AK264" s="170">
        <f t="shared" si="133"/>
        <v>0</v>
      </c>
      <c r="AM264" s="170" t="str">
        <f t="shared" si="125"/>
        <v>0.067862780309754+0.362105238388149i</v>
      </c>
      <c r="AN264" s="170" t="str">
        <f t="shared" si="126"/>
        <v>0.37052541241173i</v>
      </c>
      <c r="AO264" s="170" t="str">
        <f t="shared" si="127"/>
        <v>0.977275043110338-0.183152836584241i</v>
      </c>
      <c r="AP264" s="170" t="str">
        <f t="shared" si="128"/>
        <v>0.155356203281708-0.0603508730646915i</v>
      </c>
      <c r="AQ264" s="170" t="str">
        <f t="shared" si="129"/>
        <v>0.844643796718292+0.0603508730646915i</v>
      </c>
      <c r="AR264" s="170" t="str">
        <f t="shared" si="130"/>
        <v>0.981205216303779-0.0701083601035581i</v>
      </c>
    </row>
    <row r="265" spans="7:44">
      <c r="G265" s="688">
        <v>16596</v>
      </c>
      <c r="H265" s="676">
        <f t="shared" si="122"/>
        <v>16.596</v>
      </c>
      <c r="I265" s="677">
        <f t="shared" si="102"/>
        <v>86.669536184226317</v>
      </c>
      <c r="J265" s="678">
        <f t="shared" si="103"/>
        <v>1.5592579912592885</v>
      </c>
      <c r="K265" s="678">
        <f t="shared" si="104"/>
        <v>1.0002631024097588</v>
      </c>
      <c r="L265" s="679">
        <f t="shared" si="105"/>
        <v>2.2936640424233785E-2</v>
      </c>
      <c r="M265" s="678">
        <f t="shared" si="106"/>
        <v>1.0038770137414319</v>
      </c>
      <c r="N265" s="679">
        <f t="shared" si="107"/>
        <v>-8.7915061432578226E-2</v>
      </c>
      <c r="O265" s="677">
        <f t="shared" si="108"/>
        <v>312827.22971799836</v>
      </c>
      <c r="P265" s="680">
        <f t="shared" si="109"/>
        <v>1.5707931301422238</v>
      </c>
      <c r="Q265" s="689">
        <f t="shared" si="131"/>
        <v>41.930774893960432</v>
      </c>
      <c r="R265" s="690">
        <f t="shared" si="132"/>
        <v>1.5469452336237586</v>
      </c>
      <c r="S265" s="677">
        <f t="shared" si="110"/>
        <v>1.1812568407089949</v>
      </c>
      <c r="T265" s="680">
        <f t="shared" si="111"/>
        <v>0.56131485858817332</v>
      </c>
      <c r="U265" s="681">
        <f t="shared" si="123"/>
        <v>0.97784966239975635</v>
      </c>
      <c r="V265" s="682">
        <f t="shared" si="124"/>
        <v>-0.25803097615089682</v>
      </c>
      <c r="W265" s="683">
        <f t="shared" si="112"/>
        <v>-11.880043814284736</v>
      </c>
      <c r="X265" s="684">
        <f t="shared" si="113"/>
        <v>-141.3733336288937</v>
      </c>
      <c r="Y265" s="687">
        <f t="shared" si="114"/>
        <v>38.626666371106296</v>
      </c>
      <c r="AA265" s="170">
        <f t="shared" si="115"/>
        <v>16596</v>
      </c>
      <c r="AB265" s="170">
        <f t="shared" si="116"/>
        <v>275427216</v>
      </c>
      <c r="AD265" s="686">
        <f t="shared" si="117"/>
        <v>26.203130163939171</v>
      </c>
      <c r="AE265" s="687">
        <f t="shared" si="118"/>
        <v>-33.527356234168337</v>
      </c>
      <c r="AG265" s="686">
        <f t="shared" si="119"/>
        <v>15.809284208773215</v>
      </c>
      <c r="AH265" s="687">
        <f t="shared" si="120"/>
        <v>-78.277805526764425</v>
      </c>
      <c r="AJ265" s="170">
        <f t="shared" si="121"/>
        <v>0</v>
      </c>
      <c r="AK265" s="170">
        <f t="shared" si="133"/>
        <v>0</v>
      </c>
      <c r="AM265" s="170" t="str">
        <f t="shared" si="125"/>
        <v>0.068633231910062+0.364082330383808i</v>
      </c>
      <c r="AN265" s="170" t="str">
        <f t="shared" si="126"/>
        <v>0.372647319600343i</v>
      </c>
      <c r="AO265" s="170" t="str">
        <f t="shared" si="127"/>
        <v>0.977015830341351-0.184177446878378i</v>
      </c>
      <c r="AP265" s="170" t="str">
        <f t="shared" si="128"/>
        <v>0.155227794681656-0.0606803883973013i</v>
      </c>
      <c r="AQ265" s="170" t="str">
        <f t="shared" si="129"/>
        <v>0.844772205318344+0.0606803883973013i</v>
      </c>
      <c r="AR265" s="170" t="str">
        <f t="shared" si="130"/>
        <v>0.981003039353341-0.0704659138548023i</v>
      </c>
    </row>
    <row r="266" spans="7:44">
      <c r="G266" s="688">
        <v>16692.5</v>
      </c>
      <c r="H266" s="676">
        <f t="shared" si="122"/>
        <v>16.692499999999999</v>
      </c>
      <c r="I266" s="677">
        <f t="shared" si="102"/>
        <v>87.173422665008118</v>
      </c>
      <c r="J266" s="678">
        <f t="shared" si="103"/>
        <v>1.5593246889625869</v>
      </c>
      <c r="K266" s="678">
        <f t="shared" si="104"/>
        <v>1.0002661705960567</v>
      </c>
      <c r="L266" s="679">
        <f t="shared" si="105"/>
        <v>2.3069961875766043E-2</v>
      </c>
      <c r="M266" s="678">
        <f t="shared" si="106"/>
        <v>1.0039221434805821</v>
      </c>
      <c r="N266" s="679">
        <f t="shared" si="107"/>
        <v>-8.8423604296128375E-2</v>
      </c>
      <c r="O266" s="677">
        <f t="shared" si="108"/>
        <v>314646.21186233911</v>
      </c>
      <c r="P266" s="680">
        <f t="shared" si="109"/>
        <v>1.5707931486221989</v>
      </c>
      <c r="Q266" s="689">
        <f t="shared" si="131"/>
        <v>42.174449575420354</v>
      </c>
      <c r="R266" s="690">
        <f t="shared" si="132"/>
        <v>1.5470830658986123</v>
      </c>
      <c r="S266" s="677">
        <f t="shared" si="110"/>
        <v>1.1832070589388304</v>
      </c>
      <c r="T266" s="680">
        <f t="shared" si="111"/>
        <v>0.5639307511329521</v>
      </c>
      <c r="U266" s="681">
        <f t="shared" si="123"/>
        <v>0.97760384942164313</v>
      </c>
      <c r="V266" s="682">
        <f t="shared" si="124"/>
        <v>-0.25949910249683406</v>
      </c>
      <c r="W266" s="683">
        <f t="shared" si="112"/>
        <v>-11.946519740953024</v>
      </c>
      <c r="X266" s="684">
        <f t="shared" si="113"/>
        <v>-141.62475462645926</v>
      </c>
      <c r="Y266" s="687">
        <f t="shared" si="114"/>
        <v>38.375245373540736</v>
      </c>
      <c r="AA266" s="170">
        <f t="shared" si="115"/>
        <v>16692.5</v>
      </c>
      <c r="AB266" s="170">
        <f t="shared" si="116"/>
        <v>278639556.25</v>
      </c>
      <c r="AD266" s="686">
        <f t="shared" si="117"/>
        <v>26.188773378094208</v>
      </c>
      <c r="AE266" s="687">
        <f t="shared" si="118"/>
        <v>-33.66933968800091</v>
      </c>
      <c r="AG266" s="686">
        <f t="shared" si="119"/>
        <v>15.761532554873682</v>
      </c>
      <c r="AH266" s="687">
        <f t="shared" si="120"/>
        <v>-78.219008183476845</v>
      </c>
      <c r="AJ266" s="170">
        <f t="shared" si="121"/>
        <v>0</v>
      </c>
      <c r="AK266" s="170">
        <f t="shared" si="133"/>
        <v>0</v>
      </c>
      <c r="AM266" s="170" t="str">
        <f t="shared" si="125"/>
        <v>0.069424316872215+0.36609957384741i</v>
      </c>
      <c r="AN266" s="170" t="str">
        <f t="shared" si="126"/>
        <v>0.374814134877605i</v>
      </c>
      <c r="AO266" s="170" t="str">
        <f t="shared" si="127"/>
        <v>0.976749646773485-0.185223315803939i</v>
      </c>
      <c r="AP266" s="170" t="str">
        <f t="shared" si="128"/>
        <v>0.155095947187964-0.061016595641235i</v>
      </c>
      <c r="AQ266" s="170" t="str">
        <f t="shared" si="129"/>
        <v>0.844904052812036+0.061016595641235i</v>
      </c>
      <c r="AR266" s="170" t="str">
        <f t="shared" si="130"/>
        <v>0.980795598508581-0.0708303010758722i</v>
      </c>
    </row>
    <row r="267" spans="7:44">
      <c r="G267" s="688">
        <v>16789</v>
      </c>
      <c r="H267" s="676">
        <f t="shared" si="122"/>
        <v>16.789000000000001</v>
      </c>
      <c r="I267" s="677">
        <f t="shared" si="102"/>
        <v>87.677309529130767</v>
      </c>
      <c r="J267" s="678">
        <f t="shared" si="103"/>
        <v>1.5593906200346095</v>
      </c>
      <c r="K267" s="678">
        <f t="shared" si="104"/>
        <v>1.0002692565615858</v>
      </c>
      <c r="L267" s="679">
        <f t="shared" si="105"/>
        <v>2.3203282507038698E-2</v>
      </c>
      <c r="M267" s="678">
        <f t="shared" si="106"/>
        <v>1.0039675328265241</v>
      </c>
      <c r="N267" s="679">
        <f t="shared" si="107"/>
        <v>-8.8932101308754868E-2</v>
      </c>
      <c r="O267" s="677">
        <f t="shared" si="108"/>
        <v>316465.19400668005</v>
      </c>
      <c r="P267" s="680">
        <f t="shared" si="109"/>
        <v>1.570793166889735</v>
      </c>
      <c r="Q267" s="689">
        <f t="shared" si="131"/>
        <v>42.418125048893984</v>
      </c>
      <c r="R267" s="690">
        <f t="shared" si="132"/>
        <v>1.5472193145914277</v>
      </c>
      <c r="S267" s="677">
        <f t="shared" si="110"/>
        <v>1.1851653470504913</v>
      </c>
      <c r="T267" s="680">
        <f t="shared" si="111"/>
        <v>0.56653801681749449</v>
      </c>
      <c r="U267" s="681">
        <f t="shared" si="123"/>
        <v>0.97735678769353451</v>
      </c>
      <c r="V267" s="682">
        <f t="shared" si="124"/>
        <v>-0.26096668795278433</v>
      </c>
      <c r="W267" s="683">
        <f t="shared" si="112"/>
        <v>-12.012749811979837</v>
      </c>
      <c r="X267" s="684">
        <f t="shared" si="113"/>
        <v>-141.87569456622077</v>
      </c>
      <c r="Y267" s="687">
        <f t="shared" si="114"/>
        <v>38.124305433779227</v>
      </c>
      <c r="AA267" s="170">
        <f t="shared" si="115"/>
        <v>16789</v>
      </c>
      <c r="AB267" s="170">
        <f t="shared" si="116"/>
        <v>281870521</v>
      </c>
      <c r="AD267" s="686">
        <f t="shared" si="117"/>
        <v>26.174381535774675</v>
      </c>
      <c r="AE267" s="687">
        <f t="shared" si="118"/>
        <v>-33.810919579546479</v>
      </c>
      <c r="AG267" s="686">
        <f t="shared" si="119"/>
        <v>15.714085106982798</v>
      </c>
      <c r="AH267" s="687">
        <f t="shared" si="120"/>
        <v>-78.160195326099142</v>
      </c>
      <c r="AJ267" s="170">
        <f t="shared" si="121"/>
        <v>0</v>
      </c>
      <c r="AK267" s="170">
        <f t="shared" si="133"/>
        <v>0</v>
      </c>
      <c r="AM267" s="170" t="str">
        <f t="shared" si="125"/>
        <v>0.070219770967795+0.368115098441806i</v>
      </c>
      <c r="AN267" s="170" t="str">
        <f t="shared" si="126"/>
        <v>0.376980950154867i</v>
      </c>
      <c r="AO267" s="170" t="str">
        <f t="shared" si="127"/>
        <v>0.976481963586174-0.1862687516145i</v>
      </c>
      <c r="AP267" s="170" t="str">
        <f t="shared" si="128"/>
        <v>0.154963371505368-0.0613525164069677i</v>
      </c>
      <c r="AQ267" s="170" t="str">
        <f t="shared" si="129"/>
        <v>0.845036628494632+0.0613525164069677i</v>
      </c>
      <c r="AR267" s="170" t="str">
        <f t="shared" si="130"/>
        <v>0.980587165642889-0.0711939437178485i</v>
      </c>
    </row>
    <row r="268" spans="7:44">
      <c r="G268" s="688">
        <v>16885.5</v>
      </c>
      <c r="H268" s="676">
        <f t="shared" si="122"/>
        <v>16.8855</v>
      </c>
      <c r="I268" s="677">
        <f t="shared" si="102"/>
        <v>88.181196770022808</v>
      </c>
      <c r="J268" s="678">
        <f t="shared" si="103"/>
        <v>1.5594557976168903</v>
      </c>
      <c r="K268" s="678">
        <f t="shared" si="104"/>
        <v>1.0002723603061816</v>
      </c>
      <c r="L268" s="679">
        <f t="shared" si="105"/>
        <v>2.3336602313319982E-2</v>
      </c>
      <c r="M268" s="678">
        <f t="shared" si="106"/>
        <v>1.004013181744049</v>
      </c>
      <c r="N268" s="679">
        <f t="shared" si="107"/>
        <v>-8.9440552213730748E-2</v>
      </c>
      <c r="O268" s="677">
        <f t="shared" si="108"/>
        <v>318284.17615102092</v>
      </c>
      <c r="P268" s="680">
        <f t="shared" si="109"/>
        <v>1.5707931849484746</v>
      </c>
      <c r="Q268" s="689">
        <f t="shared" si="131"/>
        <v>42.661801300809849</v>
      </c>
      <c r="R268" s="690">
        <f t="shared" si="132"/>
        <v>1.5473540068324783</v>
      </c>
      <c r="S268" s="677">
        <f t="shared" si="110"/>
        <v>1.187131665107835</v>
      </c>
      <c r="T268" s="680">
        <f t="shared" si="111"/>
        <v>0.5691366629745136</v>
      </c>
      <c r="U268" s="681">
        <f t="shared" si="123"/>
        <v>0.97710848005842033</v>
      </c>
      <c r="V268" s="682">
        <f t="shared" si="124"/>
        <v>-0.26243372994263131</v>
      </c>
      <c r="W268" s="683">
        <f t="shared" si="112"/>
        <v>-12.078736840182135</v>
      </c>
      <c r="X268" s="684">
        <f t="shared" si="113"/>
        <v>-142.12615290498584</v>
      </c>
      <c r="Y268" s="687">
        <f t="shared" si="114"/>
        <v>37.873847095014156</v>
      </c>
      <c r="AA268" s="170">
        <f t="shared" si="115"/>
        <v>16885.5</v>
      </c>
      <c r="AB268" s="170">
        <f t="shared" si="116"/>
        <v>285120110.25</v>
      </c>
      <c r="AD268" s="686">
        <f t="shared" si="117"/>
        <v>26.159955133123351</v>
      </c>
      <c r="AE268" s="687">
        <f t="shared" si="118"/>
        <v>-33.952094774697088</v>
      </c>
      <c r="AG268" s="686">
        <f t="shared" si="119"/>
        <v>15.666938522984948</v>
      </c>
      <c r="AH268" s="687">
        <f t="shared" si="120"/>
        <v>-78.101367840748082</v>
      </c>
      <c r="AJ268" s="170">
        <f t="shared" si="121"/>
        <v>0</v>
      </c>
      <c r="AK268" s="170">
        <f t="shared" si="133"/>
        <v>0</v>
      </c>
      <c r="AM268" s="170" t="str">
        <f t="shared" si="125"/>
        <v>0.071019590462077+0.370128894703931i</v>
      </c>
      <c r="AN268" s="170" t="str">
        <f t="shared" si="126"/>
        <v>0.379147765432128i</v>
      </c>
      <c r="AO268" s="170" t="str">
        <f t="shared" si="127"/>
        <v>0.976212781531449-0.187313751885451i</v>
      </c>
      <c r="AP268" s="170" t="str">
        <f t="shared" si="128"/>
        <v>0.154830068256321-0.0616881491173218i</v>
      </c>
      <c r="AQ268" s="170" t="str">
        <f t="shared" si="129"/>
        <v>0.845169931743679+0.0616881491173218i</v>
      </c>
      <c r="AR268" s="170" t="str">
        <f t="shared" si="130"/>
        <v>0.980377744100776-0.0715568386875999i</v>
      </c>
    </row>
    <row r="269" spans="7:44">
      <c r="G269" s="688">
        <v>16982</v>
      </c>
      <c r="H269" s="676">
        <f t="shared" si="122"/>
        <v>16.981999999999999</v>
      </c>
      <c r="I269" s="677">
        <f t="shared" ref="I269:I332" si="134">SQRT(1+(G269/pole1)^2)</f>
        <v>88.685084381262072</v>
      </c>
      <c r="J269" s="678">
        <f t="shared" ref="J269:J332" si="135">ATAN(G269/pole1)</f>
        <v>1.5595202345523207</v>
      </c>
      <c r="K269" s="678">
        <f t="shared" ref="K269:K332" si="136">SQRT(1+(G269/Zero1)^2)</f>
        <v>1.0002754818296788</v>
      </c>
      <c r="L269" s="679">
        <f t="shared" ref="L269:L332" si="137">ATAN(G269/Zero1)</f>
        <v>2.34699212898783E-2</v>
      </c>
      <c r="M269" s="678">
        <f t="shared" ref="M269:M332" si="138">SQRT(1+(G269/z_RHP)^2)</f>
        <v>1.0040590901977533</v>
      </c>
      <c r="N269" s="679">
        <f t="shared" ref="N269:N332" si="139">-ATAN(G269/z_RHP)</f>
        <v>-8.9948956754470968E-2</v>
      </c>
      <c r="O269" s="677">
        <f t="shared" ref="O269:O332" si="140">SQRT(1+(G269/Pole2)^2)</f>
        <v>320103.15829536202</v>
      </c>
      <c r="P269" s="680">
        <f t="shared" ref="P269:P332" si="141">ATAN(G269/Pole2)</f>
        <v>1.5707932028019771</v>
      </c>
      <c r="Q269" s="689">
        <f t="shared" si="131"/>
        <v>42.905478317904766</v>
      </c>
      <c r="R269" s="690">
        <f t="shared" si="132"/>
        <v>1.5474871691359322</v>
      </c>
      <c r="S269" s="677">
        <f t="shared" ref="S269:S332" si="142">SQRT(1+(G269/pole4)^2)</f>
        <v>1.1891059732756555</v>
      </c>
      <c r="T269" s="680">
        <f t="shared" ref="T269:T332" si="143">ATAN(G269/pole4)</f>
        <v>0.57172669735397652</v>
      </c>
      <c r="U269" s="681">
        <f t="shared" si="123"/>
        <v>0.976858929369817</v>
      </c>
      <c r="V269" s="682">
        <f t="shared" si="124"/>
        <v>-0.26390022589897982</v>
      </c>
      <c r="W269" s="683">
        <f t="shared" ref="W269:W332" si="144">20*LOG10(((K269*Q269*M269*U269)/(I269*O269*S269))*Adc)</f>
        <v>-12.144483584205741</v>
      </c>
      <c r="X269" s="684">
        <f t="shared" ref="X269:X332" si="145">((L269+R269+N269+V269)-(J269+P269+T269))*radconv</f>
        <v>-142.37612914216123</v>
      </c>
      <c r="Y269" s="687">
        <f t="shared" ref="Y269:Y332" si="146">IF(X269&gt;0,X269,X269+180)</f>
        <v>37.623870857838767</v>
      </c>
      <c r="AA269" s="170">
        <f t="shared" ref="AA269:AA332" si="147">IF(W269&lt;0,G269,1000000000)</f>
        <v>16982</v>
      </c>
      <c r="AB269" s="170">
        <f t="shared" ref="AB269:AB332" si="148">G269^2</f>
        <v>288388324</v>
      </c>
      <c r="AD269" s="686">
        <f t="shared" ref="AD269:AD332" si="149">20*LOG10((Q269/(O269*S269))*Aea)</f>
        <v>26.145494663574965</v>
      </c>
      <c r="AE269" s="687">
        <f t="shared" ref="AE269:AE332" si="150">(R269-(P269+T269))*radconv</f>
        <v>-34.092864198547126</v>
      </c>
      <c r="AG269" s="686">
        <f t="shared" ref="AG269:AG332" si="151">20*LOG10((K269*M269/(I269*U269))*Acs*Am)</f>
        <v>15.620089517507434</v>
      </c>
      <c r="AH269" s="687">
        <f t="shared" ref="AH269:AH332" si="152">(L269+N269-(J269+V269))*radconv</f>
        <v>-78.042526595937886</v>
      </c>
      <c r="AJ269" s="170">
        <f t="shared" ref="AJ269:AJ332" si="153">SUM((W270&lt;0)*(W269&gt;0))*G269</f>
        <v>0</v>
      </c>
      <c r="AK269" s="170">
        <f t="shared" si="133"/>
        <v>0</v>
      </c>
      <c r="AM269" s="170" t="str">
        <f t="shared" si="125"/>
        <v>0.071823771599841+0.37214095317884i</v>
      </c>
      <c r="AN269" s="170" t="str">
        <f t="shared" si="126"/>
        <v>0.38131458070939i</v>
      </c>
      <c r="AO269" s="170" t="str">
        <f t="shared" si="127"/>
        <v>0.975942101365535-0.18835831419355i</v>
      </c>
      <c r="AP269" s="170" t="str">
        <f t="shared" si="128"/>
        <v>0.154696038066693-0.0620234921964733i</v>
      </c>
      <c r="AQ269" s="170" t="str">
        <f t="shared" si="129"/>
        <v>0.845303961933307+0.0620234921964733i</v>
      </c>
      <c r="AR269" s="170" t="str">
        <f t="shared" si="130"/>
        <v>0.980167337237734-0.0719189829104328i</v>
      </c>
    </row>
    <row r="270" spans="7:44">
      <c r="G270" s="688">
        <v>17081</v>
      </c>
      <c r="H270" s="676">
        <f t="shared" ref="H270:H333" si="154">G270/1000</f>
        <v>17.081</v>
      </c>
      <c r="I270" s="677">
        <f t="shared" si="134"/>
        <v>89.202026453978917</v>
      </c>
      <c r="J270" s="678">
        <f t="shared" si="135"/>
        <v>1.5595855843168183</v>
      </c>
      <c r="K270" s="678">
        <f t="shared" si="136"/>
        <v>1.0002787026972431</v>
      </c>
      <c r="L270" s="679">
        <f t="shared" si="137"/>
        <v>2.3606693258729092E-2</v>
      </c>
      <c r="M270" s="678">
        <f t="shared" si="138"/>
        <v>1.0041064576611989</v>
      </c>
      <c r="N270" s="679">
        <f t="shared" si="139"/>
        <v>-9.0470483946995209E-2</v>
      </c>
      <c r="O270" s="677">
        <f t="shared" si="140"/>
        <v>321969.26432945294</v>
      </c>
      <c r="P270" s="680">
        <f t="shared" si="141"/>
        <v>1.5707932209083701</v>
      </c>
      <c r="Q270" s="689">
        <f t="shared" si="131"/>
        <v>43.155468992674891</v>
      </c>
      <c r="R270" s="690">
        <f t="shared" si="132"/>
        <v>1.5476222184952668</v>
      </c>
      <c r="S270" s="677">
        <f t="shared" si="142"/>
        <v>1.191139690966172</v>
      </c>
      <c r="T270" s="680">
        <f t="shared" si="143"/>
        <v>0.57437489030434175</v>
      </c>
      <c r="U270" s="681">
        <f t="shared" ref="U270:U333" si="155">IMABS(IMPRODUCT(AO270, AR270))</f>
        <v>0.97660162486361801</v>
      </c>
      <c r="V270" s="682">
        <f t="shared" ref="V270:V333" si="156">IMARGUMENT(IMPRODUCT(AO270, AR270))</f>
        <v>-0.26540414386103828</v>
      </c>
      <c r="W270" s="683">
        <f t="shared" si="144"/>
        <v>-12.211686745247594</v>
      </c>
      <c r="X270" s="684">
        <f t="shared" si="145"/>
        <v>-142.63207996906988</v>
      </c>
      <c r="Y270" s="687">
        <f t="shared" si="146"/>
        <v>37.367920030930122</v>
      </c>
      <c r="AA270" s="170">
        <f t="shared" si="147"/>
        <v>17081</v>
      </c>
      <c r="AB270" s="170">
        <f t="shared" si="148"/>
        <v>291760561</v>
      </c>
      <c r="AD270" s="686">
        <f t="shared" si="149"/>
        <v>26.13062468260766</v>
      </c>
      <c r="AE270" s="687">
        <f t="shared" si="150"/>
        <v>-34.236857757207986</v>
      </c>
      <c r="AG270" s="686">
        <f t="shared" si="151"/>
        <v>15.572332664407707</v>
      </c>
      <c r="AH270" s="687">
        <f t="shared" si="152"/>
        <v>-77.982147560069009</v>
      </c>
      <c r="AJ270" s="170">
        <f t="shared" si="153"/>
        <v>0</v>
      </c>
      <c r="AK270" s="170">
        <f t="shared" si="133"/>
        <v>0</v>
      </c>
      <c r="AM270" s="170" t="str">
        <f t="shared" ref="AM270:AM333" si="157">IMSUB(1,IMEXP(COMPLEX(0,-2*Pi*G270*Tsw)))</f>
        <v>0.072653315089199+0.374203321718218i</v>
      </c>
      <c r="AN270" s="170" t="str">
        <f t="shared" ref="AN270:AN333" si="158">COMPLEX(0, 2*Pi*G270*Tsw)</f>
        <v>0.383537531097461i</v>
      </c>
      <c r="AO270" s="170" t="str">
        <f t="shared" ref="AO270:AO333" si="159">IMDIV(AM270, AN270)</f>
        <v>0.975662852726475-0.189429480033695i</v>
      </c>
      <c r="AP270" s="170" t="str">
        <f t="shared" ref="AP270:AP333" si="160">IMDIV(IMEXP(COMPLEX(0,-2*Pi*G270*Tsw)),6)</f>
        <v>0.154557780818467-0.0623672202863697i</v>
      </c>
      <c r="AQ270" s="170" t="str">
        <f t="shared" ref="AQ270:AQ333" si="161">IMSUB(1, AP270)</f>
        <v>0.845442219181533+0.0623672202863697i</v>
      </c>
      <c r="AR270" s="170" t="str">
        <f t="shared" ref="AR270:AR333" si="162">IMDIV(0.833, AQ270)</f>
        <v>0.979950459007013-0.0722897257316842i</v>
      </c>
    </row>
    <row r="271" spans="7:44">
      <c r="G271" s="688">
        <v>17180</v>
      </c>
      <c r="H271" s="676">
        <f t="shared" si="154"/>
        <v>17.18</v>
      </c>
      <c r="I271" s="677">
        <f t="shared" si="134"/>
        <v>89.718968903251351</v>
      </c>
      <c r="J271" s="678">
        <f t="shared" si="135"/>
        <v>1.5596501810174883</v>
      </c>
      <c r="K271" s="678">
        <f t="shared" si="136"/>
        <v>1.0002819422764719</v>
      </c>
      <c r="L271" s="679">
        <f t="shared" si="137"/>
        <v>2.3743464344220904E-2</v>
      </c>
      <c r="M271" s="678">
        <f t="shared" si="138"/>
        <v>1.0041540982063657</v>
      </c>
      <c r="N271" s="679">
        <f t="shared" si="139"/>
        <v>-9.0991961795235943E-2</v>
      </c>
      <c r="O271" s="677">
        <f t="shared" si="140"/>
        <v>323835.37036354397</v>
      </c>
      <c r="P271" s="680">
        <f t="shared" si="141"/>
        <v>1.5707932388060866</v>
      </c>
      <c r="Q271" s="689">
        <f t="shared" si="131"/>
        <v>43.40546044546236</v>
      </c>
      <c r="R271" s="690">
        <f t="shared" si="132"/>
        <v>1.5477557122377341</v>
      </c>
      <c r="S271" s="677">
        <f t="shared" si="142"/>
        <v>1.1931817335211701</v>
      </c>
      <c r="T271" s="680">
        <f t="shared" si="143"/>
        <v>0.577014037336262</v>
      </c>
      <c r="U271" s="681">
        <f t="shared" si="155"/>
        <v>0.97634301818067581</v>
      </c>
      <c r="V271" s="682">
        <f t="shared" si="156"/>
        <v>-0.26690748168519707</v>
      </c>
      <c r="W271" s="683">
        <f t="shared" si="144"/>
        <v>-12.278642723634368</v>
      </c>
      <c r="X271" s="684">
        <f t="shared" si="145"/>
        <v>-142.88752245791528</v>
      </c>
      <c r="Y271" s="687">
        <f t="shared" si="146"/>
        <v>37.112477542084719</v>
      </c>
      <c r="AA271" s="170">
        <f t="shared" si="147"/>
        <v>17180</v>
      </c>
      <c r="AB271" s="170">
        <f t="shared" si="148"/>
        <v>295152400</v>
      </c>
      <c r="AD271" s="686">
        <f t="shared" si="149"/>
        <v>26.115719890005508</v>
      </c>
      <c r="AE271" s="687">
        <f t="shared" si="150"/>
        <v>-34.38042214124436</v>
      </c>
      <c r="AG271" s="686">
        <f t="shared" si="151"/>
        <v>15.524882180704079</v>
      </c>
      <c r="AH271" s="687">
        <f t="shared" si="152"/>
        <v>-77.921755839667853</v>
      </c>
      <c r="AJ271" s="170">
        <f t="shared" si="153"/>
        <v>0</v>
      </c>
      <c r="AK271" s="170">
        <f t="shared" si="133"/>
        <v>0</v>
      </c>
      <c r="AM271" s="170" t="str">
        <f t="shared" si="157"/>
        <v>0.07348744106813+0.376263841129489i</v>
      </c>
      <c r="AN271" s="170" t="str">
        <f t="shared" si="158"/>
        <v>0.385760481485533i</v>
      </c>
      <c r="AO271" s="170" t="str">
        <f t="shared" si="159"/>
        <v>0.97538202897437-0.190500179762156i</v>
      </c>
      <c r="AP271" s="170" t="str">
        <f t="shared" si="160"/>
        <v>0.154418759821978-0.0627106401882482i</v>
      </c>
      <c r="AQ271" s="170" t="str">
        <f t="shared" si="161"/>
        <v>0.845581240178022+0.0627106401882482i</v>
      </c>
      <c r="AR271" s="170" t="str">
        <f t="shared" si="162"/>
        <v>0.979732550930793-0.0726596719071021i</v>
      </c>
    </row>
    <row r="272" spans="7:44">
      <c r="G272" s="688">
        <v>17279</v>
      </c>
      <c r="H272" s="676">
        <f t="shared" si="154"/>
        <v>17.279</v>
      </c>
      <c r="I272" s="677">
        <f t="shared" si="134"/>
        <v>90.235911722607739</v>
      </c>
      <c r="J272" s="678">
        <f t="shared" si="135"/>
        <v>1.5597140375962264</v>
      </c>
      <c r="K272" s="678">
        <f t="shared" si="136"/>
        <v>1.0002852005671832</v>
      </c>
      <c r="L272" s="679">
        <f t="shared" si="137"/>
        <v>2.3880234541245379E-2</v>
      </c>
      <c r="M272" s="678">
        <f t="shared" si="138"/>
        <v>1.0042020117943882</v>
      </c>
      <c r="N272" s="679">
        <f t="shared" si="139"/>
        <v>-9.151339002261584E-2</v>
      </c>
      <c r="O272" s="677">
        <f t="shared" si="140"/>
        <v>325701.47639763518</v>
      </c>
      <c r="P272" s="680">
        <f t="shared" si="141"/>
        <v>1.570793256498713</v>
      </c>
      <c r="Q272" s="689">
        <f t="shared" si="131"/>
        <v>43.655452662901311</v>
      </c>
      <c r="R272" s="690">
        <f t="shared" si="132"/>
        <v>1.5478876770831764</v>
      </c>
      <c r="S272" s="677">
        <f t="shared" si="142"/>
        <v>1.1952320582717959</v>
      </c>
      <c r="T272" s="680">
        <f t="shared" si="143"/>
        <v>0.57964414814471399</v>
      </c>
      <c r="U272" s="681">
        <f t="shared" si="155"/>
        <v>0.97608311243601342</v>
      </c>
      <c r="V272" s="682">
        <f t="shared" si="156"/>
        <v>-0.26841023662807784</v>
      </c>
      <c r="W272" s="683">
        <f t="shared" si="144"/>
        <v>-12.345354328826595</v>
      </c>
      <c r="X272" s="684">
        <f t="shared" si="145"/>
        <v>-143.14245620222803</v>
      </c>
      <c r="Y272" s="687">
        <f t="shared" si="146"/>
        <v>36.857543797771967</v>
      </c>
      <c r="AA272" s="170">
        <f t="shared" si="147"/>
        <v>17279</v>
      </c>
      <c r="AB272" s="170">
        <f t="shared" si="148"/>
        <v>298563841</v>
      </c>
      <c r="AD272" s="686">
        <f t="shared" si="149"/>
        <v>26.100780809489926</v>
      </c>
      <c r="AE272" s="687">
        <f t="shared" si="150"/>
        <v>-34.523556375408845</v>
      </c>
      <c r="AG272" s="686">
        <f t="shared" si="151"/>
        <v>15.477734696826413</v>
      </c>
      <c r="AH272" s="687">
        <f t="shared" si="152"/>
        <v>-77.86135231788036</v>
      </c>
      <c r="AJ272" s="170">
        <f t="shared" si="153"/>
        <v>0</v>
      </c>
      <c r="AK272" s="170">
        <f t="shared" si="133"/>
        <v>0</v>
      </c>
      <c r="AM272" s="170" t="str">
        <f t="shared" si="157"/>
        <v>0.074326145414793+0.378322501230584i</v>
      </c>
      <c r="AN272" s="170" t="str">
        <f t="shared" si="158"/>
        <v>0.387983431873604i</v>
      </c>
      <c r="AO272" s="170" t="str">
        <f t="shared" si="159"/>
        <v>0.975099630939479-0.191570410766939i</v>
      </c>
      <c r="AP272" s="170" t="str">
        <f t="shared" si="160"/>
        <v>0.154278975764201-0.0630537502050973i</v>
      </c>
      <c r="AQ272" s="170" t="str">
        <f t="shared" si="161"/>
        <v>0.845721024235799+0.0630537502050973i</v>
      </c>
      <c r="AR272" s="170" t="str">
        <f t="shared" si="162"/>
        <v>0.979513616667394-0.0730288181775379i</v>
      </c>
    </row>
    <row r="273" spans="7:44">
      <c r="G273" s="688">
        <v>17378</v>
      </c>
      <c r="H273" s="676">
        <f t="shared" si="154"/>
        <v>17.378</v>
      </c>
      <c r="I273" s="677">
        <f t="shared" si="134"/>
        <v>90.752854905723893</v>
      </c>
      <c r="J273" s="678">
        <f t="shared" si="135"/>
        <v>1.5597771667000759</v>
      </c>
      <c r="K273" s="678">
        <f t="shared" si="136"/>
        <v>1.000288477569194</v>
      </c>
      <c r="L273" s="679">
        <f t="shared" si="137"/>
        <v>2.4017003844694355E-2</v>
      </c>
      <c r="M273" s="678">
        <f t="shared" si="138"/>
        <v>1.0042501983861845</v>
      </c>
      <c r="N273" s="679">
        <f t="shared" si="139"/>
        <v>-9.2034768352718108E-2</v>
      </c>
      <c r="O273" s="677">
        <f t="shared" si="140"/>
        <v>327567.58243172639</v>
      </c>
      <c r="P273" s="680">
        <f t="shared" si="141"/>
        <v>1.5707932739897545</v>
      </c>
      <c r="Q273" s="689">
        <f t="shared" si="131"/>
        <v>43.905445631930249</v>
      </c>
      <c r="R273" s="690">
        <f t="shared" si="132"/>
        <v>1.5480181391430923</v>
      </c>
      <c r="S273" s="677">
        <f t="shared" si="142"/>
        <v>1.1972906226690061</v>
      </c>
      <c r="T273" s="680">
        <f t="shared" si="143"/>
        <v>0.58226523285846155</v>
      </c>
      <c r="U273" s="681">
        <f t="shared" si="155"/>
        <v>0.97582191075589164</v>
      </c>
      <c r="V273" s="682">
        <f t="shared" si="156"/>
        <v>-0.26991240595608784</v>
      </c>
      <c r="W273" s="683">
        <f t="shared" si="144"/>
        <v>-12.411824315930428</v>
      </c>
      <c r="X273" s="684">
        <f t="shared" si="145"/>
        <v>-143.39688083891969</v>
      </c>
      <c r="Y273" s="687">
        <f t="shared" si="146"/>
        <v>36.603119161080315</v>
      </c>
      <c r="AA273" s="170">
        <f t="shared" si="147"/>
        <v>17378</v>
      </c>
      <c r="AB273" s="170">
        <f t="shared" si="148"/>
        <v>301994884</v>
      </c>
      <c r="AD273" s="686">
        <f t="shared" si="149"/>
        <v>26.085807961665743</v>
      </c>
      <c r="AE273" s="687">
        <f t="shared" si="150"/>
        <v>-34.666259544158997</v>
      </c>
      <c r="AG273" s="686">
        <f t="shared" si="151"/>
        <v>15.430886900528925</v>
      </c>
      <c r="AH273" s="687">
        <f t="shared" si="152"/>
        <v>-77.800937860407245</v>
      </c>
      <c r="AJ273" s="170">
        <f t="shared" si="153"/>
        <v>0</v>
      </c>
      <c r="AK273" s="170">
        <f t="shared" si="133"/>
        <v>0</v>
      </c>
      <c r="AM273" s="170" t="str">
        <f t="shared" si="157"/>
        <v>0.075169423984727+0.38037929184862i</v>
      </c>
      <c r="AN273" s="170" t="str">
        <f t="shared" si="158"/>
        <v>0.390206382261676i</v>
      </c>
      <c r="AO273" s="170" t="str">
        <f t="shared" si="159"/>
        <v>0.974815659456677-0.192640170437596i</v>
      </c>
      <c r="AP273" s="170" t="str">
        <f t="shared" si="160"/>
        <v>0.154138429335879-0.0633965486414367i</v>
      </c>
      <c r="AQ273" s="170" t="str">
        <f t="shared" si="161"/>
        <v>0.845861570664121+0.0633965486414367i</v>
      </c>
      <c r="AR273" s="170" t="str">
        <f t="shared" si="162"/>
        <v>0.979293659886747-0.0733971613044392i</v>
      </c>
    </row>
    <row r="274" spans="7:44">
      <c r="G274" s="688">
        <v>17479.25</v>
      </c>
      <c r="H274" s="676">
        <f t="shared" si="154"/>
        <v>17.47925</v>
      </c>
      <c r="I274" s="677">
        <f t="shared" si="134"/>
        <v>91.281547167361055</v>
      </c>
      <c r="J274" s="678">
        <f t="shared" si="135"/>
        <v>1.5598409909735493</v>
      </c>
      <c r="K274" s="678">
        <f t="shared" si="136"/>
        <v>1.0002918484023491</v>
      </c>
      <c r="L274" s="679">
        <f t="shared" si="137"/>
        <v>2.4156880611811007E-2</v>
      </c>
      <c r="M274" s="678">
        <f t="shared" si="138"/>
        <v>1.0042997624680672</v>
      </c>
      <c r="N274" s="679">
        <f t="shared" si="139"/>
        <v>-9.2567944291206544E-2</v>
      </c>
      <c r="O274" s="677">
        <f t="shared" si="140"/>
        <v>329476.09996659262</v>
      </c>
      <c r="P274" s="680">
        <f t="shared" si="141"/>
        <v>1.5707932916733807</v>
      </c>
      <c r="Q274" s="689">
        <f t="shared" si="131"/>
        <v>44.161121023450136</v>
      </c>
      <c r="R274" s="690">
        <f t="shared" si="132"/>
        <v>1.5481500384383833</v>
      </c>
      <c r="S274" s="677">
        <f t="shared" si="142"/>
        <v>1.1994044510759319</v>
      </c>
      <c r="T274" s="680">
        <f t="shared" si="143"/>
        <v>0.58493656254895943</v>
      </c>
      <c r="U274" s="681">
        <f t="shared" si="155"/>
        <v>0.97555343549403162</v>
      </c>
      <c r="V274" s="682">
        <f t="shared" si="156"/>
        <v>-0.27144810692720284</v>
      </c>
      <c r="W274" s="683">
        <f t="shared" si="144"/>
        <v>-12.479557882850793</v>
      </c>
      <c r="X274" s="684">
        <f t="shared" si="145"/>
        <v>-143.6565609247713</v>
      </c>
      <c r="Y274" s="687">
        <f t="shared" si="146"/>
        <v>36.343439075228702</v>
      </c>
      <c r="AA274" s="170">
        <f t="shared" si="147"/>
        <v>17479.25</v>
      </c>
      <c r="AB274" s="170">
        <f t="shared" si="148"/>
        <v>305524180.5625</v>
      </c>
      <c r="AD274" s="686">
        <f t="shared" si="149"/>
        <v>26.070460433930464</v>
      </c>
      <c r="AE274" s="687">
        <f t="shared" si="150"/>
        <v>-34.81175920153499</v>
      </c>
      <c r="AG274" s="686">
        <f t="shared" si="151"/>
        <v>15.383280969925741</v>
      </c>
      <c r="AH274" s="687">
        <f t="shared" si="152"/>
        <v>-77.739139920203698</v>
      </c>
      <c r="AJ274" s="170">
        <f t="shared" si="153"/>
        <v>0</v>
      </c>
      <c r="AK274" s="170">
        <f t="shared" si="133"/>
        <v>0</v>
      </c>
      <c r="AM274" s="170" t="str">
        <f t="shared" si="157"/>
        <v>0.076036594977775+0.382480883417375i</v>
      </c>
      <c r="AN274" s="170" t="str">
        <f t="shared" si="158"/>
        <v>0.392479854249476i</v>
      </c>
      <c r="AO274" s="170" t="str">
        <f t="shared" si="159"/>
        <v>0.974523607456944-0.193733752585026i</v>
      </c>
      <c r="AP274" s="170" t="str">
        <f t="shared" si="160"/>
        <v>0.153993900837037-0.0637468139028958i</v>
      </c>
      <c r="AQ274" s="170" t="str">
        <f t="shared" si="161"/>
        <v>0.846006099162963+0.0637468139028958i</v>
      </c>
      <c r="AR274" s="170" t="str">
        <f t="shared" si="162"/>
        <v>0.979067650285276-0.0737730417816511i</v>
      </c>
    </row>
    <row r="275" spans="7:44">
      <c r="G275" s="688">
        <v>17580.5</v>
      </c>
      <c r="H275" s="676">
        <f t="shared" si="154"/>
        <v>17.580500000000001</v>
      </c>
      <c r="I275" s="677">
        <f t="shared" si="134"/>
        <v>91.810239796554583</v>
      </c>
      <c r="J275" s="678">
        <f t="shared" si="135"/>
        <v>1.5599040801784436</v>
      </c>
      <c r="K275" s="678">
        <f t="shared" si="136"/>
        <v>1.000295238806592</v>
      </c>
      <c r="L275" s="679">
        <f t="shared" si="137"/>
        <v>2.4296756433466758E-2</v>
      </c>
      <c r="M275" s="678">
        <f t="shared" si="138"/>
        <v>1.0043496120206272</v>
      </c>
      <c r="N275" s="679">
        <f t="shared" si="139"/>
        <v>-9.3101067454284675E-2</v>
      </c>
      <c r="O275" s="677">
        <f t="shared" si="140"/>
        <v>331384.61750145885</v>
      </c>
      <c r="P275" s="680">
        <f t="shared" si="141"/>
        <v>1.5707933091533188</v>
      </c>
      <c r="Q275" s="689">
        <f t="shared" si="131"/>
        <v>44.416797174414789</v>
      </c>
      <c r="R275" s="690">
        <f t="shared" si="132"/>
        <v>1.5482804192336299</v>
      </c>
      <c r="S275" s="677">
        <f t="shared" si="142"/>
        <v>1.2015268082849619</v>
      </c>
      <c r="T275" s="680">
        <f t="shared" si="143"/>
        <v>0.58759847399334941</v>
      </c>
      <c r="U275" s="681">
        <f t="shared" si="155"/>
        <v>0.97528361137107822</v>
      </c>
      <c r="V275" s="682">
        <f t="shared" si="156"/>
        <v>-0.2729831896100281</v>
      </c>
      <c r="W275" s="683">
        <f t="shared" si="144"/>
        <v>-12.547044384911016</v>
      </c>
      <c r="X275" s="684">
        <f t="shared" si="145"/>
        <v>-143.91570786556906</v>
      </c>
      <c r="Y275" s="687">
        <f t="shared" si="146"/>
        <v>36.084292134430939</v>
      </c>
      <c r="AA275" s="170">
        <f t="shared" si="147"/>
        <v>17580.5</v>
      </c>
      <c r="AB275" s="170">
        <f t="shared" si="148"/>
        <v>309073980.25</v>
      </c>
      <c r="AD275" s="686">
        <f t="shared" si="149"/>
        <v>26.055078677929401</v>
      </c>
      <c r="AE275" s="687">
        <f t="shared" si="150"/>
        <v>-34.956806225131352</v>
      </c>
      <c r="AG275" s="686">
        <f t="shared" si="151"/>
        <v>15.335981674065248</v>
      </c>
      <c r="AH275" s="687">
        <f t="shared" si="152"/>
        <v>-77.677332319345084</v>
      </c>
      <c r="AJ275" s="170">
        <f t="shared" si="153"/>
        <v>0</v>
      </c>
      <c r="AK275" s="170">
        <f t="shared" si="133"/>
        <v>0</v>
      </c>
      <c r="AM275" s="170" t="str">
        <f t="shared" si="157"/>
        <v>0.076908541635207+0.384580498067647i</v>
      </c>
      <c r="AN275" s="170" t="str">
        <f t="shared" si="158"/>
        <v>0.394753326237276i</v>
      </c>
      <c r="AO275" s="170" t="str">
        <f t="shared" si="159"/>
        <v>0.974229911457378-0.194826836212595i</v>
      </c>
      <c r="AP275" s="170" t="str">
        <f t="shared" si="160"/>
        <v>0.153848576394132-0.0640967496779412i</v>
      </c>
      <c r="AQ275" s="170" t="str">
        <f t="shared" si="161"/>
        <v>0.846151423605868+0.0640967496779412i</v>
      </c>
      <c r="AR275" s="170" t="str">
        <f t="shared" si="162"/>
        <v>0.978840578961491-0.0741480754082261i</v>
      </c>
    </row>
    <row r="276" spans="7:44">
      <c r="G276" s="688">
        <v>17681.75</v>
      </c>
      <c r="H276" s="676">
        <f t="shared" si="154"/>
        <v>17.681750000000001</v>
      </c>
      <c r="I276" s="677">
        <f t="shared" si="134"/>
        <v>92.338932786991023</v>
      </c>
      <c r="J276" s="678">
        <f t="shared" si="135"/>
        <v>1.5599664469403112</v>
      </c>
      <c r="K276" s="678">
        <f t="shared" si="136"/>
        <v>1.0002986487817243</v>
      </c>
      <c r="L276" s="679">
        <f t="shared" si="137"/>
        <v>2.4436631304197848E-2</v>
      </c>
      <c r="M276" s="678">
        <f t="shared" si="138"/>
        <v>1.0043997470013599</v>
      </c>
      <c r="N276" s="679">
        <f t="shared" si="139"/>
        <v>-9.3634137546784221E-2</v>
      </c>
      <c r="O276" s="677">
        <f t="shared" si="140"/>
        <v>333293.1350363252</v>
      </c>
      <c r="P276" s="680">
        <f t="shared" si="141"/>
        <v>1.5707933264330682</v>
      </c>
      <c r="Q276" s="689">
        <f t="shared" si="131"/>
        <v>44.672474071784507</v>
      </c>
      <c r="R276" s="690">
        <f t="shared" si="132"/>
        <v>1.548409307597153</v>
      </c>
      <c r="S276" s="677">
        <f t="shared" si="142"/>
        <v>1.2036576491806996</v>
      </c>
      <c r="T276" s="680">
        <f t="shared" si="143"/>
        <v>0.59025097938833859</v>
      </c>
      <c r="U276" s="681">
        <f t="shared" si="155"/>
        <v>0.9750124417672299</v>
      </c>
      <c r="V276" s="682">
        <f t="shared" si="156"/>
        <v>-0.27451765111225618</v>
      </c>
      <c r="W276" s="683">
        <f t="shared" si="144"/>
        <v>-12.614286601495884</v>
      </c>
      <c r="X276" s="684">
        <f t="shared" si="145"/>
        <v>-144.17432140780355</v>
      </c>
      <c r="Y276" s="687">
        <f t="shared" si="146"/>
        <v>35.825678592196454</v>
      </c>
      <c r="AA276" s="170">
        <f t="shared" si="147"/>
        <v>17681.75</v>
      </c>
      <c r="AB276" s="170">
        <f t="shared" si="148"/>
        <v>312644283.0625</v>
      </c>
      <c r="AD276" s="686">
        <f t="shared" si="149"/>
        <v>26.039663240295525</v>
      </c>
      <c r="AE276" s="687">
        <f t="shared" si="150"/>
        <v>-35.101399820363625</v>
      </c>
      <c r="AG276" s="686">
        <f t="shared" si="151"/>
        <v>15.288985647375918</v>
      </c>
      <c r="AH276" s="687">
        <f t="shared" si="152"/>
        <v>-77.615515930340436</v>
      </c>
      <c r="AJ276" s="170">
        <f t="shared" si="153"/>
        <v>0</v>
      </c>
      <c r="AK276" s="170">
        <f t="shared" si="133"/>
        <v>0</v>
      </c>
      <c r="AM276" s="170" t="str">
        <f t="shared" si="157"/>
        <v>0.077785259450217+0.386678124947217i</v>
      </c>
      <c r="AN276" s="170" t="str">
        <f t="shared" si="158"/>
        <v>0.397026798225077i</v>
      </c>
      <c r="AO276" s="170" t="str">
        <f t="shared" si="159"/>
        <v>0.973934572366087-0.195919418532852i</v>
      </c>
      <c r="AP276" s="170" t="str">
        <f t="shared" si="160"/>
        <v>0.153702456758297-0.0644463541578695i</v>
      </c>
      <c r="AQ276" s="170" t="str">
        <f t="shared" si="161"/>
        <v>0.846297543241703+0.0644463541578695i</v>
      </c>
      <c r="AR276" s="170" t="str">
        <f t="shared" si="162"/>
        <v>0.978612449878097-0.0745222587868625i</v>
      </c>
    </row>
    <row r="277" spans="7:44">
      <c r="G277" s="688">
        <v>17783</v>
      </c>
      <c r="H277" s="676">
        <f t="shared" si="154"/>
        <v>17.783000000000001</v>
      </c>
      <c r="I277" s="677">
        <f t="shared" si="134"/>
        <v>92.867626132500803</v>
      </c>
      <c r="J277" s="678">
        <f t="shared" si="135"/>
        <v>1.560028103597219</v>
      </c>
      <c r="K277" s="678">
        <f t="shared" si="136"/>
        <v>1.0003020783275451</v>
      </c>
      <c r="L277" s="679">
        <f t="shared" si="137"/>
        <v>2.4576505218540726E-2</v>
      </c>
      <c r="M277" s="678">
        <f t="shared" si="138"/>
        <v>1.0044501673675257</v>
      </c>
      <c r="N277" s="679">
        <f t="shared" si="139"/>
        <v>-9.416715427371633E-2</v>
      </c>
      <c r="O277" s="677">
        <f t="shared" si="140"/>
        <v>335201.65257119166</v>
      </c>
      <c r="P277" s="680">
        <f t="shared" si="141"/>
        <v>1.5707933435160484</v>
      </c>
      <c r="Q277" s="689">
        <f t="shared" si="131"/>
        <v>44.928151702816379</v>
      </c>
      <c r="R277" s="690">
        <f t="shared" si="132"/>
        <v>1.5485367290040755</v>
      </c>
      <c r="S277" s="677">
        <f t="shared" si="142"/>
        <v>1.205796928786949</v>
      </c>
      <c r="T277" s="680">
        <f t="shared" si="143"/>
        <v>0.59289409137402216</v>
      </c>
      <c r="U277" s="681">
        <f t="shared" si="155"/>
        <v>0.97473993007455195</v>
      </c>
      <c r="V277" s="682">
        <f t="shared" si="156"/>
        <v>-0.27605148855240669</v>
      </c>
      <c r="W277" s="683">
        <f t="shared" si="144"/>
        <v>-12.681287258158786</v>
      </c>
      <c r="X277" s="684">
        <f t="shared" si="145"/>
        <v>-144.43240134151171</v>
      </c>
      <c r="Y277" s="687">
        <f t="shared" si="146"/>
        <v>35.567598658488293</v>
      </c>
      <c r="AA277" s="170">
        <f t="shared" si="147"/>
        <v>17783</v>
      </c>
      <c r="AB277" s="170">
        <f t="shared" si="148"/>
        <v>316235089</v>
      </c>
      <c r="AD277" s="686">
        <f t="shared" si="149"/>
        <v>26.0242146641456</v>
      </c>
      <c r="AE277" s="687">
        <f t="shared" si="150"/>
        <v>-35.245539252034824</v>
      </c>
      <c r="AG277" s="686">
        <f t="shared" si="151"/>
        <v>15.242289581477472</v>
      </c>
      <c r="AH277" s="687">
        <f t="shared" si="152"/>
        <v>-77.553691608616987</v>
      </c>
      <c r="AJ277" s="170">
        <f t="shared" si="153"/>
        <v>0</v>
      </c>
      <c r="AK277" s="170">
        <f t="shared" si="133"/>
        <v>0</v>
      </c>
      <c r="AM277" s="170" t="str">
        <f t="shared" si="157"/>
        <v>0.078666743891336+0.388773753214136i</v>
      </c>
      <c r="AN277" s="170" t="str">
        <f t="shared" si="158"/>
        <v>0.399300270212877i</v>
      </c>
      <c r="AO277" s="170" t="str">
        <f t="shared" si="159"/>
        <v>0.973637591096222-0.197011496760062i</v>
      </c>
      <c r="AP277" s="170" t="str">
        <f t="shared" si="160"/>
        <v>0.153555542684777-0.0647956255356893i</v>
      </c>
      <c r="AQ277" s="170" t="str">
        <f t="shared" si="161"/>
        <v>0.846444457315223+0.0647956255356893i</v>
      </c>
      <c r="AR277" s="170" t="str">
        <f t="shared" si="162"/>
        <v>0.978383267009906-0.0748955885429696i</v>
      </c>
    </row>
    <row r="278" spans="7:44">
      <c r="G278" s="688">
        <v>17886.5</v>
      </c>
      <c r="H278" s="676">
        <f t="shared" si="154"/>
        <v>17.886500000000002</v>
      </c>
      <c r="I278" s="677">
        <f t="shared" si="134"/>
        <v>93.408068579740828</v>
      </c>
      <c r="J278" s="678">
        <f t="shared" si="135"/>
        <v>1.5600904090059957</v>
      </c>
      <c r="K278" s="678">
        <f t="shared" si="136"/>
        <v>1.0003056043131633</v>
      </c>
      <c r="L278" s="679">
        <f t="shared" si="137"/>
        <v>2.4719486447898651E-2</v>
      </c>
      <c r="M278" s="678">
        <f t="shared" si="138"/>
        <v>1.0045020031102714</v>
      </c>
      <c r="N278" s="679">
        <f t="shared" si="139"/>
        <v>-9.4711960352241803E-2</v>
      </c>
      <c r="O278" s="677">
        <f t="shared" si="140"/>
        <v>337152.58160683303</v>
      </c>
      <c r="P278" s="680">
        <f t="shared" si="141"/>
        <v>1.5707933607787528</v>
      </c>
      <c r="Q278" s="689">
        <f t="shared" si="131"/>
        <v>45.189511804314527</v>
      </c>
      <c r="R278" s="690">
        <f t="shared" si="132"/>
        <v>1.5486654917026255</v>
      </c>
      <c r="S278" s="677">
        <f t="shared" si="142"/>
        <v>1.2079924233414145</v>
      </c>
      <c r="T278" s="680">
        <f t="shared" si="143"/>
        <v>0.59558624395668913</v>
      </c>
      <c r="U278" s="681">
        <f t="shared" si="155"/>
        <v>0.97445997895424497</v>
      </c>
      <c r="V278" s="682">
        <f t="shared" si="156"/>
        <v>-0.2776187632618442</v>
      </c>
      <c r="W278" s="683">
        <f t="shared" si="144"/>
        <v>-12.749529929713956</v>
      </c>
      <c r="X278" s="684">
        <f t="shared" si="145"/>
        <v>-144.69566468361194</v>
      </c>
      <c r="Y278" s="687">
        <f t="shared" si="146"/>
        <v>35.304335316388062</v>
      </c>
      <c r="AA278" s="170">
        <f t="shared" si="147"/>
        <v>17886.5</v>
      </c>
      <c r="AB278" s="170">
        <f t="shared" si="148"/>
        <v>319926882.25</v>
      </c>
      <c r="AD278" s="686">
        <f t="shared" si="149"/>
        <v>26.008389096794716</v>
      </c>
      <c r="AE278" s="687">
        <f t="shared" si="150"/>
        <v>-35.392411662889181</v>
      </c>
      <c r="AG278" s="686">
        <f t="shared" si="151"/>
        <v>15.194862472481983</v>
      </c>
      <c r="AH278" s="687">
        <f t="shared" si="152"/>
        <v>-77.490486087280928</v>
      </c>
      <c r="AJ278" s="170">
        <f t="shared" si="153"/>
        <v>0</v>
      </c>
      <c r="AK278" s="170">
        <f t="shared" si="133"/>
        <v>0</v>
      </c>
      <c r="AM278" s="170" t="str">
        <f t="shared" si="157"/>
        <v>0.079572738822058+0.390913873993329i</v>
      </c>
      <c r="AN278" s="170" t="str">
        <f t="shared" si="158"/>
        <v>0.401624263800406i</v>
      </c>
      <c r="AO278" s="170" t="str">
        <f t="shared" si="159"/>
        <v>0.97333231387534-0.198127319472917i</v>
      </c>
      <c r="AP278" s="170" t="str">
        <f t="shared" si="160"/>
        <v>0.153404543529657-0.0651523123322215i</v>
      </c>
      <c r="AQ278" s="170" t="str">
        <f t="shared" si="161"/>
        <v>0.846595456470343+0.0651523123322215i</v>
      </c>
      <c r="AR278" s="170" t="str">
        <f t="shared" si="162"/>
        <v>0.978147906169173-0.0752763287385714i</v>
      </c>
    </row>
    <row r="279" spans="7:44">
      <c r="G279" s="688">
        <v>17990</v>
      </c>
      <c r="H279" s="676">
        <f t="shared" si="154"/>
        <v>17.989999999999998</v>
      </c>
      <c r="I279" s="677">
        <f t="shared" si="134"/>
        <v>93.948511385415785</v>
      </c>
      <c r="J279" s="678">
        <f t="shared" si="135"/>
        <v>1.5601519975859837</v>
      </c>
      <c r="K279" s="678">
        <f t="shared" si="136"/>
        <v>1.0003091507485165</v>
      </c>
      <c r="L279" s="679">
        <f t="shared" si="137"/>
        <v>2.4862466666345649E-2</v>
      </c>
      <c r="M279" s="678">
        <f t="shared" si="138"/>
        <v>1.0045541369721154</v>
      </c>
      <c r="N279" s="679">
        <f t="shared" si="139"/>
        <v>-9.5256710044280893E-2</v>
      </c>
      <c r="O279" s="677">
        <f t="shared" si="140"/>
        <v>339103.51064247452</v>
      </c>
      <c r="P279" s="680">
        <f t="shared" si="141"/>
        <v>1.5707933778428256</v>
      </c>
      <c r="Q279" s="689">
        <f t="shared" ref="Q279:Q342" si="163">SQRT(1+(G279/Zero2)^2)</f>
        <v>45.450872646430419</v>
      </c>
      <c r="R279" s="690">
        <f t="shared" ref="R279:R342" si="164">ATAN(G279/Zero2)</f>
        <v>1.5487927735284059</v>
      </c>
      <c r="S279" s="677">
        <f t="shared" si="142"/>
        <v>1.2101966412416034</v>
      </c>
      <c r="T279" s="680">
        <f t="shared" si="143"/>
        <v>0.59826860910043589</v>
      </c>
      <c r="U279" s="681">
        <f t="shared" si="155"/>
        <v>0.97417863263921622</v>
      </c>
      <c r="V279" s="682">
        <f t="shared" si="156"/>
        <v>-0.27918537981086022</v>
      </c>
      <c r="W279" s="683">
        <f t="shared" si="144"/>
        <v>-12.817525778961084</v>
      </c>
      <c r="X279" s="684">
        <f t="shared" si="145"/>
        <v>-144.95837012928274</v>
      </c>
      <c r="Y279" s="687">
        <f t="shared" si="146"/>
        <v>35.041629870717259</v>
      </c>
      <c r="AA279" s="170">
        <f t="shared" si="147"/>
        <v>17990</v>
      </c>
      <c r="AB279" s="170">
        <f t="shared" si="148"/>
        <v>323640100</v>
      </c>
      <c r="AD279" s="686">
        <f t="shared" si="149"/>
        <v>25.9925300380587</v>
      </c>
      <c r="AE279" s="687">
        <f t="shared" si="150"/>
        <v>-35.538808131179572</v>
      </c>
      <c r="AG279" s="686">
        <f t="shared" si="151"/>
        <v>15.147741990371737</v>
      </c>
      <c r="AH279" s="687">
        <f t="shared" si="152"/>
        <v>-77.427274031708251</v>
      </c>
      <c r="AJ279" s="170">
        <f t="shared" si="153"/>
        <v>0</v>
      </c>
      <c r="AK279" s="170">
        <f t="shared" ref="AK279:AK342" si="165">IF(AJ279&gt;0,Y279,0)</f>
        <v>0</v>
      </c>
      <c r="AM279" s="170" t="str">
        <f t="shared" si="157"/>
        <v>0.080483704928656+0.393051883468671i</v>
      </c>
      <c r="AN279" s="170" t="str">
        <f t="shared" si="158"/>
        <v>0.403948257387935i</v>
      </c>
      <c r="AO279" s="170" t="str">
        <f t="shared" si="159"/>
        <v>0.973025322624923-0.199242609558686i</v>
      </c>
      <c r="AP279" s="170" t="str">
        <f t="shared" si="160"/>
        <v>0.153252715845224-0.0655086472447785i</v>
      </c>
      <c r="AQ279" s="170" t="str">
        <f t="shared" si="161"/>
        <v>0.846747284154776+0.0655086472447785i</v>
      </c>
      <c r="AR279" s="170" t="str">
        <f t="shared" si="162"/>
        <v>0.977911452625591-0.0756561698932701i</v>
      </c>
    </row>
    <row r="280" spans="7:44">
      <c r="G280" s="688">
        <v>18093.5</v>
      </c>
      <c r="H280" s="676">
        <f t="shared" si="154"/>
        <v>18.093499999999999</v>
      </c>
      <c r="I280" s="677">
        <f t="shared" si="134"/>
        <v>94.488954543375343</v>
      </c>
      <c r="J280" s="678">
        <f t="shared" si="135"/>
        <v>1.5602128816367278</v>
      </c>
      <c r="K280" s="678">
        <f t="shared" si="136"/>
        <v>1.0003127176333877</v>
      </c>
      <c r="L280" s="679">
        <f t="shared" si="137"/>
        <v>2.5005445868046518E-2</v>
      </c>
      <c r="M280" s="678">
        <f t="shared" si="138"/>
        <v>1.0046065689066448</v>
      </c>
      <c r="N280" s="679">
        <f t="shared" si="139"/>
        <v>-9.5801403035326013E-2</v>
      </c>
      <c r="O280" s="677">
        <f t="shared" si="140"/>
        <v>341054.43967811606</v>
      </c>
      <c r="P280" s="680">
        <f t="shared" si="141"/>
        <v>1.5707933947116757</v>
      </c>
      <c r="Q280" s="689">
        <f t="shared" si="163"/>
        <v>45.712234216460573</v>
      </c>
      <c r="R280" s="690">
        <f t="shared" si="164"/>
        <v>1.5489185998781092</v>
      </c>
      <c r="S280" s="677">
        <f t="shared" si="142"/>
        <v>1.2124095349091508</v>
      </c>
      <c r="T280" s="680">
        <f t="shared" si="143"/>
        <v>0.60094120169289067</v>
      </c>
      <c r="U280" s="681">
        <f t="shared" si="155"/>
        <v>0.97389589479048755</v>
      </c>
      <c r="V280" s="682">
        <f t="shared" si="156"/>
        <v>-0.2807513351568906</v>
      </c>
      <c r="W280" s="683">
        <f t="shared" si="144"/>
        <v>-12.885277551296326</v>
      </c>
      <c r="X280" s="684">
        <f t="shared" si="145"/>
        <v>-145.22051758929467</v>
      </c>
      <c r="Y280" s="687">
        <f t="shared" si="146"/>
        <v>34.779482410705327</v>
      </c>
      <c r="AA280" s="170">
        <f t="shared" si="147"/>
        <v>18093.5</v>
      </c>
      <c r="AB280" s="170">
        <f t="shared" si="148"/>
        <v>327374742.25</v>
      </c>
      <c r="AD280" s="686">
        <f t="shared" si="149"/>
        <v>25.976638056533506</v>
      </c>
      <c r="AE280" s="687">
        <f t="shared" si="150"/>
        <v>-35.684728054976283</v>
      </c>
      <c r="AG280" s="686">
        <f t="shared" si="151"/>
        <v>15.100924778237657</v>
      </c>
      <c r="AH280" s="687">
        <f t="shared" si="152"/>
        <v>-77.364056303251459</v>
      </c>
      <c r="AJ280" s="170">
        <f t="shared" si="153"/>
        <v>0</v>
      </c>
      <c r="AK280" s="170">
        <f t="shared" si="165"/>
        <v>0</v>
      </c>
      <c r="AM280" s="170" t="str">
        <f t="shared" si="157"/>
        <v>0.081399637291055+0.395187770092895i</v>
      </c>
      <c r="AN280" s="170" t="str">
        <f t="shared" si="158"/>
        <v>0.406272250975465i</v>
      </c>
      <c r="AO280" s="170" t="str">
        <f t="shared" si="159"/>
        <v>0.972716618336704-0.200357364047417i</v>
      </c>
      <c r="AP280" s="170" t="str">
        <f t="shared" si="160"/>
        <v>0.153100060451491-0.0658646283488158i</v>
      </c>
      <c r="AQ280" s="170" t="str">
        <f t="shared" si="161"/>
        <v>0.846899939548509+0.0658646283488158i</v>
      </c>
      <c r="AR280" s="170" t="str">
        <f t="shared" si="162"/>
        <v>0.977673910663114-0.0760351084763195i</v>
      </c>
    </row>
    <row r="281" spans="7:44">
      <c r="G281" s="688">
        <v>18197</v>
      </c>
      <c r="H281" s="676">
        <f t="shared" si="154"/>
        <v>18.196999999999999</v>
      </c>
      <c r="I281" s="677">
        <f t="shared" si="134"/>
        <v>95.029398047609021</v>
      </c>
      <c r="J281" s="678">
        <f t="shared" si="135"/>
        <v>1.5602730731779977</v>
      </c>
      <c r="K281" s="678">
        <f t="shared" si="136"/>
        <v>1.0003163049675576</v>
      </c>
      <c r="L281" s="679">
        <f t="shared" si="137"/>
        <v>2.5148424047166294E-2</v>
      </c>
      <c r="M281" s="678">
        <f t="shared" si="138"/>
        <v>1.0046592988671916</v>
      </c>
      <c r="N281" s="679">
        <f t="shared" si="139"/>
        <v>-9.634603901106964E-2</v>
      </c>
      <c r="O281" s="677">
        <f t="shared" si="140"/>
        <v>343005.36871375772</v>
      </c>
      <c r="P281" s="680">
        <f t="shared" si="141"/>
        <v>1.5707934113886342</v>
      </c>
      <c r="Q281" s="689">
        <f t="shared" si="163"/>
        <v>45.973596501990315</v>
      </c>
      <c r="R281" s="690">
        <f t="shared" si="164"/>
        <v>1.5490429955710876</v>
      </c>
      <c r="S281" s="677">
        <f t="shared" si="142"/>
        <v>1.2146310569258298</v>
      </c>
      <c r="T281" s="680">
        <f t="shared" si="143"/>
        <v>0.60360403707182386</v>
      </c>
      <c r="U281" s="681">
        <f t="shared" si="155"/>
        <v>0.97361176908154923</v>
      </c>
      <c r="V281" s="682">
        <f t="shared" si="156"/>
        <v>-0.28231662626933463</v>
      </c>
      <c r="W281" s="683">
        <f t="shared" si="144"/>
        <v>-12.95278793893309</v>
      </c>
      <c r="X281" s="684">
        <f t="shared" si="145"/>
        <v>-145.48210701795125</v>
      </c>
      <c r="Y281" s="687">
        <f t="shared" si="146"/>
        <v>34.51789298204875</v>
      </c>
      <c r="AA281" s="170">
        <f t="shared" si="147"/>
        <v>18197</v>
      </c>
      <c r="AB281" s="170">
        <f t="shared" si="148"/>
        <v>331130809</v>
      </c>
      <c r="AD281" s="686">
        <f t="shared" si="149"/>
        <v>25.960713716882019</v>
      </c>
      <c r="AE281" s="687">
        <f t="shared" si="150"/>
        <v>-35.830170891215531</v>
      </c>
      <c r="AG281" s="686">
        <f t="shared" si="151"/>
        <v>15.054407536120449</v>
      </c>
      <c r="AH281" s="687">
        <f t="shared" si="152"/>
        <v>-77.300833746559064</v>
      </c>
      <c r="AJ281" s="170">
        <f t="shared" si="153"/>
        <v>0</v>
      </c>
      <c r="AK281" s="170">
        <f t="shared" si="165"/>
        <v>0</v>
      </c>
      <c r="AM281" s="170" t="str">
        <f t="shared" si="157"/>
        <v>0.082320530962354+0.397321522330196i</v>
      </c>
      <c r="AN281" s="170" t="str">
        <f t="shared" si="158"/>
        <v>0.408596244562994i</v>
      </c>
      <c r="AO281" s="170" t="str">
        <f t="shared" si="159"/>
        <v>0.97240620200791-0.201471579971075i</v>
      </c>
      <c r="AP281" s="170" t="str">
        <f t="shared" si="160"/>
        <v>0.152946578172941-0.0662202537216993i</v>
      </c>
      <c r="AQ281" s="170" t="str">
        <f t="shared" si="161"/>
        <v>0.847053421827059+0.0662202537216993i</v>
      </c>
      <c r="AR281" s="170" t="str">
        <f t="shared" si="162"/>
        <v>0.97743528457824-0.0764131409819479i</v>
      </c>
    </row>
    <row r="282" spans="7:44">
      <c r="G282" s="688">
        <v>18303</v>
      </c>
      <c r="H282" s="676">
        <f t="shared" si="154"/>
        <v>18.303000000000001</v>
      </c>
      <c r="I282" s="677">
        <f t="shared" si="134"/>
        <v>95.582896095550282</v>
      </c>
      <c r="J282" s="678">
        <f t="shared" si="135"/>
        <v>1.5603340130921608</v>
      </c>
      <c r="K282" s="678">
        <f t="shared" si="136"/>
        <v>1.0003200001482624</v>
      </c>
      <c r="L282" s="679">
        <f t="shared" si="137"/>
        <v>2.5294854739465928E-2</v>
      </c>
      <c r="M282" s="678">
        <f t="shared" si="138"/>
        <v>1.0047136113602551</v>
      </c>
      <c r="N282" s="679">
        <f t="shared" si="139"/>
        <v>-9.6903771019259746E-2</v>
      </c>
      <c r="O282" s="677">
        <f t="shared" si="140"/>
        <v>345003.42163914931</v>
      </c>
      <c r="P282" s="680">
        <f t="shared" si="141"/>
        <v>1.570793428272919</v>
      </c>
      <c r="Q282" s="689">
        <f t="shared" si="163"/>
        <v>46.241272615159886</v>
      </c>
      <c r="R282" s="690">
        <f t="shared" si="164"/>
        <v>1.5491689384247986</v>
      </c>
      <c r="S282" s="677">
        <f t="shared" si="142"/>
        <v>1.2169151330066716</v>
      </c>
      <c r="T282" s="680">
        <f t="shared" si="143"/>
        <v>0.60632109505397835</v>
      </c>
      <c r="U282" s="681">
        <f t="shared" si="155"/>
        <v>0.97331934573420875</v>
      </c>
      <c r="V282" s="682">
        <f t="shared" si="156"/>
        <v>-0.28391903469809354</v>
      </c>
      <c r="W282" s="683">
        <f t="shared" si="144"/>
        <v>-13.02168156981722</v>
      </c>
      <c r="X282" s="684">
        <f t="shared" si="145"/>
        <v>-145.7494366161655</v>
      </c>
      <c r="Y282" s="687">
        <f t="shared" si="146"/>
        <v>34.250563383834503</v>
      </c>
      <c r="AA282" s="170">
        <f t="shared" si="147"/>
        <v>18303</v>
      </c>
      <c r="AB282" s="170">
        <f t="shared" si="148"/>
        <v>334999809</v>
      </c>
      <c r="AD282" s="686">
        <f t="shared" si="149"/>
        <v>25.944371777226898</v>
      </c>
      <c r="AE282" s="687">
        <f t="shared" si="150"/>
        <v>-35.978631819875744</v>
      </c>
      <c r="AG282" s="686">
        <f t="shared" si="151"/>
        <v>15.007074225598105</v>
      </c>
      <c r="AH282" s="687">
        <f t="shared" si="152"/>
        <v>-77.236079935855145</v>
      </c>
      <c r="AJ282" s="170">
        <f t="shared" si="153"/>
        <v>0</v>
      </c>
      <c r="AK282" s="170">
        <f t="shared" si="165"/>
        <v>0</v>
      </c>
      <c r="AM282" s="170" t="str">
        <f t="shared" si="157"/>
        <v>0.0832688057589021+0.399504590092893i</v>
      </c>
      <c r="AN282" s="170" t="str">
        <f t="shared" si="158"/>
        <v>0.410976373261333i</v>
      </c>
      <c r="AO282" s="170" t="str">
        <f t="shared" si="159"/>
        <v>0.972086514177434-0.202612147988256i</v>
      </c>
      <c r="AP282" s="170" t="str">
        <f t="shared" si="160"/>
        <v>0.152788532373516-0.0665840983488155i</v>
      </c>
      <c r="AQ282" s="170" t="str">
        <f t="shared" si="161"/>
        <v>0.847211467626484+0.0665840983488155i</v>
      </c>
      <c r="AR282" s="170" t="str">
        <f t="shared" si="162"/>
        <v>0.977189775362098-0.0767993619001066i</v>
      </c>
    </row>
    <row r="283" spans="7:44">
      <c r="G283" s="688">
        <v>18409</v>
      </c>
      <c r="H283" s="676">
        <f t="shared" si="154"/>
        <v>18.408999999999999</v>
      </c>
      <c r="I283" s="677">
        <f t="shared" si="134"/>
        <v>96.136394494367835</v>
      </c>
      <c r="J283" s="678">
        <f t="shared" si="135"/>
        <v>1.5603942512921722</v>
      </c>
      <c r="K283" s="678">
        <f t="shared" si="136"/>
        <v>1.0003237167776178</v>
      </c>
      <c r="L283" s="679">
        <f t="shared" si="137"/>
        <v>2.5441284346800298E-2</v>
      </c>
      <c r="M283" s="678">
        <f t="shared" si="138"/>
        <v>1.0047682363507064</v>
      </c>
      <c r="N283" s="679">
        <f t="shared" si="139"/>
        <v>-9.746144255785541E-2</v>
      </c>
      <c r="O283" s="677">
        <f t="shared" si="140"/>
        <v>347001.47456454096</v>
      </c>
      <c r="P283" s="680">
        <f t="shared" si="141"/>
        <v>1.5707934449627625</v>
      </c>
      <c r="Q283" s="689">
        <f t="shared" si="163"/>
        <v>46.508949453347469</v>
      </c>
      <c r="R283" s="690">
        <f t="shared" si="164"/>
        <v>1.5492934315816325</v>
      </c>
      <c r="S283" s="677">
        <f t="shared" si="142"/>
        <v>1.2192081591476316</v>
      </c>
      <c r="T283" s="680">
        <f t="shared" si="143"/>
        <v>0.60902795274140487</v>
      </c>
      <c r="U283" s="681">
        <f t="shared" si="155"/>
        <v>0.97302547450934729</v>
      </c>
      <c r="V283" s="682">
        <f t="shared" si="156"/>
        <v>-0.28552074002144345</v>
      </c>
      <c r="W283" s="683">
        <f t="shared" si="144"/>
        <v>-13.09032756463732</v>
      </c>
      <c r="X283" s="684">
        <f t="shared" si="145"/>
        <v>-146.01618093819292</v>
      </c>
      <c r="Y283" s="687">
        <f t="shared" si="146"/>
        <v>33.983819061807083</v>
      </c>
      <c r="AA283" s="170">
        <f t="shared" si="147"/>
        <v>18409</v>
      </c>
      <c r="AB283" s="170">
        <f t="shared" si="148"/>
        <v>338891281</v>
      </c>
      <c r="AD283" s="686">
        <f t="shared" si="149"/>
        <v>25.927997083491551</v>
      </c>
      <c r="AE283" s="687">
        <f t="shared" si="150"/>
        <v>-36.12659136506965</v>
      </c>
      <c r="AG283" s="686">
        <f t="shared" si="151"/>
        <v>14.960048722729164</v>
      </c>
      <c r="AH283" s="687">
        <f t="shared" si="152"/>
        <v>-77.171322802375755</v>
      </c>
      <c r="AJ283" s="170">
        <f t="shared" si="153"/>
        <v>0</v>
      </c>
      <c r="AK283" s="170">
        <f t="shared" si="165"/>
        <v>0</v>
      </c>
      <c r="AM283" s="170" t="str">
        <f t="shared" si="157"/>
        <v>0.084222273846783+0.401685394658113i</v>
      </c>
      <c r="AN283" s="170" t="str">
        <f t="shared" si="158"/>
        <v>0.413356501959672i</v>
      </c>
      <c r="AO283" s="170" t="str">
        <f t="shared" si="159"/>
        <v>0.971765032735114-0.203752144813244i</v>
      </c>
      <c r="AP283" s="170" t="str">
        <f t="shared" si="160"/>
        <v>0.152629621025536-0.0669475657763522i</v>
      </c>
      <c r="AQ283" s="170" t="str">
        <f t="shared" si="161"/>
        <v>0.847370378974464+0.0669475657763522i</v>
      </c>
      <c r="AR283" s="170" t="str">
        <f t="shared" si="162"/>
        <v>0.976943138179532-0.0771846250776264i</v>
      </c>
    </row>
    <row r="284" spans="7:44">
      <c r="G284" s="688">
        <v>18515</v>
      </c>
      <c r="H284" s="676">
        <f t="shared" si="154"/>
        <v>18.515000000000001</v>
      </c>
      <c r="I284" s="677">
        <f t="shared" si="134"/>
        <v>96.689893238035907</v>
      </c>
      <c r="J284" s="678">
        <f t="shared" si="135"/>
        <v>1.5604537998284231</v>
      </c>
      <c r="K284" s="678">
        <f t="shared" si="136"/>
        <v>1.0003274548553844</v>
      </c>
      <c r="L284" s="679">
        <f t="shared" si="137"/>
        <v>2.5587712862902151E-2</v>
      </c>
      <c r="M284" s="678">
        <f t="shared" si="138"/>
        <v>1.0048231737875815</v>
      </c>
      <c r="N284" s="679">
        <f t="shared" si="139"/>
        <v>-9.8019053289878019E-2</v>
      </c>
      <c r="O284" s="677">
        <f t="shared" si="140"/>
        <v>348999.52748993272</v>
      </c>
      <c r="P284" s="680">
        <f t="shared" si="141"/>
        <v>1.5707934614615044</v>
      </c>
      <c r="Q284" s="689">
        <f t="shared" si="163"/>
        <v>46.776627004106409</v>
      </c>
      <c r="R284" s="690">
        <f t="shared" si="164"/>
        <v>1.54941649992521</v>
      </c>
      <c r="S284" s="677">
        <f t="shared" si="142"/>
        <v>1.221510084945389</v>
      </c>
      <c r="T284" s="680">
        <f t="shared" si="143"/>
        <v>0.61172462802318561</v>
      </c>
      <c r="U284" s="681">
        <f t="shared" si="155"/>
        <v>0.9727301593929929</v>
      </c>
      <c r="V284" s="682">
        <f t="shared" si="156"/>
        <v>-0.28712173902309773</v>
      </c>
      <c r="W284" s="683">
        <f t="shared" si="144"/>
        <v>-13.158728650471602</v>
      </c>
      <c r="X284" s="684">
        <f t="shared" si="145"/>
        <v>-146.28234007067587</v>
      </c>
      <c r="Y284" s="687">
        <f t="shared" si="146"/>
        <v>33.717659929324128</v>
      </c>
      <c r="AA284" s="170">
        <f t="shared" si="147"/>
        <v>18515</v>
      </c>
      <c r="AB284" s="170">
        <f t="shared" si="148"/>
        <v>342805225</v>
      </c>
      <c r="AD284" s="686">
        <f t="shared" si="149"/>
        <v>25.911590229299591</v>
      </c>
      <c r="AE284" s="687">
        <f t="shared" si="150"/>
        <v>-36.274049126231041</v>
      </c>
      <c r="AG284" s="686">
        <f t="shared" si="151"/>
        <v>14.91332765999687</v>
      </c>
      <c r="AH284" s="687">
        <f t="shared" si="152"/>
        <v>-77.106563201888761</v>
      </c>
      <c r="AJ284" s="170">
        <f t="shared" si="153"/>
        <v>0</v>
      </c>
      <c r="AK284" s="170">
        <f t="shared" si="165"/>
        <v>0</v>
      </c>
      <c r="AM284" s="170" t="str">
        <f t="shared" si="157"/>
        <v>0.085180929824592+0.403863923671577i</v>
      </c>
      <c r="AN284" s="170" t="str">
        <f t="shared" si="158"/>
        <v>0.415736630658011i</v>
      </c>
      <c r="AO284" s="170" t="str">
        <f t="shared" si="159"/>
        <v>0.971441758770108-0.204891567264042i</v>
      </c>
      <c r="AP284" s="170" t="str">
        <f t="shared" si="160"/>
        <v>0.152469845029235-0.0673106539452628i</v>
      </c>
      <c r="AQ284" s="170" t="str">
        <f t="shared" si="161"/>
        <v>0.847530154970765+0.0673106539452628i</v>
      </c>
      <c r="AR284" s="170" t="str">
        <f t="shared" si="162"/>
        <v>0.97669537768574-0.0775689268302321i</v>
      </c>
    </row>
    <row r="285" spans="7:44">
      <c r="G285" s="688">
        <v>18621</v>
      </c>
      <c r="H285" s="676">
        <f t="shared" si="154"/>
        <v>18.620999999999999</v>
      </c>
      <c r="I285" s="677">
        <f t="shared" si="134"/>
        <v>97.243392320665976</v>
      </c>
      <c r="J285" s="678">
        <f t="shared" si="135"/>
        <v>1.5605126704769667</v>
      </c>
      <c r="K285" s="678">
        <f t="shared" si="136"/>
        <v>1.0003312143813219</v>
      </c>
      <c r="L285" s="679">
        <f t="shared" si="137"/>
        <v>2.5734140281504524E-2</v>
      </c>
      <c r="M285" s="678">
        <f t="shared" si="138"/>
        <v>1.0048784236196346</v>
      </c>
      <c r="N285" s="679">
        <f t="shared" si="139"/>
        <v>-9.8576602878573616E-2</v>
      </c>
      <c r="O285" s="677">
        <f t="shared" si="140"/>
        <v>350997.58041532454</v>
      </c>
      <c r="P285" s="680">
        <f t="shared" si="141"/>
        <v>1.5707934777724082</v>
      </c>
      <c r="Q285" s="689">
        <f t="shared" si="163"/>
        <v>47.044305255273336</v>
      </c>
      <c r="R285" s="690">
        <f t="shared" si="164"/>
        <v>1.5495381677729838</v>
      </c>
      <c r="S285" s="677">
        <f t="shared" si="142"/>
        <v>1.2238208601809544</v>
      </c>
      <c r="T285" s="680">
        <f t="shared" si="143"/>
        <v>0.6144111392464463</v>
      </c>
      <c r="U285" s="681">
        <f t="shared" si="155"/>
        <v>0.97243340438433024</v>
      </c>
      <c r="V285" s="682">
        <f t="shared" si="156"/>
        <v>-0.28872202850008549</v>
      </c>
      <c r="W285" s="683">
        <f t="shared" si="144"/>
        <v>-13.226887501487838</v>
      </c>
      <c r="X285" s="684">
        <f t="shared" si="145"/>
        <v>-146.5479141439927</v>
      </c>
      <c r="Y285" s="687">
        <f t="shared" si="146"/>
        <v>33.452085856007301</v>
      </c>
      <c r="AA285" s="170">
        <f t="shared" si="147"/>
        <v>18621</v>
      </c>
      <c r="AB285" s="170">
        <f t="shared" si="148"/>
        <v>346741641</v>
      </c>
      <c r="AD285" s="686">
        <f t="shared" si="149"/>
        <v>25.895151803868309</v>
      </c>
      <c r="AE285" s="687">
        <f t="shared" si="150"/>
        <v>-36.421004761472396</v>
      </c>
      <c r="AG285" s="686">
        <f t="shared" si="151"/>
        <v>14.866907727024024</v>
      </c>
      <c r="AH285" s="687">
        <f t="shared" si="152"/>
        <v>-77.041801973693509</v>
      </c>
      <c r="AJ285" s="170">
        <f t="shared" si="153"/>
        <v>0</v>
      </c>
      <c r="AK285" s="170">
        <f t="shared" si="165"/>
        <v>0</v>
      </c>
      <c r="AM285" s="170" t="str">
        <f t="shared" si="157"/>
        <v>0.0861447682615319+0.406040164791898i</v>
      </c>
      <c r="AN285" s="170" t="str">
        <f t="shared" si="158"/>
        <v>0.418116759356351i</v>
      </c>
      <c r="AO285" s="170" t="str">
        <f t="shared" si="159"/>
        <v>0.971116693377602-0.206030412160812i</v>
      </c>
      <c r="AP285" s="170" t="str">
        <f t="shared" si="160"/>
        <v>0.152309205289745-0.0676733607986497i</v>
      </c>
      <c r="AQ285" s="170" t="str">
        <f t="shared" si="161"/>
        <v>0.847690794710255+0.0676733607986497i</v>
      </c>
      <c r="AR285" s="170" t="str">
        <f t="shared" si="162"/>
        <v>0.97644649854895-0.0779522635013012i</v>
      </c>
    </row>
    <row r="286" spans="7:44">
      <c r="G286" s="688">
        <v>18729.5</v>
      </c>
      <c r="H286" s="676">
        <f t="shared" si="154"/>
        <v>18.729500000000002</v>
      </c>
      <c r="I286" s="677">
        <f t="shared" si="134"/>
        <v>97.80994597198432</v>
      </c>
      <c r="J286" s="678">
        <f t="shared" si="135"/>
        <v>1.5605722395380417</v>
      </c>
      <c r="K286" s="678">
        <f t="shared" si="136"/>
        <v>1.000335084787987</v>
      </c>
      <c r="L286" s="679">
        <f t="shared" si="137"/>
        <v>2.5884020033788212E-2</v>
      </c>
      <c r="M286" s="678">
        <f t="shared" si="138"/>
        <v>1.0049352999937604</v>
      </c>
      <c r="N286" s="679">
        <f t="shared" si="139"/>
        <v>-9.9147238547032085E-2</v>
      </c>
      <c r="O286" s="677">
        <f t="shared" si="140"/>
        <v>353042.75723046629</v>
      </c>
      <c r="P286" s="680">
        <f t="shared" si="141"/>
        <v>1.5707934942767965</v>
      </c>
      <c r="Q286" s="689">
        <f t="shared" si="163"/>
        <v>47.31829738571556</v>
      </c>
      <c r="R286" s="690">
        <f t="shared" si="164"/>
        <v>1.549661279519243</v>
      </c>
      <c r="S286" s="677">
        <f t="shared" si="142"/>
        <v>1.2261952475783287</v>
      </c>
      <c r="T286" s="680">
        <f t="shared" si="143"/>
        <v>0.61715050474240762</v>
      </c>
      <c r="U286" s="681">
        <f t="shared" si="155"/>
        <v>0.97212816339243013</v>
      </c>
      <c r="V286" s="682">
        <f t="shared" si="156"/>
        <v>-0.2903593225010847</v>
      </c>
      <c r="W286" s="683">
        <f t="shared" si="144"/>
        <v>-13.296405737881571</v>
      </c>
      <c r="X286" s="684">
        <f t="shared" si="145"/>
        <v>-146.81914601799807</v>
      </c>
      <c r="Y286" s="687">
        <f t="shared" si="146"/>
        <v>33.180853982001935</v>
      </c>
      <c r="AA286" s="170">
        <f t="shared" si="147"/>
        <v>18729.5</v>
      </c>
      <c r="AB286" s="170">
        <f t="shared" si="148"/>
        <v>350794170.25</v>
      </c>
      <c r="AD286" s="686">
        <f t="shared" si="149"/>
        <v>25.878293593176931</v>
      </c>
      <c r="AE286" s="687">
        <f t="shared" si="150"/>
        <v>-36.570906005268682</v>
      </c>
      <c r="AG286" s="686">
        <f t="shared" si="151"/>
        <v>14.819701454258819</v>
      </c>
      <c r="AH286" s="687">
        <f t="shared" si="152"/>
        <v>-76.975512531529546</v>
      </c>
      <c r="AJ286" s="170">
        <f t="shared" si="153"/>
        <v>0</v>
      </c>
      <c r="AK286" s="170">
        <f t="shared" si="165"/>
        <v>0</v>
      </c>
      <c r="AM286" s="170" t="str">
        <f t="shared" si="157"/>
        <v>0.087136700279816+0.408265350016355i</v>
      </c>
      <c r="AN286" s="170" t="str">
        <f t="shared" si="158"/>
        <v>0.4205530231655i</v>
      </c>
      <c r="AO286" s="170" t="str">
        <f t="shared" si="159"/>
        <v>0.970782107196244-0.207195515143224i</v>
      </c>
      <c r="AP286" s="170" t="str">
        <f t="shared" si="160"/>
        <v>0.152143883286697-0.0680442250027258i</v>
      </c>
      <c r="AQ286" s="170" t="str">
        <f t="shared" si="161"/>
        <v>0.847856116713303+0.0680442250027258i</v>
      </c>
      <c r="AR286" s="170" t="str">
        <f t="shared" si="162"/>
        <v>0.976190595978614-0.0783436378519101i</v>
      </c>
    </row>
    <row r="287" spans="7:44">
      <c r="G287" s="688">
        <v>18838</v>
      </c>
      <c r="H287" s="676">
        <f t="shared" si="154"/>
        <v>18.838000000000001</v>
      </c>
      <c r="I287" s="677">
        <f t="shared" si="134"/>
        <v>98.376499966380962</v>
      </c>
      <c r="J287" s="678">
        <f t="shared" si="135"/>
        <v>1.5606311224783593</v>
      </c>
      <c r="K287" s="678">
        <f t="shared" si="136"/>
        <v>1.0003389776659455</v>
      </c>
      <c r="L287" s="679">
        <f t="shared" si="137"/>
        <v>2.6033898622907007E-2</v>
      </c>
      <c r="M287" s="678">
        <f t="shared" si="138"/>
        <v>1.0049925035629088</v>
      </c>
      <c r="N287" s="679">
        <f t="shared" si="139"/>
        <v>-9.9717809440786717E-2</v>
      </c>
      <c r="O287" s="677">
        <f t="shared" si="140"/>
        <v>355087.93404560816</v>
      </c>
      <c r="P287" s="680">
        <f t="shared" si="141"/>
        <v>1.5707935105910662</v>
      </c>
      <c r="Q287" s="689">
        <f t="shared" si="163"/>
        <v>47.592290225079957</v>
      </c>
      <c r="R287" s="690">
        <f t="shared" si="164"/>
        <v>1.5497829737378612</v>
      </c>
      <c r="S287" s="677">
        <f t="shared" si="142"/>
        <v>1.2285788008896108</v>
      </c>
      <c r="T287" s="680">
        <f t="shared" si="143"/>
        <v>0.61987926141863925</v>
      </c>
      <c r="U287" s="681">
        <f t="shared" si="155"/>
        <v>0.97182142230840118</v>
      </c>
      <c r="V287" s="682">
        <f t="shared" si="156"/>
        <v>-0.2919958663666965</v>
      </c>
      <c r="W287" s="683">
        <f t="shared" si="144"/>
        <v>-13.365675684032913</v>
      </c>
      <c r="X287" s="684">
        <f t="shared" si="145"/>
        <v>-147.08976532277671</v>
      </c>
      <c r="Y287" s="687">
        <f t="shared" si="146"/>
        <v>32.910234677223286</v>
      </c>
      <c r="AA287" s="170">
        <f t="shared" si="147"/>
        <v>18838</v>
      </c>
      <c r="AB287" s="170">
        <f t="shared" si="148"/>
        <v>354870244</v>
      </c>
      <c r="AD287" s="686">
        <f t="shared" si="149"/>
        <v>25.861403539502071</v>
      </c>
      <c r="AE287" s="687">
        <f t="shared" si="150"/>
        <v>-36.72028061592642</v>
      </c>
      <c r="AG287" s="686">
        <f t="shared" si="151"/>
        <v>14.772803842279824</v>
      </c>
      <c r="AH287" s="687">
        <f t="shared" si="152"/>
        <v>-76.909223112461007</v>
      </c>
      <c r="AJ287" s="170">
        <f t="shared" si="153"/>
        <v>0</v>
      </c>
      <c r="AK287" s="170">
        <f t="shared" si="165"/>
        <v>0</v>
      </c>
      <c r="AM287" s="170" t="str">
        <f t="shared" si="157"/>
        <v>0.088134050487222+0.410488112031468i</v>
      </c>
      <c r="AN287" s="170" t="str">
        <f t="shared" si="158"/>
        <v>0.422989286974649i</v>
      </c>
      <c r="AO287" s="170" t="str">
        <f t="shared" si="159"/>
        <v>0.970445646430922-0.208360006272462i</v>
      </c>
      <c r="AP287" s="170" t="str">
        <f t="shared" si="160"/>
        <v>0.15197765825213-0.068414685338578i</v>
      </c>
      <c r="AQ287" s="170" t="str">
        <f t="shared" si="161"/>
        <v>0.84802234174787+0.068414685338578i</v>
      </c>
      <c r="AR287" s="170" t="str">
        <f t="shared" si="162"/>
        <v>0.975933531315272-0.0787339933977268i</v>
      </c>
    </row>
    <row r="288" spans="7:44">
      <c r="G288" s="688">
        <v>18946.5</v>
      </c>
      <c r="H288" s="676">
        <f t="shared" si="154"/>
        <v>18.9465</v>
      </c>
      <c r="I288" s="677">
        <f t="shared" si="134"/>
        <v>98.943054297962433</v>
      </c>
      <c r="J288" s="678">
        <f t="shared" si="135"/>
        <v>1.5606893310838237</v>
      </c>
      <c r="K288" s="678">
        <f t="shared" si="136"/>
        <v>1.000342893014935</v>
      </c>
      <c r="L288" s="679">
        <f t="shared" si="137"/>
        <v>2.6183776042140894E-2</v>
      </c>
      <c r="M288" s="678">
        <f t="shared" si="138"/>
        <v>1.0050500342712121</v>
      </c>
      <c r="N288" s="679">
        <f t="shared" si="139"/>
        <v>-0.10028831519942959</v>
      </c>
      <c r="O288" s="677">
        <f t="shared" si="140"/>
        <v>357133.11086075002</v>
      </c>
      <c r="P288" s="680">
        <f t="shared" si="141"/>
        <v>1.5707935267184836</v>
      </c>
      <c r="Q288" s="689">
        <f t="shared" si="163"/>
        <v>47.866283761192605</v>
      </c>
      <c r="R288" s="690">
        <f t="shared" si="164"/>
        <v>1.5499032747676029</v>
      </c>
      <c r="S288" s="677">
        <f t="shared" si="142"/>
        <v>1.2309714668704053</v>
      </c>
      <c r="T288" s="680">
        <f t="shared" si="143"/>
        <v>0.62259743038200188</v>
      </c>
      <c r="U288" s="681">
        <f t="shared" si="155"/>
        <v>0.971513185463032</v>
      </c>
      <c r="V288" s="682">
        <f t="shared" si="156"/>
        <v>-0.29363165670554175</v>
      </c>
      <c r="W288" s="683">
        <f t="shared" si="144"/>
        <v>-13.434700044061023</v>
      </c>
      <c r="X288" s="684">
        <f t="shared" si="145"/>
        <v>-147.35977233404739</v>
      </c>
      <c r="Y288" s="687">
        <f t="shared" si="146"/>
        <v>32.640227665952608</v>
      </c>
      <c r="AA288" s="170">
        <f t="shared" si="147"/>
        <v>18946.5</v>
      </c>
      <c r="AB288" s="170">
        <f t="shared" si="148"/>
        <v>358969862.25</v>
      </c>
      <c r="AD288" s="686">
        <f t="shared" si="149"/>
        <v>25.844482260298495</v>
      </c>
      <c r="AE288" s="687">
        <f t="shared" si="150"/>
        <v>-36.869128408458316</v>
      </c>
      <c r="AG288" s="686">
        <f t="shared" si="151"/>
        <v>14.72621151854881</v>
      </c>
      <c r="AH288" s="687">
        <f t="shared" si="152"/>
        <v>-76.842934565817345</v>
      </c>
      <c r="AJ288" s="170">
        <f t="shared" si="153"/>
        <v>0</v>
      </c>
      <c r="AK288" s="170">
        <f t="shared" si="165"/>
        <v>0</v>
      </c>
      <c r="AM288" s="170" t="str">
        <f t="shared" si="157"/>
        <v>0.089136812964099+0.412708437644302i</v>
      </c>
      <c r="AN288" s="170" t="str">
        <f t="shared" si="158"/>
        <v>0.425425550783798i</v>
      </c>
      <c r="AO288" s="170" t="str">
        <f t="shared" si="159"/>
        <v>0.970107312275753-0.209523882145477i</v>
      </c>
      <c r="AP288" s="170" t="str">
        <f t="shared" si="160"/>
        <v>0.15181053117265-0.0687847396073837i</v>
      </c>
      <c r="AQ288" s="170" t="str">
        <f t="shared" si="161"/>
        <v>0.84818946882735+0.0687847396073837i</v>
      </c>
      <c r="AR288" s="170" t="str">
        <f t="shared" si="162"/>
        <v>0.975675309606464-0.0791233263075266i</v>
      </c>
    </row>
    <row r="289" spans="7:44">
      <c r="G289" s="688">
        <v>19055</v>
      </c>
      <c r="H289" s="676">
        <f t="shared" si="154"/>
        <v>19.055</v>
      </c>
      <c r="I289" s="677">
        <f t="shared" si="134"/>
        <v>99.50960896096953</v>
      </c>
      <c r="J289" s="678">
        <f t="shared" si="135"/>
        <v>1.5607468768719466</v>
      </c>
      <c r="K289" s="678">
        <f t="shared" si="136"/>
        <v>1.0003468308346917</v>
      </c>
      <c r="L289" s="679">
        <f t="shared" si="137"/>
        <v>2.6333652284770193E-2</v>
      </c>
      <c r="M289" s="678">
        <f t="shared" si="138"/>
        <v>1.0051078920624952</v>
      </c>
      <c r="N289" s="679">
        <f t="shared" si="139"/>
        <v>-0.10085875546280458</v>
      </c>
      <c r="O289" s="677">
        <f t="shared" si="140"/>
        <v>359178.28767589212</v>
      </c>
      <c r="P289" s="680">
        <f t="shared" si="141"/>
        <v>1.5707935426622408</v>
      </c>
      <c r="Q289" s="689">
        <f t="shared" si="163"/>
        <v>48.140277982156775</v>
      </c>
      <c r="R289" s="690">
        <f t="shared" si="164"/>
        <v>1.5500222063932918</v>
      </c>
      <c r="S289" s="677">
        <f t="shared" si="142"/>
        <v>1.233373192486706</v>
      </c>
      <c r="T289" s="680">
        <f t="shared" si="143"/>
        <v>0.62530503320169817</v>
      </c>
      <c r="U289" s="681">
        <f t="shared" si="155"/>
        <v>0.97120345720093693</v>
      </c>
      <c r="V289" s="682">
        <f t="shared" si="156"/>
        <v>-0.29526669014102369</v>
      </c>
      <c r="W289" s="683">
        <f t="shared" si="144"/>
        <v>-13.503481469596192</v>
      </c>
      <c r="X289" s="684">
        <f t="shared" si="145"/>
        <v>-147.62916737123678</v>
      </c>
      <c r="Y289" s="687">
        <f t="shared" si="146"/>
        <v>32.370832628763225</v>
      </c>
      <c r="AA289" s="170">
        <f t="shared" si="147"/>
        <v>19055</v>
      </c>
      <c r="AB289" s="170">
        <f t="shared" si="148"/>
        <v>363093025</v>
      </c>
      <c r="AD289" s="686">
        <f t="shared" si="149"/>
        <v>25.827530368122069</v>
      </c>
      <c r="AE289" s="687">
        <f t="shared" si="150"/>
        <v>-37.017449256101507</v>
      </c>
      <c r="AG289" s="686">
        <f t="shared" si="151"/>
        <v>14.679921167726651</v>
      </c>
      <c r="AH289" s="687">
        <f t="shared" si="152"/>
        <v>-76.776647724717677</v>
      </c>
      <c r="AJ289" s="170">
        <f t="shared" si="153"/>
        <v>0</v>
      </c>
      <c r="AK289" s="170">
        <f t="shared" si="165"/>
        <v>0</v>
      </c>
      <c r="AM289" s="170" t="str">
        <f t="shared" si="157"/>
        <v>0.090144981758673+0.414926313676385i</v>
      </c>
      <c r="AN289" s="170" t="str">
        <f t="shared" si="158"/>
        <v>0.427861814592947i</v>
      </c>
      <c r="AO289" s="170" t="str">
        <f t="shared" si="159"/>
        <v>0.96976710593146-0.210687139361651i</v>
      </c>
      <c r="AP289" s="170" t="str">
        <f t="shared" si="160"/>
        <v>0.151642503040221-0.0691543856127308i</v>
      </c>
      <c r="AQ289" s="170" t="str">
        <f t="shared" si="161"/>
        <v>0.848357496959779+0.0691543856127308i</v>
      </c>
      <c r="AR289" s="170" t="str">
        <f t="shared" si="162"/>
        <v>0.975415935913187-0.0795116327806098i</v>
      </c>
    </row>
    <row r="290" spans="7:44">
      <c r="G290" s="688">
        <v>19165.75</v>
      </c>
      <c r="H290" s="676">
        <f t="shared" si="154"/>
        <v>19.165749999999999</v>
      </c>
      <c r="I290" s="677">
        <f t="shared" si="134"/>
        <v>100.08791278935541</v>
      </c>
      <c r="J290" s="678">
        <f t="shared" si="135"/>
        <v>1.5608049441166201</v>
      </c>
      <c r="K290" s="678">
        <f t="shared" si="136"/>
        <v>1.0003508734886035</v>
      </c>
      <c r="L290" s="679">
        <f t="shared" si="137"/>
        <v>2.6486635339645983E-2</v>
      </c>
      <c r="M290" s="678">
        <f t="shared" si="138"/>
        <v>1.005167286938621</v>
      </c>
      <c r="N290" s="679">
        <f t="shared" si="139"/>
        <v>-0.10144095721217736</v>
      </c>
      <c r="O290" s="677">
        <f t="shared" si="140"/>
        <v>361265.87599180901</v>
      </c>
      <c r="P290" s="680">
        <f t="shared" si="141"/>
        <v>1.5707935587504549</v>
      </c>
      <c r="Q290" s="689">
        <f t="shared" si="163"/>
        <v>48.419954805157552</v>
      </c>
      <c r="R290" s="690">
        <f t="shared" si="164"/>
        <v>1.5501422161853937</v>
      </c>
      <c r="S290" s="677">
        <f t="shared" si="142"/>
        <v>1.2358340120137645</v>
      </c>
      <c r="T290" s="680">
        <f t="shared" si="143"/>
        <v>0.62805791025166968</v>
      </c>
      <c r="U290" s="681">
        <f t="shared" si="155"/>
        <v>0.97088577239905238</v>
      </c>
      <c r="V290" s="682">
        <f t="shared" si="156"/>
        <v>-0.29693484569852441</v>
      </c>
      <c r="W290" s="683">
        <f t="shared" si="144"/>
        <v>-13.573441394782744</v>
      </c>
      <c r="X290" s="684">
        <f t="shared" si="145"/>
        <v>-147.90351817597775</v>
      </c>
      <c r="Y290" s="687">
        <f t="shared" si="146"/>
        <v>32.096481824022248</v>
      </c>
      <c r="AA290" s="170">
        <f t="shared" si="147"/>
        <v>19165.75</v>
      </c>
      <c r="AB290" s="170">
        <f t="shared" si="148"/>
        <v>367325973.0625</v>
      </c>
      <c r="AD290" s="686">
        <f t="shared" si="149"/>
        <v>25.810195998191826</v>
      </c>
      <c r="AE290" s="687">
        <f t="shared" si="150"/>
        <v>-37.168302359954765</v>
      </c>
      <c r="AG290" s="686">
        <f t="shared" si="151"/>
        <v>14.632978925289159</v>
      </c>
      <c r="AH290" s="687">
        <f t="shared" si="152"/>
        <v>-76.70898887935482</v>
      </c>
      <c r="AJ290" s="170">
        <f t="shared" si="153"/>
        <v>0</v>
      </c>
      <c r="AK290" s="170">
        <f t="shared" si="165"/>
        <v>0</v>
      </c>
      <c r="AM290" s="170" t="str">
        <f t="shared" si="157"/>
        <v>0.091179626714309+0.41718764255531i</v>
      </c>
      <c r="AN290" s="170" t="str">
        <f t="shared" si="158"/>
        <v>0.430348600001825i</v>
      </c>
      <c r="AO290" s="170" t="str">
        <f t="shared" si="159"/>
        <v>0.96941791504269-0.211873877860698i</v>
      </c>
      <c r="AP290" s="170" t="str">
        <f t="shared" si="160"/>
        <v>0.151470062214282-0.0695312737592183i</v>
      </c>
      <c r="AQ290" s="170" t="str">
        <f t="shared" si="161"/>
        <v>0.848529937785718+0.0695312737592183i</v>
      </c>
      <c r="AR290" s="170" t="str">
        <f t="shared" si="162"/>
        <v>0.975150000706389-0.0799069291913899i</v>
      </c>
    </row>
    <row r="291" spans="7:44">
      <c r="G291" s="688">
        <v>19276.5</v>
      </c>
      <c r="H291" s="676">
        <f t="shared" si="154"/>
        <v>19.276499999999999</v>
      </c>
      <c r="I291" s="677">
        <f t="shared" si="134"/>
        <v>100.66621695134079</v>
      </c>
      <c r="J291" s="678">
        <f t="shared" si="135"/>
        <v>1.5608623441956717</v>
      </c>
      <c r="K291" s="678">
        <f t="shared" si="136"/>
        <v>1.0003549395543527</v>
      </c>
      <c r="L291" s="679">
        <f t="shared" si="137"/>
        <v>2.6639617154465202E-2</v>
      </c>
      <c r="M291" s="678">
        <f t="shared" si="138"/>
        <v>1.0052270224847919</v>
      </c>
      <c r="N291" s="679">
        <f t="shared" si="139"/>
        <v>-0.10202308996425248</v>
      </c>
      <c r="O291" s="677">
        <f t="shared" si="140"/>
        <v>363353.46430772613</v>
      </c>
      <c r="P291" s="680">
        <f t="shared" si="141"/>
        <v>1.5707935746538046</v>
      </c>
      <c r="Q291" s="689">
        <f t="shared" si="163"/>
        <v>48.699632317509717</v>
      </c>
      <c r="R291" s="690">
        <f t="shared" si="164"/>
        <v>1.5502608475687765</v>
      </c>
      <c r="S291" s="677">
        <f t="shared" si="142"/>
        <v>1.2383041598366065</v>
      </c>
      <c r="T291" s="680">
        <f t="shared" si="143"/>
        <v>0.63079982522836553</v>
      </c>
      <c r="U291" s="681">
        <f t="shared" si="155"/>
        <v>0.97056654287361932</v>
      </c>
      <c r="V291" s="682">
        <f t="shared" si="156"/>
        <v>-0.29860220557294548</v>
      </c>
      <c r="W291" s="683">
        <f t="shared" si="144"/>
        <v>-13.643153626631348</v>
      </c>
      <c r="X291" s="684">
        <f t="shared" si="145"/>
        <v>-148.17723216933413</v>
      </c>
      <c r="Y291" s="687">
        <f t="shared" si="146"/>
        <v>31.822767830665867</v>
      </c>
      <c r="AA291" s="170">
        <f t="shared" si="147"/>
        <v>19276.5</v>
      </c>
      <c r="AB291" s="170">
        <f t="shared" si="148"/>
        <v>371583452.25</v>
      </c>
      <c r="AD291" s="686">
        <f t="shared" si="149"/>
        <v>25.792831006502126</v>
      </c>
      <c r="AE291" s="687">
        <f t="shared" si="150"/>
        <v>-37.318606349684075</v>
      </c>
      <c r="AG291" s="686">
        <f t="shared" si="151"/>
        <v>14.586344506259678</v>
      </c>
      <c r="AH291" s="687">
        <f t="shared" si="152"/>
        <v>-76.641333515295941</v>
      </c>
      <c r="AJ291" s="170">
        <f t="shared" si="153"/>
        <v>0</v>
      </c>
      <c r="AK291" s="170">
        <f t="shared" si="165"/>
        <v>0</v>
      </c>
      <c r="AM291" s="170" t="str">
        <f t="shared" si="157"/>
        <v>0.092219891904637+0.419446391504768i</v>
      </c>
      <c r="AN291" s="170" t="str">
        <f t="shared" si="158"/>
        <v>0.432835385410703i</v>
      </c>
      <c r="AO291" s="170" t="str">
        <f t="shared" si="159"/>
        <v>0.969066776060301-0.21305996462635i</v>
      </c>
      <c r="AP291" s="170" t="str">
        <f t="shared" si="160"/>
        <v>0.15129668468256-0.0699077319174613i</v>
      </c>
      <c r="AQ291" s="170" t="str">
        <f t="shared" si="161"/>
        <v>0.84870331531744+0.0699077319174613i</v>
      </c>
      <c r="AR291" s="170" t="str">
        <f t="shared" si="162"/>
        <v>0.974882875938963-0.0803011482482237i</v>
      </c>
    </row>
    <row r="292" spans="7:44">
      <c r="G292" s="688">
        <v>19387.25</v>
      </c>
      <c r="H292" s="676">
        <f t="shared" si="154"/>
        <v>19.387250000000002</v>
      </c>
      <c r="I292" s="677">
        <f t="shared" si="134"/>
        <v>101.24452144120907</v>
      </c>
      <c r="J292" s="678">
        <f t="shared" si="135"/>
        <v>1.5609190885411868</v>
      </c>
      <c r="K292" s="678">
        <f t="shared" si="136"/>
        <v>1.0003590290316537</v>
      </c>
      <c r="L292" s="679">
        <f t="shared" si="137"/>
        <v>2.6792597722082416E-2</v>
      </c>
      <c r="M292" s="678">
        <f t="shared" si="138"/>
        <v>1.0052870986402784</v>
      </c>
      <c r="N292" s="679">
        <f t="shared" si="139"/>
        <v>-0.10260515333682038</v>
      </c>
      <c r="O292" s="677">
        <f t="shared" si="140"/>
        <v>365441.05262364325</v>
      </c>
      <c r="P292" s="680">
        <f t="shared" si="141"/>
        <v>1.5707935903754582</v>
      </c>
      <c r="Q292" s="689">
        <f t="shared" si="163"/>
        <v>48.97931050740447</v>
      </c>
      <c r="R292" s="690">
        <f t="shared" si="164"/>
        <v>1.5503781241527472</v>
      </c>
      <c r="S292" s="677">
        <f t="shared" si="142"/>
        <v>1.2407835802430118</v>
      </c>
      <c r="T292" s="680">
        <f t="shared" si="143"/>
        <v>0.6335308024966011</v>
      </c>
      <c r="U292" s="681">
        <f t="shared" si="155"/>
        <v>0.9702457732886981</v>
      </c>
      <c r="V292" s="682">
        <f t="shared" si="156"/>
        <v>-0.30026876622114179</v>
      </c>
      <c r="W292" s="683">
        <f t="shared" si="144"/>
        <v>-13.712620824348004</v>
      </c>
      <c r="X292" s="684">
        <f t="shared" si="145"/>
        <v>-148.45030982528817</v>
      </c>
      <c r="Y292" s="687">
        <f t="shared" si="146"/>
        <v>31.549690174711827</v>
      </c>
      <c r="AA292" s="170">
        <f t="shared" si="147"/>
        <v>19387.25</v>
      </c>
      <c r="AB292" s="170">
        <f t="shared" si="148"/>
        <v>375865462.5625</v>
      </c>
      <c r="AD292" s="686">
        <f t="shared" si="149"/>
        <v>25.775436028651701</v>
      </c>
      <c r="AE292" s="687">
        <f t="shared" si="150"/>
        <v>-37.468361268758414</v>
      </c>
      <c r="AG292" s="686">
        <f t="shared" si="151"/>
        <v>14.540014560833981</v>
      </c>
      <c r="AH292" s="687">
        <f t="shared" si="152"/>
        <v>-76.573682469068956</v>
      </c>
      <c r="AJ292" s="170">
        <f t="shared" si="153"/>
        <v>0</v>
      </c>
      <c r="AK292" s="170">
        <f t="shared" si="165"/>
        <v>0</v>
      </c>
      <c r="AM292" s="170" t="str">
        <f t="shared" si="157"/>
        <v>0.093265770896554+0.421702546556431i</v>
      </c>
      <c r="AN292" s="170" t="str">
        <f t="shared" si="158"/>
        <v>0.43532217081958i</v>
      </c>
      <c r="AO292" s="170" t="str">
        <f t="shared" si="159"/>
        <v>0.968713690282516-0.214245396049925i</v>
      </c>
      <c r="AP292" s="170" t="str">
        <f t="shared" si="160"/>
        <v>0.151122371517241-0.0702837577594052i</v>
      </c>
      <c r="AQ292" s="170" t="str">
        <f t="shared" si="161"/>
        <v>0.848877628482759+0.0702837577594052i</v>
      </c>
      <c r="AR292" s="170" t="str">
        <f t="shared" si="162"/>
        <v>0.974614567035291-0.0806942860076648i</v>
      </c>
    </row>
    <row r="293" spans="7:44">
      <c r="G293" s="688">
        <v>19498</v>
      </c>
      <c r="H293" s="676">
        <f t="shared" si="154"/>
        <v>19.498000000000001</v>
      </c>
      <c r="I293" s="677">
        <f t="shared" si="134"/>
        <v>101.82282625337366</v>
      </c>
      <c r="J293" s="678">
        <f t="shared" si="135"/>
        <v>1.5609751883255523</v>
      </c>
      <c r="K293" s="678">
        <f t="shared" si="136"/>
        <v>1.0003631419202195</v>
      </c>
      <c r="L293" s="679">
        <f t="shared" si="137"/>
        <v>2.6945577035352542E-2</v>
      </c>
      <c r="M293" s="678">
        <f t="shared" si="138"/>
        <v>1.0053475153440199</v>
      </c>
      <c r="N293" s="679">
        <f t="shared" si="139"/>
        <v>-0.10318714694795074</v>
      </c>
      <c r="O293" s="677">
        <f t="shared" si="140"/>
        <v>367528.64093956049</v>
      </c>
      <c r="P293" s="680">
        <f t="shared" si="141"/>
        <v>1.5707936059185115</v>
      </c>
      <c r="Q293" s="689">
        <f t="shared" si="163"/>
        <v>49.258989363301112</v>
      </c>
      <c r="R293" s="690">
        <f t="shared" si="164"/>
        <v>1.5504940690105764</v>
      </c>
      <c r="S293" s="677">
        <f t="shared" si="142"/>
        <v>1.2432722177568787</v>
      </c>
      <c r="T293" s="680">
        <f t="shared" si="143"/>
        <v>0.6362508668798047</v>
      </c>
      <c r="U293" s="681">
        <f t="shared" si="155"/>
        <v>0.96992346832264698</v>
      </c>
      <c r="V293" s="682">
        <f t="shared" si="156"/>
        <v>-0.30193452411617855</v>
      </c>
      <c r="W293" s="683">
        <f t="shared" si="144"/>
        <v>-13.781845595670175</v>
      </c>
      <c r="X293" s="684">
        <f t="shared" si="145"/>
        <v>-148.72275166087249</v>
      </c>
      <c r="Y293" s="687">
        <f t="shared" si="146"/>
        <v>31.27724833912751</v>
      </c>
      <c r="AA293" s="170">
        <f t="shared" si="147"/>
        <v>19498</v>
      </c>
      <c r="AB293" s="170">
        <f t="shared" si="148"/>
        <v>380172004</v>
      </c>
      <c r="AD293" s="686">
        <f t="shared" si="149"/>
        <v>25.758011694880153</v>
      </c>
      <c r="AE293" s="687">
        <f t="shared" si="150"/>
        <v>-37.617567217631844</v>
      </c>
      <c r="AG293" s="686">
        <f t="shared" si="151"/>
        <v>14.493985795837755</v>
      </c>
      <c r="AH293" s="687">
        <f t="shared" si="152"/>
        <v>-76.50603656140936</v>
      </c>
      <c r="AJ293" s="170">
        <f t="shared" si="153"/>
        <v>0</v>
      </c>
      <c r="AK293" s="170">
        <f t="shared" si="165"/>
        <v>0</v>
      </c>
      <c r="AM293" s="170" t="str">
        <f t="shared" si="157"/>
        <v>0.094317257222241+0.423956093758017i</v>
      </c>
      <c r="AN293" s="170" t="str">
        <f t="shared" si="158"/>
        <v>0.437808956228458i</v>
      </c>
      <c r="AO293" s="170" t="str">
        <f t="shared" si="159"/>
        <v>0.968358659014704-0.215430168525434i</v>
      </c>
      <c r="AP293" s="170" t="str">
        <f t="shared" si="160"/>
        <v>0.150947123796293-0.0706593489596695i</v>
      </c>
      <c r="AQ293" s="170" t="str">
        <f t="shared" si="161"/>
        <v>0.849052876203707+0.0706593489596695i</v>
      </c>
      <c r="AR293" s="170" t="str">
        <f t="shared" si="162"/>
        <v>0.974345079433401-0.0810863385595595i</v>
      </c>
    </row>
    <row r="294" spans="7:44">
      <c r="G294" s="688">
        <v>19611.75</v>
      </c>
      <c r="H294" s="676">
        <f t="shared" si="154"/>
        <v>19.611750000000001</v>
      </c>
      <c r="I294" s="677">
        <f t="shared" si="134"/>
        <v>102.41679653695236</v>
      </c>
      <c r="J294" s="678">
        <f t="shared" si="135"/>
        <v>1.5610321482240526</v>
      </c>
      <c r="K294" s="678">
        <f t="shared" si="136"/>
        <v>1.0003673905896575</v>
      </c>
      <c r="L294" s="679">
        <f t="shared" si="137"/>
        <v>2.7102698944506943E-2</v>
      </c>
      <c r="M294" s="678">
        <f t="shared" si="138"/>
        <v>1.0054099230634956</v>
      </c>
      <c r="N294" s="679">
        <f t="shared" si="139"/>
        <v>-0.10378483260057489</v>
      </c>
      <c r="O294" s="677">
        <f t="shared" si="140"/>
        <v>369672.77792317758</v>
      </c>
      <c r="P294" s="680">
        <f t="shared" si="141"/>
        <v>1.5707936216998513</v>
      </c>
      <c r="Q294" s="689">
        <f t="shared" si="163"/>
        <v>49.546244851608066</v>
      </c>
      <c r="R294" s="690">
        <f t="shared" si="164"/>
        <v>1.5506117919467481</v>
      </c>
      <c r="S294" s="677">
        <f t="shared" si="142"/>
        <v>1.2458378045522167</v>
      </c>
      <c r="T294" s="680">
        <f t="shared" si="143"/>
        <v>0.63903327871170457</v>
      </c>
      <c r="U294" s="681">
        <f t="shared" si="155"/>
        <v>0.96959083934699308</v>
      </c>
      <c r="V294" s="682">
        <f t="shared" si="156"/>
        <v>-0.30364456476856527</v>
      </c>
      <c r="W294" s="683">
        <f t="shared" si="144"/>
        <v>-13.852695850587843</v>
      </c>
      <c r="X294" s="684">
        <f t="shared" si="145"/>
        <v>-149.00191210990664</v>
      </c>
      <c r="Y294" s="687">
        <f t="shared" si="146"/>
        <v>30.998087890093359</v>
      </c>
      <c r="AA294" s="170">
        <f t="shared" si="147"/>
        <v>19611.75</v>
      </c>
      <c r="AB294" s="170">
        <f t="shared" si="148"/>
        <v>384620738.0625</v>
      </c>
      <c r="AD294" s="686">
        <f t="shared" si="149"/>
        <v>25.740085466972143</v>
      </c>
      <c r="AE294" s="687">
        <f t="shared" si="150"/>
        <v>-37.770243549451052</v>
      </c>
      <c r="AG294" s="686">
        <f t="shared" si="151"/>
        <v>14.447020329875786</v>
      </c>
      <c r="AH294" s="687">
        <f t="shared" si="152"/>
        <v>-76.436564454045282</v>
      </c>
      <c r="AJ294" s="170">
        <f t="shared" si="153"/>
        <v>0</v>
      </c>
      <c r="AK294" s="170">
        <f t="shared" si="165"/>
        <v>0</v>
      </c>
      <c r="AM294" s="170" t="str">
        <f t="shared" si="157"/>
        <v>0.095403056645522+0.426267955720033i</v>
      </c>
      <c r="AN294" s="170" t="str">
        <f t="shared" si="158"/>
        <v>0.440363103770308i</v>
      </c>
      <c r="AO294" s="170" t="str">
        <f t="shared" si="159"/>
        <v>0.967991986772745-0.216646344411461i</v>
      </c>
      <c r="AP294" s="170" t="str">
        <f t="shared" si="160"/>
        <v>0.150766157225746-0.0710446592866722i</v>
      </c>
      <c r="AQ294" s="170" t="str">
        <f t="shared" si="161"/>
        <v>0.849233842774254+0.0710446592866722i</v>
      </c>
      <c r="AR294" s="170" t="str">
        <f t="shared" si="162"/>
        <v>0.974067070644308-0.0814878772732651i</v>
      </c>
    </row>
    <row r="295" spans="7:44">
      <c r="G295" s="688">
        <v>19725.5</v>
      </c>
      <c r="H295" s="676">
        <f t="shared" si="154"/>
        <v>19.7255</v>
      </c>
      <c r="I295" s="677">
        <f t="shared" si="134"/>
        <v>103.01076714898322</v>
      </c>
      <c r="J295" s="678">
        <f t="shared" si="135"/>
        <v>1.5610884512495407</v>
      </c>
      <c r="K295" s="678">
        <f t="shared" si="136"/>
        <v>1.0003716639552496</v>
      </c>
      <c r="L295" s="679">
        <f t="shared" si="137"/>
        <v>2.7259819515160391E-2</v>
      </c>
      <c r="M295" s="678">
        <f t="shared" si="138"/>
        <v>1.0054726898990283</v>
      </c>
      <c r="N295" s="679">
        <f t="shared" si="139"/>
        <v>-0.10438244384536553</v>
      </c>
      <c r="O295" s="677">
        <f t="shared" si="140"/>
        <v>371816.91490679479</v>
      </c>
      <c r="P295" s="680">
        <f t="shared" si="141"/>
        <v>1.57079363729918</v>
      </c>
      <c r="Q295" s="689">
        <f t="shared" si="163"/>
        <v>49.833501018644967</v>
      </c>
      <c r="R295" s="690">
        <f t="shared" si="164"/>
        <v>1.5507281576995422</v>
      </c>
      <c r="S295" s="677">
        <f t="shared" si="142"/>
        <v>1.2484129967079964</v>
      </c>
      <c r="T295" s="680">
        <f t="shared" si="143"/>
        <v>0.6418042329563306</v>
      </c>
      <c r="U295" s="681">
        <f t="shared" si="155"/>
        <v>0.96925660073246389</v>
      </c>
      <c r="V295" s="682">
        <f t="shared" si="156"/>
        <v>-0.30535375109951141</v>
      </c>
      <c r="W295" s="683">
        <f t="shared" si="144"/>
        <v>-13.923295782650616</v>
      </c>
      <c r="X295" s="684">
        <f t="shared" si="145"/>
        <v>-149.28040306636845</v>
      </c>
      <c r="Y295" s="687">
        <f t="shared" si="146"/>
        <v>30.71959693363155</v>
      </c>
      <c r="AA295" s="170">
        <f t="shared" si="147"/>
        <v>19725.5</v>
      </c>
      <c r="AB295" s="170">
        <f t="shared" si="148"/>
        <v>389095350.25</v>
      </c>
      <c r="AD295" s="686">
        <f t="shared" si="149"/>
        <v>25.722129601518851</v>
      </c>
      <c r="AE295" s="687">
        <f t="shared" si="150"/>
        <v>-37.922341160326525</v>
      </c>
      <c r="AG295" s="686">
        <f t="shared" si="151"/>
        <v>14.400365718005908</v>
      </c>
      <c r="AH295" s="687">
        <f t="shared" si="152"/>
        <v>-76.367099473078454</v>
      </c>
      <c r="AJ295" s="170">
        <f t="shared" si="153"/>
        <v>0</v>
      </c>
      <c r="AK295" s="170">
        <f t="shared" si="165"/>
        <v>0</v>
      </c>
      <c r="AM295" s="170" t="str">
        <f t="shared" si="157"/>
        <v>0.096494757357234+0.428577036852229i</v>
      </c>
      <c r="AN295" s="170" t="str">
        <f t="shared" si="158"/>
        <v>0.442917251312158i</v>
      </c>
      <c r="AO295" s="170" t="str">
        <f t="shared" si="159"/>
        <v>0.967623265028748-0.21786181746447i</v>
      </c>
      <c r="AP295" s="170" t="str">
        <f t="shared" si="160"/>
        <v>0.150584207107128-0.0714295061420382i</v>
      </c>
      <c r="AQ295" s="170" t="str">
        <f t="shared" si="161"/>
        <v>0.849415792892872+0.0714295061420382i</v>
      </c>
      <c r="AR295" s="170" t="str">
        <f t="shared" si="162"/>
        <v>0.973787830106741-0.0818882629374706i</v>
      </c>
    </row>
    <row r="296" spans="7:44">
      <c r="G296" s="688">
        <v>19839.25</v>
      </c>
      <c r="H296" s="676">
        <f t="shared" si="154"/>
        <v>19.83925</v>
      </c>
      <c r="I296" s="677">
        <f t="shared" si="134"/>
        <v>103.60473808381717</v>
      </c>
      <c r="J296" s="678">
        <f t="shared" si="135"/>
        <v>1.5611441086993099</v>
      </c>
      <c r="K296" s="678">
        <f t="shared" si="136"/>
        <v>1.0003759620166794</v>
      </c>
      <c r="L296" s="679">
        <f t="shared" si="137"/>
        <v>2.7416938739572457E-2</v>
      </c>
      <c r="M296" s="678">
        <f t="shared" si="138"/>
        <v>1.0055358157833676</v>
      </c>
      <c r="N296" s="679">
        <f t="shared" si="139"/>
        <v>-0.1049799802694359</v>
      </c>
      <c r="O296" s="677">
        <f t="shared" si="140"/>
        <v>373961.05189041205</v>
      </c>
      <c r="P296" s="680">
        <f t="shared" si="141"/>
        <v>1.5707936527196287</v>
      </c>
      <c r="Q296" s="689">
        <f t="shared" si="163"/>
        <v>50.120757852741846</v>
      </c>
      <c r="R296" s="690">
        <f t="shared" si="164"/>
        <v>1.5508431896010333</v>
      </c>
      <c r="S296" s="677">
        <f t="shared" si="142"/>
        <v>1.2509977349060095</v>
      </c>
      <c r="T296" s="680">
        <f t="shared" si="143"/>
        <v>0.64456375794981979</v>
      </c>
      <c r="U296" s="681">
        <f t="shared" si="155"/>
        <v>0.96892075759393492</v>
      </c>
      <c r="V296" s="682">
        <f t="shared" si="156"/>
        <v>-0.30706207934131913</v>
      </c>
      <c r="W296" s="683">
        <f t="shared" si="144"/>
        <v>-13.993648056179744</v>
      </c>
      <c r="X296" s="684">
        <f t="shared" si="145"/>
        <v>-149.55822522534976</v>
      </c>
      <c r="Y296" s="687">
        <f t="shared" si="146"/>
        <v>30.441774774650241</v>
      </c>
      <c r="AA296" s="170">
        <f t="shared" si="147"/>
        <v>19839.25</v>
      </c>
      <c r="AB296" s="170">
        <f t="shared" si="148"/>
        <v>393595840.5625</v>
      </c>
      <c r="AD296" s="686">
        <f t="shared" si="149"/>
        <v>25.704144763685079</v>
      </c>
      <c r="AE296" s="687">
        <f t="shared" si="150"/>
        <v>-38.073860337149299</v>
      </c>
      <c r="AG296" s="686">
        <f t="shared" si="151"/>
        <v>14.354018570296333</v>
      </c>
      <c r="AH296" s="687">
        <f t="shared" si="152"/>
        <v>-76.297642458456124</v>
      </c>
      <c r="AJ296" s="170">
        <f t="shared" si="153"/>
        <v>0</v>
      </c>
      <c r="AK296" s="170">
        <f t="shared" si="165"/>
        <v>0</v>
      </c>
      <c r="AM296" s="170" t="str">
        <f t="shared" si="157"/>
        <v>0.097592352235486+0.430883322090931i</v>
      </c>
      <c r="AN296" s="170" t="str">
        <f t="shared" si="158"/>
        <v>0.445471398854008i</v>
      </c>
      <c r="AO296" s="170" t="str">
        <f t="shared" si="159"/>
        <v>0.967252495220557-0.219076583786402i</v>
      </c>
      <c r="AP296" s="170" t="str">
        <f t="shared" si="160"/>
        <v>0.150401274627419-0.0718138870151552i</v>
      </c>
      <c r="AQ296" s="170" t="str">
        <f t="shared" si="161"/>
        <v>0.849598725372581+0.0718138870151552i</v>
      </c>
      <c r="AR296" s="170" t="str">
        <f t="shared" si="162"/>
        <v>0.973507363756106-0.082287491425489i</v>
      </c>
    </row>
    <row r="297" spans="7:44">
      <c r="G297" s="688">
        <v>19953</v>
      </c>
      <c r="H297" s="676">
        <f t="shared" si="154"/>
        <v>19.952999999999999</v>
      </c>
      <c r="I297" s="677">
        <f t="shared" si="134"/>
        <v>104.19870933593388</v>
      </c>
      <c r="J297" s="678">
        <f t="shared" si="135"/>
        <v>1.5611991316130751</v>
      </c>
      <c r="K297" s="678">
        <f t="shared" si="136"/>
        <v>1.0003802847736285</v>
      </c>
      <c r="L297" s="679">
        <f t="shared" si="137"/>
        <v>2.757405661000311E-2</v>
      </c>
      <c r="M297" s="678">
        <f t="shared" si="138"/>
        <v>1.0055993006488968</v>
      </c>
      <c r="N297" s="679">
        <f t="shared" si="139"/>
        <v>-0.10557744146021636</v>
      </c>
      <c r="O297" s="677">
        <f t="shared" si="140"/>
        <v>376105.18887402944</v>
      </c>
      <c r="P297" s="680">
        <f t="shared" si="141"/>
        <v>1.5707936679642567</v>
      </c>
      <c r="Q297" s="689">
        <f t="shared" si="163"/>
        <v>50.408015342494721</v>
      </c>
      <c r="R297" s="690">
        <f t="shared" si="164"/>
        <v>1.5509569104515943</v>
      </c>
      <c r="S297" s="677">
        <f t="shared" si="142"/>
        <v>1.2535919600982872</v>
      </c>
      <c r="T297" s="680">
        <f t="shared" si="143"/>
        <v>0.64731188249130955</v>
      </c>
      <c r="U297" s="681">
        <f t="shared" si="155"/>
        <v>0.96858331506140005</v>
      </c>
      <c r="V297" s="682">
        <f t="shared" si="156"/>
        <v>-0.30876954574451676</v>
      </c>
      <c r="W297" s="683">
        <f t="shared" si="144"/>
        <v>-14.063755283794819</v>
      </c>
      <c r="X297" s="684">
        <f t="shared" si="145"/>
        <v>-149.83537932523484</v>
      </c>
      <c r="Y297" s="687">
        <f t="shared" si="146"/>
        <v>30.16462067476516</v>
      </c>
      <c r="AA297" s="170">
        <f t="shared" si="147"/>
        <v>19953</v>
      </c>
      <c r="AB297" s="170">
        <f t="shared" si="148"/>
        <v>398122209</v>
      </c>
      <c r="AD297" s="686">
        <f t="shared" si="149"/>
        <v>25.686131612653838</v>
      </c>
      <c r="AE297" s="687">
        <f t="shared" si="150"/>
        <v>-38.224801423798496</v>
      </c>
      <c r="AG297" s="686">
        <f t="shared" si="151"/>
        <v>14.307975554286333</v>
      </c>
      <c r="AH297" s="687">
        <f t="shared" si="152"/>
        <v>-76.22819423434126</v>
      </c>
      <c r="AJ297" s="170">
        <f t="shared" si="153"/>
        <v>0</v>
      </c>
      <c r="AK297" s="170">
        <f t="shared" si="165"/>
        <v>0</v>
      </c>
      <c r="AM297" s="170" t="str">
        <f t="shared" si="157"/>
        <v>0.098695834119935+0.433186796390703i</v>
      </c>
      <c r="AN297" s="170" t="str">
        <f t="shared" si="158"/>
        <v>0.448025546395858i</v>
      </c>
      <c r="AO297" s="170" t="str">
        <f t="shared" si="159"/>
        <v>0.966879678793932-0.220290639482266i</v>
      </c>
      <c r="AP297" s="170" t="str">
        <f t="shared" si="160"/>
        <v>0.150217360980011-0.0721977993984505i</v>
      </c>
      <c r="AQ297" s="170" t="str">
        <f t="shared" si="161"/>
        <v>0.849782639019989+0.0721977993984505i</v>
      </c>
      <c r="AR297" s="170" t="str">
        <f t="shared" si="162"/>
        <v>0.973225677541927-0.0826855586478277i</v>
      </c>
    </row>
    <row r="298" spans="7:44">
      <c r="G298" s="688">
        <v>20069</v>
      </c>
      <c r="H298" s="676">
        <f t="shared" si="154"/>
        <v>20.068999999999999</v>
      </c>
      <c r="I298" s="677">
        <f t="shared" si="134"/>
        <v>104.80442979112705</v>
      </c>
      <c r="J298" s="678">
        <f t="shared" si="135"/>
        <v>1.561254600588819</v>
      </c>
      <c r="K298" s="678">
        <f t="shared" si="136"/>
        <v>1.0003847184684027</v>
      </c>
      <c r="L298" s="679">
        <f t="shared" si="137"/>
        <v>2.7734280903999591E-2</v>
      </c>
      <c r="M298" s="678">
        <f t="shared" si="138"/>
        <v>1.0056644108910473</v>
      </c>
      <c r="N298" s="679">
        <f t="shared" si="139"/>
        <v>-0.1061866426570955</v>
      </c>
      <c r="O298" s="677">
        <f t="shared" si="140"/>
        <v>378291.73735842173</v>
      </c>
      <c r="P298" s="680">
        <f t="shared" si="141"/>
        <v>1.5707936833324541</v>
      </c>
      <c r="Q298" s="689">
        <f t="shared" si="163"/>
        <v>50.700955512213383</v>
      </c>
      <c r="R298" s="690">
        <f t="shared" si="164"/>
        <v>1.5510715536168305</v>
      </c>
      <c r="S298" s="677">
        <f t="shared" si="142"/>
        <v>1.2562472090383223</v>
      </c>
      <c r="T298" s="680">
        <f t="shared" si="143"/>
        <v>0.65010265492773456</v>
      </c>
      <c r="U298" s="681">
        <f t="shared" si="155"/>
        <v>0.96823755601354622</v>
      </c>
      <c r="V298" s="682">
        <f t="shared" si="156"/>
        <v>-0.31050989476229657</v>
      </c>
      <c r="W298" s="683">
        <f t="shared" si="144"/>
        <v>-14.134999539232002</v>
      </c>
      <c r="X298" s="684">
        <f t="shared" si="145"/>
        <v>-150.11732839219707</v>
      </c>
      <c r="Y298" s="687">
        <f t="shared" si="146"/>
        <v>29.882671607802934</v>
      </c>
      <c r="AA298" s="170">
        <f t="shared" si="147"/>
        <v>20069</v>
      </c>
      <c r="AB298" s="170">
        <f t="shared" si="148"/>
        <v>402764761</v>
      </c>
      <c r="AD298" s="686">
        <f t="shared" si="149"/>
        <v>25.667733675852187</v>
      </c>
      <c r="AE298" s="687">
        <f t="shared" si="150"/>
        <v>-38.378133217177101</v>
      </c>
      <c r="AG298" s="686">
        <f t="shared" si="151"/>
        <v>14.261331616072807</v>
      </c>
      <c r="AH298" s="687">
        <f t="shared" si="152"/>
        <v>-76.157382200499882</v>
      </c>
      <c r="AJ298" s="170">
        <f t="shared" si="153"/>
        <v>0</v>
      </c>
      <c r="AK298" s="170">
        <f t="shared" si="165"/>
        <v>0</v>
      </c>
      <c r="AM298" s="170" t="str">
        <f t="shared" si="157"/>
        <v>0.099827198483036+0.435532923450227i</v>
      </c>
      <c r="AN298" s="170" t="str">
        <f t="shared" si="158"/>
        <v>0.450630215537436i</v>
      </c>
      <c r="AO298" s="170" t="str">
        <f t="shared" si="159"/>
        <v>0.966497381740806-0.221527973582461i</v>
      </c>
      <c r="AP298" s="170" t="str">
        <f t="shared" si="160"/>
        <v>0.150028800252827-0.0725888205750378i</v>
      </c>
      <c r="AQ298" s="170" t="str">
        <f t="shared" si="161"/>
        <v>0.849971199747173+0.0725888205750378i</v>
      </c>
      <c r="AR298" s="170" t="str">
        <f t="shared" si="162"/>
        <v>0.972937169398611-0.0830902995787015i</v>
      </c>
    </row>
    <row r="299" spans="7:44">
      <c r="G299" s="688">
        <v>20185</v>
      </c>
      <c r="H299" s="676">
        <f t="shared" si="154"/>
        <v>20.184999999999999</v>
      </c>
      <c r="I299" s="677">
        <f t="shared" si="134"/>
        <v>105.4101505650773</v>
      </c>
      <c r="J299" s="678">
        <f t="shared" si="135"/>
        <v>1.5613094320794265</v>
      </c>
      <c r="K299" s="678">
        <f t="shared" si="136"/>
        <v>1.0003891778446499</v>
      </c>
      <c r="L299" s="679">
        <f t="shared" si="137"/>
        <v>2.7894503773664352E-2</v>
      </c>
      <c r="M299" s="678">
        <f t="shared" si="138"/>
        <v>1.005729894313101</v>
      </c>
      <c r="N299" s="679">
        <f t="shared" si="139"/>
        <v>-0.10679576474940908</v>
      </c>
      <c r="O299" s="677">
        <f t="shared" si="140"/>
        <v>380478.28584281413</v>
      </c>
      <c r="P299" s="680">
        <f t="shared" si="141"/>
        <v>1.5707936985240143</v>
      </c>
      <c r="Q299" s="689">
        <f t="shared" si="163"/>
        <v>50.993896340641484</v>
      </c>
      <c r="R299" s="690">
        <f t="shared" si="164"/>
        <v>1.5511848796194805</v>
      </c>
      <c r="S299" s="677">
        <f t="shared" si="142"/>
        <v>1.2589122008305504</v>
      </c>
      <c r="T299" s="680">
        <f t="shared" si="143"/>
        <v>0.6528816333570131</v>
      </c>
      <c r="U299" s="681">
        <f t="shared" si="155"/>
        <v>0.9678901444957444</v>
      </c>
      <c r="V299" s="682">
        <f t="shared" si="156"/>
        <v>-0.31224933969191271</v>
      </c>
      <c r="W299" s="683">
        <f t="shared" si="144"/>
        <v>-14.205994287883152</v>
      </c>
      <c r="X299" s="684">
        <f t="shared" si="145"/>
        <v>-150.39858439366844</v>
      </c>
      <c r="Y299" s="687">
        <f t="shared" si="146"/>
        <v>29.601415606331557</v>
      </c>
      <c r="AA299" s="170">
        <f t="shared" si="147"/>
        <v>20185</v>
      </c>
      <c r="AB299" s="170">
        <f t="shared" si="148"/>
        <v>407434225</v>
      </c>
      <c r="AD299" s="686">
        <f t="shared" si="149"/>
        <v>25.649307660298064</v>
      </c>
      <c r="AE299" s="687">
        <f t="shared" si="150"/>
        <v>-38.530864721458549</v>
      </c>
      <c r="AG299" s="686">
        <f t="shared" si="151"/>
        <v>14.214997137326282</v>
      </c>
      <c r="AH299" s="687">
        <f t="shared" si="152"/>
        <v>-76.086580991137239</v>
      </c>
      <c r="AJ299" s="170">
        <f t="shared" si="153"/>
        <v>0</v>
      </c>
      <c r="AK299" s="170">
        <f t="shared" si="165"/>
        <v>0</v>
      </c>
      <c r="AM299" s="170" t="str">
        <f t="shared" si="157"/>
        <v>0.100964669886227+0.437876095724828i</v>
      </c>
      <c r="AN299" s="170" t="str">
        <f t="shared" si="158"/>
        <v>0.453234884679015i</v>
      </c>
      <c r="AO299" s="170" t="str">
        <f t="shared" si="159"/>
        <v>0.966112959365288-0.222764560494347i</v>
      </c>
      <c r="AP299" s="170" t="str">
        <f t="shared" si="160"/>
        <v>0.149839221685629-0.0729793492874713i</v>
      </c>
      <c r="AQ299" s="170" t="str">
        <f t="shared" si="161"/>
        <v>0.850160778314371+0.0729793492874713i</v>
      </c>
      <c r="AR299" s="170" t="str">
        <f t="shared" si="162"/>
        <v>0.972647405196597-0.0834938243777074i</v>
      </c>
    </row>
    <row r="300" spans="7:44">
      <c r="G300" s="688">
        <v>20301</v>
      </c>
      <c r="H300" s="676">
        <f t="shared" si="154"/>
        <v>20.300999999999998</v>
      </c>
      <c r="I300" s="677">
        <f t="shared" si="134"/>
        <v>106.015871652321</v>
      </c>
      <c r="J300" s="678">
        <f t="shared" si="135"/>
        <v>1.5613636370113684</v>
      </c>
      <c r="K300" s="678">
        <f t="shared" si="136"/>
        <v>1.0003936629020262</v>
      </c>
      <c r="L300" s="679">
        <f t="shared" si="137"/>
        <v>2.8054725210790214E-2</v>
      </c>
      <c r="M300" s="678">
        <f t="shared" si="138"/>
        <v>1.0057957508421691</v>
      </c>
      <c r="N300" s="679">
        <f t="shared" si="139"/>
        <v>-0.10740480730064719</v>
      </c>
      <c r="O300" s="677">
        <f t="shared" si="140"/>
        <v>382664.8343272066</v>
      </c>
      <c r="P300" s="680">
        <f t="shared" si="141"/>
        <v>1.5707937135419654</v>
      </c>
      <c r="Q300" s="689">
        <f t="shared" si="163"/>
        <v>51.286837816491754</v>
      </c>
      <c r="R300" s="690">
        <f t="shared" si="164"/>
        <v>1.5512969110268178</v>
      </c>
      <c r="S300" s="677">
        <f t="shared" si="142"/>
        <v>1.2615868737322071</v>
      </c>
      <c r="T300" s="680">
        <f t="shared" si="143"/>
        <v>0.65564884973385651</v>
      </c>
      <c r="U300" s="681">
        <f t="shared" si="155"/>
        <v>0.96754108599572841</v>
      </c>
      <c r="V300" s="682">
        <f t="shared" si="156"/>
        <v>-0.31398787661577543</v>
      </c>
      <c r="W300" s="683">
        <f t="shared" si="144"/>
        <v>-14.276742142690292</v>
      </c>
      <c r="X300" s="684">
        <f t="shared" si="145"/>
        <v>-150.67914824472257</v>
      </c>
      <c r="Y300" s="687">
        <f t="shared" si="146"/>
        <v>29.320851755277431</v>
      </c>
      <c r="AA300" s="170">
        <f t="shared" si="147"/>
        <v>20301</v>
      </c>
      <c r="AB300" s="170">
        <f t="shared" si="148"/>
        <v>412130601</v>
      </c>
      <c r="AD300" s="686">
        <f t="shared" si="149"/>
        <v>25.63085424585498</v>
      </c>
      <c r="AE300" s="687">
        <f t="shared" si="150"/>
        <v>-38.682996474676862</v>
      </c>
      <c r="AG300" s="686">
        <f t="shared" si="151"/>
        <v>14.168968760242542</v>
      </c>
      <c r="AH300" s="687">
        <f t="shared" si="152"/>
        <v>-76.015791432215437</v>
      </c>
      <c r="AJ300" s="170">
        <f t="shared" si="153"/>
        <v>0</v>
      </c>
      <c r="AK300" s="170">
        <f t="shared" si="165"/>
        <v>0</v>
      </c>
      <c r="AM300" s="170" t="str">
        <f t="shared" si="157"/>
        <v>0.102108240612561+0.440216297317726i</v>
      </c>
      <c r="AN300" s="170" t="str">
        <f t="shared" si="158"/>
        <v>0.455839553820594i</v>
      </c>
      <c r="AO300" s="170" t="str">
        <f t="shared" si="159"/>
        <v>0.965726413226052-0.22400039609715i</v>
      </c>
      <c r="AP300" s="170" t="str">
        <f t="shared" si="160"/>
        <v>0.149648626564573-0.0733693828862877i</v>
      </c>
      <c r="AQ300" s="170" t="str">
        <f t="shared" si="161"/>
        <v>0.850351373435427+0.0733693828862877i</v>
      </c>
      <c r="AR300" s="170" t="str">
        <f t="shared" si="162"/>
        <v>0.972356391289068-0.0838961288275429i</v>
      </c>
    </row>
    <row r="301" spans="7:44">
      <c r="G301" s="688">
        <v>20417</v>
      </c>
      <c r="H301" s="676">
        <f t="shared" si="154"/>
        <v>20.417000000000002</v>
      </c>
      <c r="I301" s="677">
        <f t="shared" si="134"/>
        <v>106.62159304751863</v>
      </c>
      <c r="J301" s="678">
        <f t="shared" si="135"/>
        <v>1.561417226062835</v>
      </c>
      <c r="K301" s="678">
        <f t="shared" si="136"/>
        <v>1.0003981736401866</v>
      </c>
      <c r="L301" s="679">
        <f t="shared" si="137"/>
        <v>2.8214945207170442E-2</v>
      </c>
      <c r="M301" s="678">
        <f t="shared" si="138"/>
        <v>1.0058619804049662</v>
      </c>
      <c r="N301" s="679">
        <f t="shared" si="139"/>
        <v>-0.10801376987464997</v>
      </c>
      <c r="O301" s="677">
        <f t="shared" si="140"/>
        <v>384851.38281159924</v>
      </c>
      <c r="P301" s="680">
        <f t="shared" si="141"/>
        <v>1.5707937283892661</v>
      </c>
      <c r="Q301" s="689">
        <f t="shared" si="163"/>
        <v>51.579779928733302</v>
      </c>
      <c r="R301" s="690">
        <f t="shared" si="164"/>
        <v>1.551407669893573</v>
      </c>
      <c r="S301" s="677">
        <f t="shared" si="142"/>
        <v>1.2642711662996691</v>
      </c>
      <c r="T301" s="680">
        <f t="shared" si="143"/>
        <v>0.65840433646359864</v>
      </c>
      <c r="U301" s="681">
        <f t="shared" si="155"/>
        <v>0.96719038601670981</v>
      </c>
      <c r="V301" s="682">
        <f t="shared" si="156"/>
        <v>-0.31572550163618956</v>
      </c>
      <c r="W301" s="683">
        <f t="shared" si="144"/>
        <v>-14.347245666152928</v>
      </c>
      <c r="X301" s="684">
        <f t="shared" si="145"/>
        <v>-150.95902090254864</v>
      </c>
      <c r="Y301" s="687">
        <f t="shared" si="146"/>
        <v>29.040979097451356</v>
      </c>
      <c r="AA301" s="170">
        <f t="shared" si="147"/>
        <v>20417</v>
      </c>
      <c r="AB301" s="170">
        <f t="shared" si="148"/>
        <v>416853889</v>
      </c>
      <c r="AD301" s="686">
        <f t="shared" si="149"/>
        <v>25.612374105926278</v>
      </c>
      <c r="AE301" s="687">
        <f t="shared" si="150"/>
        <v>-38.834529070047473</v>
      </c>
      <c r="AG301" s="686">
        <f t="shared" si="151"/>
        <v>14.123243183698897</v>
      </c>
      <c r="AH301" s="687">
        <f t="shared" si="152"/>
        <v>-75.945014334351228</v>
      </c>
      <c r="AJ301" s="170">
        <f t="shared" si="153"/>
        <v>0</v>
      </c>
      <c r="AK301" s="170">
        <f t="shared" si="165"/>
        <v>0</v>
      </c>
      <c r="AM301" s="170" t="str">
        <f t="shared" si="157"/>
        <v>0.103257902903714+0.442553512352298i</v>
      </c>
      <c r="AN301" s="170" t="str">
        <f t="shared" si="158"/>
        <v>0.458444222962172i</v>
      </c>
      <c r="AO301" s="170" t="str">
        <f t="shared" si="159"/>
        <v>0.96533774489032-0.225235476273488i</v>
      </c>
      <c r="AP301" s="170" t="str">
        <f t="shared" si="160"/>
        <v>0.149457016182714-0.073758918725383i</v>
      </c>
      <c r="AQ301" s="170" t="str">
        <f t="shared" si="161"/>
        <v>0.850542983817286+0.073758918725383i</v>
      </c>
      <c r="AR301" s="170" t="str">
        <f t="shared" si="162"/>
        <v>0.972064134043283-0.0842972087512517i</v>
      </c>
    </row>
    <row r="302" spans="7:44">
      <c r="G302" s="688">
        <v>20536</v>
      </c>
      <c r="H302" s="676">
        <f t="shared" si="154"/>
        <v>20.536000000000001</v>
      </c>
      <c r="I302" s="677">
        <f t="shared" si="134"/>
        <v>107.24297996574717</v>
      </c>
      <c r="J302" s="678">
        <f t="shared" si="135"/>
        <v>1.5614715719968817</v>
      </c>
      <c r="K302" s="678">
        <f t="shared" si="136"/>
        <v>1.0004028277206138</v>
      </c>
      <c r="L302" s="679">
        <f t="shared" si="137"/>
        <v>2.8379307318427367E-2</v>
      </c>
      <c r="M302" s="678">
        <f t="shared" si="138"/>
        <v>1.0059303103536743</v>
      </c>
      <c r="N302" s="679">
        <f t="shared" si="139"/>
        <v>-0.10863839791743056</v>
      </c>
      <c r="O302" s="677">
        <f t="shared" si="140"/>
        <v>387094.47996369173</v>
      </c>
      <c r="P302" s="680">
        <f t="shared" si="141"/>
        <v>1.5707937434462524</v>
      </c>
      <c r="Q302" s="689">
        <f t="shared" si="163"/>
        <v>51.880298780077716</v>
      </c>
      <c r="R302" s="690">
        <f t="shared" si="164"/>
        <v>1.5515199934717505</v>
      </c>
      <c r="S302" s="677">
        <f t="shared" si="142"/>
        <v>1.267034812205166</v>
      </c>
      <c r="T302" s="680">
        <f t="shared" si="143"/>
        <v>0.66121893160788836</v>
      </c>
      <c r="U302" s="681">
        <f t="shared" si="155"/>
        <v>0.96682891628853485</v>
      </c>
      <c r="V302" s="682">
        <f t="shared" si="156"/>
        <v>-0.31750711358665545</v>
      </c>
      <c r="W302" s="683">
        <f t="shared" si="144"/>
        <v>-14.419321299043165</v>
      </c>
      <c r="X302" s="684">
        <f t="shared" si="145"/>
        <v>-151.24541445489044</v>
      </c>
      <c r="Y302" s="687">
        <f t="shared" si="146"/>
        <v>28.754585545109563</v>
      </c>
      <c r="AA302" s="170">
        <f t="shared" si="147"/>
        <v>20536</v>
      </c>
      <c r="AB302" s="170">
        <f t="shared" si="148"/>
        <v>421727296</v>
      </c>
      <c r="AD302" s="686">
        <f t="shared" si="149"/>
        <v>25.593388959133083</v>
      </c>
      <c r="AE302" s="687">
        <f t="shared" si="150"/>
        <v>-38.9893586887626</v>
      </c>
      <c r="AG302" s="686">
        <f t="shared" si="151"/>
        <v>14.076646296087125</v>
      </c>
      <c r="AH302" s="687">
        <f t="shared" si="152"/>
        <v>-75.872420576761058</v>
      </c>
      <c r="AJ302" s="170">
        <f t="shared" si="153"/>
        <v>0</v>
      </c>
      <c r="AK302" s="170">
        <f t="shared" si="165"/>
        <v>0</v>
      </c>
      <c r="AM302" s="170" t="str">
        <f t="shared" si="157"/>
        <v>0.104443619578033+0.444948052569629i</v>
      </c>
      <c r="AN302" s="170" t="str">
        <f t="shared" si="158"/>
        <v>0.461116254236723i</v>
      </c>
      <c r="AO302" s="170" t="str">
        <f t="shared" si="159"/>
        <v>0.96493682120606-0.226501708882322i</v>
      </c>
      <c r="AP302" s="170" t="str">
        <f t="shared" si="160"/>
        <v>0.149259396736994-0.0741580087616048i</v>
      </c>
      <c r="AQ302" s="170" t="str">
        <f t="shared" si="161"/>
        <v>0.850740603263006+0.0741580087616048i</v>
      </c>
      <c r="AR302" s="170" t="str">
        <f t="shared" si="162"/>
        <v>0.971763033121403-0.0847073846575794i</v>
      </c>
    </row>
    <row r="303" spans="7:44">
      <c r="G303" s="688">
        <v>20655</v>
      </c>
      <c r="H303" s="676">
        <f t="shared" si="154"/>
        <v>20.655000000000001</v>
      </c>
      <c r="I303" s="677">
        <f t="shared" si="134"/>
        <v>107.86436719706639</v>
      </c>
      <c r="J303" s="678">
        <f t="shared" si="135"/>
        <v>1.5615252917767704</v>
      </c>
      <c r="K303" s="678">
        <f t="shared" si="136"/>
        <v>1.0004075088265749</v>
      </c>
      <c r="L303" s="679">
        <f t="shared" si="137"/>
        <v>2.8543667895958344E-2</v>
      </c>
      <c r="M303" s="678">
        <f t="shared" si="138"/>
        <v>1.0059990327229402</v>
      </c>
      <c r="N303" s="679">
        <f t="shared" si="139"/>
        <v>-0.10926294086397401</v>
      </c>
      <c r="O303" s="677">
        <f t="shared" si="140"/>
        <v>389337.57711578428</v>
      </c>
      <c r="P303" s="680">
        <f t="shared" si="141"/>
        <v>1.5707937583297424</v>
      </c>
      <c r="Q303" s="689">
        <f t="shared" si="163"/>
        <v>52.180818278435019</v>
      </c>
      <c r="R303" s="690">
        <f t="shared" si="164"/>
        <v>1.5516310232645762</v>
      </c>
      <c r="S303" s="677">
        <f t="shared" si="142"/>
        <v>1.2698084517542747</v>
      </c>
      <c r="T303" s="680">
        <f t="shared" si="143"/>
        <v>0.66402125304458248</v>
      </c>
      <c r="U303" s="681">
        <f t="shared" si="155"/>
        <v>0.96646573086121979</v>
      </c>
      <c r="V303" s="682">
        <f t="shared" si="156"/>
        <v>-0.31928775761086176</v>
      </c>
      <c r="W303" s="683">
        <f t="shared" si="144"/>
        <v>-14.491145105180825</v>
      </c>
      <c r="X303" s="684">
        <f t="shared" si="145"/>
        <v>-151.53108277222742</v>
      </c>
      <c r="Y303" s="687">
        <f t="shared" si="146"/>
        <v>28.468917227772579</v>
      </c>
      <c r="AA303" s="170">
        <f t="shared" si="147"/>
        <v>20655</v>
      </c>
      <c r="AB303" s="170">
        <f t="shared" si="148"/>
        <v>426629025</v>
      </c>
      <c r="AD303" s="686">
        <f t="shared" si="149"/>
        <v>25.574377101486924</v>
      </c>
      <c r="AE303" s="687">
        <f t="shared" si="150"/>
        <v>-39.143559194332447</v>
      </c>
      <c r="AG303" s="686">
        <f t="shared" si="151"/>
        <v>14.030361213185557</v>
      </c>
      <c r="AH303" s="687">
        <f t="shared" si="152"/>
        <v>-75.799841613490642</v>
      </c>
      <c r="AJ303" s="170">
        <f t="shared" si="153"/>
        <v>0</v>
      </c>
      <c r="AK303" s="170">
        <f t="shared" si="165"/>
        <v>0</v>
      </c>
      <c r="AM303" s="170" t="str">
        <f t="shared" si="157"/>
        <v>0.105635730298229+0.447339415970488i</v>
      </c>
      <c r="AN303" s="170" t="str">
        <f t="shared" si="158"/>
        <v>0.463788285511273i</v>
      </c>
      <c r="AO303" s="170" t="str">
        <f t="shared" si="159"/>
        <v>0.964533667505957-0.227767137718405i</v>
      </c>
      <c r="AP303" s="170" t="str">
        <f t="shared" si="160"/>
        <v>0.149060711616962-0.0745565693284147i</v>
      </c>
      <c r="AQ303" s="170" t="str">
        <f t="shared" si="161"/>
        <v>0.850939288383038+0.0745565693284147i</v>
      </c>
      <c r="AR303" s="170" t="str">
        <f t="shared" si="162"/>
        <v>0.971460637338242-0.0851162631063426i</v>
      </c>
    </row>
    <row r="304" spans="7:44">
      <c r="G304" s="688">
        <v>20774</v>
      </c>
      <c r="H304" s="676">
        <f t="shared" si="154"/>
        <v>20.774000000000001</v>
      </c>
      <c r="I304" s="677">
        <f t="shared" si="134"/>
        <v>108.48575473609633</v>
      </c>
      <c r="J304" s="678">
        <f t="shared" si="135"/>
        <v>1.5615783961616945</v>
      </c>
      <c r="K304" s="678">
        <f t="shared" si="136"/>
        <v>1.000412216957691</v>
      </c>
      <c r="L304" s="679">
        <f t="shared" si="137"/>
        <v>2.8708026930904757E-2</v>
      </c>
      <c r="M304" s="678">
        <f t="shared" si="138"/>
        <v>1.0060681474323476</v>
      </c>
      <c r="N304" s="679">
        <f t="shared" si="139"/>
        <v>-0.10988739824455786</v>
      </c>
      <c r="O304" s="677">
        <f t="shared" si="140"/>
        <v>391580.67426787695</v>
      </c>
      <c r="P304" s="680">
        <f t="shared" si="141"/>
        <v>1.5707937730427179</v>
      </c>
      <c r="Q304" s="689">
        <f t="shared" si="163"/>
        <v>52.481338412690398</v>
      </c>
      <c r="R304" s="690">
        <f t="shared" si="164"/>
        <v>1.5517407814948203</v>
      </c>
      <c r="S304" s="677">
        <f t="shared" si="142"/>
        <v>1.2725920196029636</v>
      </c>
      <c r="T304" s="680">
        <f t="shared" si="143"/>
        <v>0.66681133715644836</v>
      </c>
      <c r="U304" s="681">
        <f t="shared" si="155"/>
        <v>0.96610083572534</v>
      </c>
      <c r="V304" s="682">
        <f t="shared" si="156"/>
        <v>-0.32106742956634665</v>
      </c>
      <c r="W304" s="683">
        <f t="shared" si="144"/>
        <v>-14.562719693906519</v>
      </c>
      <c r="X304" s="684">
        <f t="shared" si="145"/>
        <v>-151.81602701874388</v>
      </c>
      <c r="Y304" s="687">
        <f t="shared" si="146"/>
        <v>28.183972981256119</v>
      </c>
      <c r="AA304" s="170">
        <f t="shared" si="147"/>
        <v>20774</v>
      </c>
      <c r="AB304" s="170">
        <f t="shared" si="148"/>
        <v>431559076</v>
      </c>
      <c r="AD304" s="686">
        <f t="shared" si="149"/>
        <v>25.555339238857243</v>
      </c>
      <c r="AE304" s="687">
        <f t="shared" si="150"/>
        <v>-39.297131398235955</v>
      </c>
      <c r="AG304" s="686">
        <f t="shared" si="151"/>
        <v>13.984384548661929</v>
      </c>
      <c r="AH304" s="687">
        <f t="shared" si="152"/>
        <v>-75.727278271936413</v>
      </c>
      <c r="AJ304" s="170">
        <f t="shared" si="153"/>
        <v>0</v>
      </c>
      <c r="AK304" s="170">
        <f t="shared" si="165"/>
        <v>0</v>
      </c>
      <c r="AM304" s="170" t="str">
        <f t="shared" si="157"/>
        <v>0.106834226552932+0.449727585481146i</v>
      </c>
      <c r="AN304" s="170" t="str">
        <f t="shared" si="158"/>
        <v>0.466460316785824i</v>
      </c>
      <c r="AO304" s="170" t="str">
        <f t="shared" si="159"/>
        <v>0.964128285509953-0.229031758347806i</v>
      </c>
      <c r="AP304" s="170" t="str">
        <f t="shared" si="160"/>
        <v>0.148860962241178-0.074954597580191i</v>
      </c>
      <c r="AQ304" s="170" t="str">
        <f t="shared" si="161"/>
        <v>0.851139037758822+0.074954597580191i</v>
      </c>
      <c r="AR304" s="170" t="str">
        <f t="shared" si="162"/>
        <v>0.971156953612147-0.0855238397205665i</v>
      </c>
    </row>
    <row r="305" spans="7:44">
      <c r="G305" s="688">
        <v>20893</v>
      </c>
      <c r="H305" s="676">
        <f t="shared" si="154"/>
        <v>20.893000000000001</v>
      </c>
      <c r="I305" s="677">
        <f t="shared" si="134"/>
        <v>109.10714257757952</v>
      </c>
      <c r="J305" s="678">
        <f t="shared" si="135"/>
        <v>1.5616308956657585</v>
      </c>
      <c r="K305" s="678">
        <f t="shared" si="136"/>
        <v>1.0004169521135802</v>
      </c>
      <c r="L305" s="679">
        <f t="shared" si="137"/>
        <v>2.8872384414408495E-2</v>
      </c>
      <c r="M305" s="678">
        <f t="shared" si="138"/>
        <v>1.0061376544010436</v>
      </c>
      <c r="N305" s="679">
        <f t="shared" si="139"/>
        <v>-0.11051176958985531</v>
      </c>
      <c r="O305" s="677">
        <f t="shared" si="140"/>
        <v>393823.77141996968</v>
      </c>
      <c r="P305" s="680">
        <f t="shared" si="141"/>
        <v>1.5707937875880926</v>
      </c>
      <c r="Q305" s="689">
        <f t="shared" si="163"/>
        <v>52.781859171982163</v>
      </c>
      <c r="R305" s="690">
        <f t="shared" si="164"/>
        <v>1.5518492898792635</v>
      </c>
      <c r="S305" s="677">
        <f t="shared" si="142"/>
        <v>1.2753854507447799</v>
      </c>
      <c r="T305" s="680">
        <f t="shared" si="143"/>
        <v>0.6695892207712969</v>
      </c>
      <c r="U305" s="681">
        <f t="shared" si="155"/>
        <v>0.96573423688761295</v>
      </c>
      <c r="V305" s="682">
        <f t="shared" si="156"/>
        <v>-0.32284612533286666</v>
      </c>
      <c r="W305" s="683">
        <f t="shared" si="144"/>
        <v>-14.634047624189995</v>
      </c>
      <c r="X305" s="684">
        <f t="shared" si="145"/>
        <v>-152.10024840036331</v>
      </c>
      <c r="Y305" s="687">
        <f t="shared" si="146"/>
        <v>27.899751599636687</v>
      </c>
      <c r="AA305" s="170">
        <f t="shared" si="147"/>
        <v>20893</v>
      </c>
      <c r="AB305" s="170">
        <f t="shared" si="148"/>
        <v>436517449</v>
      </c>
      <c r="AD305" s="686">
        <f t="shared" si="149"/>
        <v>25.536276069998621</v>
      </c>
      <c r="AE305" s="687">
        <f t="shared" si="150"/>
        <v>-39.450076166438286</v>
      </c>
      <c r="AG305" s="686">
        <f t="shared" si="151"/>
        <v>13.938712973434605</v>
      </c>
      <c r="AH305" s="687">
        <f t="shared" si="152"/>
        <v>-75.654731364201822</v>
      </c>
      <c r="AJ305" s="170">
        <f t="shared" si="153"/>
        <v>0</v>
      </c>
      <c r="AK305" s="170">
        <f t="shared" si="165"/>
        <v>0</v>
      </c>
      <c r="AM305" s="170" t="str">
        <f t="shared" si="157"/>
        <v>0.108039099785184+0.452112544050677i</v>
      </c>
      <c r="AN305" s="170" t="str">
        <f t="shared" si="158"/>
        <v>0.469132348060375i</v>
      </c>
      <c r="AO305" s="170" t="str">
        <f t="shared" si="159"/>
        <v>0.963720676947419-0.230295566340439i</v>
      </c>
      <c r="AP305" s="170" t="str">
        <f t="shared" si="160"/>
        <v>0.148660150035803-0.0753520906751128i</v>
      </c>
      <c r="AQ305" s="170" t="str">
        <f t="shared" si="161"/>
        <v>0.851339849964197+0.0753520906751128i</v>
      </c>
      <c r="AR305" s="170" t="str">
        <f t="shared" si="162"/>
        <v>0.970851988875716-0.0859301101680523i</v>
      </c>
    </row>
    <row r="306" spans="7:44">
      <c r="G306" s="688">
        <v>21014.75</v>
      </c>
      <c r="H306" s="676">
        <f t="shared" si="154"/>
        <v>21.014749999999999</v>
      </c>
      <c r="I306" s="677">
        <f t="shared" si="134"/>
        <v>109.74289052978239</v>
      </c>
      <c r="J306" s="678">
        <f t="shared" si="135"/>
        <v>1.5616839930991944</v>
      </c>
      <c r="K306" s="678">
        <f t="shared" si="136"/>
        <v>1.0004218246637129</v>
      </c>
      <c r="L306" s="679">
        <f t="shared" si="137"/>
        <v>2.9040538460178459E-2</v>
      </c>
      <c r="M306" s="678">
        <f t="shared" si="138"/>
        <v>1.0062091734996905</v>
      </c>
      <c r="N306" s="679">
        <f t="shared" si="139"/>
        <v>-0.11115048015510869</v>
      </c>
      <c r="O306" s="677">
        <f t="shared" si="140"/>
        <v>396118.7048507873</v>
      </c>
      <c r="P306" s="680">
        <f t="shared" si="141"/>
        <v>1.5707938022991135</v>
      </c>
      <c r="Q306" s="689">
        <f t="shared" si="163"/>
        <v>53.089325374536259</v>
      </c>
      <c r="R306" s="690">
        <f t="shared" si="164"/>
        <v>1.5519590344392227</v>
      </c>
      <c r="S306" s="677">
        <f t="shared" si="142"/>
        <v>1.278253576354379</v>
      </c>
      <c r="T306" s="680">
        <f t="shared" si="143"/>
        <v>0.672418711365104</v>
      </c>
      <c r="U306" s="681">
        <f t="shared" si="155"/>
        <v>0.96535740929541758</v>
      </c>
      <c r="V306" s="682">
        <f t="shared" si="156"/>
        <v>-0.32466491085154175</v>
      </c>
      <c r="W306" s="683">
        <f t="shared" si="144"/>
        <v>-14.706771231838117</v>
      </c>
      <c r="X306" s="684">
        <f t="shared" si="145"/>
        <v>-152.39029110814829</v>
      </c>
      <c r="Y306" s="687">
        <f t="shared" si="146"/>
        <v>27.60970889185171</v>
      </c>
      <c r="AA306" s="170">
        <f t="shared" si="147"/>
        <v>21014.75</v>
      </c>
      <c r="AB306" s="170">
        <f t="shared" si="148"/>
        <v>441619717.5625</v>
      </c>
      <c r="AD306" s="686">
        <f t="shared" si="149"/>
        <v>25.516746896812819</v>
      </c>
      <c r="AE306" s="687">
        <f t="shared" si="150"/>
        <v>-39.605906978582688</v>
      </c>
      <c r="AG306" s="686">
        <f t="shared" si="151"/>
        <v>13.892298295751617</v>
      </c>
      <c r="AH306" s="687">
        <f t="shared" si="152"/>
        <v>-75.580525791485059</v>
      </c>
      <c r="AJ306" s="170">
        <f t="shared" si="153"/>
        <v>0</v>
      </c>
      <c r="AK306" s="170">
        <f t="shared" si="165"/>
        <v>0</v>
      </c>
      <c r="AM306" s="170" t="str">
        <f t="shared" si="157"/>
        <v>0.109278407485759+0.454549276348444i</v>
      </c>
      <c r="AN306" s="170" t="str">
        <f t="shared" si="158"/>
        <v>0.471866127956816i</v>
      </c>
      <c r="AO306" s="170" t="str">
        <f t="shared" si="159"/>
        <v>0.963301346330252-0.231587734340957i</v>
      </c>
      <c r="AP306" s="170" t="str">
        <f t="shared" si="160"/>
        <v>0.148453598752373-0.0757582127247407i</v>
      </c>
      <c r="AQ306" s="170" t="str">
        <f t="shared" si="161"/>
        <v>0.851546401247627+0.0757582127247407i</v>
      </c>
      <c r="AR306" s="170" t="str">
        <f t="shared" si="162"/>
        <v>0.970538658122325-0.0863444129549369i</v>
      </c>
    </row>
    <row r="307" spans="7:44">
      <c r="G307" s="688">
        <v>21136.5</v>
      </c>
      <c r="H307" s="676">
        <f t="shared" si="154"/>
        <v>21.136500000000002</v>
      </c>
      <c r="I307" s="677">
        <f t="shared" si="134"/>
        <v>110.37863878782335</v>
      </c>
      <c r="J307" s="678">
        <f t="shared" si="135"/>
        <v>1.5617364788818056</v>
      </c>
      <c r="K307" s="678">
        <f t="shared" si="136"/>
        <v>1.00042672550128</v>
      </c>
      <c r="L307" s="679">
        <f t="shared" si="137"/>
        <v>2.9208690863214721E-2</v>
      </c>
      <c r="M307" s="678">
        <f t="shared" si="138"/>
        <v>1.006281103024117</v>
      </c>
      <c r="N307" s="679">
        <f t="shared" si="139"/>
        <v>-0.11178909967009461</v>
      </c>
      <c r="O307" s="677">
        <f t="shared" si="140"/>
        <v>398413.63828160497</v>
      </c>
      <c r="P307" s="680">
        <f t="shared" si="141"/>
        <v>1.5707938168406583</v>
      </c>
      <c r="Q307" s="689">
        <f t="shared" si="163"/>
        <v>53.396792209127682</v>
      </c>
      <c r="R307" s="690">
        <f t="shared" si="164"/>
        <v>1.5520675151488075</v>
      </c>
      <c r="S307" s="677">
        <f t="shared" si="142"/>
        <v>1.2811318898148507</v>
      </c>
      <c r="T307" s="680">
        <f t="shared" si="143"/>
        <v>0.67523551041752816</v>
      </c>
      <c r="U307" s="681">
        <f t="shared" si="155"/>
        <v>0.96497881112001327</v>
      </c>
      <c r="V307" s="682">
        <f t="shared" si="156"/>
        <v>-0.32648266588792196</v>
      </c>
      <c r="W307" s="683">
        <f t="shared" si="144"/>
        <v>-14.779241912322693</v>
      </c>
      <c r="X307" s="684">
        <f t="shared" si="145"/>
        <v>-152.67957983778626</v>
      </c>
      <c r="Y307" s="687">
        <f t="shared" si="146"/>
        <v>27.320420162213736</v>
      </c>
      <c r="AA307" s="170">
        <f t="shared" si="147"/>
        <v>21136.5</v>
      </c>
      <c r="AB307" s="170">
        <f t="shared" si="148"/>
        <v>446751632.25</v>
      </c>
      <c r="AD307" s="686">
        <f t="shared" si="149"/>
        <v>25.497192691277032</v>
      </c>
      <c r="AE307" s="687">
        <f t="shared" si="150"/>
        <v>-39.761083022551695</v>
      </c>
      <c r="AG307" s="686">
        <f t="shared" si="151"/>
        <v>13.846196099012232</v>
      </c>
      <c r="AH307" s="687">
        <f t="shared" si="152"/>
        <v>-75.506339093369533</v>
      </c>
      <c r="AJ307" s="170">
        <f t="shared" si="153"/>
        <v>0</v>
      </c>
      <c r="AK307" s="170">
        <f t="shared" si="165"/>
        <v>0</v>
      </c>
      <c r="AM307" s="170" t="str">
        <f t="shared" si="157"/>
        <v>0.110524372036792+0.456982611550437i</v>
      </c>
      <c r="AN307" s="170" t="str">
        <f t="shared" si="158"/>
        <v>0.474599907853257i</v>
      </c>
      <c r="AO307" s="170" t="str">
        <f t="shared" si="159"/>
        <v>0.962879688741391-0.232879042342683i</v>
      </c>
      <c r="AP307" s="170" t="str">
        <f t="shared" si="160"/>
        <v>0.148245937993868-0.0761637685917395i</v>
      </c>
      <c r="AQ307" s="170" t="str">
        <f t="shared" si="161"/>
        <v>0.851754062006132+0.0761637685917395i</v>
      </c>
      <c r="AR307" s="170" t="str">
        <f t="shared" si="162"/>
        <v>0.970224001193468-0.086757339477788i</v>
      </c>
    </row>
    <row r="308" spans="7:44">
      <c r="G308" s="688">
        <v>21258.25</v>
      </c>
      <c r="H308" s="676">
        <f t="shared" si="154"/>
        <v>21.25825</v>
      </c>
      <c r="I308" s="677">
        <f t="shared" si="134"/>
        <v>111.01438734644807</v>
      </c>
      <c r="J308" s="678">
        <f t="shared" si="135"/>
        <v>1.5617883635215632</v>
      </c>
      <c r="K308" s="678">
        <f t="shared" si="136"/>
        <v>1.000431654625866</v>
      </c>
      <c r="L308" s="679">
        <f t="shared" si="137"/>
        <v>2.9376841614032399E-2</v>
      </c>
      <c r="M308" s="678">
        <f t="shared" si="138"/>
        <v>1.0063534428863172</v>
      </c>
      <c r="N308" s="679">
        <f t="shared" si="139"/>
        <v>-0.11242762763349008</v>
      </c>
      <c r="O308" s="677">
        <f t="shared" si="140"/>
        <v>400708.57171242282</v>
      </c>
      <c r="P308" s="680">
        <f t="shared" si="141"/>
        <v>1.5707938312156389</v>
      </c>
      <c r="Q308" s="689">
        <f t="shared" si="163"/>
        <v>53.704259664900839</v>
      </c>
      <c r="R308" s="690">
        <f t="shared" si="164"/>
        <v>1.5521747537128185</v>
      </c>
      <c r="S308" s="677">
        <f t="shared" si="142"/>
        <v>1.2840203226136635</v>
      </c>
      <c r="T308" s="680">
        <f t="shared" si="143"/>
        <v>0.6780396587293176</v>
      </c>
      <c r="U308" s="681">
        <f t="shared" si="155"/>
        <v>0.96459844884500556</v>
      </c>
      <c r="V308" s="682">
        <f t="shared" si="156"/>
        <v>-0.32829938610195497</v>
      </c>
      <c r="W308" s="683">
        <f t="shared" si="144"/>
        <v>-14.851462250743834</v>
      </c>
      <c r="X308" s="684">
        <f t="shared" si="145"/>
        <v>-152.9681160087768</v>
      </c>
      <c r="Y308" s="687">
        <f t="shared" si="146"/>
        <v>27.031883991223197</v>
      </c>
      <c r="AA308" s="170">
        <f t="shared" si="147"/>
        <v>21258.25</v>
      </c>
      <c r="AB308" s="170">
        <f t="shared" si="148"/>
        <v>451913193.0625</v>
      </c>
      <c r="AD308" s="686">
        <f t="shared" si="149"/>
        <v>25.477614178695976</v>
      </c>
      <c r="AE308" s="687">
        <f t="shared" si="150"/>
        <v>-39.915605392629374</v>
      </c>
      <c r="AG308" s="686">
        <f t="shared" si="151"/>
        <v>13.800402995645282</v>
      </c>
      <c r="AH308" s="687">
        <f t="shared" si="152"/>
        <v>-75.432172092404102</v>
      </c>
      <c r="AJ308" s="170">
        <f t="shared" si="153"/>
        <v>0</v>
      </c>
      <c r="AK308" s="170">
        <f t="shared" si="165"/>
        <v>0</v>
      </c>
      <c r="AM308" s="170" t="str">
        <f t="shared" si="157"/>
        <v>0.111776984126509+0.459412531471008i</v>
      </c>
      <c r="AN308" s="170" t="str">
        <f t="shared" si="158"/>
        <v>0.477333687749699i</v>
      </c>
      <c r="AO308" s="170" t="str">
        <f t="shared" si="159"/>
        <v>0.962455706063452-0.23416948561385i</v>
      </c>
      <c r="AP308" s="170" t="str">
        <f t="shared" si="160"/>
        <v>0.148037169312249-0.076568755245168i</v>
      </c>
      <c r="AQ308" s="170" t="str">
        <f t="shared" si="161"/>
        <v>0.851962830687751+0.076568755245168i</v>
      </c>
      <c r="AR308" s="170" t="str">
        <f t="shared" si="162"/>
        <v>0.969908025557646-0.0871688852426778i</v>
      </c>
    </row>
    <row r="309" spans="7:44">
      <c r="G309" s="688">
        <v>21380</v>
      </c>
      <c r="H309" s="676">
        <f t="shared" si="154"/>
        <v>21.38</v>
      </c>
      <c r="I309" s="677">
        <f t="shared" si="134"/>
        <v>111.6501362005219</v>
      </c>
      <c r="J309" s="678">
        <f t="shared" si="135"/>
        <v>1.5618396572871176</v>
      </c>
      <c r="K309" s="678">
        <f t="shared" si="136"/>
        <v>1.0004366120370527</v>
      </c>
      <c r="L309" s="679">
        <f t="shared" si="137"/>
        <v>2.9544990703147166E-2</v>
      </c>
      <c r="M309" s="678">
        <f t="shared" si="138"/>
        <v>1.0064261929978084</v>
      </c>
      <c r="N309" s="679">
        <f t="shared" si="139"/>
        <v>-0.11306606354441451</v>
      </c>
      <c r="O309" s="677">
        <f t="shared" si="140"/>
        <v>403003.50514324068</v>
      </c>
      <c r="P309" s="680">
        <f t="shared" si="141"/>
        <v>1.5707938454269004</v>
      </c>
      <c r="Q309" s="689">
        <f t="shared" si="163"/>
        <v>54.011727731247305</v>
      </c>
      <c r="R309" s="690">
        <f t="shared" si="164"/>
        <v>1.5522807713419444</v>
      </c>
      <c r="S309" s="677">
        <f t="shared" si="142"/>
        <v>1.2869188066135864</v>
      </c>
      <c r="T309" s="680">
        <f t="shared" si="143"/>
        <v>0.68083119753137322</v>
      </c>
      <c r="U309" s="681">
        <f t="shared" si="155"/>
        <v>0.96421632897055909</v>
      </c>
      <c r="V309" s="682">
        <f t="shared" si="156"/>
        <v>-0.33011506717811501</v>
      </c>
      <c r="W309" s="683">
        <f t="shared" si="144"/>
        <v>-14.923434782475038</v>
      </c>
      <c r="X309" s="684">
        <f t="shared" si="145"/>
        <v>-153.25590108129046</v>
      </c>
      <c r="Y309" s="687">
        <f t="shared" si="146"/>
        <v>26.74409891870954</v>
      </c>
      <c r="AA309" s="170">
        <f t="shared" si="147"/>
        <v>21380</v>
      </c>
      <c r="AB309" s="170">
        <f t="shared" si="148"/>
        <v>457104400</v>
      </c>
      <c r="AD309" s="686">
        <f t="shared" si="149"/>
        <v>25.458012076653389</v>
      </c>
      <c r="AE309" s="687">
        <f t="shared" si="150"/>
        <v>-40.069475236052398</v>
      </c>
      <c r="AG309" s="686">
        <f t="shared" si="151"/>
        <v>13.754915655280842</v>
      </c>
      <c r="AH309" s="687">
        <f t="shared" si="152"/>
        <v>-75.35802559604555</v>
      </c>
      <c r="AJ309" s="170">
        <f t="shared" si="153"/>
        <v>0</v>
      </c>
      <c r="AK309" s="170">
        <f t="shared" si="165"/>
        <v>0</v>
      </c>
      <c r="AM309" s="170" t="str">
        <f t="shared" si="157"/>
        <v>0.113036234393451+0.461839017950033i</v>
      </c>
      <c r="AN309" s="170" t="str">
        <f t="shared" si="158"/>
        <v>0.48006746764614i</v>
      </c>
      <c r="AO309" s="170" t="str">
        <f t="shared" si="159"/>
        <v>0.962029400189343-0.235459059426977i</v>
      </c>
      <c r="AP309" s="170" t="str">
        <f t="shared" si="160"/>
        <v>0.147827294267758-0.0769731696583388i</v>
      </c>
      <c r="AQ309" s="170" t="str">
        <f t="shared" si="161"/>
        <v>0.852172705732242+0.0769731696583388i</v>
      </c>
      <c r="AR309" s="170" t="str">
        <f t="shared" si="162"/>
        <v>0.969590738697477-0.087579045804789i</v>
      </c>
    </row>
    <row r="310" spans="7:44">
      <c r="G310" s="688">
        <v>21504.5</v>
      </c>
      <c r="H310" s="676">
        <f t="shared" si="154"/>
        <v>21.5045</v>
      </c>
      <c r="I310" s="677">
        <f t="shared" si="134"/>
        <v>112.30024518528164</v>
      </c>
      <c r="J310" s="678">
        <f t="shared" si="135"/>
        <v>1.5618915090499705</v>
      </c>
      <c r="K310" s="678">
        <f t="shared" si="136"/>
        <v>1.0004417106743733</v>
      </c>
      <c r="L310" s="679">
        <f t="shared" si="137"/>
        <v>2.9716936092660708E-2</v>
      </c>
      <c r="M310" s="678">
        <f t="shared" si="138"/>
        <v>1.0065010104965053</v>
      </c>
      <c r="N310" s="679">
        <f t="shared" si="139"/>
        <v>-0.11371882426280773</v>
      </c>
      <c r="O310" s="677">
        <f t="shared" si="140"/>
        <v>405350.27485278354</v>
      </c>
      <c r="P310" s="680">
        <f t="shared" si="141"/>
        <v>1.5707938597927456</v>
      </c>
      <c r="Q310" s="689">
        <f t="shared" si="163"/>
        <v>54.326141282129655</v>
      </c>
      <c r="R310" s="690">
        <f t="shared" si="164"/>
        <v>1.5523879426039269</v>
      </c>
      <c r="S310" s="677">
        <f t="shared" si="142"/>
        <v>1.289893083160899</v>
      </c>
      <c r="T310" s="680">
        <f t="shared" si="143"/>
        <v>0.68367279301869677</v>
      </c>
      <c r="U310" s="681">
        <f t="shared" si="155"/>
        <v>0.96382376724459751</v>
      </c>
      <c r="V310" s="682">
        <f t="shared" si="156"/>
        <v>-0.33197068045059058</v>
      </c>
      <c r="W310" s="683">
        <f t="shared" si="144"/>
        <v>-14.996779302227377</v>
      </c>
      <c r="X310" s="684">
        <f t="shared" si="145"/>
        <v>-153.5494112574016</v>
      </c>
      <c r="Y310" s="687">
        <f t="shared" si="146"/>
        <v>26.450588742598399</v>
      </c>
      <c r="AA310" s="170">
        <f t="shared" si="147"/>
        <v>21504.5</v>
      </c>
      <c r="AB310" s="170">
        <f t="shared" si="148"/>
        <v>462443520.25</v>
      </c>
      <c r="AD310" s="686">
        <f t="shared" si="149"/>
        <v>25.437943561548554</v>
      </c>
      <c r="AE310" s="687">
        <f t="shared" si="150"/>
        <v>-40.226147026844082</v>
      </c>
      <c r="AG310" s="686">
        <f t="shared" si="151"/>
        <v>13.708713669232109</v>
      </c>
      <c r="AH310" s="687">
        <f t="shared" si="152"/>
        <v>-75.282226363279406</v>
      </c>
      <c r="AJ310" s="170">
        <f t="shared" si="153"/>
        <v>0</v>
      </c>
      <c r="AK310" s="170">
        <f t="shared" si="165"/>
        <v>0</v>
      </c>
      <c r="AM310" s="170" t="str">
        <f t="shared" si="157"/>
        <v>0.11433078265703+0.464316742591833i</v>
      </c>
      <c r="AN310" s="170" t="str">
        <f t="shared" si="158"/>
        <v>0.482862996164472i</v>
      </c>
      <c r="AO310" s="170" t="str">
        <f t="shared" si="159"/>
        <v>0.961591064712025-0.236776857131721i</v>
      </c>
      <c r="AP310" s="170" t="str">
        <f t="shared" si="160"/>
        <v>0.147611536223828-0.0773861237653055i</v>
      </c>
      <c r="AQ310" s="170" t="str">
        <f t="shared" si="161"/>
        <v>0.852388463776172+0.0773861237653055i</v>
      </c>
      <c r="AR310" s="170" t="str">
        <f t="shared" si="162"/>
        <v>0.969264937020063-0.0879970337061036i</v>
      </c>
    </row>
    <row r="311" spans="7:44">
      <c r="G311" s="688">
        <v>21629</v>
      </c>
      <c r="H311" s="676">
        <f t="shared" si="154"/>
        <v>21.629000000000001</v>
      </c>
      <c r="I311" s="677">
        <f t="shared" si="134"/>
        <v>112.95035446849677</v>
      </c>
      <c r="J311" s="678">
        <f t="shared" si="135"/>
        <v>1.5619427639257251</v>
      </c>
      <c r="K311" s="678">
        <f t="shared" si="136"/>
        <v>1.0004468388896679</v>
      </c>
      <c r="L311" s="679">
        <f t="shared" si="137"/>
        <v>2.9888879724499478E-2</v>
      </c>
      <c r="M311" s="678">
        <f t="shared" si="138"/>
        <v>1.006576256797955</v>
      </c>
      <c r="N311" s="679">
        <f t="shared" si="139"/>
        <v>-0.11437148766540671</v>
      </c>
      <c r="O311" s="677">
        <f t="shared" si="140"/>
        <v>407697.04456232639</v>
      </c>
      <c r="P311" s="680">
        <f t="shared" si="141"/>
        <v>1.5707938739932064</v>
      </c>
      <c r="Q311" s="689">
        <f t="shared" si="163"/>
        <v>54.640555449803685</v>
      </c>
      <c r="R311" s="690">
        <f t="shared" si="164"/>
        <v>1.5524938804915436</v>
      </c>
      <c r="S311" s="677">
        <f t="shared" si="142"/>
        <v>1.2928777271920153</v>
      </c>
      <c r="T311" s="680">
        <f t="shared" si="143"/>
        <v>0.68650129145381644</v>
      </c>
      <c r="U311" s="681">
        <f t="shared" si="155"/>
        <v>0.9634293814233047</v>
      </c>
      <c r="V311" s="682">
        <f t="shared" si="156"/>
        <v>-0.33382519806390132</v>
      </c>
      <c r="W311" s="683">
        <f t="shared" si="144"/>
        <v>-15.069869902911975</v>
      </c>
      <c r="X311" s="684">
        <f t="shared" si="145"/>
        <v>-153.842139234532</v>
      </c>
      <c r="Y311" s="687">
        <f t="shared" si="146"/>
        <v>26.157860765468001</v>
      </c>
      <c r="AA311" s="170">
        <f t="shared" si="147"/>
        <v>21629</v>
      </c>
      <c r="AB311" s="170">
        <f t="shared" si="148"/>
        <v>467813641</v>
      </c>
      <c r="AD311" s="686">
        <f t="shared" si="149"/>
        <v>25.417851872377298</v>
      </c>
      <c r="AE311" s="687">
        <f t="shared" si="150"/>
        <v>-40.382139069489561</v>
      </c>
      <c r="AG311" s="686">
        <f t="shared" si="151"/>
        <v>13.66282454870549</v>
      </c>
      <c r="AH311" s="687">
        <f t="shared" si="152"/>
        <v>-75.20645023297071</v>
      </c>
      <c r="AJ311" s="170">
        <f t="shared" si="153"/>
        <v>0</v>
      </c>
      <c r="AK311" s="170">
        <f t="shared" si="165"/>
        <v>0</v>
      </c>
      <c r="AM311" s="170" t="str">
        <f t="shared" si="157"/>
        <v>0.115632252403053+0.466790838610081i</v>
      </c>
      <c r="AN311" s="170" t="str">
        <f t="shared" si="158"/>
        <v>0.485658524682805i</v>
      </c>
      <c r="AO311" s="170" t="str">
        <f t="shared" si="159"/>
        <v>0.961150303940311-0.238093735672765i</v>
      </c>
      <c r="AP311" s="170" t="str">
        <f t="shared" si="160"/>
        <v>0.147394624599491-0.0777984731016802i</v>
      </c>
      <c r="AQ311" s="170" t="str">
        <f t="shared" si="161"/>
        <v>0.852605375400509+0.0777984731016802i</v>
      </c>
      <c r="AR311" s="170" t="str">
        <f t="shared" si="162"/>
        <v>0.968937780084611-0.0884135638784871i</v>
      </c>
    </row>
    <row r="312" spans="7:44">
      <c r="G312" s="688">
        <v>21753.5</v>
      </c>
      <c r="H312" s="676">
        <f t="shared" si="154"/>
        <v>21.753499999999999</v>
      </c>
      <c r="I312" s="677">
        <f t="shared" si="134"/>
        <v>113.6004640450433</v>
      </c>
      <c r="J312" s="678">
        <f t="shared" si="135"/>
        <v>1.561993432161656</v>
      </c>
      <c r="K312" s="678">
        <f t="shared" si="136"/>
        <v>1.0004519966824821</v>
      </c>
      <c r="L312" s="679">
        <f t="shared" si="137"/>
        <v>3.0060821588523679E-2</v>
      </c>
      <c r="M312" s="678">
        <f t="shared" si="138"/>
        <v>1.0066519318059997</v>
      </c>
      <c r="N312" s="679">
        <f t="shared" si="139"/>
        <v>-0.11502405321806744</v>
      </c>
      <c r="O312" s="677">
        <f t="shared" si="140"/>
        <v>410043.81427186943</v>
      </c>
      <c r="P312" s="680">
        <f t="shared" si="141"/>
        <v>1.5707938880311225</v>
      </c>
      <c r="Q312" s="689">
        <f t="shared" si="163"/>
        <v>54.954970223682864</v>
      </c>
      <c r="R312" s="690">
        <f t="shared" si="164"/>
        <v>1.5525986061719712</v>
      </c>
      <c r="S312" s="677">
        <f t="shared" si="142"/>
        <v>1.2958726670720084</v>
      </c>
      <c r="T312" s="680">
        <f t="shared" si="143"/>
        <v>0.68931673822965078</v>
      </c>
      <c r="U312" s="681">
        <f t="shared" si="155"/>
        <v>0.96303317850919623</v>
      </c>
      <c r="V312" s="682">
        <f t="shared" si="156"/>
        <v>-0.33567861548332589</v>
      </c>
      <c r="W312" s="683">
        <f t="shared" si="144"/>
        <v>-15.142709142506829</v>
      </c>
      <c r="X312" s="684">
        <f t="shared" si="145"/>
        <v>-154.13408669815894</v>
      </c>
      <c r="Y312" s="687">
        <f t="shared" si="146"/>
        <v>25.865913301841061</v>
      </c>
      <c r="AA312" s="170">
        <f t="shared" si="147"/>
        <v>21753.5</v>
      </c>
      <c r="AB312" s="170">
        <f t="shared" si="148"/>
        <v>473214762.25</v>
      </c>
      <c r="AD312" s="686">
        <f t="shared" si="149"/>
        <v>25.397737751565828</v>
      </c>
      <c r="AE312" s="687">
        <f t="shared" si="150"/>
        <v>-40.537452752184251</v>
      </c>
      <c r="AG312" s="686">
        <f t="shared" si="151"/>
        <v>13.617244909738469</v>
      </c>
      <c r="AH312" s="687">
        <f t="shared" si="152"/>
        <v>-75.130698022042182</v>
      </c>
      <c r="AJ312" s="170">
        <f t="shared" si="153"/>
        <v>0</v>
      </c>
      <c r="AK312" s="170">
        <f t="shared" si="165"/>
        <v>0</v>
      </c>
      <c r="AM312" s="170" t="str">
        <f t="shared" si="157"/>
        <v>0.116940633460566+0.469261286669777i</v>
      </c>
      <c r="AN312" s="170" t="str">
        <f t="shared" si="158"/>
        <v>0.488454053201137i</v>
      </c>
      <c r="AO312" s="170" t="str">
        <f t="shared" si="159"/>
        <v>0.960707119931592-0.239409690009086i</v>
      </c>
      <c r="AP312" s="170" t="str">
        <f t="shared" si="160"/>
        <v>0.147176561089906-0.0782102144449628i</v>
      </c>
      <c r="AQ312" s="170" t="str">
        <f t="shared" si="161"/>
        <v>0.852823438910094+0.0782102144449628i</v>
      </c>
      <c r="AR312" s="170" t="str">
        <f t="shared" si="162"/>
        <v>0.968609275935662-0.0888286317284187i</v>
      </c>
    </row>
    <row r="313" spans="7:44">
      <c r="G313" s="688">
        <v>21878</v>
      </c>
      <c r="H313" s="676">
        <f t="shared" si="154"/>
        <v>21.878</v>
      </c>
      <c r="I313" s="677">
        <f t="shared" si="134"/>
        <v>114.2505739099139</v>
      </c>
      <c r="J313" s="678">
        <f t="shared" si="135"/>
        <v>1.5620435237718142</v>
      </c>
      <c r="K313" s="678">
        <f t="shared" si="136"/>
        <v>1.0004571840523582</v>
      </c>
      <c r="L313" s="679">
        <f t="shared" si="137"/>
        <v>3.0232761674594159E-2</v>
      </c>
      <c r="M313" s="678">
        <f t="shared" si="138"/>
        <v>1.0067280354239627</v>
      </c>
      <c r="N313" s="679">
        <f t="shared" si="139"/>
        <v>-0.11567652038713945</v>
      </c>
      <c r="O313" s="677">
        <f t="shared" si="140"/>
        <v>412390.58398141246</v>
      </c>
      <c r="P313" s="680">
        <f t="shared" si="141"/>
        <v>1.5707939019092692</v>
      </c>
      <c r="Q313" s="689">
        <f t="shared" si="163"/>
        <v>55.269385593421468</v>
      </c>
      <c r="R313" s="690">
        <f t="shared" si="164"/>
        <v>1.5527021403308325</v>
      </c>
      <c r="S313" s="677">
        <f t="shared" si="142"/>
        <v>1.2988778315806759</v>
      </c>
      <c r="T313" s="680">
        <f t="shared" si="143"/>
        <v>0.69211917914883581</v>
      </c>
      <c r="U313" s="681">
        <f t="shared" si="155"/>
        <v>0.96263516552164075</v>
      </c>
      <c r="V313" s="682">
        <f t="shared" si="156"/>
        <v>-0.33753092820116865</v>
      </c>
      <c r="W313" s="683">
        <f t="shared" si="144"/>
        <v>-15.215299530024865</v>
      </c>
      <c r="X313" s="684">
        <f t="shared" si="145"/>
        <v>-154.42525537303638</v>
      </c>
      <c r="Y313" s="687">
        <f t="shared" si="146"/>
        <v>25.574744626963621</v>
      </c>
      <c r="AA313" s="170">
        <f t="shared" si="147"/>
        <v>21878</v>
      </c>
      <c r="AB313" s="170">
        <f t="shared" si="148"/>
        <v>478646884</v>
      </c>
      <c r="AD313" s="686">
        <f t="shared" si="149"/>
        <v>25.377601933210983</v>
      </c>
      <c r="AE313" s="687">
        <f t="shared" si="150"/>
        <v>-40.692089514186058</v>
      </c>
      <c r="AG313" s="686">
        <f t="shared" si="151"/>
        <v>13.57197142540616</v>
      </c>
      <c r="AH313" s="687">
        <f t="shared" si="152"/>
        <v>-75.054970532533659</v>
      </c>
      <c r="AJ313" s="170">
        <f t="shared" si="153"/>
        <v>0</v>
      </c>
      <c r="AK313" s="170">
        <f t="shared" si="165"/>
        <v>0</v>
      </c>
      <c r="AM313" s="170" t="str">
        <f t="shared" si="157"/>
        <v>0.118255915604606+0.471728067464433i</v>
      </c>
      <c r="AN313" s="170" t="str">
        <f t="shared" si="158"/>
        <v>0.491249581719469i</v>
      </c>
      <c r="AO313" s="170" t="str">
        <f t="shared" si="159"/>
        <v>0.960261514754462-0.240724715104463i</v>
      </c>
      <c r="AP313" s="170" t="str">
        <f t="shared" si="160"/>
        <v>0.146957347399232-0.0786213445774055i</v>
      </c>
      <c r="AQ313" s="170" t="str">
        <f t="shared" si="161"/>
        <v>0.853042652600768+0.0786213445774055i</v>
      </c>
      <c r="AR313" s="170" t="str">
        <f t="shared" si="162"/>
        <v>0.968279432631536-0.0892422327160786i</v>
      </c>
    </row>
    <row r="314" spans="7:44">
      <c r="G314" s="688">
        <v>22005.25</v>
      </c>
      <c r="H314" s="676">
        <f t="shared" si="154"/>
        <v>22.00525</v>
      </c>
      <c r="I314" s="677">
        <f t="shared" si="134"/>
        <v>114.91504392409077</v>
      </c>
      <c r="J314" s="678">
        <f t="shared" si="135"/>
        <v>1.5620941361389387</v>
      </c>
      <c r="K314" s="678">
        <f t="shared" si="136"/>
        <v>1.0004625165664547</v>
      </c>
      <c r="L314" s="679">
        <f t="shared" si="137"/>
        <v>3.0408497786202134E-2</v>
      </c>
      <c r="M314" s="678">
        <f t="shared" si="138"/>
        <v>1.006806262859762</v>
      </c>
      <c r="N314" s="679">
        <f t="shared" si="139"/>
        <v>-0.11634329725934325</v>
      </c>
      <c r="O314" s="677">
        <f t="shared" si="140"/>
        <v>414789.18996968045</v>
      </c>
      <c r="P314" s="680">
        <f t="shared" si="141"/>
        <v>1.5707939159316817</v>
      </c>
      <c r="Q314" s="689">
        <f t="shared" si="163"/>
        <v>55.590746486187967</v>
      </c>
      <c r="R314" s="690">
        <f t="shared" si="164"/>
        <v>1.5528067511421026</v>
      </c>
      <c r="S314" s="677">
        <f t="shared" si="142"/>
        <v>1.3019598674116704</v>
      </c>
      <c r="T314" s="680">
        <f t="shared" si="143"/>
        <v>0.69497012952034987</v>
      </c>
      <c r="U314" s="681">
        <f t="shared" si="155"/>
        <v>0.96222649791960724</v>
      </c>
      <c r="V314" s="682">
        <f t="shared" si="156"/>
        <v>-0.33942300922020929</v>
      </c>
      <c r="W314" s="683">
        <f t="shared" si="144"/>
        <v>-15.289238723716336</v>
      </c>
      <c r="X314" s="684">
        <f t="shared" si="145"/>
        <v>-154.72205253777861</v>
      </c>
      <c r="Y314" s="687">
        <f t="shared" si="146"/>
        <v>25.277947462221391</v>
      </c>
      <c r="AA314" s="170">
        <f t="shared" si="147"/>
        <v>22005.25</v>
      </c>
      <c r="AB314" s="170">
        <f t="shared" si="148"/>
        <v>484231027.5625</v>
      </c>
      <c r="AD314" s="686">
        <f t="shared" si="149"/>
        <v>25.356999681552818</v>
      </c>
      <c r="AE314" s="687">
        <f t="shared" si="150"/>
        <v>-40.849443983702713</v>
      </c>
      <c r="AG314" s="686">
        <f t="shared" si="151"/>
        <v>13.526010892411829</v>
      </c>
      <c r="AH314" s="687">
        <f t="shared" si="152"/>
        <v>-74.977596713735835</v>
      </c>
      <c r="AJ314" s="170">
        <f t="shared" si="153"/>
        <v>0</v>
      </c>
      <c r="AK314" s="170">
        <f t="shared" si="165"/>
        <v>0</v>
      </c>
      <c r="AM314" s="170" t="str">
        <f t="shared" si="157"/>
        <v>0.119607370885483+0.474245525651881i</v>
      </c>
      <c r="AN314" s="170" t="str">
        <f t="shared" si="158"/>
        <v>0.494106858859692i</v>
      </c>
      <c r="AO314" s="170" t="str">
        <f t="shared" si="159"/>
        <v>0.959803567079301-0.242067821445577i</v>
      </c>
      <c r="AP314" s="170" t="str">
        <f t="shared" si="160"/>
        <v>0.146732104852419-0.0790409209419802i</v>
      </c>
      <c r="AQ314" s="170" t="str">
        <f t="shared" si="161"/>
        <v>0.853267895147581+0.0790409209419802i</v>
      </c>
      <c r="AR314" s="170" t="str">
        <f t="shared" si="162"/>
        <v>0.967940928183059-0.0896634489778752i</v>
      </c>
    </row>
    <row r="315" spans="7:44">
      <c r="G315" s="688">
        <v>22132.5</v>
      </c>
      <c r="H315" s="676">
        <f t="shared" si="154"/>
        <v>22.1325</v>
      </c>
      <c r="I315" s="677">
        <f t="shared" si="134"/>
        <v>115.57951422925072</v>
      </c>
      <c r="J315" s="678">
        <f t="shared" si="135"/>
        <v>1.562144166561972</v>
      </c>
      <c r="K315" s="678">
        <f t="shared" si="136"/>
        <v>1.000467879977686</v>
      </c>
      <c r="L315" s="679">
        <f t="shared" si="137"/>
        <v>3.0584232019028806E-2</v>
      </c>
      <c r="M315" s="678">
        <f t="shared" si="138"/>
        <v>1.0068849378432951</v>
      </c>
      <c r="N315" s="679">
        <f t="shared" si="139"/>
        <v>-0.11700997022799665</v>
      </c>
      <c r="O315" s="677">
        <f t="shared" si="140"/>
        <v>417187.79595794855</v>
      </c>
      <c r="P315" s="680">
        <f t="shared" si="141"/>
        <v>1.5707939297928517</v>
      </c>
      <c r="Q315" s="689">
        <f t="shared" si="163"/>
        <v>55.912107980314296</v>
      </c>
      <c r="R315" s="690">
        <f t="shared" si="164"/>
        <v>1.5529101594283208</v>
      </c>
      <c r="S315" s="677">
        <f t="shared" si="142"/>
        <v>1.3050524354333519</v>
      </c>
      <c r="T315" s="680">
        <f t="shared" si="143"/>
        <v>0.69780759113384516</v>
      </c>
      <c r="U315" s="681">
        <f t="shared" si="155"/>
        <v>0.961815954278187</v>
      </c>
      <c r="V315" s="682">
        <f t="shared" si="156"/>
        <v>-0.34131392676107658</v>
      </c>
      <c r="W315" s="683">
        <f t="shared" si="144"/>
        <v>-15.362923099407549</v>
      </c>
      <c r="X315" s="684">
        <f t="shared" si="145"/>
        <v>-155.01803989306845</v>
      </c>
      <c r="Y315" s="687">
        <f t="shared" si="146"/>
        <v>24.981960106931552</v>
      </c>
      <c r="AA315" s="170">
        <f t="shared" si="147"/>
        <v>22132.5</v>
      </c>
      <c r="AB315" s="170">
        <f t="shared" si="148"/>
        <v>489847556.25</v>
      </c>
      <c r="AD315" s="686">
        <f t="shared" si="149"/>
        <v>25.336376287471868</v>
      </c>
      <c r="AE315" s="687">
        <f t="shared" si="150"/>
        <v>-41.006094494684938</v>
      </c>
      <c r="AG315" s="686">
        <f t="shared" si="151"/>
        <v>13.480363337279824</v>
      </c>
      <c r="AH315" s="687">
        <f t="shared" si="152"/>
        <v>-74.900250368797927</v>
      </c>
      <c r="AJ315" s="170">
        <f t="shared" si="153"/>
        <v>0</v>
      </c>
      <c r="AK315" s="170">
        <f t="shared" si="165"/>
        <v>0</v>
      </c>
      <c r="AM315" s="170" t="str">
        <f t="shared" si="157"/>
        <v>0.120966013715645+0.476759112086005i</v>
      </c>
      <c r="AN315" s="170" t="str">
        <f t="shared" si="158"/>
        <v>0.496964135999916i</v>
      </c>
      <c r="AO315" s="170" t="str">
        <f t="shared" si="159"/>
        <v>0.959343094500657-0.243409946418478i</v>
      </c>
      <c r="AP315" s="170" t="str">
        <f t="shared" si="160"/>
        <v>0.146505664380726-0.0794598520143342i</v>
      </c>
      <c r="AQ315" s="170" t="str">
        <f t="shared" si="161"/>
        <v>0.853494335619274+0.0794598520143342i</v>
      </c>
      <c r="AR315" s="170" t="str">
        <f t="shared" si="162"/>
        <v>0.967601041831264-0.0900831234422214i</v>
      </c>
    </row>
    <row r="316" spans="7:44">
      <c r="G316" s="688">
        <v>22259.75</v>
      </c>
      <c r="H316" s="676">
        <f t="shared" si="154"/>
        <v>22.25975</v>
      </c>
      <c r="I316" s="677">
        <f t="shared" si="134"/>
        <v>116.24398482040381</v>
      </c>
      <c r="J316" s="678">
        <f t="shared" si="135"/>
        <v>1.5621936250201383</v>
      </c>
      <c r="K316" s="678">
        <f t="shared" si="136"/>
        <v>1.0004732742855555</v>
      </c>
      <c r="L316" s="679">
        <f t="shared" si="137"/>
        <v>3.0759964362250244E-2</v>
      </c>
      <c r="M316" s="678">
        <f t="shared" si="138"/>
        <v>1.0069640602696606</v>
      </c>
      <c r="N316" s="679">
        <f t="shared" si="139"/>
        <v>-0.11767653872491425</v>
      </c>
      <c r="O316" s="677">
        <f t="shared" si="140"/>
        <v>419586.40194621665</v>
      </c>
      <c r="P316" s="680">
        <f t="shared" si="141"/>
        <v>1.5707939434955442</v>
      </c>
      <c r="Q316" s="689">
        <f t="shared" si="163"/>
        <v>56.233470065490565</v>
      </c>
      <c r="R316" s="690">
        <f t="shared" si="164"/>
        <v>1.5530123858037659</v>
      </c>
      <c r="S316" s="677">
        <f t="shared" si="142"/>
        <v>1.3081554609492883</v>
      </c>
      <c r="T316" s="680">
        <f t="shared" si="143"/>
        <v>0.70063161412616337</v>
      </c>
      <c r="U316" s="681">
        <f t="shared" si="155"/>
        <v>0.9614035421447813</v>
      </c>
      <c r="V316" s="682">
        <f t="shared" si="156"/>
        <v>-0.34320367609851749</v>
      </c>
      <c r="W316" s="683">
        <f t="shared" si="144"/>
        <v>-15.436355185599822</v>
      </c>
      <c r="X316" s="684">
        <f t="shared" si="145"/>
        <v>-155.31321939967839</v>
      </c>
      <c r="Y316" s="687">
        <f t="shared" si="146"/>
        <v>24.686780600321612</v>
      </c>
      <c r="AA316" s="170">
        <f t="shared" si="147"/>
        <v>22259.75</v>
      </c>
      <c r="AB316" s="170">
        <f t="shared" si="148"/>
        <v>495496470.0625</v>
      </c>
      <c r="AD316" s="686">
        <f t="shared" si="149"/>
        <v>25.315732508038554</v>
      </c>
      <c r="AE316" s="687">
        <f t="shared" si="150"/>
        <v>-41.162042738809411</v>
      </c>
      <c r="AG316" s="686">
        <f t="shared" si="151"/>
        <v>13.435025384134127</v>
      </c>
      <c r="AH316" s="687">
        <f t="shared" si="152"/>
        <v>-74.82293230828995</v>
      </c>
      <c r="AJ316" s="170">
        <f t="shared" si="153"/>
        <v>0</v>
      </c>
      <c r="AK316" s="170">
        <f t="shared" si="165"/>
        <v>0</v>
      </c>
      <c r="AM316" s="170" t="str">
        <f t="shared" si="157"/>
        <v>0.122331833003093+0.479268806245816i</v>
      </c>
      <c r="AN316" s="170" t="str">
        <f t="shared" si="158"/>
        <v>0.499821413140139i</v>
      </c>
      <c r="AO316" s="170" t="str">
        <f t="shared" si="159"/>
        <v>0.958880099263453-0.244751084661501i</v>
      </c>
      <c r="AP316" s="170" t="str">
        <f t="shared" si="160"/>
        <v>0.146278027832818-0.0798781343743027i</v>
      </c>
      <c r="AQ316" s="170" t="str">
        <f t="shared" si="161"/>
        <v>0.853721972167182+0.0798781343743027i</v>
      </c>
      <c r="AR316" s="170" t="str">
        <f t="shared" si="162"/>
        <v>0.967259782222256-0.0905012514356114i</v>
      </c>
    </row>
    <row r="317" spans="7:44">
      <c r="G317" s="688">
        <v>22387</v>
      </c>
      <c r="H317" s="676">
        <f t="shared" si="154"/>
        <v>22.387</v>
      </c>
      <c r="I317" s="677">
        <f t="shared" si="134"/>
        <v>116.90845569267354</v>
      </c>
      <c r="J317" s="678">
        <f t="shared" si="135"/>
        <v>1.5622425212657989</v>
      </c>
      <c r="K317" s="678">
        <f t="shared" si="136"/>
        <v>1.0004786994895631</v>
      </c>
      <c r="L317" s="679">
        <f t="shared" si="137"/>
        <v>3.0935694805043223E-2</v>
      </c>
      <c r="M317" s="678">
        <f t="shared" si="138"/>
        <v>1.0070436300333927</v>
      </c>
      <c r="N317" s="679">
        <f t="shared" si="139"/>
        <v>-0.11834300218246002</v>
      </c>
      <c r="O317" s="677">
        <f t="shared" si="140"/>
        <v>421985.00793448492</v>
      </c>
      <c r="P317" s="680">
        <f t="shared" si="141"/>
        <v>1.5707939570424618</v>
      </c>
      <c r="Q317" s="689">
        <f t="shared" si="163"/>
        <v>56.55483273164117</v>
      </c>
      <c r="R317" s="690">
        <f t="shared" si="164"/>
        <v>1.553113450414269</v>
      </c>
      <c r="S317" s="677">
        <f t="shared" si="142"/>
        <v>1.3112688697187087</v>
      </c>
      <c r="T317" s="680">
        <f t="shared" si="143"/>
        <v>0.70344224901776875</v>
      </c>
      <c r="U317" s="681">
        <f t="shared" si="155"/>
        <v>0.96098926908379956</v>
      </c>
      <c r="V317" s="682">
        <f t="shared" si="156"/>
        <v>-0.34509225253696579</v>
      </c>
      <c r="W317" s="683">
        <f t="shared" si="144"/>
        <v>-15.509537462694365</v>
      </c>
      <c r="X317" s="684">
        <f t="shared" si="145"/>
        <v>-155.60759305593157</v>
      </c>
      <c r="Y317" s="687">
        <f t="shared" si="146"/>
        <v>24.392406944068426</v>
      </c>
      <c r="AA317" s="170">
        <f t="shared" si="147"/>
        <v>22387</v>
      </c>
      <c r="AB317" s="170">
        <f t="shared" si="148"/>
        <v>501177769</v>
      </c>
      <c r="AD317" s="686">
        <f t="shared" si="149"/>
        <v>25.295069091388534</v>
      </c>
      <c r="AE317" s="687">
        <f t="shared" si="150"/>
        <v>-41.317290456569232</v>
      </c>
      <c r="AG317" s="686">
        <f t="shared" si="151"/>
        <v>13.38999371386717</v>
      </c>
      <c r="AH317" s="687">
        <f t="shared" si="152"/>
        <v>-74.745643328114156</v>
      </c>
      <c r="AJ317" s="170">
        <f t="shared" si="153"/>
        <v>0</v>
      </c>
      <c r="AK317" s="170">
        <f t="shared" si="165"/>
        <v>0</v>
      </c>
      <c r="AM317" s="170" t="str">
        <f t="shared" si="157"/>
        <v>0.123704817597243+0.481774587642104i</v>
      </c>
      <c r="AN317" s="170" t="str">
        <f t="shared" si="158"/>
        <v>0.502678690280362i</v>
      </c>
      <c r="AO317" s="170" t="str">
        <f t="shared" si="159"/>
        <v>0.958414583624782-0.246091230818335i</v>
      </c>
      <c r="AP317" s="170" t="str">
        <f t="shared" si="160"/>
        <v>0.146049197067126-0.0802957646070173i</v>
      </c>
      <c r="AQ317" s="170" t="str">
        <f t="shared" si="161"/>
        <v>0.853950802932874+0.0802957646070173i</v>
      </c>
      <c r="AR317" s="170" t="str">
        <f t="shared" si="162"/>
        <v>0.966917158015352-0.0909178283430806i</v>
      </c>
    </row>
    <row r="318" spans="7:44">
      <c r="G318" s="688">
        <v>22517.5</v>
      </c>
      <c r="H318" s="676">
        <f t="shared" si="154"/>
        <v>22.517499999999998</v>
      </c>
      <c r="I318" s="677">
        <f t="shared" si="134"/>
        <v>117.58989762076941</v>
      </c>
      <c r="J318" s="678">
        <f t="shared" si="135"/>
        <v>1.5622920923835875</v>
      </c>
      <c r="K318" s="678">
        <f t="shared" si="136"/>
        <v>1.000484295344106</v>
      </c>
      <c r="L318" s="679">
        <f t="shared" si="137"/>
        <v>3.1115911466488785E-2</v>
      </c>
      <c r="M318" s="678">
        <f t="shared" si="138"/>
        <v>1.0071256965406563</v>
      </c>
      <c r="N318" s="679">
        <f t="shared" si="139"/>
        <v>-0.11902637760828465</v>
      </c>
      <c r="O318" s="677">
        <f t="shared" si="140"/>
        <v>424444.87497942802</v>
      </c>
      <c r="P318" s="680">
        <f t="shared" si="141"/>
        <v>1.5707939707763441</v>
      </c>
      <c r="Q318" s="689">
        <f t="shared" si="163"/>
        <v>56.884403681783013</v>
      </c>
      <c r="R318" s="690">
        <f t="shared" si="164"/>
        <v>1.5532159102137002</v>
      </c>
      <c r="S318" s="677">
        <f t="shared" si="142"/>
        <v>1.3144725029464144</v>
      </c>
      <c r="T318" s="680">
        <f t="shared" si="143"/>
        <v>0.70631081623383962</v>
      </c>
      <c r="U318" s="681">
        <f t="shared" si="155"/>
        <v>0.9605624904885981</v>
      </c>
      <c r="V318" s="682">
        <f t="shared" si="156"/>
        <v>-0.34702784063415182</v>
      </c>
      <c r="W318" s="683">
        <f t="shared" si="144"/>
        <v>-15.584331923196036</v>
      </c>
      <c r="X318" s="684">
        <f t="shared" si="145"/>
        <v>-155.90865024212584</v>
      </c>
      <c r="Y318" s="687">
        <f t="shared" si="146"/>
        <v>24.091349757874156</v>
      </c>
      <c r="AA318" s="170">
        <f t="shared" si="147"/>
        <v>22517.5</v>
      </c>
      <c r="AB318" s="170">
        <f t="shared" si="148"/>
        <v>507037806.25</v>
      </c>
      <c r="AD318" s="686">
        <f t="shared" si="149"/>
        <v>25.273858303746039</v>
      </c>
      <c r="AE318" s="687">
        <f t="shared" si="150"/>
        <v>-41.475777524297115</v>
      </c>
      <c r="AG318" s="686">
        <f t="shared" si="151"/>
        <v>13.344126620736422</v>
      </c>
      <c r="AH318" s="687">
        <f t="shared" si="152"/>
        <v>-74.666411388638053</v>
      </c>
      <c r="AJ318" s="170">
        <f t="shared" si="153"/>
        <v>0</v>
      </c>
      <c r="AK318" s="170">
        <f t="shared" si="165"/>
        <v>0</v>
      </c>
      <c r="AM318" s="170" t="str">
        <f t="shared" si="157"/>
        <v>0.12512029900344+0.484340282016858i</v>
      </c>
      <c r="AN318" s="170" t="str">
        <f t="shared" si="158"/>
        <v>0.505608943064638i</v>
      </c>
      <c r="AO318" s="170" t="str">
        <f t="shared" si="159"/>
        <v>0.957934563184613-0.247464568654681i</v>
      </c>
      <c r="AP318" s="170" t="str">
        <f t="shared" si="160"/>
        <v>0.145813283499427-0.080723380336143i</v>
      </c>
      <c r="AQ318" s="170" t="str">
        <f t="shared" si="161"/>
        <v>0.854186716500573+0.080723380336143i</v>
      </c>
      <c r="AR318" s="170" t="str">
        <f t="shared" si="162"/>
        <v>0.966564374854586-0.091343428952399i</v>
      </c>
    </row>
    <row r="319" spans="7:44">
      <c r="G319" s="688">
        <v>22648</v>
      </c>
      <c r="H319" s="676">
        <f t="shared" si="154"/>
        <v>22.648</v>
      </c>
      <c r="I319" s="677">
        <f t="shared" si="134"/>
        <v>118.2713398344887</v>
      </c>
      <c r="J319" s="678">
        <f t="shared" si="135"/>
        <v>1.5623410922751562</v>
      </c>
      <c r="K319" s="678">
        <f t="shared" si="136"/>
        <v>1.0004899236920588</v>
      </c>
      <c r="L319" s="679">
        <f t="shared" si="137"/>
        <v>3.1296126106136551E-2</v>
      </c>
      <c r="M319" s="678">
        <f t="shared" si="138"/>
        <v>1.0072082333008345</v>
      </c>
      <c r="N319" s="679">
        <f t="shared" si="139"/>
        <v>-0.1197096413532852</v>
      </c>
      <c r="O319" s="677">
        <f t="shared" si="140"/>
        <v>426904.74202437123</v>
      </c>
      <c r="P319" s="680">
        <f t="shared" si="141"/>
        <v>1.5707939843519543</v>
      </c>
      <c r="Q319" s="689">
        <f t="shared" si="163"/>
        <v>57.213975222218103</v>
      </c>
      <c r="R319" s="690">
        <f t="shared" si="164"/>
        <v>1.5533171896090896</v>
      </c>
      <c r="S319" s="677">
        <f t="shared" si="142"/>
        <v>1.3176868998984288</v>
      </c>
      <c r="T319" s="680">
        <f t="shared" si="143"/>
        <v>0.70916541154118418</v>
      </c>
      <c r="U319" s="681">
        <f t="shared" si="155"/>
        <v>0.96013377086278473</v>
      </c>
      <c r="V319" s="682">
        <f t="shared" si="156"/>
        <v>-0.34896218524780726</v>
      </c>
      <c r="W319" s="683">
        <f t="shared" si="144"/>
        <v>-15.6588687854704</v>
      </c>
      <c r="X319" s="684">
        <f t="shared" si="145"/>
        <v>-156.20886426180965</v>
      </c>
      <c r="Y319" s="687">
        <f t="shared" si="146"/>
        <v>23.791135738190349</v>
      </c>
      <c r="AA319" s="170">
        <f t="shared" si="147"/>
        <v>22648</v>
      </c>
      <c r="AB319" s="170">
        <f t="shared" si="148"/>
        <v>512931904</v>
      </c>
      <c r="AD319" s="686">
        <f t="shared" si="149"/>
        <v>25.252628428126485</v>
      </c>
      <c r="AE319" s="687">
        <f t="shared" si="150"/>
        <v>-41.633531683723795</v>
      </c>
      <c r="AG319" s="686">
        <f t="shared" si="151"/>
        <v>13.298574762244794</v>
      </c>
      <c r="AH319" s="687">
        <f t="shared" si="152"/>
        <v>-74.587211683669267</v>
      </c>
      <c r="AJ319" s="170">
        <f t="shared" si="153"/>
        <v>0</v>
      </c>
      <c r="AK319" s="170">
        <f t="shared" si="165"/>
        <v>0</v>
      </c>
      <c r="AM319" s="170" t="str">
        <f t="shared" si="157"/>
        <v>0.126543292455035+0.486901817664208i</v>
      </c>
      <c r="AN319" s="170" t="str">
        <f t="shared" si="158"/>
        <v>0.508539195848914i</v>
      </c>
      <c r="AO319" s="170" t="str">
        <f t="shared" si="159"/>
        <v>0.957451896802986-0.248836851688087i</v>
      </c>
      <c r="AP319" s="170" t="str">
        <f t="shared" si="160"/>
        <v>0.145576117924161-0.0811503029440347i</v>
      </c>
      <c r="AQ319" s="170" t="str">
        <f t="shared" si="161"/>
        <v>0.854423882075839+0.0811503029440347i</v>
      </c>
      <c r="AR319" s="170" t="str">
        <f t="shared" si="162"/>
        <v>0.9662101749892-0.0917673885911148i</v>
      </c>
    </row>
    <row r="320" spans="7:44">
      <c r="G320" s="688">
        <v>22778.5</v>
      </c>
      <c r="H320" s="676">
        <f t="shared" si="154"/>
        <v>22.778500000000001</v>
      </c>
      <c r="I320" s="677">
        <f t="shared" si="134"/>
        <v>118.95278232892269</v>
      </c>
      <c r="J320" s="678">
        <f t="shared" si="135"/>
        <v>1.5623895307573854</v>
      </c>
      <c r="K320" s="678">
        <f t="shared" si="136"/>
        <v>1.0004955845328731</v>
      </c>
      <c r="L320" s="679">
        <f t="shared" si="137"/>
        <v>3.1476338712314963E-2</v>
      </c>
      <c r="M320" s="678">
        <f t="shared" si="138"/>
        <v>1.0072912401983307</v>
      </c>
      <c r="N320" s="679">
        <f t="shared" si="139"/>
        <v>-0.12039279280703118</v>
      </c>
      <c r="O320" s="677">
        <f t="shared" si="140"/>
        <v>429364.60906931455</v>
      </c>
      <c r="P320" s="680">
        <f t="shared" si="141"/>
        <v>1.5707939977720129</v>
      </c>
      <c r="Q320" s="689">
        <f t="shared" si="163"/>
        <v>57.543547342804004</v>
      </c>
      <c r="R320" s="690">
        <f t="shared" si="164"/>
        <v>1.5534173088801075</v>
      </c>
      <c r="S320" s="677">
        <f t="shared" si="142"/>
        <v>1.3209119819952211</v>
      </c>
      <c r="T320" s="680">
        <f t="shared" si="143"/>
        <v>0.7120060905872706</v>
      </c>
      <c r="U320" s="681">
        <f t="shared" si="155"/>
        <v>0.95970311841873845</v>
      </c>
      <c r="V320" s="682">
        <f t="shared" si="156"/>
        <v>-0.35089528141087178</v>
      </c>
      <c r="W320" s="683">
        <f t="shared" si="144"/>
        <v>-15.733150575333797</v>
      </c>
      <c r="X320" s="684">
        <f t="shared" si="145"/>
        <v>-156.5082373851323</v>
      </c>
      <c r="Y320" s="687">
        <f t="shared" si="146"/>
        <v>23.491762614867696</v>
      </c>
      <c r="AA320" s="170">
        <f t="shared" si="147"/>
        <v>22778.5</v>
      </c>
      <c r="AB320" s="170">
        <f t="shared" si="148"/>
        <v>518860062.25</v>
      </c>
      <c r="AD320" s="686">
        <f t="shared" si="149"/>
        <v>25.231380242478441</v>
      </c>
      <c r="AE320" s="687">
        <f t="shared" si="150"/>
        <v>-41.790554961430672</v>
      </c>
      <c r="AG320" s="686">
        <f t="shared" si="151"/>
        <v>13.253334736088025</v>
      </c>
      <c r="AH320" s="687">
        <f t="shared" si="152"/>
        <v>-74.50804502595885</v>
      </c>
      <c r="AJ320" s="170">
        <f t="shared" si="153"/>
        <v>0</v>
      </c>
      <c r="AK320" s="170">
        <f t="shared" si="165"/>
        <v>0</v>
      </c>
      <c r="AM320" s="170" t="str">
        <f t="shared" si="157"/>
        <v>0.127973785733674+0.489459172589849i</v>
      </c>
      <c r="AN320" s="170" t="str">
        <f t="shared" si="158"/>
        <v>0.51146944863319i</v>
      </c>
      <c r="AO320" s="170" t="str">
        <f t="shared" si="159"/>
        <v>0.956966586954197-0.250208074158996i</v>
      </c>
      <c r="AP320" s="170" t="str">
        <f t="shared" si="160"/>
        <v>0.145337702377721-0.0815765287649748i</v>
      </c>
      <c r="AQ320" s="170" t="str">
        <f t="shared" si="161"/>
        <v>0.854662297622279+0.0815765287649748i</v>
      </c>
      <c r="AR320" s="170" t="str">
        <f t="shared" si="162"/>
        <v>0.965854567799343-0.092189702473207i</v>
      </c>
    </row>
    <row r="321" spans="7:44">
      <c r="G321" s="688">
        <v>22909</v>
      </c>
      <c r="H321" s="676">
        <f t="shared" si="154"/>
        <v>22.908999999999999</v>
      </c>
      <c r="I321" s="677">
        <f t="shared" si="134"/>
        <v>119.6342250992745</v>
      </c>
      <c r="J321" s="678">
        <f t="shared" si="135"/>
        <v>1.5624374174234961</v>
      </c>
      <c r="K321" s="678">
        <f t="shared" si="136"/>
        <v>1.0005012778659974</v>
      </c>
      <c r="L321" s="679">
        <f t="shared" si="137"/>
        <v>3.165654927335327E-2</v>
      </c>
      <c r="M321" s="678">
        <f t="shared" si="138"/>
        <v>1.0073747171169283</v>
      </c>
      <c r="N321" s="679">
        <f t="shared" si="139"/>
        <v>-0.12107583135971188</v>
      </c>
      <c r="O321" s="677">
        <f t="shared" si="140"/>
        <v>431824.47611425788</v>
      </c>
      <c r="P321" s="680">
        <f t="shared" si="141"/>
        <v>1.570794011039178</v>
      </c>
      <c r="Q321" s="689">
        <f t="shared" si="163"/>
        <v>57.873120033629299</v>
      </c>
      <c r="R321" s="690">
        <f t="shared" si="164"/>
        <v>1.5535162878445687</v>
      </c>
      <c r="S321" s="677">
        <f t="shared" si="142"/>
        <v>1.324147671162867</v>
      </c>
      <c r="T321" s="680">
        <f t="shared" si="143"/>
        <v>0.71483290937671229</v>
      </c>
      <c r="U321" s="681">
        <f t="shared" si="155"/>
        <v>0.95927054138609857</v>
      </c>
      <c r="V321" s="682">
        <f t="shared" si="156"/>
        <v>-0.35282712418930234</v>
      </c>
      <c r="W321" s="683">
        <f t="shared" si="144"/>
        <v>-15.807179770737278</v>
      </c>
      <c r="X321" s="684">
        <f t="shared" si="145"/>
        <v>-156.80677191827724</v>
      </c>
      <c r="Y321" s="687">
        <f t="shared" si="146"/>
        <v>23.193228081722765</v>
      </c>
      <c r="AA321" s="170">
        <f t="shared" si="147"/>
        <v>22909</v>
      </c>
      <c r="AB321" s="170">
        <f t="shared" si="148"/>
        <v>524822281</v>
      </c>
      <c r="AD321" s="686">
        <f t="shared" si="149"/>
        <v>25.210114515071581</v>
      </c>
      <c r="AE321" s="687">
        <f t="shared" si="150"/>
        <v>-41.946849430920928</v>
      </c>
      <c r="AG321" s="686">
        <f t="shared" si="151"/>
        <v>13.208403197226895</v>
      </c>
      <c r="AH321" s="687">
        <f t="shared" si="152"/>
        <v>-74.428912213586756</v>
      </c>
      <c r="AJ321" s="170">
        <f t="shared" si="153"/>
        <v>0</v>
      </c>
      <c r="AK321" s="170">
        <f t="shared" si="165"/>
        <v>0</v>
      </c>
      <c r="AM321" s="170" t="str">
        <f t="shared" si="157"/>
        <v>0.129411766556604+0.492012324835371i</v>
      </c>
      <c r="AN321" s="170" t="str">
        <f t="shared" si="158"/>
        <v>0.514399701417466i</v>
      </c>
      <c r="AO321" s="170" t="str">
        <f t="shared" si="159"/>
        <v>0.956478636125945-0.251578230313899i</v>
      </c>
      <c r="AP321" s="170" t="str">
        <f t="shared" si="160"/>
        <v>0.145098038907233-0.0820020541392285i</v>
      </c>
      <c r="AQ321" s="170" t="str">
        <f t="shared" si="161"/>
        <v>0.854901961092767+0.0820020541392285i</v>
      </c>
      <c r="AR321" s="170" t="str">
        <f t="shared" si="162"/>
        <v>0.965497562677731-0.0926103658772649i</v>
      </c>
    </row>
    <row r="322" spans="7:44">
      <c r="G322" s="688">
        <v>23042.25</v>
      </c>
      <c r="H322" s="676">
        <f t="shared" si="154"/>
        <v>23.042249999999999</v>
      </c>
      <c r="I322" s="677">
        <f t="shared" si="134"/>
        <v>120.33002805457843</v>
      </c>
      <c r="J322" s="678">
        <f t="shared" si="135"/>
        <v>1.5624857535556291</v>
      </c>
      <c r="K322" s="678">
        <f t="shared" si="136"/>
        <v>1.0005071246995785</v>
      </c>
      <c r="L322" s="679">
        <f t="shared" si="137"/>
        <v>3.1840555252584397E-2</v>
      </c>
      <c r="M322" s="678">
        <f t="shared" si="138"/>
        <v>1.0074604379887242</v>
      </c>
      <c r="N322" s="679">
        <f t="shared" si="139"/>
        <v>-0.12177314631727643</v>
      </c>
      <c r="O322" s="677">
        <f t="shared" si="140"/>
        <v>434336.17943792621</v>
      </c>
      <c r="P322" s="680">
        <f t="shared" si="141"/>
        <v>1.5707940244308585</v>
      </c>
      <c r="Q322" s="689">
        <f t="shared" si="163"/>
        <v>58.209638321170146</v>
      </c>
      <c r="R322" s="690">
        <f t="shared" si="164"/>
        <v>1.5536161960922898</v>
      </c>
      <c r="S322" s="677">
        <f t="shared" si="142"/>
        <v>1.3274624094614973</v>
      </c>
      <c r="T322" s="680">
        <f t="shared" si="143"/>
        <v>0.71770505424807796</v>
      </c>
      <c r="U322" s="681">
        <f t="shared" si="155"/>
        <v>0.95882687146374279</v>
      </c>
      <c r="V322" s="682">
        <f t="shared" si="156"/>
        <v>-0.35479837792458302</v>
      </c>
      <c r="W322" s="683">
        <f t="shared" si="144"/>
        <v>-15.882510859592054</v>
      </c>
      <c r="X322" s="684">
        <f t="shared" si="145"/>
        <v>-157.1107345580526</v>
      </c>
      <c r="Y322" s="687">
        <f t="shared" si="146"/>
        <v>22.889265441947401</v>
      </c>
      <c r="AA322" s="170">
        <f t="shared" si="147"/>
        <v>23042.25</v>
      </c>
      <c r="AB322" s="170">
        <f t="shared" si="148"/>
        <v>530945285.0625</v>
      </c>
      <c r="AD322" s="686">
        <f t="shared" si="149"/>
        <v>25.188383347416092</v>
      </c>
      <c r="AE322" s="687">
        <f t="shared" si="150"/>
        <v>-42.105687656735633</v>
      </c>
      <c r="AG322" s="686">
        <f t="shared" si="151"/>
        <v>13.162839714686498</v>
      </c>
      <c r="AH322" s="687">
        <f t="shared" si="152"/>
        <v>-74.348147588527382</v>
      </c>
      <c r="AJ322" s="170">
        <f t="shared" si="153"/>
        <v>0</v>
      </c>
      <c r="AK322" s="170">
        <f t="shared" si="165"/>
        <v>0</v>
      </c>
      <c r="AM322" s="170" t="str">
        <f t="shared" si="157"/>
        <v>0.130887762709518+0.494614919904296i</v>
      </c>
      <c r="AN322" s="170" t="str">
        <f t="shared" si="158"/>
        <v>0.517391702823633i</v>
      </c>
      <c r="AO322" s="170" t="str">
        <f t="shared" si="159"/>
        <v>0.9559776803628-0.252976153261071i</v>
      </c>
      <c r="AP322" s="170" t="str">
        <f t="shared" si="160"/>
        <v>0.144852039548414-0.0824358199840493i</v>
      </c>
      <c r="AQ322" s="170" t="str">
        <f t="shared" si="161"/>
        <v>0.855147960451586+0.0824358199840493i</v>
      </c>
      <c r="AR322" s="170" t="str">
        <f t="shared" si="162"/>
        <v>0.965131601802405-0.0930381859825585i</v>
      </c>
    </row>
    <row r="323" spans="7:44">
      <c r="G323" s="688">
        <v>23175.5</v>
      </c>
      <c r="H323" s="676">
        <f t="shared" si="154"/>
        <v>23.1755</v>
      </c>
      <c r="I323" s="677">
        <f t="shared" si="134"/>
        <v>121.02583128778659</v>
      </c>
      <c r="J323" s="678">
        <f t="shared" si="135"/>
        <v>1.5625335338984738</v>
      </c>
      <c r="K323" s="678">
        <f t="shared" si="136"/>
        <v>1.0005130054081333</v>
      </c>
      <c r="L323" s="679">
        <f t="shared" si="137"/>
        <v>3.2024559074984096E-2</v>
      </c>
      <c r="M323" s="678">
        <f t="shared" si="138"/>
        <v>1.0075466486527993</v>
      </c>
      <c r="N323" s="679">
        <f t="shared" si="139"/>
        <v>-0.12247034228238418</v>
      </c>
      <c r="O323" s="677">
        <f t="shared" si="140"/>
        <v>436847.88276159455</v>
      </c>
      <c r="P323" s="680">
        <f t="shared" si="141"/>
        <v>1.5707940376685452</v>
      </c>
      <c r="Q323" s="689">
        <f t="shared" si="163"/>
        <v>58.546157183060295</v>
      </c>
      <c r="R323" s="690">
        <f t="shared" si="164"/>
        <v>1.553714955810958</v>
      </c>
      <c r="S323" s="677">
        <f t="shared" si="142"/>
        <v>1.330788043680627</v>
      </c>
      <c r="T323" s="680">
        <f t="shared" si="143"/>
        <v>0.72056286763817345</v>
      </c>
      <c r="U323" s="681">
        <f t="shared" si="155"/>
        <v>0.95838121237963103</v>
      </c>
      <c r="V323" s="682">
        <f t="shared" si="156"/>
        <v>-0.35676831460264324</v>
      </c>
      <c r="W323" s="683">
        <f t="shared" si="144"/>
        <v>-15.95758367026674</v>
      </c>
      <c r="X323" s="684">
        <f t="shared" si="145"/>
        <v>-157.41382786109139</v>
      </c>
      <c r="Y323" s="687">
        <f t="shared" si="146"/>
        <v>22.586172138908609</v>
      </c>
      <c r="AA323" s="170">
        <f t="shared" si="147"/>
        <v>23175.5</v>
      </c>
      <c r="AB323" s="170">
        <f t="shared" si="148"/>
        <v>537103800.25</v>
      </c>
      <c r="AD323" s="686">
        <f t="shared" si="149"/>
        <v>25.16663547916011</v>
      </c>
      <c r="AE323" s="687">
        <f t="shared" si="150"/>
        <v>-42.263770546202721</v>
      </c>
      <c r="AG323" s="686">
        <f t="shared" si="151"/>
        <v>13.117590986264878</v>
      </c>
      <c r="AH323" s="687">
        <f t="shared" si="152"/>
        <v>-74.267419886719395</v>
      </c>
      <c r="AJ323" s="170">
        <f t="shared" si="153"/>
        <v>0</v>
      </c>
      <c r="AK323" s="170">
        <f t="shared" si="165"/>
        <v>0</v>
      </c>
      <c r="AM323" s="170" t="str">
        <f t="shared" si="157"/>
        <v>0.132371539212312+0.497213087147943i</v>
      </c>
      <c r="AN323" s="170" t="str">
        <f t="shared" si="158"/>
        <v>0.5203837042298i</v>
      </c>
      <c r="AO323" s="170" t="str">
        <f t="shared" si="159"/>
        <v>0.955473976426393-0.254372952374114i</v>
      </c>
      <c r="AP323" s="170" t="str">
        <f t="shared" si="160"/>
        <v>0.144604743464615-0.0828688478579905i</v>
      </c>
      <c r="AQ323" s="170" t="str">
        <f t="shared" si="161"/>
        <v>0.855395256535385+0.0828688478579905i</v>
      </c>
      <c r="AR323" s="170" t="str">
        <f t="shared" si="162"/>
        <v>0.964764203287589-0.0934642755734844i</v>
      </c>
    </row>
    <row r="324" spans="7:44">
      <c r="G324" s="688">
        <v>23308.75</v>
      </c>
      <c r="H324" s="676">
        <f t="shared" si="154"/>
        <v>23.30875</v>
      </c>
      <c r="I324" s="677">
        <f t="shared" si="134"/>
        <v>121.72163479413321</v>
      </c>
      <c r="J324" s="678">
        <f t="shared" si="135"/>
        <v>1.562580767983069</v>
      </c>
      <c r="K324" s="678">
        <f t="shared" si="136"/>
        <v>1.0005189199910651</v>
      </c>
      <c r="L324" s="679">
        <f t="shared" si="137"/>
        <v>3.220856072813072E-2</v>
      </c>
      <c r="M324" s="678">
        <f t="shared" si="138"/>
        <v>1.007633348983437</v>
      </c>
      <c r="N324" s="679">
        <f t="shared" si="139"/>
        <v>-0.12316741860787551</v>
      </c>
      <c r="O324" s="677">
        <f t="shared" si="140"/>
        <v>439359.58608526306</v>
      </c>
      <c r="P324" s="680">
        <f t="shared" si="141"/>
        <v>1.5707940507548792</v>
      </c>
      <c r="Q324" s="689">
        <f t="shared" si="163"/>
        <v>58.882676609452382</v>
      </c>
      <c r="R324" s="690">
        <f t="shared" si="164"/>
        <v>1.5538125866904489</v>
      </c>
      <c r="S324" s="677">
        <f t="shared" si="142"/>
        <v>1.334124492337954</v>
      </c>
      <c r="T324" s="680">
        <f t="shared" si="143"/>
        <v>0.72340641021531027</v>
      </c>
      <c r="U324" s="681">
        <f t="shared" si="155"/>
        <v>0.95793357294786252</v>
      </c>
      <c r="V324" s="682">
        <f t="shared" si="156"/>
        <v>-0.35873692907773735</v>
      </c>
      <c r="W324" s="683">
        <f t="shared" si="144"/>
        <v>-16.032400694185604</v>
      </c>
      <c r="X324" s="684">
        <f t="shared" si="145"/>
        <v>-157.71605439032732</v>
      </c>
      <c r="Y324" s="687">
        <f t="shared" si="146"/>
        <v>22.283945609672685</v>
      </c>
      <c r="AA324" s="170">
        <f t="shared" si="147"/>
        <v>23308.75</v>
      </c>
      <c r="AB324" s="170">
        <f t="shared" si="148"/>
        <v>543297826.5625</v>
      </c>
      <c r="AD324" s="686">
        <f t="shared" si="149"/>
        <v>25.144871697304573</v>
      </c>
      <c r="AE324" s="687">
        <f t="shared" si="150"/>
        <v>-42.421100447364914</v>
      </c>
      <c r="AG324" s="686">
        <f t="shared" si="151"/>
        <v>13.072653627463488</v>
      </c>
      <c r="AH324" s="687">
        <f t="shared" si="152"/>
        <v>-74.186729912712821</v>
      </c>
      <c r="AJ324" s="170">
        <f t="shared" si="153"/>
        <v>0</v>
      </c>
      <c r="AK324" s="170">
        <f t="shared" si="165"/>
        <v>0</v>
      </c>
      <c r="AM324" s="170" t="str">
        <f t="shared" si="157"/>
        <v>0.133863082782122+0.49980680330735i</v>
      </c>
      <c r="AN324" s="170" t="str">
        <f t="shared" si="158"/>
        <v>0.523375705635967i</v>
      </c>
      <c r="AO324" s="170" t="str">
        <f t="shared" si="159"/>
        <v>0.954967527008198-0.255768621547807i</v>
      </c>
      <c r="AP324" s="170" t="str">
        <f t="shared" si="160"/>
        <v>0.144356152869646-0.0833011338845583i</v>
      </c>
      <c r="AQ324" s="170" t="str">
        <f t="shared" si="161"/>
        <v>0.855643847130354+0.0833011338845583i</v>
      </c>
      <c r="AR324" s="170" t="str">
        <f t="shared" si="162"/>
        <v>0.964395377169601-0.0938886298320045i</v>
      </c>
    </row>
    <row r="325" spans="7:44">
      <c r="G325" s="688">
        <v>23442</v>
      </c>
      <c r="H325" s="676">
        <f t="shared" si="154"/>
        <v>23.442</v>
      </c>
      <c r="I325" s="677">
        <f t="shared" si="134"/>
        <v>122.41743856896083</v>
      </c>
      <c r="J325" s="678">
        <f t="shared" si="135"/>
        <v>1.5626274651237706</v>
      </c>
      <c r="K325" s="678">
        <f t="shared" si="136"/>
        <v>1.000524868447773</v>
      </c>
      <c r="L325" s="679">
        <f t="shared" si="137"/>
        <v>3.2392560199603494E-2</v>
      </c>
      <c r="M325" s="678">
        <f t="shared" si="138"/>
        <v>1.0077205388542507</v>
      </c>
      <c r="N325" s="679">
        <f t="shared" si="139"/>
        <v>-0.12386437464727797</v>
      </c>
      <c r="O325" s="677">
        <f t="shared" si="140"/>
        <v>441871.28940893163</v>
      </c>
      <c r="P325" s="680">
        <f t="shared" si="141"/>
        <v>1.5707940636924413</v>
      </c>
      <c r="Q325" s="689">
        <f t="shared" si="163"/>
        <v>59.219196590722881</v>
      </c>
      <c r="R325" s="690">
        <f t="shared" si="164"/>
        <v>1.5539091079731655</v>
      </c>
      <c r="S325" s="677">
        <f t="shared" si="142"/>
        <v>1.3374716745005868</v>
      </c>
      <c r="T325" s="680">
        <f t="shared" si="143"/>
        <v>0.72623574296654247</v>
      </c>
      <c r="U325" s="681">
        <f t="shared" si="155"/>
        <v>0.95748396199958064</v>
      </c>
      <c r="V325" s="682">
        <f t="shared" si="156"/>
        <v>-0.36070421624018462</v>
      </c>
      <c r="W325" s="683">
        <f t="shared" si="144"/>
        <v>-16.106964375987445</v>
      </c>
      <c r="X325" s="684">
        <f t="shared" si="145"/>
        <v>-158.01741674228217</v>
      </c>
      <c r="Y325" s="687">
        <f t="shared" si="146"/>
        <v>21.982583257717835</v>
      </c>
      <c r="AA325" s="170">
        <f t="shared" si="147"/>
        <v>23442</v>
      </c>
      <c r="AB325" s="170">
        <f t="shared" si="148"/>
        <v>549527364</v>
      </c>
      <c r="AD325" s="686">
        <f t="shared" si="149"/>
        <v>25.123092778583519</v>
      </c>
      <c r="AE325" s="687">
        <f t="shared" si="150"/>
        <v>-42.577679752162418</v>
      </c>
      <c r="AG325" s="686">
        <f t="shared" si="151"/>
        <v>13.028024310550052</v>
      </c>
      <c r="AH325" s="687">
        <f t="shared" si="152"/>
        <v>-74.106078456615592</v>
      </c>
      <c r="AJ325" s="170">
        <f t="shared" si="153"/>
        <v>0</v>
      </c>
      <c r="AK325" s="170">
        <f t="shared" si="165"/>
        <v>0</v>
      </c>
      <c r="AM325" s="170" t="str">
        <f t="shared" si="157"/>
        <v>0.135362380066552+0.502396045163397i</v>
      </c>
      <c r="AN325" s="170" t="str">
        <f t="shared" si="158"/>
        <v>0.526367707042134i</v>
      </c>
      <c r="AO325" s="170" t="str">
        <f t="shared" si="159"/>
        <v>0.954458334814187-0.257163154683645i</v>
      </c>
      <c r="AP325" s="170" t="str">
        <f t="shared" si="160"/>
        <v>0.144106269988908-0.0837326741938995i</v>
      </c>
      <c r="AQ325" s="170" t="str">
        <f t="shared" si="161"/>
        <v>0.855893730011092+0.0837326741938995i</v>
      </c>
      <c r="AR325" s="170" t="str">
        <f t="shared" si="162"/>
        <v>0.964025133496176-0.0943112440100709i</v>
      </c>
    </row>
    <row r="326" spans="7:44">
      <c r="G326" s="688">
        <v>23578.5</v>
      </c>
      <c r="H326" s="676">
        <f t="shared" si="154"/>
        <v>23.578499999999998</v>
      </c>
      <c r="I326" s="677">
        <f t="shared" si="134"/>
        <v>123.13021344119032</v>
      </c>
      <c r="J326" s="678">
        <f t="shared" si="135"/>
        <v>1.5626747539862345</v>
      </c>
      <c r="K326" s="678">
        <f t="shared" si="136"/>
        <v>1.0005309971112952</v>
      </c>
      <c r="L326" s="679">
        <f t="shared" si="137"/>
        <v>3.258104518794068E-2</v>
      </c>
      <c r="M326" s="678">
        <f t="shared" si="138"/>
        <v>1.0078103627702533</v>
      </c>
      <c r="N326" s="679">
        <f t="shared" si="139"/>
        <v>-0.12457820421685348</v>
      </c>
      <c r="O326" s="677">
        <f t="shared" si="140"/>
        <v>444444.25378927501</v>
      </c>
      <c r="P326" s="680">
        <f t="shared" si="141"/>
        <v>1.5707940767939315</v>
      </c>
      <c r="Q326" s="689">
        <f t="shared" si="163"/>
        <v>59.563924941927617</v>
      </c>
      <c r="R326" s="690">
        <f t="shared" si="164"/>
        <v>1.5540068525687734</v>
      </c>
      <c r="S326" s="677">
        <f t="shared" si="142"/>
        <v>1.3409115406169443</v>
      </c>
      <c r="T326" s="680">
        <f t="shared" si="143"/>
        <v>0.7291194139775673</v>
      </c>
      <c r="U326" s="681">
        <f t="shared" si="155"/>
        <v>0.95702134994781052</v>
      </c>
      <c r="V326" s="682">
        <f t="shared" si="156"/>
        <v>-0.36271810444545055</v>
      </c>
      <c r="W326" s="683">
        <f t="shared" si="144"/>
        <v>-16.183086505591323</v>
      </c>
      <c r="X326" s="684">
        <f t="shared" si="145"/>
        <v>-158.32523609303647</v>
      </c>
      <c r="Y326" s="687">
        <f t="shared" si="146"/>
        <v>21.674763906963534</v>
      </c>
      <c r="AA326" s="170">
        <f t="shared" si="147"/>
        <v>23578.5</v>
      </c>
      <c r="AB326" s="170">
        <f t="shared" si="148"/>
        <v>555945662.25</v>
      </c>
      <c r="AD326" s="686">
        <f t="shared" si="149"/>
        <v>25.100767772771484</v>
      </c>
      <c r="AE326" s="687">
        <f t="shared" si="150"/>
        <v>-42.737302328642301</v>
      </c>
      <c r="AG326" s="686">
        <f t="shared" si="151"/>
        <v>12.982622456868029</v>
      </c>
      <c r="AH326" s="687">
        <f t="shared" si="152"/>
        <v>-74.023500641480481</v>
      </c>
      <c r="AJ326" s="170">
        <f t="shared" si="153"/>
        <v>0</v>
      </c>
      <c r="AK326" s="170">
        <f t="shared" si="165"/>
        <v>0</v>
      </c>
      <c r="AM326" s="170" t="str">
        <f t="shared" si="157"/>
        <v>0.136906271240388+0.505043775702492i</v>
      </c>
      <c r="AN326" s="170" t="str">
        <f t="shared" si="158"/>
        <v>0.529432684092353i</v>
      </c>
      <c r="AO326" s="170" t="str">
        <f t="shared" si="159"/>
        <v>0.953933882205114-0.258590516516933i</v>
      </c>
      <c r="AP326" s="170" t="str">
        <f t="shared" si="160"/>
        <v>0.143848954793269-0.084173962617082i</v>
      </c>
      <c r="AQ326" s="170" t="str">
        <f t="shared" si="161"/>
        <v>0.856151045206731+0.084173962617082i</v>
      </c>
      <c r="AR326" s="170" t="str">
        <f t="shared" si="162"/>
        <v>0.963644400164821-0.0947423567018456i</v>
      </c>
    </row>
    <row r="327" spans="7:44">
      <c r="G327" s="688">
        <v>23715</v>
      </c>
      <c r="H327" s="676">
        <f t="shared" si="154"/>
        <v>23.715</v>
      </c>
      <c r="I327" s="677">
        <f t="shared" si="134"/>
        <v>123.84298858559855</v>
      </c>
      <c r="J327" s="678">
        <f t="shared" si="135"/>
        <v>1.5627214985091318</v>
      </c>
      <c r="K327" s="678">
        <f t="shared" si="136"/>
        <v>1.0005371613198368</v>
      </c>
      <c r="L327" s="679">
        <f t="shared" si="137"/>
        <v>3.2769527860499928E-2</v>
      </c>
      <c r="M327" s="678">
        <f t="shared" si="138"/>
        <v>1.0079007001270168</v>
      </c>
      <c r="N327" s="679">
        <f t="shared" si="139"/>
        <v>-0.12529190619006397</v>
      </c>
      <c r="O327" s="677">
        <f t="shared" si="140"/>
        <v>447017.21816961857</v>
      </c>
      <c r="P327" s="680">
        <f t="shared" si="141"/>
        <v>1.5707940897446011</v>
      </c>
      <c r="Q327" s="689">
        <f t="shared" si="163"/>
        <v>59.908653855657271</v>
      </c>
      <c r="R327" s="690">
        <f t="shared" si="164"/>
        <v>1.5541034722731106</v>
      </c>
      <c r="S327" s="677">
        <f t="shared" si="142"/>
        <v>1.3443625000457711</v>
      </c>
      <c r="T327" s="680">
        <f t="shared" si="143"/>
        <v>0.73198830405820858</v>
      </c>
      <c r="U327" s="681">
        <f t="shared" si="155"/>
        <v>0.95655668784852854</v>
      </c>
      <c r="V327" s="682">
        <f t="shared" si="156"/>
        <v>-0.36473058906299338</v>
      </c>
      <c r="W327" s="683">
        <f t="shared" si="144"/>
        <v>-16.258947832227481</v>
      </c>
      <c r="X327" s="684">
        <f t="shared" si="145"/>
        <v>-158.63215421568097</v>
      </c>
      <c r="Y327" s="687">
        <f t="shared" si="146"/>
        <v>21.36784578431903</v>
      </c>
      <c r="AA327" s="170">
        <f t="shared" si="147"/>
        <v>23715</v>
      </c>
      <c r="AB327" s="170">
        <f t="shared" si="148"/>
        <v>562401225</v>
      </c>
      <c r="AD327" s="686">
        <f t="shared" si="149"/>
        <v>25.078428500025684</v>
      </c>
      <c r="AE327" s="687">
        <f t="shared" si="150"/>
        <v>-42.896142463073879</v>
      </c>
      <c r="AG327" s="686">
        <f t="shared" si="151"/>
        <v>12.937536962580591</v>
      </c>
      <c r="AH327" s="687">
        <f t="shared" si="152"/>
        <v>-73.940964879589473</v>
      </c>
      <c r="AJ327" s="170">
        <f t="shared" si="153"/>
        <v>0</v>
      </c>
      <c r="AK327" s="170">
        <f t="shared" si="165"/>
        <v>0</v>
      </c>
      <c r="AM327" s="170" t="str">
        <f t="shared" si="157"/>
        <v>0.13845827038314+0.507686761821488i</v>
      </c>
      <c r="AN327" s="170" t="str">
        <f t="shared" si="158"/>
        <v>0.532497661142573i</v>
      </c>
      <c r="AO327" s="170" t="str">
        <f t="shared" si="159"/>
        <v>0.953406557189662-0.260016673286512i</v>
      </c>
      <c r="AP327" s="170" t="str">
        <f t="shared" si="160"/>
        <v>0.143590288269477-0.0846144603035813i</v>
      </c>
      <c r="AQ327" s="170" t="str">
        <f t="shared" si="161"/>
        <v>0.856409711730523+0.0846144603035813i</v>
      </c>
      <c r="AR327" s="170" t="str">
        <f t="shared" si="162"/>
        <v>0.963262200664833-0.0951716335343724i</v>
      </c>
    </row>
    <row r="328" spans="7:44">
      <c r="G328" s="688">
        <v>23851.5</v>
      </c>
      <c r="H328" s="676">
        <f t="shared" si="154"/>
        <v>23.851500000000001</v>
      </c>
      <c r="I328" s="677">
        <f t="shared" si="134"/>
        <v>124.55576399751288</v>
      </c>
      <c r="J328" s="678">
        <f t="shared" si="135"/>
        <v>1.5627677080372724</v>
      </c>
      <c r="K328" s="678">
        <f t="shared" si="136"/>
        <v>1.0005433610727403</v>
      </c>
      <c r="L328" s="679">
        <f t="shared" si="137"/>
        <v>3.2958008203932208E-2</v>
      </c>
      <c r="M328" s="678">
        <f t="shared" si="138"/>
        <v>1.007991550786496</v>
      </c>
      <c r="N328" s="679">
        <f t="shared" si="139"/>
        <v>-0.12600547987423616</v>
      </c>
      <c r="O328" s="677">
        <f t="shared" si="140"/>
        <v>449590.18254996213</v>
      </c>
      <c r="P328" s="680">
        <f t="shared" si="141"/>
        <v>1.5707941025470398</v>
      </c>
      <c r="Q328" s="689">
        <f t="shared" si="163"/>
        <v>60.253383322256688</v>
      </c>
      <c r="R328" s="690">
        <f t="shared" si="164"/>
        <v>1.5541989863919787</v>
      </c>
      <c r="S328" s="677">
        <f t="shared" si="142"/>
        <v>1.3478244675773734</v>
      </c>
      <c r="T328" s="680">
        <f t="shared" si="143"/>
        <v>0.73484247969935512</v>
      </c>
      <c r="U328" s="681">
        <f t="shared" si="155"/>
        <v>0.95608998524774635</v>
      </c>
      <c r="V328" s="682">
        <f t="shared" si="156"/>
        <v>-0.36674166471804909</v>
      </c>
      <c r="W328" s="683">
        <f t="shared" si="144"/>
        <v>-16.33455083899733</v>
      </c>
      <c r="X328" s="684">
        <f t="shared" si="145"/>
        <v>-158.93817400241483</v>
      </c>
      <c r="Y328" s="687">
        <f t="shared" si="146"/>
        <v>21.061825997585174</v>
      </c>
      <c r="AA328" s="170">
        <f t="shared" si="147"/>
        <v>23851.5</v>
      </c>
      <c r="AB328" s="170">
        <f t="shared" si="148"/>
        <v>568894052.25</v>
      </c>
      <c r="AD328" s="686">
        <f t="shared" si="149"/>
        <v>25.056075762251616</v>
      </c>
      <c r="AE328" s="687">
        <f t="shared" si="150"/>
        <v>-43.054202859111889</v>
      </c>
      <c r="AG328" s="686">
        <f t="shared" si="151"/>
        <v>12.892764427442643</v>
      </c>
      <c r="AH328" s="687">
        <f t="shared" si="152"/>
        <v>-73.858471975389591</v>
      </c>
      <c r="AJ328" s="170">
        <f t="shared" si="153"/>
        <v>0</v>
      </c>
      <c r="AK328" s="170">
        <f t="shared" si="165"/>
        <v>0</v>
      </c>
      <c r="AM328" s="170" t="str">
        <f t="shared" si="157"/>
        <v>0.140018362915207+0.51032497869197i</v>
      </c>
      <c r="AN328" s="170" t="str">
        <f t="shared" si="158"/>
        <v>0.535562638192793i</v>
      </c>
      <c r="AO328" s="170" t="str">
        <f t="shared" si="159"/>
        <v>0.95287636272391-0.261441618458834i</v>
      </c>
      <c r="AP328" s="170" t="str">
        <f t="shared" si="160"/>
        <v>0.143330272847465-0.0850541631153283i</v>
      </c>
      <c r="AQ328" s="170" t="str">
        <f t="shared" si="161"/>
        <v>0.856669727152535+0.0850541631153283i</v>
      </c>
      <c r="AR328" s="170" t="str">
        <f t="shared" si="162"/>
        <v>0.962878545830775-0.0955990696316023i</v>
      </c>
    </row>
    <row r="329" spans="7:44">
      <c r="G329" s="688">
        <v>23988</v>
      </c>
      <c r="H329" s="676">
        <f t="shared" si="154"/>
        <v>23.988</v>
      </c>
      <c r="I329" s="677">
        <f t="shared" si="134"/>
        <v>125.26853967236701</v>
      </c>
      <c r="J329" s="678">
        <f t="shared" si="135"/>
        <v>1.562813391702788</v>
      </c>
      <c r="K329" s="678">
        <f t="shared" si="136"/>
        <v>1.0005495963693454</v>
      </c>
      <c r="L329" s="679">
        <f t="shared" si="137"/>
        <v>3.3146486204889483E-2</v>
      </c>
      <c r="M329" s="678">
        <f t="shared" si="138"/>
        <v>1.0080829146099108</v>
      </c>
      <c r="N329" s="679">
        <f t="shared" si="139"/>
        <v>-0.12671892457746836</v>
      </c>
      <c r="O329" s="677">
        <f t="shared" si="140"/>
        <v>452163.14693030587</v>
      </c>
      <c r="P329" s="680">
        <f t="shared" si="141"/>
        <v>1.5707941152037779</v>
      </c>
      <c r="Q329" s="689">
        <f t="shared" si="163"/>
        <v>60.59811333229041</v>
      </c>
      <c r="R329" s="690">
        <f t="shared" si="164"/>
        <v>1.5542934137919546</v>
      </c>
      <c r="S329" s="677">
        <f t="shared" si="142"/>
        <v>1.3512973586048522</v>
      </c>
      <c r="T329" s="680">
        <f t="shared" si="143"/>
        <v>0.73768200767055503</v>
      </c>
      <c r="U329" s="681">
        <f t="shared" si="155"/>
        <v>0.9556212517083319</v>
      </c>
      <c r="V329" s="682">
        <f t="shared" si="156"/>
        <v>-0.36875132607575611</v>
      </c>
      <c r="W329" s="683">
        <f t="shared" si="144"/>
        <v>-16.409897962691282</v>
      </c>
      <c r="X329" s="684">
        <f t="shared" si="145"/>
        <v>-159.24329837671038</v>
      </c>
      <c r="Y329" s="687">
        <f t="shared" si="146"/>
        <v>20.756701623289615</v>
      </c>
      <c r="AA329" s="170">
        <f t="shared" si="147"/>
        <v>23988</v>
      </c>
      <c r="AB329" s="170">
        <f t="shared" si="148"/>
        <v>575424144</v>
      </c>
      <c r="AD329" s="686">
        <f t="shared" si="149"/>
        <v>25.03371035036022</v>
      </c>
      <c r="AE329" s="687">
        <f t="shared" si="150"/>
        <v>-43.211486261539363</v>
      </c>
      <c r="AG329" s="686">
        <f t="shared" si="151"/>
        <v>12.848301508219006</v>
      </c>
      <c r="AH329" s="687">
        <f t="shared" si="152"/>
        <v>-73.776022718900208</v>
      </c>
      <c r="AJ329" s="170">
        <f t="shared" si="153"/>
        <v>0</v>
      </c>
      <c r="AK329" s="170">
        <f t="shared" si="165"/>
        <v>0</v>
      </c>
      <c r="AM329" s="170" t="str">
        <f t="shared" si="157"/>
        <v>0.141586534180962+0.512958401530326i</v>
      </c>
      <c r="AN329" s="170" t="str">
        <f t="shared" si="158"/>
        <v>0.538627615243013i</v>
      </c>
      <c r="AO329" s="170" t="str">
        <f t="shared" si="159"/>
        <v>0.952343301779829-0.262865345507921i</v>
      </c>
      <c r="AP329" s="170" t="str">
        <f t="shared" si="160"/>
        <v>0.14306891096984-0.085493066921721i</v>
      </c>
      <c r="AQ329" s="170" t="str">
        <f t="shared" si="161"/>
        <v>0.85693108903016+0.085493066921721i</v>
      </c>
      <c r="AR329" s="170" t="str">
        <f t="shared" si="162"/>
        <v>0.962493446507287-0.0960246601941983i</v>
      </c>
    </row>
    <row r="330" spans="7:44">
      <c r="G330" s="688">
        <v>24127.75</v>
      </c>
      <c r="H330" s="676">
        <f t="shared" si="154"/>
        <v>24.127749999999999</v>
      </c>
      <c r="I330" s="677">
        <f t="shared" si="134"/>
        <v>125.99828646436775</v>
      </c>
      <c r="J330" s="678">
        <f t="shared" si="135"/>
        <v>1.5628596276010365</v>
      </c>
      <c r="K330" s="678">
        <f t="shared" si="136"/>
        <v>1.0005560169478938</v>
      </c>
      <c r="L330" s="679">
        <f t="shared" si="137"/>
        <v>3.333944933656207E-2</v>
      </c>
      <c r="M330" s="678">
        <f t="shared" si="138"/>
        <v>1.008176985253441</v>
      </c>
      <c r="N330" s="679">
        <f t="shared" si="139"/>
        <v>-0.12744922171370443</v>
      </c>
      <c r="O330" s="677">
        <f t="shared" si="140"/>
        <v>454797.37236732448</v>
      </c>
      <c r="P330" s="680">
        <f t="shared" si="141"/>
        <v>1.5707941280135036</v>
      </c>
      <c r="Q330" s="689">
        <f t="shared" si="163"/>
        <v>60.95105175307409</v>
      </c>
      <c r="R330" s="690">
        <f t="shared" si="164"/>
        <v>1.5543889828776338</v>
      </c>
      <c r="S330" s="677">
        <f t="shared" si="142"/>
        <v>1.3548641665149799</v>
      </c>
      <c r="T330" s="680">
        <f t="shared" si="143"/>
        <v>0.74057403849420711</v>
      </c>
      <c r="U330" s="681">
        <f t="shared" si="155"/>
        <v>0.95513926380165171</v>
      </c>
      <c r="V330" s="682">
        <f t="shared" si="156"/>
        <v>-0.37080736577570594</v>
      </c>
      <c r="W330" s="683">
        <f t="shared" si="144"/>
        <v>-16.486776468417801</v>
      </c>
      <c r="X330" s="684">
        <f t="shared" si="145"/>
        <v>-159.55476305596559</v>
      </c>
      <c r="Y330" s="687">
        <f t="shared" si="146"/>
        <v>20.445236944034406</v>
      </c>
      <c r="AA330" s="170">
        <f t="shared" si="147"/>
        <v>24127.75</v>
      </c>
      <c r="AB330" s="170">
        <f t="shared" si="148"/>
        <v>582148320.0625</v>
      </c>
      <c r="AD330" s="686">
        <f t="shared" si="149"/>
        <v>25.010800112727658</v>
      </c>
      <c r="AE330" s="687">
        <f t="shared" si="150"/>
        <v>-43.371712450821335</v>
      </c>
      <c r="AG330" s="686">
        <f t="shared" si="151"/>
        <v>12.80309727689286</v>
      </c>
      <c r="AH330" s="687">
        <f t="shared" si="152"/>
        <v>-73.691656413967323</v>
      </c>
      <c r="AJ330" s="170">
        <f t="shared" si="153"/>
        <v>0</v>
      </c>
      <c r="AK330" s="170">
        <f t="shared" si="165"/>
        <v>0</v>
      </c>
      <c r="AM330" s="170" t="str">
        <f t="shared" si="157"/>
        <v>0.143200397024166+0.515649532473804i</v>
      </c>
      <c r="AN330" s="170" t="str">
        <f t="shared" si="158"/>
        <v>0.541765567937285i</v>
      </c>
      <c r="AO330" s="170" t="str">
        <f t="shared" si="159"/>
        <v>0.951794582363521-0.264321702040582i</v>
      </c>
      <c r="AP330" s="170" t="str">
        <f t="shared" si="160"/>
        <v>0.142799933829306-0.085941588745634i</v>
      </c>
      <c r="AQ330" s="170" t="str">
        <f t="shared" si="161"/>
        <v>0.857200066170694+0.085941588745634i</v>
      </c>
      <c r="AR330" s="170" t="str">
        <f t="shared" si="162"/>
        <v>0.962097692998622-0.0964584669646373i</v>
      </c>
    </row>
    <row r="331" spans="7:44">
      <c r="G331" s="688">
        <v>24267.5</v>
      </c>
      <c r="H331" s="676">
        <f t="shared" si="154"/>
        <v>24.267499999999998</v>
      </c>
      <c r="I331" s="677">
        <f t="shared" si="134"/>
        <v>126.72803352262029</v>
      </c>
      <c r="J331" s="678">
        <f t="shared" si="135"/>
        <v>1.5629053310124523</v>
      </c>
      <c r="K331" s="678">
        <f t="shared" si="136"/>
        <v>1.0005624747814363</v>
      </c>
      <c r="L331" s="679">
        <f t="shared" si="137"/>
        <v>3.3532409984572888E-2</v>
      </c>
      <c r="M331" s="678">
        <f t="shared" si="138"/>
        <v>1.0082715934914421</v>
      </c>
      <c r="N331" s="679">
        <f t="shared" si="139"/>
        <v>-0.12817938218867564</v>
      </c>
      <c r="O331" s="677">
        <f t="shared" si="140"/>
        <v>457431.5978043431</v>
      </c>
      <c r="P331" s="680">
        <f t="shared" si="141"/>
        <v>1.5707941406756936</v>
      </c>
      <c r="Q331" s="689">
        <f t="shared" si="163"/>
        <v>61.303990724141194</v>
      </c>
      <c r="R331" s="690">
        <f t="shared" si="164"/>
        <v>1.5544834515446235</v>
      </c>
      <c r="S331" s="677">
        <f t="shared" si="142"/>
        <v>1.3584422467329105</v>
      </c>
      <c r="T331" s="680">
        <f t="shared" si="143"/>
        <v>0.74345085829663105</v>
      </c>
      <c r="U331" s="681">
        <f t="shared" si="155"/>
        <v>0.95465516743167</v>
      </c>
      <c r="V331" s="682">
        <f t="shared" si="156"/>
        <v>-0.3728619118402724</v>
      </c>
      <c r="W331" s="683">
        <f t="shared" si="144"/>
        <v>-16.563391786820326</v>
      </c>
      <c r="X331" s="684">
        <f t="shared" si="145"/>
        <v>-159.86529547273261</v>
      </c>
      <c r="Y331" s="687">
        <f t="shared" si="146"/>
        <v>20.134704527267388</v>
      </c>
      <c r="AA331" s="170">
        <f t="shared" si="147"/>
        <v>24267.5</v>
      </c>
      <c r="AB331" s="170">
        <f t="shared" si="148"/>
        <v>588911556.25</v>
      </c>
      <c r="AD331" s="686">
        <f t="shared" si="149"/>
        <v>24.987878233092722</v>
      </c>
      <c r="AE331" s="687">
        <f t="shared" si="150"/>
        <v>-43.531130153677374</v>
      </c>
      <c r="AG331" s="686">
        <f t="shared" si="151"/>
        <v>12.758210666054255</v>
      </c>
      <c r="AH331" s="687">
        <f t="shared" si="152"/>
        <v>-73.60733749097956</v>
      </c>
      <c r="AJ331" s="170">
        <f t="shared" si="153"/>
        <v>0</v>
      </c>
      <c r="AK331" s="170">
        <f t="shared" si="165"/>
        <v>0</v>
      </c>
      <c r="AM331" s="170" t="str">
        <f t="shared" si="157"/>
        <v>0.144822696549463+0.518335585950906i</v>
      </c>
      <c r="AN331" s="170" t="str">
        <f t="shared" si="158"/>
        <v>0.544903520631558i</v>
      </c>
      <c r="AO331" s="170" t="str">
        <f t="shared" si="159"/>
        <v>0.951242864700417-0.265776767934275i</v>
      </c>
      <c r="AP331" s="170" t="str">
        <f t="shared" si="160"/>
        <v>0.14252955057509-0.086389264325151i</v>
      </c>
      <c r="AQ331" s="170" t="str">
        <f t="shared" si="161"/>
        <v>0.85747044942491+0.086389264325151i</v>
      </c>
      <c r="AR331" s="170" t="str">
        <f t="shared" si="162"/>
        <v>0.961700448431148-0.0968903293365449i</v>
      </c>
    </row>
    <row r="332" spans="7:44">
      <c r="G332" s="688">
        <v>24407.25</v>
      </c>
      <c r="H332" s="676">
        <f t="shared" si="154"/>
        <v>24.407250000000001</v>
      </c>
      <c r="I332" s="677">
        <f t="shared" si="134"/>
        <v>127.45778084255144</v>
      </c>
      <c r="J332" s="678">
        <f t="shared" si="135"/>
        <v>1.5629505110829498</v>
      </c>
      <c r="K332" s="678">
        <f t="shared" si="136"/>
        <v>1.0005689698692519</v>
      </c>
      <c r="L332" s="679">
        <f t="shared" si="137"/>
        <v>3.372536813460085E-2</v>
      </c>
      <c r="M332" s="678">
        <f t="shared" si="138"/>
        <v>1.008366739172597</v>
      </c>
      <c r="N332" s="679">
        <f t="shared" si="139"/>
        <v>-0.12890940526241074</v>
      </c>
      <c r="O332" s="677">
        <f t="shared" si="140"/>
        <v>460065.82324136182</v>
      </c>
      <c r="P332" s="680">
        <f t="shared" si="141"/>
        <v>1.5707941531928826</v>
      </c>
      <c r="Q332" s="689">
        <f t="shared" si="163"/>
        <v>61.656930236041852</v>
      </c>
      <c r="R332" s="690">
        <f t="shared" si="164"/>
        <v>1.5545768386884289</v>
      </c>
      <c r="S332" s="677">
        <f t="shared" si="142"/>
        <v>1.362031510421007</v>
      </c>
      <c r="T332" s="680">
        <f t="shared" si="143"/>
        <v>0.74631253952615417</v>
      </c>
      <c r="U332" s="681">
        <f t="shared" si="155"/>
        <v>0.95416897291243907</v>
      </c>
      <c r="V332" s="682">
        <f t="shared" si="156"/>
        <v>-0.374914958674535</v>
      </c>
      <c r="W332" s="683">
        <f t="shared" si="144"/>
        <v>-16.639746389896619</v>
      </c>
      <c r="X332" s="684">
        <f t="shared" si="145"/>
        <v>-160.17489885738763</v>
      </c>
      <c r="Y332" s="687">
        <f t="shared" si="146"/>
        <v>19.825101142612368</v>
      </c>
      <c r="AA332" s="170">
        <f t="shared" si="147"/>
        <v>24407.25</v>
      </c>
      <c r="AB332" s="170">
        <f t="shared" si="148"/>
        <v>595713852.5625</v>
      </c>
      <c r="AD332" s="686">
        <f t="shared" si="149"/>
        <v>24.964945524943943</v>
      </c>
      <c r="AE332" s="687">
        <f t="shared" si="150"/>
        <v>-43.689742438603361</v>
      </c>
      <c r="AG332" s="686">
        <f t="shared" si="151"/>
        <v>12.713638265302221</v>
      </c>
      <c r="AH332" s="687">
        <f t="shared" si="152"/>
        <v>-73.523066752947869</v>
      </c>
      <c r="AJ332" s="170">
        <f t="shared" si="153"/>
        <v>0</v>
      </c>
      <c r="AK332" s="170">
        <f t="shared" si="165"/>
        <v>0</v>
      </c>
      <c r="AM332" s="170" t="str">
        <f t="shared" si="157"/>
        <v>0.146453416782493+0.52101653551276i</v>
      </c>
      <c r="AN332" s="170" t="str">
        <f t="shared" si="158"/>
        <v>0.54804147332583i</v>
      </c>
      <c r="AO332" s="170" t="str">
        <f t="shared" si="159"/>
        <v>0.950688152031511-0.267230536210571i</v>
      </c>
      <c r="AP332" s="170" t="str">
        <f t="shared" si="160"/>
        <v>0.142257763869584-0.0868360892521267i</v>
      </c>
      <c r="AQ332" s="170" t="str">
        <f t="shared" si="161"/>
        <v>0.857742236130416+0.0868360892521267i</v>
      </c>
      <c r="AR332" s="170" t="str">
        <f t="shared" si="162"/>
        <v>0.961301724471438-0.097320242408738i</v>
      </c>
    </row>
    <row r="333" spans="7:44">
      <c r="G333" s="688">
        <v>24547</v>
      </c>
      <c r="H333" s="676">
        <f t="shared" si="154"/>
        <v>24.547000000000001</v>
      </c>
      <c r="I333" s="677">
        <f t="shared" ref="I333:I396" si="166">SQRT(1+(G333/pole1)^2)</f>
        <v>128.18752841969214</v>
      </c>
      <c r="J333" s="678">
        <f t="shared" ref="J333:J396" si="167">ATAN(G333/pole1)</f>
        <v>1.5629951767501882</v>
      </c>
      <c r="K333" s="678">
        <f t="shared" ref="K333:K396" si="168">SQRT(1+(G333/Zero1)^2)</f>
        <v>1.0005755022106153</v>
      </c>
      <c r="L333" s="679">
        <f t="shared" ref="L333:L396" si="169">ATAN(G333/Zero1)</f>
        <v>3.3918323772325995E-2</v>
      </c>
      <c r="M333" s="678">
        <f t="shared" ref="M333:M396" si="170">SQRT(1+(G333/z_RHP)^2)</f>
        <v>1.0084624221447875</v>
      </c>
      <c r="N333" s="679">
        <f t="shared" ref="N333:N396" si="171">-ATAN(G333/z_RHP)</f>
        <v>-0.12963929019580295</v>
      </c>
      <c r="O333" s="677">
        <f t="shared" ref="O333:O396" si="172">SQRT(1+(G333/Pole2)^2)</f>
        <v>462700.04867838067</v>
      </c>
      <c r="P333" s="680">
        <f t="shared" ref="P333:P396" si="173">ATAN(G333/Pole2)</f>
        <v>1.5707941655675468</v>
      </c>
      <c r="Q333" s="689">
        <f t="shared" si="163"/>
        <v>62.009870279541332</v>
      </c>
      <c r="R333" s="690">
        <f t="shared" si="164"/>
        <v>1.5546691627744427</v>
      </c>
      <c r="S333" s="677">
        <f t="shared" ref="S333:S396" si="174">SQRT(1+(G333/pole4)^2)</f>
        <v>1.3656318693993807</v>
      </c>
      <c r="T333" s="680">
        <f t="shared" ref="T333:T396" si="175">ATAN(G333/pole4)</f>
        <v>0.74915915486243545</v>
      </c>
      <c r="U333" s="681">
        <f t="shared" si="155"/>
        <v>0.95368069057440508</v>
      </c>
      <c r="V333" s="682">
        <f t="shared" si="156"/>
        <v>-0.37696650072753607</v>
      </c>
      <c r="W333" s="683">
        <f t="shared" ref="W333:W396" si="176">20*LOG10(((K333*Q333*M333*U333)/(I333*O333*S333))*Adc)</f>
        <v>-16.715842703926622</v>
      </c>
      <c r="X333" s="684">
        <f t="shared" ref="X333:X396" si="177">((L333+R333+N333+V333)-(J333+P333+T333))*radconv</f>
        <v>-160.48357646883764</v>
      </c>
      <c r="Y333" s="687">
        <f t="shared" ref="Y333:Y396" si="178">IF(X333&gt;0,X333,X333+180)</f>
        <v>19.51642353116236</v>
      </c>
      <c r="AA333" s="170">
        <f t="shared" ref="AA333:AA396" si="179">IF(W333&lt;0,G333,1000000000)</f>
        <v>24547</v>
      </c>
      <c r="AB333" s="170">
        <f t="shared" ref="AB333:AB396" si="180">G333^2</f>
        <v>602555209</v>
      </c>
      <c r="AD333" s="686">
        <f t="shared" ref="AD333:AD396" si="181">20*LOG10((Q333/(O333*S333))*Aea)</f>
        <v>24.942002790063256</v>
      </c>
      <c r="AE333" s="687">
        <f t="shared" ref="AE333:AE396" si="182">(R333-(P333+T333))*radconv</f>
        <v>-43.847552411989845</v>
      </c>
      <c r="AG333" s="686">
        <f t="shared" ref="AG333:AG396" si="183">20*LOG10((K333*M333/(I333*U333))*Acs*Am)</f>
        <v>12.669376721357041</v>
      </c>
      <c r="AH333" s="687">
        <f t="shared" ref="AH333:AH396" si="184">(L333+N333-(J333+V333))*radconv</f>
        <v>-73.438844988481634</v>
      </c>
      <c r="AJ333" s="170">
        <f t="shared" ref="AJ333:AJ396" si="185">SUM((W334&lt;0)*(W333&gt;0))*G333</f>
        <v>0</v>
      </c>
      <c r="AK333" s="170">
        <f t="shared" si="165"/>
        <v>0</v>
      </c>
      <c r="AM333" s="170" t="str">
        <f t="shared" si="157"/>
        <v>0.14809254166598+0.52369235476076i</v>
      </c>
      <c r="AN333" s="170" t="str">
        <f t="shared" si="158"/>
        <v>0.551179426020103i</v>
      </c>
      <c r="AO333" s="170" t="str">
        <f t="shared" si="159"/>
        <v>0.950130447615183-0.268682999899526i</v>
      </c>
      <c r="AP333" s="170" t="str">
        <f t="shared" si="160"/>
        <v>0.141984576389003-0.0872820591267933i</v>
      </c>
      <c r="AQ333" s="170" t="str">
        <f t="shared" si="161"/>
        <v>0.858015423610997+0.0872820591267933i</v>
      </c>
      <c r="AR333" s="170" t="str">
        <f t="shared" si="162"/>
        <v>0.96090153279438-0.0977482013638133i</v>
      </c>
    </row>
    <row r="334" spans="7:44">
      <c r="G334" s="688">
        <v>24690</v>
      </c>
      <c r="H334" s="676">
        <f t="shared" ref="H334:H397" si="186">G334/1000</f>
        <v>24.69</v>
      </c>
      <c r="I334" s="677">
        <f t="shared" si="166"/>
        <v>128.93424713241549</v>
      </c>
      <c r="J334" s="678">
        <f t="shared" si="167"/>
        <v>1.5630403577784884</v>
      </c>
      <c r="K334" s="678">
        <f t="shared" si="168"/>
        <v>1.0005822250292968</v>
      </c>
      <c r="L334" s="679">
        <f t="shared" si="169"/>
        <v>3.4115764134905559E-2</v>
      </c>
      <c r="M334" s="678">
        <f t="shared" si="170"/>
        <v>1.008560886321888</v>
      </c>
      <c r="N334" s="679">
        <f t="shared" si="171"/>
        <v>-0.13038600543075685</v>
      </c>
      <c r="O334" s="677">
        <f t="shared" si="172"/>
        <v>465395.53517207445</v>
      </c>
      <c r="P334" s="680">
        <f t="shared" si="173"/>
        <v>1.5707941780849835</v>
      </c>
      <c r="Q334" s="689">
        <f t="shared" si="163"/>
        <v>62.37101877190171</v>
      </c>
      <c r="R334" s="690">
        <f t="shared" si="164"/>
        <v>1.5547625523277888</v>
      </c>
      <c r="S334" s="677">
        <f t="shared" si="174"/>
        <v>1.3693273516931976</v>
      </c>
      <c r="T334" s="680">
        <f t="shared" si="175"/>
        <v>0.75205645107536268</v>
      </c>
      <c r="U334" s="681">
        <f t="shared" ref="U334:U397" si="187">IMABS(IMPRODUCT(AO334, AR334))</f>
        <v>0.95317890241200176</v>
      </c>
      <c r="V334" s="682">
        <f t="shared" ref="V334:V397" si="188">IMARGUMENT(IMPRODUCT(AO334, AR334))</f>
        <v>-0.37906418963581084</v>
      </c>
      <c r="W334" s="683">
        <f t="shared" si="176"/>
        <v>-16.793443815048711</v>
      </c>
      <c r="X334" s="684">
        <f t="shared" si="177"/>
        <v>-160.79847773952724</v>
      </c>
      <c r="Y334" s="687">
        <f t="shared" si="178"/>
        <v>19.201522260472757</v>
      </c>
      <c r="AA334" s="170">
        <f t="shared" si="179"/>
        <v>24690</v>
      </c>
      <c r="AB334" s="170">
        <f t="shared" si="180"/>
        <v>609596100</v>
      </c>
      <c r="AD334" s="686">
        <f t="shared" si="181"/>
        <v>24.918516948216904</v>
      </c>
      <c r="AE334" s="687">
        <f t="shared" si="182"/>
        <v>-44.008205147112328</v>
      </c>
      <c r="AG334" s="686">
        <f t="shared" si="183"/>
        <v>12.624404184387259</v>
      </c>
      <c r="AH334" s="687">
        <f t="shared" si="184"/>
        <v>-73.352716081422955</v>
      </c>
      <c r="AJ334" s="170">
        <f t="shared" si="185"/>
        <v>0</v>
      </c>
      <c r="AK334" s="170">
        <f t="shared" si="165"/>
        <v>0</v>
      </c>
      <c r="AM334" s="170" t="str">
        <f t="shared" ref="AM334:AM397" si="189">IMSUB(1,IMEXP(COMPLEX(0,-2*Pi*G334*Tsw)))</f>
        <v>0.149778469004056+0.526425064212289i</v>
      </c>
      <c r="AN334" s="170" t="str">
        <f t="shared" ref="AN334:AN397" si="190">COMPLEX(0, 2*Pi*G334*Tsw)</f>
        <v>0.554390354358428i</v>
      </c>
      <c r="AO334" s="170" t="str">
        <f t="shared" ref="AO334:AO397" si="191">IMDIV(AM334, AN334)</f>
        <v>0.949556679826253-0.270167884102869i</v>
      </c>
      <c r="AP334" s="170" t="str">
        <f t="shared" ref="AP334:AP397" si="192">IMDIV(IMEXP(COMPLEX(0,-2*Pi*G334*Tsw)),6)</f>
        <v>0.141703588499324-0.0877375107020482i</v>
      </c>
      <c r="AQ334" s="170" t="str">
        <f t="shared" ref="AQ334:AQ397" si="193">IMSUB(1, AP334)</f>
        <v>0.858296411500676+0.0877375107020482i</v>
      </c>
      <c r="AR334" s="170" t="str">
        <f t="shared" ref="AR334:AR397" si="194">IMDIV(0.833, AQ334)</f>
        <v>0.960490527207437-0.0981840851026464i</v>
      </c>
    </row>
    <row r="335" spans="7:44">
      <c r="G335" s="688">
        <v>24833</v>
      </c>
      <c r="H335" s="676">
        <f t="shared" si="186"/>
        <v>24.832999999999998</v>
      </c>
      <c r="I335" s="677">
        <f t="shared" si="166"/>
        <v>129.68096610530452</v>
      </c>
      <c r="J335" s="678">
        <f t="shared" si="167"/>
        <v>1.5630850184910292</v>
      </c>
      <c r="K335" s="678">
        <f t="shared" si="168"/>
        <v>1.0005889868528466</v>
      </c>
      <c r="L335" s="679">
        <f t="shared" si="169"/>
        <v>3.4313201836639648E-2</v>
      </c>
      <c r="M335" s="678">
        <f t="shared" si="170"/>
        <v>1.0086599127460645</v>
      </c>
      <c r="N335" s="679">
        <f t="shared" si="171"/>
        <v>-0.13113257446254922</v>
      </c>
      <c r="O335" s="677">
        <f t="shared" si="172"/>
        <v>468091.02166576823</v>
      </c>
      <c r="P335" s="680">
        <f t="shared" si="173"/>
        <v>1.5707941904582576</v>
      </c>
      <c r="Q335" s="689">
        <f t="shared" si="163"/>
        <v>62.732167801974391</v>
      </c>
      <c r="R335" s="690">
        <f t="shared" si="164"/>
        <v>1.5548548665947937</v>
      </c>
      <c r="S335" s="677">
        <f t="shared" si="174"/>
        <v>1.3730342666355386</v>
      </c>
      <c r="T335" s="680">
        <f t="shared" si="175"/>
        <v>0.75493812714134489</v>
      </c>
      <c r="U335" s="681">
        <f t="shared" si="187"/>
        <v>0.95267495012858128</v>
      </c>
      <c r="V335" s="682">
        <f t="shared" si="188"/>
        <v>-0.38116029134080304</v>
      </c>
      <c r="W335" s="683">
        <f t="shared" si="176"/>
        <v>-16.870779482515687</v>
      </c>
      <c r="X335" s="684">
        <f t="shared" si="177"/>
        <v>-161.11241666651435</v>
      </c>
      <c r="Y335" s="687">
        <f t="shared" si="178"/>
        <v>18.887583333485651</v>
      </c>
      <c r="AA335" s="170">
        <f t="shared" si="179"/>
        <v>24833</v>
      </c>
      <c r="AB335" s="170">
        <f t="shared" si="180"/>
        <v>616677889</v>
      </c>
      <c r="AD335" s="686">
        <f t="shared" si="181"/>
        <v>24.895022269279412</v>
      </c>
      <c r="AE335" s="687">
        <f t="shared" si="182"/>
        <v>-44.168024514847772</v>
      </c>
      <c r="AG335" s="686">
        <f t="shared" si="183"/>
        <v>12.579750204636706</v>
      </c>
      <c r="AH335" s="687">
        <f t="shared" si="184"/>
        <v>-73.266640078147759</v>
      </c>
      <c r="AJ335" s="170">
        <f t="shared" si="185"/>
        <v>0</v>
      </c>
      <c r="AK335" s="170">
        <f t="shared" si="165"/>
        <v>0</v>
      </c>
      <c r="AM335" s="170" t="str">
        <f t="shared" si="189"/>
        <v>0.151473162170274+0.529152346194067i</v>
      </c>
      <c r="AN335" s="170" t="str">
        <f t="shared" si="190"/>
        <v>0.557601282696754i</v>
      </c>
      <c r="AO335" s="170" t="str">
        <f t="shared" si="191"/>
        <v>0.948979786479152-0.271651387596702i</v>
      </c>
      <c r="AP335" s="170" t="str">
        <f t="shared" si="192"/>
        <v>0.141421139638288-0.0881920576990112i</v>
      </c>
      <c r="AQ335" s="170" t="str">
        <f t="shared" si="193"/>
        <v>0.858578860361712+0.0881920576990112i</v>
      </c>
      <c r="AR335" s="170" t="str">
        <f t="shared" si="194"/>
        <v>0.96007800959985-0.0986179128408898i</v>
      </c>
    </row>
    <row r="336" spans="7:44">
      <c r="G336" s="688">
        <v>24976</v>
      </c>
      <c r="H336" s="676">
        <f t="shared" si="186"/>
        <v>24.975999999999999</v>
      </c>
      <c r="I336" s="677">
        <f t="shared" si="166"/>
        <v>130.42768533389082</v>
      </c>
      <c r="J336" s="678">
        <f t="shared" si="167"/>
        <v>1.563129167824302</v>
      </c>
      <c r="K336" s="678">
        <f t="shared" si="168"/>
        <v>1.0005957876804741</v>
      </c>
      <c r="L336" s="679">
        <f t="shared" si="169"/>
        <v>3.4510636862189456E-2</v>
      </c>
      <c r="M336" s="678">
        <f t="shared" si="170"/>
        <v>1.0087595012517359</v>
      </c>
      <c r="N336" s="679">
        <f t="shared" si="171"/>
        <v>-0.13187899650213655</v>
      </c>
      <c r="O336" s="677">
        <f t="shared" si="172"/>
        <v>470786.50815946207</v>
      </c>
      <c r="P336" s="680">
        <f t="shared" si="173"/>
        <v>1.5707942026898454</v>
      </c>
      <c r="Q336" s="689">
        <f t="shared" si="163"/>
        <v>63.093317360525695</v>
      </c>
      <c r="R336" s="690">
        <f t="shared" si="164"/>
        <v>1.5549461240388618</v>
      </c>
      <c r="S336" s="677">
        <f t="shared" si="174"/>
        <v>1.3767525218789696</v>
      </c>
      <c r="T336" s="680">
        <f t="shared" si="175"/>
        <v>0.75780426156595049</v>
      </c>
      <c r="U336" s="681">
        <f t="shared" si="187"/>
        <v>0.9521688448419644</v>
      </c>
      <c r="V336" s="682">
        <f t="shared" si="188"/>
        <v>-0.38325480003834328</v>
      </c>
      <c r="W336" s="683">
        <f t="shared" si="176"/>
        <v>-16.947852164945875</v>
      </c>
      <c r="X336" s="684">
        <f t="shared" si="177"/>
        <v>-161.42539682524236</v>
      </c>
      <c r="Y336" s="687">
        <f t="shared" si="178"/>
        <v>18.574603174757641</v>
      </c>
      <c r="AA336" s="170">
        <f t="shared" si="179"/>
        <v>24976</v>
      </c>
      <c r="AB336" s="170">
        <f t="shared" si="180"/>
        <v>623800576</v>
      </c>
      <c r="AD336" s="686">
        <f t="shared" si="181"/>
        <v>24.871519574860862</v>
      </c>
      <c r="AE336" s="687">
        <f t="shared" si="182"/>
        <v>-44.327013955500611</v>
      </c>
      <c r="AG336" s="686">
        <f t="shared" si="183"/>
        <v>12.535411366769438</v>
      </c>
      <c r="AH336" s="687">
        <f t="shared" si="184"/>
        <v>-73.180617778903638</v>
      </c>
      <c r="AJ336" s="170">
        <f t="shared" si="185"/>
        <v>0</v>
      </c>
      <c r="AK336" s="170">
        <f t="shared" si="165"/>
        <v>0</v>
      </c>
      <c r="AM336" s="170" t="str">
        <f t="shared" si="189"/>
        <v>0.153176603692258+0.531874172587672i</v>
      </c>
      <c r="AN336" s="170" t="str">
        <f t="shared" si="190"/>
        <v>0.560812211035079i</v>
      </c>
      <c r="AO336" s="170" t="str">
        <f t="shared" si="191"/>
        <v>0.948399771121252-0.273133502941284i</v>
      </c>
      <c r="AP336" s="170" t="str">
        <f t="shared" si="192"/>
        <v>0.141137232717957-0.0886456954312787i</v>
      </c>
      <c r="AQ336" s="170" t="str">
        <f t="shared" si="193"/>
        <v>0.858862767282043+0.0886456954312787i</v>
      </c>
      <c r="AR336" s="170" t="str">
        <f t="shared" si="194"/>
        <v>0.959663992502648-0.0990496796886043i</v>
      </c>
    </row>
    <row r="337" spans="7:44">
      <c r="G337" s="688">
        <v>25119</v>
      </c>
      <c r="H337" s="676">
        <f t="shared" si="186"/>
        <v>25.119</v>
      </c>
      <c r="I337" s="677">
        <f t="shared" si="166"/>
        <v>131.17440481380766</v>
      </c>
      <c r="J337" s="678">
        <f t="shared" si="167"/>
        <v>1.56317281451132</v>
      </c>
      <c r="K337" s="678">
        <f t="shared" si="168"/>
        <v>1.000602627511384</v>
      </c>
      <c r="L337" s="679">
        <f t="shared" si="169"/>
        <v>3.4708069196217446E-2</v>
      </c>
      <c r="M337" s="678">
        <f t="shared" si="170"/>
        <v>1.008859651672446</v>
      </c>
      <c r="N337" s="679">
        <f t="shared" si="171"/>
        <v>-0.13262527076144123</v>
      </c>
      <c r="O337" s="677">
        <f t="shared" si="172"/>
        <v>473481.99465315603</v>
      </c>
      <c r="P337" s="680">
        <f t="shared" si="173"/>
        <v>1.570794214782167</v>
      </c>
      <c r="Q337" s="689">
        <f t="shared" si="163"/>
        <v>63.454467438532141</v>
      </c>
      <c r="R337" s="690">
        <f t="shared" si="164"/>
        <v>1.5550363427031317</v>
      </c>
      <c r="S337" s="677">
        <f t="shared" si="174"/>
        <v>1.3804820257899921</v>
      </c>
      <c r="T337" s="680">
        <f t="shared" si="175"/>
        <v>0.76065493303161913</v>
      </c>
      <c r="U337" s="681">
        <f t="shared" si="187"/>
        <v>0.95166059768557687</v>
      </c>
      <c r="V337" s="682">
        <f t="shared" si="188"/>
        <v>-0.38534770997257939</v>
      </c>
      <c r="W337" s="683">
        <f t="shared" si="176"/>
        <v>-17.024664275936495</v>
      </c>
      <c r="X337" s="684">
        <f t="shared" si="177"/>
        <v>-161.73742181652989</v>
      </c>
      <c r="Y337" s="687">
        <f t="shared" si="178"/>
        <v>18.262578183470112</v>
      </c>
      <c r="AA337" s="170">
        <f t="shared" si="179"/>
        <v>25119</v>
      </c>
      <c r="AB337" s="170">
        <f t="shared" si="180"/>
        <v>630964161</v>
      </c>
      <c r="AD337" s="686">
        <f t="shared" si="181"/>
        <v>24.848009674175753</v>
      </c>
      <c r="AE337" s="687">
        <f t="shared" si="182"/>
        <v>-44.485176943585536</v>
      </c>
      <c r="AG337" s="686">
        <f t="shared" si="183"/>
        <v>12.491384312558276</v>
      </c>
      <c r="AH337" s="687">
        <f t="shared" si="184"/>
        <v>-73.094649969566746</v>
      </c>
      <c r="AJ337" s="170">
        <f t="shared" si="185"/>
        <v>0</v>
      </c>
      <c r="AK337" s="170">
        <f t="shared" si="165"/>
        <v>0</v>
      </c>
      <c r="AM337" s="170" t="str">
        <f t="shared" si="189"/>
        <v>0.154888776007439+0.534590515330936i</v>
      </c>
      <c r="AN337" s="170" t="str">
        <f t="shared" si="190"/>
        <v>0.564023139373405i</v>
      </c>
      <c r="AO337" s="170" t="str">
        <f t="shared" si="191"/>
        <v>0.947816637318875-0.274614222706379i</v>
      </c>
      <c r="AP337" s="170" t="str">
        <f t="shared" si="192"/>
        <v>0.140851870665427-0.0890984192218227i</v>
      </c>
      <c r="AQ337" s="170" t="str">
        <f t="shared" si="193"/>
        <v>0.859148129334573+0.0890984192218227i</v>
      </c>
      <c r="AR337" s="170" t="str">
        <f t="shared" si="194"/>
        <v>0.959248488452945-0.0994793808470217i</v>
      </c>
    </row>
    <row r="338" spans="7:44">
      <c r="G338" s="688">
        <v>25265.25</v>
      </c>
      <c r="H338" s="676">
        <f t="shared" si="186"/>
        <v>25.265250000000002</v>
      </c>
      <c r="I338" s="677">
        <f t="shared" si="166"/>
        <v>131.93809544651145</v>
      </c>
      <c r="J338" s="678">
        <f t="shared" si="167"/>
        <v>1.563216942150971</v>
      </c>
      <c r="K338" s="678">
        <f t="shared" si="168"/>
        <v>1.0006096631351757</v>
      </c>
      <c r="L338" s="679">
        <f t="shared" si="169"/>
        <v>3.4909985828789458E-2</v>
      </c>
      <c r="M338" s="678">
        <f t="shared" si="170"/>
        <v>1.0089626592810443</v>
      </c>
      <c r="N338" s="679">
        <f t="shared" si="171"/>
        <v>-0.13338835212264757</v>
      </c>
      <c r="O338" s="677">
        <f t="shared" si="172"/>
        <v>476238.74220352492</v>
      </c>
      <c r="P338" s="680">
        <f t="shared" si="173"/>
        <v>1.5707942270077282</v>
      </c>
      <c r="Q338" s="689">
        <f t="shared" si="163"/>
        <v>63.823826000964857</v>
      </c>
      <c r="R338" s="690">
        <f t="shared" si="164"/>
        <v>1.5551275557068889</v>
      </c>
      <c r="S338" s="677">
        <f t="shared" si="174"/>
        <v>1.3843078314505497</v>
      </c>
      <c r="T338" s="680">
        <f t="shared" si="175"/>
        <v>0.76355448055414177</v>
      </c>
      <c r="U338" s="681">
        <f t="shared" si="187"/>
        <v>0.95113859563504255</v>
      </c>
      <c r="V338" s="682">
        <f t="shared" si="188"/>
        <v>-0.3874865264141743</v>
      </c>
      <c r="W338" s="683">
        <f t="shared" si="176"/>
        <v>-17.102955064350105</v>
      </c>
      <c r="X338" s="684">
        <f t="shared" si="177"/>
        <v>-162.05555408608345</v>
      </c>
      <c r="Y338" s="687">
        <f t="shared" si="178"/>
        <v>17.944445913916553</v>
      </c>
      <c r="AA338" s="170">
        <f t="shared" si="179"/>
        <v>25265.25</v>
      </c>
      <c r="AB338" s="170">
        <f t="shared" si="180"/>
        <v>638332857.5625</v>
      </c>
      <c r="AD338" s="686">
        <f t="shared" si="181"/>
        <v>24.823958834248959</v>
      </c>
      <c r="AE338" s="687">
        <f t="shared" si="182"/>
        <v>-44.646083359628612</v>
      </c>
      <c r="AG338" s="686">
        <f t="shared" si="183"/>
        <v>12.446675695241758</v>
      </c>
      <c r="AH338" s="687">
        <f t="shared" si="184"/>
        <v>-73.006785512283983</v>
      </c>
      <c r="AJ338" s="170">
        <f t="shared" si="185"/>
        <v>0</v>
      </c>
      <c r="AK338" s="170">
        <f t="shared" si="165"/>
        <v>0</v>
      </c>
      <c r="AM338" s="170" t="str">
        <f t="shared" si="189"/>
        <v>0.156648873620716+0.537362891940626i</v>
      </c>
      <c r="AN338" s="170" t="str">
        <f t="shared" si="190"/>
        <v>0.567307043355783i</v>
      </c>
      <c r="AO338" s="170" t="str">
        <f t="shared" si="191"/>
        <v>0.947217028651665-0.27612714394324i</v>
      </c>
      <c r="AP338" s="170" t="str">
        <f t="shared" si="192"/>
        <v>0.140558521063214-0.0895604819901043i</v>
      </c>
      <c r="AQ338" s="170" t="str">
        <f t="shared" si="193"/>
        <v>0.859441478936786+0.0895604819901043i</v>
      </c>
      <c r="AR338" s="170" t="str">
        <f t="shared" si="194"/>
        <v>0.958822016172866-0.0999167063909905i</v>
      </c>
    </row>
    <row r="339" spans="7:44">
      <c r="G339" s="688">
        <v>25411.5</v>
      </c>
      <c r="H339" s="676">
        <f t="shared" si="186"/>
        <v>25.4115</v>
      </c>
      <c r="I339" s="677">
        <f t="shared" si="166"/>
        <v>132.70178633317448</v>
      </c>
      <c r="J339" s="678">
        <f t="shared" si="167"/>
        <v>1.5632605618868234</v>
      </c>
      <c r="K339" s="678">
        <f t="shared" si="168"/>
        <v>1.0006167395535754</v>
      </c>
      <c r="L339" s="679">
        <f t="shared" si="169"/>
        <v>3.5111899613661693E-2</v>
      </c>
      <c r="M339" s="678">
        <f t="shared" si="170"/>
        <v>1.0090662542815534</v>
      </c>
      <c r="N339" s="679">
        <f t="shared" si="171"/>
        <v>-0.13415127724571779</v>
      </c>
      <c r="O339" s="677">
        <f t="shared" si="172"/>
        <v>478995.48975389387</v>
      </c>
      <c r="P339" s="680">
        <f t="shared" si="173"/>
        <v>1.5707942390925667</v>
      </c>
      <c r="Q339" s="689">
        <f t="shared" si="163"/>
        <v>64.193185088289169</v>
      </c>
      <c r="R339" s="690">
        <f t="shared" si="164"/>
        <v>1.5552177190562964</v>
      </c>
      <c r="S339" s="677">
        <f t="shared" si="174"/>
        <v>1.3881452112982828</v>
      </c>
      <c r="T339" s="680">
        <f t="shared" si="175"/>
        <v>0.7664380212265669</v>
      </c>
      <c r="U339" s="681">
        <f t="shared" si="187"/>
        <v>0.95061437685322325</v>
      </c>
      <c r="V339" s="682">
        <f t="shared" si="188"/>
        <v>-0.38962365857262787</v>
      </c>
      <c r="W339" s="683">
        <f t="shared" si="176"/>
        <v>-17.180978269991364</v>
      </c>
      <c r="X339" s="684">
        <f t="shared" si="177"/>
        <v>-162.37269497169916</v>
      </c>
      <c r="Y339" s="687">
        <f t="shared" si="178"/>
        <v>17.627305028300839</v>
      </c>
      <c r="AA339" s="170">
        <f t="shared" si="179"/>
        <v>25411.5</v>
      </c>
      <c r="AB339" s="170">
        <f t="shared" si="180"/>
        <v>645744332.25</v>
      </c>
      <c r="AD339" s="686">
        <f t="shared" si="181"/>
        <v>24.799902129644934</v>
      </c>
      <c r="AE339" s="687">
        <f t="shared" si="182"/>
        <v>-44.806132783418207</v>
      </c>
      <c r="AG339" s="686">
        <f t="shared" si="183"/>
        <v>12.402286266865962</v>
      </c>
      <c r="AH339" s="687">
        <f t="shared" si="184"/>
        <v>-72.918979667948136</v>
      </c>
      <c r="AJ339" s="170">
        <f t="shared" si="185"/>
        <v>0</v>
      </c>
      <c r="AK339" s="170">
        <f t="shared" si="165"/>
        <v>0</v>
      </c>
      <c r="AM339" s="170" t="str">
        <f t="shared" si="189"/>
        <v>0.158418065945758+0.540129473620466i</v>
      </c>
      <c r="AN339" s="170" t="str">
        <f t="shared" si="190"/>
        <v>0.570590947338161i</v>
      </c>
      <c r="AO339" s="170" t="str">
        <f t="shared" si="191"/>
        <v>0.946614165787594-0.277638589754687i</v>
      </c>
      <c r="AP339" s="170" t="str">
        <f t="shared" si="192"/>
        <v>0.140263655675707-0.0900215789367443i</v>
      </c>
      <c r="AQ339" s="170" t="str">
        <f t="shared" si="193"/>
        <v>0.859736344324293+0.0900215789367443i</v>
      </c>
      <c r="AR339" s="170" t="str">
        <f t="shared" si="194"/>
        <v>0.958394015124658-0.100351861421953i</v>
      </c>
    </row>
    <row r="340" spans="7:44">
      <c r="G340" s="688">
        <v>25557.75</v>
      </c>
      <c r="H340" s="676">
        <f t="shared" si="186"/>
        <v>25.557749999999999</v>
      </c>
      <c r="I340" s="677">
        <f t="shared" si="166"/>
        <v>133.46547746943719</v>
      </c>
      <c r="J340" s="678">
        <f t="shared" si="167"/>
        <v>1.5633036824374058</v>
      </c>
      <c r="K340" s="678">
        <f t="shared" si="168"/>
        <v>1.000623856765718</v>
      </c>
      <c r="L340" s="679">
        <f t="shared" si="169"/>
        <v>3.5313810534431014E-2</v>
      </c>
      <c r="M340" s="678">
        <f t="shared" si="170"/>
        <v>1.0091704364930796</v>
      </c>
      <c r="N340" s="679">
        <f t="shared" si="171"/>
        <v>-0.13491404529077614</v>
      </c>
      <c r="O340" s="677">
        <f t="shared" si="172"/>
        <v>481752.23730426293</v>
      </c>
      <c r="P340" s="680">
        <f t="shared" si="173"/>
        <v>1.5707942510390982</v>
      </c>
      <c r="Q340" s="689">
        <f t="shared" si="163"/>
        <v>64.56254469149647</v>
      </c>
      <c r="R340" s="690">
        <f t="shared" si="164"/>
        <v>1.5553068507649608</v>
      </c>
      <c r="S340" s="677">
        <f t="shared" si="174"/>
        <v>1.3919940696117685</v>
      </c>
      <c r="T340" s="680">
        <f t="shared" si="175"/>
        <v>0.76930563967506849</v>
      </c>
      <c r="U340" s="681">
        <f t="shared" si="187"/>
        <v>0.9500879532967782</v>
      </c>
      <c r="V340" s="682">
        <f t="shared" si="188"/>
        <v>-0.39175910044760182</v>
      </c>
      <c r="W340" s="683">
        <f t="shared" si="176"/>
        <v>-17.258736336295893</v>
      </c>
      <c r="X340" s="684">
        <f t="shared" si="177"/>
        <v>-162.68884839869372</v>
      </c>
      <c r="Y340" s="687">
        <f t="shared" si="178"/>
        <v>17.311151601306278</v>
      </c>
      <c r="AA340" s="170">
        <f t="shared" si="179"/>
        <v>25557.75</v>
      </c>
      <c r="AB340" s="170">
        <f t="shared" si="180"/>
        <v>653198585.0625</v>
      </c>
      <c r="AD340" s="686">
        <f t="shared" si="181"/>
        <v>24.77584038652968</v>
      </c>
      <c r="AE340" s="687">
        <f t="shared" si="182"/>
        <v>-44.96532903171169</v>
      </c>
      <c r="AG340" s="686">
        <f t="shared" si="183"/>
        <v>12.358212612010478</v>
      </c>
      <c r="AH340" s="687">
        <f t="shared" si="184"/>
        <v>-72.831233232706609</v>
      </c>
      <c r="AJ340" s="170">
        <f t="shared" si="185"/>
        <v>0</v>
      </c>
      <c r="AK340" s="170">
        <f t="shared" si="165"/>
        <v>0</v>
      </c>
      <c r="AM340" s="170" t="str">
        <f t="shared" si="189"/>
        <v>0.160196333903569+0.542890230535597i</v>
      </c>
      <c r="AN340" s="170" t="str">
        <f t="shared" si="190"/>
        <v>0.57387485132054i</v>
      </c>
      <c r="AO340" s="170" t="str">
        <f t="shared" si="191"/>
        <v>0.946008052603029-0.279148552223437i</v>
      </c>
      <c r="AP340" s="170" t="str">
        <f t="shared" si="192"/>
        <v>0.139967277682739-0.0904817050892662i</v>
      </c>
      <c r="AQ340" s="170" t="str">
        <f t="shared" si="193"/>
        <v>0.860032722317261+0.0904817050892662i</v>
      </c>
      <c r="AR340" s="170" t="str">
        <f t="shared" si="194"/>
        <v>0.957964498734615-0.100784841101101i</v>
      </c>
    </row>
    <row r="341" spans="7:44">
      <c r="G341" s="688">
        <v>25704</v>
      </c>
      <c r="H341" s="676">
        <f t="shared" si="186"/>
        <v>25.704000000000001</v>
      </c>
      <c r="I341" s="677">
        <f t="shared" si="166"/>
        <v>134.22916885103942</v>
      </c>
      <c r="J341" s="678">
        <f t="shared" si="167"/>
        <v>1.563346312322839</v>
      </c>
      <c r="K341" s="678">
        <f t="shared" si="168"/>
        <v>1.0006310147707322</v>
      </c>
      <c r="L341" s="679">
        <f t="shared" si="169"/>
        <v>3.5515718574695695E-2</v>
      </c>
      <c r="M341" s="678">
        <f t="shared" si="170"/>
        <v>1.0092752057337782</v>
      </c>
      <c r="N341" s="679">
        <f t="shared" si="171"/>
        <v>-0.13567665541902377</v>
      </c>
      <c r="O341" s="677">
        <f t="shared" si="172"/>
        <v>484508.984854632</v>
      </c>
      <c r="P341" s="680">
        <f t="shared" si="173"/>
        <v>1.5707942628496836</v>
      </c>
      <c r="Q341" s="689">
        <f t="shared" si="163"/>
        <v>64.931904801783062</v>
      </c>
      <c r="R341" s="690">
        <f t="shared" si="164"/>
        <v>1.5553949684366788</v>
      </c>
      <c r="S341" s="677">
        <f t="shared" si="174"/>
        <v>1.3958543114405813</v>
      </c>
      <c r="T341" s="680">
        <f t="shared" si="175"/>
        <v>0.7721574206413172</v>
      </c>
      <c r="U341" s="681">
        <f t="shared" si="187"/>
        <v>0.94955933693683459</v>
      </c>
      <c r="V341" s="682">
        <f t="shared" si="188"/>
        <v>-0.39389284609168745</v>
      </c>
      <c r="W341" s="683">
        <f t="shared" si="176"/>
        <v>-17.336231662462843</v>
      </c>
      <c r="X341" s="684">
        <f t="shared" si="177"/>
        <v>-163.00401831420496</v>
      </c>
      <c r="Y341" s="687">
        <f t="shared" si="178"/>
        <v>16.995981685795044</v>
      </c>
      <c r="AA341" s="170">
        <f t="shared" si="179"/>
        <v>25704</v>
      </c>
      <c r="AB341" s="170">
        <f t="shared" si="180"/>
        <v>660695616</v>
      </c>
      <c r="AD341" s="686">
        <f t="shared" si="181"/>
        <v>24.751774418014843</v>
      </c>
      <c r="AE341" s="687">
        <f t="shared" si="182"/>
        <v>-45.123675951361157</v>
      </c>
      <c r="AG341" s="686">
        <f t="shared" si="183"/>
        <v>12.314451372235753</v>
      </c>
      <c r="AH341" s="687">
        <f t="shared" si="184"/>
        <v>-72.743546988367925</v>
      </c>
      <c r="AJ341" s="170">
        <f t="shared" si="185"/>
        <v>0</v>
      </c>
      <c r="AK341" s="170">
        <f t="shared" si="165"/>
        <v>0</v>
      </c>
      <c r="AM341" s="170" t="str">
        <f t="shared" si="189"/>
        <v>0.161983658317277+0.545645132913972i</v>
      </c>
      <c r="AN341" s="170" t="str">
        <f t="shared" si="190"/>
        <v>0.577158755302918i</v>
      </c>
      <c r="AO341" s="170" t="str">
        <f t="shared" si="191"/>
        <v>0.945398692994952-0.280657023442815i</v>
      </c>
      <c r="AP341" s="170" t="str">
        <f t="shared" si="192"/>
        <v>0.139669390280454-0.090940855485662i</v>
      </c>
      <c r="AQ341" s="170" t="str">
        <f t="shared" si="193"/>
        <v>0.860330609719546+0.090940855485662i</v>
      </c>
      <c r="AR341" s="170" t="str">
        <f t="shared" si="194"/>
        <v>0.957533480432369-0.10121564068849i</v>
      </c>
    </row>
    <row r="342" spans="7:44">
      <c r="G342" s="688">
        <v>25853.75</v>
      </c>
      <c r="H342" s="676">
        <f t="shared" si="186"/>
        <v>25.853750000000002</v>
      </c>
      <c r="I342" s="677">
        <f t="shared" si="166"/>
        <v>135.01113685745435</v>
      </c>
      <c r="J342" s="678">
        <f t="shared" si="167"/>
        <v>1.5633894626876761</v>
      </c>
      <c r="K342" s="678">
        <f t="shared" si="168"/>
        <v>1.0006383863464294</v>
      </c>
      <c r="L342" s="679">
        <f t="shared" si="169"/>
        <v>3.5722455600387233E-2</v>
      </c>
      <c r="M342" s="678">
        <f t="shared" si="170"/>
        <v>1.0093830903517378</v>
      </c>
      <c r="N342" s="679">
        <f t="shared" si="171"/>
        <v>-0.13645735154028021</v>
      </c>
      <c r="O342" s="677">
        <f t="shared" si="172"/>
        <v>487331.70585065108</v>
      </c>
      <c r="P342" s="680">
        <f t="shared" si="173"/>
        <v>1.5707942748044597</v>
      </c>
      <c r="Q342" s="689">
        <f t="shared" si="163"/>
        <v>65.31010481576601</v>
      </c>
      <c r="R342" s="690">
        <f t="shared" si="164"/>
        <v>1.5554841621466491</v>
      </c>
      <c r="S342" s="677">
        <f t="shared" si="174"/>
        <v>1.3998186321754069</v>
      </c>
      <c r="T342" s="680">
        <f t="shared" si="175"/>
        <v>0.77506112742490818</v>
      </c>
      <c r="U342" s="681">
        <f t="shared" si="187"/>
        <v>0.94901581029924098</v>
      </c>
      <c r="V342" s="682">
        <f t="shared" si="188"/>
        <v>-0.39607589197100507</v>
      </c>
      <c r="W342" s="683">
        <f t="shared" si="176"/>
        <v>-17.415311791157229</v>
      </c>
      <c r="X342" s="684">
        <f t="shared" si="177"/>
        <v>-163.3257158029806</v>
      </c>
      <c r="Y342" s="687">
        <f t="shared" si="178"/>
        <v>16.674284197019404</v>
      </c>
      <c r="AA342" s="170">
        <f t="shared" si="179"/>
        <v>25853.75</v>
      </c>
      <c r="AB342" s="170">
        <f t="shared" si="180"/>
        <v>668416389.0625</v>
      </c>
      <c r="AD342" s="686">
        <f t="shared" si="181"/>
        <v>24.727128969176697</v>
      </c>
      <c r="AE342" s="687">
        <f t="shared" si="182"/>
        <v>-45.284936357006487</v>
      </c>
      <c r="AG342" s="686">
        <f t="shared" si="183"/>
        <v>12.2699631251564</v>
      </c>
      <c r="AH342" s="687">
        <f t="shared" si="184"/>
        <v>-72.653825440475714</v>
      </c>
      <c r="AJ342" s="170">
        <f t="shared" si="185"/>
        <v>0</v>
      </c>
      <c r="AK342" s="170">
        <f t="shared" si="165"/>
        <v>0</v>
      </c>
      <c r="AM342" s="170" t="str">
        <f t="shared" si="189"/>
        <v>0.163823120327671+0.548459867174843i</v>
      </c>
      <c r="AN342" s="170" t="str">
        <f t="shared" si="190"/>
        <v>0.58052124844043i</v>
      </c>
      <c r="AO342" s="170" t="str">
        <f t="shared" si="191"/>
        <v>0.944771390622273-0.282200041372786i</v>
      </c>
      <c r="AP342" s="170" t="str">
        <f t="shared" si="192"/>
        <v>0.139362813278721-0.0914099778624738i</v>
      </c>
      <c r="AQ342" s="170" t="str">
        <f t="shared" si="193"/>
        <v>0.860637186721279+0.0914099778624738i</v>
      </c>
      <c r="AR342" s="170" t="str">
        <f t="shared" si="194"/>
        <v>0.957090604934321-0.101654486186827i</v>
      </c>
    </row>
    <row r="343" spans="7:44">
      <c r="G343" s="688">
        <v>26003.5</v>
      </c>
      <c r="H343" s="676">
        <f t="shared" si="186"/>
        <v>26.003499999999999</v>
      </c>
      <c r="I343" s="677">
        <f t="shared" si="166"/>
        <v>135.79310511235866</v>
      </c>
      <c r="J343" s="678">
        <f t="shared" si="167"/>
        <v>1.5634321160875146</v>
      </c>
      <c r="K343" s="678">
        <f t="shared" si="168"/>
        <v>1.0006458006889778</v>
      </c>
      <c r="L343" s="679">
        <f t="shared" si="169"/>
        <v>3.5929189571254766E-2</v>
      </c>
      <c r="M343" s="678">
        <f t="shared" si="170"/>
        <v>1.0094915900432846</v>
      </c>
      <c r="N343" s="679">
        <f t="shared" si="171"/>
        <v>-0.13723788031945366</v>
      </c>
      <c r="O343" s="677">
        <f t="shared" si="172"/>
        <v>490154.42684667016</v>
      </c>
      <c r="P343" s="680">
        <f t="shared" si="173"/>
        <v>1.5707942866215447</v>
      </c>
      <c r="Q343" s="689">
        <f t="shared" ref="Q343:Q406" si="195">SQRT(1+(G343/Zero2)^2)</f>
        <v>65.688305343341739</v>
      </c>
      <c r="R343" s="690">
        <f t="shared" ref="R343:R406" si="196">ATAN(G343/Zero2)</f>
        <v>1.5555723287914465</v>
      </c>
      <c r="S343" s="677">
        <f t="shared" si="174"/>
        <v>1.4037946887803865</v>
      </c>
      <c r="T343" s="680">
        <f t="shared" si="175"/>
        <v>0.77794840973276758</v>
      </c>
      <c r="U343" s="681">
        <f t="shared" si="187"/>
        <v>0.94847001009350029</v>
      </c>
      <c r="V343" s="682">
        <f t="shared" si="188"/>
        <v>-0.39825714701079001</v>
      </c>
      <c r="W343" s="683">
        <f t="shared" si="176"/>
        <v>-17.494121407547464</v>
      </c>
      <c r="X343" s="684">
        <f t="shared" si="177"/>
        <v>-163.64639058271493</v>
      </c>
      <c r="Y343" s="687">
        <f t="shared" si="178"/>
        <v>16.353609417285071</v>
      </c>
      <c r="AA343" s="170">
        <f t="shared" si="179"/>
        <v>26003.5</v>
      </c>
      <c r="AB343" s="170">
        <f t="shared" si="180"/>
        <v>676182012.25</v>
      </c>
      <c r="AD343" s="686">
        <f t="shared" si="181"/>
        <v>24.70248077429439</v>
      </c>
      <c r="AE343" s="687">
        <f t="shared" si="182"/>
        <v>-45.445314548121274</v>
      </c>
      <c r="AG343" s="686">
        <f t="shared" si="183"/>
        <v>12.225795476316057</v>
      </c>
      <c r="AH343" s="687">
        <f t="shared" si="184"/>
        <v>-72.564168613167013</v>
      </c>
      <c r="AJ343" s="170">
        <f t="shared" si="185"/>
        <v>0</v>
      </c>
      <c r="AK343" s="170">
        <f t="shared" ref="AK343:AK406" si="197">IF(AJ343&gt;0,Y343,0)</f>
        <v>0</v>
      </c>
      <c r="AM343" s="170" t="str">
        <f t="shared" si="189"/>
        <v>0.165672036446065+0.551268400356799i</v>
      </c>
      <c r="AN343" s="170" t="str">
        <f t="shared" si="190"/>
        <v>0.583883741577942i</v>
      </c>
      <c r="AO343" s="170" t="str">
        <f t="shared" si="191"/>
        <v>0.944140692917737-0.283741479079958i</v>
      </c>
      <c r="AP343" s="170" t="str">
        <f t="shared" si="192"/>
        <v>0.139054660592322-0.0918780667261332i</v>
      </c>
      <c r="AQ343" s="170" t="str">
        <f t="shared" si="193"/>
        <v>0.860945339407678+0.0918780667261332i</v>
      </c>
      <c r="AR343" s="170" t="str">
        <f t="shared" si="194"/>
        <v>0.956646183281822-0.10209103625712i</v>
      </c>
    </row>
    <row r="344" spans="7:44">
      <c r="G344" s="688">
        <v>26153.25</v>
      </c>
      <c r="H344" s="676">
        <f t="shared" si="186"/>
        <v>26.15325</v>
      </c>
      <c r="I344" s="677">
        <f t="shared" si="166"/>
        <v>136.57507361148402</v>
      </c>
      <c r="J344" s="678">
        <f t="shared" si="167"/>
        <v>1.5634742810584037</v>
      </c>
      <c r="K344" s="678">
        <f t="shared" si="168"/>
        <v>1.000653257797427</v>
      </c>
      <c r="L344" s="679">
        <f t="shared" si="169"/>
        <v>3.6135920469695229E-2</v>
      </c>
      <c r="M344" s="678">
        <f t="shared" si="170"/>
        <v>1.0096007046101163</v>
      </c>
      <c r="N344" s="679">
        <f t="shared" si="171"/>
        <v>-0.13801824085961428</v>
      </c>
      <c r="O344" s="677">
        <f t="shared" si="172"/>
        <v>492977.1478426893</v>
      </c>
      <c r="P344" s="680">
        <f t="shared" si="173"/>
        <v>1.5707942983033034</v>
      </c>
      <c r="Q344" s="689">
        <f t="shared" si="195"/>
        <v>66.066506375690011</v>
      </c>
      <c r="R344" s="690">
        <f t="shared" si="196"/>
        <v>1.5556594860081463</v>
      </c>
      <c r="S344" s="677">
        <f t="shared" si="174"/>
        <v>1.4077823818172484</v>
      </c>
      <c r="T344" s="680">
        <f t="shared" si="175"/>
        <v>0.78081935879402897</v>
      </c>
      <c r="U344" s="681">
        <f t="shared" si="187"/>
        <v>0.94792194921377604</v>
      </c>
      <c r="V344" s="682">
        <f t="shared" si="188"/>
        <v>-0.40043660499893274</v>
      </c>
      <c r="W344" s="683">
        <f t="shared" si="176"/>
        <v>-17.572662950603316</v>
      </c>
      <c r="X344" s="684">
        <f t="shared" si="177"/>
        <v>-163.96604695282801</v>
      </c>
      <c r="Y344" s="687">
        <f t="shared" si="178"/>
        <v>16.033953047171991</v>
      </c>
      <c r="AA344" s="170">
        <f t="shared" si="179"/>
        <v>26153.25</v>
      </c>
      <c r="AB344" s="170">
        <f t="shared" si="180"/>
        <v>683992485.5625</v>
      </c>
      <c r="AD344" s="686">
        <f t="shared" si="181"/>
        <v>24.677830664578309</v>
      </c>
      <c r="AE344" s="687">
        <f t="shared" si="182"/>
        <v>-45.604814741355312</v>
      </c>
      <c r="AG344" s="686">
        <f t="shared" si="183"/>
        <v>12.181944997696419</v>
      </c>
      <c r="AH344" s="687">
        <f t="shared" si="184"/>
        <v>-72.474577301067399</v>
      </c>
      <c r="AJ344" s="170">
        <f t="shared" si="185"/>
        <v>0</v>
      </c>
      <c r="AK344" s="170">
        <f t="shared" si="197"/>
        <v>0</v>
      </c>
      <c r="AM344" s="170" t="str">
        <f t="shared" si="189"/>
        <v>0.167530385767969+0.554070700705581i</v>
      </c>
      <c r="AN344" s="170" t="str">
        <f t="shared" si="190"/>
        <v>0.587246234715454i</v>
      </c>
      <c r="AO344" s="170" t="str">
        <f t="shared" si="191"/>
        <v>0.943506604131829-0.285281328111273i</v>
      </c>
      <c r="AP344" s="170" t="str">
        <f t="shared" si="192"/>
        <v>0.138744935705338-0.0923451167842635i</v>
      </c>
      <c r="AQ344" s="170" t="str">
        <f t="shared" si="193"/>
        <v>0.861255064294662+0.0923451167842635i</v>
      </c>
      <c r="AR344" s="170" t="str">
        <f t="shared" si="194"/>
        <v>0.956200229897389-0.1025252861315i</v>
      </c>
    </row>
    <row r="345" spans="7:44">
      <c r="G345" s="688">
        <v>26303</v>
      </c>
      <c r="H345" s="676">
        <f t="shared" si="186"/>
        <v>26.303000000000001</v>
      </c>
      <c r="I345" s="677">
        <f t="shared" si="166"/>
        <v>137.35704235065947</v>
      </c>
      <c r="J345" s="678">
        <f t="shared" si="167"/>
        <v>1.5635159659420177</v>
      </c>
      <c r="K345" s="678">
        <f t="shared" si="168"/>
        <v>1.0006607576708209</v>
      </c>
      <c r="L345" s="679">
        <f t="shared" si="169"/>
        <v>3.6342648278107119E-2</v>
      </c>
      <c r="M345" s="678">
        <f t="shared" si="170"/>
        <v>1.0097104338528931</v>
      </c>
      <c r="N345" s="679">
        <f t="shared" si="171"/>
        <v>-0.13879843226503844</v>
      </c>
      <c r="O345" s="677">
        <f t="shared" si="172"/>
        <v>495799.8688387085</v>
      </c>
      <c r="P345" s="680">
        <f t="shared" si="173"/>
        <v>1.5707943098520476</v>
      </c>
      <c r="Q345" s="689">
        <f t="shared" si="195"/>
        <v>66.44470790419139</v>
      </c>
      <c r="R345" s="690">
        <f t="shared" si="196"/>
        <v>1.5557456510323278</v>
      </c>
      <c r="S345" s="677">
        <f t="shared" si="174"/>
        <v>1.4117816126818254</v>
      </c>
      <c r="T345" s="680">
        <f t="shared" si="175"/>
        <v>0.78367406588561395</v>
      </c>
      <c r="U345" s="681">
        <f t="shared" si="187"/>
        <v>0.94737164056724699</v>
      </c>
      <c r="V345" s="682">
        <f t="shared" si="188"/>
        <v>-0.40261425978154658</v>
      </c>
      <c r="W345" s="683">
        <f t="shared" si="176"/>
        <v>-17.650938815628489</v>
      </c>
      <c r="X345" s="684">
        <f t="shared" si="177"/>
        <v>-164.28468923074706</v>
      </c>
      <c r="Y345" s="687">
        <f t="shared" si="178"/>
        <v>15.715310769252937</v>
      </c>
      <c r="AA345" s="170">
        <f t="shared" si="179"/>
        <v>26303</v>
      </c>
      <c r="AB345" s="170">
        <f t="shared" si="180"/>
        <v>691847809</v>
      </c>
      <c r="AD345" s="686">
        <f t="shared" si="181"/>
        <v>24.653179457471673</v>
      </c>
      <c r="AE345" s="687">
        <f t="shared" si="182"/>
        <v>-45.763441179097512</v>
      </c>
      <c r="AG345" s="686">
        <f t="shared" si="183"/>
        <v>12.138408318401822</v>
      </c>
      <c r="AH345" s="687">
        <f t="shared" si="184"/>
        <v>-72.385052284398625</v>
      </c>
      <c r="AJ345" s="170">
        <f t="shared" si="185"/>
        <v>0</v>
      </c>
      <c r="AK345" s="170">
        <f t="shared" si="197"/>
        <v>0</v>
      </c>
      <c r="AM345" s="170" t="str">
        <f t="shared" si="189"/>
        <v>0.169398147282236+0.556866736537403i</v>
      </c>
      <c r="AN345" s="170" t="str">
        <f t="shared" si="190"/>
        <v>0.590608727852967i</v>
      </c>
      <c r="AO345" s="170" t="str">
        <f t="shared" si="191"/>
        <v>0.942869128537558-0.28681958002559i</v>
      </c>
      <c r="AP345" s="170" t="str">
        <f t="shared" si="192"/>
        <v>0.138433642119627-0.0928111227562338i</v>
      </c>
      <c r="AQ345" s="170" t="str">
        <f t="shared" si="193"/>
        <v>0.861566357880373+0.0928111227562338i</v>
      </c>
      <c r="AR345" s="170" t="str">
        <f t="shared" si="194"/>
        <v>0.95575275920356-0.102957231149649i</v>
      </c>
    </row>
    <row r="346" spans="7:44">
      <c r="G346" s="688">
        <v>26456</v>
      </c>
      <c r="H346" s="676">
        <f t="shared" si="186"/>
        <v>26.456</v>
      </c>
      <c r="I346" s="677">
        <f t="shared" si="166"/>
        <v>138.15598227443294</v>
      </c>
      <c r="J346" s="678">
        <f t="shared" si="167"/>
        <v>1.5635580681566883</v>
      </c>
      <c r="K346" s="678">
        <f t="shared" si="168"/>
        <v>1.0006684644789492</v>
      </c>
      <c r="L346" s="679">
        <f t="shared" si="169"/>
        <v>3.6553859457009785E-2</v>
      </c>
      <c r="M346" s="678">
        <f t="shared" si="170"/>
        <v>1.0098231791542316</v>
      </c>
      <c r="N346" s="679">
        <f t="shared" si="171"/>
        <v>-0.13959538042704944</v>
      </c>
      <c r="O346" s="677">
        <f t="shared" si="172"/>
        <v>498683.85089140269</v>
      </c>
      <c r="P346" s="680">
        <f t="shared" si="173"/>
        <v>1.5707943215164055</v>
      </c>
      <c r="Q346" s="689">
        <f t="shared" si="195"/>
        <v>66.831117982880599</v>
      </c>
      <c r="R346" s="690">
        <f t="shared" si="196"/>
        <v>1.5558326788773069</v>
      </c>
      <c r="S346" s="677">
        <f t="shared" si="174"/>
        <v>1.4158794526510314</v>
      </c>
      <c r="T346" s="680">
        <f t="shared" si="175"/>
        <v>0.78657404866507485</v>
      </c>
      <c r="U346" s="681">
        <f t="shared" si="187"/>
        <v>0.94680708063041885</v>
      </c>
      <c r="V346" s="682">
        <f t="shared" si="188"/>
        <v>-0.40483730718028482</v>
      </c>
      <c r="W346" s="683">
        <f t="shared" si="176"/>
        <v>-17.730641546811256</v>
      </c>
      <c r="X346" s="684">
        <f t="shared" si="177"/>
        <v>-164.60920411499353</v>
      </c>
      <c r="Y346" s="687">
        <f t="shared" si="178"/>
        <v>15.390795885006469</v>
      </c>
      <c r="AA346" s="170">
        <f t="shared" si="179"/>
        <v>26456</v>
      </c>
      <c r="AB346" s="170">
        <f t="shared" si="180"/>
        <v>699919936</v>
      </c>
      <c r="AD346" s="686">
        <f t="shared" si="181"/>
        <v>24.627992951946773</v>
      </c>
      <c r="AE346" s="687">
        <f t="shared" si="182"/>
        <v>-45.924612293306453</v>
      </c>
      <c r="AG346" s="686">
        <f t="shared" si="183"/>
        <v>12.094247410108025</v>
      </c>
      <c r="AH346" s="687">
        <f t="shared" si="184"/>
        <v>-72.293653586934553</v>
      </c>
      <c r="AJ346" s="170">
        <f t="shared" si="185"/>
        <v>0</v>
      </c>
      <c r="AK346" s="170">
        <f t="shared" si="197"/>
        <v>0</v>
      </c>
      <c r="AM346" s="170" t="str">
        <f t="shared" si="189"/>
        <v>0.171316143369729+0.559716951467776i</v>
      </c>
      <c r="AN346" s="170" t="str">
        <f t="shared" si="190"/>
        <v>0.594044196634531i</v>
      </c>
      <c r="AO346" s="170" t="str">
        <f t="shared" si="191"/>
        <v>0.942214324521255-0.288389558117553i</v>
      </c>
      <c r="AP346" s="170" t="str">
        <f t="shared" si="192"/>
        <v>0.138113976105045-0.0932861585779627i</v>
      </c>
      <c r="AQ346" s="170" t="str">
        <f t="shared" si="193"/>
        <v>0.861886023894955+0.0932861585779627i</v>
      </c>
      <c r="AR346" s="170" t="str">
        <f t="shared" si="194"/>
        <v>0.955294025066387-0.103396165432872i</v>
      </c>
    </row>
    <row r="347" spans="7:44">
      <c r="G347" s="688">
        <v>26609</v>
      </c>
      <c r="H347" s="676">
        <f t="shared" si="186"/>
        <v>26.609000000000002</v>
      </c>
      <c r="I347" s="677">
        <f t="shared" si="166"/>
        <v>138.95492244028515</v>
      </c>
      <c r="J347" s="678">
        <f t="shared" si="167"/>
        <v>1.5635996862266495</v>
      </c>
      <c r="K347" s="678">
        <f t="shared" si="168"/>
        <v>1.0006762159263711</v>
      </c>
      <c r="L347" s="679">
        <f t="shared" si="169"/>
        <v>3.6765067373162347E-2</v>
      </c>
      <c r="M347" s="678">
        <f t="shared" si="170"/>
        <v>1.0099365656774668</v>
      </c>
      <c r="N347" s="679">
        <f t="shared" si="171"/>
        <v>-0.14039215014678372</v>
      </c>
      <c r="O347" s="677">
        <f t="shared" si="172"/>
        <v>501567.83294409688</v>
      </c>
      <c r="P347" s="680">
        <f t="shared" si="173"/>
        <v>1.570794333046625</v>
      </c>
      <c r="Q347" s="689">
        <f t="shared" si="195"/>
        <v>67.21752856191884</v>
      </c>
      <c r="R347" s="690">
        <f t="shared" si="196"/>
        <v>1.555918706136308</v>
      </c>
      <c r="S347" s="677">
        <f t="shared" si="174"/>
        <v>1.4199891312414274</v>
      </c>
      <c r="T347" s="680">
        <f t="shared" si="175"/>
        <v>0.78945726953551298</v>
      </c>
      <c r="U347" s="681">
        <f t="shared" si="187"/>
        <v>0.94624020158008881</v>
      </c>
      <c r="V347" s="682">
        <f t="shared" si="188"/>
        <v>-0.40705845945342428</v>
      </c>
      <c r="W347" s="683">
        <f t="shared" si="176"/>
        <v>-17.810071863477269</v>
      </c>
      <c r="X347" s="684">
        <f t="shared" si="177"/>
        <v>-164.9326695750687</v>
      </c>
      <c r="Y347" s="687">
        <f t="shared" si="178"/>
        <v>15.067330424931299</v>
      </c>
      <c r="AA347" s="170">
        <f t="shared" si="179"/>
        <v>26609</v>
      </c>
      <c r="AB347" s="170">
        <f t="shared" si="180"/>
        <v>708038881</v>
      </c>
      <c r="AD347" s="686">
        <f t="shared" si="181"/>
        <v>24.602806982708092</v>
      </c>
      <c r="AE347" s="687">
        <f t="shared" si="182"/>
        <v>-46.084880342538796</v>
      </c>
      <c r="AG347" s="686">
        <f t="shared" si="183"/>
        <v>12.05040713248443</v>
      </c>
      <c r="AH347" s="687">
        <f t="shared" si="184"/>
        <v>-72.202325695672968</v>
      </c>
      <c r="AJ347" s="170">
        <f t="shared" si="185"/>
        <v>0</v>
      </c>
      <c r="AK347" s="170">
        <f t="shared" si="197"/>
        <v>0</v>
      </c>
      <c r="AM347" s="170" t="str">
        <f t="shared" si="189"/>
        <v>0.173243919943865+0.562560560375694i</v>
      </c>
      <c r="AN347" s="170" t="str">
        <f t="shared" si="190"/>
        <v>0.597479665416097i</v>
      </c>
      <c r="AO347" s="170" t="str">
        <f t="shared" si="191"/>
        <v>0.941555994184196-0.289957851240367i</v>
      </c>
      <c r="AP347" s="170" t="str">
        <f t="shared" si="192"/>
        <v>0.137792680009356-0.093760093395949i</v>
      </c>
      <c r="AQ347" s="170" t="str">
        <f t="shared" si="193"/>
        <v>0.862207319990644+0.093760093395949i</v>
      </c>
      <c r="AR347" s="170" t="str">
        <f t="shared" si="194"/>
        <v>0.954833737478937-0.103832684237243i</v>
      </c>
    </row>
    <row r="348" spans="7:44">
      <c r="G348" s="688">
        <v>26762</v>
      </c>
      <c r="H348" s="676">
        <f t="shared" si="186"/>
        <v>26.762</v>
      </c>
      <c r="I348" s="677">
        <f t="shared" si="166"/>
        <v>139.75386284406434</v>
      </c>
      <c r="J348" s="678">
        <f t="shared" si="167"/>
        <v>1.5636408284549841</v>
      </c>
      <c r="K348" s="678">
        <f t="shared" si="168"/>
        <v>1.0006840120120495</v>
      </c>
      <c r="L348" s="679">
        <f t="shared" si="169"/>
        <v>3.6976272007797392E-2</v>
      </c>
      <c r="M348" s="678">
        <f t="shared" si="170"/>
        <v>1.0100505932066512</v>
      </c>
      <c r="N348" s="679">
        <f t="shared" si="171"/>
        <v>-0.14118874047286153</v>
      </c>
      <c r="O348" s="677">
        <f t="shared" si="172"/>
        <v>504451.81499679119</v>
      </c>
      <c r="P348" s="680">
        <f t="shared" si="173"/>
        <v>1.5707943444450065</v>
      </c>
      <c r="Q348" s="689">
        <f t="shared" si="195"/>
        <v>67.60393963272638</v>
      </c>
      <c r="R348" s="690">
        <f t="shared" si="196"/>
        <v>1.5560037499655155</v>
      </c>
      <c r="S348" s="677">
        <f t="shared" si="174"/>
        <v>1.4241105459618277</v>
      </c>
      <c r="T348" s="680">
        <f t="shared" si="175"/>
        <v>0.79232382588136085</v>
      </c>
      <c r="U348" s="681">
        <f t="shared" si="187"/>
        <v>0.94567101721955804</v>
      </c>
      <c r="V348" s="682">
        <f t="shared" si="188"/>
        <v>-0.40927771022591553</v>
      </c>
      <c r="W348" s="683">
        <f t="shared" si="176"/>
        <v>-17.889232186446815</v>
      </c>
      <c r="X348" s="684">
        <f t="shared" si="177"/>
        <v>-165.25509026487782</v>
      </c>
      <c r="Y348" s="687">
        <f t="shared" si="178"/>
        <v>14.744909735122178</v>
      </c>
      <c r="AA348" s="170">
        <f t="shared" si="179"/>
        <v>26762</v>
      </c>
      <c r="AB348" s="170">
        <f t="shared" si="180"/>
        <v>716204644</v>
      </c>
      <c r="AD348" s="686">
        <f t="shared" si="181"/>
        <v>24.577622378028089</v>
      </c>
      <c r="AE348" s="687">
        <f t="shared" si="182"/>
        <v>-46.244249923666359</v>
      </c>
      <c r="AG348" s="686">
        <f t="shared" si="183"/>
        <v>12.00688406681266</v>
      </c>
      <c r="AH348" s="687">
        <f t="shared" si="184"/>
        <v>-72.111069398174152</v>
      </c>
      <c r="AJ348" s="170">
        <f t="shared" si="185"/>
        <v>0</v>
      </c>
      <c r="AK348" s="170">
        <f t="shared" si="197"/>
        <v>0</v>
      </c>
      <c r="AM348" s="170" t="str">
        <f t="shared" si="189"/>
        <v>0.175181454252186+0.565397529699645i</v>
      </c>
      <c r="AN348" s="170" t="str">
        <f t="shared" si="190"/>
        <v>0.600915134197661i</v>
      </c>
      <c r="AO348" s="170" t="str">
        <f t="shared" si="191"/>
        <v>0.940894142156298-0.291524450430238i</v>
      </c>
      <c r="AP348" s="170" t="str">
        <f t="shared" si="192"/>
        <v>0.137469757624636-0.0942329216166075i</v>
      </c>
      <c r="AQ348" s="170" t="str">
        <f t="shared" si="193"/>
        <v>0.862530242375364+0.0942329216166075i</v>
      </c>
      <c r="AR348" s="170" t="str">
        <f t="shared" si="194"/>
        <v>0.954371911817477-0.104266782938204i</v>
      </c>
    </row>
    <row r="349" spans="7:44">
      <c r="G349" s="688">
        <v>26915</v>
      </c>
      <c r="H349" s="676">
        <f t="shared" si="186"/>
        <v>26.914999999999999</v>
      </c>
      <c r="I349" s="677">
        <f t="shared" si="166"/>
        <v>140.55280348171314</v>
      </c>
      <c r="J349" s="678">
        <f t="shared" si="167"/>
        <v>1.5636815029559945</v>
      </c>
      <c r="K349" s="678">
        <f t="shared" si="168"/>
        <v>1.0006918527349407</v>
      </c>
      <c r="L349" s="679">
        <f t="shared" si="169"/>
        <v>3.7187473342149259E-2</v>
      </c>
      <c r="M349" s="678">
        <f t="shared" si="170"/>
        <v>1.0101652615247143</v>
      </c>
      <c r="N349" s="679">
        <f t="shared" si="171"/>
        <v>-0.14198515045524213</v>
      </c>
      <c r="O349" s="677">
        <f t="shared" si="172"/>
        <v>507335.79704948555</v>
      </c>
      <c r="P349" s="680">
        <f t="shared" si="173"/>
        <v>1.5707943557137984</v>
      </c>
      <c r="Q349" s="689">
        <f t="shared" si="195"/>
        <v>67.990351186918588</v>
      </c>
      <c r="R349" s="690">
        <f t="shared" si="196"/>
        <v>1.5560878271311549</v>
      </c>
      <c r="S349" s="677">
        <f t="shared" si="174"/>
        <v>1.4282435952130568</v>
      </c>
      <c r="T349" s="680">
        <f t="shared" si="175"/>
        <v>0.79517381506008877</v>
      </c>
      <c r="U349" s="681">
        <f t="shared" si="187"/>
        <v>0.94509954136316465</v>
      </c>
      <c r="V349" s="682">
        <f t="shared" si="188"/>
        <v>-0.41149505318611251</v>
      </c>
      <c r="W349" s="683">
        <f t="shared" si="176"/>
        <v>-17.968124893808842</v>
      </c>
      <c r="X349" s="684">
        <f t="shared" si="177"/>
        <v>-165.57647085201444</v>
      </c>
      <c r="Y349" s="687">
        <f t="shared" si="178"/>
        <v>14.423529147985562</v>
      </c>
      <c r="AA349" s="170">
        <f t="shared" si="179"/>
        <v>26915</v>
      </c>
      <c r="AB349" s="170">
        <f t="shared" si="180"/>
        <v>724417225</v>
      </c>
      <c r="AD349" s="686">
        <f t="shared" si="181"/>
        <v>24.552439951833435</v>
      </c>
      <c r="AE349" s="687">
        <f t="shared" si="182"/>
        <v>-46.402725654356168</v>
      </c>
      <c r="AG349" s="686">
        <f t="shared" si="183"/>
        <v>11.963674851145951</v>
      </c>
      <c r="AH349" s="687">
        <f t="shared" si="184"/>
        <v>-72.01988546762594</v>
      </c>
      <c r="AJ349" s="170">
        <f t="shared" si="185"/>
        <v>0</v>
      </c>
      <c r="AK349" s="170">
        <f t="shared" si="197"/>
        <v>0</v>
      </c>
      <c r="AM349" s="170" t="str">
        <f t="shared" si="189"/>
        <v>0.177128723427072+0.56822782595649i</v>
      </c>
      <c r="AN349" s="170" t="str">
        <f t="shared" si="190"/>
        <v>0.604350602979226i</v>
      </c>
      <c r="AO349" s="170" t="str">
        <f t="shared" si="191"/>
        <v>0.940228773091871-0.293089346736634i</v>
      </c>
      <c r="AP349" s="170" t="str">
        <f t="shared" si="192"/>
        <v>0.137145212762155-0.094704637659415i</v>
      </c>
      <c r="AQ349" s="170" t="str">
        <f t="shared" si="193"/>
        <v>0.862854787237845+0.094704637659415i</v>
      </c>
      <c r="AR349" s="170" t="str">
        <f t="shared" si="194"/>
        <v>0.953908563454347-0.104698457026993i</v>
      </c>
    </row>
    <row r="350" spans="7:44">
      <c r="G350" s="688">
        <v>27071.75</v>
      </c>
      <c r="H350" s="676">
        <f t="shared" si="186"/>
        <v>27.071750000000002</v>
      </c>
      <c r="I350" s="677">
        <f t="shared" si="166"/>
        <v>141.3713262361282</v>
      </c>
      <c r="J350" s="678">
        <f t="shared" si="167"/>
        <v>1.5637226976082392</v>
      </c>
      <c r="K350" s="678">
        <f t="shared" si="168"/>
        <v>1.0006999319230101</v>
      </c>
      <c r="L350" s="679">
        <f t="shared" si="169"/>
        <v>3.7403847737567296E-2</v>
      </c>
      <c r="M350" s="678">
        <f t="shared" si="170"/>
        <v>1.0102834046523987</v>
      </c>
      <c r="N350" s="679">
        <f t="shared" si="171"/>
        <v>-0.14280089227009449</v>
      </c>
      <c r="O350" s="677">
        <f t="shared" si="172"/>
        <v>510290.46493680484</v>
      </c>
      <c r="P350" s="680">
        <f t="shared" si="173"/>
        <v>1.5707943671266906</v>
      </c>
      <c r="Q350" s="689">
        <f t="shared" si="195"/>
        <v>68.386234105271328</v>
      </c>
      <c r="R350" s="690">
        <f t="shared" si="196"/>
        <v>1.5561729796497672</v>
      </c>
      <c r="S350" s="677">
        <f t="shared" si="174"/>
        <v>1.4324899051643329</v>
      </c>
      <c r="T350" s="680">
        <f t="shared" si="175"/>
        <v>0.79807657742734395</v>
      </c>
      <c r="U350" s="681">
        <f t="shared" si="187"/>
        <v>0.94451169676942914</v>
      </c>
      <c r="V350" s="682">
        <f t="shared" si="188"/>
        <v>-0.41376475772962018</v>
      </c>
      <c r="W350" s="683">
        <f t="shared" si="176"/>
        <v>-18.048676153784427</v>
      </c>
      <c r="X350" s="684">
        <f t="shared" si="177"/>
        <v>-165.90465465324976</v>
      </c>
      <c r="Y350" s="687">
        <f t="shared" si="178"/>
        <v>14.095345346750236</v>
      </c>
      <c r="AA350" s="170">
        <f t="shared" si="179"/>
        <v>27071.75</v>
      </c>
      <c r="AB350" s="170">
        <f t="shared" si="180"/>
        <v>732879648.0625</v>
      </c>
      <c r="AD350" s="686">
        <f t="shared" si="181"/>
        <v>24.526643404617332</v>
      </c>
      <c r="AE350" s="687">
        <f t="shared" si="182"/>
        <v>-46.564163461092917</v>
      </c>
      <c r="AG350" s="686">
        <f t="shared" si="183"/>
        <v>11.919728612271889</v>
      </c>
      <c r="AH350" s="687">
        <f t="shared" si="184"/>
        <v>-71.926542479657982</v>
      </c>
      <c r="AJ350" s="170">
        <f t="shared" si="185"/>
        <v>0</v>
      </c>
      <c r="AK350" s="170">
        <f t="shared" si="197"/>
        <v>0</v>
      </c>
      <c r="AM350" s="170" t="str">
        <f t="shared" si="189"/>
        <v>0.179133791447878+0.571120536889774i</v>
      </c>
      <c r="AN350" s="170" t="str">
        <f t="shared" si="190"/>
        <v>0.607870274427006i</v>
      </c>
      <c r="AO350" s="170" t="str">
        <f t="shared" si="191"/>
        <v>0.939543453458268-0.294690822999585i</v>
      </c>
      <c r="AP350" s="170" t="str">
        <f t="shared" si="192"/>
        <v>0.136811034758687-0.0951867561482957i</v>
      </c>
      <c r="AQ350" s="170" t="str">
        <f t="shared" si="193"/>
        <v>0.863188965241313+0.0951867561482957i</v>
      </c>
      <c r="AR350" s="170" t="str">
        <f t="shared" si="194"/>
        <v>0.953432295440156-0.105138192289797i</v>
      </c>
    </row>
    <row r="351" spans="7:44">
      <c r="G351" s="688">
        <v>27228.5</v>
      </c>
      <c r="H351" s="676">
        <f t="shared" si="186"/>
        <v>27.2285</v>
      </c>
      <c r="I351" s="677">
        <f t="shared" si="166"/>
        <v>142.18984922768817</v>
      </c>
      <c r="J351" s="678">
        <f t="shared" si="167"/>
        <v>1.5637634179823929</v>
      </c>
      <c r="K351" s="678">
        <f t="shared" si="168"/>
        <v>1.00070805796097</v>
      </c>
      <c r="L351" s="679">
        <f t="shared" si="169"/>
        <v>3.7620218629070272E-2</v>
      </c>
      <c r="M351" s="678">
        <f t="shared" si="170"/>
        <v>1.0104022199002505</v>
      </c>
      <c r="N351" s="679">
        <f t="shared" si="171"/>
        <v>-0.14361644277806496</v>
      </c>
      <c r="O351" s="677">
        <f t="shared" si="172"/>
        <v>513245.13282412424</v>
      </c>
      <c r="P351" s="680">
        <f t="shared" si="173"/>
        <v>1.5707943784081784</v>
      </c>
      <c r="Q351" s="689">
        <f t="shared" si="195"/>
        <v>68.782117513781316</v>
      </c>
      <c r="R351" s="690">
        <f t="shared" si="196"/>
        <v>1.5562571519587045</v>
      </c>
      <c r="S351" s="677">
        <f t="shared" si="174"/>
        <v>1.4367482139115104</v>
      </c>
      <c r="T351" s="680">
        <f t="shared" si="175"/>
        <v>0.80096215727396702</v>
      </c>
      <c r="U351" s="681">
        <f t="shared" si="187"/>
        <v>0.94392147636209345</v>
      </c>
      <c r="V351" s="682">
        <f t="shared" si="188"/>
        <v>-0.4160324465864641</v>
      </c>
      <c r="W351" s="683">
        <f t="shared" si="176"/>
        <v>-18.128951439673944</v>
      </c>
      <c r="X351" s="684">
        <f t="shared" si="177"/>
        <v>-166.23175669812974</v>
      </c>
      <c r="Y351" s="687">
        <f t="shared" si="178"/>
        <v>13.768243301870257</v>
      </c>
      <c r="AA351" s="170">
        <f t="shared" si="179"/>
        <v>27228.5</v>
      </c>
      <c r="AB351" s="170">
        <f t="shared" si="180"/>
        <v>741391212.25</v>
      </c>
      <c r="AD351" s="686">
        <f t="shared" si="181"/>
        <v>24.500850828106813</v>
      </c>
      <c r="AE351" s="687">
        <f t="shared" si="182"/>
        <v>-46.724672936263495</v>
      </c>
      <c r="AG351" s="686">
        <f t="shared" si="183"/>
        <v>11.87610482988087</v>
      </c>
      <c r="AH351" s="687">
        <f t="shared" si="184"/>
        <v>-71.833277047578463</v>
      </c>
      <c r="AJ351" s="170">
        <f t="shared" si="185"/>
        <v>0</v>
      </c>
      <c r="AK351" s="170">
        <f t="shared" si="197"/>
        <v>0</v>
      </c>
      <c r="AM351" s="170" t="str">
        <f t="shared" si="189"/>
        <v>0.181149028420275+0.574006172739406i</v>
      </c>
      <c r="AN351" s="170" t="str">
        <f t="shared" si="190"/>
        <v>0.611389945874786i</v>
      </c>
      <c r="AO351" s="170" t="str">
        <f t="shared" si="191"/>
        <v>0.938854452240148-0.296290492904793i</v>
      </c>
      <c r="AP351" s="170" t="str">
        <f t="shared" si="192"/>
        <v>0.136475161929954-0.0956676954565677i</v>
      </c>
      <c r="AQ351" s="170" t="str">
        <f t="shared" si="193"/>
        <v>0.863524838070046+0.0956676954565677i</v>
      </c>
      <c r="AR351" s="170" t="str">
        <f t="shared" si="194"/>
        <v>0.952954461816137-0.105575373420363i</v>
      </c>
    </row>
    <row r="352" spans="7:44">
      <c r="G352" s="688">
        <v>27385.25</v>
      </c>
      <c r="H352" s="676">
        <f t="shared" si="186"/>
        <v>27.385249999999999</v>
      </c>
      <c r="I352" s="677">
        <f t="shared" si="166"/>
        <v>143.00837245232117</v>
      </c>
      <c r="J352" s="678">
        <f t="shared" si="167"/>
        <v>1.5638036722220587</v>
      </c>
      <c r="K352" s="678">
        <f t="shared" si="168"/>
        <v>1.0007162308476794</v>
      </c>
      <c r="L352" s="679">
        <f t="shared" si="169"/>
        <v>3.7836585996484387E-2</v>
      </c>
      <c r="M352" s="678">
        <f t="shared" si="170"/>
        <v>1.0105217070311898</v>
      </c>
      <c r="N352" s="679">
        <f t="shared" si="171"/>
        <v>-0.14443180096194397</v>
      </c>
      <c r="O352" s="677">
        <f t="shared" si="172"/>
        <v>516199.80071144371</v>
      </c>
      <c r="P352" s="680">
        <f t="shared" si="173"/>
        <v>1.5707943895605183</v>
      </c>
      <c r="Q352" s="689">
        <f t="shared" si="195"/>
        <v>69.178001404033495</v>
      </c>
      <c r="R352" s="690">
        <f t="shared" si="196"/>
        <v>1.5563403608850568</v>
      </c>
      <c r="S352" s="677">
        <f t="shared" si="174"/>
        <v>1.4410184150827856</v>
      </c>
      <c r="T352" s="680">
        <f t="shared" si="175"/>
        <v>0.80383065908481688</v>
      </c>
      <c r="U352" s="681">
        <f t="shared" si="187"/>
        <v>0.94332889502717165</v>
      </c>
      <c r="V352" s="682">
        <f t="shared" si="188"/>
        <v>-0.41829811317636423</v>
      </c>
      <c r="W352" s="683">
        <f t="shared" si="176"/>
        <v>-18.208953176490454</v>
      </c>
      <c r="X352" s="684">
        <f t="shared" si="177"/>
        <v>-166.55778204164977</v>
      </c>
      <c r="Y352" s="687">
        <f t="shared" si="178"/>
        <v>13.442217958350227</v>
      </c>
      <c r="AA352" s="170">
        <f t="shared" si="179"/>
        <v>27385.25</v>
      </c>
      <c r="AB352" s="170">
        <f t="shared" si="180"/>
        <v>749951917.5625</v>
      </c>
      <c r="AD352" s="686">
        <f t="shared" si="181"/>
        <v>24.47506305180362</v>
      </c>
      <c r="AE352" s="687">
        <f t="shared" si="182"/>
        <v>-46.884259102417403</v>
      </c>
      <c r="AG352" s="686">
        <f t="shared" si="183"/>
        <v>11.832800065781321</v>
      </c>
      <c r="AH352" s="687">
        <f t="shared" si="184"/>
        <v>-71.740089957877814</v>
      </c>
      <c r="AJ352" s="170">
        <f t="shared" si="185"/>
        <v>0</v>
      </c>
      <c r="AK352" s="170">
        <f t="shared" si="197"/>
        <v>0</v>
      </c>
      <c r="AM352" s="170" t="str">
        <f t="shared" si="189"/>
        <v>0.183174409379358+0.576884697757914i</v>
      </c>
      <c r="AN352" s="170" t="str">
        <f t="shared" si="190"/>
        <v>0.614909617322566i</v>
      </c>
      <c r="AO352" s="170" t="str">
        <f t="shared" si="191"/>
        <v>0.938161774521889-0.297888346871097i</v>
      </c>
      <c r="AP352" s="170" t="str">
        <f t="shared" si="192"/>
        <v>0.136137598436774-0.096147449626319i</v>
      </c>
      <c r="AQ352" s="170" t="str">
        <f t="shared" si="193"/>
        <v>0.863862401563226+0.096147449626319i</v>
      </c>
      <c r="AR352" s="170" t="str">
        <f t="shared" si="194"/>
        <v>0.952475079093589-0.106009995945833i</v>
      </c>
    </row>
    <row r="353" spans="7:44">
      <c r="G353" s="688">
        <v>27542</v>
      </c>
      <c r="H353" s="676">
        <f t="shared" si="186"/>
        <v>27.542000000000002</v>
      </c>
      <c r="I353" s="677">
        <f t="shared" si="166"/>
        <v>143.82689590604789</v>
      </c>
      <c r="J353" s="678">
        <f t="shared" si="167"/>
        <v>1.5638434682854638</v>
      </c>
      <c r="K353" s="678">
        <f t="shared" si="168"/>
        <v>1.0007244505819899</v>
      </c>
      <c r="L353" s="679">
        <f t="shared" si="169"/>
        <v>3.8052949819637839E-2</v>
      </c>
      <c r="M353" s="678">
        <f t="shared" si="170"/>
        <v>1.0106418658069085</v>
      </c>
      <c r="N353" s="679">
        <f t="shared" si="171"/>
        <v>-0.14524696580602472</v>
      </c>
      <c r="O353" s="677">
        <f t="shared" si="172"/>
        <v>519154.46859876317</v>
      </c>
      <c r="P353" s="680">
        <f t="shared" si="173"/>
        <v>1.5707944005859156</v>
      </c>
      <c r="Q353" s="689">
        <f t="shared" si="195"/>
        <v>69.573885767804384</v>
      </c>
      <c r="R353" s="690">
        <f t="shared" si="196"/>
        <v>1.5564226228729741</v>
      </c>
      <c r="S353" s="677">
        <f t="shared" si="174"/>
        <v>1.4453004032681531</v>
      </c>
      <c r="T353" s="680">
        <f t="shared" si="175"/>
        <v>0.80668218723587248</v>
      </c>
      <c r="U353" s="681">
        <f t="shared" si="187"/>
        <v>0.94273396765934003</v>
      </c>
      <c r="V353" s="682">
        <f t="shared" si="188"/>
        <v>-0.42056175098878879</v>
      </c>
      <c r="W353" s="683">
        <f t="shared" si="176"/>
        <v>-18.288683746963702</v>
      </c>
      <c r="X353" s="684">
        <f t="shared" si="177"/>
        <v>-166.8827357479658</v>
      </c>
      <c r="Y353" s="687">
        <f t="shared" si="178"/>
        <v>13.117264252034204</v>
      </c>
      <c r="AA353" s="170">
        <f t="shared" si="179"/>
        <v>27542</v>
      </c>
      <c r="AB353" s="170">
        <f t="shared" si="180"/>
        <v>758561764</v>
      </c>
      <c r="AD353" s="686">
        <f t="shared" si="181"/>
        <v>24.449280890145172</v>
      </c>
      <c r="AE353" s="687">
        <f t="shared" si="182"/>
        <v>-47.042926997803661</v>
      </c>
      <c r="AG353" s="686">
        <f t="shared" si="183"/>
        <v>11.789810938829852</v>
      </c>
      <c r="AH353" s="687">
        <f t="shared" si="184"/>
        <v>-71.646981982514859</v>
      </c>
      <c r="AJ353" s="170">
        <f t="shared" si="185"/>
        <v>0</v>
      </c>
      <c r="AK353" s="170">
        <f t="shared" si="197"/>
        <v>0</v>
      </c>
      <c r="AM353" s="170" t="str">
        <f t="shared" si="189"/>
        <v>0.185209909234558+0.579756076285918i</v>
      </c>
      <c r="AN353" s="170" t="str">
        <f t="shared" si="190"/>
        <v>0.618429288770346i</v>
      </c>
      <c r="AO353" s="170" t="str">
        <f t="shared" si="191"/>
        <v>0.937465425414563-0.299484375332255i</v>
      </c>
      <c r="AP353" s="170" t="str">
        <f t="shared" si="192"/>
        <v>0.135798348460907-0.0966260127143197i</v>
      </c>
      <c r="AQ353" s="170" t="str">
        <f t="shared" si="193"/>
        <v>0.864201651539093+0.0966260127143197i</v>
      </c>
      <c r="AR353" s="170" t="str">
        <f t="shared" si="194"/>
        <v>0.951994163775153-0.106442055519186i</v>
      </c>
    </row>
    <row r="354" spans="7:44">
      <c r="G354" s="688">
        <v>27702.5</v>
      </c>
      <c r="H354" s="676">
        <f t="shared" si="186"/>
        <v>27.702500000000001</v>
      </c>
      <c r="I354" s="677">
        <f t="shared" si="166"/>
        <v>144.66500149390035</v>
      </c>
      <c r="J354" s="678">
        <f t="shared" si="167"/>
        <v>1.5638837497813052</v>
      </c>
      <c r="K354" s="678">
        <f t="shared" si="168"/>
        <v>1.0007329155015978</v>
      </c>
      <c r="L354" s="679">
        <f t="shared" si="169"/>
        <v>3.8274486117281965E-2</v>
      </c>
      <c r="M354" s="678">
        <f t="shared" si="170"/>
        <v>1.0107655948833676</v>
      </c>
      <c r="N354" s="679">
        <f t="shared" si="171"/>
        <v>-0.14608143080898953</v>
      </c>
      <c r="O354" s="677">
        <f t="shared" si="172"/>
        <v>522179.82232070755</v>
      </c>
      <c r="P354" s="680">
        <f t="shared" si="173"/>
        <v>1.5707944117457944</v>
      </c>
      <c r="Q354" s="689">
        <f t="shared" si="195"/>
        <v>69.979241531621909</v>
      </c>
      <c r="R354" s="690">
        <f t="shared" si="196"/>
        <v>1.5565058884444931</v>
      </c>
      <c r="S354" s="677">
        <f t="shared" si="174"/>
        <v>1.4496969356392193</v>
      </c>
      <c r="T354" s="680">
        <f t="shared" si="175"/>
        <v>0.80958445502393883</v>
      </c>
      <c r="U354" s="681">
        <f t="shared" si="187"/>
        <v>0.942122392252005</v>
      </c>
      <c r="V354" s="682">
        <f t="shared" si="188"/>
        <v>-0.4228774339282223</v>
      </c>
      <c r="W354" s="683">
        <f t="shared" si="176"/>
        <v>-18.370043217917885</v>
      </c>
      <c r="X354" s="684">
        <f t="shared" si="177"/>
        <v>-167.21435836398629</v>
      </c>
      <c r="Y354" s="687">
        <f t="shared" si="178"/>
        <v>12.785641636013708</v>
      </c>
      <c r="AA354" s="170">
        <f t="shared" si="179"/>
        <v>27702.5</v>
      </c>
      <c r="AB354" s="170">
        <f t="shared" si="180"/>
        <v>767428506.25</v>
      </c>
      <c r="AD354" s="686">
        <f t="shared" si="181"/>
        <v>24.422888583090653</v>
      </c>
      <c r="AE354" s="687">
        <f t="shared" si="182"/>
        <v>-47.204444566848345</v>
      </c>
      <c r="AG354" s="686">
        <f t="shared" si="183"/>
        <v>11.746116945221285</v>
      </c>
      <c r="AH354" s="687">
        <f t="shared" si="184"/>
        <v>-71.551729310947508</v>
      </c>
      <c r="AJ354" s="170">
        <f t="shared" si="185"/>
        <v>0</v>
      </c>
      <c r="AK354" s="170">
        <f t="shared" si="197"/>
        <v>0</v>
      </c>
      <c r="AM354" s="170" t="str">
        <f t="shared" si="189"/>
        <v>0.187304563831464+0.582688705940687i</v>
      </c>
      <c r="AN354" s="170" t="str">
        <f t="shared" si="190"/>
        <v>0.62203316288434i</v>
      </c>
      <c r="AO354" s="170" t="str">
        <f t="shared" si="191"/>
        <v>0.936748618415754-0.301116684780826i</v>
      </c>
      <c r="AP354" s="170" t="str">
        <f t="shared" si="192"/>
        <v>0.135449239361423-0.0971147843234478i</v>
      </c>
      <c r="AQ354" s="170" t="str">
        <f t="shared" si="193"/>
        <v>0.864550760638577+0.0971147843234478i</v>
      </c>
      <c r="AR354" s="170" t="str">
        <f t="shared" si="194"/>
        <v>0.951500172499323-0.106881791380003i</v>
      </c>
    </row>
    <row r="355" spans="7:44">
      <c r="G355" s="688">
        <v>27863</v>
      </c>
      <c r="H355" s="676">
        <f t="shared" si="186"/>
        <v>27.863</v>
      </c>
      <c r="I355" s="677">
        <f t="shared" si="166"/>
        <v>145.50310731378195</v>
      </c>
      <c r="J355" s="678">
        <f t="shared" si="167"/>
        <v>1.5639235672299925</v>
      </c>
      <c r="K355" s="678">
        <f t="shared" si="168"/>
        <v>1.000741429534675</v>
      </c>
      <c r="L355" s="679">
        <f t="shared" si="169"/>
        <v>3.8496018656258506E-2</v>
      </c>
      <c r="M355" s="678">
        <f t="shared" si="170"/>
        <v>1.0108900276155168</v>
      </c>
      <c r="N355" s="679">
        <f t="shared" si="171"/>
        <v>-0.14691569096040097</v>
      </c>
      <c r="O355" s="677">
        <f t="shared" si="172"/>
        <v>525205.17604265211</v>
      </c>
      <c r="P355" s="680">
        <f t="shared" si="173"/>
        <v>1.570794422777104</v>
      </c>
      <c r="Q355" s="689">
        <f t="shared" si="195"/>
        <v>70.384597775027984</v>
      </c>
      <c r="R355" s="690">
        <f t="shared" si="196"/>
        <v>1.5565881949368823</v>
      </c>
      <c r="S355" s="677">
        <f t="shared" si="174"/>
        <v>1.4541056051364725</v>
      </c>
      <c r="T355" s="680">
        <f t="shared" si="175"/>
        <v>0.81246914834921469</v>
      </c>
      <c r="U355" s="681">
        <f t="shared" si="187"/>
        <v>0.94150838884806987</v>
      </c>
      <c r="V355" s="682">
        <f t="shared" si="188"/>
        <v>-0.42519097626741359</v>
      </c>
      <c r="W355" s="683">
        <f t="shared" si="176"/>
        <v>-18.451123317771149</v>
      </c>
      <c r="X355" s="684">
        <f t="shared" si="177"/>
        <v>-167.54486822420384</v>
      </c>
      <c r="Y355" s="687">
        <f t="shared" si="178"/>
        <v>12.455131775796161</v>
      </c>
      <c r="AA355" s="170">
        <f t="shared" si="179"/>
        <v>27863</v>
      </c>
      <c r="AB355" s="170">
        <f t="shared" si="180"/>
        <v>776346769</v>
      </c>
      <c r="AD355" s="686">
        <f t="shared" si="181"/>
        <v>24.396503843120758</v>
      </c>
      <c r="AE355" s="687">
        <f t="shared" si="182"/>
        <v>-47.365010137166742</v>
      </c>
      <c r="AG355" s="686">
        <f t="shared" si="183"/>
        <v>11.702746874872108</v>
      </c>
      <c r="AH355" s="687">
        <f t="shared" si="184"/>
        <v>-71.456561177022678</v>
      </c>
      <c r="AJ355" s="170">
        <f t="shared" si="185"/>
        <v>0</v>
      </c>
      <c r="AK355" s="170">
        <f t="shared" si="197"/>
        <v>0</v>
      </c>
      <c r="AM355" s="170" t="str">
        <f t="shared" si="189"/>
        <v>0.189409773631015+0.585613767695977i</v>
      </c>
      <c r="AN355" s="170" t="str">
        <f t="shared" si="190"/>
        <v>0.625637036998335i</v>
      </c>
      <c r="AO355" s="170" t="str">
        <f t="shared" si="191"/>
        <v>0.936027973192923-0.302747060084167i</v>
      </c>
      <c r="AP355" s="170" t="str">
        <f t="shared" si="192"/>
        <v>0.135098371061497-0.0976022946159962i</v>
      </c>
      <c r="AQ355" s="170" t="str">
        <f t="shared" si="193"/>
        <v>0.864901628938503+0.0976022946159962i</v>
      </c>
      <c r="AR355" s="170" t="str">
        <f t="shared" si="194"/>
        <v>0.951004609405343-0.107318831370764i</v>
      </c>
    </row>
    <row r="356" spans="7:44">
      <c r="G356" s="688">
        <v>28023.5</v>
      </c>
      <c r="H356" s="676">
        <f t="shared" si="186"/>
        <v>28.023499999999999</v>
      </c>
      <c r="I356" s="677">
        <f t="shared" si="166"/>
        <v>146.34121336170617</v>
      </c>
      <c r="J356" s="678">
        <f t="shared" si="167"/>
        <v>1.5639629286042867</v>
      </c>
      <c r="K356" s="678">
        <f t="shared" si="168"/>
        <v>1.0007499926799679</v>
      </c>
      <c r="L356" s="679">
        <f t="shared" si="169"/>
        <v>3.8717547414919506E-2</v>
      </c>
      <c r="M356" s="678">
        <f t="shared" si="170"/>
        <v>1.0110151637435447</v>
      </c>
      <c r="N356" s="679">
        <f t="shared" si="171"/>
        <v>-0.14774974517483858</v>
      </c>
      <c r="O356" s="677">
        <f t="shared" si="172"/>
        <v>528230.52976459661</v>
      </c>
      <c r="P356" s="680">
        <f t="shared" si="173"/>
        <v>1.5707944336820536</v>
      </c>
      <c r="Q356" s="689">
        <f t="shared" si="195"/>
        <v>70.789954489783952</v>
      </c>
      <c r="R356" s="690">
        <f t="shared" si="196"/>
        <v>1.5566695588246244</v>
      </c>
      <c r="S356" s="677">
        <f t="shared" si="174"/>
        <v>1.458526301699691</v>
      </c>
      <c r="T356" s="680">
        <f t="shared" si="175"/>
        <v>0.81533637878518872</v>
      </c>
      <c r="U356" s="681">
        <f t="shared" si="187"/>
        <v>0.94089197345951647</v>
      </c>
      <c r="V356" s="682">
        <f t="shared" si="188"/>
        <v>-0.42750237124433388</v>
      </c>
      <c r="W356" s="683">
        <f t="shared" si="176"/>
        <v>-18.531926473771893</v>
      </c>
      <c r="X356" s="684">
        <f t="shared" si="177"/>
        <v>-167.87427078593663</v>
      </c>
      <c r="Y356" s="687">
        <f t="shared" si="178"/>
        <v>12.125729214063369</v>
      </c>
      <c r="AA356" s="170">
        <f t="shared" si="179"/>
        <v>28023.5</v>
      </c>
      <c r="AB356" s="170">
        <f t="shared" si="180"/>
        <v>785316552.25</v>
      </c>
      <c r="AD356" s="686">
        <f t="shared" si="181"/>
        <v>24.370127496667841</v>
      </c>
      <c r="AE356" s="687">
        <f t="shared" si="182"/>
        <v>-47.524629157657095</v>
      </c>
      <c r="AG356" s="686">
        <f t="shared" si="183"/>
        <v>11.659697275687744</v>
      </c>
      <c r="AH356" s="687">
        <f t="shared" si="184"/>
        <v>-71.361478364031996</v>
      </c>
      <c r="AJ356" s="170">
        <f t="shared" si="185"/>
        <v>0</v>
      </c>
      <c r="AK356" s="170">
        <f t="shared" si="197"/>
        <v>0</v>
      </c>
      <c r="AM356" s="170" t="str">
        <f t="shared" si="189"/>
        <v>0.191525511290967+0.588531223561391i</v>
      </c>
      <c r="AN356" s="170" t="str">
        <f t="shared" si="190"/>
        <v>0.62924091111233i</v>
      </c>
      <c r="AO356" s="170" t="str">
        <f t="shared" si="191"/>
        <v>0.935303495319503-0.304375491022033i</v>
      </c>
      <c r="AP356" s="170" t="str">
        <f t="shared" si="192"/>
        <v>0.134745748118172-0.0980885372602318i</v>
      </c>
      <c r="AQ356" s="170" t="str">
        <f t="shared" si="193"/>
        <v>0.865254251881828+0.0980885372602318i</v>
      </c>
      <c r="AR356" s="170" t="str">
        <f t="shared" si="194"/>
        <v>0.950507492173561-0.10775317123195i</v>
      </c>
    </row>
    <row r="357" spans="7:44">
      <c r="G357" s="688">
        <v>28184</v>
      </c>
      <c r="H357" s="676">
        <f t="shared" si="186"/>
        <v>28.184000000000001</v>
      </c>
      <c r="I357" s="677">
        <f t="shared" si="166"/>
        <v>147.1793196337772</v>
      </c>
      <c r="J357" s="678">
        <f t="shared" si="167"/>
        <v>1.5640018416953525</v>
      </c>
      <c r="K357" s="678">
        <f t="shared" si="168"/>
        <v>1.0007586049362156</v>
      </c>
      <c r="L357" s="679">
        <f t="shared" si="169"/>
        <v>3.8939072371619254E-2</v>
      </c>
      <c r="M357" s="678">
        <f t="shared" si="170"/>
        <v>1.0111410030062997</v>
      </c>
      <c r="N357" s="679">
        <f t="shared" si="171"/>
        <v>-0.14858359236856364</v>
      </c>
      <c r="O357" s="677">
        <f t="shared" si="172"/>
        <v>531255.88348654122</v>
      </c>
      <c r="P357" s="680">
        <f t="shared" si="173"/>
        <v>1.5707944444628019</v>
      </c>
      <c r="Q357" s="689">
        <f t="shared" si="195"/>
        <v>71.195311667838808</v>
      </c>
      <c r="R357" s="690">
        <f t="shared" si="196"/>
        <v>1.5567499962070568</v>
      </c>
      <c r="S357" s="677">
        <f t="shared" si="174"/>
        <v>1.4629589163005086</v>
      </c>
      <c r="T357" s="680">
        <f t="shared" si="175"/>
        <v>0.81818625770713349</v>
      </c>
      <c r="U357" s="681">
        <f t="shared" si="187"/>
        <v>0.94027316210401424</v>
      </c>
      <c r="V357" s="682">
        <f t="shared" si="188"/>
        <v>-0.4298116121734129</v>
      </c>
      <c r="W357" s="683">
        <f t="shared" si="176"/>
        <v>-18.612455071418431</v>
      </c>
      <c r="X357" s="684">
        <f t="shared" si="177"/>
        <v>-168.20257151070999</v>
      </c>
      <c r="Y357" s="687">
        <f t="shared" si="178"/>
        <v>11.797428489290013</v>
      </c>
      <c r="AA357" s="170">
        <f t="shared" si="179"/>
        <v>28184</v>
      </c>
      <c r="AB357" s="170">
        <f t="shared" si="180"/>
        <v>794337856</v>
      </c>
      <c r="AD357" s="686">
        <f t="shared" si="181"/>
        <v>24.343760354433883</v>
      </c>
      <c r="AE357" s="687">
        <f t="shared" si="182"/>
        <v>-47.68330708735207</v>
      </c>
      <c r="AG357" s="686">
        <f t="shared" si="183"/>
        <v>11.616964752765851</v>
      </c>
      <c r="AH357" s="687">
        <f t="shared" si="184"/>
        <v>-71.26648164057778</v>
      </c>
      <c r="AJ357" s="170">
        <f t="shared" si="185"/>
        <v>0</v>
      </c>
      <c r="AK357" s="170">
        <f t="shared" si="197"/>
        <v>0</v>
      </c>
      <c r="AM357" s="170" t="str">
        <f t="shared" si="189"/>
        <v>0.193651749332343+0.591441035645321i</v>
      </c>
      <c r="AN357" s="170" t="str">
        <f t="shared" si="190"/>
        <v>0.632844785226324i</v>
      </c>
      <c r="AO357" s="170" t="str">
        <f t="shared" si="191"/>
        <v>0.934575190398076-0.306001967390926i</v>
      </c>
      <c r="AP357" s="170" t="str">
        <f t="shared" si="192"/>
        <v>0.134391375111276-0.0985735059408868i</v>
      </c>
      <c r="AQ357" s="170" t="str">
        <f t="shared" si="193"/>
        <v>0.865608624888724+0.0985735059408868i</v>
      </c>
      <c r="AR357" s="170" t="str">
        <f t="shared" si="194"/>
        <v>0.950008838470081-0.108184806840232i</v>
      </c>
    </row>
    <row r="358" spans="7:44">
      <c r="G358" s="688">
        <v>28348</v>
      </c>
      <c r="H358" s="676">
        <f t="shared" si="186"/>
        <v>28.347999999999999</v>
      </c>
      <c r="I358" s="677">
        <f t="shared" si="166"/>
        <v>148.03570259418086</v>
      </c>
      <c r="J358" s="678">
        <f t="shared" si="167"/>
        <v>1.5640411482270067</v>
      </c>
      <c r="K358" s="678">
        <f t="shared" si="168"/>
        <v>1.0007674557264201</v>
      </c>
      <c r="L358" s="679">
        <f t="shared" si="169"/>
        <v>3.9165424140867072E-2</v>
      </c>
      <c r="M358" s="678">
        <f t="shared" si="170"/>
        <v>1.0112703124559626</v>
      </c>
      <c r="N358" s="679">
        <f t="shared" si="171"/>
        <v>-0.14943540817849565</v>
      </c>
      <c r="O358" s="677">
        <f t="shared" si="172"/>
        <v>534347.21065413579</v>
      </c>
      <c r="P358" s="680">
        <f t="shared" si="173"/>
        <v>1.5707944553525459</v>
      </c>
      <c r="Q358" s="689">
        <f t="shared" si="195"/>
        <v>71.609508880901785</v>
      </c>
      <c r="R358" s="690">
        <f t="shared" si="196"/>
        <v>1.5568312470132204</v>
      </c>
      <c r="S358" s="677">
        <f t="shared" si="174"/>
        <v>1.4675003906258046</v>
      </c>
      <c r="T358" s="680">
        <f t="shared" si="175"/>
        <v>0.82108047596345501</v>
      </c>
      <c r="U358" s="681">
        <f t="shared" si="187"/>
        <v>0.93963839818113248</v>
      </c>
      <c r="V358" s="682">
        <f t="shared" si="188"/>
        <v>-0.43216897848568059</v>
      </c>
      <c r="W358" s="683">
        <f t="shared" si="176"/>
        <v>-18.694458579373141</v>
      </c>
      <c r="X358" s="684">
        <f t="shared" si="177"/>
        <v>-168.53689898642884</v>
      </c>
      <c r="Y358" s="687">
        <f t="shared" si="178"/>
        <v>11.463101013571162</v>
      </c>
      <c r="AA358" s="170">
        <f t="shared" si="179"/>
        <v>28348</v>
      </c>
      <c r="AB358" s="170">
        <f t="shared" si="180"/>
        <v>803609104</v>
      </c>
      <c r="AD358" s="686">
        <f t="shared" si="181"/>
        <v>24.316828562532443</v>
      </c>
      <c r="AE358" s="687">
        <f t="shared" si="182"/>
        <v>-47.844478874274316</v>
      </c>
      <c r="AG358" s="686">
        <f t="shared" si="183"/>
        <v>11.573624417499605</v>
      </c>
      <c r="AH358" s="687">
        <f t="shared" si="184"/>
        <v>-71.169503048147192</v>
      </c>
      <c r="AJ358" s="170">
        <f t="shared" si="185"/>
        <v>0</v>
      </c>
      <c r="AK358" s="170">
        <f t="shared" si="197"/>
        <v>0</v>
      </c>
      <c r="AM358" s="170" t="str">
        <f t="shared" si="189"/>
        <v>0.195835171550535+0.594406366625428i</v>
      </c>
      <c r="AN358" s="170" t="str">
        <f t="shared" si="190"/>
        <v>0.636527248495453i</v>
      </c>
      <c r="AO358" s="170" t="str">
        <f t="shared" si="191"/>
        <v>0.933827056155749-0.307661882524946i</v>
      </c>
      <c r="AP358" s="170" t="str">
        <f t="shared" si="192"/>
        <v>0.134027471408244-0.0990677277709047i</v>
      </c>
      <c r="AQ358" s="170" t="str">
        <f t="shared" si="193"/>
        <v>0.865972528591756+0.0990677277709047i</v>
      </c>
      <c r="AR358" s="170" t="str">
        <f t="shared" si="194"/>
        <v>0.949497741967553-0.108623057561997i</v>
      </c>
    </row>
    <row r="359" spans="7:44">
      <c r="G359" s="688">
        <v>28512</v>
      </c>
      <c r="H359" s="676">
        <f t="shared" si="186"/>
        <v>28.512</v>
      </c>
      <c r="I359" s="677">
        <f t="shared" si="166"/>
        <v>148.89208578066925</v>
      </c>
      <c r="J359" s="678">
        <f t="shared" si="167"/>
        <v>1.5640800025996595</v>
      </c>
      <c r="K359" s="678">
        <f t="shared" si="168"/>
        <v>1.0007763577901603</v>
      </c>
      <c r="L359" s="679">
        <f t="shared" si="169"/>
        <v>3.9391771894842206E-2</v>
      </c>
      <c r="M359" s="678">
        <f t="shared" si="170"/>
        <v>1.01140035548549</v>
      </c>
      <c r="N359" s="679">
        <f t="shared" si="171"/>
        <v>-0.1502870055580165</v>
      </c>
      <c r="O359" s="677">
        <f t="shared" si="172"/>
        <v>537438.53782173048</v>
      </c>
      <c r="P359" s="680">
        <f t="shared" si="173"/>
        <v>1.570794466117015</v>
      </c>
      <c r="Q359" s="689">
        <f t="shared" si="195"/>
        <v>72.023706561271439</v>
      </c>
      <c r="R359" s="690">
        <f t="shared" si="196"/>
        <v>1.5569115632971791</v>
      </c>
      <c r="S359" s="677">
        <f t="shared" si="174"/>
        <v>1.4720540815593122</v>
      </c>
      <c r="T359" s="680">
        <f t="shared" si="175"/>
        <v>0.82395681208726146</v>
      </c>
      <c r="U359" s="681">
        <f t="shared" si="187"/>
        <v>0.93900116648145671</v>
      </c>
      <c r="V359" s="682">
        <f t="shared" si="188"/>
        <v>-0.43452408191076081</v>
      </c>
      <c r="W359" s="683">
        <f t="shared" si="176"/>
        <v>-18.776180330918699</v>
      </c>
      <c r="X359" s="684">
        <f t="shared" si="177"/>
        <v>-168.87008758265475</v>
      </c>
      <c r="Y359" s="687">
        <f t="shared" si="178"/>
        <v>11.129912417345253</v>
      </c>
      <c r="AA359" s="170">
        <f t="shared" si="179"/>
        <v>28512</v>
      </c>
      <c r="AB359" s="170">
        <f t="shared" si="180"/>
        <v>812934144</v>
      </c>
      <c r="AD359" s="686">
        <f t="shared" si="181"/>
        <v>24.289908042664742</v>
      </c>
      <c r="AE359" s="687">
        <f t="shared" si="182"/>
        <v>-48.00467962747414</v>
      </c>
      <c r="AG359" s="686">
        <f t="shared" si="183"/>
        <v>11.530608148799523</v>
      </c>
      <c r="AH359" s="687">
        <f t="shared" si="184"/>
        <v>-71.07261591771713</v>
      </c>
      <c r="AJ359" s="170">
        <f t="shared" si="185"/>
        <v>0</v>
      </c>
      <c r="AK359" s="170">
        <f t="shared" si="197"/>
        <v>0</v>
      </c>
      <c r="AM359" s="170" t="str">
        <f t="shared" si="189"/>
        <v>0.198029498662292+0.597363637145872i</v>
      </c>
      <c r="AN359" s="170" t="str">
        <f t="shared" si="190"/>
        <v>0.640209711764581i</v>
      </c>
      <c r="AO359" s="170" t="str">
        <f t="shared" si="191"/>
        <v>0.933074938053323-0.309319735429305i</v>
      </c>
      <c r="AP359" s="170" t="str">
        <f t="shared" si="192"/>
        <v>0.133661750222951-0.0995606061909787i</v>
      </c>
      <c r="AQ359" s="170" t="str">
        <f t="shared" si="193"/>
        <v>0.866338249777049+0.0995606061909787i</v>
      </c>
      <c r="AR359" s="170" t="str">
        <f t="shared" si="194"/>
        <v>0.948985078493203-0.109058476530722i</v>
      </c>
    </row>
    <row r="360" spans="7:44">
      <c r="G360" s="688">
        <v>28676</v>
      </c>
      <c r="H360" s="676">
        <f t="shared" si="186"/>
        <v>28.675999999999998</v>
      </c>
      <c r="I360" s="677">
        <f t="shared" si="166"/>
        <v>149.74846918936345</v>
      </c>
      <c r="J360" s="678">
        <f t="shared" si="167"/>
        <v>1.5641184125706304</v>
      </c>
      <c r="K360" s="678">
        <f t="shared" si="168"/>
        <v>1.0007853111260681</v>
      </c>
      <c r="L360" s="679">
        <f t="shared" si="169"/>
        <v>3.9618115610459033E-2</v>
      </c>
      <c r="M360" s="678">
        <f t="shared" si="170"/>
        <v>1.0115311318119531</v>
      </c>
      <c r="N360" s="679">
        <f t="shared" si="171"/>
        <v>-0.15113838335642235</v>
      </c>
      <c r="O360" s="677">
        <f t="shared" si="172"/>
        <v>540529.86498932505</v>
      </c>
      <c r="P360" s="680">
        <f t="shared" si="173"/>
        <v>1.5707944767583588</v>
      </c>
      <c r="Q360" s="689">
        <f t="shared" si="195"/>
        <v>72.437904700931625</v>
      </c>
      <c r="R360" s="690">
        <f t="shared" si="196"/>
        <v>1.5569909610886119</v>
      </c>
      <c r="S360" s="677">
        <f t="shared" si="174"/>
        <v>1.4766198760780587</v>
      </c>
      <c r="T360" s="680">
        <f t="shared" si="175"/>
        <v>0.82681538414224309</v>
      </c>
      <c r="U360" s="681">
        <f t="shared" si="187"/>
        <v>0.93836148410575171</v>
      </c>
      <c r="V360" s="682">
        <f t="shared" si="188"/>
        <v>-0.43687691556305408</v>
      </c>
      <c r="W360" s="683">
        <f t="shared" si="176"/>
        <v>-18.857622742983921</v>
      </c>
      <c r="X360" s="684">
        <f t="shared" si="177"/>
        <v>-169.20214313096724</v>
      </c>
      <c r="Y360" s="687">
        <f t="shared" si="178"/>
        <v>10.797856869032756</v>
      </c>
      <c r="AA360" s="170">
        <f t="shared" si="179"/>
        <v>28676</v>
      </c>
      <c r="AB360" s="170">
        <f t="shared" si="180"/>
        <v>822312976</v>
      </c>
      <c r="AD360" s="686">
        <f t="shared" si="181"/>
        <v>24.262999610192736</v>
      </c>
      <c r="AE360" s="687">
        <f t="shared" si="182"/>
        <v>-48.163915193192921</v>
      </c>
      <c r="AG360" s="686">
        <f t="shared" si="183"/>
        <v>11.487912501522288</v>
      </c>
      <c r="AH360" s="687">
        <f t="shared" si="184"/>
        <v>-70.975821023657247</v>
      </c>
      <c r="AJ360" s="170">
        <f t="shared" si="185"/>
        <v>0</v>
      </c>
      <c r="AK360" s="170">
        <f t="shared" si="197"/>
        <v>0</v>
      </c>
      <c r="AM360" s="170" t="str">
        <f t="shared" si="189"/>
        <v>0.200234700911396+0.600312807104526i</v>
      </c>
      <c r="AN360" s="170" t="str">
        <f t="shared" si="190"/>
        <v>0.64389217503371i</v>
      </c>
      <c r="AO360" s="170" t="str">
        <f t="shared" si="191"/>
        <v>0.932318842161884-0.310975515273055i</v>
      </c>
      <c r="AP360" s="170" t="str">
        <f t="shared" si="192"/>
        <v>0.133294216514767-0.100052134517421i</v>
      </c>
      <c r="AQ360" s="170" t="str">
        <f t="shared" si="193"/>
        <v>0.866705783485233+0.100052134517421i</v>
      </c>
      <c r="AR360" s="170" t="str">
        <f t="shared" si="194"/>
        <v>0.948470866840605-0.109491059784313i</v>
      </c>
    </row>
    <row r="361" spans="7:44">
      <c r="G361" s="688">
        <v>28840</v>
      </c>
      <c r="H361" s="676">
        <f t="shared" si="186"/>
        <v>28.84</v>
      </c>
      <c r="I361" s="677">
        <f t="shared" si="166"/>
        <v>150.60485281647294</v>
      </c>
      <c r="J361" s="678">
        <f t="shared" si="167"/>
        <v>1.5641563857208023</v>
      </c>
      <c r="K361" s="678">
        <f t="shared" si="168"/>
        <v>1.0007943157327672</v>
      </c>
      <c r="L361" s="679">
        <f t="shared" si="169"/>
        <v>3.9844455264634406E-2</v>
      </c>
      <c r="M361" s="678">
        <f t="shared" si="170"/>
        <v>1.0116626411509753</v>
      </c>
      <c r="N361" s="679">
        <f t="shared" si="171"/>
        <v>-0.15198954042487606</v>
      </c>
      <c r="O361" s="677">
        <f t="shared" si="172"/>
        <v>543621.19215691974</v>
      </c>
      <c r="P361" s="680">
        <f t="shared" si="173"/>
        <v>1.5707944872786777</v>
      </c>
      <c r="Q361" s="689">
        <f t="shared" si="195"/>
        <v>72.852103292048511</v>
      </c>
      <c r="R361" s="690">
        <f t="shared" si="196"/>
        <v>1.5570694560526999</v>
      </c>
      <c r="S361" s="677">
        <f t="shared" si="174"/>
        <v>1.4811976622540772</v>
      </c>
      <c r="T361" s="680">
        <f t="shared" si="175"/>
        <v>0.8296563098995976</v>
      </c>
      <c r="U361" s="681">
        <f t="shared" si="187"/>
        <v>0.93771936815682588</v>
      </c>
      <c r="V361" s="682">
        <f t="shared" si="188"/>
        <v>-0.43922747263998901</v>
      </c>
      <c r="W361" s="683">
        <f t="shared" si="176"/>
        <v>-18.938788191597109</v>
      </c>
      <c r="X361" s="684">
        <f t="shared" si="177"/>
        <v>-169.53307146182348</v>
      </c>
      <c r="Y361" s="687">
        <f t="shared" si="178"/>
        <v>10.466928538176518</v>
      </c>
      <c r="AA361" s="170">
        <f t="shared" si="179"/>
        <v>28840</v>
      </c>
      <c r="AB361" s="170">
        <f t="shared" si="180"/>
        <v>831745600</v>
      </c>
      <c r="AD361" s="686">
        <f t="shared" si="181"/>
        <v>24.236104064240692</v>
      </c>
      <c r="AE361" s="687">
        <f t="shared" si="182"/>
        <v>-48.322191421794777</v>
      </c>
      <c r="AG361" s="686">
        <f t="shared" si="183"/>
        <v>11.445534087393252</v>
      </c>
      <c r="AH361" s="687">
        <f t="shared" si="184"/>
        <v>-70.879119125577873</v>
      </c>
      <c r="AJ361" s="170">
        <f t="shared" si="185"/>
        <v>0</v>
      </c>
      <c r="AK361" s="170">
        <f t="shared" si="197"/>
        <v>0</v>
      </c>
      <c r="AM361" s="170" t="str">
        <f t="shared" si="189"/>
        <v>0.202450748394156+0.603253836509109i</v>
      </c>
      <c r="AN361" s="170" t="str">
        <f t="shared" si="190"/>
        <v>0.647574638302838i</v>
      </c>
      <c r="AO361" s="170" t="str">
        <f t="shared" si="191"/>
        <v>0.931558774584062-0.312629211243878i</v>
      </c>
      <c r="AP361" s="170" t="str">
        <f t="shared" si="192"/>
        <v>0.132924875267641-0.100542306084851i</v>
      </c>
      <c r="AQ361" s="170" t="str">
        <f t="shared" si="193"/>
        <v>0.867075124732359+0.100542306084851i</v>
      </c>
      <c r="AR361" s="170" t="str">
        <f t="shared" si="194"/>
        <v>0.94795512578274-0.109920803506583i</v>
      </c>
    </row>
    <row r="362" spans="7:44">
      <c r="G362" s="688">
        <v>29008</v>
      </c>
      <c r="H362" s="676">
        <f t="shared" si="186"/>
        <v>29.007999999999999</v>
      </c>
      <c r="I362" s="677">
        <f t="shared" si="166"/>
        <v>151.48212407172051</v>
      </c>
      <c r="J362" s="678">
        <f t="shared" si="167"/>
        <v>1.5641948398575001</v>
      </c>
      <c r="K362" s="678">
        <f t="shared" si="168"/>
        <v>1.0008035931243751</v>
      </c>
      <c r="L362" s="679">
        <f t="shared" si="169"/>
        <v>4.0076311162814605E-2</v>
      </c>
      <c r="M362" s="678">
        <f t="shared" si="170"/>
        <v>1.0117981177841884</v>
      </c>
      <c r="N362" s="679">
        <f t="shared" si="171"/>
        <v>-0.15286122735181382</v>
      </c>
      <c r="O362" s="677">
        <f t="shared" si="172"/>
        <v>546787.91754811443</v>
      </c>
      <c r="P362" s="680">
        <f t="shared" si="173"/>
        <v>1.5707944979322463</v>
      </c>
      <c r="Q362" s="689">
        <f t="shared" si="195"/>
        <v>73.27640474793192</v>
      </c>
      <c r="R362" s="690">
        <f t="shared" si="196"/>
        <v>1.5571489454045149</v>
      </c>
      <c r="S362" s="677">
        <f t="shared" si="174"/>
        <v>1.4858994198384077</v>
      </c>
      <c r="T362" s="680">
        <f t="shared" si="175"/>
        <v>0.83254835216793921</v>
      </c>
      <c r="U362" s="681">
        <f t="shared" si="187"/>
        <v>0.93705908539188321</v>
      </c>
      <c r="V362" s="682">
        <f t="shared" si="188"/>
        <v>-0.44163299281191692</v>
      </c>
      <c r="W362" s="683">
        <f t="shared" si="176"/>
        <v>-19.021648548467066</v>
      </c>
      <c r="X362" s="684">
        <f t="shared" si="177"/>
        <v>-169.87090851506019</v>
      </c>
      <c r="Y362" s="687">
        <f t="shared" si="178"/>
        <v>10.129091484939806</v>
      </c>
      <c r="AA362" s="170">
        <f t="shared" si="179"/>
        <v>29008</v>
      </c>
      <c r="AB362" s="170">
        <f t="shared" si="180"/>
        <v>841464064</v>
      </c>
      <c r="AD362" s="686">
        <f t="shared" si="181"/>
        <v>24.20856670967202</v>
      </c>
      <c r="AE362" s="687">
        <f t="shared" si="182"/>
        <v>-48.483339444157636</v>
      </c>
      <c r="AG362" s="686">
        <f t="shared" si="183"/>
        <v>11.402447503645806</v>
      </c>
      <c r="AH362" s="687">
        <f t="shared" si="184"/>
        <v>-70.780155849366665</v>
      </c>
      <c r="AJ362" s="170">
        <f t="shared" si="185"/>
        <v>0</v>
      </c>
      <c r="AK362" s="170">
        <f t="shared" si="197"/>
        <v>0</v>
      </c>
      <c r="AM362" s="170" t="str">
        <f t="shared" si="189"/>
        <v>0.204732059638473+0.606258115849293i</v>
      </c>
      <c r="AN362" s="170" t="str">
        <f t="shared" si="190"/>
        <v>0.651346917749263i</v>
      </c>
      <c r="AO362" s="170" t="str">
        <f t="shared" si="191"/>
        <v>0.930776057011562-0.314321069248208i</v>
      </c>
      <c r="AP362" s="170" t="str">
        <f t="shared" si="192"/>
        <v>0.132544656726921-0.101043019308216i</v>
      </c>
      <c r="AQ362" s="170" t="str">
        <f t="shared" si="193"/>
        <v>0.867455343273079+0.101043019308216i</v>
      </c>
      <c r="AR362" s="170" t="str">
        <f t="shared" si="194"/>
        <v>0.947425239461298-0.110358080685478i</v>
      </c>
    </row>
    <row r="363" spans="7:44">
      <c r="G363" s="688">
        <v>29176</v>
      </c>
      <c r="H363" s="676">
        <f t="shared" si="186"/>
        <v>29.175999999999998</v>
      </c>
      <c r="I363" s="677">
        <f t="shared" si="166"/>
        <v>152.35939554838828</v>
      </c>
      <c r="J363" s="678">
        <f t="shared" si="167"/>
        <v>1.5642328511634433</v>
      </c>
      <c r="K363" s="678">
        <f t="shared" si="168"/>
        <v>1.0008129243153405</v>
      </c>
      <c r="L363" s="679">
        <f t="shared" si="169"/>
        <v>4.0308162749989614E-2</v>
      </c>
      <c r="M363" s="678">
        <f t="shared" si="170"/>
        <v>1.0119343630139659</v>
      </c>
      <c r="N363" s="679">
        <f t="shared" si="171"/>
        <v>-0.15373268021568942</v>
      </c>
      <c r="O363" s="677">
        <f t="shared" si="172"/>
        <v>549954.64293930912</v>
      </c>
      <c r="P363" s="680">
        <f t="shared" si="173"/>
        <v>1.5707945084631254</v>
      </c>
      <c r="Q363" s="689">
        <f t="shared" si="195"/>
        <v>73.700706661485398</v>
      </c>
      <c r="R363" s="690">
        <f t="shared" si="196"/>
        <v>1.5572275195014433</v>
      </c>
      <c r="S363" s="677">
        <f t="shared" si="174"/>
        <v>1.4906135268876777</v>
      </c>
      <c r="T363" s="680">
        <f t="shared" si="175"/>
        <v>0.8354221260164495</v>
      </c>
      <c r="U363" s="681">
        <f t="shared" si="187"/>
        <v>0.93639628522947937</v>
      </c>
      <c r="V363" s="682">
        <f t="shared" si="188"/>
        <v>-0.44403610981742453</v>
      </c>
      <c r="W363" s="683">
        <f t="shared" si="176"/>
        <v>-19.104223187241917</v>
      </c>
      <c r="X363" s="684">
        <f t="shared" si="177"/>
        <v>-170.20757507070365</v>
      </c>
      <c r="Y363" s="687">
        <f t="shared" si="178"/>
        <v>9.7924249292963452</v>
      </c>
      <c r="AA363" s="170">
        <f t="shared" si="179"/>
        <v>29176</v>
      </c>
      <c r="AB363" s="170">
        <f t="shared" si="180"/>
        <v>851238976</v>
      </c>
      <c r="AD363" s="686">
        <f t="shared" si="181"/>
        <v>24.181044524264458</v>
      </c>
      <c r="AE363" s="687">
        <f t="shared" si="182"/>
        <v>-48.643493196377207</v>
      </c>
      <c r="AG363" s="686">
        <f t="shared" si="183"/>
        <v>11.359686796093659</v>
      </c>
      <c r="AH363" s="687">
        <f t="shared" si="184"/>
        <v>-70.681291728292436</v>
      </c>
      <c r="AJ363" s="170">
        <f t="shared" si="185"/>
        <v>0</v>
      </c>
      <c r="AK363" s="170">
        <f t="shared" si="197"/>
        <v>0</v>
      </c>
      <c r="AM363" s="170" t="str">
        <f t="shared" si="189"/>
        <v>0.207024687605501+0.609253768090807i</v>
      </c>
      <c r="AN363" s="170" t="str">
        <f t="shared" si="190"/>
        <v>0.655119197195687i</v>
      </c>
      <c r="AO363" s="170" t="str">
        <f t="shared" si="191"/>
        <v>0.929989184714458-0.316010717578868i</v>
      </c>
      <c r="AP363" s="170" t="str">
        <f t="shared" si="192"/>
        <v>0.13216255206575-0.101542294681801i</v>
      </c>
      <c r="AQ363" s="170" t="str">
        <f t="shared" si="193"/>
        <v>0.86783744793425+0.101542294681801i</v>
      </c>
      <c r="AR363" s="170" t="str">
        <f t="shared" si="194"/>
        <v>0.946893788028264-0.11079237048966i</v>
      </c>
    </row>
    <row r="364" spans="7:44">
      <c r="G364" s="688">
        <v>29344</v>
      </c>
      <c r="H364" s="676">
        <f t="shared" si="186"/>
        <v>29.344000000000001</v>
      </c>
      <c r="I364" s="677">
        <f t="shared" si="166"/>
        <v>153.23666724267341</v>
      </c>
      <c r="J364" s="678">
        <f t="shared" si="167"/>
        <v>1.5642704272440682</v>
      </c>
      <c r="K364" s="678">
        <f t="shared" si="168"/>
        <v>1.0008223093041584</v>
      </c>
      <c r="L364" s="679">
        <f t="shared" si="169"/>
        <v>4.0540010001353932E-2</v>
      </c>
      <c r="M364" s="678">
        <f t="shared" si="170"/>
        <v>1.0120713765299021</v>
      </c>
      <c r="N364" s="679">
        <f t="shared" si="171"/>
        <v>-0.1546038977876851</v>
      </c>
      <c r="O364" s="677">
        <f t="shared" si="172"/>
        <v>553121.36833050405</v>
      </c>
      <c r="P364" s="680">
        <f t="shared" si="173"/>
        <v>1.5707945188734218</v>
      </c>
      <c r="Q364" s="689">
        <f t="shared" si="195"/>
        <v>74.125009024849632</v>
      </c>
      <c r="R364" s="690">
        <f t="shared" si="196"/>
        <v>1.5573051940596638</v>
      </c>
      <c r="S364" s="677">
        <f t="shared" si="174"/>
        <v>1.4953398666056352</v>
      </c>
      <c r="T364" s="680">
        <f t="shared" si="175"/>
        <v>0.83827775697743145</v>
      </c>
      <c r="U364" s="681">
        <f t="shared" si="187"/>
        <v>0.93573098605446425</v>
      </c>
      <c r="V364" s="682">
        <f t="shared" si="188"/>
        <v>-0.44643681661437512</v>
      </c>
      <c r="W364" s="683">
        <f t="shared" si="176"/>
        <v>-19.186514535481304</v>
      </c>
      <c r="X364" s="684">
        <f t="shared" si="177"/>
        <v>-170.5430773841648</v>
      </c>
      <c r="Y364" s="687">
        <f t="shared" si="178"/>
        <v>9.4569226158351967</v>
      </c>
      <c r="AA364" s="170">
        <f t="shared" si="179"/>
        <v>29344</v>
      </c>
      <c r="AB364" s="170">
        <f t="shared" si="180"/>
        <v>861070336</v>
      </c>
      <c r="AD364" s="686">
        <f t="shared" si="181"/>
        <v>24.153538315541955</v>
      </c>
      <c r="AE364" s="687">
        <f t="shared" si="182"/>
        <v>-48.802658970574718</v>
      </c>
      <c r="AG364" s="686">
        <f t="shared" si="183"/>
        <v>11.317248499747908</v>
      </c>
      <c r="AH364" s="687">
        <f t="shared" si="184"/>
        <v>-70.582527532614492</v>
      </c>
      <c r="AJ364" s="170">
        <f t="shared" si="185"/>
        <v>0</v>
      </c>
      <c r="AK364" s="170">
        <f t="shared" si="197"/>
        <v>0</v>
      </c>
      <c r="AM364" s="170" t="str">
        <f t="shared" si="189"/>
        <v>0.209328599670974+0.612240750605297i</v>
      </c>
      <c r="AN364" s="170" t="str">
        <f t="shared" si="190"/>
        <v>0.658891476642111i</v>
      </c>
      <c r="AO364" s="170" t="str">
        <f t="shared" si="191"/>
        <v>0.929198164355443-0.317698144674399i</v>
      </c>
      <c r="AP364" s="170" t="str">
        <f t="shared" si="192"/>
        <v>0.131778566721504-0.102040125100883i</v>
      </c>
      <c r="AQ364" s="170" t="str">
        <f t="shared" si="193"/>
        <v>0.868221433278496+0.102040125100883i</v>
      </c>
      <c r="AR364" s="170" t="str">
        <f t="shared" si="194"/>
        <v>0.94636079158858-0.111223669288632i</v>
      </c>
    </row>
    <row r="365" spans="7:44">
      <c r="G365" s="688">
        <v>29512</v>
      </c>
      <c r="H365" s="676">
        <f t="shared" si="186"/>
        <v>29.512</v>
      </c>
      <c r="I365" s="677">
        <f t="shared" si="166"/>
        <v>154.11393915085964</v>
      </c>
      <c r="J365" s="678">
        <f t="shared" si="167"/>
        <v>1.564307575531644</v>
      </c>
      <c r="K365" s="678">
        <f t="shared" si="168"/>
        <v>1.0008317480893152</v>
      </c>
      <c r="L365" s="679">
        <f t="shared" si="169"/>
        <v>4.0771852892104846E-2</v>
      </c>
      <c r="M365" s="678">
        <f t="shared" si="170"/>
        <v>1.012209158020009</v>
      </c>
      <c r="N365" s="679">
        <f t="shared" si="171"/>
        <v>-0.15547487884107533</v>
      </c>
      <c r="O365" s="677">
        <f t="shared" si="172"/>
        <v>556288.09372169885</v>
      </c>
      <c r="P365" s="680">
        <f t="shared" si="173"/>
        <v>1.5707945291651948</v>
      </c>
      <c r="Q365" s="689">
        <f t="shared" si="195"/>
        <v>74.549311830344266</v>
      </c>
      <c r="R365" s="690">
        <f t="shared" si="196"/>
        <v>1.5573819844376</v>
      </c>
      <c r="S365" s="677">
        <f t="shared" si="174"/>
        <v>1.5000783233668264</v>
      </c>
      <c r="T365" s="680">
        <f t="shared" si="175"/>
        <v>0.8411153701867945</v>
      </c>
      <c r="U365" s="681">
        <f t="shared" si="187"/>
        <v>0.93506320624936012</v>
      </c>
      <c r="V365" s="682">
        <f t="shared" si="188"/>
        <v>-0.44883510625159845</v>
      </c>
      <c r="W365" s="683">
        <f t="shared" si="176"/>
        <v>-19.268524980249321</v>
      </c>
      <c r="X365" s="684">
        <f t="shared" si="177"/>
        <v>-170.87742170404817</v>
      </c>
      <c r="Y365" s="687">
        <f t="shared" si="178"/>
        <v>9.1225782959518256</v>
      </c>
      <c r="AA365" s="170">
        <f t="shared" si="179"/>
        <v>29512</v>
      </c>
      <c r="AB365" s="170">
        <f t="shared" si="180"/>
        <v>870958144</v>
      </c>
      <c r="AD365" s="686">
        <f t="shared" si="181"/>
        <v>24.126048874152033</v>
      </c>
      <c r="AE365" s="687">
        <f t="shared" si="182"/>
        <v>-48.960843056654745</v>
      </c>
      <c r="AG365" s="686">
        <f t="shared" si="183"/>
        <v>11.275129206744733</v>
      </c>
      <c r="AH365" s="687">
        <f t="shared" si="184"/>
        <v>-70.483864017578114</v>
      </c>
      <c r="AJ365" s="170">
        <f t="shared" si="185"/>
        <v>0</v>
      </c>
      <c r="AK365" s="170">
        <f t="shared" si="197"/>
        <v>0</v>
      </c>
      <c r="AM365" s="170" t="str">
        <f t="shared" si="189"/>
        <v>0.211643763050048+0.615219020887774i</v>
      </c>
      <c r="AN365" s="170" t="str">
        <f t="shared" si="190"/>
        <v>0.662663756088535i</v>
      </c>
      <c r="AO365" s="170" t="str">
        <f t="shared" si="191"/>
        <v>0.928403002631666-0.319383338994281i</v>
      </c>
      <c r="AP365" s="170" t="str">
        <f t="shared" si="192"/>
        <v>0.131392706158325-0.102536503481296i</v>
      </c>
      <c r="AQ365" s="170" t="str">
        <f t="shared" si="193"/>
        <v>0.868607293841675+0.102536503481296i</v>
      </c>
      <c r="AR365" s="170" t="str">
        <f t="shared" si="194"/>
        <v>0.945826270219009-0.11165197360948i</v>
      </c>
    </row>
    <row r="366" spans="7:44">
      <c r="G366" s="688">
        <v>29684</v>
      </c>
      <c r="H366" s="676">
        <f t="shared" si="186"/>
        <v>29.684000000000001</v>
      </c>
      <c r="I366" s="677">
        <f t="shared" si="166"/>
        <v>155.01209870324001</v>
      </c>
      <c r="J366" s="678">
        <f t="shared" si="167"/>
        <v>1.5643451726938244</v>
      </c>
      <c r="K366" s="678">
        <f t="shared" si="168"/>
        <v>1.000841467338748</v>
      </c>
      <c r="L366" s="679">
        <f t="shared" si="169"/>
        <v>4.1009211308201038E-2</v>
      </c>
      <c r="M366" s="678">
        <f t="shared" si="170"/>
        <v>1.0123510153138431</v>
      </c>
      <c r="N366" s="679">
        <f t="shared" si="171"/>
        <v>-0.15636635122709103</v>
      </c>
      <c r="O366" s="677">
        <f t="shared" si="172"/>
        <v>559530.21733649366</v>
      </c>
      <c r="P366" s="680">
        <f t="shared" si="173"/>
        <v>1.5707945395813216</v>
      </c>
      <c r="Q366" s="689">
        <f t="shared" si="195"/>
        <v>74.983717533797417</v>
      </c>
      <c r="R366" s="690">
        <f t="shared" si="196"/>
        <v>1.5574597028215531</v>
      </c>
      <c r="S366" s="677">
        <f t="shared" si="174"/>
        <v>1.5049420342383197</v>
      </c>
      <c r="T366" s="680">
        <f t="shared" si="175"/>
        <v>0.84400200950065352</v>
      </c>
      <c r="U366" s="681">
        <f t="shared" si="187"/>
        <v>0.93437697618969995</v>
      </c>
      <c r="V366" s="682">
        <f t="shared" si="188"/>
        <v>-0.45128798668793418</v>
      </c>
      <c r="W366" s="683">
        <f t="shared" si="176"/>
        <v>-19.352199490491905</v>
      </c>
      <c r="X366" s="684">
        <f t="shared" si="177"/>
        <v>-171.21853344067145</v>
      </c>
      <c r="Y366" s="687">
        <f t="shared" si="178"/>
        <v>8.7814665593285497</v>
      </c>
      <c r="AA366" s="170">
        <f t="shared" si="179"/>
        <v>29684</v>
      </c>
      <c r="AB366" s="170">
        <f t="shared" si="180"/>
        <v>881139856</v>
      </c>
      <c r="AD366" s="686">
        <f t="shared" si="181"/>
        <v>24.097923101317519</v>
      </c>
      <c r="AE366" s="687">
        <f t="shared" si="182"/>
        <v>-49.121782967908331</v>
      </c>
      <c r="AG366" s="686">
        <f t="shared" si="183"/>
        <v>11.232334060252796</v>
      </c>
      <c r="AH366" s="687">
        <f t="shared" si="184"/>
        <v>-70.382956449322094</v>
      </c>
      <c r="AJ366" s="170">
        <f t="shared" si="185"/>
        <v>0</v>
      </c>
      <c r="AK366" s="170">
        <f t="shared" si="197"/>
        <v>0</v>
      </c>
      <c r="AM366" s="170" t="str">
        <f t="shared" si="189"/>
        <v>0.214025671299332+0.618259132260523i</v>
      </c>
      <c r="AN366" s="170" t="str">
        <f t="shared" si="190"/>
        <v>0.666525851712256i</v>
      </c>
      <c r="AO366" s="170" t="str">
        <f t="shared" si="191"/>
        <v>0.927584625070822-0.32110633180921i</v>
      </c>
      <c r="AP366" s="170" t="str">
        <f t="shared" si="192"/>
        <v>0.130995721450111-0.103043188710087i</v>
      </c>
      <c r="AQ366" s="170" t="str">
        <f t="shared" si="193"/>
        <v>0.869004278549889+0.103043188710087i</v>
      </c>
      <c r="AR366" s="170" t="str">
        <f t="shared" si="194"/>
        <v>0.945277463259776-0.112087369917912i</v>
      </c>
    </row>
    <row r="367" spans="7:44">
      <c r="G367" s="688">
        <v>29856</v>
      </c>
      <c r="H367" s="676">
        <f t="shared" si="186"/>
        <v>29.856000000000002</v>
      </c>
      <c r="I367" s="677">
        <f t="shared" si="166"/>
        <v>155.91025847221272</v>
      </c>
      <c r="J367" s="678">
        <f t="shared" si="167"/>
        <v>1.5643823366804746</v>
      </c>
      <c r="K367" s="678">
        <f t="shared" si="168"/>
        <v>1.0008512429735088</v>
      </c>
      <c r="L367" s="679">
        <f t="shared" si="169"/>
        <v>4.1246565100957887E-2</v>
      </c>
      <c r="M367" s="678">
        <f t="shared" si="170"/>
        <v>1.0124936769205128</v>
      </c>
      <c r="N367" s="679">
        <f t="shared" si="171"/>
        <v>-0.15725757310210003</v>
      </c>
      <c r="O367" s="677">
        <f t="shared" si="172"/>
        <v>562772.34095128858</v>
      </c>
      <c r="P367" s="680">
        <f t="shared" si="173"/>
        <v>1.5707945498774343</v>
      </c>
      <c r="Q367" s="689">
        <f t="shared" si="195"/>
        <v>75.418123684945741</v>
      </c>
      <c r="R367" s="690">
        <f t="shared" si="196"/>
        <v>1.557536525894802</v>
      </c>
      <c r="S367" s="677">
        <f t="shared" si="174"/>
        <v>1.5098182044655242</v>
      </c>
      <c r="T367" s="680">
        <f t="shared" si="175"/>
        <v>0.84687002696921521</v>
      </c>
      <c r="U367" s="681">
        <f t="shared" si="187"/>
        <v>0.9336881849514852</v>
      </c>
      <c r="V367" s="682">
        <f t="shared" si="188"/>
        <v>-0.45373831903733991</v>
      </c>
      <c r="W367" s="683">
        <f t="shared" si="176"/>
        <v>-19.435584499881276</v>
      </c>
      <c r="X367" s="684">
        <f t="shared" si="177"/>
        <v>-171.55844461271727</v>
      </c>
      <c r="Y367" s="687">
        <f t="shared" si="178"/>
        <v>8.4415553872827331</v>
      </c>
      <c r="AA367" s="170">
        <f t="shared" si="179"/>
        <v>29856</v>
      </c>
      <c r="AB367" s="170">
        <f t="shared" si="180"/>
        <v>891380736</v>
      </c>
      <c r="AD367" s="686">
        <f t="shared" si="181"/>
        <v>24.069816527867339</v>
      </c>
      <c r="AE367" s="687">
        <f t="shared" si="182"/>
        <v>-49.281707216666845</v>
      </c>
      <c r="AG367" s="686">
        <f t="shared" si="183"/>
        <v>11.189866237293007</v>
      </c>
      <c r="AH367" s="687">
        <f t="shared" si="184"/>
        <v>-70.282155968237888</v>
      </c>
      <c r="AJ367" s="170">
        <f t="shared" si="185"/>
        <v>0</v>
      </c>
      <c r="AK367" s="170">
        <f t="shared" si="197"/>
        <v>0</v>
      </c>
      <c r="AM367" s="170" t="str">
        <f t="shared" si="189"/>
        <v>0.216419302956265+0.621290021825922i</v>
      </c>
      <c r="AN367" s="170" t="str">
        <f t="shared" si="190"/>
        <v>0.670387947335976i</v>
      </c>
      <c r="AO367" s="170" t="str">
        <f t="shared" si="191"/>
        <v>0.926761920906899-0.322826959846584i</v>
      </c>
      <c r="AP367" s="170" t="str">
        <f t="shared" si="192"/>
        <v>0.130596782840623-0.103548336970987i</v>
      </c>
      <c r="AQ367" s="170" t="str">
        <f t="shared" si="193"/>
        <v>0.869403217159377+0.103548336970987i</v>
      </c>
      <c r="AR367" s="170" t="str">
        <f t="shared" si="194"/>
        <v>0.944727100383545-0.112519620591887i</v>
      </c>
    </row>
    <row r="368" spans="7:44">
      <c r="G368" s="688">
        <v>30028</v>
      </c>
      <c r="H368" s="676">
        <f t="shared" si="186"/>
        <v>30.027999999999999</v>
      </c>
      <c r="I368" s="677">
        <f t="shared" si="166"/>
        <v>156.80841845405587</v>
      </c>
      <c r="J368" s="678">
        <f t="shared" si="167"/>
        <v>1.5644190749348588</v>
      </c>
      <c r="K368" s="678">
        <f t="shared" si="168"/>
        <v>1.0008610749919455</v>
      </c>
      <c r="L368" s="679">
        <f t="shared" si="169"/>
        <v>4.1483914243767746E-2</v>
      </c>
      <c r="M368" s="678">
        <f t="shared" si="170"/>
        <v>1.01263714250008</v>
      </c>
      <c r="N368" s="679">
        <f t="shared" si="171"/>
        <v>-0.15814854315652677</v>
      </c>
      <c r="O368" s="677">
        <f t="shared" si="172"/>
        <v>566014.46456608339</v>
      </c>
      <c r="P368" s="680">
        <f t="shared" si="173"/>
        <v>1.5707945600555948</v>
      </c>
      <c r="Q368" s="689">
        <f t="shared" si="195"/>
        <v>75.852530276097397</v>
      </c>
      <c r="R368" s="690">
        <f t="shared" si="196"/>
        <v>1.557612469038735</v>
      </c>
      <c r="S368" s="677">
        <f t="shared" si="174"/>
        <v>1.5147067137203201</v>
      </c>
      <c r="T368" s="680">
        <f t="shared" si="175"/>
        <v>0.84971955548072597</v>
      </c>
      <c r="U368" s="681">
        <f t="shared" si="187"/>
        <v>0.93299685224679041</v>
      </c>
      <c r="V368" s="682">
        <f t="shared" si="188"/>
        <v>-0.4561860961357358</v>
      </c>
      <c r="W368" s="683">
        <f t="shared" si="176"/>
        <v>-19.518682444948947</v>
      </c>
      <c r="X368" s="684">
        <f t="shared" si="177"/>
        <v>-171.8971618954383</v>
      </c>
      <c r="Y368" s="687">
        <f t="shared" si="178"/>
        <v>8.1028381045616982</v>
      </c>
      <c r="AA368" s="170">
        <f t="shared" si="179"/>
        <v>30028</v>
      </c>
      <c r="AB368" s="170">
        <f t="shared" si="180"/>
        <v>901680784</v>
      </c>
      <c r="AD368" s="686">
        <f t="shared" si="181"/>
        <v>24.04172994893699</v>
      </c>
      <c r="AE368" s="687">
        <f t="shared" si="182"/>
        <v>-49.440622535695525</v>
      </c>
      <c r="AG368" s="686">
        <f t="shared" si="183"/>
        <v>11.147722258488951</v>
      </c>
      <c r="AH368" s="687">
        <f t="shared" si="184"/>
        <v>-70.181463337756014</v>
      </c>
      <c r="AJ368" s="170">
        <f t="shared" si="185"/>
        <v>0</v>
      </c>
      <c r="AK368" s="170">
        <f t="shared" si="197"/>
        <v>0</v>
      </c>
      <c r="AM368" s="170" t="str">
        <f t="shared" si="189"/>
        <v>0.218824622318003+0.624311644375939i</v>
      </c>
      <c r="AN368" s="170" t="str">
        <f t="shared" si="190"/>
        <v>0.674250042959696i</v>
      </c>
      <c r="AO368" s="170" t="str">
        <f t="shared" si="191"/>
        <v>0.92593489743872-0.324545210790715i</v>
      </c>
      <c r="AP368" s="170" t="str">
        <f t="shared" si="192"/>
        <v>0.130195896280333-0.104051940729323i</v>
      </c>
      <c r="AQ368" s="170" t="str">
        <f t="shared" si="193"/>
        <v>0.869804103719667+0.104051940729323i</v>
      </c>
      <c r="AR368" s="170" t="str">
        <f t="shared" si="194"/>
        <v>0.944175203034873-0.112948722412494i</v>
      </c>
    </row>
    <row r="369" spans="7:44">
      <c r="G369" s="688">
        <v>30200</v>
      </c>
      <c r="H369" s="676">
        <f t="shared" si="186"/>
        <v>30.2</v>
      </c>
      <c r="I369" s="677">
        <f t="shared" si="166"/>
        <v>157.70657864513259</v>
      </c>
      <c r="J369" s="678">
        <f t="shared" si="167"/>
        <v>1.5644553947306852</v>
      </c>
      <c r="K369" s="678">
        <f t="shared" si="168"/>
        <v>1.0008709633923967</v>
      </c>
      <c r="L369" s="679">
        <f t="shared" si="169"/>
        <v>4.1721258710026105E-2</v>
      </c>
      <c r="M369" s="678">
        <f t="shared" si="170"/>
        <v>1.0127814117108844</v>
      </c>
      <c r="N369" s="679">
        <f t="shared" si="171"/>
        <v>-0.15903926008313468</v>
      </c>
      <c r="O369" s="677">
        <f t="shared" si="172"/>
        <v>569256.58818087843</v>
      </c>
      <c r="P369" s="680">
        <f t="shared" si="173"/>
        <v>1.5707945701178185</v>
      </c>
      <c r="Q369" s="689">
        <f t="shared" si="195"/>
        <v>76.286937299735769</v>
      </c>
      <c r="R369" s="690">
        <f t="shared" si="196"/>
        <v>1.5576875472844318</v>
      </c>
      <c r="S369" s="677">
        <f t="shared" si="174"/>
        <v>1.5196074429204105</v>
      </c>
      <c r="T369" s="680">
        <f t="shared" si="175"/>
        <v>0.85255072741667159</v>
      </c>
      <c r="U369" s="681">
        <f t="shared" si="187"/>
        <v>0.93230299778015924</v>
      </c>
      <c r="V369" s="682">
        <f t="shared" si="188"/>
        <v>-0.45863131091838211</v>
      </c>
      <c r="W369" s="683">
        <f t="shared" si="176"/>
        <v>-19.6014957222006</v>
      </c>
      <c r="X369" s="684">
        <f t="shared" si="177"/>
        <v>-172.23469195123121</v>
      </c>
      <c r="Y369" s="687">
        <f t="shared" si="178"/>
        <v>7.7653080487687873</v>
      </c>
      <c r="AA369" s="170">
        <f t="shared" si="179"/>
        <v>30200</v>
      </c>
      <c r="AB369" s="170">
        <f t="shared" si="180"/>
        <v>912040000</v>
      </c>
      <c r="AD369" s="686">
        <f t="shared" si="181"/>
        <v>24.013664142219355</v>
      </c>
      <c r="AE369" s="687">
        <f t="shared" si="182"/>
        <v>-49.598535648792819</v>
      </c>
      <c r="AG369" s="686">
        <f t="shared" si="183"/>
        <v>11.105898701715875</v>
      </c>
      <c r="AH369" s="687">
        <f t="shared" si="184"/>
        <v>-70.080879306034177</v>
      </c>
      <c r="AJ369" s="170">
        <f t="shared" si="185"/>
        <v>0</v>
      </c>
      <c r="AK369" s="170">
        <f t="shared" si="197"/>
        <v>0</v>
      </c>
      <c r="AM369" s="170" t="str">
        <f t="shared" si="189"/>
        <v>0.221241593507368+0.627323954840764i</v>
      </c>
      <c r="AN369" s="170" t="str">
        <f t="shared" si="190"/>
        <v>0.678112138583416i</v>
      </c>
      <c r="AO369" s="170" t="str">
        <f t="shared" si="191"/>
        <v>0.925103562002667-0.326261072349397i</v>
      </c>
      <c r="AP369" s="170" t="str">
        <f t="shared" si="192"/>
        <v>0.129793067748772-0.104553992473461i</v>
      </c>
      <c r="AQ369" s="170" t="str">
        <f t="shared" si="193"/>
        <v>0.870206932251228+0.104553992473461i</v>
      </c>
      <c r="AR369" s="170" t="str">
        <f t="shared" si="194"/>
        <v>0.943621792621428-0.113374672330295i</v>
      </c>
    </row>
    <row r="370" spans="7:44">
      <c r="G370" s="688">
        <v>30375.75</v>
      </c>
      <c r="H370" s="676">
        <f t="shared" si="186"/>
        <v>30.37575</v>
      </c>
      <c r="I370" s="677">
        <f t="shared" si="166"/>
        <v>158.62432102954742</v>
      </c>
      <c r="J370" s="678">
        <f t="shared" si="167"/>
        <v>1.5644920815350383</v>
      </c>
      <c r="K370" s="678">
        <f t="shared" si="168"/>
        <v>1.0008811256205383</v>
      </c>
      <c r="L370" s="679">
        <f t="shared" si="169"/>
        <v>4.1963772979332931E-2</v>
      </c>
      <c r="M370" s="678">
        <f t="shared" si="170"/>
        <v>1.0129296560724981</v>
      </c>
      <c r="N370" s="679">
        <f t="shared" si="171"/>
        <v>-0.15994913388638096</v>
      </c>
      <c r="O370" s="677">
        <f t="shared" si="172"/>
        <v>572569.39763029828</v>
      </c>
      <c r="P370" s="680">
        <f t="shared" si="173"/>
        <v>1.5707945802817156</v>
      </c>
      <c r="Q370" s="689">
        <f t="shared" si="195"/>
        <v>76.730815845829071</v>
      </c>
      <c r="R370" s="690">
        <f t="shared" si="196"/>
        <v>1.5577633843045073</v>
      </c>
      <c r="S370" s="677">
        <f t="shared" si="174"/>
        <v>1.5246275192919974</v>
      </c>
      <c r="T370" s="680">
        <f t="shared" si="175"/>
        <v>0.85542480141141963</v>
      </c>
      <c r="U370" s="681">
        <f t="shared" si="187"/>
        <v>0.93159143133321098</v>
      </c>
      <c r="V370" s="682">
        <f t="shared" si="188"/>
        <v>-0.46112718310167966</v>
      </c>
      <c r="W370" s="683">
        <f t="shared" si="176"/>
        <v>-19.685822929039357</v>
      </c>
      <c r="X370" s="684">
        <f t="shared" si="177"/>
        <v>-172.57836152877135</v>
      </c>
      <c r="Y370" s="687">
        <f t="shared" si="178"/>
        <v>7.4216384712286469</v>
      </c>
      <c r="AA370" s="170">
        <f t="shared" si="179"/>
        <v>30375.75</v>
      </c>
      <c r="AB370" s="170">
        <f t="shared" si="180"/>
        <v>922686188.0625</v>
      </c>
      <c r="AD370" s="686">
        <f t="shared" si="181"/>
        <v>23.985008683307822</v>
      </c>
      <c r="AE370" s="687">
        <f t="shared" si="182"/>
        <v>-49.758863400050622</v>
      </c>
      <c r="AG370" s="686">
        <f t="shared" si="183"/>
        <v>11.063490769232402</v>
      </c>
      <c r="AH370" s="687">
        <f t="shared" si="184"/>
        <v>-69.978215247375616</v>
      </c>
      <c r="AJ370" s="170">
        <f t="shared" si="185"/>
        <v>0</v>
      </c>
      <c r="AK370" s="170">
        <f t="shared" si="197"/>
        <v>0</v>
      </c>
      <c r="AM370" s="170" t="str">
        <f t="shared" si="189"/>
        <v>0.223723258431716+0.630392275095538i</v>
      </c>
      <c r="AN370" s="170" t="str">
        <f t="shared" si="190"/>
        <v>0.682058436873351i</v>
      </c>
      <c r="AO370" s="170" t="str">
        <f t="shared" si="191"/>
        <v>0.924249655184008-0.328011862821159i</v>
      </c>
      <c r="AP370" s="170" t="str">
        <f t="shared" si="192"/>
        <v>0.129379456928047-0.10506537918259i</v>
      </c>
      <c r="AQ370" s="170" t="str">
        <f t="shared" si="193"/>
        <v>0.870620543071953+0.10506537918259i</v>
      </c>
      <c r="AR370" s="170" t="str">
        <f t="shared" si="194"/>
        <v>0.943054775900521-0.113806650220235i</v>
      </c>
    </row>
    <row r="371" spans="7:44">
      <c r="G371" s="688">
        <v>30551.5</v>
      </c>
      <c r="H371" s="676">
        <f t="shared" si="186"/>
        <v>30.551500000000001</v>
      </c>
      <c r="I371" s="677">
        <f t="shared" si="166"/>
        <v>159.54206362500193</v>
      </c>
      <c r="J371" s="678">
        <f t="shared" si="167"/>
        <v>1.5645283462683912</v>
      </c>
      <c r="K371" s="678">
        <f t="shared" si="168"/>
        <v>1.0008913467124754</v>
      </c>
      <c r="L371" s="679">
        <f t="shared" si="169"/>
        <v>4.2206282309795909E-2</v>
      </c>
      <c r="M371" s="678">
        <f t="shared" si="170"/>
        <v>1.0130787387627056</v>
      </c>
      <c r="N371" s="679">
        <f t="shared" si="171"/>
        <v>-0.16085874065197292</v>
      </c>
      <c r="O371" s="677">
        <f t="shared" si="172"/>
        <v>575882.20707971824</v>
      </c>
      <c r="P371" s="680">
        <f t="shared" si="173"/>
        <v>1.5707945903286753</v>
      </c>
      <c r="Q371" s="689">
        <f t="shared" si="195"/>
        <v>77.174694828144396</v>
      </c>
      <c r="R371" s="690">
        <f t="shared" si="196"/>
        <v>1.5578383489546206</v>
      </c>
      <c r="S371" s="677">
        <f t="shared" si="174"/>
        <v>1.5296601068240203</v>
      </c>
      <c r="T371" s="680">
        <f t="shared" si="175"/>
        <v>0.85827998743324807</v>
      </c>
      <c r="U371" s="681">
        <f t="shared" si="187"/>
        <v>0.9308772735305052</v>
      </c>
      <c r="V371" s="682">
        <f t="shared" si="188"/>
        <v>-0.46362036542570501</v>
      </c>
      <c r="W371" s="683">
        <f t="shared" si="176"/>
        <v>-19.769857855345396</v>
      </c>
      <c r="X371" s="684">
        <f t="shared" si="177"/>
        <v>-172.92080556396886</v>
      </c>
      <c r="Y371" s="687">
        <f t="shared" si="178"/>
        <v>7.0791944360311447</v>
      </c>
      <c r="AA371" s="170">
        <f t="shared" si="179"/>
        <v>30551.5</v>
      </c>
      <c r="AB371" s="170">
        <f t="shared" si="180"/>
        <v>933394152.25</v>
      </c>
      <c r="AD371" s="686">
        <f t="shared" si="181"/>
        <v>23.956376499366002</v>
      </c>
      <c r="AE371" s="687">
        <f t="shared" si="182"/>
        <v>-49.918158926592383</v>
      </c>
      <c r="AG371" s="686">
        <f t="shared" si="183"/>
        <v>11.021410336437803</v>
      </c>
      <c r="AH371" s="687">
        <f t="shared" si="184"/>
        <v>-69.87566610625835</v>
      </c>
      <c r="AJ371" s="170">
        <f t="shared" si="185"/>
        <v>0</v>
      </c>
      <c r="AK371" s="170">
        <f t="shared" si="197"/>
        <v>0</v>
      </c>
      <c r="AM371" s="170" t="str">
        <f t="shared" si="189"/>
        <v>0.226217012507816+0.633450778093824i</v>
      </c>
      <c r="AN371" s="170" t="str">
        <f t="shared" si="190"/>
        <v>0.686004735163286i</v>
      </c>
      <c r="AO371" s="170" t="str">
        <f t="shared" si="191"/>
        <v>0.923391261932102-0.329760132710995i</v>
      </c>
      <c r="AP371" s="170" t="str">
        <f t="shared" si="192"/>
        <v>0.128963831248697-0.105575129682304i</v>
      </c>
      <c r="AQ371" s="170" t="str">
        <f t="shared" si="193"/>
        <v>0.871036168751303+0.105575129682304i</v>
      </c>
      <c r="AR371" s="170" t="str">
        <f t="shared" si="194"/>
        <v>0.94248622448485-0.114235331371392i</v>
      </c>
    </row>
    <row r="372" spans="7:44">
      <c r="G372" s="688">
        <v>30727.25</v>
      </c>
      <c r="H372" s="676">
        <f t="shared" si="186"/>
        <v>30.727250000000002</v>
      </c>
      <c r="I372" s="677">
        <f t="shared" si="166"/>
        <v>160.45980642787507</v>
      </c>
      <c r="J372" s="678">
        <f t="shared" si="167"/>
        <v>1.5645641961726973</v>
      </c>
      <c r="K372" s="678">
        <f t="shared" si="168"/>
        <v>1.0009016266664041</v>
      </c>
      <c r="L372" s="679">
        <f t="shared" si="169"/>
        <v>4.2448786673042464E-2</v>
      </c>
      <c r="M372" s="678">
        <f t="shared" si="170"/>
        <v>1.0132286594114606</v>
      </c>
      <c r="N372" s="679">
        <f t="shared" si="171"/>
        <v>-0.16176807899292792</v>
      </c>
      <c r="O372" s="677">
        <f t="shared" si="172"/>
        <v>579195.01652913832</v>
      </c>
      <c r="P372" s="680">
        <f t="shared" si="173"/>
        <v>1.5707946002607045</v>
      </c>
      <c r="Q372" s="689">
        <f t="shared" si="195"/>
        <v>77.618574239197855</v>
      </c>
      <c r="R372" s="690">
        <f t="shared" si="196"/>
        <v>1.5579124562004574</v>
      </c>
      <c r="S372" s="677">
        <f t="shared" si="174"/>
        <v>1.5347050824371178</v>
      </c>
      <c r="T372" s="680">
        <f t="shared" si="175"/>
        <v>0.86111642497031915</v>
      </c>
      <c r="U372" s="681">
        <f t="shared" si="187"/>
        <v>0.93016054536130388</v>
      </c>
      <c r="V372" s="682">
        <f t="shared" si="188"/>
        <v>-0.46611085067372615</v>
      </c>
      <c r="W372" s="683">
        <f t="shared" si="176"/>
        <v>-19.853602934938021</v>
      </c>
      <c r="X372" s="684">
        <f t="shared" si="177"/>
        <v>-173.26203111515352</v>
      </c>
      <c r="Y372" s="687">
        <f t="shared" si="178"/>
        <v>6.7379688848464809</v>
      </c>
      <c r="AA372" s="170">
        <f t="shared" si="179"/>
        <v>30727.25</v>
      </c>
      <c r="AB372" s="170">
        <f t="shared" si="180"/>
        <v>944163892.5625</v>
      </c>
      <c r="AD372" s="686">
        <f t="shared" si="181"/>
        <v>23.927768365405825</v>
      </c>
      <c r="AE372" s="687">
        <f t="shared" si="182"/>
        <v>-50.076429363145458</v>
      </c>
      <c r="AG372" s="686">
        <f t="shared" si="183"/>
        <v>10.979653929390366</v>
      </c>
      <c r="AH372" s="687">
        <f t="shared" si="184"/>
        <v>-69.773232633261387</v>
      </c>
      <c r="AJ372" s="170">
        <f t="shared" si="185"/>
        <v>0</v>
      </c>
      <c r="AK372" s="170">
        <f t="shared" si="197"/>
        <v>0</v>
      </c>
      <c r="AM372" s="170" t="str">
        <f t="shared" si="189"/>
        <v>0.228722816899813+0.636499416204792i</v>
      </c>
      <c r="AN372" s="170" t="str">
        <f t="shared" si="190"/>
        <v>0.689951033453221i</v>
      </c>
      <c r="AO372" s="170" t="str">
        <f t="shared" si="191"/>
        <v>0.922528390194733-0.331505868981817i</v>
      </c>
      <c r="AP372" s="170" t="str">
        <f t="shared" si="192"/>
        <v>0.128546197183364-0.106083236034132i</v>
      </c>
      <c r="AQ372" s="170" t="str">
        <f t="shared" si="193"/>
        <v>0.871453802816636+0.106083236034132i</v>
      </c>
      <c r="AR372" s="170" t="str">
        <f t="shared" si="194"/>
        <v>0.941916161084222-0.114660713072458i</v>
      </c>
    </row>
    <row r="373" spans="7:44">
      <c r="G373" s="688">
        <v>30903</v>
      </c>
      <c r="H373" s="676">
        <f t="shared" si="186"/>
        <v>30.902999999999999</v>
      </c>
      <c r="I373" s="677">
        <f t="shared" si="166"/>
        <v>161.37754943462807</v>
      </c>
      <c r="J373" s="678">
        <f t="shared" si="167"/>
        <v>1.5645996383251759</v>
      </c>
      <c r="K373" s="678">
        <f t="shared" si="168"/>
        <v>1.0009119654805112</v>
      </c>
      <c r="L373" s="679">
        <f t="shared" si="169"/>
        <v>4.2691286040703491E-2</v>
      </c>
      <c r="M373" s="678">
        <f t="shared" si="170"/>
        <v>1.0133794176468578</v>
      </c>
      <c r="N373" s="679">
        <f t="shared" si="171"/>
        <v>-0.16267714752485754</v>
      </c>
      <c r="O373" s="677">
        <f t="shared" si="172"/>
        <v>582507.82597855839</v>
      </c>
      <c r="P373" s="680">
        <f t="shared" si="173"/>
        <v>1.5707946100797636</v>
      </c>
      <c r="Q373" s="689">
        <f t="shared" si="195"/>
        <v>78.062454071675759</v>
      </c>
      <c r="R373" s="690">
        <f t="shared" si="196"/>
        <v>1.5579857206673502</v>
      </c>
      <c r="S373" s="677">
        <f t="shared" si="174"/>
        <v>1.5397623243639942</v>
      </c>
      <c r="T373" s="680">
        <f t="shared" si="175"/>
        <v>0.86393425289168835</v>
      </c>
      <c r="U373" s="681">
        <f t="shared" si="187"/>
        <v>0.92944126780127734</v>
      </c>
      <c r="V373" s="682">
        <f t="shared" si="188"/>
        <v>-0.46859863173648758</v>
      </c>
      <c r="W373" s="683">
        <f t="shared" si="176"/>
        <v>-19.937060562352087</v>
      </c>
      <c r="X373" s="684">
        <f t="shared" si="177"/>
        <v>-173.60204522154882</v>
      </c>
      <c r="Y373" s="687">
        <f t="shared" si="178"/>
        <v>6.3979547784511794</v>
      </c>
      <c r="AA373" s="170">
        <f t="shared" si="179"/>
        <v>30903</v>
      </c>
      <c r="AB373" s="170">
        <f t="shared" si="180"/>
        <v>954995409</v>
      </c>
      <c r="AD373" s="686">
        <f t="shared" si="181"/>
        <v>23.899185038610607</v>
      </c>
      <c r="AE373" s="687">
        <f t="shared" si="182"/>
        <v>-50.233681828463112</v>
      </c>
      <c r="AG373" s="686">
        <f t="shared" si="183"/>
        <v>10.938218131085007</v>
      </c>
      <c r="AH373" s="687">
        <f t="shared" si="184"/>
        <v>-69.67091556351572</v>
      </c>
      <c r="AJ373" s="170">
        <f t="shared" si="185"/>
        <v>0</v>
      </c>
      <c r="AK373" s="170">
        <f t="shared" si="197"/>
        <v>0</v>
      </c>
      <c r="AM373" s="170" t="str">
        <f t="shared" si="189"/>
        <v>0.231240632584188+0.639538141951237i</v>
      </c>
      <c r="AN373" s="170" t="str">
        <f t="shared" si="190"/>
        <v>0.693897331743156i</v>
      </c>
      <c r="AO373" s="170" t="str">
        <f t="shared" si="191"/>
        <v>0.921661047960277-0.333249058622668i</v>
      </c>
      <c r="AP373" s="170" t="str">
        <f t="shared" si="192"/>
        <v>0.128126561235969-0.106589690325206i</v>
      </c>
      <c r="AQ373" s="170" t="str">
        <f t="shared" si="193"/>
        <v>0.871873438764031+0.106589690325206i</v>
      </c>
      <c r="AR373" s="170" t="str">
        <f t="shared" si="194"/>
        <v>0.941344608361916-0.115082792792538i</v>
      </c>
    </row>
    <row r="374" spans="7:44">
      <c r="G374" s="688">
        <v>31083</v>
      </c>
      <c r="H374" s="676">
        <f t="shared" si="186"/>
        <v>31.082999999999998</v>
      </c>
      <c r="I374" s="677">
        <f t="shared" si="166"/>
        <v>162.31748558098684</v>
      </c>
      <c r="J374" s="678">
        <f t="shared" si="167"/>
        <v>1.5646355221079109</v>
      </c>
      <c r="K374" s="678">
        <f t="shared" si="168"/>
        <v>1.0009226153191397</v>
      </c>
      <c r="L374" s="679">
        <f t="shared" si="169"/>
        <v>4.2939644338809237E-2</v>
      </c>
      <c r="M374" s="678">
        <f t="shared" si="170"/>
        <v>1.013534689352338</v>
      </c>
      <c r="N374" s="679">
        <f t="shared" si="171"/>
        <v>-0.1636079181032897</v>
      </c>
      <c r="O374" s="677">
        <f t="shared" si="172"/>
        <v>585900.74604055332</v>
      </c>
      <c r="P374" s="680">
        <f t="shared" si="173"/>
        <v>1.5707946200211695</v>
      </c>
      <c r="Q374" s="689">
        <f t="shared" si="195"/>
        <v>78.517068269724348</v>
      </c>
      <c r="R374" s="690">
        <f t="shared" si="196"/>
        <v>1.5580598981603131</v>
      </c>
      <c r="S374" s="677">
        <f t="shared" si="174"/>
        <v>1.5449544498710388</v>
      </c>
      <c r="T374" s="680">
        <f t="shared" si="175"/>
        <v>0.86680107609921264</v>
      </c>
      <c r="U374" s="681">
        <f t="shared" si="187"/>
        <v>0.92870197590769399</v>
      </c>
      <c r="V374" s="682">
        <f t="shared" si="188"/>
        <v>-0.47114376213098957</v>
      </c>
      <c r="W374" s="683">
        <f t="shared" si="176"/>
        <v>-20.022240867379054</v>
      </c>
      <c r="X374" s="684">
        <f t="shared" si="177"/>
        <v>-173.94903316743529</v>
      </c>
      <c r="Y374" s="687">
        <f t="shared" si="178"/>
        <v>6.0509668325647112</v>
      </c>
      <c r="AA374" s="170">
        <f t="shared" si="179"/>
        <v>31083</v>
      </c>
      <c r="AB374" s="170">
        <f t="shared" si="180"/>
        <v>966152889</v>
      </c>
      <c r="AD374" s="686">
        <f t="shared" si="181"/>
        <v>23.869936994626272</v>
      </c>
      <c r="AE374" s="687">
        <f t="shared" si="182"/>
        <v>-50.393689211366222</v>
      </c>
      <c r="AG374" s="686">
        <f t="shared" si="183"/>
        <v>10.896109149078699</v>
      </c>
      <c r="AH374" s="687">
        <f t="shared" si="184"/>
        <v>-69.566245666334964</v>
      </c>
      <c r="AJ374" s="170">
        <f t="shared" si="185"/>
        <v>0</v>
      </c>
      <c r="AK374" s="170">
        <f t="shared" si="197"/>
        <v>0</v>
      </c>
      <c r="AM374" s="170" t="str">
        <f t="shared" si="189"/>
        <v>0.233831743799027+0.642640026134352i</v>
      </c>
      <c r="AN374" s="170" t="str">
        <f t="shared" si="190"/>
        <v>0.697939059721468i</v>
      </c>
      <c r="AO374" s="170" t="str">
        <f t="shared" si="191"/>
        <v>0.92076810601604-0.335031748892724i</v>
      </c>
      <c r="AP374" s="170" t="str">
        <f t="shared" si="192"/>
        <v>0.127694709366829-0.107106671022392i</v>
      </c>
      <c r="AQ374" s="170" t="str">
        <f t="shared" si="193"/>
        <v>0.872305290633171+0.107106671022392i</v>
      </c>
      <c r="AR374" s="170" t="str">
        <f t="shared" si="194"/>
        <v>0.940757714159083-0.115511654101141i</v>
      </c>
    </row>
    <row r="375" spans="7:44">
      <c r="G375" s="688">
        <v>31263</v>
      </c>
      <c r="H375" s="676">
        <f t="shared" si="186"/>
        <v>31.263000000000002</v>
      </c>
      <c r="I375" s="677">
        <f t="shared" si="166"/>
        <v>163.25742193394638</v>
      </c>
      <c r="J375" s="678">
        <f t="shared" si="167"/>
        <v>1.5646709926969573</v>
      </c>
      <c r="K375" s="678">
        <f t="shared" si="168"/>
        <v>1.0009333268952048</v>
      </c>
      <c r="L375" s="679">
        <f t="shared" si="169"/>
        <v>4.3187997336577209E-2</v>
      </c>
      <c r="M375" s="678">
        <f t="shared" si="170"/>
        <v>1.0136908388478112</v>
      </c>
      <c r="N375" s="679">
        <f t="shared" si="171"/>
        <v>-0.16453840273480008</v>
      </c>
      <c r="O375" s="677">
        <f t="shared" si="172"/>
        <v>589293.6661025486</v>
      </c>
      <c r="P375" s="680">
        <f t="shared" si="173"/>
        <v>1.5707946298480981</v>
      </c>
      <c r="Q375" s="689">
        <f t="shared" si="195"/>
        <v>78.971682894823402</v>
      </c>
      <c r="R375" s="690">
        <f t="shared" si="196"/>
        <v>1.5581332216216499</v>
      </c>
      <c r="S375" s="677">
        <f t="shared" si="174"/>
        <v>1.5501591877381891</v>
      </c>
      <c r="T375" s="680">
        <f t="shared" si="175"/>
        <v>0.86964867157175441</v>
      </c>
      <c r="U375" s="681">
        <f t="shared" si="187"/>
        <v>0.92796005432082029</v>
      </c>
      <c r="V375" s="682">
        <f t="shared" si="188"/>
        <v>-0.47368604122298746</v>
      </c>
      <c r="W375" s="683">
        <f t="shared" si="176"/>
        <v>-20.107124612006984</v>
      </c>
      <c r="X375" s="684">
        <f t="shared" si="177"/>
        <v>-174.29476524938605</v>
      </c>
      <c r="Y375" s="687">
        <f t="shared" si="178"/>
        <v>5.705234750613954</v>
      </c>
      <c r="AA375" s="170">
        <f t="shared" si="179"/>
        <v>31263</v>
      </c>
      <c r="AB375" s="170">
        <f t="shared" si="180"/>
        <v>977375169</v>
      </c>
      <c r="AD375" s="686">
        <f t="shared" si="181"/>
        <v>23.840716523735217</v>
      </c>
      <c r="AE375" s="687">
        <f t="shared" si="182"/>
        <v>-50.552643852052718</v>
      </c>
      <c r="AG375" s="686">
        <f t="shared" si="183"/>
        <v>10.854329391591451</v>
      </c>
      <c r="AH375" s="687">
        <f t="shared" si="184"/>
        <v>-69.461699382634677</v>
      </c>
      <c r="AJ375" s="170">
        <f t="shared" si="185"/>
        <v>0</v>
      </c>
      <c r="AK375" s="170">
        <f t="shared" si="197"/>
        <v>0</v>
      </c>
      <c r="AM375" s="170" t="str">
        <f t="shared" si="189"/>
        <v>0.236435370788217+0.645731412443806i</v>
      </c>
      <c r="AN375" s="170" t="str">
        <f t="shared" si="190"/>
        <v>0.701980787699779i</v>
      </c>
      <c r="AO375" s="170" t="str">
        <f t="shared" si="191"/>
        <v>0.919870491840256-0.336811740336881i</v>
      </c>
      <c r="AP375" s="170" t="str">
        <f t="shared" si="192"/>
        <v>0.127260771535297-0.107621902073968i</v>
      </c>
      <c r="AQ375" s="170" t="str">
        <f t="shared" si="193"/>
        <v>0.872739228464703+0.107621902073968i</v>
      </c>
      <c r="AR375" s="170" t="str">
        <f t="shared" si="194"/>
        <v>0.940169305697735-0.115937047001714i</v>
      </c>
    </row>
    <row r="376" spans="7:44">
      <c r="G376" s="688">
        <v>31443</v>
      </c>
      <c r="H376" s="676">
        <f t="shared" si="186"/>
        <v>31.443000000000001</v>
      </c>
      <c r="I376" s="677">
        <f t="shared" si="166"/>
        <v>164.19735848995867</v>
      </c>
      <c r="J376" s="678">
        <f t="shared" si="167"/>
        <v>1.5647060571881219</v>
      </c>
      <c r="K376" s="678">
        <f t="shared" si="168"/>
        <v>1.0009441002067248</v>
      </c>
      <c r="L376" s="679">
        <f t="shared" si="169"/>
        <v>4.343634500354164E-2</v>
      </c>
      <c r="M376" s="678">
        <f t="shared" si="170"/>
        <v>1.0138478657276946</v>
      </c>
      <c r="N376" s="679">
        <f t="shared" si="171"/>
        <v>-0.16546859994065405</v>
      </c>
      <c r="O376" s="677">
        <f t="shared" si="172"/>
        <v>592686.58616454375</v>
      </c>
      <c r="P376" s="680">
        <f t="shared" si="173"/>
        <v>1.5707946395625156</v>
      </c>
      <c r="Q376" s="689">
        <f t="shared" si="195"/>
        <v>79.426297939639937</v>
      </c>
      <c r="R376" s="690">
        <f t="shared" si="196"/>
        <v>1.5582057057153165</v>
      </c>
      <c r="S376" s="677">
        <f t="shared" si="174"/>
        <v>1.5553764113516706</v>
      </c>
      <c r="T376" s="680">
        <f t="shared" si="175"/>
        <v>0.8724771863834847</v>
      </c>
      <c r="U376" s="681">
        <f t="shared" si="187"/>
        <v>0.92721552552211184</v>
      </c>
      <c r="V376" s="682">
        <f t="shared" si="188"/>
        <v>-0.47622546172397417</v>
      </c>
      <c r="W376" s="683">
        <f t="shared" si="176"/>
        <v>-20.19171424707509</v>
      </c>
      <c r="X376" s="684">
        <f t="shared" si="177"/>
        <v>-174.63924896003962</v>
      </c>
      <c r="Y376" s="687">
        <f t="shared" si="178"/>
        <v>5.3607510399603768</v>
      </c>
      <c r="AA376" s="170">
        <f t="shared" si="179"/>
        <v>31443</v>
      </c>
      <c r="AB376" s="170">
        <f t="shared" si="180"/>
        <v>988662249</v>
      </c>
      <c r="AD376" s="686">
        <f t="shared" si="181"/>
        <v>23.811524383150335</v>
      </c>
      <c r="AE376" s="687">
        <f t="shared" si="182"/>
        <v>-50.710553337181722</v>
      </c>
      <c r="AG376" s="686">
        <f t="shared" si="183"/>
        <v>10.812875365091312</v>
      </c>
      <c r="AH376" s="687">
        <f t="shared" si="184"/>
        <v>-69.357277453595657</v>
      </c>
      <c r="AJ376" s="170">
        <f t="shared" si="185"/>
        <v>0</v>
      </c>
      <c r="AK376" s="170">
        <f t="shared" si="197"/>
        <v>0</v>
      </c>
      <c r="AM376" s="170" t="str">
        <f t="shared" si="189"/>
        <v>0.239051471020099+0.648812250380127i</v>
      </c>
      <c r="AN376" s="170" t="str">
        <f t="shared" si="190"/>
        <v>0.706022515678091i</v>
      </c>
      <c r="AO376" s="170" t="str">
        <f t="shared" si="191"/>
        <v>0.918968214146801-0.338589019063372i</v>
      </c>
      <c r="AP376" s="170" t="str">
        <f t="shared" si="192"/>
        <v>0.126824754829983-0.108135375063355i</v>
      </c>
      <c r="AQ376" s="170" t="str">
        <f t="shared" si="193"/>
        <v>0.873175245170017+0.108135375063355i</v>
      </c>
      <c r="AR376" s="170" t="str">
        <f t="shared" si="194"/>
        <v>0.939579407163479-0.116358969356311i</v>
      </c>
    </row>
    <row r="377" spans="7:44">
      <c r="G377" s="688">
        <v>31623</v>
      </c>
      <c r="H377" s="676">
        <f t="shared" si="186"/>
        <v>31.623000000000001</v>
      </c>
      <c r="I377" s="677">
        <f t="shared" si="166"/>
        <v>165.13729524555649</v>
      </c>
      <c r="J377" s="678">
        <f t="shared" si="167"/>
        <v>1.5647407225156633</v>
      </c>
      <c r="K377" s="678">
        <f t="shared" si="168"/>
        <v>1.0009549352517062</v>
      </c>
      <c r="L377" s="679">
        <f t="shared" si="169"/>
        <v>4.3684687309240709E-2</v>
      </c>
      <c r="M377" s="678">
        <f t="shared" si="170"/>
        <v>1.014005769584378</v>
      </c>
      <c r="N377" s="679">
        <f t="shared" si="171"/>
        <v>-0.16639850824502003</v>
      </c>
      <c r="O377" s="677">
        <f t="shared" si="172"/>
        <v>596079.5062265388</v>
      </c>
      <c r="P377" s="680">
        <f t="shared" si="173"/>
        <v>1.5707946491663427</v>
      </c>
      <c r="Q377" s="689">
        <f t="shared" si="195"/>
        <v>79.88091339700793</v>
      </c>
      <c r="R377" s="690">
        <f t="shared" si="196"/>
        <v>1.5582773647714843</v>
      </c>
      <c r="S377" s="677">
        <f t="shared" si="174"/>
        <v>1.5606059954891123</v>
      </c>
      <c r="T377" s="680">
        <f t="shared" si="175"/>
        <v>0.87528676686550122</v>
      </c>
      <c r="U377" s="681">
        <f t="shared" si="187"/>
        <v>0.92646841197224739</v>
      </c>
      <c r="V377" s="682">
        <f t="shared" si="188"/>
        <v>-0.47876201646265298</v>
      </c>
      <c r="W377" s="683">
        <f t="shared" si="176"/>
        <v>-20.27601218446874</v>
      </c>
      <c r="X377" s="684">
        <f t="shared" si="177"/>
        <v>-174.98249176620712</v>
      </c>
      <c r="Y377" s="687">
        <f t="shared" si="178"/>
        <v>5.0175082337928814</v>
      </c>
      <c r="AA377" s="170">
        <f t="shared" si="179"/>
        <v>31623</v>
      </c>
      <c r="AB377" s="170">
        <f t="shared" si="180"/>
        <v>1000014129</v>
      </c>
      <c r="AD377" s="686">
        <f t="shared" si="181"/>
        <v>23.782361311751163</v>
      </c>
      <c r="AE377" s="687">
        <f t="shared" si="182"/>
        <v>-50.867425229959316</v>
      </c>
      <c r="AG377" s="686">
        <f t="shared" si="183"/>
        <v>10.771743633204755</v>
      </c>
      <c r="AH377" s="687">
        <f t="shared" si="184"/>
        <v>-69.252980604593063</v>
      </c>
      <c r="AJ377" s="170">
        <f t="shared" si="185"/>
        <v>0</v>
      </c>
      <c r="AK377" s="170">
        <f t="shared" si="197"/>
        <v>0</v>
      </c>
      <c r="AM377" s="170" t="str">
        <f t="shared" si="189"/>
        <v>0.241680001759254+0.651882489616154i</v>
      </c>
      <c r="AN377" s="170" t="str">
        <f t="shared" si="190"/>
        <v>0.710064243656403i</v>
      </c>
      <c r="AO377" s="170" t="str">
        <f t="shared" si="191"/>
        <v>0.918061281693825-0.340363571209765i</v>
      </c>
      <c r="AP377" s="170" t="str">
        <f t="shared" si="192"/>
        <v>0.126386666373458-0.108647081602692i</v>
      </c>
      <c r="AQ377" s="170" t="str">
        <f t="shared" si="193"/>
        <v>0.873613333626542+0.108647081602692i</v>
      </c>
      <c r="AR377" s="170" t="str">
        <f t="shared" si="194"/>
        <v>0.938988042683975-0.1167774192204i</v>
      </c>
    </row>
    <row r="378" spans="7:44">
      <c r="G378" s="688">
        <v>31807</v>
      </c>
      <c r="H378" s="676">
        <f t="shared" si="186"/>
        <v>31.806999999999999</v>
      </c>
      <c r="I378" s="677">
        <f t="shared" si="166"/>
        <v>166.09811968737162</v>
      </c>
      <c r="J378" s="678">
        <f t="shared" si="167"/>
        <v>1.5647757526720436</v>
      </c>
      <c r="K378" s="678">
        <f t="shared" si="168"/>
        <v>1.0009660748798637</v>
      </c>
      <c r="L378" s="679">
        <f t="shared" si="169"/>
        <v>4.3938542759832382E-2</v>
      </c>
      <c r="M378" s="678">
        <f t="shared" si="170"/>
        <v>1.0141680884150168</v>
      </c>
      <c r="N378" s="679">
        <f t="shared" si="171"/>
        <v>-0.16734878104186338</v>
      </c>
      <c r="O378" s="677">
        <f t="shared" si="172"/>
        <v>599547.82451213407</v>
      </c>
      <c r="P378" s="680">
        <f t="shared" si="173"/>
        <v>1.5707946588712396</v>
      </c>
      <c r="Q378" s="689">
        <f t="shared" si="195"/>
        <v>80.345631839208494</v>
      </c>
      <c r="R378" s="690">
        <f t="shared" si="196"/>
        <v>1.5583497780902069</v>
      </c>
      <c r="S378" s="677">
        <f t="shared" si="174"/>
        <v>1.5659644392575993</v>
      </c>
      <c r="T378" s="680">
        <f t="shared" si="175"/>
        <v>0.87813936389299296</v>
      </c>
      <c r="U378" s="681">
        <f t="shared" si="187"/>
        <v>0.92570204771491815</v>
      </c>
      <c r="V378" s="682">
        <f t="shared" si="188"/>
        <v>-0.48135196974450362</v>
      </c>
      <c r="W378" s="683">
        <f t="shared" si="176"/>
        <v>-20.361884388005794</v>
      </c>
      <c r="X378" s="684">
        <f t="shared" si="177"/>
        <v>-175.33208736246206</v>
      </c>
      <c r="Y378" s="687">
        <f t="shared" si="178"/>
        <v>4.6679126375379383</v>
      </c>
      <c r="AA378" s="170">
        <f t="shared" si="179"/>
        <v>31807</v>
      </c>
      <c r="AB378" s="170">
        <f t="shared" si="180"/>
        <v>1011685249</v>
      </c>
      <c r="AD378" s="686">
        <f t="shared" si="181"/>
        <v>23.752580967920135</v>
      </c>
      <c r="AE378" s="687">
        <f t="shared" si="182"/>
        <v>-51.02671857897446</v>
      </c>
      <c r="AG378" s="686">
        <f t="shared" si="183"/>
        <v>10.730027460589032</v>
      </c>
      <c r="AH378" s="687">
        <f t="shared" si="184"/>
        <v>-69.146496067121475</v>
      </c>
      <c r="AJ378" s="170">
        <f t="shared" si="185"/>
        <v>0</v>
      </c>
      <c r="AK378" s="170">
        <f t="shared" si="197"/>
        <v>0</v>
      </c>
      <c r="AM378" s="170" t="str">
        <f t="shared" si="189"/>
        <v>0.244379747509114+0.655009949562302i</v>
      </c>
      <c r="AN378" s="170" t="str">
        <f t="shared" si="190"/>
        <v>0.71419578781201i</v>
      </c>
      <c r="AO378" s="170" t="str">
        <f t="shared" si="191"/>
        <v>0.917129393284399-0.342174725305772i</v>
      </c>
      <c r="AP378" s="170" t="str">
        <f t="shared" si="192"/>
        <v>0.125936708748481-0.10916832492705i</v>
      </c>
      <c r="AQ378" s="170" t="str">
        <f t="shared" si="193"/>
        <v>0.874063291251519+0.10916832492705i</v>
      </c>
      <c r="AR378" s="170" t="str">
        <f t="shared" si="194"/>
        <v>0.938382046659723-0.117201577049162i</v>
      </c>
    </row>
    <row r="379" spans="7:44">
      <c r="G379" s="688">
        <v>31991</v>
      </c>
      <c r="H379" s="676">
        <f t="shared" si="186"/>
        <v>31.991</v>
      </c>
      <c r="I379" s="677">
        <f t="shared" si="166"/>
        <v>167.05894433066322</v>
      </c>
      <c r="J379" s="678">
        <f t="shared" si="167"/>
        <v>1.5648103798828152</v>
      </c>
      <c r="K379" s="678">
        <f t="shared" si="168"/>
        <v>1.0009772790114293</v>
      </c>
      <c r="L379" s="679">
        <f t="shared" si="169"/>
        <v>4.4192392543876538E-2</v>
      </c>
      <c r="M379" s="678">
        <f t="shared" si="170"/>
        <v>1.0143313227644994</v>
      </c>
      <c r="N379" s="679">
        <f t="shared" si="171"/>
        <v>-0.16829874884524249</v>
      </c>
      <c r="O379" s="677">
        <f t="shared" si="172"/>
        <v>603016.14279772923</v>
      </c>
      <c r="P379" s="680">
        <f t="shared" si="173"/>
        <v>1.5707946684644987</v>
      </c>
      <c r="Q379" s="689">
        <f t="shared" si="195"/>
        <v>80.810350697870902</v>
      </c>
      <c r="R379" s="690">
        <f t="shared" si="196"/>
        <v>1.5584213585497846</v>
      </c>
      <c r="S379" s="677">
        <f t="shared" si="174"/>
        <v>1.571335538795072</v>
      </c>
      <c r="T379" s="680">
        <f t="shared" si="175"/>
        <v>0.88097248249289439</v>
      </c>
      <c r="U379" s="681">
        <f t="shared" si="187"/>
        <v>0.92493302994118265</v>
      </c>
      <c r="V379" s="682">
        <f t="shared" si="188"/>
        <v>-0.48393891370147846</v>
      </c>
      <c r="W379" s="683">
        <f t="shared" si="176"/>
        <v>-20.44745676171145</v>
      </c>
      <c r="X379" s="684">
        <f t="shared" si="177"/>
        <v>-175.68040198107423</v>
      </c>
      <c r="Y379" s="687">
        <f t="shared" si="178"/>
        <v>4.3195980189257739</v>
      </c>
      <c r="AA379" s="170">
        <f t="shared" si="179"/>
        <v>31991</v>
      </c>
      <c r="AB379" s="170">
        <f t="shared" si="180"/>
        <v>1023424081</v>
      </c>
      <c r="AD379" s="686">
        <f t="shared" si="181"/>
        <v>23.722832503658896</v>
      </c>
      <c r="AE379" s="687">
        <f t="shared" si="182"/>
        <v>-51.18494360921347</v>
      </c>
      <c r="AG379" s="686">
        <f t="shared" si="183"/>
        <v>10.68864098179205</v>
      </c>
      <c r="AH379" s="687">
        <f t="shared" si="184"/>
        <v>-69.040143714012856</v>
      </c>
      <c r="AJ379" s="170">
        <f t="shared" si="185"/>
        <v>0</v>
      </c>
      <c r="AK379" s="170">
        <f t="shared" si="197"/>
        <v>0</v>
      </c>
      <c r="AM379" s="170" t="str">
        <f t="shared" si="189"/>
        <v>0.247092391419242+0.658126228729112i</v>
      </c>
      <c r="AN379" s="170" t="str">
        <f t="shared" si="190"/>
        <v>0.718327331967618i</v>
      </c>
      <c r="AO379" s="170" t="str">
        <f t="shared" si="191"/>
        <v>0.916192659586535-0.343983001095635i</v>
      </c>
      <c r="AP379" s="170" t="str">
        <f t="shared" si="192"/>
        <v>0.125484601430126-0.109687704788185i</v>
      </c>
      <c r="AQ379" s="170" t="str">
        <f t="shared" si="193"/>
        <v>0.874515398569874+0.109687704788185i</v>
      </c>
      <c r="AR379" s="170" t="str">
        <f t="shared" si="194"/>
        <v>0.937774569604934-0.117622102843366i</v>
      </c>
    </row>
    <row r="380" spans="7:44">
      <c r="G380" s="688">
        <v>32175</v>
      </c>
      <c r="H380" s="676">
        <f t="shared" si="186"/>
        <v>32.174999999999997</v>
      </c>
      <c r="I380" s="677">
        <f t="shared" si="166"/>
        <v>168.01976917197481</v>
      </c>
      <c r="J380" s="678">
        <f t="shared" si="167"/>
        <v>1.5648446110606553</v>
      </c>
      <c r="K380" s="678">
        <f t="shared" si="168"/>
        <v>1.0009885476442371</v>
      </c>
      <c r="L380" s="679">
        <f t="shared" si="169"/>
        <v>4.4446236628847995E-2</v>
      </c>
      <c r="M380" s="678">
        <f t="shared" si="170"/>
        <v>1.0144954721908994</v>
      </c>
      <c r="N380" s="679">
        <f t="shared" si="171"/>
        <v>-0.16924841008821936</v>
      </c>
      <c r="O380" s="677">
        <f t="shared" si="172"/>
        <v>606484.46108332451</v>
      </c>
      <c r="P380" s="680">
        <f t="shared" si="173"/>
        <v>1.5707946779480355</v>
      </c>
      <c r="Q380" s="689">
        <f t="shared" si="195"/>
        <v>81.275069965851344</v>
      </c>
      <c r="R380" s="690">
        <f t="shared" si="196"/>
        <v>1.5584921204359865</v>
      </c>
      <c r="S380" s="677">
        <f t="shared" si="174"/>
        <v>1.5767191647657668</v>
      </c>
      <c r="T380" s="680">
        <f t="shared" si="175"/>
        <v>0.88378627647605723</v>
      </c>
      <c r="U380" s="681">
        <f t="shared" si="187"/>
        <v>0.92416138256594704</v>
      </c>
      <c r="V380" s="682">
        <f t="shared" si="188"/>
        <v>-0.48652284105136012</v>
      </c>
      <c r="W380" s="683">
        <f t="shared" si="176"/>
        <v>-20.532731761989048</v>
      </c>
      <c r="X380" s="684">
        <f t="shared" si="177"/>
        <v>-176.02744350726331</v>
      </c>
      <c r="Y380" s="687">
        <f t="shared" si="178"/>
        <v>3.9725564927366861</v>
      </c>
      <c r="AA380" s="170">
        <f t="shared" si="179"/>
        <v>32175</v>
      </c>
      <c r="AB380" s="170">
        <f t="shared" si="180"/>
        <v>1035230625</v>
      </c>
      <c r="AD380" s="686">
        <f t="shared" si="181"/>
        <v>23.693116650858187</v>
      </c>
      <c r="AE380" s="687">
        <f t="shared" si="182"/>
        <v>-51.342108314984465</v>
      </c>
      <c r="AG380" s="686">
        <f t="shared" si="183"/>
        <v>10.647580703133414</v>
      </c>
      <c r="AH380" s="687">
        <f t="shared" si="184"/>
        <v>-68.933924270659332</v>
      </c>
      <c r="AJ380" s="170">
        <f t="shared" si="185"/>
        <v>0</v>
      </c>
      <c r="AK380" s="170">
        <f t="shared" si="197"/>
        <v>0</v>
      </c>
      <c r="AM380" s="170" t="str">
        <f t="shared" si="189"/>
        <v>0.249817887185802+0.661231273922843i</v>
      </c>
      <c r="AN380" s="170" t="str">
        <f t="shared" si="190"/>
        <v>0.722458876123225i</v>
      </c>
      <c r="AO380" s="170" t="str">
        <f t="shared" si="191"/>
        <v>0.915251090098118-0.345788383868084i</v>
      </c>
      <c r="AP380" s="170" t="str">
        <f t="shared" si="192"/>
        <v>0.1250303521357-0.110205212320474i</v>
      </c>
      <c r="AQ380" s="170" t="str">
        <f t="shared" si="193"/>
        <v>0.8749696478643+0.110205212320474i</v>
      </c>
      <c r="AR380" s="170" t="str">
        <f t="shared" si="194"/>
        <v>0.937165637093326-0.118038995143909i</v>
      </c>
    </row>
    <row r="381" spans="7:44">
      <c r="G381" s="688">
        <v>32359</v>
      </c>
      <c r="H381" s="676">
        <f t="shared" si="186"/>
        <v>32.359000000000002</v>
      </c>
      <c r="I381" s="677">
        <f t="shared" si="166"/>
        <v>168.98059420792862</v>
      </c>
      <c r="J381" s="678">
        <f t="shared" si="167"/>
        <v>1.5648784529610222</v>
      </c>
      <c r="K381" s="678">
        <f t="shared" si="168"/>
        <v>1.0009998807761085</v>
      </c>
      <c r="L381" s="679">
        <f t="shared" si="169"/>
        <v>4.470007498222596E-2</v>
      </c>
      <c r="M381" s="678">
        <f t="shared" si="170"/>
        <v>1.0146605362501</v>
      </c>
      <c r="N381" s="679">
        <f t="shared" si="171"/>
        <v>-0.17019776320707919</v>
      </c>
      <c r="O381" s="677">
        <f t="shared" si="172"/>
        <v>609952.77936891979</v>
      </c>
      <c r="P381" s="680">
        <f t="shared" si="173"/>
        <v>1.5707946873237215</v>
      </c>
      <c r="Q381" s="689">
        <f t="shared" si="195"/>
        <v>81.739789636168467</v>
      </c>
      <c r="R381" s="690">
        <f t="shared" si="196"/>
        <v>1.5585620777097373</v>
      </c>
      <c r="S381" s="677">
        <f t="shared" si="174"/>
        <v>1.5821151892947434</v>
      </c>
      <c r="T381" s="680">
        <f t="shared" si="175"/>
        <v>0.88658089878628765</v>
      </c>
      <c r="U381" s="681">
        <f t="shared" si="187"/>
        <v>0.92338712947515367</v>
      </c>
      <c r="V381" s="682">
        <f t="shared" si="188"/>
        <v>-0.48910374463859241</v>
      </c>
      <c r="W381" s="683">
        <f t="shared" si="176"/>
        <v>-20.617711806870439</v>
      </c>
      <c r="X381" s="684">
        <f t="shared" si="177"/>
        <v>-176.37321979361425</v>
      </c>
      <c r="Y381" s="687">
        <f t="shared" si="178"/>
        <v>3.6267802063857459</v>
      </c>
      <c r="AA381" s="170">
        <f t="shared" si="179"/>
        <v>32359</v>
      </c>
      <c r="AB381" s="170">
        <f t="shared" si="180"/>
        <v>1047104881</v>
      </c>
      <c r="AD381" s="686">
        <f t="shared" si="181"/>
        <v>23.663434122762261</v>
      </c>
      <c r="AE381" s="687">
        <f t="shared" si="182"/>
        <v>-51.498220659527242</v>
      </c>
      <c r="AG381" s="686">
        <f t="shared" si="183"/>
        <v>10.606843187881694</v>
      </c>
      <c r="AH381" s="687">
        <f t="shared" si="184"/>
        <v>-68.827838446372397</v>
      </c>
      <c r="AJ381" s="170">
        <f t="shared" si="185"/>
        <v>0</v>
      </c>
      <c r="AK381" s="170">
        <f t="shared" si="197"/>
        <v>0</v>
      </c>
      <c r="AM381" s="170" t="str">
        <f t="shared" si="189"/>
        <v>0.252556188285583+0.664325032141513i</v>
      </c>
      <c r="AN381" s="170" t="str">
        <f t="shared" si="190"/>
        <v>0.726590420278833i</v>
      </c>
      <c r="AO381" s="170" t="str">
        <f t="shared" si="191"/>
        <v>0.914304694364914-0.347590858944525i</v>
      </c>
      <c r="AP381" s="170" t="str">
        <f t="shared" si="192"/>
        <v>0.124573968619069-0.110720838690252i</v>
      </c>
      <c r="AQ381" s="170" t="str">
        <f t="shared" si="193"/>
        <v>0.875426031380931+0.110720838690252i</v>
      </c>
      <c r="AR381" s="170" t="str">
        <f t="shared" si="194"/>
        <v>0.936555274628202-0.118452252696941i</v>
      </c>
    </row>
    <row r="382" spans="7:44">
      <c r="G382" s="688">
        <v>32547.5</v>
      </c>
      <c r="H382" s="676">
        <f t="shared" si="186"/>
        <v>32.547499999999999</v>
      </c>
      <c r="I382" s="677">
        <f t="shared" si="166"/>
        <v>169.96491788065154</v>
      </c>
      <c r="J382" s="678">
        <f t="shared" si="167"/>
        <v>1.5649127257438509</v>
      </c>
      <c r="K382" s="678">
        <f t="shared" si="168"/>
        <v>1.0010115579591623</v>
      </c>
      <c r="L382" s="679">
        <f t="shared" si="169"/>
        <v>4.4960115361247908E-2</v>
      </c>
      <c r="M382" s="678">
        <f t="shared" si="170"/>
        <v>1.0148305851948942</v>
      </c>
      <c r="N382" s="679">
        <f t="shared" si="171"/>
        <v>-0.17117001305003504</v>
      </c>
      <c r="O382" s="677">
        <f t="shared" si="172"/>
        <v>613505.92065606511</v>
      </c>
      <c r="P382" s="680">
        <f t="shared" si="173"/>
        <v>1.5707946968187769</v>
      </c>
      <c r="Q382" s="689">
        <f t="shared" si="195"/>
        <v>82.215875143289395</v>
      </c>
      <c r="R382" s="690">
        <f t="shared" si="196"/>
        <v>1.5586329257882572</v>
      </c>
      <c r="S382" s="677">
        <f t="shared" si="174"/>
        <v>1.5876559067552434</v>
      </c>
      <c r="T382" s="680">
        <f t="shared" si="175"/>
        <v>0.88942414609113229</v>
      </c>
      <c r="U382" s="681">
        <f t="shared" si="187"/>
        <v>0.92259126370108202</v>
      </c>
      <c r="V382" s="682">
        <f t="shared" si="188"/>
        <v>-0.49174462520967616</v>
      </c>
      <c r="W382" s="683">
        <f t="shared" si="176"/>
        <v>-20.704466792647345</v>
      </c>
      <c r="X382" s="684">
        <f t="shared" si="177"/>
        <v>-176.72614870598002</v>
      </c>
      <c r="Y382" s="687">
        <f t="shared" si="178"/>
        <v>3.2738512940199769</v>
      </c>
      <c r="AA382" s="170">
        <f t="shared" si="179"/>
        <v>32547.5</v>
      </c>
      <c r="AB382" s="170">
        <f t="shared" si="180"/>
        <v>1059339756.25</v>
      </c>
      <c r="AD382" s="686">
        <f t="shared" si="181"/>
        <v>23.633060946848083</v>
      </c>
      <c r="AE382" s="687">
        <f t="shared" si="182"/>
        <v>-51.657067978529092</v>
      </c>
      <c r="AG382" s="686">
        <f t="shared" si="183"/>
        <v>10.565440540796093</v>
      </c>
      <c r="AH382" s="687">
        <f t="shared" si="184"/>
        <v>-68.719297417548105</v>
      </c>
      <c r="AJ382" s="170">
        <f t="shared" si="185"/>
        <v>0</v>
      </c>
      <c r="AK382" s="170">
        <f t="shared" si="197"/>
        <v>0</v>
      </c>
      <c r="AM382" s="170" t="str">
        <f t="shared" si="189"/>
        <v>0.255374688762378+0.667482693306931i</v>
      </c>
      <c r="AN382" s="170" t="str">
        <f t="shared" si="190"/>
        <v>0.730823007633898i</v>
      </c>
      <c r="AO382" s="170" t="str">
        <f t="shared" si="191"/>
        <v>0.913330158375779-0.349434385747071i</v>
      </c>
      <c r="AP382" s="170" t="str">
        <f t="shared" si="192"/>
        <v>0.124104218539604-0.111247115551155i</v>
      </c>
      <c r="AQ382" s="170" t="str">
        <f t="shared" si="193"/>
        <v>0.875895781460396+0.111247115551155i</v>
      </c>
      <c r="AR382" s="170" t="str">
        <f t="shared" si="194"/>
        <v>0.935928528567707-0.118871846821313i</v>
      </c>
    </row>
    <row r="383" spans="7:44">
      <c r="G383" s="688">
        <v>32736</v>
      </c>
      <c r="H383" s="676">
        <f t="shared" si="186"/>
        <v>32.735999999999997</v>
      </c>
      <c r="I383" s="677">
        <f t="shared" si="166"/>
        <v>170.94924175072018</v>
      </c>
      <c r="J383" s="678">
        <f t="shared" si="167"/>
        <v>1.5649466038420989</v>
      </c>
      <c r="K383" s="678">
        <f t="shared" si="168"/>
        <v>1.0010233028300357</v>
      </c>
      <c r="L383" s="679">
        <f t="shared" si="169"/>
        <v>4.5220149655816173E-2</v>
      </c>
      <c r="M383" s="678">
        <f t="shared" si="170"/>
        <v>1.0150015931063907</v>
      </c>
      <c r="N383" s="679">
        <f t="shared" si="171"/>
        <v>-0.17214193620130724</v>
      </c>
      <c r="O383" s="677">
        <f t="shared" si="172"/>
        <v>617059.06194321043</v>
      </c>
      <c r="P383" s="680">
        <f t="shared" si="173"/>
        <v>1.5707947062044836</v>
      </c>
      <c r="Q383" s="689">
        <f t="shared" si="195"/>
        <v>82.691961058336958</v>
      </c>
      <c r="R383" s="690">
        <f t="shared" si="196"/>
        <v>1.5587029580738641</v>
      </c>
      <c r="S383" s="677">
        <f t="shared" si="174"/>
        <v>1.5932093695828371</v>
      </c>
      <c r="T383" s="680">
        <f t="shared" si="175"/>
        <v>0.89224759462820669</v>
      </c>
      <c r="U383" s="681">
        <f t="shared" si="187"/>
        <v>0.92179271384990014</v>
      </c>
      <c r="V383" s="682">
        <f t="shared" si="188"/>
        <v>-0.49438231751076556</v>
      </c>
      <c r="W383" s="683">
        <f t="shared" si="176"/>
        <v>-20.790917237692614</v>
      </c>
      <c r="X383" s="684">
        <f t="shared" si="177"/>
        <v>-177.07776631012061</v>
      </c>
      <c r="Y383" s="687">
        <f t="shared" si="178"/>
        <v>2.9222336898793912</v>
      </c>
      <c r="AA383" s="170">
        <f t="shared" si="179"/>
        <v>32736</v>
      </c>
      <c r="AB383" s="170">
        <f t="shared" si="180"/>
        <v>1071645696</v>
      </c>
      <c r="AD383" s="686">
        <f t="shared" si="181"/>
        <v>23.602724202463847</v>
      </c>
      <c r="AE383" s="687">
        <f t="shared" si="182"/>
        <v>-51.814827646922545</v>
      </c>
      <c r="AG383" s="686">
        <f t="shared" si="183"/>
        <v>10.524369513234998</v>
      </c>
      <c r="AH383" s="687">
        <f t="shared" si="184"/>
        <v>-68.610898079936732</v>
      </c>
      <c r="AJ383" s="170">
        <f t="shared" si="185"/>
        <v>0</v>
      </c>
      <c r="AK383" s="170">
        <f t="shared" si="197"/>
        <v>0</v>
      </c>
      <c r="AM383" s="170" t="str">
        <f t="shared" si="189"/>
        <v>0.258206529029596+0.670628396674105i</v>
      </c>
      <c r="AN383" s="170" t="str">
        <f t="shared" si="190"/>
        <v>0.735055594988964i</v>
      </c>
      <c r="AO383" s="170" t="str">
        <f t="shared" si="191"/>
        <v>0.912350577624232-0.351274829808584i</v>
      </c>
      <c r="AP383" s="170" t="str">
        <f t="shared" si="192"/>
        <v>0.123632245161734-0.111771399445684i</v>
      </c>
      <c r="AQ383" s="170" t="str">
        <f t="shared" si="193"/>
        <v>0.876367754838266+0.111771399445684i</v>
      </c>
      <c r="AR383" s="170" t="str">
        <f t="shared" si="194"/>
        <v>0.935300335707622-0.119287624227288i</v>
      </c>
    </row>
    <row r="384" spans="7:44">
      <c r="G384" s="688">
        <v>32924.5</v>
      </c>
      <c r="H384" s="676">
        <f t="shared" si="186"/>
        <v>32.924500000000002</v>
      </c>
      <c r="I384" s="677">
        <f t="shared" si="166"/>
        <v>171.93356581474509</v>
      </c>
      <c r="J384" s="678">
        <f t="shared" si="167"/>
        <v>1.5649800940344265</v>
      </c>
      <c r="K384" s="678">
        <f t="shared" si="168"/>
        <v>1.0010351153863459</v>
      </c>
      <c r="L384" s="679">
        <f t="shared" si="169"/>
        <v>4.5480177830979629E-2</v>
      </c>
      <c r="M384" s="678">
        <f t="shared" si="170"/>
        <v>1.0151735594999696</v>
      </c>
      <c r="N384" s="679">
        <f t="shared" si="171"/>
        <v>-0.17311353099023272</v>
      </c>
      <c r="O384" s="677">
        <f t="shared" si="172"/>
        <v>620612.20323035575</v>
      </c>
      <c r="P384" s="680">
        <f t="shared" si="173"/>
        <v>1.57079471548272</v>
      </c>
      <c r="Q384" s="689">
        <f t="shared" si="195"/>
        <v>83.168047374305772</v>
      </c>
      <c r="R384" s="690">
        <f t="shared" si="196"/>
        <v>1.5587721885756147</v>
      </c>
      <c r="S384" s="677">
        <f t="shared" si="174"/>
        <v>1.5987754449616502</v>
      </c>
      <c r="T384" s="680">
        <f t="shared" si="175"/>
        <v>0.89505140593196009</v>
      </c>
      <c r="U384" s="681">
        <f t="shared" si="187"/>
        <v>0.92099150549867659</v>
      </c>
      <c r="V384" s="682">
        <f t="shared" si="188"/>
        <v>-0.49701681425956118</v>
      </c>
      <c r="W384" s="683">
        <f t="shared" si="176"/>
        <v>-20.877065622763759</v>
      </c>
      <c r="X384" s="684">
        <f t="shared" si="177"/>
        <v>-177.42808093615037</v>
      </c>
      <c r="Y384" s="687">
        <f t="shared" si="178"/>
        <v>2.5719190638496343</v>
      </c>
      <c r="AA384" s="170">
        <f t="shared" si="179"/>
        <v>32924.5</v>
      </c>
      <c r="AB384" s="170">
        <f t="shared" si="180"/>
        <v>1084022700.25</v>
      </c>
      <c r="AD384" s="686">
        <f t="shared" si="181"/>
        <v>23.572424597794157</v>
      </c>
      <c r="AE384" s="687">
        <f t="shared" si="182"/>
        <v>-51.971508117397633</v>
      </c>
      <c r="AG384" s="686">
        <f t="shared" si="183"/>
        <v>10.483626587726951</v>
      </c>
      <c r="AH384" s="687">
        <f t="shared" si="184"/>
        <v>-68.502641145452543</v>
      </c>
      <c r="AJ384" s="170">
        <f t="shared" si="185"/>
        <v>0</v>
      </c>
      <c r="AK384" s="170">
        <f t="shared" si="197"/>
        <v>0</v>
      </c>
      <c r="AM384" s="170" t="str">
        <f t="shared" si="189"/>
        <v>0.261051658355472+0.673762085888485i</v>
      </c>
      <c r="AN384" s="170" t="str">
        <f t="shared" si="190"/>
        <v>0.739288182344029i</v>
      </c>
      <c r="AO384" s="170" t="str">
        <f t="shared" si="191"/>
        <v>0.911365962529276-0.353112175454728i</v>
      </c>
      <c r="AP384" s="170" t="str">
        <f t="shared" si="192"/>
        <v>0.123158056940755-0.112293680981414i</v>
      </c>
      <c r="AQ384" s="170" t="str">
        <f t="shared" si="193"/>
        <v>0.876841943059245+0.112293680981414i</v>
      </c>
      <c r="AR384" s="170" t="str">
        <f t="shared" si="194"/>
        <v>0.934670723227322-0.119699584226738i</v>
      </c>
    </row>
    <row r="385" spans="7:44">
      <c r="G385" s="688">
        <v>33113</v>
      </c>
      <c r="H385" s="676">
        <f t="shared" si="186"/>
        <v>33.113</v>
      </c>
      <c r="I385" s="677">
        <f t="shared" si="166"/>
        <v>172.91789006941403</v>
      </c>
      <c r="J385" s="678">
        <f t="shared" si="167"/>
        <v>1.5650132029451478</v>
      </c>
      <c r="K385" s="678">
        <f t="shared" si="168"/>
        <v>1.0010469956256971</v>
      </c>
      <c r="L385" s="679">
        <f t="shared" si="169"/>
        <v>4.5740199851792104E-2</v>
      </c>
      <c r="M385" s="678">
        <f t="shared" si="170"/>
        <v>1.0153464838886248</v>
      </c>
      <c r="N385" s="679">
        <f t="shared" si="171"/>
        <v>-0.17408479574975694</v>
      </c>
      <c r="O385" s="677">
        <f t="shared" si="172"/>
        <v>624165.34451750107</v>
      </c>
      <c r="P385" s="680">
        <f t="shared" si="173"/>
        <v>1.5707947246553213</v>
      </c>
      <c r="Q385" s="689">
        <f t="shared" si="195"/>
        <v>83.644134084349915</v>
      </c>
      <c r="R385" s="690">
        <f t="shared" si="196"/>
        <v>1.5588406309836493</v>
      </c>
      <c r="S385" s="677">
        <f t="shared" si="174"/>
        <v>1.6043540016193929</v>
      </c>
      <c r="T385" s="680">
        <f t="shared" si="175"/>
        <v>0.89783574053276627</v>
      </c>
      <c r="U385" s="681">
        <f t="shared" si="187"/>
        <v>0.92018766418583076</v>
      </c>
      <c r="V385" s="682">
        <f t="shared" si="188"/>
        <v>-0.49964810831164874</v>
      </c>
      <c r="W385" s="683">
        <f t="shared" si="176"/>
        <v>-20.962914390444098</v>
      </c>
      <c r="X385" s="684">
        <f t="shared" si="177"/>
        <v>-177.77710087418745</v>
      </c>
      <c r="Y385" s="687">
        <f t="shared" si="178"/>
        <v>2.2228991258125461</v>
      </c>
      <c r="AA385" s="170">
        <f t="shared" si="179"/>
        <v>33113</v>
      </c>
      <c r="AB385" s="170">
        <f t="shared" si="180"/>
        <v>1096470769</v>
      </c>
      <c r="AD385" s="686">
        <f t="shared" si="181"/>
        <v>23.542162821956381</v>
      </c>
      <c r="AE385" s="687">
        <f t="shared" si="182"/>
        <v>-52.127117803385133</v>
      </c>
      <c r="AG385" s="686">
        <f t="shared" si="183"/>
        <v>10.443208304043768</v>
      </c>
      <c r="AH385" s="687">
        <f t="shared" si="184"/>
        <v>-68.394527309472622</v>
      </c>
      <c r="AJ385" s="170">
        <f t="shared" si="185"/>
        <v>0</v>
      </c>
      <c r="AK385" s="170">
        <f t="shared" si="197"/>
        <v>0</v>
      </c>
      <c r="AM385" s="170" t="str">
        <f t="shared" si="189"/>
        <v>0.263910025770172+0.676883704810753i</v>
      </c>
      <c r="AN385" s="170" t="str">
        <f t="shared" si="190"/>
        <v>0.743520769699094i</v>
      </c>
      <c r="AO385" s="170" t="str">
        <f t="shared" si="191"/>
        <v>0.910376323562139-0.354946407047886i</v>
      </c>
      <c r="AP385" s="170" t="str">
        <f t="shared" si="192"/>
        <v>0.122681662371638-0.112813950801792i</v>
      </c>
      <c r="AQ385" s="170" t="str">
        <f t="shared" si="193"/>
        <v>0.877318337628362+0.112813950801792i</v>
      </c>
      <c r="AR385" s="170" t="str">
        <f t="shared" si="194"/>
        <v>0.934039718221053-0.12010772635069i</v>
      </c>
    </row>
    <row r="386" spans="7:44">
      <c r="G386" s="688">
        <v>33305.75</v>
      </c>
      <c r="H386" s="676">
        <f t="shared" si="186"/>
        <v>33.305750000000003</v>
      </c>
      <c r="I386" s="677">
        <f t="shared" si="166"/>
        <v>173.9244075050249</v>
      </c>
      <c r="J386" s="678">
        <f t="shared" si="167"/>
        <v>1.5650466708143254</v>
      </c>
      <c r="K386" s="678">
        <f t="shared" si="168"/>
        <v>1.001059213708652</v>
      </c>
      <c r="L386" s="679">
        <f t="shared" si="169"/>
        <v>4.6006078037604176E-2</v>
      </c>
      <c r="M386" s="678">
        <f t="shared" si="170"/>
        <v>1.0155242972307477</v>
      </c>
      <c r="N386" s="679">
        <f t="shared" si="171"/>
        <v>-0.17507761604383074</v>
      </c>
      <c r="O386" s="677">
        <f t="shared" si="172"/>
        <v>627798.59641722147</v>
      </c>
      <c r="P386" s="680">
        <f t="shared" si="173"/>
        <v>1.570794733927366</v>
      </c>
      <c r="Q386" s="689">
        <f t="shared" si="195"/>
        <v>84.130955245418761</v>
      </c>
      <c r="R386" s="690">
        <f t="shared" si="196"/>
        <v>1.5589098155142065</v>
      </c>
      <c r="S386" s="677">
        <f t="shared" si="174"/>
        <v>1.6100711061515256</v>
      </c>
      <c r="T386" s="680">
        <f t="shared" si="175"/>
        <v>0.90066287774505849</v>
      </c>
      <c r="U386" s="681">
        <f t="shared" si="187"/>
        <v>0.91936300301808938</v>
      </c>
      <c r="V386" s="682">
        <f t="shared" si="188"/>
        <v>-0.50233540949808475</v>
      </c>
      <c r="W386" s="683">
        <f t="shared" si="176"/>
        <v>-21.050391419723688</v>
      </c>
      <c r="X386" s="684">
        <f t="shared" si="177"/>
        <v>-178.13265975327315</v>
      </c>
      <c r="Y386" s="687">
        <f t="shared" si="178"/>
        <v>1.8673402467268545</v>
      </c>
      <c r="AA386" s="170">
        <f t="shared" si="179"/>
        <v>33305.75</v>
      </c>
      <c r="AB386" s="170">
        <f t="shared" si="180"/>
        <v>1109272983.0625</v>
      </c>
      <c r="AD386" s="686">
        <f t="shared" si="181"/>
        <v>23.511258567597473</v>
      </c>
      <c r="AE386" s="687">
        <f t="shared" si="182"/>
        <v>-52.285137383574941</v>
      </c>
      <c r="AG386" s="686">
        <f t="shared" si="183"/>
        <v>10.402210889996457</v>
      </c>
      <c r="AH386" s="687">
        <f t="shared" si="184"/>
        <v>-68.284124575490097</v>
      </c>
      <c r="AJ386" s="170">
        <f t="shared" si="185"/>
        <v>0</v>
      </c>
      <c r="AK386" s="170">
        <f t="shared" si="197"/>
        <v>0</v>
      </c>
      <c r="AM386" s="170" t="str">
        <f t="shared" si="189"/>
        <v>0.266846474944189+0.680063165226759i</v>
      </c>
      <c r="AN386" s="170" t="str">
        <f t="shared" si="190"/>
        <v>0.747848786742537i</v>
      </c>
      <c r="AO386" s="170" t="str">
        <f t="shared" si="191"/>
        <v>0.909359187689483-0.356818757581346i</v>
      </c>
      <c r="AP386" s="170" t="str">
        <f t="shared" si="192"/>
        <v>0.122192254175969-0.113343860871127i</v>
      </c>
      <c r="AQ386" s="170" t="str">
        <f t="shared" si="193"/>
        <v>0.877807745824031+0.113343860871127i</v>
      </c>
      <c r="AR386" s="170" t="str">
        <f t="shared" si="194"/>
        <v>0.933393074473738-0.120521122392138i</v>
      </c>
    </row>
    <row r="387" spans="7:44">
      <c r="G387" s="688">
        <v>33498.5</v>
      </c>
      <c r="H387" s="676">
        <f t="shared" si="186"/>
        <v>33.4985</v>
      </c>
      <c r="I387" s="677">
        <f t="shared" si="166"/>
        <v>174.93092513320639</v>
      </c>
      <c r="J387" s="678">
        <f t="shared" si="167"/>
        <v>1.5650797535486611</v>
      </c>
      <c r="K387" s="678">
        <f t="shared" si="168"/>
        <v>1.0010715025559633</v>
      </c>
      <c r="L387" s="679">
        <f t="shared" si="169"/>
        <v>4.6271949714532225E-2</v>
      </c>
      <c r="M387" s="678">
        <f t="shared" si="170"/>
        <v>1.0157031112161328</v>
      </c>
      <c r="N387" s="679">
        <f t="shared" si="171"/>
        <v>-0.17607008774493429</v>
      </c>
      <c r="O387" s="677">
        <f t="shared" si="172"/>
        <v>631431.84831694188</v>
      </c>
      <c r="P387" s="680">
        <f t="shared" si="173"/>
        <v>1.5707947430927083</v>
      </c>
      <c r="Q387" s="689">
        <f t="shared" si="195"/>
        <v>84.617776804546835</v>
      </c>
      <c r="R387" s="690">
        <f t="shared" si="196"/>
        <v>1.558978203982551</v>
      </c>
      <c r="S387" s="677">
        <f t="shared" si="174"/>
        <v>1.6158009883808162</v>
      </c>
      <c r="T387" s="680">
        <f t="shared" si="175"/>
        <v>0.90346998632277176</v>
      </c>
      <c r="U387" s="681">
        <f t="shared" si="187"/>
        <v>0.91853564269988131</v>
      </c>
      <c r="V387" s="682">
        <f t="shared" si="188"/>
        <v>-0.50501934727156861</v>
      </c>
      <c r="W387" s="683">
        <f t="shared" si="176"/>
        <v>-21.137560216114565</v>
      </c>
      <c r="X387" s="684">
        <f t="shared" si="177"/>
        <v>-178.48688230507571</v>
      </c>
      <c r="Y387" s="687">
        <f t="shared" si="178"/>
        <v>1.5131176949242899</v>
      </c>
      <c r="AA387" s="170">
        <f t="shared" si="179"/>
        <v>33498.5</v>
      </c>
      <c r="AB387" s="170">
        <f t="shared" si="180"/>
        <v>1122149502.25</v>
      </c>
      <c r="AD387" s="686">
        <f t="shared" si="181"/>
        <v>23.48039526496666</v>
      </c>
      <c r="AE387" s="687">
        <f t="shared" si="182"/>
        <v>-52.442055012424085</v>
      </c>
      <c r="AG387" s="686">
        <f t="shared" si="183"/>
        <v>10.361545781884537</v>
      </c>
      <c r="AH387" s="687">
        <f t="shared" si="184"/>
        <v>-68.1738728842993</v>
      </c>
      <c r="AJ387" s="170">
        <f t="shared" si="185"/>
        <v>0</v>
      </c>
      <c r="AK387" s="170">
        <f t="shared" si="197"/>
        <v>0</v>
      </c>
      <c r="AM387" s="170" t="str">
        <f t="shared" si="189"/>
        <v>0.269796657331769+0.683229886902016i</v>
      </c>
      <c r="AN387" s="170" t="str">
        <f t="shared" si="190"/>
        <v>0.752176803785979i</v>
      </c>
      <c r="AO387" s="170" t="str">
        <f t="shared" si="191"/>
        <v>0.908336821161025-0.358687819105541i</v>
      </c>
      <c r="AP387" s="170" t="str">
        <f t="shared" si="192"/>
        <v>0.121700557111372-0.113871647817003i</v>
      </c>
      <c r="AQ387" s="170" t="str">
        <f t="shared" si="193"/>
        <v>0.878299442888628+0.113871647817003i</v>
      </c>
      <c r="AR387" s="170" t="str">
        <f t="shared" si="194"/>
        <v>0.932745031717653-0.120930526160291i</v>
      </c>
    </row>
    <row r="388" spans="7:44">
      <c r="G388" s="688">
        <v>33691.25</v>
      </c>
      <c r="H388" s="676">
        <f t="shared" si="186"/>
        <v>33.691249999999997</v>
      </c>
      <c r="I388" s="677">
        <f t="shared" si="166"/>
        <v>175.93744295065343</v>
      </c>
      <c r="J388" s="678">
        <f t="shared" si="167"/>
        <v>1.565112457758018</v>
      </c>
      <c r="K388" s="678">
        <f t="shared" si="168"/>
        <v>1.0010838621650253</v>
      </c>
      <c r="L388" s="679">
        <f t="shared" si="169"/>
        <v>4.6537814845228898E-2</v>
      </c>
      <c r="M388" s="678">
        <f t="shared" si="170"/>
        <v>1.0158829253163848</v>
      </c>
      <c r="N388" s="679">
        <f t="shared" si="171"/>
        <v>-0.17706220908249282</v>
      </c>
      <c r="O388" s="677">
        <f t="shared" si="172"/>
        <v>635065.10021666239</v>
      </c>
      <c r="P388" s="680">
        <f t="shared" si="173"/>
        <v>1.5707947521531793</v>
      </c>
      <c r="Q388" s="689">
        <f t="shared" si="195"/>
        <v>85.104598754903108</v>
      </c>
      <c r="R388" s="690">
        <f t="shared" si="196"/>
        <v>1.5590458100491289</v>
      </c>
      <c r="S388" s="677">
        <f t="shared" si="174"/>
        <v>1.621543512853552</v>
      </c>
      <c r="T388" s="680">
        <f t="shared" si="175"/>
        <v>0.90625723457931695</v>
      </c>
      <c r="U388" s="681">
        <f t="shared" si="187"/>
        <v>0.91770561040015075</v>
      </c>
      <c r="V388" s="682">
        <f t="shared" si="188"/>
        <v>-0.50769991443782381</v>
      </c>
      <c r="W388" s="683">
        <f t="shared" si="176"/>
        <v>-21.224423273421653</v>
      </c>
      <c r="X388" s="684">
        <f t="shared" si="177"/>
        <v>-178.83977725787113</v>
      </c>
      <c r="Y388" s="687">
        <f t="shared" si="178"/>
        <v>1.160222742128866</v>
      </c>
      <c r="AA388" s="170">
        <f t="shared" si="179"/>
        <v>33691.25</v>
      </c>
      <c r="AB388" s="170">
        <f t="shared" si="180"/>
        <v>1135100326.5625</v>
      </c>
      <c r="AD388" s="686">
        <f t="shared" si="181"/>
        <v>23.449573591339462</v>
      </c>
      <c r="AE388" s="687">
        <f t="shared" si="182"/>
        <v>-52.597879550999735</v>
      </c>
      <c r="AG388" s="686">
        <f t="shared" si="183"/>
        <v>10.321209457505239</v>
      </c>
      <c r="AH388" s="687">
        <f t="shared" si="184"/>
        <v>-68.063772927512545</v>
      </c>
      <c r="AJ388" s="170">
        <f t="shared" si="185"/>
        <v>0</v>
      </c>
      <c r="AK388" s="170">
        <f t="shared" si="197"/>
        <v>0</v>
      </c>
      <c r="AM388" s="170" t="str">
        <f t="shared" si="189"/>
        <v>0.272760517670974+0.686383810518437i</v>
      </c>
      <c r="AN388" s="170" t="str">
        <f t="shared" si="190"/>
        <v>0.756504820829421i</v>
      </c>
      <c r="AO388" s="170" t="str">
        <f t="shared" si="191"/>
        <v>0.907309235340887-0.360553575021403i</v>
      </c>
      <c r="AP388" s="170" t="str">
        <f t="shared" si="192"/>
        <v>0.121206580388171-0.114397301753073i</v>
      </c>
      <c r="AQ388" s="170" t="str">
        <f t="shared" si="193"/>
        <v>0.878793419611829+0.114397301753073i</v>
      </c>
      <c r="AR388" s="170" t="str">
        <f t="shared" si="194"/>
        <v>0.932095618633294-0.121335937852845i</v>
      </c>
    </row>
    <row r="389" spans="7:44">
      <c r="G389" s="688">
        <v>33884</v>
      </c>
      <c r="H389" s="676">
        <f t="shared" si="186"/>
        <v>33.884</v>
      </c>
      <c r="I389" s="677">
        <f t="shared" si="166"/>
        <v>176.94396095413626</v>
      </c>
      <c r="J389" s="678">
        <f t="shared" si="167"/>
        <v>1.5651447899018653</v>
      </c>
      <c r="K389" s="678">
        <f t="shared" si="168"/>
        <v>1.0010962925332167</v>
      </c>
      <c r="L389" s="679">
        <f t="shared" si="169"/>
        <v>4.6803673392352398E-2</v>
      </c>
      <c r="M389" s="678">
        <f t="shared" si="170"/>
        <v>1.0160637390005294</v>
      </c>
      <c r="N389" s="679">
        <f t="shared" si="171"/>
        <v>-0.17805397828994041</v>
      </c>
      <c r="O389" s="677">
        <f t="shared" si="172"/>
        <v>638698.35211638291</v>
      </c>
      <c r="P389" s="680">
        <f t="shared" si="173"/>
        <v>1.570794761110569</v>
      </c>
      <c r="Q389" s="689">
        <f t="shared" si="195"/>
        <v>85.591421089811973</v>
      </c>
      <c r="R389" s="690">
        <f t="shared" si="196"/>
        <v>1.5591126470636261</v>
      </c>
      <c r="S389" s="677">
        <f t="shared" si="174"/>
        <v>1.6272985457312494</v>
      </c>
      <c r="T389" s="680">
        <f t="shared" si="175"/>
        <v>0.9090247896892828</v>
      </c>
      <c r="U389" s="681">
        <f t="shared" si="187"/>
        <v>0.91687293323839081</v>
      </c>
      <c r="V389" s="682">
        <f t="shared" si="188"/>
        <v>-0.5103771039513274</v>
      </c>
      <c r="W389" s="683">
        <f t="shared" si="176"/>
        <v>-21.310983047706266</v>
      </c>
      <c r="X389" s="684">
        <f t="shared" si="177"/>
        <v>-179.19135329262406</v>
      </c>
      <c r="Y389" s="687">
        <f t="shared" si="178"/>
        <v>0.80864670737594224</v>
      </c>
      <c r="AA389" s="170">
        <f t="shared" si="179"/>
        <v>33884</v>
      </c>
      <c r="AB389" s="170">
        <f t="shared" si="180"/>
        <v>1148125456</v>
      </c>
      <c r="AD389" s="686">
        <f t="shared" si="181"/>
        <v>23.418794204704724</v>
      </c>
      <c r="AE389" s="687">
        <f t="shared" si="182"/>
        <v>-52.752619812922163</v>
      </c>
      <c r="AG389" s="686">
        <f t="shared" si="183"/>
        <v>10.281198451772342</v>
      </c>
      <c r="AH389" s="687">
        <f t="shared" si="184"/>
        <v>-67.95382537983167</v>
      </c>
      <c r="AJ389" s="170">
        <f t="shared" si="185"/>
        <v>0</v>
      </c>
      <c r="AK389" s="170">
        <f t="shared" si="197"/>
        <v>0</v>
      </c>
      <c r="AM389" s="170" t="str">
        <f t="shared" si="189"/>
        <v>0.275738000443654+0.689524876997664i</v>
      </c>
      <c r="AN389" s="170" t="str">
        <f t="shared" si="190"/>
        <v>0.760832837872863i</v>
      </c>
      <c r="AO389" s="170" t="str">
        <f t="shared" si="191"/>
        <v>0.906276441649703-0.362416008770813i</v>
      </c>
      <c r="AP389" s="170" t="str">
        <f t="shared" si="192"/>
        <v>0.120710333259391-0.114920812832944i</v>
      </c>
      <c r="AQ389" s="170" t="str">
        <f t="shared" si="193"/>
        <v>0.879289666740609+0.114920812832944i</v>
      </c>
      <c r="AR389" s="170" t="str">
        <f t="shared" si="194"/>
        <v>0.931444863800166-0.121737357899105i</v>
      </c>
    </row>
    <row r="390" spans="7:44">
      <c r="G390" s="688">
        <v>34081.5</v>
      </c>
      <c r="H390" s="676">
        <f t="shared" si="186"/>
        <v>34.081499999999998</v>
      </c>
      <c r="I390" s="677">
        <f t="shared" si="166"/>
        <v>177.97528309289842</v>
      </c>
      <c r="J390" s="678">
        <f t="shared" si="167"/>
        <v>1.5651775394867031</v>
      </c>
      <c r="K390" s="678">
        <f t="shared" si="168"/>
        <v>1.0011091026204224</v>
      </c>
      <c r="L390" s="679">
        <f t="shared" si="169"/>
        <v>4.7076076708844242E-2</v>
      </c>
      <c r="M390" s="678">
        <f t="shared" si="170"/>
        <v>1.0162500448132357</v>
      </c>
      <c r="N390" s="679">
        <f t="shared" si="171"/>
        <v>-0.179069820886956</v>
      </c>
      <c r="O390" s="677">
        <f t="shared" si="172"/>
        <v>642421.13940662844</v>
      </c>
      <c r="P390" s="680">
        <f t="shared" si="173"/>
        <v>1.5707947701836042</v>
      </c>
      <c r="Q390" s="689">
        <f t="shared" si="195"/>
        <v>86.090240735541855</v>
      </c>
      <c r="R390" s="690">
        <f t="shared" si="196"/>
        <v>1.5591803470937438</v>
      </c>
      <c r="S390" s="677">
        <f t="shared" si="174"/>
        <v>1.6332082380175221</v>
      </c>
      <c r="T390" s="680">
        <f t="shared" si="175"/>
        <v>0.91184029308553338</v>
      </c>
      <c r="U390" s="681">
        <f t="shared" si="187"/>
        <v>0.91601702102153548</v>
      </c>
      <c r="V390" s="682">
        <f t="shared" si="188"/>
        <v>-0.51311675755828245</v>
      </c>
      <c r="W390" s="683">
        <f t="shared" si="176"/>
        <v>-21.399363886061167</v>
      </c>
      <c r="X390" s="684">
        <f t="shared" si="177"/>
        <v>-179.5502342837886</v>
      </c>
      <c r="Y390" s="687">
        <f t="shared" si="178"/>
        <v>0.44976571621140238</v>
      </c>
      <c r="AA390" s="170">
        <f t="shared" si="179"/>
        <v>34081.5</v>
      </c>
      <c r="AB390" s="170">
        <f t="shared" si="180"/>
        <v>1161548642.25</v>
      </c>
      <c r="AD390" s="686">
        <f t="shared" si="181"/>
        <v>23.387300842980608</v>
      </c>
      <c r="AE390" s="687">
        <f t="shared" si="182"/>
        <v>-52.910057868759935</v>
      </c>
      <c r="AG390" s="686">
        <f t="shared" si="183"/>
        <v>10.240535319824309</v>
      </c>
      <c r="AH390" s="687">
        <f t="shared" si="184"/>
        <v>-67.841327136787072</v>
      </c>
      <c r="AJ390" s="170">
        <f t="shared" si="185"/>
        <v>0</v>
      </c>
      <c r="AK390" s="170">
        <f t="shared" si="197"/>
        <v>0</v>
      </c>
      <c r="AM390" s="170" t="str">
        <f t="shared" si="189"/>
        <v>0.278802930072271+0.692729951949285i</v>
      </c>
      <c r="AN390" s="170" t="str">
        <f t="shared" si="190"/>
        <v>0.765267511626844i</v>
      </c>
      <c r="AO390" s="170" t="str">
        <f t="shared" si="191"/>
        <v>0.905212806534338-0.364320875819722i</v>
      </c>
      <c r="AP390" s="170" t="str">
        <f t="shared" si="192"/>
        <v>0.120199511654622-0.115454991991548i</v>
      </c>
      <c r="AQ390" s="170" t="str">
        <f t="shared" si="193"/>
        <v>0.879800488345378+0.115454991991548i</v>
      </c>
      <c r="AR390" s="170" t="str">
        <f t="shared" si="194"/>
        <v>0.930776710233153-0.122144530549183i</v>
      </c>
    </row>
    <row r="391" spans="7:44">
      <c r="G391" s="688">
        <v>34279</v>
      </c>
      <c r="H391" s="676">
        <f t="shared" si="186"/>
        <v>34.279000000000003</v>
      </c>
      <c r="I391" s="677">
        <f t="shared" si="166"/>
        <v>179.00660542034584</v>
      </c>
      <c r="J391" s="678">
        <f t="shared" si="167"/>
        <v>1.5652099117069749</v>
      </c>
      <c r="K391" s="678">
        <f t="shared" si="168"/>
        <v>1.0011219869915899</v>
      </c>
      <c r="L391" s="679">
        <f t="shared" si="169"/>
        <v>4.7348473033924511E-2</v>
      </c>
      <c r="M391" s="678">
        <f t="shared" si="170"/>
        <v>1.0164373989460611</v>
      </c>
      <c r="N391" s="679">
        <f t="shared" si="171"/>
        <v>-0.18008529004255719</v>
      </c>
      <c r="O391" s="677">
        <f t="shared" si="172"/>
        <v>646143.92669687385</v>
      </c>
      <c r="P391" s="680">
        <f t="shared" si="173"/>
        <v>1.5707947791520902</v>
      </c>
      <c r="Q391" s="689">
        <f t="shared" si="195"/>
        <v>86.589060771302499</v>
      </c>
      <c r="R391" s="690">
        <f t="shared" si="196"/>
        <v>1.5592472671149784</v>
      </c>
      <c r="S391" s="677">
        <f t="shared" si="174"/>
        <v>1.6391307834284219</v>
      </c>
      <c r="T391" s="680">
        <f t="shared" si="175"/>
        <v>0.9146354724217185</v>
      </c>
      <c r="U391" s="681">
        <f t="shared" si="187"/>
        <v>0.9151583894601153</v>
      </c>
      <c r="V391" s="682">
        <f t="shared" si="188"/>
        <v>-0.51585285048825202</v>
      </c>
      <c r="W391" s="683">
        <f t="shared" si="176"/>
        <v>-21.487431412635992</v>
      </c>
      <c r="X391" s="684">
        <f t="shared" si="177"/>
        <v>-179.90774884811501</v>
      </c>
      <c r="Y391" s="687">
        <f t="shared" si="178"/>
        <v>9.2251151884994442E-2</v>
      </c>
      <c r="AA391" s="170">
        <f t="shared" si="179"/>
        <v>34279</v>
      </c>
      <c r="AB391" s="170">
        <f t="shared" si="180"/>
        <v>1175049841</v>
      </c>
      <c r="AD391" s="686">
        <f t="shared" si="181"/>
        <v>23.355853216327517</v>
      </c>
      <c r="AE391" s="687">
        <f t="shared" si="182"/>
        <v>-53.066376126958879</v>
      </c>
      <c r="AG391" s="686">
        <f t="shared" si="183"/>
        <v>10.200206550694633</v>
      </c>
      <c r="AH391" s="687">
        <f t="shared" si="184"/>
        <v>-67.728990288070605</v>
      </c>
      <c r="AJ391" s="170">
        <f t="shared" si="185"/>
        <v>0</v>
      </c>
      <c r="AK391" s="170">
        <f t="shared" si="197"/>
        <v>0</v>
      </c>
      <c r="AM391" s="170" t="str">
        <f t="shared" si="189"/>
        <v>0.281882042978157+0.695921403466494i</v>
      </c>
      <c r="AN391" s="170" t="str">
        <f t="shared" si="190"/>
        <v>0.769702185380825i</v>
      </c>
      <c r="AO391" s="170" t="str">
        <f t="shared" si="191"/>
        <v>0.904143728164385-0.366222219881954i</v>
      </c>
      <c r="AP391" s="170" t="str">
        <f t="shared" si="192"/>
        <v>0.119686326170307-0.115986900577749i</v>
      </c>
      <c r="AQ391" s="170" t="str">
        <f t="shared" si="193"/>
        <v>0.880313673829693+0.115986900577749i</v>
      </c>
      <c r="AR391" s="170" t="str">
        <f t="shared" si="194"/>
        <v>0.930107208389247-0.122547514043229i</v>
      </c>
    </row>
    <row r="392" spans="7:44">
      <c r="G392" s="688">
        <v>34476.5</v>
      </c>
      <c r="H392" s="676">
        <f t="shared" si="186"/>
        <v>34.476500000000001</v>
      </c>
      <c r="I392" s="677">
        <f t="shared" si="166"/>
        <v>180.03792793323595</v>
      </c>
      <c r="J392" s="678">
        <f t="shared" si="167"/>
        <v>1.5652419130476554</v>
      </c>
      <c r="K392" s="678">
        <f t="shared" si="168"/>
        <v>1.0011349456438514</v>
      </c>
      <c r="L392" s="679">
        <f t="shared" si="169"/>
        <v>4.7620862327440443E-2</v>
      </c>
      <c r="M392" s="678">
        <f t="shared" si="170"/>
        <v>1.0166258008194209</v>
      </c>
      <c r="N392" s="679">
        <f t="shared" si="171"/>
        <v>-0.18110038386953192</v>
      </c>
      <c r="O392" s="677">
        <f t="shared" si="172"/>
        <v>649866.7139871195</v>
      </c>
      <c r="P392" s="680">
        <f t="shared" si="173"/>
        <v>1.5707947880178237</v>
      </c>
      <c r="Q392" s="689">
        <f t="shared" si="195"/>
        <v>87.087881190391883</v>
      </c>
      <c r="R392" s="690">
        <f t="shared" si="196"/>
        <v>1.5593134205298882</v>
      </c>
      <c r="S392" s="677">
        <f t="shared" si="174"/>
        <v>1.6450660431429973</v>
      </c>
      <c r="T392" s="680">
        <f t="shared" si="175"/>
        <v>0.91741050376604227</v>
      </c>
      <c r="U392" s="681">
        <f t="shared" si="187"/>
        <v>0.91429706755526152</v>
      </c>
      <c r="V392" s="682">
        <f t="shared" si="188"/>
        <v>-0.51858537564434515</v>
      </c>
      <c r="W392" s="683">
        <f t="shared" si="176"/>
        <v>-21.57518815224347</v>
      </c>
      <c r="X392" s="684">
        <f t="shared" si="177"/>
        <v>-180.26390616487234</v>
      </c>
      <c r="Y392" s="687">
        <f t="shared" si="178"/>
        <v>-0.26390616487233842</v>
      </c>
      <c r="AA392" s="170">
        <f t="shared" si="179"/>
        <v>34476.5</v>
      </c>
      <c r="AB392" s="170">
        <f t="shared" si="180"/>
        <v>1188629052.25</v>
      </c>
      <c r="AD392" s="686">
        <f t="shared" si="181"/>
        <v>23.324451972060718</v>
      </c>
      <c r="AE392" s="687">
        <f t="shared" si="182"/>
        <v>-53.221583907676894</v>
      </c>
      <c r="AG392" s="686">
        <f t="shared" si="183"/>
        <v>10.160208595041482</v>
      </c>
      <c r="AH392" s="687">
        <f t="shared" si="184"/>
        <v>-67.616815506037128</v>
      </c>
      <c r="AJ392" s="170">
        <f t="shared" si="185"/>
        <v>0</v>
      </c>
      <c r="AK392" s="170">
        <f t="shared" si="197"/>
        <v>0</v>
      </c>
      <c r="AM392" s="170" t="str">
        <f t="shared" si="189"/>
        <v>0.284975278606556+0.69909916878525i</v>
      </c>
      <c r="AN392" s="170" t="str">
        <f t="shared" si="190"/>
        <v>0.774136859134806i</v>
      </c>
      <c r="AO392" s="170" t="str">
        <f t="shared" si="191"/>
        <v>0.903069219009388-0.368120023279929i</v>
      </c>
      <c r="AP392" s="170" t="str">
        <f t="shared" si="192"/>
        <v>0.119170786898907-0.116516528130875i</v>
      </c>
      <c r="AQ392" s="170" t="str">
        <f t="shared" si="193"/>
        <v>0.880829213101093+0.116516528130875i</v>
      </c>
      <c r="AR392" s="170" t="str">
        <f t="shared" si="194"/>
        <v>0.929436388670911-0.122946309586129i</v>
      </c>
    </row>
    <row r="393" spans="7:44">
      <c r="G393" s="688">
        <v>34674</v>
      </c>
      <c r="H393" s="676">
        <f t="shared" si="186"/>
        <v>34.673999999999999</v>
      </c>
      <c r="I393" s="677">
        <f t="shared" si="166"/>
        <v>181.06925062840008</v>
      </c>
      <c r="J393" s="678">
        <f t="shared" si="167"/>
        <v>1.5652735498459753</v>
      </c>
      <c r="K393" s="678">
        <f t="shared" si="168"/>
        <v>1.0011479785743223</v>
      </c>
      <c r="L393" s="679">
        <f t="shared" si="169"/>
        <v>4.7893244549245512E-2</v>
      </c>
      <c r="M393" s="678">
        <f t="shared" si="170"/>
        <v>1.0168152498509191</v>
      </c>
      <c r="N393" s="679">
        <f t="shared" si="171"/>
        <v>-0.18211510048515703</v>
      </c>
      <c r="O393" s="677">
        <f t="shared" si="172"/>
        <v>653589.50127736514</v>
      </c>
      <c r="P393" s="680">
        <f t="shared" si="173"/>
        <v>1.57079479678256</v>
      </c>
      <c r="Q393" s="689">
        <f t="shared" si="195"/>
        <v>87.586701986260636</v>
      </c>
      <c r="R393" s="690">
        <f t="shared" si="196"/>
        <v>1.5593788204357402</v>
      </c>
      <c r="S393" s="677">
        <f t="shared" si="174"/>
        <v>1.6510138800406124</v>
      </c>
      <c r="T393" s="680">
        <f t="shared" si="175"/>
        <v>0.92016556189893473</v>
      </c>
      <c r="U393" s="681">
        <f t="shared" si="187"/>
        <v>0.91343308424587566</v>
      </c>
      <c r="V393" s="682">
        <f t="shared" si="188"/>
        <v>-0.52131432609120354</v>
      </c>
      <c r="W393" s="683">
        <f t="shared" si="176"/>
        <v>-21.662636592019737</v>
      </c>
      <c r="X393" s="684">
        <f t="shared" si="177"/>
        <v>-180.61871535808183</v>
      </c>
      <c r="Y393" s="687">
        <f t="shared" si="178"/>
        <v>-0.61871535808182898</v>
      </c>
      <c r="AA393" s="170">
        <f t="shared" si="179"/>
        <v>34674</v>
      </c>
      <c r="AB393" s="170">
        <f t="shared" si="180"/>
        <v>1202286276</v>
      </c>
      <c r="AD393" s="686">
        <f t="shared" si="181"/>
        <v>23.293097737894243</v>
      </c>
      <c r="AE393" s="687">
        <f t="shared" si="182"/>
        <v>-53.375690474777429</v>
      </c>
      <c r="AG393" s="686">
        <f t="shared" si="183"/>
        <v>10.120537960987983</v>
      </c>
      <c r="AH393" s="687">
        <f t="shared" si="184"/>
        <v>-67.504803445578148</v>
      </c>
      <c r="AJ393" s="170">
        <f t="shared" si="185"/>
        <v>0</v>
      </c>
      <c r="AK393" s="170">
        <f t="shared" si="197"/>
        <v>0</v>
      </c>
      <c r="AM393" s="170" t="str">
        <f t="shared" si="189"/>
        <v>0.288082576124971+0.702263185410671i</v>
      </c>
      <c r="AN393" s="170" t="str">
        <f t="shared" si="190"/>
        <v>0.778571532888787i</v>
      </c>
      <c r="AO393" s="170" t="str">
        <f t="shared" si="191"/>
        <v>0.901989291600498-0.370014268382095i</v>
      </c>
      <c r="AP393" s="170" t="str">
        <f t="shared" si="192"/>
        <v>0.118652903979171-0.117043864235112i</v>
      </c>
      <c r="AQ393" s="170" t="str">
        <f t="shared" si="193"/>
        <v>0.881347096020829+0.117043864235112i</v>
      </c>
      <c r="AR393" s="170" t="str">
        <f t="shared" si="194"/>
        <v>0.928764281360985-0.123340918628803i</v>
      </c>
    </row>
    <row r="394" spans="7:44">
      <c r="G394" s="688">
        <v>34875.75</v>
      </c>
      <c r="H394" s="676">
        <f t="shared" si="186"/>
        <v>34.875749999999996</v>
      </c>
      <c r="I394" s="677">
        <f t="shared" si="166"/>
        <v>182.1227665285663</v>
      </c>
      <c r="J394" s="678">
        <f t="shared" si="167"/>
        <v>1.5653054974826339</v>
      </c>
      <c r="K394" s="678">
        <f t="shared" si="168"/>
        <v>1.0011613686502372</v>
      </c>
      <c r="L394" s="679">
        <f t="shared" si="169"/>
        <v>4.817148081727899E-2</v>
      </c>
      <c r="M394" s="678">
        <f t="shared" si="170"/>
        <v>1.0170098562264205</v>
      </c>
      <c r="N394" s="679">
        <f t="shared" si="171"/>
        <v>-0.18315126134713017</v>
      </c>
      <c r="O394" s="677">
        <f t="shared" si="172"/>
        <v>657392.39918018563</v>
      </c>
      <c r="P394" s="680">
        <f t="shared" si="173"/>
        <v>1.5707948056334089</v>
      </c>
      <c r="Q394" s="689">
        <f t="shared" si="195"/>
        <v>88.096257282894257</v>
      </c>
      <c r="R394" s="690">
        <f t="shared" si="196"/>
        <v>1.5594448629856374</v>
      </c>
      <c r="S394" s="677">
        <f t="shared" si="174"/>
        <v>1.657102553595319</v>
      </c>
      <c r="T394" s="680">
        <f t="shared" si="175"/>
        <v>0.92295946395617801</v>
      </c>
      <c r="U394" s="681">
        <f t="shared" si="187"/>
        <v>0.91254779099073902</v>
      </c>
      <c r="V394" s="682">
        <f t="shared" si="188"/>
        <v>-0.52409830282112546</v>
      </c>
      <c r="W394" s="683">
        <f t="shared" si="176"/>
        <v>-21.751651058980816</v>
      </c>
      <c r="X394" s="684">
        <f t="shared" si="177"/>
        <v>-180.97977716454125</v>
      </c>
      <c r="Y394" s="687">
        <f t="shared" si="178"/>
        <v>-0.97977716454124675</v>
      </c>
      <c r="AA394" s="170">
        <f t="shared" si="179"/>
        <v>34875.75</v>
      </c>
      <c r="AB394" s="170">
        <f t="shared" si="180"/>
        <v>1216317938.0625</v>
      </c>
      <c r="AD394" s="686">
        <f t="shared" si="181"/>
        <v>23.261117963459231</v>
      </c>
      <c r="AE394" s="687">
        <f t="shared" si="182"/>
        <v>-53.531985818947888</v>
      </c>
      <c r="AG394" s="686">
        <f t="shared" si="183"/>
        <v>10.080348045355759</v>
      </c>
      <c r="AH394" s="687">
        <f t="shared" si="184"/>
        <v>-67.390549673728287</v>
      </c>
      <c r="AJ394" s="170">
        <f t="shared" si="185"/>
        <v>0</v>
      </c>
      <c r="AK394" s="170">
        <f t="shared" si="197"/>
        <v>0</v>
      </c>
      <c r="AM394" s="170" t="str">
        <f t="shared" si="189"/>
        <v>0.29127119503179+0.705481028099504i</v>
      </c>
      <c r="AN394" s="170" t="str">
        <f t="shared" si="190"/>
        <v>0.783101636331145i</v>
      </c>
      <c r="AO394" s="170" t="str">
        <f t="shared" si="191"/>
        <v>0.90088054394153-0.371945583457601i</v>
      </c>
      <c r="AP394" s="170" t="str">
        <f t="shared" si="192"/>
        <v>0.118121467494702-0.117580171349917i</v>
      </c>
      <c r="AQ394" s="170" t="str">
        <f t="shared" si="193"/>
        <v>0.881878532505298+0.117580171349917i</v>
      </c>
      <c r="AR394" s="170" t="str">
        <f t="shared" si="194"/>
        <v>0.928076412895596-0.123739698418642i</v>
      </c>
    </row>
    <row r="395" spans="7:44">
      <c r="G395" s="688">
        <v>35077.5</v>
      </c>
      <c r="H395" s="676">
        <f t="shared" si="186"/>
        <v>35.077500000000001</v>
      </c>
      <c r="I395" s="677">
        <f t="shared" si="166"/>
        <v>183.17628261247819</v>
      </c>
      <c r="J395" s="678">
        <f t="shared" si="167"/>
        <v>1.5653370776334403</v>
      </c>
      <c r="K395" s="678">
        <f t="shared" si="168"/>
        <v>1.0011748362294044</v>
      </c>
      <c r="L395" s="679">
        <f t="shared" si="169"/>
        <v>4.8449709621307555E-2</v>
      </c>
      <c r="M395" s="678">
        <f t="shared" si="170"/>
        <v>1.0172055540750609</v>
      </c>
      <c r="N395" s="679">
        <f t="shared" si="171"/>
        <v>-0.18418702463153963</v>
      </c>
      <c r="O395" s="677">
        <f t="shared" si="172"/>
        <v>661195.29708300624</v>
      </c>
      <c r="P395" s="680">
        <f t="shared" si="173"/>
        <v>1.5707948143824455</v>
      </c>
      <c r="Q395" s="689">
        <f t="shared" si="195"/>
        <v>88.605812959350743</v>
      </c>
      <c r="R395" s="690">
        <f t="shared" si="196"/>
        <v>1.5595101459387868</v>
      </c>
      <c r="S395" s="677">
        <f t="shared" si="174"/>
        <v>1.663204067543179</v>
      </c>
      <c r="T395" s="680">
        <f t="shared" si="175"/>
        <v>0.92573288850362401</v>
      </c>
      <c r="U395" s="681">
        <f t="shared" si="187"/>
        <v>0.91165978139593729</v>
      </c>
      <c r="V395" s="682">
        <f t="shared" si="188"/>
        <v>-0.52687853522105388</v>
      </c>
      <c r="W395" s="683">
        <f t="shared" si="176"/>
        <v>-21.840348944913703</v>
      </c>
      <c r="X395" s="684">
        <f t="shared" si="177"/>
        <v>-181.33945127041267</v>
      </c>
      <c r="Y395" s="687">
        <f t="shared" si="178"/>
        <v>-1.3394512704126669</v>
      </c>
      <c r="AA395" s="170">
        <f t="shared" si="179"/>
        <v>35077.5</v>
      </c>
      <c r="AB395" s="170">
        <f t="shared" si="180"/>
        <v>1230431006.25</v>
      </c>
      <c r="AD395" s="686">
        <f t="shared" si="181"/>
        <v>23.229188507428571</v>
      </c>
      <c r="AE395" s="687">
        <f t="shared" si="182"/>
        <v>-53.687151404085093</v>
      </c>
      <c r="AG395" s="686">
        <f t="shared" si="183"/>
        <v>10.040492502043852</v>
      </c>
      <c r="AH395" s="687">
        <f t="shared" si="184"/>
        <v>-67.276467028935571</v>
      </c>
      <c r="AJ395" s="170">
        <f t="shared" si="185"/>
        <v>0</v>
      </c>
      <c r="AK395" s="170">
        <f t="shared" si="197"/>
        <v>0</v>
      </c>
      <c r="AM395" s="170" t="str">
        <f t="shared" si="189"/>
        <v>0.294474358330889+0.708684393046291i</v>
      </c>
      <c r="AN395" s="170" t="str">
        <f t="shared" si="190"/>
        <v>0.787631739773502i</v>
      </c>
      <c r="AO395" s="170" t="str">
        <f t="shared" si="191"/>
        <v>0.899766168958715-0.37387314840254i</v>
      </c>
      <c r="AP395" s="170" t="str">
        <f t="shared" si="192"/>
        <v>0.117587606944852-0.118114065507715i</v>
      </c>
      <c r="AQ395" s="170" t="str">
        <f t="shared" si="193"/>
        <v>0.882412393055148+0.118114065507715i</v>
      </c>
      <c r="AR395" s="170" t="str">
        <f t="shared" si="194"/>
        <v>0.927387264317173-0.124134113426638i</v>
      </c>
    </row>
    <row r="396" spans="7:44">
      <c r="G396" s="688">
        <v>35279.25</v>
      </c>
      <c r="H396" s="676">
        <f t="shared" si="186"/>
        <v>35.279249999999998</v>
      </c>
      <c r="I396" s="677">
        <f t="shared" si="166"/>
        <v>184.22979887698355</v>
      </c>
      <c r="J396" s="678">
        <f t="shared" si="167"/>
        <v>1.5653682966027238</v>
      </c>
      <c r="K396" s="678">
        <f t="shared" si="168"/>
        <v>1.0011883813086957</v>
      </c>
      <c r="L396" s="679">
        <f t="shared" si="169"/>
        <v>4.872793091855717E-2</v>
      </c>
      <c r="M396" s="678">
        <f t="shared" si="170"/>
        <v>1.017402342767004</v>
      </c>
      <c r="N396" s="679">
        <f t="shared" si="171"/>
        <v>-0.1852223883461068</v>
      </c>
      <c r="O396" s="677">
        <f t="shared" si="172"/>
        <v>664998.19498582697</v>
      </c>
      <c r="P396" s="680">
        <f t="shared" si="173"/>
        <v>1.5707948230314164</v>
      </c>
      <c r="Q396" s="689">
        <f t="shared" si="195"/>
        <v>89.115369009114659</v>
      </c>
      <c r="R396" s="690">
        <f t="shared" si="196"/>
        <v>1.5595746823246053</v>
      </c>
      <c r="S396" s="677">
        <f t="shared" si="174"/>
        <v>1.6693182810856957</v>
      </c>
      <c r="T396" s="680">
        <f t="shared" si="175"/>
        <v>0.92848601764977634</v>
      </c>
      <c r="U396" s="681">
        <f t="shared" si="187"/>
        <v>0.91076908609570562</v>
      </c>
      <c r="V396" s="682">
        <f t="shared" si="188"/>
        <v>-0.52965501641609913</v>
      </c>
      <c r="W396" s="683">
        <f t="shared" si="176"/>
        <v>-21.928732785030256</v>
      </c>
      <c r="X396" s="684">
        <f t="shared" si="177"/>
        <v>-181.697747218925</v>
      </c>
      <c r="Y396" s="687">
        <f t="shared" si="178"/>
        <v>-1.6977472189250022</v>
      </c>
      <c r="AA396" s="170">
        <f t="shared" si="179"/>
        <v>35279.25</v>
      </c>
      <c r="AB396" s="170">
        <f t="shared" si="180"/>
        <v>1244625480.5625</v>
      </c>
      <c r="AD396" s="686">
        <f t="shared" si="181"/>
        <v>23.197309978163908</v>
      </c>
      <c r="AE396" s="687">
        <f t="shared" si="182"/>
        <v>-53.841196917807196</v>
      </c>
      <c r="AG396" s="686">
        <f t="shared" si="183"/>
        <v>10.000967786337174</v>
      </c>
      <c r="AH396" s="687">
        <f t="shared" si="184"/>
        <v>-67.162556154615203</v>
      </c>
      <c r="AJ396" s="170">
        <f t="shared" si="185"/>
        <v>0</v>
      </c>
      <c r="AK396" s="170">
        <f t="shared" si="197"/>
        <v>0</v>
      </c>
      <c r="AM396" s="170" t="str">
        <f t="shared" si="189"/>
        <v>0.297692000287586+0.71187321451221i</v>
      </c>
      <c r="AN396" s="170" t="str">
        <f t="shared" si="190"/>
        <v>0.79216184321586i</v>
      </c>
      <c r="AO396" s="170" t="str">
        <f t="shared" si="191"/>
        <v>0.898646180207683-0.375796944572684i</v>
      </c>
      <c r="AP396" s="170" t="str">
        <f t="shared" si="192"/>
        <v>0.117051333285402-0.118645535752035i</v>
      </c>
      <c r="AQ396" s="170" t="str">
        <f t="shared" si="193"/>
        <v>0.882948666714598+0.118645535752035i</v>
      </c>
      <c r="AR396" s="170" t="str">
        <f t="shared" si="194"/>
        <v>0.926696867506354-0.124524165979134i</v>
      </c>
    </row>
    <row r="397" spans="7:44">
      <c r="G397" s="688">
        <v>35481</v>
      </c>
      <c r="H397" s="676">
        <f t="shared" si="186"/>
        <v>35.481000000000002</v>
      </c>
      <c r="I397" s="677">
        <f t="shared" ref="I397:I460" si="198">SQRT(1+(G397/pole1)^2)</f>
        <v>185.28331531900182</v>
      </c>
      <c r="J397" s="678">
        <f t="shared" ref="J397:J460" si="199">ATAN(G397/pole1)</f>
        <v>1.5653991605514312</v>
      </c>
      <c r="K397" s="678">
        <f t="shared" ref="K397:K460" si="200">SQRT(1+(G397/Zero1)^2)</f>
        <v>1.0012020038849661</v>
      </c>
      <c r="L397" s="679">
        <f t="shared" ref="L397:L460" si="201">ATAN(G397/Zero1)</f>
        <v>4.9006144666260812E-2</v>
      </c>
      <c r="M397" s="678">
        <f t="shared" ref="M397:M460" si="202">SQRT(1+(G397/z_RHP)^2)</f>
        <v>1.0176002216693913</v>
      </c>
      <c r="N397" s="679">
        <f t="shared" ref="N397:N460" si="203">-ATAN(G397/z_RHP)</f>
        <v>-0.18625735050351652</v>
      </c>
      <c r="O397" s="677">
        <f t="shared" ref="O397:O460" si="204">SQRT(1+(G397/Pole2)^2)</f>
        <v>668801.09288864769</v>
      </c>
      <c r="P397" s="680">
        <f t="shared" ref="P397:P460" si="205">ATAN(G397/Pole2)</f>
        <v>1.570794831582029</v>
      </c>
      <c r="Q397" s="689">
        <f t="shared" si="195"/>
        <v>89.624925425818773</v>
      </c>
      <c r="R397" s="690">
        <f t="shared" si="196"/>
        <v>1.5596384848762241</v>
      </c>
      <c r="S397" s="677">
        <f t="shared" ref="S397:S460" si="206">SQRT(1+(G397/pole4)^2)</f>
        <v>1.6754450551887117</v>
      </c>
      <c r="T397" s="680">
        <f t="shared" ref="T397:T460" si="207">ATAN(G397/pole4)</f>
        <v>0.93121903207836298</v>
      </c>
      <c r="U397" s="681">
        <f t="shared" si="187"/>
        <v>0.90987573564838831</v>
      </c>
      <c r="V397" s="682">
        <f t="shared" si="188"/>
        <v>-0.53242773970437618</v>
      </c>
      <c r="W397" s="683">
        <f t="shared" ref="W397:W460" si="208">20*LOG10(((K397*Q397*M397*U397)/(I397*O397*S397))*Adc)</f>
        <v>-22.016805077332613</v>
      </c>
      <c r="X397" s="684">
        <f t="shared" ref="X397:X460" si="209">((L397+R397+N397+V397)-(J397+P397+T397))*radconv</f>
        <v>-182.05467449062866</v>
      </c>
      <c r="Y397" s="687">
        <f t="shared" ref="Y397:Y460" si="210">IF(X397&gt;0,X397,X397+180)</f>
        <v>-2.0546744906286563</v>
      </c>
      <c r="AA397" s="170">
        <f t="shared" ref="AA397:AA460" si="211">IF(W397&lt;0,G397,1000000000)</f>
        <v>35481</v>
      </c>
      <c r="AB397" s="170">
        <f t="shared" ref="AB397:AB460" si="212">G397^2</f>
        <v>1258901361</v>
      </c>
      <c r="AD397" s="686">
        <f t="shared" ref="AD397:AD460" si="213">20*LOG10((Q397/(O397*S397))*Aea)</f>
        <v>23.165482964416025</v>
      </c>
      <c r="AE397" s="687">
        <f t="shared" ref="AE397:AE460" si="214">(R397-(P397+T397))*radconv</f>
        <v>-53.9941319830724</v>
      </c>
      <c r="AG397" s="686">
        <f t="shared" ref="AG397:AG460" si="215">20*LOG10((K397*M397/(I397*U397))*Acs*Am)</f>
        <v>9.9617704106434495</v>
      </c>
      <c r="AH397" s="687">
        <f t="shared" ref="AH397:AH460" si="216">(L397+N397-(J397+V397))*radconv</f>
        <v>-67.048817676338757</v>
      </c>
      <c r="AJ397" s="170">
        <f t="shared" ref="AJ397:AJ460" si="217">SUM((W398&lt;0)*(W397&gt;0))*G397</f>
        <v>0</v>
      </c>
      <c r="AK397" s="170">
        <f t="shared" si="197"/>
        <v>0</v>
      </c>
      <c r="AM397" s="170" t="str">
        <f t="shared" si="189"/>
        <v>0.300924054870068+0.715047427056899i</v>
      </c>
      <c r="AN397" s="170" t="str">
        <f t="shared" si="190"/>
        <v>0.796691946658218i</v>
      </c>
      <c r="AO397" s="170" t="str">
        <f t="shared" si="191"/>
        <v>0.897520591310377-0.37771695337491i</v>
      </c>
      <c r="AP397" s="170" t="str">
        <f t="shared" si="192"/>
        <v>0.116512657521655-0.11917457117615i</v>
      </c>
      <c r="AQ397" s="170" t="str">
        <f t="shared" si="193"/>
        <v>0.883487342478345+0.11917457117615i</v>
      </c>
      <c r="AR397" s="170" t="str">
        <f t="shared" si="194"/>
        <v>0.926005254204976-0.124909858659854i</v>
      </c>
    </row>
    <row r="398" spans="7:44">
      <c r="G398" s="688">
        <v>35687.75</v>
      </c>
      <c r="H398" s="676">
        <f t="shared" ref="H398:H461" si="218">G398/1000</f>
        <v>35.687750000000001</v>
      </c>
      <c r="I398" s="677">
        <f t="shared" si="198"/>
        <v>186.36294139537117</v>
      </c>
      <c r="J398" s="678">
        <f t="shared" si="199"/>
        <v>1.5654304273765818</v>
      </c>
      <c r="K398" s="678">
        <f t="shared" si="200"/>
        <v>1.0012160444699509</v>
      </c>
      <c r="L398" s="679">
        <f t="shared" si="201"/>
        <v>4.9291245549053161E-2</v>
      </c>
      <c r="M398" s="678">
        <f t="shared" si="202"/>
        <v>1.0178041350421416</v>
      </c>
      <c r="N398" s="679">
        <f t="shared" si="203"/>
        <v>-0.18731754359884475</v>
      </c>
      <c r="O398" s="677">
        <f t="shared" si="204"/>
        <v>672698.23857096839</v>
      </c>
      <c r="P398" s="680">
        <f t="shared" si="205"/>
        <v>1.5707948402442522</v>
      </c>
      <c r="Q398" s="689">
        <f t="shared" si="195"/>
        <v>90.147110628521986</v>
      </c>
      <c r="R398" s="690">
        <f t="shared" si="196"/>
        <v>1.5597031203327734</v>
      </c>
      <c r="S398" s="677">
        <f t="shared" si="206"/>
        <v>1.6817365577881009</v>
      </c>
      <c r="T398" s="680">
        <f t="shared" si="207"/>
        <v>0.93399909805376635</v>
      </c>
      <c r="U398" s="681">
        <f t="shared" ref="U398:U461" si="219">IMABS(IMPRODUCT(AO398, AR398))</f>
        <v>0.90895752238200034</v>
      </c>
      <c r="V398" s="682">
        <f t="shared" ref="V398:V461" si="220">IMARGUMENT(IMPRODUCT(AO398, AR398))</f>
        <v>-0.53526527421355741</v>
      </c>
      <c r="W398" s="683">
        <f t="shared" si="208"/>
        <v>-22.106739427861175</v>
      </c>
      <c r="X398" s="684">
        <f t="shared" si="209"/>
        <v>-182.41903741687568</v>
      </c>
      <c r="Y398" s="687">
        <f t="shared" si="210"/>
        <v>-2.4190374168756819</v>
      </c>
      <c r="AA398" s="170">
        <f t="shared" si="211"/>
        <v>35687.75</v>
      </c>
      <c r="AB398" s="170">
        <f t="shared" si="212"/>
        <v>1273615500.0625</v>
      </c>
      <c r="AD398" s="686">
        <f t="shared" si="213"/>
        <v>23.132921219172673</v>
      </c>
      <c r="AE398" s="687">
        <f t="shared" si="214"/>
        <v>-54.149715187850383</v>
      </c>
      <c r="AG398" s="686">
        <f t="shared" si="215"/>
        <v>9.921937620486176</v>
      </c>
      <c r="AH398" s="687">
        <f t="shared" si="216"/>
        <v>-66.932439894238613</v>
      </c>
      <c r="AJ398" s="170">
        <f t="shared" si="217"/>
        <v>0</v>
      </c>
      <c r="AK398" s="170">
        <f t="shared" si="197"/>
        <v>0</v>
      </c>
      <c r="AM398" s="170" t="str">
        <f t="shared" ref="AM398:AM461" si="221">IMSUB(1,IMEXP(COMPLEX(0,-2*Pi*G398*Tsw)))</f>
        <v>0.304251093391098+0.718285081950417i</v>
      </c>
      <c r="AN398" s="170" t="str">
        <f t="shared" ref="AN398:AN461" si="222">COMPLEX(0, 2*Pi*G398*Tsw)</f>
        <v>0.801334320322195i</v>
      </c>
      <c r="AO398" s="170" t="str">
        <f t="shared" ref="AO398:AO461" si="223">IMDIV(AM398, AN398)</f>
        <v>0.896361311046323-0.379680597317692i</v>
      </c>
      <c r="AP398" s="170" t="str">
        <f t="shared" ref="AP398:AP461" si="224">IMDIV(IMEXP(COMPLEX(0,-2*Pi*G398*Tsw)),6)</f>
        <v>0.115958151101484-0.119714180325069i</v>
      </c>
      <c r="AQ398" s="170" t="str">
        <f t="shared" ref="AQ398:AQ461" si="225">IMSUB(1, AP398)</f>
        <v>0.884041848898516+0.119714180325069i</v>
      </c>
      <c r="AR398" s="170" t="str">
        <f t="shared" ref="AR398:AR461" si="226">IMDIV(0.833, AQ398)</f>
        <v>0.925295271517691-0.125300589702195i</v>
      </c>
    </row>
    <row r="399" spans="7:44">
      <c r="G399" s="688">
        <v>35894.5</v>
      </c>
      <c r="H399" s="676">
        <f t="shared" si="218"/>
        <v>35.894500000000001</v>
      </c>
      <c r="I399" s="677">
        <f t="shared" si="198"/>
        <v>187.44256765183286</v>
      </c>
      <c r="J399" s="678">
        <f t="shared" si="199"/>
        <v>1.5654613340222596</v>
      </c>
      <c r="K399" s="678">
        <f t="shared" si="200"/>
        <v>1.001230166434006</v>
      </c>
      <c r="L399" s="679">
        <f t="shared" si="201"/>
        <v>4.9576338412542782E-2</v>
      </c>
      <c r="M399" s="678">
        <f t="shared" si="202"/>
        <v>1.0180091919772476</v>
      </c>
      <c r="N399" s="679">
        <f t="shared" si="203"/>
        <v>-0.18837731077693928</v>
      </c>
      <c r="O399" s="677">
        <f t="shared" si="204"/>
        <v>676595.38425328908</v>
      </c>
      <c r="P399" s="680">
        <f t="shared" si="205"/>
        <v>1.5707948488066878</v>
      </c>
      <c r="Q399" s="689">
        <f t="shared" si="195"/>
        <v>90.669296203498604</v>
      </c>
      <c r="R399" s="690">
        <f t="shared" si="196"/>
        <v>1.559767011288318</v>
      </c>
      <c r="S399" s="677">
        <f t="shared" si="206"/>
        <v>1.688040961190959</v>
      </c>
      <c r="T399" s="680">
        <f t="shared" si="207"/>
        <v>0.93675841954504979</v>
      </c>
      <c r="U399" s="681">
        <f t="shared" si="219"/>
        <v>0.90803658545783028</v>
      </c>
      <c r="V399" s="682">
        <f t="shared" si="220"/>
        <v>-0.53809884854533208</v>
      </c>
      <c r="W399" s="683">
        <f t="shared" si="208"/>
        <v>-22.196351792642986</v>
      </c>
      <c r="X399" s="684">
        <f t="shared" si="209"/>
        <v>-182.78198294077794</v>
      </c>
      <c r="Y399" s="687">
        <f t="shared" si="210"/>
        <v>-2.7819829407779366</v>
      </c>
      <c r="AA399" s="170">
        <f t="shared" si="211"/>
        <v>35894.5</v>
      </c>
      <c r="AB399" s="170">
        <f t="shared" si="212"/>
        <v>1288415130.25</v>
      </c>
      <c r="AD399" s="686">
        <f t="shared" si="213"/>
        <v>23.100414765088445</v>
      </c>
      <c r="AE399" s="687">
        <f t="shared" si="214"/>
        <v>-54.304152472286809</v>
      </c>
      <c r="AG399" s="686">
        <f t="shared" si="215"/>
        <v>9.8824413589061582</v>
      </c>
      <c r="AH399" s="687">
        <f t="shared" si="216"/>
        <v>-66.816244433038875</v>
      </c>
      <c r="AJ399" s="170">
        <f t="shared" si="217"/>
        <v>0</v>
      </c>
      <c r="AK399" s="170">
        <f t="shared" si="197"/>
        <v>0</v>
      </c>
      <c r="AM399" s="170" t="str">
        <f t="shared" si="221"/>
        <v>0.307593126410459+0.721507256655093i</v>
      </c>
      <c r="AN399" s="170" t="str">
        <f t="shared" si="222"/>
        <v>0.805976693986173i</v>
      </c>
      <c r="AO399" s="170" t="str">
        <f t="shared" si="223"/>
        <v>0.895196178796047-0.381640224469984i</v>
      </c>
      <c r="AP399" s="170" t="str">
        <f t="shared" si="224"/>
        <v>0.115401145598257-0.120251209442515i</v>
      </c>
      <c r="AQ399" s="170" t="str">
        <f t="shared" si="225"/>
        <v>0.884598854401743+0.120251209442515i</v>
      </c>
      <c r="AR399" s="170" t="str">
        <f t="shared" si="226"/>
        <v>0.924584078335409-0.125686748403398i</v>
      </c>
    </row>
    <row r="400" spans="7:44">
      <c r="G400" s="688">
        <v>36101.25</v>
      </c>
      <c r="H400" s="676">
        <f t="shared" si="218"/>
        <v>36.10125</v>
      </c>
      <c r="I400" s="677">
        <f t="shared" si="198"/>
        <v>188.5221940852928</v>
      </c>
      <c r="J400" s="678">
        <f t="shared" si="199"/>
        <v>1.5654918866764185</v>
      </c>
      <c r="K400" s="678">
        <f t="shared" si="200"/>
        <v>1.0012443697736877</v>
      </c>
      <c r="L400" s="679">
        <f t="shared" si="201"/>
        <v>4.9861423210726452E-2</v>
      </c>
      <c r="M400" s="678">
        <f t="shared" si="202"/>
        <v>1.0182153917838086</v>
      </c>
      <c r="N400" s="679">
        <f t="shared" si="203"/>
        <v>-0.18943664991538409</v>
      </c>
      <c r="O400" s="677">
        <f t="shared" si="204"/>
        <v>680492.5299356099</v>
      </c>
      <c r="P400" s="680">
        <f t="shared" si="205"/>
        <v>1.5707948572710502</v>
      </c>
      <c r="Q400" s="689">
        <f t="shared" si="195"/>
        <v>91.191482144353429</v>
      </c>
      <c r="R400" s="690">
        <f t="shared" si="196"/>
        <v>1.5598301705319457</v>
      </c>
      <c r="S400" s="677">
        <f t="shared" si="206"/>
        <v>1.6943581213925478</v>
      </c>
      <c r="T400" s="680">
        <f t="shared" si="207"/>
        <v>0.93949718632675217</v>
      </c>
      <c r="U400" s="681">
        <f t="shared" si="219"/>
        <v>0.90711295750194831</v>
      </c>
      <c r="V400" s="682">
        <f t="shared" si="220"/>
        <v>-0.5409284560474833</v>
      </c>
      <c r="W400" s="683">
        <f t="shared" si="208"/>
        <v>-22.285644744137091</v>
      </c>
      <c r="X400" s="684">
        <f t="shared" si="209"/>
        <v>-183.14352105738303</v>
      </c>
      <c r="Y400" s="687">
        <f t="shared" si="210"/>
        <v>-3.1435210573830261</v>
      </c>
      <c r="AA400" s="170">
        <f t="shared" si="211"/>
        <v>36101.25</v>
      </c>
      <c r="AB400" s="170">
        <f t="shared" si="212"/>
        <v>1303300251.5625</v>
      </c>
      <c r="AD400" s="686">
        <f t="shared" si="213"/>
        <v>23.067964174421117</v>
      </c>
      <c r="AE400" s="687">
        <f t="shared" si="214"/>
        <v>-54.457453976999275</v>
      </c>
      <c r="AG400" s="686">
        <f t="shared" si="215"/>
        <v>9.8432780509484772</v>
      </c>
      <c r="AH400" s="687">
        <f t="shared" si="216"/>
        <v>-66.700231909457358</v>
      </c>
      <c r="AJ400" s="170">
        <f t="shared" si="217"/>
        <v>0</v>
      </c>
      <c r="AK400" s="170">
        <f t="shared" si="197"/>
        <v>0</v>
      </c>
      <c r="AM400" s="170" t="str">
        <f t="shared" si="221"/>
        <v>0.310950081902009+0.724713881727922i</v>
      </c>
      <c r="AN400" s="170" t="str">
        <f t="shared" si="222"/>
        <v>0.81061906765015i</v>
      </c>
      <c r="AO400" s="170" t="str">
        <f t="shared" si="223"/>
        <v>0.89402520943499-0.38359581499039i</v>
      </c>
      <c r="AP400" s="170" t="str">
        <f t="shared" si="224"/>
        <v>0.114841653016332-0.120785646954654i</v>
      </c>
      <c r="AQ400" s="170" t="str">
        <f t="shared" si="225"/>
        <v>0.885158346983668+0.120785646954654i</v>
      </c>
      <c r="AR400" s="170" t="str">
        <f t="shared" si="226"/>
        <v>0.923871708351937-0.126068338367541i</v>
      </c>
    </row>
    <row r="401" spans="7:44">
      <c r="G401" s="688">
        <v>36308</v>
      </c>
      <c r="H401" s="676">
        <f t="shared" si="218"/>
        <v>36.308</v>
      </c>
      <c r="I401" s="677">
        <f t="shared" si="198"/>
        <v>189.60182069272747</v>
      </c>
      <c r="J401" s="678">
        <f t="shared" si="199"/>
        <v>1.5655220913860735</v>
      </c>
      <c r="K401" s="678">
        <f t="shared" si="200"/>
        <v>1.0012586544855333</v>
      </c>
      <c r="L401" s="679">
        <f t="shared" si="201"/>
        <v>5.0146499897608804E-2</v>
      </c>
      <c r="M401" s="678">
        <f t="shared" si="202"/>
        <v>1.0184227337676333</v>
      </c>
      <c r="N401" s="679">
        <f t="shared" si="203"/>
        <v>-0.19049555889732001</v>
      </c>
      <c r="O401" s="677">
        <f t="shared" si="204"/>
        <v>684389.67561793071</v>
      </c>
      <c r="P401" s="680">
        <f t="shared" si="205"/>
        <v>1.5707948656390147</v>
      </c>
      <c r="Q401" s="689">
        <f t="shared" si="195"/>
        <v>91.713668444836912</v>
      </c>
      <c r="R401" s="690">
        <f t="shared" si="196"/>
        <v>1.5598926105615021</v>
      </c>
      <c r="S401" s="677">
        <f t="shared" si="206"/>
        <v>1.700687896238499</v>
      </c>
      <c r="T401" s="680">
        <f t="shared" si="207"/>
        <v>0.94221558659010984</v>
      </c>
      <c r="U401" s="681">
        <f t="shared" si="219"/>
        <v>0.90618667104808592</v>
      </c>
      <c r="V401" s="682">
        <f t="shared" si="220"/>
        <v>-0.54375409025511545</v>
      </c>
      <c r="W401" s="683">
        <f t="shared" si="208"/>
        <v>-22.374620817522999</v>
      </c>
      <c r="X401" s="684">
        <f t="shared" si="209"/>
        <v>-183.50366169068226</v>
      </c>
      <c r="Y401" s="687">
        <f t="shared" si="210"/>
        <v>-3.5036616906822644</v>
      </c>
      <c r="AA401" s="170">
        <f t="shared" si="211"/>
        <v>36308</v>
      </c>
      <c r="AB401" s="170">
        <f t="shared" si="212"/>
        <v>1318270864</v>
      </c>
      <c r="AD401" s="686">
        <f t="shared" si="213"/>
        <v>23.035569999626379</v>
      </c>
      <c r="AE401" s="687">
        <f t="shared" si="214"/>
        <v>-54.609629768573612</v>
      </c>
      <c r="AG401" s="686">
        <f t="shared" si="215"/>
        <v>9.8044441791800878</v>
      </c>
      <c r="AH401" s="687">
        <f t="shared" si="216"/>
        <v>-66.584402921722017</v>
      </c>
      <c r="AJ401" s="170">
        <f t="shared" si="217"/>
        <v>0</v>
      </c>
      <c r="AK401" s="170">
        <f t="shared" si="197"/>
        <v>0</v>
      </c>
      <c r="AM401" s="170" t="str">
        <f t="shared" si="221"/>
        <v>0.314321887518005+0.727904888061022i</v>
      </c>
      <c r="AN401" s="170" t="str">
        <f t="shared" si="222"/>
        <v>0.815261441314128i</v>
      </c>
      <c r="AO401" s="170" t="str">
        <f t="shared" si="223"/>
        <v>0.89284841791083-0.385547349094968i</v>
      </c>
      <c r="AP401" s="170" t="str">
        <f t="shared" si="224"/>
        <v>0.114279685413666-0.121317481343504i</v>
      </c>
      <c r="AQ401" s="170" t="str">
        <f t="shared" si="225"/>
        <v>0.885720314586334+0.121317481343504i</v>
      </c>
      <c r="AR401" s="170" t="str">
        <f t="shared" si="226"/>
        <v>0.923158195099181-0.12644536347047i</v>
      </c>
    </row>
    <row r="402" spans="7:44">
      <c r="G402" s="688">
        <v>36519.5</v>
      </c>
      <c r="H402" s="676">
        <f t="shared" si="218"/>
        <v>36.519500000000001</v>
      </c>
      <c r="I402" s="677">
        <f t="shared" si="198"/>
        <v>190.70625147412446</v>
      </c>
      <c r="J402" s="678">
        <f t="shared" si="199"/>
        <v>1.5655526361712275</v>
      </c>
      <c r="K402" s="678">
        <f t="shared" si="200"/>
        <v>1.0012733515772676</v>
      </c>
      <c r="L402" s="679">
        <f t="shared" si="201"/>
        <v>5.0438117668419179E-2</v>
      </c>
      <c r="M402" s="678">
        <f t="shared" si="202"/>
        <v>1.0186360204651317</v>
      </c>
      <c r="N402" s="679">
        <f t="shared" si="203"/>
        <v>-0.19157834860163517</v>
      </c>
      <c r="O402" s="677">
        <f t="shared" si="204"/>
        <v>688376.35669077642</v>
      </c>
      <c r="P402" s="680">
        <f t="shared" si="205"/>
        <v>1.5707948741011917</v>
      </c>
      <c r="Q402" s="689">
        <f t="shared" si="195"/>
        <v>92.247852136111078</v>
      </c>
      <c r="R402" s="690">
        <f t="shared" si="196"/>
        <v>1.5599557536709758</v>
      </c>
      <c r="S402" s="677">
        <f t="shared" si="206"/>
        <v>1.70717600157052</v>
      </c>
      <c r="T402" s="680">
        <f t="shared" si="207"/>
        <v>0.94497556182478815</v>
      </c>
      <c r="U402" s="681">
        <f t="shared" si="219"/>
        <v>0.90523638653268212</v>
      </c>
      <c r="V402" s="682">
        <f t="shared" si="220"/>
        <v>-0.546640524482642</v>
      </c>
      <c r="W402" s="683">
        <f t="shared" si="208"/>
        <v>-22.465315804398237</v>
      </c>
      <c r="X402" s="684">
        <f t="shared" si="209"/>
        <v>-183.87064067379202</v>
      </c>
      <c r="Y402" s="687">
        <f t="shared" si="210"/>
        <v>-3.8706406737920247</v>
      </c>
      <c r="AA402" s="170">
        <f t="shared" si="211"/>
        <v>36519.5</v>
      </c>
      <c r="AB402" s="170">
        <f t="shared" si="212"/>
        <v>1333673880.25</v>
      </c>
      <c r="AD402" s="686">
        <f t="shared" si="213"/>
        <v>23.002490512074804</v>
      </c>
      <c r="AE402" s="687">
        <f t="shared" si="214"/>
        <v>-54.76414735242669</v>
      </c>
      <c r="AG402" s="686">
        <f t="shared" si="215"/>
        <v>9.7650553821129069</v>
      </c>
      <c r="AH402" s="687">
        <f t="shared" si="216"/>
        <v>-66.466103322441953</v>
      </c>
      <c r="AJ402" s="170">
        <f t="shared" si="217"/>
        <v>0</v>
      </c>
      <c r="AK402" s="170">
        <f t="shared" si="197"/>
        <v>0</v>
      </c>
      <c r="AM402" s="170" t="str">
        <f t="shared" si="221"/>
        <v>0.317786449081274+0.731152973694877i</v>
      </c>
      <c r="AN402" s="170" t="str">
        <f t="shared" si="222"/>
        <v>0.820010471688644i</v>
      </c>
      <c r="AO402" s="170" t="str">
        <f t="shared" si="223"/>
        <v>0.891638581382036-0.38753950108327i</v>
      </c>
      <c r="AP402" s="170" t="str">
        <f t="shared" si="224"/>
        <v>0.113702258486454-0.121858828949146i</v>
      </c>
      <c r="AQ402" s="170" t="str">
        <f t="shared" si="225"/>
        <v>0.886297741513546+0.121858828949146i</v>
      </c>
      <c r="AR402" s="170" t="str">
        <f t="shared" si="226"/>
        <v>0.922427140979635-0.126826331520071i</v>
      </c>
    </row>
    <row r="403" spans="7:44">
      <c r="G403" s="688">
        <v>36731</v>
      </c>
      <c r="H403" s="676">
        <f t="shared" si="218"/>
        <v>36.731000000000002</v>
      </c>
      <c r="I403" s="677">
        <f t="shared" si="198"/>
        <v>191.81068243139828</v>
      </c>
      <c r="J403" s="678">
        <f t="shared" si="199"/>
        <v>1.5655828292074259</v>
      </c>
      <c r="K403" s="678">
        <f t="shared" si="200"/>
        <v>1.0012881338157096</v>
      </c>
      <c r="L403" s="679">
        <f t="shared" si="201"/>
        <v>5.0729726853592214E-2</v>
      </c>
      <c r="M403" s="678">
        <f t="shared" si="202"/>
        <v>1.018850500944829</v>
      </c>
      <c r="N403" s="679">
        <f t="shared" si="203"/>
        <v>-0.19266068369354566</v>
      </c>
      <c r="O403" s="677">
        <f t="shared" si="204"/>
        <v>692363.03776362224</v>
      </c>
      <c r="P403" s="680">
        <f t="shared" si="205"/>
        <v>1.5707948824659168</v>
      </c>
      <c r="Q403" s="689">
        <f t="shared" si="195"/>
        <v>92.782036190947153</v>
      </c>
      <c r="R403" s="690">
        <f t="shared" si="196"/>
        <v>1.5600181696993851</v>
      </c>
      <c r="S403" s="677">
        <f t="shared" si="206"/>
        <v>1.7136770127247143</v>
      </c>
      <c r="T403" s="680">
        <f t="shared" si="207"/>
        <v>0.947714617288966</v>
      </c>
      <c r="U403" s="681">
        <f t="shared" si="219"/>
        <v>0.90428338852910439</v>
      </c>
      <c r="V403" s="682">
        <f t="shared" si="220"/>
        <v>-0.54952278765875873</v>
      </c>
      <c r="W403" s="683">
        <f t="shared" si="208"/>
        <v>-22.555684436860904</v>
      </c>
      <c r="X403" s="684">
        <f t="shared" si="209"/>
        <v>-184.23617800261101</v>
      </c>
      <c r="Y403" s="687">
        <f t="shared" si="210"/>
        <v>-4.2361780026110125</v>
      </c>
      <c r="AA403" s="170">
        <f t="shared" si="211"/>
        <v>36731</v>
      </c>
      <c r="AB403" s="170">
        <f t="shared" si="212"/>
        <v>1349166361</v>
      </c>
      <c r="AD403" s="686">
        <f t="shared" si="213"/>
        <v>22.969471170435245</v>
      </c>
      <c r="AE403" s="687">
        <f t="shared" si="214"/>
        <v>-54.917507974813205</v>
      </c>
      <c r="AG403" s="686">
        <f t="shared" si="215"/>
        <v>9.7260040648489117</v>
      </c>
      <c r="AH403" s="687">
        <f t="shared" si="216"/>
        <v>-66.347996997622104</v>
      </c>
      <c r="AJ403" s="170">
        <f t="shared" si="217"/>
        <v>0</v>
      </c>
      <c r="AK403" s="170">
        <f t="shared" si="197"/>
        <v>0</v>
      </c>
      <c r="AM403" s="170" t="str">
        <f t="shared" si="221"/>
        <v>0.321266396775339+0.734384569455042i</v>
      </c>
      <c r="AN403" s="170" t="str">
        <f t="shared" si="222"/>
        <v>0.824759502063161i</v>
      </c>
      <c r="AO403" s="170" t="str">
        <f t="shared" si="223"/>
        <v>0.890422683967819-0.389527366428251i</v>
      </c>
      <c r="AP403" s="170" t="str">
        <f t="shared" si="224"/>
        <v>0.11312226720411-0.122397428242507i</v>
      </c>
      <c r="AQ403" s="170" t="str">
        <f t="shared" si="225"/>
        <v>0.88687773279589+0.122397428242507i</v>
      </c>
      <c r="AR403" s="170" t="str">
        <f t="shared" si="226"/>
        <v>0.92169496091425-0.127202531609783i</v>
      </c>
    </row>
    <row r="404" spans="7:44">
      <c r="G404" s="688">
        <v>36942.5</v>
      </c>
      <c r="H404" s="676">
        <f t="shared" si="218"/>
        <v>36.942500000000003</v>
      </c>
      <c r="I404" s="677">
        <f t="shared" si="198"/>
        <v>192.91511356152839</v>
      </c>
      <c r="J404" s="678">
        <f t="shared" si="199"/>
        <v>1.5656126765358578</v>
      </c>
      <c r="K404" s="678">
        <f t="shared" si="200"/>
        <v>1.0013030011970876</v>
      </c>
      <c r="L404" s="679">
        <f t="shared" si="201"/>
        <v>5.1021327403914747E-2</v>
      </c>
      <c r="M404" s="678">
        <f t="shared" si="202"/>
        <v>1.0190661744529679</v>
      </c>
      <c r="N404" s="679">
        <f t="shared" si="203"/>
        <v>-0.19374256192509781</v>
      </c>
      <c r="O404" s="677">
        <f t="shared" si="204"/>
        <v>696349.71883646806</v>
      </c>
      <c r="P404" s="680">
        <f t="shared" si="205"/>
        <v>1.5707948907348639</v>
      </c>
      <c r="Q404" s="689">
        <f t="shared" si="195"/>
        <v>93.316220603101542</v>
      </c>
      <c r="R404" s="690">
        <f t="shared" si="196"/>
        <v>1.5600798711326656</v>
      </c>
      <c r="S404" s="677">
        <f t="shared" si="206"/>
        <v>1.7201907833785501</v>
      </c>
      <c r="T404" s="680">
        <f t="shared" si="207"/>
        <v>0.95043294929751843</v>
      </c>
      <c r="U404" s="681">
        <f t="shared" si="219"/>
        <v>0.90332771155176028</v>
      </c>
      <c r="V404" s="682">
        <f t="shared" si="220"/>
        <v>-0.55240087346519362</v>
      </c>
      <c r="W404" s="683">
        <f t="shared" si="208"/>
        <v>-22.645729313370907</v>
      </c>
      <c r="X404" s="684">
        <f t="shared" si="209"/>
        <v>-184.60028406800328</v>
      </c>
      <c r="Y404" s="687">
        <f t="shared" si="210"/>
        <v>-4.6002840680032762</v>
      </c>
      <c r="AA404" s="170">
        <f t="shared" si="211"/>
        <v>36942.5</v>
      </c>
      <c r="AB404" s="170">
        <f t="shared" si="212"/>
        <v>1364748306.25</v>
      </c>
      <c r="AD404" s="686">
        <f t="shared" si="213"/>
        <v>22.936512504659099</v>
      </c>
      <c r="AE404" s="687">
        <f t="shared" si="214"/>
        <v>-55.069722168451413</v>
      </c>
      <c r="AG404" s="686">
        <f t="shared" si="215"/>
        <v>9.6872866404715925</v>
      </c>
      <c r="AH404" s="687">
        <f t="shared" si="216"/>
        <v>-66.230084529428879</v>
      </c>
      <c r="AJ404" s="170">
        <f t="shared" si="217"/>
        <v>0</v>
      </c>
      <c r="AK404" s="170">
        <f t="shared" si="197"/>
        <v>0</v>
      </c>
      <c r="AM404" s="170" t="str">
        <f t="shared" si="221"/>
        <v>0.324761652116079+0.737599602458537i</v>
      </c>
      <c r="AN404" s="170" t="str">
        <f t="shared" si="222"/>
        <v>0.829508532437677i</v>
      </c>
      <c r="AO404" s="170" t="str">
        <f t="shared" si="223"/>
        <v>0.889200741903103-0.391510924139263i</v>
      </c>
      <c r="AP404" s="170" t="str">
        <f t="shared" si="224"/>
        <v>0.11253972464732-0.122933267076423i</v>
      </c>
      <c r="AQ404" s="170" t="str">
        <f t="shared" si="225"/>
        <v>0.88746027535268+0.122933267076423i</v>
      </c>
      <c r="AR404" s="170" t="str">
        <f t="shared" si="226"/>
        <v>0.920961690260094-0.12757396875134i</v>
      </c>
    </row>
    <row r="405" spans="7:44">
      <c r="G405" s="688">
        <v>37154</v>
      </c>
      <c r="H405" s="676">
        <f t="shared" si="218"/>
        <v>37.154000000000003</v>
      </c>
      <c r="I405" s="677">
        <f t="shared" si="198"/>
        <v>194.01954486156279</v>
      </c>
      <c r="J405" s="678">
        <f t="shared" si="199"/>
        <v>1.5656421840601609</v>
      </c>
      <c r="K405" s="678">
        <f t="shared" si="200"/>
        <v>1.0013179537176096</v>
      </c>
      <c r="L405" s="679">
        <f t="shared" si="201"/>
        <v>5.131291927018241E-2</v>
      </c>
      <c r="M405" s="678">
        <f t="shared" si="202"/>
        <v>1.0192830402322373</v>
      </c>
      <c r="N405" s="679">
        <f t="shared" si="203"/>
        <v>-0.19482398105451315</v>
      </c>
      <c r="O405" s="677">
        <f t="shared" si="204"/>
        <v>700336.399909314</v>
      </c>
      <c r="P405" s="680">
        <f t="shared" si="205"/>
        <v>1.5707948989096687</v>
      </c>
      <c r="Q405" s="689">
        <f t="shared" si="195"/>
        <v>93.850405366472827</v>
      </c>
      <c r="R405" s="690">
        <f t="shared" si="196"/>
        <v>1.5601408701725017</v>
      </c>
      <c r="S405" s="677">
        <f t="shared" si="206"/>
        <v>1.7267171691323788</v>
      </c>
      <c r="T405" s="680">
        <f t="shared" si="207"/>
        <v>0.95313075243109469</v>
      </c>
      <c r="U405" s="681">
        <f t="shared" si="219"/>
        <v>0.90236939000487548</v>
      </c>
      <c r="V405" s="682">
        <f t="shared" si="220"/>
        <v>-0.55527477578471507</v>
      </c>
      <c r="W405" s="683">
        <f t="shared" si="208"/>
        <v>-22.735452995243058</v>
      </c>
      <c r="X405" s="684">
        <f t="shared" si="209"/>
        <v>-184.96296918174423</v>
      </c>
      <c r="Y405" s="687">
        <f t="shared" si="210"/>
        <v>-4.9629691817442279</v>
      </c>
      <c r="AA405" s="170">
        <f t="shared" si="211"/>
        <v>37154</v>
      </c>
      <c r="AB405" s="170">
        <f t="shared" si="212"/>
        <v>1380419716</v>
      </c>
      <c r="AD405" s="686">
        <f t="shared" si="213"/>
        <v>22.903615024916419</v>
      </c>
      <c r="AE405" s="687">
        <f t="shared" si="214"/>
        <v>-55.220800382979974</v>
      </c>
      <c r="AG405" s="686">
        <f t="shared" si="215"/>
        <v>9.6488995795875905</v>
      </c>
      <c r="AH405" s="687">
        <f t="shared" si="216"/>
        <v>-66.112366480982118</v>
      </c>
      <c r="AJ405" s="170">
        <f t="shared" si="217"/>
        <v>0</v>
      </c>
      <c r="AK405" s="170">
        <f t="shared" si="197"/>
        <v>0</v>
      </c>
      <c r="AM405" s="170" t="str">
        <f t="shared" si="221"/>
        <v>0.328272136274137+0.74079800019593i</v>
      </c>
      <c r="AN405" s="170" t="str">
        <f t="shared" si="222"/>
        <v>0.834257562812193i</v>
      </c>
      <c r="AO405" s="170" t="str">
        <f t="shared" si="223"/>
        <v>0.887972771500901-0.393490153289791i</v>
      </c>
      <c r="AP405" s="170" t="str">
        <f t="shared" si="224"/>
        <v>0.11195464395431-0.123466333365988i</v>
      </c>
      <c r="AQ405" s="170" t="str">
        <f t="shared" si="225"/>
        <v>0.88804535604569+0.123466333365988i</v>
      </c>
      <c r="AR405" s="170" t="str">
        <f t="shared" si="226"/>
        <v>0.920227364187971-0.127940648240371i</v>
      </c>
    </row>
    <row r="406" spans="7:44">
      <c r="G406" s="688">
        <v>37370.25</v>
      </c>
      <c r="H406" s="676">
        <f t="shared" si="218"/>
        <v>37.370249999999999</v>
      </c>
      <c r="I406" s="677">
        <f t="shared" si="198"/>
        <v>195.14878034691176</v>
      </c>
      <c r="J406" s="678">
        <f t="shared" si="199"/>
        <v>1.5656720089555813</v>
      </c>
      <c r="K406" s="678">
        <f t="shared" si="200"/>
        <v>1.001333330076045</v>
      </c>
      <c r="L406" s="679">
        <f t="shared" si="201"/>
        <v>5.1611050859908948E-2</v>
      </c>
      <c r="M406" s="678">
        <f t="shared" si="202"/>
        <v>1.0195060084639453</v>
      </c>
      <c r="N406" s="679">
        <f t="shared" si="203"/>
        <v>-0.19592921036192673</v>
      </c>
      <c r="O406" s="677">
        <f t="shared" si="204"/>
        <v>704412.61637268483</v>
      </c>
      <c r="P406" s="680">
        <f t="shared" si="205"/>
        <v>1.5707949071723959</v>
      </c>
      <c r="Q406" s="689">
        <f t="shared" si="195"/>
        <v>94.396587544103681</v>
      </c>
      <c r="R406" s="690">
        <f t="shared" si="196"/>
        <v>1.5602025253553142</v>
      </c>
      <c r="S406" s="677">
        <f t="shared" si="206"/>
        <v>1.7334030233888531</v>
      </c>
      <c r="T406" s="680">
        <f t="shared" si="207"/>
        <v>0.95586811977214792</v>
      </c>
      <c r="U406" s="681">
        <f t="shared" si="219"/>
        <v>0.9013868472639448</v>
      </c>
      <c r="V406" s="682">
        <f t="shared" si="220"/>
        <v>-0.55820889037200405</v>
      </c>
      <c r="W406" s="683">
        <f t="shared" si="208"/>
        <v>-22.826862282016954</v>
      </c>
      <c r="X406" s="684">
        <f t="shared" si="209"/>
        <v>-185.33234118541432</v>
      </c>
      <c r="Y406" s="687">
        <f t="shared" si="210"/>
        <v>-5.3323411854143217</v>
      </c>
      <c r="AA406" s="170">
        <f t="shared" si="211"/>
        <v>37370.25</v>
      </c>
      <c r="AB406" s="170">
        <f t="shared" si="212"/>
        <v>1396535585.0625</v>
      </c>
      <c r="AD406" s="686">
        <f t="shared" si="213"/>
        <v>22.870042486778068</v>
      </c>
      <c r="AE406" s="687">
        <f t="shared" si="214"/>
        <v>-55.374107870433569</v>
      </c>
      <c r="AG406" s="686">
        <f t="shared" si="215"/>
        <v>9.609988356430863</v>
      </c>
      <c r="AH406" s="687">
        <f t="shared" si="216"/>
        <v>-65.992206231895494</v>
      </c>
      <c r="AJ406" s="170">
        <f t="shared" si="217"/>
        <v>0</v>
      </c>
      <c r="AK406" s="170">
        <f t="shared" si="197"/>
        <v>0</v>
      </c>
      <c r="AM406" s="170" t="str">
        <f t="shared" si="221"/>
        <v>0.331877124303666+0.74405095455302i</v>
      </c>
      <c r="AN406" s="170" t="str">
        <f t="shared" si="222"/>
        <v>0.839113249897248i</v>
      </c>
      <c r="AO406" s="170" t="str">
        <f t="shared" si="223"/>
        <v>0.886711006701576-0.395509336009538i</v>
      </c>
      <c r="AP406" s="170" t="str">
        <f t="shared" si="224"/>
        <v>0.111353812616056-0.124008492425503i</v>
      </c>
      <c r="AQ406" s="170" t="str">
        <f t="shared" si="225"/>
        <v>0.888646187383944+0.124008492425503i</v>
      </c>
      <c r="AR406" s="170" t="str">
        <f t="shared" si="226"/>
        <v>0.919475491359539-0.128310649530116i</v>
      </c>
    </row>
    <row r="407" spans="7:44">
      <c r="G407" s="688">
        <v>37586.5</v>
      </c>
      <c r="H407" s="676">
        <f t="shared" si="218"/>
        <v>37.586500000000001</v>
      </c>
      <c r="I407" s="677">
        <f t="shared" si="198"/>
        <v>196.27801600385294</v>
      </c>
      <c r="J407" s="678">
        <f t="shared" si="199"/>
        <v>1.5657014906711235</v>
      </c>
      <c r="K407" s="678">
        <f t="shared" si="200"/>
        <v>1.0013487954326967</v>
      </c>
      <c r="L407" s="679">
        <f t="shared" si="201"/>
        <v>5.1909173267130987E-2</v>
      </c>
      <c r="M407" s="678">
        <f t="shared" si="202"/>
        <v>1.0197302215091926</v>
      </c>
      <c r="N407" s="679">
        <f t="shared" si="203"/>
        <v>-0.19703395499403731</v>
      </c>
      <c r="O407" s="677">
        <f t="shared" si="204"/>
        <v>708488.83283605578</v>
      </c>
      <c r="P407" s="680">
        <f t="shared" si="205"/>
        <v>1.5707949153400456</v>
      </c>
      <c r="Q407" s="689">
        <f t="shared" ref="Q407:Q470" si="227">SQRT(1+(G407/Zero2)^2)</f>
        <v>94.942770076441505</v>
      </c>
      <c r="R407" s="690">
        <f t="shared" ref="R407:R470" si="228">ATAN(G407/Zero2)</f>
        <v>1.5602634711639856</v>
      </c>
      <c r="S407" s="677">
        <f t="shared" si="206"/>
        <v>1.7401017664787044</v>
      </c>
      <c r="T407" s="680">
        <f t="shared" si="207"/>
        <v>0.95858443164919593</v>
      </c>
      <c r="U407" s="681">
        <f t="shared" si="219"/>
        <v>0.90040161221251824</v>
      </c>
      <c r="V407" s="682">
        <f t="shared" si="220"/>
        <v>-0.5611386191562977</v>
      </c>
      <c r="W407" s="683">
        <f t="shared" si="208"/>
        <v>-22.917941085216089</v>
      </c>
      <c r="X407" s="684">
        <f t="shared" si="209"/>
        <v>-185.7002492440657</v>
      </c>
      <c r="Y407" s="687">
        <f t="shared" si="210"/>
        <v>-5.7002492440657022</v>
      </c>
      <c r="AA407" s="170">
        <f t="shared" si="211"/>
        <v>37586.5</v>
      </c>
      <c r="AB407" s="170">
        <f t="shared" si="212"/>
        <v>1412744982.25</v>
      </c>
      <c r="AD407" s="686">
        <f t="shared" si="213"/>
        <v>22.836534931186272</v>
      </c>
      <c r="AE407" s="687">
        <f t="shared" si="214"/>
        <v>-55.52624960735951</v>
      </c>
      <c r="AG407" s="686">
        <f t="shared" si="215"/>
        <v>9.5714152186896424</v>
      </c>
      <c r="AH407" s="687">
        <f t="shared" si="216"/>
        <v>-65.872250364321346</v>
      </c>
      <c r="AJ407" s="170">
        <f t="shared" si="217"/>
        <v>0</v>
      </c>
      <c r="AK407" s="170">
        <f t="shared" ref="AK407:AK470" si="229">IF(AJ407&gt;0,Y407,0)</f>
        <v>0</v>
      </c>
      <c r="AM407" s="170" t="str">
        <f t="shared" si="221"/>
        <v>0.33549786510101+0.74728636593657i</v>
      </c>
      <c r="AN407" s="170" t="str">
        <f t="shared" si="222"/>
        <v>0.843968936982303i</v>
      </c>
      <c r="AO407" s="170" t="str">
        <f t="shared" si="223"/>
        <v>0.885442974487389-0.397523949519537i</v>
      </c>
      <c r="AP407" s="170" t="str">
        <f t="shared" si="224"/>
        <v>0.110750355816498-0.124547727656095i</v>
      </c>
      <c r="AQ407" s="170" t="str">
        <f t="shared" si="225"/>
        <v>0.889249644183502+0.124547727656095i</v>
      </c>
      <c r="AR407" s="170" t="str">
        <f t="shared" si="226"/>
        <v>0.918722588931784-0.12867568915683i</v>
      </c>
    </row>
    <row r="408" spans="7:44">
      <c r="G408" s="688">
        <v>37802.75</v>
      </c>
      <c r="H408" s="676">
        <f t="shared" si="218"/>
        <v>37.802750000000003</v>
      </c>
      <c r="I408" s="677">
        <f t="shared" si="198"/>
        <v>197.40725182944158</v>
      </c>
      <c r="J408" s="678">
        <f t="shared" si="199"/>
        <v>1.5657306350960483</v>
      </c>
      <c r="K408" s="678">
        <f t="shared" si="200"/>
        <v>1.0013643497834417</v>
      </c>
      <c r="L408" s="679">
        <f t="shared" si="201"/>
        <v>5.2207286439282775E-2</v>
      </c>
      <c r="M408" s="678">
        <f t="shared" si="202"/>
        <v>1.0199556785470505</v>
      </c>
      <c r="N408" s="679">
        <f t="shared" si="203"/>
        <v>-0.19813821257477601</v>
      </c>
      <c r="O408" s="677">
        <f t="shared" si="204"/>
        <v>712565.04929942684</v>
      </c>
      <c r="P408" s="680">
        <f t="shared" si="205"/>
        <v>1.5707949234142495</v>
      </c>
      <c r="Q408" s="689">
        <f t="shared" si="227"/>
        <v>95.488952957399675</v>
      </c>
      <c r="R408" s="690">
        <f t="shared" si="228"/>
        <v>1.560323719770609</v>
      </c>
      <c r="S408" s="677">
        <f t="shared" si="206"/>
        <v>1.7468132501222362</v>
      </c>
      <c r="T408" s="680">
        <f t="shared" si="207"/>
        <v>0.96127989044037054</v>
      </c>
      <c r="U408" s="681">
        <f t="shared" si="219"/>
        <v>0.89941372125383168</v>
      </c>
      <c r="V408" s="682">
        <f t="shared" si="220"/>
        <v>-0.56406395624377836</v>
      </c>
      <c r="W408" s="683">
        <f t="shared" si="208"/>
        <v>-23.008692027653737</v>
      </c>
      <c r="X408" s="684">
        <f t="shared" si="209"/>
        <v>-186.06670412240726</v>
      </c>
      <c r="Y408" s="687">
        <f t="shared" si="210"/>
        <v>-6.0667041224072591</v>
      </c>
      <c r="AA408" s="170">
        <f t="shared" si="211"/>
        <v>37802.75</v>
      </c>
      <c r="AB408" s="170">
        <f t="shared" si="212"/>
        <v>1429047907.5625</v>
      </c>
      <c r="AD408" s="686">
        <f t="shared" si="213"/>
        <v>22.803092842283451</v>
      </c>
      <c r="AE408" s="687">
        <f t="shared" si="214"/>
        <v>-55.677236491854515</v>
      </c>
      <c r="AG408" s="686">
        <f t="shared" si="215"/>
        <v>9.5331765720671697</v>
      </c>
      <c r="AH408" s="687">
        <f t="shared" si="216"/>
        <v>-65.7524994202534</v>
      </c>
      <c r="AJ408" s="170">
        <f t="shared" si="217"/>
        <v>0</v>
      </c>
      <c r="AK408" s="170">
        <f t="shared" si="229"/>
        <v>0</v>
      </c>
      <c r="AM408" s="170" t="str">
        <f t="shared" si="221"/>
        <v>0.339134273297609+0.750504158063178i</v>
      </c>
      <c r="AN408" s="170" t="str">
        <f t="shared" si="222"/>
        <v>0.848824624067358i</v>
      </c>
      <c r="AO408" s="170" t="str">
        <f t="shared" si="223"/>
        <v>0.884168692546815-0.39953397166138i</v>
      </c>
      <c r="AP408" s="170" t="str">
        <f t="shared" si="224"/>
        <v>0.110144287783732-0.125084026343863i</v>
      </c>
      <c r="AQ408" s="170" t="str">
        <f t="shared" si="225"/>
        <v>0.889855712216268+0.125084026343863i</v>
      </c>
      <c r="AR408" s="170" t="str">
        <f t="shared" si="226"/>
        <v>0.917968693881172-0.129035773678742i</v>
      </c>
    </row>
    <row r="409" spans="7:44">
      <c r="G409" s="688">
        <v>38019</v>
      </c>
      <c r="H409" s="676">
        <f t="shared" si="218"/>
        <v>38.018999999999998</v>
      </c>
      <c r="I409" s="677">
        <f t="shared" si="198"/>
        <v>198.53648782080003</v>
      </c>
      <c r="J409" s="678">
        <f t="shared" si="199"/>
        <v>1.5657594479856314</v>
      </c>
      <c r="K409" s="678">
        <f t="shared" si="200"/>
        <v>1.0013799931241325</v>
      </c>
      <c r="L409" s="679">
        <f t="shared" si="201"/>
        <v>5.2505390323808396E-2</v>
      </c>
      <c r="M409" s="678">
        <f t="shared" si="202"/>
        <v>1.0201823787527644</v>
      </c>
      <c r="N409" s="679">
        <f t="shared" si="203"/>
        <v>-0.1992419807349198</v>
      </c>
      <c r="O409" s="677">
        <f t="shared" si="204"/>
        <v>716641.26576279779</v>
      </c>
      <c r="P409" s="680">
        <f t="shared" si="205"/>
        <v>1.5707949313966021</v>
      </c>
      <c r="Q409" s="689">
        <f t="shared" si="227"/>
        <v>96.035136181030083</v>
      </c>
      <c r="R409" s="690">
        <f t="shared" si="228"/>
        <v>1.5603832830703914</v>
      </c>
      <c r="S409" s="677">
        <f t="shared" si="206"/>
        <v>1.7535373280299806</v>
      </c>
      <c r="T409" s="680">
        <f t="shared" si="207"/>
        <v>0.96395469664056788</v>
      </c>
      <c r="U409" s="681">
        <f t="shared" si="219"/>
        <v>0.89842321066129471</v>
      </c>
      <c r="V409" s="682">
        <f t="shared" si="220"/>
        <v>-0.56698489595554402</v>
      </c>
      <c r="W409" s="683">
        <f t="shared" si="208"/>
        <v>-23.099117695143025</v>
      </c>
      <c r="X409" s="684">
        <f t="shared" si="209"/>
        <v>-186.43171649813723</v>
      </c>
      <c r="Y409" s="687">
        <f t="shared" si="210"/>
        <v>-6.4317164981372343</v>
      </c>
      <c r="AA409" s="170">
        <f t="shared" si="211"/>
        <v>38019</v>
      </c>
      <c r="AB409" s="170">
        <f t="shared" si="212"/>
        <v>1445444361</v>
      </c>
      <c r="AD409" s="686">
        <f t="shared" si="213"/>
        <v>22.769716684563789</v>
      </c>
      <c r="AE409" s="687">
        <f t="shared" si="214"/>
        <v>-55.827079329976186</v>
      </c>
      <c r="AG409" s="686">
        <f t="shared" si="215"/>
        <v>9.4952688796890676</v>
      </c>
      <c r="AH409" s="687">
        <f t="shared" si="216"/>
        <v>-65.632953922086543</v>
      </c>
      <c r="AJ409" s="170">
        <f t="shared" si="217"/>
        <v>0</v>
      </c>
      <c r="AK409" s="170">
        <f t="shared" si="229"/>
        <v>0</v>
      </c>
      <c r="AM409" s="170" t="str">
        <f t="shared" si="221"/>
        <v>0.3427862631555+0.753704255064868i</v>
      </c>
      <c r="AN409" s="170" t="str">
        <f t="shared" si="222"/>
        <v>0.853680311152414i</v>
      </c>
      <c r="AO409" s="170" t="str">
        <f t="shared" si="223"/>
        <v>0.882888178652516-0.401539380348084i</v>
      </c>
      <c r="AP409" s="170" t="str">
        <f t="shared" si="224"/>
        <v>0.109535622807417-0.125617375844145i</v>
      </c>
      <c r="AQ409" s="170" t="str">
        <f t="shared" si="225"/>
        <v>0.890464377192583+0.125617375844145i</v>
      </c>
      <c r="AR409" s="170" t="str">
        <f t="shared" si="226"/>
        <v>0.917213842971615-0.129390909948888i</v>
      </c>
    </row>
    <row r="410" spans="7:44">
      <c r="G410" s="688">
        <v>38240.5</v>
      </c>
      <c r="H410" s="676">
        <f t="shared" si="218"/>
        <v>38.240499999999997</v>
      </c>
      <c r="I410" s="677">
        <f t="shared" si="198"/>
        <v>199.69313895889968</v>
      </c>
      <c r="J410" s="678">
        <f t="shared" si="199"/>
        <v>1.5657886225505611</v>
      </c>
      <c r="K410" s="678">
        <f t="shared" si="200"/>
        <v>1.0013961084978351</v>
      </c>
      <c r="L410" s="679">
        <f t="shared" si="201"/>
        <v>5.2810721728968051E-2</v>
      </c>
      <c r="M410" s="678">
        <f t="shared" si="202"/>
        <v>1.0204158706025783</v>
      </c>
      <c r="N410" s="679">
        <f t="shared" si="203"/>
        <v>-0.20037203572221068</v>
      </c>
      <c r="O410" s="677">
        <f t="shared" si="204"/>
        <v>720816.44239464379</v>
      </c>
      <c r="P410" s="680">
        <f t="shared" si="205"/>
        <v>1.5707949394791514</v>
      </c>
      <c r="Q410" s="689">
        <f t="shared" si="227"/>
        <v>96.594579693370747</v>
      </c>
      <c r="R410" s="690">
        <f t="shared" si="228"/>
        <v>1.5604435940993679</v>
      </c>
      <c r="S410" s="677">
        <f t="shared" si="206"/>
        <v>1.7604375552348526</v>
      </c>
      <c r="T410" s="680">
        <f t="shared" si="207"/>
        <v>0.96667323712876685</v>
      </c>
      <c r="U410" s="681">
        <f t="shared" si="219"/>
        <v>0.89740597495831465</v>
      </c>
      <c r="V410" s="682">
        <f t="shared" si="220"/>
        <v>-0.56997218413691797</v>
      </c>
      <c r="W410" s="683">
        <f t="shared" si="208"/>
        <v>-23.191404116189961</v>
      </c>
      <c r="X410" s="684">
        <f t="shared" si="209"/>
        <v>-186.80410605559217</v>
      </c>
      <c r="Y410" s="687">
        <f t="shared" si="210"/>
        <v>-6.8041060555921717</v>
      </c>
      <c r="AA410" s="170">
        <f t="shared" si="211"/>
        <v>38240.5</v>
      </c>
      <c r="AB410" s="170">
        <f t="shared" si="212"/>
        <v>1462335840.25</v>
      </c>
      <c r="AD410" s="686">
        <f t="shared" si="213"/>
        <v>22.735599055481703</v>
      </c>
      <c r="AE410" s="687">
        <f t="shared" si="214"/>
        <v>-55.97938512223697</v>
      </c>
      <c r="AG410" s="686">
        <f t="shared" si="215"/>
        <v>9.4567803514547073</v>
      </c>
      <c r="AH410" s="687">
        <f t="shared" si="216"/>
        <v>-65.510719676925461</v>
      </c>
      <c r="AJ410" s="170">
        <f t="shared" si="217"/>
        <v>0</v>
      </c>
      <c r="AK410" s="170">
        <f t="shared" si="229"/>
        <v>0</v>
      </c>
      <c r="AM410" s="170" t="str">
        <f t="shared" si="221"/>
        <v>0.346542977725618+0.756963618703236i</v>
      </c>
      <c r="AN410" s="170" t="str">
        <f t="shared" si="222"/>
        <v>0.858653881970169i</v>
      </c>
      <c r="AO410" s="170" t="str">
        <f t="shared" si="223"/>
        <v>0.881570135065824-0.403588669430435i</v>
      </c>
      <c r="AP410" s="170" t="str">
        <f t="shared" si="224"/>
        <v>0.108909503712397-0.126160603117206i</v>
      </c>
      <c r="AQ410" s="170" t="str">
        <f t="shared" si="225"/>
        <v>0.891090496287603+0.126160603117206i</v>
      </c>
      <c r="AR410" s="170" t="str">
        <f t="shared" si="226"/>
        <v>0.916439713448729-0.129749545585923i</v>
      </c>
    </row>
    <row r="411" spans="7:44">
      <c r="G411" s="688">
        <v>38462</v>
      </c>
      <c r="H411" s="676">
        <f t="shared" si="218"/>
        <v>38.462000000000003</v>
      </c>
      <c r="I411" s="677">
        <f t="shared" si="198"/>
        <v>200.84979026501153</v>
      </c>
      <c r="J411" s="678">
        <f t="shared" si="199"/>
        <v>1.5658174610952622</v>
      </c>
      <c r="K411" s="678">
        <f t="shared" si="200"/>
        <v>1.0014123172259506</v>
      </c>
      <c r="L411" s="679">
        <f t="shared" si="201"/>
        <v>5.3116043278483252E-2</v>
      </c>
      <c r="M411" s="678">
        <f t="shared" si="202"/>
        <v>1.0206506649510463</v>
      </c>
      <c r="N411" s="679">
        <f t="shared" si="203"/>
        <v>-0.20150157222712839</v>
      </c>
      <c r="O411" s="677">
        <f t="shared" si="204"/>
        <v>724991.61902648967</v>
      </c>
      <c r="P411" s="680">
        <f t="shared" si="205"/>
        <v>1.5707949474686069</v>
      </c>
      <c r="Q411" s="689">
        <f t="shared" si="227"/>
        <v>97.154023553020068</v>
      </c>
      <c r="R411" s="690">
        <f t="shared" si="228"/>
        <v>1.5605032105482712</v>
      </c>
      <c r="S411" s="677">
        <f t="shared" si="206"/>
        <v>1.7673506912386334</v>
      </c>
      <c r="T411" s="680">
        <f t="shared" si="207"/>
        <v>0.96937052983701189</v>
      </c>
      <c r="U411" s="681">
        <f t="shared" si="219"/>
        <v>0.89638606749012684</v>
      </c>
      <c r="V411" s="682">
        <f t="shared" si="220"/>
        <v>-0.57295484746171754</v>
      </c>
      <c r="W411" s="683">
        <f t="shared" si="208"/>
        <v>-23.283354653120579</v>
      </c>
      <c r="X411" s="684">
        <f t="shared" si="209"/>
        <v>-187.17500461663451</v>
      </c>
      <c r="Y411" s="687">
        <f t="shared" si="210"/>
        <v>-7.1750046166345101</v>
      </c>
      <c r="AA411" s="170">
        <f t="shared" si="211"/>
        <v>38462</v>
      </c>
      <c r="AB411" s="170">
        <f t="shared" si="212"/>
        <v>1479325444</v>
      </c>
      <c r="AD411" s="686">
        <f t="shared" si="213"/>
        <v>22.701551523052423</v>
      </c>
      <c r="AE411" s="687">
        <f t="shared" si="214"/>
        <v>-56.130513297553897</v>
      </c>
      <c r="AG411" s="686">
        <f t="shared" si="215"/>
        <v>9.4186317096770367</v>
      </c>
      <c r="AH411" s="687">
        <f t="shared" si="216"/>
        <v>-65.388702021821373</v>
      </c>
      <c r="AJ411" s="170">
        <f t="shared" si="217"/>
        <v>0</v>
      </c>
      <c r="AK411" s="170">
        <f t="shared" si="229"/>
        <v>0</v>
      </c>
      <c r="AM411" s="170" t="str">
        <f t="shared" si="221"/>
        <v>0.350315856441067+0.760204257820288i</v>
      </c>
      <c r="AN411" s="170" t="str">
        <f t="shared" si="222"/>
        <v>0.863627452787925i</v>
      </c>
      <c r="AO411" s="170" t="str">
        <f t="shared" si="223"/>
        <v>0.880245591274605-0.405633071656294i</v>
      </c>
      <c r="AP411" s="170" t="str">
        <f t="shared" si="224"/>
        <v>0.108280690593155-0.126700709636715i</v>
      </c>
      <c r="AQ411" s="170" t="str">
        <f t="shared" si="225"/>
        <v>0.891719309406845+0.126700709636715i</v>
      </c>
      <c r="AR411" s="170" t="str">
        <f t="shared" si="226"/>
        <v>0.915664658477041-0.130103005278054i</v>
      </c>
    </row>
    <row r="412" spans="7:44">
      <c r="G412" s="688">
        <v>38683.5</v>
      </c>
      <c r="H412" s="676">
        <f t="shared" si="218"/>
        <v>38.683500000000002</v>
      </c>
      <c r="I412" s="677">
        <f t="shared" si="198"/>
        <v>202.0064417362496</v>
      </c>
      <c r="J412" s="678">
        <f t="shared" si="199"/>
        <v>1.5658459693916555</v>
      </c>
      <c r="K412" s="678">
        <f t="shared" si="200"/>
        <v>1.0014286193039454</v>
      </c>
      <c r="L412" s="679">
        <f t="shared" si="201"/>
        <v>5.3421354915909061E-2</v>
      </c>
      <c r="M412" s="678">
        <f t="shared" si="202"/>
        <v>1.0208867608994805</v>
      </c>
      <c r="N412" s="679">
        <f t="shared" si="203"/>
        <v>-0.20263058772616518</v>
      </c>
      <c r="O412" s="677">
        <f t="shared" si="204"/>
        <v>729166.79565833579</v>
      </c>
      <c r="P412" s="680">
        <f t="shared" si="205"/>
        <v>1.5707949553665679</v>
      </c>
      <c r="Q412" s="689">
        <f t="shared" si="227"/>
        <v>97.713467754012669</v>
      </c>
      <c r="R412" s="690">
        <f t="shared" si="228"/>
        <v>1.5605621443468245</v>
      </c>
      <c r="S412" s="677">
        <f t="shared" si="206"/>
        <v>1.7742765851511866</v>
      </c>
      <c r="T412" s="680">
        <f t="shared" si="207"/>
        <v>0.97204678410950029</v>
      </c>
      <c r="U412" s="681">
        <f t="shared" si="219"/>
        <v>0.89536352679830722</v>
      </c>
      <c r="V412" s="682">
        <f t="shared" si="220"/>
        <v>-0.5759328805203382</v>
      </c>
      <c r="W412" s="683">
        <f t="shared" si="208"/>
        <v>-23.374971969347449</v>
      </c>
      <c r="X412" s="684">
        <f t="shared" si="209"/>
        <v>-187.54442337177892</v>
      </c>
      <c r="Y412" s="687">
        <f t="shared" si="210"/>
        <v>-7.5444233717789189</v>
      </c>
      <c r="AA412" s="170">
        <f t="shared" si="211"/>
        <v>38683.5</v>
      </c>
      <c r="AB412" s="170">
        <f t="shared" si="212"/>
        <v>1496413172.25</v>
      </c>
      <c r="AD412" s="686">
        <f t="shared" si="213"/>
        <v>22.66757452539721</v>
      </c>
      <c r="AE412" s="687">
        <f t="shared" si="214"/>
        <v>-56.28047516703473</v>
      </c>
      <c r="AG412" s="686">
        <f t="shared" si="215"/>
        <v>9.3808193326706899</v>
      </c>
      <c r="AH412" s="687">
        <f t="shared" si="216"/>
        <v>-65.26690145607617</v>
      </c>
      <c r="AJ412" s="170">
        <f t="shared" si="217"/>
        <v>0</v>
      </c>
      <c r="AK412" s="170">
        <f t="shared" si="229"/>
        <v>0</v>
      </c>
      <c r="AM412" s="170" t="str">
        <f t="shared" si="221"/>
        <v>0.354104805974576+0.763426092254424i</v>
      </c>
      <c r="AN412" s="170" t="str">
        <f t="shared" si="222"/>
        <v>0.868601023605681i</v>
      </c>
      <c r="AO412" s="170" t="str">
        <f t="shared" si="223"/>
        <v>0.878914566650334-0.407672563525931i</v>
      </c>
      <c r="AP412" s="170" t="str">
        <f t="shared" si="224"/>
        <v>0.107649199004237-0.127237682042404i</v>
      </c>
      <c r="AQ412" s="170" t="str">
        <f t="shared" si="225"/>
        <v>0.892350800995763+0.127237682042404i</v>
      </c>
      <c r="AR412" s="170" t="str">
        <f t="shared" si="226"/>
        <v>0.91488871685646-0.130451297325745i</v>
      </c>
    </row>
    <row r="413" spans="7:44">
      <c r="G413" s="688">
        <v>38905</v>
      </c>
      <c r="H413" s="676">
        <f t="shared" si="218"/>
        <v>38.905000000000001</v>
      </c>
      <c r="I413" s="677">
        <f t="shared" si="198"/>
        <v>203.16309336979359</v>
      </c>
      <c r="J413" s="678">
        <f t="shared" si="199"/>
        <v>1.5658741530802205</v>
      </c>
      <c r="K413" s="678">
        <f t="shared" si="200"/>
        <v>1.0014450147272611</v>
      </c>
      <c r="L413" s="679">
        <f t="shared" si="201"/>
        <v>5.3726656584811558E-2</v>
      </c>
      <c r="M413" s="678">
        <f t="shared" si="202"/>
        <v>1.0211241575450456</v>
      </c>
      <c r="N413" s="679">
        <f t="shared" si="203"/>
        <v>-0.20375907970345353</v>
      </c>
      <c r="O413" s="677">
        <f t="shared" si="204"/>
        <v>733341.9722901819</v>
      </c>
      <c r="P413" s="680">
        <f t="shared" si="205"/>
        <v>1.570794963174597</v>
      </c>
      <c r="Q413" s="689">
        <f t="shared" si="227"/>
        <v>98.272912290518931</v>
      </c>
      <c r="R413" s="690">
        <f t="shared" si="228"/>
        <v>1.5606204071531176</v>
      </c>
      <c r="S413" s="677">
        <f t="shared" si="206"/>
        <v>1.7812150881528894</v>
      </c>
      <c r="T413" s="680">
        <f t="shared" si="207"/>
        <v>0.9747022072430217</v>
      </c>
      <c r="U413" s="681">
        <f t="shared" si="219"/>
        <v>0.89433839127173131</v>
      </c>
      <c r="V413" s="682">
        <f t="shared" si="220"/>
        <v>-0.57890627813411932</v>
      </c>
      <c r="W413" s="683">
        <f t="shared" si="208"/>
        <v>-23.466258691102581</v>
      </c>
      <c r="X413" s="684">
        <f t="shared" si="209"/>
        <v>-187.91237341593182</v>
      </c>
      <c r="Y413" s="687">
        <f t="shared" si="210"/>
        <v>-7.9123734159318246</v>
      </c>
      <c r="AA413" s="170">
        <f t="shared" si="211"/>
        <v>38905</v>
      </c>
      <c r="AB413" s="170">
        <f t="shared" si="212"/>
        <v>1513599025</v>
      </c>
      <c r="AD413" s="686">
        <f t="shared" si="213"/>
        <v>22.633668481057537</v>
      </c>
      <c r="AE413" s="687">
        <f t="shared" si="214"/>
        <v>-56.429281940040887</v>
      </c>
      <c r="AG413" s="686">
        <f t="shared" si="215"/>
        <v>9.3433396564930575</v>
      </c>
      <c r="AH413" s="687">
        <f t="shared" si="216"/>
        <v>-65.145318458665784</v>
      </c>
      <c r="AJ413" s="170">
        <f t="shared" si="217"/>
        <v>0</v>
      </c>
      <c r="AK413" s="170">
        <f t="shared" si="229"/>
        <v>0</v>
      </c>
      <c r="AM413" s="170" t="str">
        <f t="shared" si="221"/>
        <v>0.357909732601342+0.766629042309199i</v>
      </c>
      <c r="AN413" s="170" t="str">
        <f t="shared" si="222"/>
        <v>0.873574594423437i</v>
      </c>
      <c r="AO413" s="170" t="str">
        <f t="shared" si="223"/>
        <v>0.877577080655805-0.409707121619722i</v>
      </c>
      <c r="AP413" s="170" t="str">
        <f t="shared" si="224"/>
        <v>0.107015044566443-0.127771507051533i</v>
      </c>
      <c r="AQ413" s="170" t="str">
        <f t="shared" si="225"/>
        <v>0.892984955433557+0.127771507051533i</v>
      </c>
      <c r="AR413" s="170" t="str">
        <f t="shared" si="226"/>
        <v>0.914111927143994-0.130794430336469i</v>
      </c>
    </row>
    <row r="414" spans="7:44">
      <c r="G414" s="688">
        <v>39131.5</v>
      </c>
      <c r="H414" s="676">
        <f t="shared" si="218"/>
        <v>39.131500000000003</v>
      </c>
      <c r="I414" s="677">
        <f t="shared" si="198"/>
        <v>204.34585468599619</v>
      </c>
      <c r="J414" s="678">
        <f t="shared" si="199"/>
        <v>1.56590264303065</v>
      </c>
      <c r="K414" s="678">
        <f t="shared" si="200"/>
        <v>1.0014618767754289</v>
      </c>
      <c r="L414" s="679">
        <f t="shared" si="201"/>
        <v>5.403883957185799E-2</v>
      </c>
      <c r="M414" s="678">
        <f t="shared" si="202"/>
        <v>1.0213682571565619</v>
      </c>
      <c r="N414" s="679">
        <f t="shared" si="203"/>
        <v>-0.20491250154543442</v>
      </c>
      <c r="O414" s="677">
        <f t="shared" si="204"/>
        <v>737611.39670152799</v>
      </c>
      <c r="P414" s="680">
        <f t="shared" si="205"/>
        <v>1.5707949710674709</v>
      </c>
      <c r="Q414" s="689">
        <f t="shared" si="227"/>
        <v>98.844985712891528</v>
      </c>
      <c r="R414" s="690">
        <f t="shared" si="228"/>
        <v>1.5606793031338648</v>
      </c>
      <c r="S414" s="677">
        <f t="shared" si="206"/>
        <v>1.7883231028342974</v>
      </c>
      <c r="T414" s="680">
        <f t="shared" si="207"/>
        <v>0.97739624426336125</v>
      </c>
      <c r="U414" s="681">
        <f t="shared" si="219"/>
        <v>0.89328747146602383</v>
      </c>
      <c r="V414" s="682">
        <f t="shared" si="220"/>
        <v>-0.58194199659544443</v>
      </c>
      <c r="W414" s="683">
        <f t="shared" si="208"/>
        <v>-23.559266886732928</v>
      </c>
      <c r="X414" s="684">
        <f t="shared" si="209"/>
        <v>-188.28712197407094</v>
      </c>
      <c r="Y414" s="687">
        <f t="shared" si="210"/>
        <v>-8.2871219740709421</v>
      </c>
      <c r="AA414" s="170">
        <f t="shared" si="211"/>
        <v>39131.5</v>
      </c>
      <c r="AB414" s="170">
        <f t="shared" si="212"/>
        <v>1531274292.25</v>
      </c>
      <c r="AD414" s="686">
        <f t="shared" si="213"/>
        <v>22.599070853210421</v>
      </c>
      <c r="AE414" s="687">
        <f t="shared" si="214"/>
        <v>-56.580264852432137</v>
      </c>
      <c r="AG414" s="686">
        <f t="shared" si="215"/>
        <v>9.3053543347139271</v>
      </c>
      <c r="AH414" s="687">
        <f t="shared" si="216"/>
        <v>-65.021216392768409</v>
      </c>
      <c r="AJ414" s="170">
        <f t="shared" si="217"/>
        <v>0</v>
      </c>
      <c r="AK414" s="170">
        <f t="shared" si="229"/>
        <v>0</v>
      </c>
      <c r="AM414" s="170" t="str">
        <f t="shared" si="221"/>
        <v>0.361816973303075+0.769884682557039i</v>
      </c>
      <c r="AN414" s="170" t="str">
        <f t="shared" si="222"/>
        <v>0.878660435462813i</v>
      </c>
      <c r="AO414" s="170" t="str">
        <f t="shared" si="223"/>
        <v>0.876202741678611-0.411782480125552i</v>
      </c>
      <c r="AP414" s="170" t="str">
        <f t="shared" si="224"/>
        <v>0.106363837782821-0.128314113759506i</v>
      </c>
      <c r="AQ414" s="170" t="str">
        <f t="shared" si="225"/>
        <v>0.893636162217179+0.128314113759506i</v>
      </c>
      <c r="AR414" s="170" t="str">
        <f t="shared" si="226"/>
        <v>0.913316765566349-0.13113998326185i</v>
      </c>
    </row>
    <row r="415" spans="7:44">
      <c r="G415" s="688">
        <v>39358</v>
      </c>
      <c r="H415" s="676">
        <f t="shared" si="218"/>
        <v>39.357999999999997</v>
      </c>
      <c r="I415" s="677">
        <f t="shared" si="198"/>
        <v>205.52861616615266</v>
      </c>
      <c r="J415" s="678">
        <f t="shared" si="199"/>
        <v>1.5659308050772165</v>
      </c>
      <c r="K415" s="678">
        <f t="shared" si="200"/>
        <v>1.0014788364209939</v>
      </c>
      <c r="L415" s="679">
        <f t="shared" si="201"/>
        <v>5.4351012015938019E-2</v>
      </c>
      <c r="M415" s="678">
        <f t="shared" si="202"/>
        <v>1.0216137149275775</v>
      </c>
      <c r="N415" s="679">
        <f t="shared" si="203"/>
        <v>-0.20606537066732164</v>
      </c>
      <c r="O415" s="677">
        <f t="shared" si="204"/>
        <v>741880.82111287396</v>
      </c>
      <c r="P415" s="680">
        <f t="shared" si="205"/>
        <v>1.5707949788695001</v>
      </c>
      <c r="Q415" s="689">
        <f t="shared" si="227"/>
        <v>99.417059474185422</v>
      </c>
      <c r="R415" s="690">
        <f t="shared" si="228"/>
        <v>1.5607375213066894</v>
      </c>
      <c r="S415" s="677">
        <f t="shared" si="206"/>
        <v>1.7954439940474576</v>
      </c>
      <c r="T415" s="680">
        <f t="shared" si="207"/>
        <v>0.98006893097090608</v>
      </c>
      <c r="U415" s="681">
        <f t="shared" si="219"/>
        <v>0.8922339190456402</v>
      </c>
      <c r="V415" s="682">
        <f t="shared" si="220"/>
        <v>-0.58497285775508179</v>
      </c>
      <c r="W415" s="683">
        <f t="shared" si="208"/>
        <v>-23.651934832970692</v>
      </c>
      <c r="X415" s="684">
        <f t="shared" si="209"/>
        <v>-188.66035792486707</v>
      </c>
      <c r="Y415" s="687">
        <f t="shared" si="210"/>
        <v>-8.6603579248670712</v>
      </c>
      <c r="AA415" s="170">
        <f t="shared" si="211"/>
        <v>39358</v>
      </c>
      <c r="AB415" s="170">
        <f t="shared" si="212"/>
        <v>1549052164</v>
      </c>
      <c r="AD415" s="686">
        <f t="shared" si="213"/>
        <v>22.564548242764289</v>
      </c>
      <c r="AE415" s="687">
        <f t="shared" si="214"/>
        <v>-56.730063312335865</v>
      </c>
      <c r="AG415" s="686">
        <f t="shared" si="215"/>
        <v>9.2677095455122469</v>
      </c>
      <c r="AH415" s="687">
        <f t="shared" si="216"/>
        <v>-64.897342777789248</v>
      </c>
      <c r="AJ415" s="170">
        <f t="shared" si="217"/>
        <v>0</v>
      </c>
      <c r="AK415" s="170">
        <f t="shared" si="229"/>
        <v>0</v>
      </c>
      <c r="AM415" s="170" t="str">
        <f t="shared" si="221"/>
        <v>0.365740721070407+0.773120409180687i</v>
      </c>
      <c r="AN415" s="170" t="str">
        <f t="shared" si="222"/>
        <v>0.883746276502188i</v>
      </c>
      <c r="AO415" s="170" t="str">
        <f t="shared" si="223"/>
        <v>0.874821687781983-0.413852630325059i</v>
      </c>
      <c r="AP415" s="170" t="str">
        <f t="shared" si="224"/>
        <v>0.105709879821599-0.128853401530115i</v>
      </c>
      <c r="AQ415" s="170" t="str">
        <f t="shared" si="225"/>
        <v>0.894290120178401+0.128853401530115i</v>
      </c>
      <c r="AR415" s="170" t="str">
        <f t="shared" si="226"/>
        <v>0.912520797934762-0.131480160775356i</v>
      </c>
    </row>
    <row r="416" spans="7:44">
      <c r="G416" s="688">
        <v>39584.5</v>
      </c>
      <c r="H416" s="676">
        <f t="shared" si="218"/>
        <v>39.584499999999998</v>
      </c>
      <c r="I416" s="677">
        <f t="shared" si="198"/>
        <v>206.71137780744868</v>
      </c>
      <c r="J416" s="678">
        <f t="shared" si="199"/>
        <v>1.5659586448484779</v>
      </c>
      <c r="K416" s="678">
        <f t="shared" si="200"/>
        <v>1.0014958936589977</v>
      </c>
      <c r="L416" s="679">
        <f t="shared" si="201"/>
        <v>5.4663173856745399E-2</v>
      </c>
      <c r="M416" s="678">
        <f t="shared" si="202"/>
        <v>1.0218605298793753</v>
      </c>
      <c r="N416" s="679">
        <f t="shared" si="203"/>
        <v>-0.207217684403952</v>
      </c>
      <c r="O416" s="677">
        <f t="shared" si="204"/>
        <v>746150.24552422017</v>
      </c>
      <c r="P416" s="680">
        <f t="shared" si="205"/>
        <v>1.5707949865822437</v>
      </c>
      <c r="Q416" s="689">
        <f t="shared" si="227"/>
        <v>99.989133568583341</v>
      </c>
      <c r="R416" s="690">
        <f t="shared" si="228"/>
        <v>1.5607950733051477</v>
      </c>
      <c r="S416" s="677">
        <f t="shared" si="206"/>
        <v>1.8025776091902674</v>
      </c>
      <c r="T416" s="680">
        <f t="shared" si="207"/>
        <v>0.98272048243350663</v>
      </c>
      <c r="U416" s="681">
        <f t="shared" si="219"/>
        <v>0.89117777454780611</v>
      </c>
      <c r="V416" s="682">
        <f t="shared" si="220"/>
        <v>-0.58799885681525643</v>
      </c>
      <c r="W416" s="683">
        <f t="shared" si="208"/>
        <v>-23.744265222618051</v>
      </c>
      <c r="X416" s="684">
        <f t="shared" si="209"/>
        <v>-189.03209282268909</v>
      </c>
      <c r="Y416" s="687">
        <f t="shared" si="210"/>
        <v>-9.0320928226890942</v>
      </c>
      <c r="AA416" s="170">
        <f t="shared" si="211"/>
        <v>39584.5</v>
      </c>
      <c r="AB416" s="170">
        <f t="shared" si="212"/>
        <v>1566932640.25</v>
      </c>
      <c r="AD416" s="686">
        <f t="shared" si="213"/>
        <v>22.530101036903982</v>
      </c>
      <c r="AE416" s="687">
        <f t="shared" si="214"/>
        <v>-56.878688975767894</v>
      </c>
      <c r="AG416" s="686">
        <f t="shared" si="215"/>
        <v>9.2304016571668459</v>
      </c>
      <c r="AH416" s="687">
        <f t="shared" si="216"/>
        <v>-64.773698061865872</v>
      </c>
      <c r="AJ416" s="170">
        <f t="shared" si="217"/>
        <v>0</v>
      </c>
      <c r="AK416" s="170">
        <f t="shared" si="229"/>
        <v>0</v>
      </c>
      <c r="AM416" s="170" t="str">
        <f t="shared" si="221"/>
        <v>0.369680874412765+0.776336138485736i</v>
      </c>
      <c r="AN416" s="170" t="str">
        <f t="shared" si="222"/>
        <v>0.888832117541564i</v>
      </c>
      <c r="AO416" s="170" t="str">
        <f t="shared" si="223"/>
        <v>0.873433940070727-0.415917547438848i</v>
      </c>
      <c r="AP416" s="170" t="str">
        <f t="shared" si="224"/>
        <v>0.105053187597873-0.129389356414289i</v>
      </c>
      <c r="AQ416" s="170" t="str">
        <f t="shared" si="225"/>
        <v>0.894946812402127+0.129389356414289i</v>
      </c>
      <c r="AR416" s="170" t="str">
        <f t="shared" si="226"/>
        <v>0.911724064675457-0.13181497304755i</v>
      </c>
    </row>
    <row r="417" spans="7:44">
      <c r="G417" s="688">
        <v>39811</v>
      </c>
      <c r="H417" s="676">
        <f t="shared" si="218"/>
        <v>39.811</v>
      </c>
      <c r="I417" s="677">
        <f t="shared" si="198"/>
        <v>207.89413960713401</v>
      </c>
      <c r="J417" s="678">
        <f t="shared" si="199"/>
        <v>1.5659861678449056</v>
      </c>
      <c r="K417" s="678">
        <f t="shared" si="200"/>
        <v>1.0015130484844541</v>
      </c>
      <c r="L417" s="679">
        <f t="shared" si="201"/>
        <v>5.4975325033986208E-2</v>
      </c>
      <c r="M417" s="678">
        <f t="shared" si="202"/>
        <v>1.022108701028775</v>
      </c>
      <c r="N417" s="679">
        <f t="shared" si="203"/>
        <v>-0.2083694400986289</v>
      </c>
      <c r="O417" s="677">
        <f t="shared" si="204"/>
        <v>750419.66993556626</v>
      </c>
      <c r="P417" s="680">
        <f t="shared" si="205"/>
        <v>1.5707949942072259</v>
      </c>
      <c r="Q417" s="689">
        <f t="shared" si="227"/>
        <v>100.5612079904004</v>
      </c>
      <c r="R417" s="690">
        <f t="shared" si="228"/>
        <v>1.5608519704980897</v>
      </c>
      <c r="S417" s="677">
        <f t="shared" si="206"/>
        <v>1.8097237977962075</v>
      </c>
      <c r="T417" s="680">
        <f t="shared" si="207"/>
        <v>0.98535111151985788</v>
      </c>
      <c r="U417" s="681">
        <f t="shared" si="219"/>
        <v>0.89011907833275339</v>
      </c>
      <c r="V417" s="682">
        <f t="shared" si="220"/>
        <v>-0.59101998922417742</v>
      </c>
      <c r="W417" s="683">
        <f t="shared" si="208"/>
        <v>-23.836260711301748</v>
      </c>
      <c r="X417" s="684">
        <f t="shared" si="209"/>
        <v>-189.40233811830748</v>
      </c>
      <c r="Y417" s="687">
        <f t="shared" si="210"/>
        <v>-9.4023381183074832</v>
      </c>
      <c r="AA417" s="170">
        <f t="shared" si="211"/>
        <v>39811</v>
      </c>
      <c r="AB417" s="170">
        <f t="shared" si="212"/>
        <v>1584915721</v>
      </c>
      <c r="AD417" s="686">
        <f t="shared" si="213"/>
        <v>22.495729603509528</v>
      </c>
      <c r="AE417" s="687">
        <f t="shared" si="214"/>
        <v>-57.026153387906277</v>
      </c>
      <c r="AG417" s="686">
        <f t="shared" si="215"/>
        <v>9.1934270956485662</v>
      </c>
      <c r="AH417" s="687">
        <f t="shared" si="216"/>
        <v>-64.650282672187544</v>
      </c>
      <c r="AJ417" s="170">
        <f t="shared" si="217"/>
        <v>0</v>
      </c>
      <c r="AK417" s="170">
        <f t="shared" si="229"/>
        <v>0</v>
      </c>
      <c r="AM417" s="170" t="str">
        <f t="shared" si="221"/>
        <v>0.37363733141523+0.779531787295018i</v>
      </c>
      <c r="AN417" s="170" t="str">
        <f t="shared" si="222"/>
        <v>0.893917958580939i</v>
      </c>
      <c r="AO417" s="170" t="str">
        <f t="shared" si="223"/>
        <v>0.872039519747981-0.417977206776744i</v>
      </c>
      <c r="AP417" s="170" t="str">
        <f t="shared" si="224"/>
        <v>0.104393778097462-0.12992196454917i</v>
      </c>
      <c r="AQ417" s="170" t="str">
        <f t="shared" si="225"/>
        <v>0.895606221902538+0.12992196454917i</v>
      </c>
      <c r="AR417" s="170" t="str">
        <f t="shared" si="226"/>
        <v>0.910926605940362-0.132144430565109i</v>
      </c>
    </row>
    <row r="418" spans="7:44">
      <c r="G418" s="688">
        <v>40042.75</v>
      </c>
      <c r="H418" s="676">
        <f t="shared" si="218"/>
        <v>40.042749999999998</v>
      </c>
      <c r="I418" s="677">
        <f t="shared" si="198"/>
        <v>209.10431657655664</v>
      </c>
      <c r="J418" s="678">
        <f t="shared" si="199"/>
        <v>1.5660140065245804</v>
      </c>
      <c r="K418" s="678">
        <f t="shared" si="200"/>
        <v>1.0015307019396928</v>
      </c>
      <c r="L418" s="679">
        <f t="shared" si="201"/>
        <v>5.5294700403354942E-2</v>
      </c>
      <c r="M418" s="678">
        <f t="shared" si="202"/>
        <v>1.0223640271739112</v>
      </c>
      <c r="N418" s="679">
        <f t="shared" si="203"/>
        <v>-0.20954731176126171</v>
      </c>
      <c r="O418" s="677">
        <f t="shared" si="204"/>
        <v>754788.05451538751</v>
      </c>
      <c r="P418" s="680">
        <f t="shared" si="205"/>
        <v>1.570795001919663</v>
      </c>
      <c r="Q418" s="689">
        <f t="shared" si="227"/>
        <v>101.14654274846842</v>
      </c>
      <c r="R418" s="690">
        <f t="shared" si="228"/>
        <v>1.5609095203405925</v>
      </c>
      <c r="S418" s="677">
        <f t="shared" si="206"/>
        <v>1.8170484857985336</v>
      </c>
      <c r="T418" s="680">
        <f t="shared" si="207"/>
        <v>0.98802127975661003</v>
      </c>
      <c r="U418" s="681">
        <f t="shared" si="219"/>
        <v>0.88903324358903213</v>
      </c>
      <c r="V418" s="682">
        <f t="shared" si="220"/>
        <v>-0.59410610622626481</v>
      </c>
      <c r="W418" s="683">
        <f t="shared" si="208"/>
        <v>-23.930044642676368</v>
      </c>
      <c r="X418" s="684">
        <f t="shared" si="209"/>
        <v>-189.7796353005848</v>
      </c>
      <c r="Y418" s="687">
        <f t="shared" si="210"/>
        <v>-9.7796353005848005</v>
      </c>
      <c r="AA418" s="170">
        <f t="shared" si="211"/>
        <v>40042.75</v>
      </c>
      <c r="AB418" s="170">
        <f t="shared" si="212"/>
        <v>1603421827.5625</v>
      </c>
      <c r="AD418" s="686">
        <f t="shared" si="213"/>
        <v>22.46064027254463</v>
      </c>
      <c r="AE418" s="687">
        <f t="shared" si="214"/>
        <v>-57.17584583743615</v>
      </c>
      <c r="AG418" s="686">
        <f t="shared" si="215"/>
        <v>9.1559368447572851</v>
      </c>
      <c r="AH418" s="687">
        <f t="shared" si="216"/>
        <v>-64.52424444592458</v>
      </c>
      <c r="AJ418" s="170">
        <f t="shared" si="217"/>
        <v>0</v>
      </c>
      <c r="AK418" s="170">
        <f t="shared" si="229"/>
        <v>0</v>
      </c>
      <c r="AM418" s="170" t="str">
        <f t="shared" si="221"/>
        <v>0.377702262520462+0.782780637169729i</v>
      </c>
      <c r="AN418" s="170" t="str">
        <f t="shared" si="222"/>
        <v>0.899121683353016i</v>
      </c>
      <c r="AO418" s="170" t="str">
        <f t="shared" si="223"/>
        <v>0.870605894244007-0.420079138912466i</v>
      </c>
      <c r="AP418" s="170" t="str">
        <f t="shared" si="224"/>
        <v>0.103716289579923-0.130463439528288i</v>
      </c>
      <c r="AQ418" s="170" t="str">
        <f t="shared" si="225"/>
        <v>0.896283710420077+0.130463439528288i</v>
      </c>
      <c r="AR418" s="170" t="str">
        <f t="shared" si="226"/>
        <v>0.910109953758196-0.132475993411255i</v>
      </c>
    </row>
    <row r="419" spans="7:44">
      <c r="G419" s="688">
        <v>40274.5</v>
      </c>
      <c r="H419" s="676">
        <f t="shared" si="218"/>
        <v>40.274500000000003</v>
      </c>
      <c r="I419" s="677">
        <f t="shared" si="198"/>
        <v>210.31449370616852</v>
      </c>
      <c r="J419" s="678">
        <f t="shared" si="199"/>
        <v>1.5660415248294617</v>
      </c>
      <c r="K419" s="678">
        <f t="shared" si="200"/>
        <v>1.0015484575480835</v>
      </c>
      <c r="L419" s="679">
        <f t="shared" si="201"/>
        <v>5.5614064481424613E-2</v>
      </c>
      <c r="M419" s="678">
        <f t="shared" si="202"/>
        <v>1.022620771018703</v>
      </c>
      <c r="N419" s="679">
        <f t="shared" si="203"/>
        <v>-0.21072459361286558</v>
      </c>
      <c r="O419" s="677">
        <f t="shared" si="204"/>
        <v>759156.43909520865</v>
      </c>
      <c r="P419" s="680">
        <f t="shared" si="205"/>
        <v>1.5707950095433414</v>
      </c>
      <c r="Q419" s="689">
        <f t="shared" si="227"/>
        <v>101.73187783767726</v>
      </c>
      <c r="R419" s="690">
        <f t="shared" si="228"/>
        <v>1.5609664079337902</v>
      </c>
      <c r="S419" s="677">
        <f t="shared" si="206"/>
        <v>1.8243860249096189</v>
      </c>
      <c r="T419" s="680">
        <f t="shared" si="207"/>
        <v>0.99066998833268138</v>
      </c>
      <c r="U419" s="681">
        <f t="shared" si="219"/>
        <v>0.88794482237325156</v>
      </c>
      <c r="V419" s="682">
        <f t="shared" si="220"/>
        <v>-0.59718711949646841</v>
      </c>
      <c r="W419" s="683">
        <f t="shared" si="208"/>
        <v>-24.023483476999065</v>
      </c>
      <c r="X419" s="684">
        <f t="shared" si="209"/>
        <v>-190.15539694871919</v>
      </c>
      <c r="Y419" s="687">
        <f t="shared" si="210"/>
        <v>-10.155396948719186</v>
      </c>
      <c r="AA419" s="170">
        <f t="shared" si="211"/>
        <v>40274.5</v>
      </c>
      <c r="AB419" s="170">
        <f t="shared" si="212"/>
        <v>1622035350.25</v>
      </c>
      <c r="AD419" s="686">
        <f t="shared" si="213"/>
        <v>22.425630986844766</v>
      </c>
      <c r="AE419" s="687">
        <f t="shared" si="214"/>
        <v>-57.324346677982525</v>
      </c>
      <c r="AG419" s="686">
        <f t="shared" si="215"/>
        <v>9.1187881614942743</v>
      </c>
      <c r="AH419" s="687">
        <f t="shared" si="216"/>
        <v>-64.398447139096191</v>
      </c>
      <c r="AJ419" s="170">
        <f t="shared" si="217"/>
        <v>0</v>
      </c>
      <c r="AK419" s="170">
        <f t="shared" si="229"/>
        <v>0</v>
      </c>
      <c r="AM419" s="170" t="str">
        <f t="shared" si="221"/>
        <v>0.381784044633461+0.786008290369915i</v>
      </c>
      <c r="AN419" s="170" t="str">
        <f t="shared" si="222"/>
        <v>0.904325408125092i</v>
      </c>
      <c r="AO419" s="170" t="str">
        <f t="shared" si="223"/>
        <v>0.869165328440257-0.42217551470217i</v>
      </c>
      <c r="AP419" s="170" t="str">
        <f t="shared" si="224"/>
        <v>0.10303599256109-0.131001381728319i</v>
      </c>
      <c r="AQ419" s="170" t="str">
        <f t="shared" si="225"/>
        <v>0.89696400743891+0.131001381728319i</v>
      </c>
      <c r="AR419" s="170" t="str">
        <f t="shared" si="226"/>
        <v>0.909292626235354-0.132801973595709i</v>
      </c>
    </row>
    <row r="420" spans="7:44">
      <c r="G420" s="688">
        <v>40506.25</v>
      </c>
      <c r="H420" s="676">
        <f t="shared" si="218"/>
        <v>40.506250000000001</v>
      </c>
      <c r="I420" s="677">
        <f t="shared" si="198"/>
        <v>211.52467099322018</v>
      </c>
      <c r="J420" s="678">
        <f t="shared" si="199"/>
        <v>1.5660687282583028</v>
      </c>
      <c r="K420" s="678">
        <f t="shared" si="200"/>
        <v>1.0015663153041929</v>
      </c>
      <c r="L420" s="679">
        <f t="shared" si="201"/>
        <v>5.5933417203651414E-2</v>
      </c>
      <c r="M420" s="678">
        <f t="shared" si="202"/>
        <v>1.022878931495617</v>
      </c>
      <c r="N420" s="679">
        <f t="shared" si="203"/>
        <v>-0.21190128283539636</v>
      </c>
      <c r="O420" s="677">
        <f t="shared" si="204"/>
        <v>763524.82367502991</v>
      </c>
      <c r="P420" s="680">
        <f t="shared" si="205"/>
        <v>1.5707950170797846</v>
      </c>
      <c r="Q420" s="689">
        <f t="shared" si="227"/>
        <v>102.31721325234378</v>
      </c>
      <c r="R420" s="690">
        <f t="shared" si="228"/>
        <v>1.5610226446430815</v>
      </c>
      <c r="S420" s="677">
        <f t="shared" si="206"/>
        <v>1.8317362606931868</v>
      </c>
      <c r="T420" s="680">
        <f t="shared" si="207"/>
        <v>0.99329745819330617</v>
      </c>
      <c r="U420" s="681">
        <f t="shared" si="219"/>
        <v>0.886853857326933</v>
      </c>
      <c r="V420" s="682">
        <f t="shared" si="220"/>
        <v>-0.60026302494763073</v>
      </c>
      <c r="W420" s="683">
        <f t="shared" si="208"/>
        <v>-24.116579943228999</v>
      </c>
      <c r="X420" s="684">
        <f t="shared" si="209"/>
        <v>-190.52963499395241</v>
      </c>
      <c r="Y420" s="687">
        <f t="shared" si="210"/>
        <v>-10.529634993952413</v>
      </c>
      <c r="AA420" s="170">
        <f t="shared" si="211"/>
        <v>40506.25</v>
      </c>
      <c r="AB420" s="170">
        <f t="shared" si="212"/>
        <v>1640756289.0625</v>
      </c>
      <c r="AD420" s="686">
        <f t="shared" si="213"/>
        <v>22.390702080967632</v>
      </c>
      <c r="AE420" s="687">
        <f t="shared" si="214"/>
        <v>-57.471667917672789</v>
      </c>
      <c r="AG420" s="686">
        <f t="shared" si="215"/>
        <v>9.0819773968010793</v>
      </c>
      <c r="AH420" s="687">
        <f t="shared" si="216"/>
        <v>-64.272891143170668</v>
      </c>
      <c r="AJ420" s="170">
        <f t="shared" si="217"/>
        <v>0</v>
      </c>
      <c r="AK420" s="170">
        <f t="shared" si="229"/>
        <v>0</v>
      </c>
      <c r="AM420" s="170" t="str">
        <f t="shared" si="221"/>
        <v>0.385882567224916+0.789214659494957i</v>
      </c>
      <c r="AN420" s="170" t="str">
        <f t="shared" si="222"/>
        <v>0.909529132897169i</v>
      </c>
      <c r="AO420" s="170" t="str">
        <f t="shared" si="223"/>
        <v>0.867717845365801-0.424266307991416i</v>
      </c>
      <c r="AP420" s="170" t="str">
        <f t="shared" si="224"/>
        <v>0.102352905462514-0.131535776582493i</v>
      </c>
      <c r="AQ420" s="170" t="str">
        <f t="shared" si="225"/>
        <v>0.897647094537486+0.131535776582493i</v>
      </c>
      <c r="AR420" s="170" t="str">
        <f t="shared" si="226"/>
        <v>0.908474665476608-0.133122383346606i</v>
      </c>
    </row>
    <row r="421" spans="7:44">
      <c r="G421" s="688">
        <v>40738</v>
      </c>
      <c r="H421" s="676">
        <f t="shared" si="218"/>
        <v>40.738</v>
      </c>
      <c r="I421" s="677">
        <f t="shared" si="198"/>
        <v>212.73484843502482</v>
      </c>
      <c r="J421" s="678">
        <f t="shared" si="199"/>
        <v>1.5660956221847371</v>
      </c>
      <c r="K421" s="678">
        <f t="shared" si="200"/>
        <v>1.0015842752025577</v>
      </c>
      <c r="L421" s="679">
        <f t="shared" si="201"/>
        <v>5.6252758505505374E-2</v>
      </c>
      <c r="M421" s="678">
        <f t="shared" si="202"/>
        <v>1.0231385075323103</v>
      </c>
      <c r="N421" s="679">
        <f t="shared" si="203"/>
        <v>-0.21307737662021056</v>
      </c>
      <c r="O421" s="677">
        <f t="shared" si="204"/>
        <v>767893.20825485117</v>
      </c>
      <c r="P421" s="680">
        <f t="shared" si="205"/>
        <v>1.5707950245304811</v>
      </c>
      <c r="Q421" s="689">
        <f t="shared" si="227"/>
        <v>102.90254898691414</v>
      </c>
      <c r="R421" s="690">
        <f t="shared" si="228"/>
        <v>1.5610782415752844</v>
      </c>
      <c r="S421" s="677">
        <f t="shared" si="206"/>
        <v>1.8390990409167634</v>
      </c>
      <c r="T421" s="680">
        <f t="shared" si="207"/>
        <v>0.99590390792768835</v>
      </c>
      <c r="U421" s="681">
        <f t="shared" si="219"/>
        <v>0.88576039088740277</v>
      </c>
      <c r="V421" s="682">
        <f t="shared" si="220"/>
        <v>-0.6033338187546573</v>
      </c>
      <c r="W421" s="683">
        <f t="shared" si="208"/>
        <v>-24.209336733004708</v>
      </c>
      <c r="X421" s="684">
        <f t="shared" si="209"/>
        <v>-190.9023612557335</v>
      </c>
      <c r="Y421" s="687">
        <f t="shared" si="210"/>
        <v>-10.902361255733496</v>
      </c>
      <c r="AA421" s="170">
        <f t="shared" si="211"/>
        <v>40738</v>
      </c>
      <c r="AB421" s="170">
        <f t="shared" si="212"/>
        <v>1659584644</v>
      </c>
      <c r="AD421" s="686">
        <f t="shared" si="213"/>
        <v>22.355853870470163</v>
      </c>
      <c r="AE421" s="687">
        <f t="shared" si="214"/>
        <v>-57.617821444457256</v>
      </c>
      <c r="AG421" s="686">
        <f t="shared" si="215"/>
        <v>9.0455009594137561</v>
      </c>
      <c r="AH421" s="687">
        <f t="shared" si="216"/>
        <v>-64.147576827970127</v>
      </c>
      <c r="AJ421" s="170">
        <f t="shared" si="217"/>
        <v>0</v>
      </c>
      <c r="AK421" s="170">
        <f t="shared" si="229"/>
        <v>0</v>
      </c>
      <c r="AM421" s="170" t="str">
        <f t="shared" si="221"/>
        <v>0.389997719312201+0.792399657720574i</v>
      </c>
      <c r="AN421" s="170" t="str">
        <f t="shared" si="222"/>
        <v>0.914732857669245i</v>
      </c>
      <c r="AO421" s="170" t="str">
        <f t="shared" si="223"/>
        <v>0.866263468155743-0.426351492725343i</v>
      </c>
      <c r="AP421" s="170" t="str">
        <f t="shared" si="224"/>
        <v>0.1016670467813-0.132066609620096i</v>
      </c>
      <c r="AQ421" s="170" t="str">
        <f t="shared" si="225"/>
        <v>0.8983329532187+0.132066609620096i</v>
      </c>
      <c r="AR421" s="170" t="str">
        <f t="shared" si="226"/>
        <v>0.907656113277799-0.133437235216696i</v>
      </c>
    </row>
    <row r="422" spans="7:44">
      <c r="G422" s="688">
        <v>40975.25</v>
      </c>
      <c r="H422" s="676">
        <f t="shared" si="218"/>
        <v>40.975250000000003</v>
      </c>
      <c r="I422" s="677">
        <f t="shared" si="198"/>
        <v>213.97374653463049</v>
      </c>
      <c r="J422" s="678">
        <f t="shared" si="199"/>
        <v>1.5661228392458291</v>
      </c>
      <c r="K422" s="678">
        <f t="shared" si="200"/>
        <v>1.0016027671350924</v>
      </c>
      <c r="L422" s="679">
        <f t="shared" si="201"/>
        <v>5.6579666667833178E-2</v>
      </c>
      <c r="M422" s="678">
        <f t="shared" si="202"/>
        <v>1.0234057091754762</v>
      </c>
      <c r="N422" s="679">
        <f t="shared" si="203"/>
        <v>-0.21428076229114118</v>
      </c>
      <c r="O422" s="677">
        <f t="shared" si="204"/>
        <v>772365.26539212244</v>
      </c>
      <c r="P422" s="680">
        <f t="shared" si="205"/>
        <v>1.5707950320706972</v>
      </c>
      <c r="Q422" s="689">
        <f t="shared" si="227"/>
        <v>103.50177651015622</v>
      </c>
      <c r="R422" s="690">
        <f t="shared" si="228"/>
        <v>1.5611345065600233</v>
      </c>
      <c r="S422" s="677">
        <f t="shared" si="206"/>
        <v>1.8466493959792756</v>
      </c>
      <c r="T422" s="680">
        <f t="shared" si="207"/>
        <v>0.99855066658287028</v>
      </c>
      <c r="U422" s="681">
        <f t="shared" si="219"/>
        <v>0.88463842673477777</v>
      </c>
      <c r="V422" s="682">
        <f t="shared" si="220"/>
        <v>-0.6064721913125517</v>
      </c>
      <c r="W422" s="683">
        <f t="shared" si="208"/>
        <v>-24.303945778306037</v>
      </c>
      <c r="X422" s="684">
        <f t="shared" si="209"/>
        <v>-191.28237942928146</v>
      </c>
      <c r="Y422" s="687">
        <f t="shared" si="210"/>
        <v>-11.282379429281463</v>
      </c>
      <c r="AA422" s="170">
        <f t="shared" si="211"/>
        <v>40975.25</v>
      </c>
      <c r="AB422" s="170">
        <f t="shared" si="212"/>
        <v>1678971112.5625</v>
      </c>
      <c r="AD422" s="686">
        <f t="shared" si="213"/>
        <v>22.320262526658997</v>
      </c>
      <c r="AE422" s="687">
        <f t="shared" si="214"/>
        <v>-57.766246230821139</v>
      </c>
      <c r="AG422" s="686">
        <f t="shared" si="215"/>
        <v>9.0085014789372835</v>
      </c>
      <c r="AH422" s="687">
        <f t="shared" si="216"/>
        <v>-64.019539210529203</v>
      </c>
      <c r="AJ422" s="170">
        <f t="shared" si="217"/>
        <v>0</v>
      </c>
      <c r="AK422" s="170">
        <f t="shared" si="229"/>
        <v>0</v>
      </c>
      <c r="AM422" s="170" t="str">
        <f t="shared" si="221"/>
        <v>0.394227643944682+0.795638016084695i</v>
      </c>
      <c r="AN422" s="170" t="str">
        <f t="shared" si="222"/>
        <v>0.920060079685103i</v>
      </c>
      <c r="AO422" s="170" t="str">
        <f t="shared" si="223"/>
        <v>0.864767457747985-0.428480327153863i</v>
      </c>
      <c r="AP422" s="170" t="str">
        <f t="shared" si="224"/>
        <v>0.100962059342553-0.132606336014116i</v>
      </c>
      <c r="AQ422" s="170" t="str">
        <f t="shared" si="225"/>
        <v>0.899037940657447+0.132606336014116i</v>
      </c>
      <c r="AR422" s="170" t="str">
        <f t="shared" si="226"/>
        <v>0.906817565463637-0.133753815441246i</v>
      </c>
    </row>
    <row r="423" spans="7:44">
      <c r="G423" s="688">
        <v>41212.5</v>
      </c>
      <c r="H423" s="676">
        <f t="shared" si="218"/>
        <v>41.212499999999999</v>
      </c>
      <c r="I423" s="677">
        <f t="shared" si="198"/>
        <v>215.21264479091627</v>
      </c>
      <c r="J423" s="678">
        <f t="shared" si="199"/>
        <v>1.5661497429501718</v>
      </c>
      <c r="K423" s="678">
        <f t="shared" si="200"/>
        <v>1.0016213661039011</v>
      </c>
      <c r="L423" s="679">
        <f t="shared" si="201"/>
        <v>5.6906562724469915E-2</v>
      </c>
      <c r="M423" s="678">
        <f t="shared" si="202"/>
        <v>1.023674392075453</v>
      </c>
      <c r="N423" s="679">
        <f t="shared" si="203"/>
        <v>-0.2154835179999505</v>
      </c>
      <c r="O423" s="677">
        <f t="shared" si="204"/>
        <v>776837.32252939371</v>
      </c>
      <c r="P423" s="680">
        <f t="shared" si="205"/>
        <v>1.5707950395240988</v>
      </c>
      <c r="Q423" s="689">
        <f t="shared" si="227"/>
        <v>104.10100435728673</v>
      </c>
      <c r="R423" s="690">
        <f t="shared" si="228"/>
        <v>1.5611901237981474</v>
      </c>
      <c r="S423" s="677">
        <f t="shared" si="206"/>
        <v>1.8542125820261448</v>
      </c>
      <c r="T423" s="680">
        <f t="shared" si="207"/>
        <v>1.001175851666392</v>
      </c>
      <c r="U423" s="681">
        <f t="shared" si="219"/>
        <v>0.88351393039217685</v>
      </c>
      <c r="V423" s="682">
        <f t="shared" si="220"/>
        <v>-0.60960519944369751</v>
      </c>
      <c r="W423" s="683">
        <f t="shared" si="208"/>
        <v>-24.398204425476759</v>
      </c>
      <c r="X423" s="684">
        <f t="shared" si="209"/>
        <v>-191.66083792279838</v>
      </c>
      <c r="Y423" s="687">
        <f t="shared" si="210"/>
        <v>-11.660837922798379</v>
      </c>
      <c r="AA423" s="170">
        <f t="shared" si="211"/>
        <v>41212.5</v>
      </c>
      <c r="AB423" s="170">
        <f t="shared" si="212"/>
        <v>1698470156.25</v>
      </c>
      <c r="AD423" s="686">
        <f t="shared" si="213"/>
        <v>22.284756364353392</v>
      </c>
      <c r="AE423" s="687">
        <f t="shared" si="214"/>
        <v>-57.913472050751636</v>
      </c>
      <c r="AG423" s="686">
        <f t="shared" si="215"/>
        <v>8.971844946171986</v>
      </c>
      <c r="AH423" s="687">
        <f t="shared" si="216"/>
        <v>-63.891755597515754</v>
      </c>
      <c r="AJ423" s="170">
        <f t="shared" si="217"/>
        <v>0</v>
      </c>
      <c r="AK423" s="170">
        <f t="shared" si="229"/>
        <v>0</v>
      </c>
      <c r="AM423" s="170" t="str">
        <f t="shared" si="221"/>
        <v>0.398474759928543+0.798853794856716i</v>
      </c>
      <c r="AN423" s="170" t="str">
        <f t="shared" si="222"/>
        <v>0.925387301700961i</v>
      </c>
      <c r="AO423" s="170" t="str">
        <f t="shared" si="223"/>
        <v>0.863264271498363-0.43060322871959i</v>
      </c>
      <c r="AP423" s="170" t="str">
        <f t="shared" si="224"/>
        <v>0.100254206678576-0.133142299142786i</v>
      </c>
      <c r="AQ423" s="170" t="str">
        <f t="shared" si="225"/>
        <v>0.899745793321424+0.133142299142786i</v>
      </c>
      <c r="AR423" s="170" t="str">
        <f t="shared" si="226"/>
        <v>0.905978485449714-0.13406459849219i</v>
      </c>
    </row>
    <row r="424" spans="7:44">
      <c r="G424" s="688">
        <v>41449.75</v>
      </c>
      <c r="H424" s="676">
        <f t="shared" si="218"/>
        <v>41.449750000000002</v>
      </c>
      <c r="I424" s="677">
        <f t="shared" si="198"/>
        <v>216.45154320119175</v>
      </c>
      <c r="J424" s="678">
        <f t="shared" si="199"/>
        <v>1.5661763386783829</v>
      </c>
      <c r="K424" s="678">
        <f t="shared" si="200"/>
        <v>1.0016400721030205</v>
      </c>
      <c r="L424" s="679">
        <f t="shared" si="201"/>
        <v>5.7233446606226979E-2</v>
      </c>
      <c r="M424" s="678">
        <f t="shared" si="202"/>
        <v>1.0239445550661952</v>
      </c>
      <c r="N424" s="679">
        <f t="shared" si="203"/>
        <v>-0.21668564076405566</v>
      </c>
      <c r="O424" s="677">
        <f t="shared" si="204"/>
        <v>781309.37966666499</v>
      </c>
      <c r="P424" s="680">
        <f t="shared" si="205"/>
        <v>1.570795046892177</v>
      </c>
      <c r="Q424" s="689">
        <f t="shared" si="227"/>
        <v>104.70023252274459</v>
      </c>
      <c r="R424" s="690">
        <f t="shared" si="228"/>
        <v>1.5612451044110041</v>
      </c>
      <c r="S424" s="677">
        <f t="shared" si="206"/>
        <v>1.8617884426865678</v>
      </c>
      <c r="T424" s="680">
        <f t="shared" si="207"/>
        <v>1.0037796901302491</v>
      </c>
      <c r="U424" s="681">
        <f t="shared" si="219"/>
        <v>0.88238694670997864</v>
      </c>
      <c r="V424" s="682">
        <f t="shared" si="220"/>
        <v>-0.61273283988487726</v>
      </c>
      <c r="W424" s="683">
        <f t="shared" si="208"/>
        <v>-24.492115445969958</v>
      </c>
      <c r="X424" s="684">
        <f t="shared" si="209"/>
        <v>-192.03774905694789</v>
      </c>
      <c r="Y424" s="687">
        <f t="shared" si="210"/>
        <v>-12.037749056947888</v>
      </c>
      <c r="AA424" s="170">
        <f t="shared" si="211"/>
        <v>41449.75</v>
      </c>
      <c r="AB424" s="170">
        <f t="shared" si="212"/>
        <v>1718081775.0625</v>
      </c>
      <c r="AD424" s="686">
        <f t="shared" si="213"/>
        <v>22.249335663564661</v>
      </c>
      <c r="AE424" s="687">
        <f t="shared" si="214"/>
        <v>-58.059511270519423</v>
      </c>
      <c r="AG424" s="686">
        <f t="shared" si="215"/>
        <v>8.9355276880325576</v>
      </c>
      <c r="AH424" s="687">
        <f t="shared" si="216"/>
        <v>-63.764226317259862</v>
      </c>
      <c r="AJ424" s="170">
        <f t="shared" si="217"/>
        <v>0</v>
      </c>
      <c r="AK424" s="170">
        <f t="shared" si="229"/>
        <v>0</v>
      </c>
      <c r="AM424" s="170" t="str">
        <f t="shared" si="221"/>
        <v>0.402738946733913+0.80204690277532i</v>
      </c>
      <c r="AN424" s="170" t="str">
        <f t="shared" si="222"/>
        <v>0.930714523716819i</v>
      </c>
      <c r="AO424" s="170" t="str">
        <f t="shared" si="223"/>
        <v>0.861753934570975-0.432720169795536i</v>
      </c>
      <c r="AP424" s="170" t="str">
        <f t="shared" si="224"/>
        <v>0.0995435088776812-0.133674483795887i</v>
      </c>
      <c r="AQ424" s="170" t="str">
        <f t="shared" si="225"/>
        <v>0.900456491122319+0.133674483795887i</v>
      </c>
      <c r="AR424" s="170" t="str">
        <f t="shared" si="226"/>
        <v>0.905138917060693-0.13436959885852i</v>
      </c>
    </row>
    <row r="425" spans="7:44">
      <c r="G425" s="688">
        <v>41687</v>
      </c>
      <c r="H425" s="676">
        <f t="shared" si="218"/>
        <v>41.686999999999998</v>
      </c>
      <c r="I425" s="677">
        <f t="shared" si="198"/>
        <v>217.69044176282787</v>
      </c>
      <c r="J425" s="678">
        <f t="shared" si="199"/>
        <v>1.5662026316885955</v>
      </c>
      <c r="K425" s="678">
        <f t="shared" si="200"/>
        <v>1.001658885126455</v>
      </c>
      <c r="L425" s="679">
        <f t="shared" si="201"/>
        <v>5.756031824393136E-2</v>
      </c>
      <c r="M425" s="678">
        <f t="shared" si="202"/>
        <v>1.0242161969764689</v>
      </c>
      <c r="N425" s="679">
        <f t="shared" si="203"/>
        <v>-0.21788712761132936</v>
      </c>
      <c r="O425" s="677">
        <f t="shared" si="204"/>
        <v>785781.43680393638</v>
      </c>
      <c r="P425" s="680">
        <f t="shared" si="205"/>
        <v>1.5707950541763882</v>
      </c>
      <c r="Q425" s="689">
        <f t="shared" si="227"/>
        <v>105.29946100109522</v>
      </c>
      <c r="R425" s="690">
        <f t="shared" si="228"/>
        <v>1.5612994592668039</v>
      </c>
      <c r="S425" s="677">
        <f t="shared" si="206"/>
        <v>1.869376823864644</v>
      </c>
      <c r="T425" s="680">
        <f t="shared" si="207"/>
        <v>1.006362406408454</v>
      </c>
      <c r="U425" s="681">
        <f t="shared" si="219"/>
        <v>0.88125752030396776</v>
      </c>
      <c r="V425" s="682">
        <f t="shared" si="220"/>
        <v>-0.6158551096520295</v>
      </c>
      <c r="W425" s="683">
        <f t="shared" si="208"/>
        <v>-24.585681573632488</v>
      </c>
      <c r="X425" s="684">
        <f t="shared" si="209"/>
        <v>-192.41312503220013</v>
      </c>
      <c r="Y425" s="687">
        <f t="shared" si="210"/>
        <v>-12.413125032200128</v>
      </c>
      <c r="AA425" s="170">
        <f t="shared" si="211"/>
        <v>41687</v>
      </c>
      <c r="AB425" s="170">
        <f t="shared" si="212"/>
        <v>1737805969</v>
      </c>
      <c r="AD425" s="686">
        <f t="shared" si="213"/>
        <v>22.214000685643406</v>
      </c>
      <c r="AE425" s="687">
        <f t="shared" si="214"/>
        <v>-58.20437612662699</v>
      </c>
      <c r="AG425" s="686">
        <f t="shared" si="215"/>
        <v>8.899546089471146</v>
      </c>
      <c r="AH425" s="687">
        <f t="shared" si="216"/>
        <v>-63.636951675677459</v>
      </c>
      <c r="AJ425" s="170">
        <f t="shared" si="217"/>
        <v>0</v>
      </c>
      <c r="AK425" s="170">
        <f t="shared" si="229"/>
        <v>0</v>
      </c>
      <c r="AM425" s="170" t="str">
        <f t="shared" si="221"/>
        <v>0.407020083346466+0.805217249222573i</v>
      </c>
      <c r="AN425" s="170" t="str">
        <f t="shared" si="222"/>
        <v>0.936041745732678i</v>
      </c>
      <c r="AO425" s="170" t="str">
        <f t="shared" si="223"/>
        <v>0.860236472244405-0.43483112286608i</v>
      </c>
      <c r="AP425" s="170" t="str">
        <f t="shared" si="224"/>
        <v>0.0988299861089223-0.134202874870429i</v>
      </c>
      <c r="AQ425" s="170" t="str">
        <f t="shared" si="225"/>
        <v>0.901170013891078+0.134202874870429i</v>
      </c>
      <c r="AR425" s="170" t="str">
        <f t="shared" si="226"/>
        <v>0.90429890377417-0.134668831361426i</v>
      </c>
    </row>
    <row r="426" spans="7:44">
      <c r="G426" s="688">
        <v>41929.75</v>
      </c>
      <c r="H426" s="676">
        <f t="shared" si="218"/>
        <v>41.929749999999999</v>
      </c>
      <c r="I426" s="677">
        <f t="shared" si="198"/>
        <v>218.95806099304937</v>
      </c>
      <c r="J426" s="678">
        <f t="shared" si="199"/>
        <v>1.5662292262648942</v>
      </c>
      <c r="K426" s="678">
        <f t="shared" si="200"/>
        <v>1.0016782450473762</v>
      </c>
      <c r="L426" s="679">
        <f t="shared" si="201"/>
        <v>5.7894754771827976E-2</v>
      </c>
      <c r="M426" s="678">
        <f t="shared" si="202"/>
        <v>1.0244956656872213</v>
      </c>
      <c r="N426" s="679">
        <f t="shared" si="203"/>
        <v>-0.21911580639395023</v>
      </c>
      <c r="O426" s="677">
        <f t="shared" si="204"/>
        <v>790357.16649865767</v>
      </c>
      <c r="P426" s="680">
        <f t="shared" si="205"/>
        <v>1.5707950615441437</v>
      </c>
      <c r="Q426" s="689">
        <f t="shared" si="227"/>
        <v>105.9125812904125</v>
      </c>
      <c r="R426" s="690">
        <f t="shared" si="228"/>
        <v>1.5613544375860551</v>
      </c>
      <c r="S426" s="677">
        <f t="shared" si="206"/>
        <v>1.8771539220345259</v>
      </c>
      <c r="T426" s="680">
        <f t="shared" si="207"/>
        <v>1.0089833651022888</v>
      </c>
      <c r="U426" s="681">
        <f t="shared" si="219"/>
        <v>0.88009942916468742</v>
      </c>
      <c r="V426" s="682">
        <f t="shared" si="220"/>
        <v>-0.61904419910872455</v>
      </c>
      <c r="W426" s="683">
        <f t="shared" si="208"/>
        <v>-24.681062613345212</v>
      </c>
      <c r="X426" s="684">
        <f t="shared" si="209"/>
        <v>-192.79562673095165</v>
      </c>
      <c r="Y426" s="687">
        <f t="shared" si="210"/>
        <v>-12.795626730951653</v>
      </c>
      <c r="AA426" s="170">
        <f t="shared" si="211"/>
        <v>41929.75</v>
      </c>
      <c r="AB426" s="170">
        <f t="shared" si="212"/>
        <v>1758103935.0625</v>
      </c>
      <c r="AD426" s="686">
        <f t="shared" si="213"/>
        <v>22.177935542122427</v>
      </c>
      <c r="AE426" s="687">
        <f t="shared" si="214"/>
        <v>-58.35139639471334</v>
      </c>
      <c r="AG426" s="686">
        <f t="shared" si="215"/>
        <v>8.8630740655091014</v>
      </c>
      <c r="AH426" s="687">
        <f t="shared" si="216"/>
        <v>-63.506990373208481</v>
      </c>
      <c r="AJ426" s="170">
        <f t="shared" si="217"/>
        <v>0</v>
      </c>
      <c r="AK426" s="170">
        <f t="shared" si="229"/>
        <v>0</v>
      </c>
      <c r="AM426" s="170" t="str">
        <f t="shared" si="221"/>
        <v>0.411417883577642+0.808437438660393i</v>
      </c>
      <c r="AN426" s="170" t="str">
        <f t="shared" si="222"/>
        <v>0.941492464992317i</v>
      </c>
      <c r="AO426" s="170" t="str">
        <f t="shared" si="223"/>
        <v>0.858676483052884-0.436984786257423i</v>
      </c>
      <c r="AP426" s="170" t="str">
        <f t="shared" si="224"/>
        <v>0.0980970194037263-0.134739573110065i</v>
      </c>
      <c r="AQ426" s="170" t="str">
        <f t="shared" si="225"/>
        <v>0.901902980596274+0.134739573110065i</v>
      </c>
      <c r="AR426" s="170" t="str">
        <f t="shared" si="226"/>
        <v>0.903439001545346-0.134969046580514i</v>
      </c>
    </row>
    <row r="427" spans="7:44">
      <c r="G427" s="688">
        <v>42172.5</v>
      </c>
      <c r="H427" s="676">
        <f t="shared" si="218"/>
        <v>42.172499999999999</v>
      </c>
      <c r="I427" s="677">
        <f t="shared" si="198"/>
        <v>220.22568037635088</v>
      </c>
      <c r="J427" s="678">
        <f t="shared" si="199"/>
        <v>1.5662555146843602</v>
      </c>
      <c r="K427" s="678">
        <f t="shared" si="200"/>
        <v>1.0016977169994588</v>
      </c>
      <c r="L427" s="679">
        <f t="shared" si="201"/>
        <v>5.8229178334937876E-2</v>
      </c>
      <c r="M427" s="678">
        <f t="shared" si="202"/>
        <v>1.0247766801845133</v>
      </c>
      <c r="N427" s="679">
        <f t="shared" si="203"/>
        <v>-0.22034381317243079</v>
      </c>
      <c r="O427" s="677">
        <f t="shared" si="204"/>
        <v>794932.89619337907</v>
      </c>
      <c r="P427" s="680">
        <f t="shared" si="205"/>
        <v>1.5707950688270798</v>
      </c>
      <c r="Q427" s="689">
        <f t="shared" si="227"/>
        <v>106.52570189617769</v>
      </c>
      <c r="R427" s="690">
        <f t="shared" si="228"/>
        <v>1.5614087830377232</v>
      </c>
      <c r="S427" s="677">
        <f t="shared" si="206"/>
        <v>1.8849438087132719</v>
      </c>
      <c r="T427" s="680">
        <f t="shared" si="207"/>
        <v>1.0115826783145139</v>
      </c>
      <c r="U427" s="681">
        <f t="shared" si="219"/>
        <v>0.87893887447004315</v>
      </c>
      <c r="V427" s="682">
        <f t="shared" si="220"/>
        <v>-0.62222766056084144</v>
      </c>
      <c r="W427" s="683">
        <f t="shared" si="208"/>
        <v>-24.776088257370212</v>
      </c>
      <c r="X427" s="684">
        <f t="shared" si="209"/>
        <v>-193.17654672816403</v>
      </c>
      <c r="Y427" s="687">
        <f t="shared" si="210"/>
        <v>-13.176546728164027</v>
      </c>
      <c r="AA427" s="170">
        <f t="shared" si="211"/>
        <v>42172.5</v>
      </c>
      <c r="AB427" s="170">
        <f t="shared" si="212"/>
        <v>1778519756.25</v>
      </c>
      <c r="AD427" s="686">
        <f t="shared" si="213"/>
        <v>22.14196063803324</v>
      </c>
      <c r="AE427" s="687">
        <f t="shared" si="214"/>
        <v>-58.497212723838224</v>
      </c>
      <c r="AG427" s="686">
        <f t="shared" si="215"/>
        <v>8.8269459678794497</v>
      </c>
      <c r="AH427" s="687">
        <f t="shared" si="216"/>
        <v>-63.377296229981333</v>
      </c>
      <c r="AJ427" s="170">
        <f t="shared" si="217"/>
        <v>0</v>
      </c>
      <c r="AK427" s="170">
        <f t="shared" si="229"/>
        <v>0</v>
      </c>
      <c r="AM427" s="170" t="str">
        <f t="shared" si="221"/>
        <v>0.415833170740583+0.811633609206149i</v>
      </c>
      <c r="AN427" s="170" t="str">
        <f t="shared" si="222"/>
        <v>0.946943184251957i</v>
      </c>
      <c r="AO427" s="170" t="str">
        <f t="shared" si="223"/>
        <v>0.857109088173335-0.439132122872897i</v>
      </c>
      <c r="AP427" s="170" t="str">
        <f t="shared" si="224"/>
        <v>0.0973611382099028-0.135272268201025i</v>
      </c>
      <c r="AQ427" s="170" t="str">
        <f t="shared" si="225"/>
        <v>0.902638861790097+0.135272268201025i</v>
      </c>
      <c r="AR427" s="170" t="str">
        <f t="shared" si="226"/>
        <v>0.902578724521324-0.135263255842822i</v>
      </c>
    </row>
    <row r="428" spans="7:44">
      <c r="G428" s="688">
        <v>42415.25</v>
      </c>
      <c r="H428" s="676">
        <f t="shared" si="218"/>
        <v>42.41525</v>
      </c>
      <c r="I428" s="677">
        <f t="shared" si="198"/>
        <v>221.49329991010418</v>
      </c>
      <c r="J428" s="678">
        <f t="shared" si="199"/>
        <v>1.5662815022034193</v>
      </c>
      <c r="K428" s="678">
        <f t="shared" si="200"/>
        <v>1.0017173009761695</v>
      </c>
      <c r="L428" s="679">
        <f t="shared" si="201"/>
        <v>5.8563588859216011E-2</v>
      </c>
      <c r="M428" s="678">
        <f t="shared" si="202"/>
        <v>1.0250592391970377</v>
      </c>
      <c r="N428" s="679">
        <f t="shared" si="203"/>
        <v>-0.22157114479730913</v>
      </c>
      <c r="O428" s="677">
        <f t="shared" si="204"/>
        <v>799508.62588810048</v>
      </c>
      <c r="P428" s="680">
        <f t="shared" si="205"/>
        <v>1.5707950760266527</v>
      </c>
      <c r="Q428" s="689">
        <f t="shared" si="227"/>
        <v>107.13882281295797</v>
      </c>
      <c r="R428" s="690">
        <f t="shared" si="228"/>
        <v>1.5614625064865757</v>
      </c>
      <c r="S428" s="677">
        <f t="shared" si="206"/>
        <v>1.8927463260017019</v>
      </c>
      <c r="T428" s="680">
        <f t="shared" si="207"/>
        <v>1.0141605783921632</v>
      </c>
      <c r="U428" s="681">
        <f t="shared" si="219"/>
        <v>0.87777590323300014</v>
      </c>
      <c r="V428" s="682">
        <f t="shared" si="220"/>
        <v>-0.625405491704767</v>
      </c>
      <c r="W428" s="683">
        <f t="shared" si="208"/>
        <v>-24.870761316961776</v>
      </c>
      <c r="X428" s="684">
        <f t="shared" si="209"/>
        <v>-193.55589770689511</v>
      </c>
      <c r="Y428" s="687">
        <f t="shared" si="210"/>
        <v>-13.555897706895109</v>
      </c>
      <c r="AA428" s="170">
        <f t="shared" si="211"/>
        <v>42415.25</v>
      </c>
      <c r="AB428" s="170">
        <f t="shared" si="212"/>
        <v>1799053432.5625</v>
      </c>
      <c r="AD428" s="686">
        <f t="shared" si="213"/>
        <v>22.106076196062453</v>
      </c>
      <c r="AE428" s="687">
        <f t="shared" si="214"/>
        <v>-58.641837804084247</v>
      </c>
      <c r="AG428" s="686">
        <f t="shared" si="215"/>
        <v>8.791158104669373</v>
      </c>
      <c r="AH428" s="687">
        <f t="shared" si="216"/>
        <v>-63.247869502945953</v>
      </c>
      <c r="AJ428" s="170">
        <f t="shared" si="217"/>
        <v>0</v>
      </c>
      <c r="AK428" s="170">
        <f t="shared" si="229"/>
        <v>0</v>
      </c>
      <c r="AM428" s="170" t="str">
        <f t="shared" si="221"/>
        <v>0.420265813655929+0.814805665900758i</v>
      </c>
      <c r="AN428" s="170" t="str">
        <f t="shared" si="222"/>
        <v>0.952393903511597i</v>
      </c>
      <c r="AO428" s="170" t="str">
        <f t="shared" si="223"/>
        <v>0.855534315052276-0.44127310360383i</v>
      </c>
      <c r="AP428" s="170" t="str">
        <f t="shared" si="224"/>
        <v>0.0966223643906785-0.135800944316793i</v>
      </c>
      <c r="AQ428" s="170" t="str">
        <f t="shared" si="225"/>
        <v>0.903377635609321+0.135800944316793i</v>
      </c>
      <c r="AR428" s="170" t="str">
        <f t="shared" si="226"/>
        <v>0.901718118135059-0.13555147606428i</v>
      </c>
    </row>
    <row r="429" spans="7:44">
      <c r="G429" s="688">
        <v>42658</v>
      </c>
      <c r="H429" s="676">
        <f t="shared" si="218"/>
        <v>42.658000000000001</v>
      </c>
      <c r="I429" s="677">
        <f t="shared" si="198"/>
        <v>222.76091959174076</v>
      </c>
      <c r="J429" s="678">
        <f t="shared" si="199"/>
        <v>1.5663071939588518</v>
      </c>
      <c r="K429" s="678">
        <f t="shared" si="200"/>
        <v>1.001736996970938</v>
      </c>
      <c r="L429" s="679">
        <f t="shared" si="201"/>
        <v>5.8897986270634799E-2</v>
      </c>
      <c r="M429" s="678">
        <f t="shared" si="202"/>
        <v>1.025343341447905</v>
      </c>
      <c r="N429" s="679">
        <f t="shared" si="203"/>
        <v>-0.22279779813072162</v>
      </c>
      <c r="O429" s="677">
        <f t="shared" si="204"/>
        <v>804084.35558282188</v>
      </c>
      <c r="P429" s="680">
        <f t="shared" si="205"/>
        <v>1.5707950831442858</v>
      </c>
      <c r="Q429" s="689">
        <f t="shared" si="227"/>
        <v>107.75194403544424</v>
      </c>
      <c r="R429" s="690">
        <f t="shared" si="228"/>
        <v>1.5615156185501071</v>
      </c>
      <c r="S429" s="677">
        <f t="shared" si="206"/>
        <v>1.9005613183396475</v>
      </c>
      <c r="T429" s="680">
        <f t="shared" si="207"/>
        <v>1.0167172950083909</v>
      </c>
      <c r="U429" s="681">
        <f t="shared" si="219"/>
        <v>0.8766105621991358</v>
      </c>
      <c r="V429" s="682">
        <f t="shared" si="220"/>
        <v>-0.62857769053291601</v>
      </c>
      <c r="W429" s="683">
        <f t="shared" si="208"/>
        <v>-24.965084565505204</v>
      </c>
      <c r="X429" s="684">
        <f t="shared" si="209"/>
        <v>-193.93369222193598</v>
      </c>
      <c r="Y429" s="687">
        <f t="shared" si="210"/>
        <v>-13.933692221935985</v>
      </c>
      <c r="AA429" s="170">
        <f t="shared" si="211"/>
        <v>42658</v>
      </c>
      <c r="AB429" s="170">
        <f t="shared" si="212"/>
        <v>1819704964</v>
      </c>
      <c r="AD429" s="686">
        <f t="shared" si="213"/>
        <v>22.070282420692841</v>
      </c>
      <c r="AE429" s="687">
        <f t="shared" si="214"/>
        <v>-58.785284186497719</v>
      </c>
      <c r="AG429" s="686">
        <f t="shared" si="215"/>
        <v>8.7557068421383715</v>
      </c>
      <c r="AH429" s="687">
        <f t="shared" si="216"/>
        <v>-63.118710425899437</v>
      </c>
      <c r="AJ429" s="170">
        <f t="shared" si="217"/>
        <v>0</v>
      </c>
      <c r="AK429" s="170">
        <f t="shared" si="229"/>
        <v>0</v>
      </c>
      <c r="AM429" s="170" t="str">
        <f t="shared" si="221"/>
        <v>0.424715680628677+0.817953514501572i</v>
      </c>
      <c r="AN429" s="170" t="str">
        <f t="shared" si="222"/>
        <v>0.957844622771237i</v>
      </c>
      <c r="AO429" s="170" t="str">
        <f t="shared" si="223"/>
        <v>0.853952191259443-0.443407699465796i</v>
      </c>
      <c r="AP429" s="170" t="str">
        <f t="shared" si="224"/>
        <v>0.0958807198952205-0.136325585750262i</v>
      </c>
      <c r="AQ429" s="170" t="str">
        <f t="shared" si="225"/>
        <v>0.904119280104779+0.136325585750262i</v>
      </c>
      <c r="AR429" s="170" t="str">
        <f t="shared" si="226"/>
        <v>0.900857227432186-0.135833724497964i</v>
      </c>
    </row>
    <row r="430" spans="7:44">
      <c r="G430" s="688">
        <v>42906.5</v>
      </c>
      <c r="H430" s="676">
        <f t="shared" si="218"/>
        <v>42.906500000000001</v>
      </c>
      <c r="I430" s="677">
        <f t="shared" si="198"/>
        <v>224.05856543081322</v>
      </c>
      <c r="J430" s="678">
        <f t="shared" si="199"/>
        <v>1.566333193158332</v>
      </c>
      <c r="K430" s="678">
        <f t="shared" si="200"/>
        <v>1.0017572755258013</v>
      </c>
      <c r="L430" s="679">
        <f t="shared" si="201"/>
        <v>5.92402908673118E-2</v>
      </c>
      <c r="M430" s="678">
        <f t="shared" si="202"/>
        <v>1.0256357703704881</v>
      </c>
      <c r="N430" s="679">
        <f t="shared" si="203"/>
        <v>-0.22405280125898464</v>
      </c>
      <c r="O430" s="677">
        <f t="shared" si="204"/>
        <v>808768.47022396838</v>
      </c>
      <c r="P430" s="680">
        <f t="shared" si="205"/>
        <v>1.5707950903470913</v>
      </c>
      <c r="Q430" s="689">
        <f t="shared" si="227"/>
        <v>108.37958852294429</v>
      </c>
      <c r="R430" s="690">
        <f t="shared" si="228"/>
        <v>1.5615693662275374</v>
      </c>
      <c r="S430" s="677">
        <f t="shared" si="206"/>
        <v>1.908574185587401</v>
      </c>
      <c r="T430" s="680">
        <f t="shared" si="207"/>
        <v>1.0193128672999519</v>
      </c>
      <c r="U430" s="681">
        <f t="shared" si="219"/>
        <v>0.87541521168175451</v>
      </c>
      <c r="V430" s="682">
        <f t="shared" si="220"/>
        <v>-0.63181919318128332</v>
      </c>
      <c r="W430" s="683">
        <f t="shared" si="208"/>
        <v>-25.061282559696529</v>
      </c>
      <c r="X430" s="684">
        <f t="shared" si="209"/>
        <v>-194.31883629697913</v>
      </c>
      <c r="Y430" s="687">
        <f t="shared" si="210"/>
        <v>-14.318836296979129</v>
      </c>
      <c r="AA430" s="170">
        <f t="shared" si="211"/>
        <v>42906.5</v>
      </c>
      <c r="AB430" s="170">
        <f t="shared" si="212"/>
        <v>1840967742.25</v>
      </c>
      <c r="AD430" s="686">
        <f t="shared" si="213"/>
        <v>22.033734909383714</v>
      </c>
      <c r="AE430" s="687">
        <f t="shared" si="214"/>
        <v>-58.930920422006658</v>
      </c>
      <c r="AG430" s="686">
        <f t="shared" si="215"/>
        <v>8.7197607691765526</v>
      </c>
      <c r="AH430" s="687">
        <f t="shared" si="216"/>
        <v>-62.986769422945351</v>
      </c>
      <c r="AJ430" s="170">
        <f t="shared" si="217"/>
        <v>0</v>
      </c>
      <c r="AK430" s="170">
        <f t="shared" si="229"/>
        <v>0</v>
      </c>
      <c r="AM430" s="170" t="str">
        <f t="shared" si="221"/>
        <v>0.429288654088648+0.821150753301764i</v>
      </c>
      <c r="AN430" s="170" t="str">
        <f t="shared" si="222"/>
        <v>0.96342445278574i</v>
      </c>
      <c r="AO430" s="170" t="str">
        <f t="shared" si="223"/>
        <v>0.852325006831006-0.445586213685319i</v>
      </c>
      <c r="AP430" s="170" t="str">
        <f t="shared" si="224"/>
        <v>0.095118557651892-0.136858458883627i</v>
      </c>
      <c r="AQ430" s="170" t="str">
        <f t="shared" si="225"/>
        <v>0.904881442348108+0.136858458883627i</v>
      </c>
      <c r="AR430" s="170" t="str">
        <f t="shared" si="226"/>
        <v>0.899975697000119-0.136116491243912i</v>
      </c>
    </row>
    <row r="431" spans="7:44">
      <c r="G431" s="688">
        <v>43155</v>
      </c>
      <c r="H431" s="676">
        <f t="shared" si="218"/>
        <v>43.155000000000001</v>
      </c>
      <c r="I431" s="677">
        <f t="shared" si="198"/>
        <v>225.35621141959572</v>
      </c>
      <c r="J431" s="678">
        <f t="shared" si="199"/>
        <v>1.5663588929406824</v>
      </c>
      <c r="K431" s="678">
        <f t="shared" si="200"/>
        <v>1.0017776714542459</v>
      </c>
      <c r="L431" s="679">
        <f t="shared" si="201"/>
        <v>5.9582581565632363E-2</v>
      </c>
      <c r="M431" s="678">
        <f t="shared" si="202"/>
        <v>1.025929813780714</v>
      </c>
      <c r="N431" s="679">
        <f t="shared" si="203"/>
        <v>-0.2253070869648777</v>
      </c>
      <c r="O431" s="677">
        <f t="shared" si="204"/>
        <v>813452.58486511477</v>
      </c>
      <c r="P431" s="680">
        <f t="shared" si="205"/>
        <v>1.5707950974669449</v>
      </c>
      <c r="Q431" s="689">
        <f t="shared" si="227"/>
        <v>109.00723331992728</v>
      </c>
      <c r="R431" s="690">
        <f t="shared" si="228"/>
        <v>1.5616224949654574</v>
      </c>
      <c r="S431" s="677">
        <f t="shared" si="206"/>
        <v>1.9165998033274028</v>
      </c>
      <c r="T431" s="680">
        <f t="shared" si="207"/>
        <v>1.0218867192827266</v>
      </c>
      <c r="U431" s="681">
        <f t="shared" si="219"/>
        <v>0.8742174760359086</v>
      </c>
      <c r="V431" s="682">
        <f t="shared" si="220"/>
        <v>-0.63505479021121547</v>
      </c>
      <c r="W431" s="683">
        <f t="shared" si="208"/>
        <v>-25.157119737952574</v>
      </c>
      <c r="X431" s="684">
        <f t="shared" si="209"/>
        <v>-194.70237551655981</v>
      </c>
      <c r="Y431" s="687">
        <f t="shared" si="210"/>
        <v>-14.702375516559812</v>
      </c>
      <c r="AA431" s="170">
        <f t="shared" si="211"/>
        <v>43155</v>
      </c>
      <c r="AB431" s="170">
        <f t="shared" si="212"/>
        <v>1862354025</v>
      </c>
      <c r="AD431" s="686">
        <f t="shared" si="213"/>
        <v>21.997282788263746</v>
      </c>
      <c r="AE431" s="687">
        <f t="shared" si="214"/>
        <v>-59.075347633359939</v>
      </c>
      <c r="AG431" s="686">
        <f t="shared" si="215"/>
        <v>8.6841599070513098</v>
      </c>
      <c r="AH431" s="687">
        <f t="shared" si="216"/>
        <v>-62.855109322708714</v>
      </c>
      <c r="AJ431" s="170">
        <f t="shared" si="217"/>
        <v>0</v>
      </c>
      <c r="AK431" s="170">
        <f t="shared" si="229"/>
        <v>0</v>
      </c>
      <c r="AM431" s="170" t="str">
        <f t="shared" si="221"/>
        <v>0.433879396316624+0.824322426047702i</v>
      </c>
      <c r="AN431" s="170" t="str">
        <f t="shared" si="222"/>
        <v>0.969004282800242i</v>
      </c>
      <c r="AO431" s="170" t="str">
        <f t="shared" si="223"/>
        <v>0.850690178236946-0.447757975911926i</v>
      </c>
      <c r="AP431" s="170" t="str">
        <f t="shared" si="224"/>
        <v>0.0943534339472293-0.13738707100795i</v>
      </c>
      <c r="AQ431" s="170" t="str">
        <f t="shared" si="225"/>
        <v>0.905646566052771+0.13738707100795i</v>
      </c>
      <c r="AR431" s="170" t="str">
        <f t="shared" si="226"/>
        <v>0.89909396290102-0.1363930375867i</v>
      </c>
    </row>
    <row r="432" spans="7:44">
      <c r="G432" s="688">
        <v>43403.5</v>
      </c>
      <c r="H432" s="676">
        <f t="shared" si="218"/>
        <v>43.403500000000001</v>
      </c>
      <c r="I432" s="677">
        <f t="shared" si="198"/>
        <v>226.65385755551691</v>
      </c>
      <c r="J432" s="678">
        <f t="shared" si="199"/>
        <v>1.5663842984485679</v>
      </c>
      <c r="K432" s="678">
        <f t="shared" si="200"/>
        <v>1.0017981847491026</v>
      </c>
      <c r="L432" s="679">
        <f t="shared" si="201"/>
        <v>5.9924858286240272E-2</v>
      </c>
      <c r="M432" s="678">
        <f t="shared" si="202"/>
        <v>1.0262254702907894</v>
      </c>
      <c r="N432" s="679">
        <f t="shared" si="203"/>
        <v>-0.22656065192022443</v>
      </c>
      <c r="O432" s="677">
        <f t="shared" si="204"/>
        <v>818136.69950626127</v>
      </c>
      <c r="P432" s="680">
        <f t="shared" si="205"/>
        <v>1.5707951045052713</v>
      </c>
      <c r="Q432" s="689">
        <f t="shared" si="227"/>
        <v>109.63487842107794</v>
      </c>
      <c r="R432" s="690">
        <f t="shared" si="228"/>
        <v>1.5616750153936036</v>
      </c>
      <c r="S432" s="677">
        <f t="shared" si="206"/>
        <v>1.9246380120534412</v>
      </c>
      <c r="T432" s="680">
        <f t="shared" si="207"/>
        <v>1.0244390887833392</v>
      </c>
      <c r="U432" s="681">
        <f t="shared" si="219"/>
        <v>0.87301740452217447</v>
      </c>
      <c r="V432" s="682">
        <f t="shared" si="220"/>
        <v>-0.63828448041628671</v>
      </c>
      <c r="W432" s="683">
        <f t="shared" si="208"/>
        <v>-25.252598957171209</v>
      </c>
      <c r="X432" s="684">
        <f t="shared" si="209"/>
        <v>-195.08432293756863</v>
      </c>
      <c r="Y432" s="687">
        <f t="shared" si="210"/>
        <v>-15.084322937568629</v>
      </c>
      <c r="AA432" s="170">
        <f t="shared" si="211"/>
        <v>43403.5</v>
      </c>
      <c r="AB432" s="170">
        <f t="shared" si="212"/>
        <v>1883863812.25</v>
      </c>
      <c r="AD432" s="686">
        <f t="shared" si="213"/>
        <v>21.960926220866849</v>
      </c>
      <c r="AE432" s="687">
        <f t="shared" si="214"/>
        <v>-59.218578838062029</v>
      </c>
      <c r="AG432" s="686">
        <f t="shared" si="215"/>
        <v>8.648900538823991</v>
      </c>
      <c r="AH432" s="687">
        <f t="shared" si="216"/>
        <v>-62.723730302821949</v>
      </c>
      <c r="AJ432" s="170">
        <f t="shared" si="217"/>
        <v>0</v>
      </c>
      <c r="AK432" s="170">
        <f t="shared" si="229"/>
        <v>0</v>
      </c>
      <c r="AM432" s="170" t="str">
        <f t="shared" si="221"/>
        <v>0.438487764382498+0.827468433991191i</v>
      </c>
      <c r="AN432" s="170" t="str">
        <f t="shared" si="222"/>
        <v>0.974584112814745i</v>
      </c>
      <c r="AO432" s="170" t="str">
        <f t="shared" si="223"/>
        <v>0.849047735450292-0.44992295546054i</v>
      </c>
      <c r="AP432" s="170" t="str">
        <f t="shared" si="224"/>
        <v>0.093585372602917-0.137911405665198i</v>
      </c>
      <c r="AQ432" s="170" t="str">
        <f t="shared" si="225"/>
        <v>0.906414627397083+0.137911405665198i</v>
      </c>
      <c r="AR432" s="170" t="str">
        <f t="shared" si="226"/>
        <v>0.898212072187428-0.136663383088313i</v>
      </c>
    </row>
    <row r="433" spans="7:44">
      <c r="G433" s="688">
        <v>43652</v>
      </c>
      <c r="H433" s="676">
        <f t="shared" si="218"/>
        <v>43.652000000000001</v>
      </c>
      <c r="I433" s="677">
        <f t="shared" si="198"/>
        <v>227.95150383606398</v>
      </c>
      <c r="J433" s="678">
        <f t="shared" si="199"/>
        <v>1.566409414707552</v>
      </c>
      <c r="K433" s="678">
        <f t="shared" si="200"/>
        <v>1.001818815403162</v>
      </c>
      <c r="L433" s="679">
        <f t="shared" si="201"/>
        <v>6.0267120949798914E-2</v>
      </c>
      <c r="M433" s="678">
        <f t="shared" si="202"/>
        <v>1.0265227385069113</v>
      </c>
      <c r="N433" s="679">
        <f t="shared" si="203"/>
        <v>-0.22781349280973318</v>
      </c>
      <c r="O433" s="677">
        <f t="shared" si="204"/>
        <v>822820.81414740777</v>
      </c>
      <c r="P433" s="680">
        <f t="shared" si="205"/>
        <v>1.5707951114634626</v>
      </c>
      <c r="Q433" s="689">
        <f t="shared" si="227"/>
        <v>110.26252382120207</v>
      </c>
      <c r="R433" s="690">
        <f t="shared" si="228"/>
        <v>1.5617269378996967</v>
      </c>
      <c r="S433" s="677">
        <f t="shared" si="206"/>
        <v>1.9326886546647288</v>
      </c>
      <c r="T433" s="680">
        <f t="shared" si="207"/>
        <v>1.0269702107946488</v>
      </c>
      <c r="U433" s="681">
        <f t="shared" si="219"/>
        <v>0.8718150460974009</v>
      </c>
      <c r="V433" s="682">
        <f t="shared" si="220"/>
        <v>-0.64150826290380447</v>
      </c>
      <c r="W433" s="683">
        <f t="shared" si="208"/>
        <v>-25.347723035987929</v>
      </c>
      <c r="X433" s="684">
        <f t="shared" si="209"/>
        <v>-195.46469148040148</v>
      </c>
      <c r="Y433" s="687">
        <f t="shared" si="210"/>
        <v>-15.464691480401484</v>
      </c>
      <c r="AA433" s="170">
        <f t="shared" si="211"/>
        <v>43652</v>
      </c>
      <c r="AB433" s="170">
        <f t="shared" si="212"/>
        <v>1905497104</v>
      </c>
      <c r="AD433" s="686">
        <f t="shared" si="213"/>
        <v>21.924665353019943</v>
      </c>
      <c r="AE433" s="687">
        <f t="shared" si="214"/>
        <v>-59.360626905119176</v>
      </c>
      <c r="AG433" s="686">
        <f t="shared" si="215"/>
        <v>8.6139790059960077</v>
      </c>
      <c r="AH433" s="687">
        <f t="shared" si="216"/>
        <v>-62.592632516969594</v>
      </c>
      <c r="AJ433" s="170">
        <f t="shared" si="217"/>
        <v>0</v>
      </c>
      <c r="AK433" s="170">
        <f t="shared" si="229"/>
        <v>0</v>
      </c>
      <c r="AM433" s="170" t="str">
        <f t="shared" si="221"/>
        <v>0.443113614807391+0.830588679183089i</v>
      </c>
      <c r="AN433" s="170" t="str">
        <f t="shared" si="222"/>
        <v>0.980163942829247i</v>
      </c>
      <c r="AO433" s="170" t="str">
        <f t="shared" si="223"/>
        <v>0.847397708576783-0.452081121784935i</v>
      </c>
      <c r="AP433" s="170" t="str">
        <f t="shared" si="224"/>
        <v>0.0928143975321015-0.138431446530515i</v>
      </c>
      <c r="AQ433" s="170" t="str">
        <f t="shared" si="225"/>
        <v>0.907185602467898+0.138431446530515i</v>
      </c>
      <c r="AR433" s="170" t="str">
        <f t="shared" si="226"/>
        <v>0.897330071480687-0.136927547651196i</v>
      </c>
    </row>
    <row r="434" spans="7:44">
      <c r="G434" s="688">
        <v>43906</v>
      </c>
      <c r="H434" s="676">
        <f t="shared" si="218"/>
        <v>43.905999999999999</v>
      </c>
      <c r="I434" s="677">
        <f t="shared" si="198"/>
        <v>229.27787080493783</v>
      </c>
      <c r="J434" s="678">
        <f t="shared" si="199"/>
        <v>1.5664347930498719</v>
      </c>
      <c r="K434" s="678">
        <f t="shared" si="200"/>
        <v>1.001840023947925</v>
      </c>
      <c r="L434" s="679">
        <f t="shared" si="201"/>
        <v>6.0616944233586455E-2</v>
      </c>
      <c r="M434" s="678">
        <f t="shared" si="202"/>
        <v>1.0268282502508927</v>
      </c>
      <c r="N434" s="679">
        <f t="shared" si="203"/>
        <v>-0.22909331085254139</v>
      </c>
      <c r="O434" s="677">
        <f t="shared" si="204"/>
        <v>827608.60134600429</v>
      </c>
      <c r="P434" s="680">
        <f t="shared" si="205"/>
        <v>1.5707951184942599</v>
      </c>
      <c r="Q434" s="689">
        <f t="shared" si="227"/>
        <v>110.9040610731054</v>
      </c>
      <c r="R434" s="690">
        <f t="shared" si="228"/>
        <v>1.5617794022452109</v>
      </c>
      <c r="S434" s="677">
        <f t="shared" si="206"/>
        <v>1.9409301691622232</v>
      </c>
      <c r="T434" s="680">
        <f t="shared" si="207"/>
        <v>1.029535637227285</v>
      </c>
      <c r="U434" s="681">
        <f t="shared" si="219"/>
        <v>0.87058376337021348</v>
      </c>
      <c r="V434" s="682">
        <f t="shared" si="220"/>
        <v>-0.6447972908140146</v>
      </c>
      <c r="W434" s="683">
        <f t="shared" si="208"/>
        <v>-25.444588354105075</v>
      </c>
      <c r="X434" s="684">
        <f t="shared" si="209"/>
        <v>-195.85186026987026</v>
      </c>
      <c r="Y434" s="687">
        <f t="shared" si="210"/>
        <v>-15.851860269870258</v>
      </c>
      <c r="AA434" s="170">
        <f t="shared" si="211"/>
        <v>43906</v>
      </c>
      <c r="AB434" s="170">
        <f t="shared" si="212"/>
        <v>1927736836</v>
      </c>
      <c r="AD434" s="686">
        <f t="shared" si="213"/>
        <v>21.887700964740212</v>
      </c>
      <c r="AE434" s="687">
        <f t="shared" si="214"/>
        <v>-59.50460942978718</v>
      </c>
      <c r="AG434" s="686">
        <f t="shared" si="215"/>
        <v>8.5786299470705885</v>
      </c>
      <c r="AH434" s="687">
        <f t="shared" si="216"/>
        <v>-62.458923945428182</v>
      </c>
      <c r="AJ434" s="170">
        <f t="shared" si="217"/>
        <v>0</v>
      </c>
      <c r="AK434" s="170">
        <f t="shared" si="229"/>
        <v>0</v>
      </c>
      <c r="AM434" s="170" t="str">
        <f t="shared" si="221"/>
        <v>0.447859765339802+0.833751258631363i</v>
      </c>
      <c r="AN434" s="170" t="str">
        <f t="shared" si="222"/>
        <v>0.985867270087532i</v>
      </c>
      <c r="AO434" s="170" t="str">
        <f t="shared" si="223"/>
        <v>0.845703355744163-0.454279981624745i</v>
      </c>
      <c r="AP434" s="170" t="str">
        <f t="shared" si="224"/>
        <v>0.0920233724433663-0.138958543105227i</v>
      </c>
      <c r="AQ434" s="170" t="str">
        <f t="shared" si="225"/>
        <v>0.907976627556634+0.138958543105227i</v>
      </c>
      <c r="AR434" s="170" t="str">
        <f t="shared" si="226"/>
        <v>0.896428484043144-0.137191192328233i</v>
      </c>
    </row>
    <row r="435" spans="7:44">
      <c r="G435" s="688">
        <v>44160</v>
      </c>
      <c r="H435" s="676">
        <f t="shared" si="218"/>
        <v>44.16</v>
      </c>
      <c r="I435" s="677">
        <f t="shared" si="198"/>
        <v>230.60423791978178</v>
      </c>
      <c r="J435" s="678">
        <f t="shared" si="199"/>
        <v>1.5664598794548266</v>
      </c>
      <c r="K435" s="678">
        <f t="shared" si="200"/>
        <v>1.0018613550889941</v>
      </c>
      <c r="L435" s="679">
        <f t="shared" si="201"/>
        <v>6.0966752663648857E-2</v>
      </c>
      <c r="M435" s="678">
        <f t="shared" si="202"/>
        <v>1.0271354428698822</v>
      </c>
      <c r="N435" s="679">
        <f t="shared" si="203"/>
        <v>-0.23037236546095369</v>
      </c>
      <c r="O435" s="677">
        <f t="shared" si="204"/>
        <v>832396.38854460081</v>
      </c>
      <c r="P435" s="680">
        <f t="shared" si="205"/>
        <v>1.5707951254441774</v>
      </c>
      <c r="Q435" s="689">
        <f t="shared" si="227"/>
        <v>111.54559862676162</v>
      </c>
      <c r="R435" s="690">
        <f t="shared" si="228"/>
        <v>1.5618312631094509</v>
      </c>
      <c r="S435" s="677">
        <f t="shared" si="206"/>
        <v>1.9491843496513064</v>
      </c>
      <c r="T435" s="680">
        <f t="shared" si="207"/>
        <v>1.0320793527408827</v>
      </c>
      <c r="U435" s="681">
        <f t="shared" si="219"/>
        <v>0.86935019382750456</v>
      </c>
      <c r="V435" s="682">
        <f t="shared" si="220"/>
        <v>-0.64808014570851025</v>
      </c>
      <c r="W435" s="683">
        <f t="shared" si="208"/>
        <v>-25.541088473117846</v>
      </c>
      <c r="X435" s="684">
        <f t="shared" si="209"/>
        <v>-196.23740638256365</v>
      </c>
      <c r="Y435" s="687">
        <f t="shared" si="210"/>
        <v>-16.237406382563648</v>
      </c>
      <c r="AA435" s="170">
        <f t="shared" si="211"/>
        <v>44160</v>
      </c>
      <c r="AB435" s="170">
        <f t="shared" si="212"/>
        <v>1950105600</v>
      </c>
      <c r="AD435" s="686">
        <f t="shared" si="213"/>
        <v>21.850836812877684</v>
      </c>
      <c r="AE435" s="687">
        <f t="shared" si="214"/>
        <v>-59.64738258271953</v>
      </c>
      <c r="AG435" s="686">
        <f t="shared" si="215"/>
        <v>8.5436262957843994</v>
      </c>
      <c r="AH435" s="687">
        <f t="shared" si="216"/>
        <v>-62.325509444342437</v>
      </c>
      <c r="AJ435" s="170">
        <f t="shared" si="217"/>
        <v>0</v>
      </c>
      <c r="AK435" s="170">
        <f t="shared" si="229"/>
        <v>0</v>
      </c>
      <c r="AM435" s="170" t="str">
        <f t="shared" si="221"/>
        <v>0.452623875808955+0.83688671794072i</v>
      </c>
      <c r="AN435" s="170" t="str">
        <f t="shared" si="222"/>
        <v>0.991570597345816i</v>
      </c>
      <c r="AO435" s="170" t="str">
        <f t="shared" si="223"/>
        <v>0.844001143419192-0.456471659224784i</v>
      </c>
      <c r="AP435" s="170" t="str">
        <f t="shared" si="224"/>
        <v>0.0912293540318408-0.139481119656787i</v>
      </c>
      <c r="AQ435" s="170" t="str">
        <f t="shared" si="225"/>
        <v>0.908770645968159+0.139481119656787i</v>
      </c>
      <c r="AR435" s="170" t="str">
        <f t="shared" si="226"/>
        <v>0.895526878800346-0.137448422538723i</v>
      </c>
    </row>
    <row r="436" spans="7:44">
      <c r="G436" s="688">
        <v>44414</v>
      </c>
      <c r="H436" s="676">
        <f t="shared" si="218"/>
        <v>44.414000000000001</v>
      </c>
      <c r="I436" s="677">
        <f t="shared" si="198"/>
        <v>231.9306051780915</v>
      </c>
      <c r="J436" s="678">
        <f t="shared" si="199"/>
        <v>1.5664846789309874</v>
      </c>
      <c r="K436" s="678">
        <f t="shared" si="200"/>
        <v>1.0018828088185381</v>
      </c>
      <c r="L436" s="679">
        <f t="shared" si="201"/>
        <v>6.1316546155328347E-2</v>
      </c>
      <c r="M436" s="678">
        <f t="shared" si="202"/>
        <v>1.0274443148562007</v>
      </c>
      <c r="N436" s="679">
        <f t="shared" si="203"/>
        <v>-0.23165065313660824</v>
      </c>
      <c r="O436" s="677">
        <f t="shared" si="204"/>
        <v>837184.17574319732</v>
      </c>
      <c r="P436" s="680">
        <f t="shared" si="205"/>
        <v>1.570795132314603</v>
      </c>
      <c r="Q436" s="689">
        <f t="shared" si="227"/>
        <v>112.18713647699407</v>
      </c>
      <c r="R436" s="690">
        <f t="shared" si="228"/>
        <v>1.5618825308450892</v>
      </c>
      <c r="S436" s="677">
        <f t="shared" si="206"/>
        <v>1.9574510359021069</v>
      </c>
      <c r="T436" s="680">
        <f t="shared" si="207"/>
        <v>1.0346015992758195</v>
      </c>
      <c r="U436" s="681">
        <f t="shared" si="219"/>
        <v>0.86811438875065028</v>
      </c>
      <c r="V436" s="682">
        <f t="shared" si="220"/>
        <v>-0.65135682763128455</v>
      </c>
      <c r="W436" s="683">
        <f t="shared" si="208"/>
        <v>-25.63722628404237</v>
      </c>
      <c r="X436" s="684">
        <f t="shared" si="209"/>
        <v>-196.621343181459</v>
      </c>
      <c r="Y436" s="687">
        <f t="shared" si="210"/>
        <v>-16.621343181458997</v>
      </c>
      <c r="AA436" s="170">
        <f t="shared" si="211"/>
        <v>44414</v>
      </c>
      <c r="AB436" s="170">
        <f t="shared" si="212"/>
        <v>1972603396</v>
      </c>
      <c r="AD436" s="686">
        <f t="shared" si="213"/>
        <v>21.814072999279198</v>
      </c>
      <c r="AE436" s="687">
        <f t="shared" si="214"/>
        <v>-59.788959632993794</v>
      </c>
      <c r="AG436" s="686">
        <f t="shared" si="215"/>
        <v>8.5089643263856853</v>
      </c>
      <c r="AH436" s="687">
        <f t="shared" si="216"/>
        <v>-62.192389102570914</v>
      </c>
      <c r="AJ436" s="170">
        <f t="shared" si="217"/>
        <v>0</v>
      </c>
      <c r="AK436" s="170">
        <f t="shared" si="229"/>
        <v>0</v>
      </c>
      <c r="AM436" s="170" t="str">
        <f t="shared" si="221"/>
        <v>0.457405791248565+0.839994955121401i</v>
      </c>
      <c r="AN436" s="170" t="str">
        <f t="shared" si="222"/>
        <v>0.997273924604101i</v>
      </c>
      <c r="AO436" s="170" t="str">
        <f t="shared" si="223"/>
        <v>0.842291104176682-0.45865612241907i</v>
      </c>
      <c r="AP436" s="170" t="str">
        <f t="shared" si="224"/>
        <v>0.0904323681252392-0.1399991591869i</v>
      </c>
      <c r="AQ436" s="170" t="str">
        <f t="shared" si="225"/>
        <v>0.909567631874761+0.1399991591869i</v>
      </c>
      <c r="AR436" s="170" t="str">
        <f t="shared" si="226"/>
        <v>0.894625304134312-0.137699260590414i</v>
      </c>
    </row>
    <row r="437" spans="7:44">
      <c r="G437" s="688">
        <v>44668</v>
      </c>
      <c r="H437" s="676">
        <f t="shared" si="218"/>
        <v>44.667999999999999</v>
      </c>
      <c r="I437" s="677">
        <f t="shared" si="198"/>
        <v>233.25697257741956</v>
      </c>
      <c r="J437" s="678">
        <f t="shared" si="199"/>
        <v>1.5665091963730073</v>
      </c>
      <c r="K437" s="678">
        <f t="shared" si="200"/>
        <v>1.0019043851286824</v>
      </c>
      <c r="L437" s="679">
        <f t="shared" si="201"/>
        <v>6.1666324623989008E-2</v>
      </c>
      <c r="M437" s="678">
        <f t="shared" si="202"/>
        <v>1.0277548646957426</v>
      </c>
      <c r="N437" s="679">
        <f t="shared" si="203"/>
        <v>-0.2329281703953627</v>
      </c>
      <c r="O437" s="677">
        <f t="shared" si="204"/>
        <v>841971.96294179396</v>
      </c>
      <c r="P437" s="680">
        <f t="shared" si="205"/>
        <v>1.5707951391068928</v>
      </c>
      <c r="Q437" s="689">
        <f t="shared" si="227"/>
        <v>112.8286746187438</v>
      </c>
      <c r="R437" s="690">
        <f t="shared" si="228"/>
        <v>1.5619332155693515</v>
      </c>
      <c r="S437" s="677">
        <f t="shared" si="206"/>
        <v>1.9657300701393443</v>
      </c>
      <c r="T437" s="680">
        <f t="shared" si="207"/>
        <v>1.0371026157984642</v>
      </c>
      <c r="U437" s="681">
        <f t="shared" si="219"/>
        <v>0.86687639907983582</v>
      </c>
      <c r="V437" s="682">
        <f t="shared" si="220"/>
        <v>-0.65462733695595865</v>
      </c>
      <c r="W437" s="683">
        <f t="shared" si="208"/>
        <v>-25.733004639417807</v>
      </c>
      <c r="X437" s="684">
        <f t="shared" si="209"/>
        <v>-197.00368388579659</v>
      </c>
      <c r="Y437" s="687">
        <f t="shared" si="210"/>
        <v>-17.00368388579659</v>
      </c>
      <c r="AA437" s="170">
        <f t="shared" si="211"/>
        <v>44668</v>
      </c>
      <c r="AB437" s="170">
        <f t="shared" si="212"/>
        <v>1995230224</v>
      </c>
      <c r="AD437" s="686">
        <f t="shared" si="213"/>
        <v>21.777409608759811</v>
      </c>
      <c r="AE437" s="687">
        <f t="shared" si="214"/>
        <v>-59.929353692777774</v>
      </c>
      <c r="AG437" s="686">
        <f t="shared" si="215"/>
        <v>8.474640371497248</v>
      </c>
      <c r="AH437" s="687">
        <f t="shared" si="216"/>
        <v>-62.059562984372285</v>
      </c>
      <c r="AJ437" s="170">
        <f t="shared" si="217"/>
        <v>0</v>
      </c>
      <c r="AK437" s="170">
        <f t="shared" si="229"/>
        <v>0</v>
      </c>
      <c r="AM437" s="170" t="str">
        <f t="shared" si="221"/>
        <v>0.462205356113179+0.843075869069117i</v>
      </c>
      <c r="AN437" s="170" t="str">
        <f t="shared" si="222"/>
        <v>1.00297725186238i</v>
      </c>
      <c r="AO437" s="170" t="str">
        <f t="shared" si="223"/>
        <v>0.840573270733359-0.460833339195811i</v>
      </c>
      <c r="AP437" s="170" t="str">
        <f t="shared" si="224"/>
        <v>0.0896324406478035-0.140512644844853i</v>
      </c>
      <c r="AQ437" s="170" t="str">
        <f t="shared" si="225"/>
        <v>0.910367559352196+0.140512644844853i</v>
      </c>
      <c r="AR437" s="170" t="str">
        <f t="shared" si="226"/>
        <v>0.893723807951945-0.137943729130135i</v>
      </c>
    </row>
    <row r="438" spans="7:44">
      <c r="G438" s="688">
        <v>44928.25</v>
      </c>
      <c r="H438" s="676">
        <f t="shared" si="218"/>
        <v>44.928249999999998</v>
      </c>
      <c r="I438" s="677">
        <f t="shared" si="198"/>
        <v>234.61597711360628</v>
      </c>
      <c r="J438" s="678">
        <f t="shared" si="199"/>
        <v>1.5665340295712717</v>
      </c>
      <c r="K438" s="678">
        <f t="shared" si="200"/>
        <v>1.0019266194857803</v>
      </c>
      <c r="L438" s="679">
        <f t="shared" si="201"/>
        <v>6.2024694175767184E-2</v>
      </c>
      <c r="M438" s="678">
        <f t="shared" si="202"/>
        <v>1.0280747947173108</v>
      </c>
      <c r="N438" s="679">
        <f t="shared" si="203"/>
        <v>-0.23423631991180541</v>
      </c>
      <c r="O438" s="677">
        <f t="shared" si="204"/>
        <v>846877.5598647655</v>
      </c>
      <c r="P438" s="680">
        <f t="shared" si="205"/>
        <v>1.5707951459866578</v>
      </c>
      <c r="Q438" s="689">
        <f t="shared" si="227"/>
        <v>113.48599893716109</v>
      </c>
      <c r="R438" s="690">
        <f t="shared" si="228"/>
        <v>1.5619845530896934</v>
      </c>
      <c r="S438" s="677">
        <f t="shared" si="206"/>
        <v>1.9742254658022722</v>
      </c>
      <c r="T438" s="680">
        <f t="shared" si="207"/>
        <v>1.0396433998495906</v>
      </c>
      <c r="U438" s="681">
        <f t="shared" si="219"/>
        <v>0.86560573408511865</v>
      </c>
      <c r="V438" s="682">
        <f t="shared" si="220"/>
        <v>-0.65797191985179149</v>
      </c>
      <c r="W438" s="683">
        <f t="shared" si="208"/>
        <v>-25.830769857275754</v>
      </c>
      <c r="X438" s="684">
        <f t="shared" si="209"/>
        <v>-197.39379076501785</v>
      </c>
      <c r="Y438" s="687">
        <f t="shared" si="210"/>
        <v>-17.393790765017854</v>
      </c>
      <c r="AA438" s="170">
        <f t="shared" si="211"/>
        <v>44928.25</v>
      </c>
      <c r="AB438" s="170">
        <f t="shared" si="212"/>
        <v>2018547648.0625</v>
      </c>
      <c r="AD438" s="686">
        <f t="shared" si="213"/>
        <v>21.739948299270289</v>
      </c>
      <c r="AE438" s="687">
        <f t="shared" si="214"/>
        <v>-60.07198886665968</v>
      </c>
      <c r="AG438" s="686">
        <f t="shared" si="215"/>
        <v>8.439818648898715</v>
      </c>
      <c r="AH438" s="687">
        <f t="shared" si="216"/>
        <v>-61.92377372094797</v>
      </c>
      <c r="AJ438" s="170">
        <f t="shared" si="217"/>
        <v>0</v>
      </c>
      <c r="AK438" s="170">
        <f t="shared" si="229"/>
        <v>0</v>
      </c>
      <c r="AM438" s="170" t="str">
        <f t="shared" si="221"/>
        <v>0.467141163444687+0.846204148125568i</v>
      </c>
      <c r="AN438" s="170" t="str">
        <f t="shared" si="222"/>
        <v>1.00882091689769i</v>
      </c>
      <c r="AO438" s="170" t="str">
        <f t="shared" si="223"/>
        <v>0.838805117887327-0.463056579835034i</v>
      </c>
      <c r="AP438" s="170" t="str">
        <f t="shared" si="224"/>
        <v>0.0888098060925522-0.141034024687595i</v>
      </c>
      <c r="AQ438" s="170" t="str">
        <f t="shared" si="225"/>
        <v>0.911190193907448+0.141034024687595i</v>
      </c>
      <c r="AR438" s="170" t="str">
        <f t="shared" si="226"/>
        <v>0.892800260285408-0.138187630630903i</v>
      </c>
    </row>
    <row r="439" spans="7:44">
      <c r="G439" s="688">
        <v>45188.5</v>
      </c>
      <c r="H439" s="676">
        <f t="shared" si="218"/>
        <v>45.188499999999998</v>
      </c>
      <c r="I439" s="677">
        <f t="shared" si="198"/>
        <v>235.97498179281132</v>
      </c>
      <c r="J439" s="678">
        <f t="shared" si="199"/>
        <v>1.5665585767355625</v>
      </c>
      <c r="K439" s="678">
        <f t="shared" si="200"/>
        <v>1.0019489825133268</v>
      </c>
      <c r="L439" s="679">
        <f t="shared" si="201"/>
        <v>6.2383047776288642E-2</v>
      </c>
      <c r="M439" s="678">
        <f t="shared" si="202"/>
        <v>1.0283964829407968</v>
      </c>
      <c r="N439" s="679">
        <f t="shared" si="203"/>
        <v>-0.23554365327116347</v>
      </c>
      <c r="O439" s="677">
        <f t="shared" si="204"/>
        <v>851783.15678773704</v>
      </c>
      <c r="P439" s="680">
        <f t="shared" si="205"/>
        <v>1.5707951527871788</v>
      </c>
      <c r="Q439" s="689">
        <f t="shared" si="227"/>
        <v>114.14332355123052</v>
      </c>
      <c r="R439" s="690">
        <f t="shared" si="228"/>
        <v>1.5620352993287032</v>
      </c>
      <c r="S439" s="677">
        <f t="shared" si="206"/>
        <v>1.9827334969801669</v>
      </c>
      <c r="T439" s="680">
        <f t="shared" si="207"/>
        <v>1.0421623947255354</v>
      </c>
      <c r="U439" s="681">
        <f t="shared" si="219"/>
        <v>0.86433288282833853</v>
      </c>
      <c r="V439" s="682">
        <f t="shared" si="220"/>
        <v>-0.6613100244836454</v>
      </c>
      <c r="W439" s="683">
        <f t="shared" si="208"/>
        <v>-25.928163654647626</v>
      </c>
      <c r="X439" s="684">
        <f t="shared" si="209"/>
        <v>-197.78224967570409</v>
      </c>
      <c r="Y439" s="687">
        <f t="shared" si="210"/>
        <v>-17.782249675704094</v>
      </c>
      <c r="AA439" s="170">
        <f t="shared" si="211"/>
        <v>45188.5</v>
      </c>
      <c r="AB439" s="170">
        <f t="shared" si="212"/>
        <v>2042000532.25</v>
      </c>
      <c r="AD439" s="686">
        <f t="shared" si="213"/>
        <v>21.70259254352397</v>
      </c>
      <c r="AE439" s="687">
        <f t="shared" si="214"/>
        <v>-60.213409486147711</v>
      </c>
      <c r="AG439" s="686">
        <f t="shared" si="215"/>
        <v>8.4053441675730962</v>
      </c>
      <c r="AH439" s="687">
        <f t="shared" si="216"/>
        <v>-61.788293397752426</v>
      </c>
      <c r="AJ439" s="170">
        <f t="shared" si="217"/>
        <v>0</v>
      </c>
      <c r="AK439" s="170">
        <f t="shared" si="229"/>
        <v>0</v>
      </c>
      <c r="AM439" s="170" t="str">
        <f t="shared" si="221"/>
        <v>0.472095167012321+0.849303530728709i</v>
      </c>
      <c r="AN439" s="170" t="str">
        <f t="shared" si="222"/>
        <v>1.014664581933i</v>
      </c>
      <c r="AO439" s="170" t="str">
        <f t="shared" si="223"/>
        <v>0.837028852540346-0.465272145513299i</v>
      </c>
      <c r="AP439" s="170" t="str">
        <f t="shared" si="224"/>
        <v>0.0879841388312798-0.141550588454785i</v>
      </c>
      <c r="AQ439" s="170" t="str">
        <f t="shared" si="225"/>
        <v>0.91201586116872+0.141550588454785i</v>
      </c>
      <c r="AR439" s="170" t="str">
        <f t="shared" si="226"/>
        <v>0.891876895304389-0.13842489449447i</v>
      </c>
    </row>
    <row r="440" spans="7:44">
      <c r="G440" s="688">
        <v>45448.75</v>
      </c>
      <c r="H440" s="676">
        <f t="shared" si="218"/>
        <v>45.448749999999997</v>
      </c>
      <c r="I440" s="677">
        <f t="shared" si="198"/>
        <v>237.33398661257777</v>
      </c>
      <c r="J440" s="678">
        <f t="shared" si="199"/>
        <v>1.566582842779451</v>
      </c>
      <c r="K440" s="678">
        <f t="shared" si="200"/>
        <v>1.0019714742027062</v>
      </c>
      <c r="L440" s="679">
        <f t="shared" si="201"/>
        <v>6.2741385334586938E-2</v>
      </c>
      <c r="M440" s="678">
        <f t="shared" si="202"/>
        <v>1.0287199277167927</v>
      </c>
      <c r="N440" s="679">
        <f t="shared" si="203"/>
        <v>-0.23685016677241563</v>
      </c>
      <c r="O440" s="677">
        <f t="shared" si="204"/>
        <v>856688.7537107087</v>
      </c>
      <c r="P440" s="680">
        <f t="shared" si="205"/>
        <v>1.5707951595098171</v>
      </c>
      <c r="Q440" s="689">
        <f t="shared" si="227"/>
        <v>114.80064845587356</v>
      </c>
      <c r="R440" s="690">
        <f t="shared" si="228"/>
        <v>1.5620854644427835</v>
      </c>
      <c r="S440" s="677">
        <f t="shared" si="206"/>
        <v>1.9912540017097367</v>
      </c>
      <c r="T440" s="680">
        <f t="shared" si="207"/>
        <v>1.0446598479577591</v>
      </c>
      <c r="U440" s="681">
        <f t="shared" si="219"/>
        <v>0.86305789897469165</v>
      </c>
      <c r="V440" s="682">
        <f t="shared" si="220"/>
        <v>-0.66464165230869277</v>
      </c>
      <c r="W440" s="683">
        <f t="shared" si="208"/>
        <v>-26.025188979164732</v>
      </c>
      <c r="X440" s="684">
        <f t="shared" si="209"/>
        <v>-198.16907437669798</v>
      </c>
      <c r="Y440" s="687">
        <f t="shared" si="210"/>
        <v>-18.169074376697978</v>
      </c>
      <c r="AA440" s="170">
        <f t="shared" si="211"/>
        <v>45448.75</v>
      </c>
      <c r="AB440" s="170">
        <f t="shared" si="212"/>
        <v>2065588876.5625</v>
      </c>
      <c r="AD440" s="686">
        <f t="shared" si="213"/>
        <v>21.665342380628793</v>
      </c>
      <c r="AE440" s="687">
        <f t="shared" si="214"/>
        <v>-60.353629151908876</v>
      </c>
      <c r="AG440" s="686">
        <f t="shared" si="215"/>
        <v>8.3712131651554866</v>
      </c>
      <c r="AH440" s="687">
        <f t="shared" si="216"/>
        <v>-61.653122005981785</v>
      </c>
      <c r="AJ440" s="170">
        <f t="shared" si="217"/>
        <v>0</v>
      </c>
      <c r="AK440" s="170">
        <f t="shared" si="229"/>
        <v>0</v>
      </c>
      <c r="AM440" s="170" t="str">
        <f t="shared" si="221"/>
        <v>0.477067197645165+0.85237391103982i</v>
      </c>
      <c r="AN440" s="170" t="str">
        <f t="shared" si="222"/>
        <v>1.02050824696831i</v>
      </c>
      <c r="AO440" s="170" t="str">
        <f t="shared" si="223"/>
        <v>0.835244510342785-0.467480002305145i</v>
      </c>
      <c r="AP440" s="170" t="str">
        <f t="shared" si="224"/>
        <v>0.0871554670591392-0.142062318506637i</v>
      </c>
      <c r="AQ440" s="170" t="str">
        <f t="shared" si="225"/>
        <v>0.912844532940861+0.142062318506637i</v>
      </c>
      <c r="AR440" s="170" t="str">
        <f t="shared" si="226"/>
        <v>0.890953762983096-0.138655546135359i</v>
      </c>
    </row>
    <row r="441" spans="7:44">
      <c r="G441" s="688">
        <v>45709</v>
      </c>
      <c r="H441" s="676">
        <f t="shared" si="218"/>
        <v>45.709000000000003</v>
      </c>
      <c r="I441" s="677">
        <f t="shared" si="198"/>
        <v>238.69299157050489</v>
      </c>
      <c r="J441" s="678">
        <f t="shared" si="199"/>
        <v>1.5666068325046085</v>
      </c>
      <c r="K441" s="678">
        <f t="shared" si="200"/>
        <v>1.0019940945452543</v>
      </c>
      <c r="L441" s="679">
        <f t="shared" si="201"/>
        <v>6.3099706759720223E-2</v>
      </c>
      <c r="M441" s="678">
        <f t="shared" si="202"/>
        <v>1.029045127388964</v>
      </c>
      <c r="N441" s="679">
        <f t="shared" si="203"/>
        <v>-0.23815585673037679</v>
      </c>
      <c r="O441" s="677">
        <f t="shared" si="204"/>
        <v>861594.35063368035</v>
      </c>
      <c r="P441" s="680">
        <f t="shared" si="205"/>
        <v>1.570795166155903</v>
      </c>
      <c r="Q441" s="689">
        <f t="shared" si="227"/>
        <v>115.45797364612736</v>
      </c>
      <c r="R441" s="690">
        <f t="shared" si="228"/>
        <v>1.5621350583570588</v>
      </c>
      <c r="S441" s="677">
        <f t="shared" si="206"/>
        <v>1.9997868205525591</v>
      </c>
      <c r="T441" s="680">
        <f t="shared" si="207"/>
        <v>1.0471360039371671</v>
      </c>
      <c r="U441" s="681">
        <f t="shared" si="219"/>
        <v>0.86178083580420017</v>
      </c>
      <c r="V441" s="682">
        <f t="shared" si="220"/>
        <v>-0.66796680513283957</v>
      </c>
      <c r="W441" s="683">
        <f t="shared" si="208"/>
        <v>-26.121848739343694</v>
      </c>
      <c r="X441" s="684">
        <f t="shared" si="209"/>
        <v>-198.55427847462678</v>
      </c>
      <c r="Y441" s="687">
        <f t="shared" si="210"/>
        <v>-18.554278474626784</v>
      </c>
      <c r="AA441" s="170">
        <f t="shared" si="211"/>
        <v>45709</v>
      </c>
      <c r="AB441" s="170">
        <f t="shared" si="212"/>
        <v>2089312681</v>
      </c>
      <c r="AD441" s="686">
        <f t="shared" si="213"/>
        <v>21.628197833243501</v>
      </c>
      <c r="AE441" s="687">
        <f t="shared" si="214"/>
        <v>-60.492661297919057</v>
      </c>
      <c r="AG441" s="686">
        <f t="shared" si="215"/>
        <v>8.3374219381767602</v>
      </c>
      <c r="AH441" s="687">
        <f t="shared" si="216"/>
        <v>-61.518259511345811</v>
      </c>
      <c r="AJ441" s="170">
        <f t="shared" si="217"/>
        <v>0</v>
      </c>
      <c r="AK441" s="170">
        <f t="shared" si="229"/>
        <v>0</v>
      </c>
      <c r="AM441" s="170" t="str">
        <f t="shared" si="221"/>
        <v>0.482057085556705+0.85541518421056i</v>
      </c>
      <c r="AN441" s="170" t="str">
        <f t="shared" si="222"/>
        <v>1.02635191200362i</v>
      </c>
      <c r="AO441" s="170" t="str">
        <f t="shared" si="223"/>
        <v>0.833452127098043-0.469680116457955i</v>
      </c>
      <c r="AP441" s="170" t="str">
        <f t="shared" si="224"/>
        <v>0.0863238190738825-0.142569197368427i</v>
      </c>
      <c r="AQ441" s="170" t="str">
        <f t="shared" si="225"/>
        <v>0.913676180926117+0.142569197368427i</v>
      </c>
      <c r="AR441" s="170" t="str">
        <f t="shared" si="226"/>
        <v>0.89003091276932-0.138879611306045i</v>
      </c>
    </row>
    <row r="442" spans="7:44">
      <c r="G442" s="688">
        <v>45975.25</v>
      </c>
      <c r="H442" s="676">
        <f t="shared" si="218"/>
        <v>45.975250000000003</v>
      </c>
      <c r="I442" s="677">
        <f t="shared" si="198"/>
        <v>240.08332819536807</v>
      </c>
      <c r="J442" s="678">
        <f t="shared" si="199"/>
        <v>1.5666310942523056</v>
      </c>
      <c r="K442" s="678">
        <f t="shared" si="200"/>
        <v>1.0020173695216334</v>
      </c>
      <c r="L442" s="679">
        <f t="shared" si="201"/>
        <v>6.3466272407356639E-2</v>
      </c>
      <c r="M442" s="678">
        <f t="shared" si="202"/>
        <v>1.029379638776077</v>
      </c>
      <c r="N442" s="679">
        <f t="shared" si="203"/>
        <v>-0.23949079298217948</v>
      </c>
      <c r="O442" s="677">
        <f t="shared" si="204"/>
        <v>866613.04489205207</v>
      </c>
      <c r="P442" s="680">
        <f t="shared" si="205"/>
        <v>1.5707951728773484</v>
      </c>
      <c r="Q442" s="689">
        <f t="shared" si="227"/>
        <v>116.13045359813241</v>
      </c>
      <c r="R442" s="690">
        <f t="shared" si="228"/>
        <v>1.5621852146562194</v>
      </c>
      <c r="S442" s="677">
        <f t="shared" si="206"/>
        <v>2.0085289410173544</v>
      </c>
      <c r="T442" s="680">
        <f t="shared" si="207"/>
        <v>1.0496474592628424</v>
      </c>
      <c r="U442" s="681">
        <f t="shared" si="219"/>
        <v>0.86047223363278236</v>
      </c>
      <c r="V442" s="682">
        <f t="shared" si="220"/>
        <v>-0.6713619201448493</v>
      </c>
      <c r="W442" s="683">
        <f t="shared" si="208"/>
        <v>-26.220361655925473</v>
      </c>
      <c r="X442" s="684">
        <f t="shared" si="209"/>
        <v>-198.94670031204419</v>
      </c>
      <c r="Y442" s="687">
        <f t="shared" si="210"/>
        <v>-18.946700312044186</v>
      </c>
      <c r="AA442" s="170">
        <f t="shared" si="211"/>
        <v>45975.25</v>
      </c>
      <c r="AB442" s="170">
        <f t="shared" si="212"/>
        <v>2113723612.5625</v>
      </c>
      <c r="AD442" s="686">
        <f t="shared" si="213"/>
        <v>21.590306230358443</v>
      </c>
      <c r="AE442" s="687">
        <f t="shared" si="214"/>
        <v>-60.633683729529601</v>
      </c>
      <c r="AG442" s="686">
        <f t="shared" si="215"/>
        <v>8.3031994770764275</v>
      </c>
      <c r="AH442" s="687">
        <f t="shared" si="216"/>
        <v>-61.380607394408763</v>
      </c>
      <c r="AJ442" s="170">
        <f t="shared" si="217"/>
        <v>0</v>
      </c>
      <c r="AK442" s="170">
        <f t="shared" si="229"/>
        <v>0</v>
      </c>
      <c r="AM442" s="170" t="str">
        <f t="shared" si="221"/>
        <v>0.487180315985965+0.85849634343295i</v>
      </c>
      <c r="AN442" s="170" t="str">
        <f t="shared" si="222"/>
        <v>1.03233030130487i</v>
      </c>
      <c r="AO442" s="170" t="str">
        <f t="shared" si="223"/>
        <v>0.831610137131311-0.471922906234726i</v>
      </c>
      <c r="AP442" s="170" t="str">
        <f t="shared" si="224"/>
        <v>0.0854699473356725-0.143082723905492i</v>
      </c>
      <c r="AQ442" s="170" t="str">
        <f t="shared" si="225"/>
        <v>0.914530052664328+0.143082723905492i</v>
      </c>
      <c r="AR442" s="170" t="str">
        <f t="shared" si="226"/>
        <v>0.889087129419972-0.139102053449322i</v>
      </c>
    </row>
    <row r="443" spans="7:44">
      <c r="G443" s="688">
        <v>46241.5</v>
      </c>
      <c r="H443" s="676">
        <f t="shared" si="218"/>
        <v>46.241500000000002</v>
      </c>
      <c r="I443" s="677">
        <f t="shared" si="198"/>
        <v>241.47366495992472</v>
      </c>
      <c r="J443" s="678">
        <f t="shared" si="199"/>
        <v>1.566655076615515</v>
      </c>
      <c r="K443" s="678">
        <f t="shared" si="200"/>
        <v>1.0020407791331958</v>
      </c>
      <c r="L443" s="679">
        <f t="shared" si="201"/>
        <v>6.3832820976878743E-2</v>
      </c>
      <c r="M443" s="678">
        <f t="shared" si="202"/>
        <v>1.0297159833803602</v>
      </c>
      <c r="N443" s="679">
        <f t="shared" si="203"/>
        <v>-0.24082485952764707</v>
      </c>
      <c r="O443" s="677">
        <f t="shared" si="204"/>
        <v>871631.73915042379</v>
      </c>
      <c r="P443" s="680">
        <f t="shared" si="205"/>
        <v>1.5707951795213921</v>
      </c>
      <c r="Q443" s="689">
        <f t="shared" si="227"/>
        <v>116.80293383891757</v>
      </c>
      <c r="R443" s="690">
        <f t="shared" si="228"/>
        <v>1.5622347934165837</v>
      </c>
      <c r="S443" s="677">
        <f t="shared" si="206"/>
        <v>2.0172836202453475</v>
      </c>
      <c r="T443" s="680">
        <f t="shared" si="207"/>
        <v>1.0521371315722288</v>
      </c>
      <c r="U443" s="681">
        <f t="shared" si="219"/>
        <v>0.85916156673578403</v>
      </c>
      <c r="V443" s="682">
        <f t="shared" si="220"/>
        <v>-0.67475026308073371</v>
      </c>
      <c r="W443" s="683">
        <f t="shared" si="208"/>
        <v>-26.318497994360108</v>
      </c>
      <c r="X443" s="684">
        <f t="shared" si="209"/>
        <v>-199.33745428973089</v>
      </c>
      <c r="Y443" s="687">
        <f t="shared" si="210"/>
        <v>-19.337454289730886</v>
      </c>
      <c r="AA443" s="170">
        <f t="shared" si="211"/>
        <v>46241.5</v>
      </c>
      <c r="AB443" s="170">
        <f t="shared" si="212"/>
        <v>2138276322.25</v>
      </c>
      <c r="AD443" s="686">
        <f t="shared" si="213"/>
        <v>21.552525166605001</v>
      </c>
      <c r="AE443" s="687">
        <f t="shared" si="214"/>
        <v>-60.773491172341089</v>
      </c>
      <c r="AG443" s="686">
        <f t="shared" si="215"/>
        <v>8.2693249803878413</v>
      </c>
      <c r="AH443" s="687">
        <f t="shared" si="216"/>
        <v>-61.243278429302059</v>
      </c>
      <c r="AJ443" s="170">
        <f t="shared" si="217"/>
        <v>0</v>
      </c>
      <c r="AK443" s="170">
        <f t="shared" si="229"/>
        <v>0</v>
      </c>
      <c r="AM443" s="170" t="str">
        <f t="shared" si="221"/>
        <v>0.492321875120064+0.861546819109903i</v>
      </c>
      <c r="AN443" s="170" t="str">
        <f t="shared" si="222"/>
        <v>1.03830869060613i</v>
      </c>
      <c r="AO443" s="170" t="str">
        <f t="shared" si="223"/>
        <v>0.829759807371891-0.47415752133661i</v>
      </c>
      <c r="AP443" s="170" t="str">
        <f t="shared" si="224"/>
        <v>0.0846130208133227-0.143591136518317i</v>
      </c>
      <c r="AQ443" s="170" t="str">
        <f t="shared" si="225"/>
        <v>0.915386979186677+0.143591136518317i</v>
      </c>
      <c r="AR443" s="170" t="str">
        <f t="shared" si="226"/>
        <v>0.888143744348885-0.139317657496068i</v>
      </c>
    </row>
    <row r="444" spans="7:44">
      <c r="G444" s="688">
        <v>46507.75</v>
      </c>
      <c r="H444" s="676">
        <f t="shared" si="218"/>
        <v>46.507750000000001</v>
      </c>
      <c r="I444" s="677">
        <f t="shared" si="198"/>
        <v>242.86400186177571</v>
      </c>
      <c r="J444" s="678">
        <f t="shared" si="199"/>
        <v>1.5666787843924317</v>
      </c>
      <c r="K444" s="678">
        <f t="shared" si="200"/>
        <v>1.002064323370506</v>
      </c>
      <c r="L444" s="679">
        <f t="shared" si="201"/>
        <v>6.4199352370989532E-2</v>
      </c>
      <c r="M444" s="678">
        <f t="shared" si="202"/>
        <v>1.0300541594060075</v>
      </c>
      <c r="N444" s="679">
        <f t="shared" si="203"/>
        <v>-0.24215805247250663</v>
      </c>
      <c r="O444" s="677">
        <f t="shared" si="204"/>
        <v>876650.43340879539</v>
      </c>
      <c r="P444" s="680">
        <f t="shared" si="205"/>
        <v>1.5707951860893634</v>
      </c>
      <c r="Q444" s="689">
        <f t="shared" si="227"/>
        <v>117.47541436352353</v>
      </c>
      <c r="R444" s="690">
        <f t="shared" si="228"/>
        <v>1.5622838045561576</v>
      </c>
      <c r="S444" s="677">
        <f t="shared" si="206"/>
        <v>2.0260506954351731</v>
      </c>
      <c r="T444" s="680">
        <f t="shared" si="207"/>
        <v>1.0546052725764745</v>
      </c>
      <c r="U444" s="681">
        <f t="shared" si="219"/>
        <v>0.85784889089942129</v>
      </c>
      <c r="V444" s="682">
        <f t="shared" si="220"/>
        <v>-0.67813183698310286</v>
      </c>
      <c r="W444" s="683">
        <f t="shared" si="208"/>
        <v>-26.416260746887165</v>
      </c>
      <c r="X444" s="684">
        <f t="shared" si="209"/>
        <v>-199.72655449318412</v>
      </c>
      <c r="Y444" s="687">
        <f t="shared" si="210"/>
        <v>-19.726554493184125</v>
      </c>
      <c r="AA444" s="170">
        <f t="shared" si="211"/>
        <v>46507.75</v>
      </c>
      <c r="AB444" s="170">
        <f t="shared" si="212"/>
        <v>2162970810.0625</v>
      </c>
      <c r="AD444" s="686">
        <f t="shared" si="213"/>
        <v>21.514854616322062</v>
      </c>
      <c r="AE444" s="687">
        <f t="shared" si="214"/>
        <v>-60.912097480156255</v>
      </c>
      <c r="AG444" s="686">
        <f t="shared" si="215"/>
        <v>8.2357946656753036</v>
      </c>
      <c r="AH444" s="687">
        <f t="shared" si="216"/>
        <v>-61.106272499062612</v>
      </c>
      <c r="AJ444" s="170">
        <f t="shared" si="217"/>
        <v>0</v>
      </c>
      <c r="AK444" s="170">
        <f t="shared" si="229"/>
        <v>0</v>
      </c>
      <c r="AM444" s="170" t="str">
        <f t="shared" si="221"/>
        <v>0.497481579194357+0.864566502214261i</v>
      </c>
      <c r="AN444" s="170" t="str">
        <f t="shared" si="222"/>
        <v>1.04428707990738i</v>
      </c>
      <c r="AO444" s="170" t="str">
        <f t="shared" si="223"/>
        <v>0.82790117664861-0.476383926188649i</v>
      </c>
      <c r="AP444" s="170" t="str">
        <f t="shared" si="224"/>
        <v>0.0837530701342738-0.14409441703571i</v>
      </c>
      <c r="AQ444" s="170" t="str">
        <f t="shared" si="225"/>
        <v>0.916246929865726+0.14409441703571i</v>
      </c>
      <c r="AR444" s="170" t="str">
        <f t="shared" si="226"/>
        <v>0.887200808791004-0.139526452061438i</v>
      </c>
    </row>
    <row r="445" spans="7:44">
      <c r="G445" s="688">
        <v>46774</v>
      </c>
      <c r="H445" s="676">
        <f t="shared" si="218"/>
        <v>46.774000000000001</v>
      </c>
      <c r="I445" s="677">
        <f t="shared" si="198"/>
        <v>244.25433889857649</v>
      </c>
      <c r="J445" s="678">
        <f t="shared" si="199"/>
        <v>1.5667022222720042</v>
      </c>
      <c r="K445" s="678">
        <f t="shared" si="200"/>
        <v>1.0020880022240743</v>
      </c>
      <c r="L445" s="679">
        <f t="shared" si="201"/>
        <v>6.4565866492419619E-2</v>
      </c>
      <c r="M445" s="678">
        <f t="shared" si="202"/>
        <v>1.0303941650497976</v>
      </c>
      <c r="N445" s="679">
        <f t="shared" si="203"/>
        <v>-0.24349036794000575</v>
      </c>
      <c r="O445" s="677">
        <f t="shared" si="204"/>
        <v>881669.12766716722</v>
      </c>
      <c r="P445" s="680">
        <f t="shared" si="205"/>
        <v>1.5707951925825616</v>
      </c>
      <c r="Q445" s="689">
        <f t="shared" si="227"/>
        <v>118.1478951671039</v>
      </c>
      <c r="R445" s="690">
        <f t="shared" si="228"/>
        <v>1.562332257767151</v>
      </c>
      <c r="S445" s="677">
        <f t="shared" si="206"/>
        <v>2.034830006362649</v>
      </c>
      <c r="T445" s="680">
        <f t="shared" si="207"/>
        <v>1.0570521307012066</v>
      </c>
      <c r="U445" s="681">
        <f t="shared" si="219"/>
        <v>0.85653426147963352</v>
      </c>
      <c r="V445" s="682">
        <f t="shared" si="220"/>
        <v>-0.68150664526021509</v>
      </c>
      <c r="W445" s="683">
        <f t="shared" si="208"/>
        <v>-26.51365286618368</v>
      </c>
      <c r="X445" s="684">
        <f t="shared" si="209"/>
        <v>-200.11401484828278</v>
      </c>
      <c r="Y445" s="687">
        <f t="shared" si="210"/>
        <v>-20.114014848282778</v>
      </c>
      <c r="AA445" s="170">
        <f t="shared" si="211"/>
        <v>46774</v>
      </c>
      <c r="AB445" s="170">
        <f t="shared" si="212"/>
        <v>2187807076</v>
      </c>
      <c r="AD445" s="686">
        <f t="shared" si="213"/>
        <v>21.477294538155014</v>
      </c>
      <c r="AE445" s="687">
        <f t="shared" si="214"/>
        <v>-61.049516331466805</v>
      </c>
      <c r="AG445" s="686">
        <f t="shared" si="215"/>
        <v>8.2026048095848658</v>
      </c>
      <c r="AH445" s="687">
        <f t="shared" si="216"/>
        <v>-60.969589460520133</v>
      </c>
      <c r="AJ445" s="170">
        <f t="shared" si="217"/>
        <v>0</v>
      </c>
      <c r="AK445" s="170">
        <f t="shared" si="229"/>
        <v>0</v>
      </c>
      <c r="AM445" s="170" t="str">
        <f t="shared" si="221"/>
        <v>0.5026592437957+0.867555284819437i</v>
      </c>
      <c r="AN445" s="170" t="str">
        <f t="shared" si="222"/>
        <v>1.05026546920863i</v>
      </c>
      <c r="AO445" s="170" t="str">
        <f t="shared" si="223"/>
        <v>0.826034283954071-0.478602085408417i</v>
      </c>
      <c r="AP445" s="170" t="str">
        <f t="shared" si="224"/>
        <v>0.08289012603405-0.144592547469906i</v>
      </c>
      <c r="AQ445" s="170" t="str">
        <f t="shared" si="225"/>
        <v>0.91710987396595+0.144592547469906i</v>
      </c>
      <c r="AR445" s="170" t="str">
        <f t="shared" si="226"/>
        <v>0.886258373403889-0.139728466091906i</v>
      </c>
    </row>
    <row r="446" spans="7:44">
      <c r="G446" s="688">
        <v>47046.25</v>
      </c>
      <c r="H446" s="676">
        <f t="shared" si="218"/>
        <v>47.046250000000001</v>
      </c>
      <c r="I446" s="677">
        <f t="shared" si="198"/>
        <v>245.6760076113936</v>
      </c>
      <c r="J446" s="678">
        <f t="shared" si="199"/>
        <v>1.5667259140138332</v>
      </c>
      <c r="K446" s="678">
        <f t="shared" si="200"/>
        <v>1.0021123538765175</v>
      </c>
      <c r="L446" s="679">
        <f t="shared" si="201"/>
        <v>6.4940622124768282E-2</v>
      </c>
      <c r="M446" s="678">
        <f t="shared" si="202"/>
        <v>1.0307437228352045</v>
      </c>
      <c r="N446" s="679">
        <f t="shared" si="203"/>
        <v>-0.24485179603617085</v>
      </c>
      <c r="O446" s="677">
        <f t="shared" si="204"/>
        <v>886800.91926093888</v>
      </c>
      <c r="P446" s="680">
        <f t="shared" si="205"/>
        <v>1.570795199146088</v>
      </c>
      <c r="Q446" s="689">
        <f t="shared" si="227"/>
        <v>118.83553075120753</v>
      </c>
      <c r="R446" s="690">
        <f t="shared" si="228"/>
        <v>1.5623812358194222</v>
      </c>
      <c r="S446" s="677">
        <f t="shared" si="206"/>
        <v>2.0438196490902194</v>
      </c>
      <c r="T446" s="680">
        <f t="shared" si="207"/>
        <v>1.0595323770005838</v>
      </c>
      <c r="U446" s="681">
        <f t="shared" si="219"/>
        <v>0.85518804371050827</v>
      </c>
      <c r="V446" s="682">
        <f t="shared" si="220"/>
        <v>-0.68495051344400748</v>
      </c>
      <c r="W446" s="683">
        <f t="shared" si="208"/>
        <v>-26.612859517210907</v>
      </c>
      <c r="X446" s="684">
        <f t="shared" si="209"/>
        <v>-200.50852535110448</v>
      </c>
      <c r="Y446" s="687">
        <f t="shared" si="210"/>
        <v>-20.508525351104481</v>
      </c>
      <c r="AA446" s="170">
        <f t="shared" si="211"/>
        <v>47046.25</v>
      </c>
      <c r="AB446" s="170">
        <f t="shared" si="212"/>
        <v>2213349639.0625</v>
      </c>
      <c r="AD446" s="686">
        <f t="shared" si="213"/>
        <v>21.439002211175922</v>
      </c>
      <c r="AE446" s="687">
        <f t="shared" si="214"/>
        <v>-61.188818117111694</v>
      </c>
      <c r="AG446" s="686">
        <f t="shared" si="215"/>
        <v>8.1690152480798943</v>
      </c>
      <c r="AH446" s="687">
        <f t="shared" si="216"/>
        <v>-60.830159952984694</v>
      </c>
      <c r="AJ446" s="170">
        <f t="shared" si="217"/>
        <v>0</v>
      </c>
      <c r="AK446" s="170">
        <f t="shared" si="229"/>
        <v>0</v>
      </c>
      <c r="AM446" s="170" t="str">
        <f t="shared" si="221"/>
        <v>0.507971967568059+0.870579356119333i</v>
      </c>
      <c r="AN446" s="170" t="str">
        <f t="shared" si="222"/>
        <v>1.05637858277583i</v>
      </c>
      <c r="AO446" s="170" t="str">
        <f t="shared" si="223"/>
        <v>0.824116817885236-0.480861668203523i</v>
      </c>
      <c r="AP446" s="170" t="str">
        <f t="shared" si="224"/>
        <v>0.0820046720719902-0.145096559353222i</v>
      </c>
      <c r="AQ446" s="170" t="str">
        <f t="shared" si="225"/>
        <v>0.91799532792801+0.145096559353222i</v>
      </c>
      <c r="AR446" s="170" t="str">
        <f t="shared" si="226"/>
        <v>0.885295269412716-0.139928051587581i</v>
      </c>
    </row>
    <row r="447" spans="7:44">
      <c r="G447" s="688">
        <v>47318.5</v>
      </c>
      <c r="H447" s="676">
        <f t="shared" si="218"/>
        <v>47.3185</v>
      </c>
      <c r="I447" s="677">
        <f t="shared" si="198"/>
        <v>247.09767646052148</v>
      </c>
      <c r="J447" s="678">
        <f t="shared" si="199"/>
        <v>1.5667493331362656</v>
      </c>
      <c r="K447" s="678">
        <f t="shared" si="200"/>
        <v>1.0021368462605558</v>
      </c>
      <c r="L447" s="679">
        <f t="shared" si="201"/>
        <v>6.5315359491568983E-2</v>
      </c>
      <c r="M447" s="678">
        <f t="shared" si="202"/>
        <v>1.0310951897927223</v>
      </c>
      <c r="N447" s="679">
        <f t="shared" si="203"/>
        <v>-0.24621229851908544</v>
      </c>
      <c r="O447" s="677">
        <f t="shared" si="204"/>
        <v>891932.71085471066</v>
      </c>
      <c r="P447" s="680">
        <f t="shared" si="205"/>
        <v>1.5707952056340873</v>
      </c>
      <c r="Q447" s="689">
        <f t="shared" si="227"/>
        <v>119.52316661709963</v>
      </c>
      <c r="R447" s="690">
        <f t="shared" si="228"/>
        <v>1.5624296503146951</v>
      </c>
      <c r="S447" s="677">
        <f t="shared" si="206"/>
        <v>2.0528217544614695</v>
      </c>
      <c r="T447" s="680">
        <f t="shared" si="207"/>
        <v>1.0619908853887914</v>
      </c>
      <c r="U447" s="681">
        <f t="shared" si="219"/>
        <v>0.85383989899483714</v>
      </c>
      <c r="V447" s="682">
        <f t="shared" si="220"/>
        <v>-0.68838731599682768</v>
      </c>
      <c r="W447" s="683">
        <f t="shared" si="208"/>
        <v>-26.711684762975398</v>
      </c>
      <c r="X447" s="684">
        <f t="shared" si="209"/>
        <v>-200.9013502105</v>
      </c>
      <c r="Y447" s="687">
        <f t="shared" si="210"/>
        <v>-20.901350210499999</v>
      </c>
      <c r="AA447" s="170">
        <f t="shared" si="211"/>
        <v>47318.5</v>
      </c>
      <c r="AB447" s="170">
        <f t="shared" si="212"/>
        <v>2239040442.25</v>
      </c>
      <c r="AD447" s="686">
        <f t="shared" si="213"/>
        <v>21.400825256101108</v>
      </c>
      <c r="AE447" s="687">
        <f t="shared" si="214"/>
        <v>-61.326906697299847</v>
      </c>
      <c r="AG447" s="686">
        <f t="shared" si="215"/>
        <v>8.1357739724605409</v>
      </c>
      <c r="AH447" s="687">
        <f t="shared" si="216"/>
        <v>-60.691067669149199</v>
      </c>
      <c r="AJ447" s="170">
        <f t="shared" si="217"/>
        <v>0</v>
      </c>
      <c r="AK447" s="170">
        <f t="shared" si="229"/>
        <v>0</v>
      </c>
      <c r="AM447" s="170" t="str">
        <f t="shared" si="221"/>
        <v>0.513303078448216+0.873570893832903i</v>
      </c>
      <c r="AN447" s="170" t="str">
        <f t="shared" si="222"/>
        <v>1.06249169634303i</v>
      </c>
      <c r="AO447" s="170" t="str">
        <f t="shared" si="223"/>
        <v>0.822190796257166-0.48311255534038i</v>
      </c>
      <c r="AP447" s="170" t="str">
        <f t="shared" si="224"/>
        <v>0.081116153591964-0.145595148972151i</v>
      </c>
      <c r="AQ447" s="170" t="str">
        <f t="shared" si="225"/>
        <v>0.918883846408036+0.145595148972151i</v>
      </c>
      <c r="AR447" s="170" t="str">
        <f t="shared" si="226"/>
        <v>0.884332793669099-0.140120609735952i</v>
      </c>
    </row>
    <row r="448" spans="7:44">
      <c r="G448" s="688">
        <v>47590.75</v>
      </c>
      <c r="H448" s="676">
        <f t="shared" si="218"/>
        <v>47.59075</v>
      </c>
      <c r="I448" s="677">
        <f t="shared" si="198"/>
        <v>248.51934544362092</v>
      </c>
      <c r="J448" s="678">
        <f t="shared" si="199"/>
        <v>1.5667724843178796</v>
      </c>
      <c r="K448" s="678">
        <f t="shared" si="200"/>
        <v>1.0021614793658713</v>
      </c>
      <c r="L448" s="679">
        <f t="shared" si="201"/>
        <v>6.5690078488917489E-2</v>
      </c>
      <c r="M448" s="678">
        <f t="shared" si="202"/>
        <v>1.0314485639706947</v>
      </c>
      <c r="N448" s="679">
        <f t="shared" si="203"/>
        <v>-0.24757187130105379</v>
      </c>
      <c r="O448" s="677">
        <f t="shared" si="204"/>
        <v>897064.50244848244</v>
      </c>
      <c r="P448" s="680">
        <f t="shared" si="205"/>
        <v>1.5707952120478552</v>
      </c>
      <c r="Q448" s="689">
        <f t="shared" si="227"/>
        <v>120.21080275994453</v>
      </c>
      <c r="R448" s="690">
        <f t="shared" si="228"/>
        <v>1.5624775109238054</v>
      </c>
      <c r="S448" s="677">
        <f t="shared" si="206"/>
        <v>2.0618361592383656</v>
      </c>
      <c r="T448" s="680">
        <f t="shared" si="207"/>
        <v>1.0644279110664536</v>
      </c>
      <c r="U448" s="681">
        <f t="shared" si="219"/>
        <v>0.85248988510898038</v>
      </c>
      <c r="V448" s="682">
        <f t="shared" si="220"/>
        <v>-0.69181705772142543</v>
      </c>
      <c r="W448" s="683">
        <f t="shared" si="208"/>
        <v>-26.810131636948412</v>
      </c>
      <c r="X448" s="684">
        <f t="shared" si="209"/>
        <v>-201.29250380934968</v>
      </c>
      <c r="Y448" s="687">
        <f t="shared" si="210"/>
        <v>-21.292503809349682</v>
      </c>
      <c r="AA448" s="170">
        <f t="shared" si="211"/>
        <v>47590.75</v>
      </c>
      <c r="AB448" s="170">
        <f t="shared" si="212"/>
        <v>2264879485.5625</v>
      </c>
      <c r="AD448" s="686">
        <f t="shared" si="213"/>
        <v>21.362763581324678</v>
      </c>
      <c r="AE448" s="687">
        <f t="shared" si="214"/>
        <v>-61.463796139926224</v>
      </c>
      <c r="AG448" s="686">
        <f t="shared" si="215"/>
        <v>8.10287718535956</v>
      </c>
      <c r="AH448" s="687">
        <f t="shared" si="216"/>
        <v>-60.552312373644703</v>
      </c>
      <c r="AJ448" s="170">
        <f t="shared" si="217"/>
        <v>0</v>
      </c>
      <c r="AK448" s="170">
        <f t="shared" si="229"/>
        <v>0</v>
      </c>
      <c r="AM448" s="170" t="str">
        <f t="shared" si="221"/>
        <v>0.518652377212331+0.876529786166254i</v>
      </c>
      <c r="AN448" s="170" t="str">
        <f t="shared" si="222"/>
        <v>1.06860480991022i</v>
      </c>
      <c r="AO448" s="170" t="str">
        <f t="shared" si="223"/>
        <v>0.820256261283249-0.485354709619832i</v>
      </c>
      <c r="AP448" s="170" t="str">
        <f t="shared" si="224"/>
        <v>0.0802246037979448-0.146088297694376i</v>
      </c>
      <c r="AQ448" s="170" t="str">
        <f t="shared" si="225"/>
        <v>0.919775396202055+0.146088297694376i</v>
      </c>
      <c r="AR448" s="170" t="str">
        <f t="shared" si="226"/>
        <v>0.883370998462137-0.140306172496883i</v>
      </c>
    </row>
    <row r="449" spans="7:44">
      <c r="G449" s="688">
        <v>47863</v>
      </c>
      <c r="H449" s="676">
        <f t="shared" si="218"/>
        <v>47.863</v>
      </c>
      <c r="I449" s="677">
        <f t="shared" si="198"/>
        <v>249.94101455840573</v>
      </c>
      <c r="J449" s="678">
        <f t="shared" si="199"/>
        <v>1.5667953721308072</v>
      </c>
      <c r="K449" s="678">
        <f t="shared" si="200"/>
        <v>1.0021862531820873</v>
      </c>
      <c r="L449" s="679">
        <f t="shared" si="201"/>
        <v>6.6064779012940417E-2</v>
      </c>
      <c r="M449" s="678">
        <f t="shared" si="202"/>
        <v>1.0318038434095562</v>
      </c>
      <c r="N449" s="679">
        <f t="shared" si="203"/>
        <v>-0.24893051031371272</v>
      </c>
      <c r="O449" s="677">
        <f t="shared" si="204"/>
        <v>902196.29404225433</v>
      </c>
      <c r="P449" s="680">
        <f t="shared" si="205"/>
        <v>1.5707952183886589</v>
      </c>
      <c r="Q449" s="689">
        <f t="shared" si="227"/>
        <v>120.89843917501652</v>
      </c>
      <c r="R449" s="690">
        <f t="shared" si="228"/>
        <v>1.5625248270975798</v>
      </c>
      <c r="S449" s="677">
        <f t="shared" si="206"/>
        <v>2.0708627028040545</v>
      </c>
      <c r="T449" s="680">
        <f t="shared" si="207"/>
        <v>1.0668437058145104</v>
      </c>
      <c r="U449" s="681">
        <f t="shared" si="219"/>
        <v>0.85113805935169851</v>
      </c>
      <c r="V449" s="682">
        <f t="shared" si="220"/>
        <v>-0.6952397438019895</v>
      </c>
      <c r="W449" s="683">
        <f t="shared" si="208"/>
        <v>-26.908203132628294</v>
      </c>
      <c r="X449" s="684">
        <f t="shared" si="209"/>
        <v>-201.68200036406645</v>
      </c>
      <c r="Y449" s="687">
        <f t="shared" si="210"/>
        <v>-21.682000364066454</v>
      </c>
      <c r="AA449" s="170">
        <f t="shared" si="211"/>
        <v>47863</v>
      </c>
      <c r="AB449" s="170">
        <f t="shared" si="212"/>
        <v>2290866769</v>
      </c>
      <c r="AD449" s="686">
        <f t="shared" si="213"/>
        <v>21.324817080397661</v>
      </c>
      <c r="AE449" s="687">
        <f t="shared" si="214"/>
        <v>-61.599500329556108</v>
      </c>
      <c r="AG449" s="686">
        <f t="shared" si="215"/>
        <v>8.0703211485829769</v>
      </c>
      <c r="AH449" s="687">
        <f t="shared" si="216"/>
        <v>-60.4138938042544</v>
      </c>
      <c r="AJ449" s="170">
        <f t="shared" si="217"/>
        <v>0</v>
      </c>
      <c r="AK449" s="170">
        <f t="shared" si="229"/>
        <v>0</v>
      </c>
      <c r="AM449" s="170" t="str">
        <f t="shared" si="221"/>
        <v>0.524019663956904+0.879455922545469i</v>
      </c>
      <c r="AN449" s="170" t="str">
        <f t="shared" si="222"/>
        <v>1.07471792347742i</v>
      </c>
      <c r="AO449" s="170" t="str">
        <f t="shared" si="223"/>
        <v>0.818313255351553-0.487588094056676i</v>
      </c>
      <c r="AP449" s="170" t="str">
        <f t="shared" si="224"/>
        <v>0.0793300560071827-0.146575987090911i</v>
      </c>
      <c r="AQ449" s="170" t="str">
        <f t="shared" si="225"/>
        <v>0.920669943992817+0.146575987090911i</v>
      </c>
      <c r="AR449" s="170" t="str">
        <f t="shared" si="226"/>
        <v>0.882409935451461-0.140484772150479i</v>
      </c>
    </row>
    <row r="450" spans="7:44">
      <c r="G450" s="688">
        <v>48141.75</v>
      </c>
      <c r="H450" s="676">
        <f t="shared" si="218"/>
        <v>48.141750000000002</v>
      </c>
      <c r="I450" s="677">
        <f t="shared" si="198"/>
        <v>251.39662632059702</v>
      </c>
      <c r="J450" s="678">
        <f t="shared" si="199"/>
        <v>1.5668185381834325</v>
      </c>
      <c r="K450" s="678">
        <f t="shared" si="200"/>
        <v>1.0022117642553494</v>
      </c>
      <c r="L450" s="679">
        <f t="shared" si="201"/>
        <v>6.644840630636728E-2</v>
      </c>
      <c r="M450" s="678">
        <f t="shared" si="202"/>
        <v>1.0321695771674766</v>
      </c>
      <c r="N450" s="679">
        <f t="shared" si="203"/>
        <v>-0.25032061528411925</v>
      </c>
      <c r="O450" s="677">
        <f t="shared" si="204"/>
        <v>907450.6077493761</v>
      </c>
      <c r="P450" s="680">
        <f t="shared" si="205"/>
        <v>1.5707952248065444</v>
      </c>
      <c r="Q450" s="689">
        <f t="shared" si="227"/>
        <v>121.60249326565905</v>
      </c>
      <c r="R450" s="690">
        <f t="shared" si="228"/>
        <v>1.5625727185075802</v>
      </c>
      <c r="S450" s="677">
        <f t="shared" si="206"/>
        <v>2.0801171680690365</v>
      </c>
      <c r="T450" s="680">
        <f t="shared" si="207"/>
        <v>1.0692954400211663</v>
      </c>
      <c r="U450" s="681">
        <f t="shared" si="219"/>
        <v>0.84975214065975446</v>
      </c>
      <c r="V450" s="682">
        <f t="shared" si="220"/>
        <v>-0.69873684237905442</v>
      </c>
      <c r="W450" s="683">
        <f t="shared" si="208"/>
        <v>-27.008230253005586</v>
      </c>
      <c r="X450" s="684">
        <f t="shared" si="209"/>
        <v>-202.07909400821475</v>
      </c>
      <c r="Y450" s="687">
        <f t="shared" si="210"/>
        <v>-22.079094008214753</v>
      </c>
      <c r="AA450" s="170">
        <f t="shared" si="211"/>
        <v>48141.75</v>
      </c>
      <c r="AB450" s="170">
        <f t="shared" si="212"/>
        <v>2317628093.0625</v>
      </c>
      <c r="AD450" s="686">
        <f t="shared" si="213"/>
        <v>21.286083807573327</v>
      </c>
      <c r="AE450" s="687">
        <f t="shared" si="214"/>
        <v>-61.737230744292553</v>
      </c>
      <c r="AG450" s="686">
        <f t="shared" si="215"/>
        <v>8.0373370401762543</v>
      </c>
      <c r="AH450" s="687">
        <f t="shared" si="216"/>
        <v>-60.272519055194309</v>
      </c>
      <c r="AJ450" s="170">
        <f t="shared" si="217"/>
        <v>0</v>
      </c>
      <c r="AK450" s="170">
        <f t="shared" si="229"/>
        <v>0</v>
      </c>
      <c r="AM450" s="170" t="str">
        <f t="shared" si="221"/>
        <v>0.529533523119366+0.882417868207305i</v>
      </c>
      <c r="AN450" s="170" t="str">
        <f t="shared" si="222"/>
        <v>1.08097698833272i</v>
      </c>
      <c r="AO450" s="170" t="str">
        <f t="shared" si="223"/>
        <v>0.816315127640534-0.489865675990114i</v>
      </c>
      <c r="AP450" s="170" t="str">
        <f t="shared" si="224"/>
        <v>0.0784110794801057-0.147069644701218i</v>
      </c>
      <c r="AQ450" s="170" t="str">
        <f t="shared" si="225"/>
        <v>0.921588920519894+0.147069644701218i</v>
      </c>
      <c r="AR450" s="170" t="str">
        <f t="shared" si="226"/>
        <v>0.881426738867935-0.140660455468944i</v>
      </c>
    </row>
    <row r="451" spans="7:44">
      <c r="G451" s="688">
        <v>48420.5</v>
      </c>
      <c r="H451" s="676">
        <f t="shared" si="218"/>
        <v>48.420499999999997</v>
      </c>
      <c r="I451" s="677">
        <f t="shared" si="198"/>
        <v>252.85223821615097</v>
      </c>
      <c r="J451" s="678">
        <f t="shared" si="199"/>
        <v>1.5668414375128483</v>
      </c>
      <c r="K451" s="678">
        <f t="shared" si="200"/>
        <v>1.0022374228164954</v>
      </c>
      <c r="L451" s="679">
        <f t="shared" si="201"/>
        <v>6.6832014013547561E-2</v>
      </c>
      <c r="M451" s="678">
        <f t="shared" si="202"/>
        <v>1.032537304066228</v>
      </c>
      <c r="N451" s="679">
        <f t="shared" si="203"/>
        <v>-0.25170973279580977</v>
      </c>
      <c r="O451" s="677">
        <f t="shared" si="204"/>
        <v>912704.92145649798</v>
      </c>
      <c r="P451" s="680">
        <f t="shared" si="205"/>
        <v>1.5707952311505362</v>
      </c>
      <c r="Q451" s="689">
        <f t="shared" si="227"/>
        <v>122.30654763199648</v>
      </c>
      <c r="R451" s="690">
        <f t="shared" si="228"/>
        <v>1.5626200585464498</v>
      </c>
      <c r="S451" s="677">
        <f t="shared" si="206"/>
        <v>2.0893840261122438</v>
      </c>
      <c r="T451" s="680">
        <f t="shared" si="207"/>
        <v>1.0717254408120791</v>
      </c>
      <c r="U451" s="681">
        <f t="shared" si="219"/>
        <v>0.84836444257492283</v>
      </c>
      <c r="V451" s="682">
        <f t="shared" si="220"/>
        <v>-0.70222655658593247</v>
      </c>
      <c r="W451" s="683">
        <f t="shared" si="208"/>
        <v>-27.10787008284488</v>
      </c>
      <c r="X451" s="684">
        <f t="shared" si="209"/>
        <v>-202.47448017600163</v>
      </c>
      <c r="Y451" s="687">
        <f t="shared" si="210"/>
        <v>-22.474480176001634</v>
      </c>
      <c r="AA451" s="170">
        <f t="shared" si="211"/>
        <v>48420.5</v>
      </c>
      <c r="AB451" s="170">
        <f t="shared" si="212"/>
        <v>2344544820.25</v>
      </c>
      <c r="AD451" s="686">
        <f t="shared" si="213"/>
        <v>21.247471002624287</v>
      </c>
      <c r="AE451" s="687">
        <f t="shared" si="214"/>
        <v>-61.873747513036044</v>
      </c>
      <c r="AG451" s="686">
        <f t="shared" si="215"/>
        <v>8.0047024006332599</v>
      </c>
      <c r="AH451" s="687">
        <f t="shared" si="216"/>
        <v>-60.13149666225889</v>
      </c>
      <c r="AJ451" s="170">
        <f t="shared" si="217"/>
        <v>0</v>
      </c>
      <c r="AK451" s="170">
        <f t="shared" si="229"/>
        <v>0</v>
      </c>
      <c r="AM451" s="170" t="str">
        <f t="shared" si="221"/>
        <v>0.535065813165952+0.885345244474133i</v>
      </c>
      <c r="AN451" s="170" t="str">
        <f t="shared" si="222"/>
        <v>1.08723605318802i</v>
      </c>
      <c r="AO451" s="170" t="str">
        <f t="shared" si="223"/>
        <v>0.814308210142684-0.492133986540475i</v>
      </c>
      <c r="AP451" s="170" t="str">
        <f t="shared" si="224"/>
        <v>0.077489031139008-0.147557540745689i</v>
      </c>
      <c r="AQ451" s="170" t="str">
        <f t="shared" si="225"/>
        <v>0.922510968860992+0.147557540745689i</v>
      </c>
      <c r="AR451" s="170" t="str">
        <f t="shared" si="226"/>
        <v>0.880444417447127-0.140828908692733i</v>
      </c>
    </row>
    <row r="452" spans="7:44">
      <c r="G452" s="688">
        <v>48699.25</v>
      </c>
      <c r="H452" s="676">
        <f t="shared" si="218"/>
        <v>48.699249999999999</v>
      </c>
      <c r="I452" s="677">
        <f t="shared" si="198"/>
        <v>254.30785024277753</v>
      </c>
      <c r="J452" s="678">
        <f t="shared" si="199"/>
        <v>1.5668640746990565</v>
      </c>
      <c r="K452" s="678">
        <f t="shared" si="200"/>
        <v>1.0022632288541982</v>
      </c>
      <c r="L452" s="679">
        <f t="shared" si="201"/>
        <v>6.7215602023090362E-2</v>
      </c>
      <c r="M452" s="678">
        <f t="shared" si="202"/>
        <v>1.0329070219770666</v>
      </c>
      <c r="N452" s="679">
        <f t="shared" si="203"/>
        <v>-0.25309785854528422</v>
      </c>
      <c r="O452" s="677">
        <f t="shared" si="204"/>
        <v>917959.23516361974</v>
      </c>
      <c r="P452" s="680">
        <f t="shared" si="205"/>
        <v>1.570795237421903</v>
      </c>
      <c r="Q452" s="689">
        <f t="shared" si="227"/>
        <v>123.01060226929495</v>
      </c>
      <c r="R452" s="690">
        <f t="shared" si="228"/>
        <v>1.5626668566813389</v>
      </c>
      <c r="S452" s="677">
        <f t="shared" si="206"/>
        <v>2.0986631127690076</v>
      </c>
      <c r="T452" s="680">
        <f t="shared" si="207"/>
        <v>1.0741339675762422</v>
      </c>
      <c r="U452" s="681">
        <f t="shared" si="219"/>
        <v>0.84697502503320166</v>
      </c>
      <c r="V452" s="682">
        <f t="shared" si="220"/>
        <v>-0.70570889319955699</v>
      </c>
      <c r="W452" s="683">
        <f t="shared" si="208"/>
        <v>-27.207125709954646</v>
      </c>
      <c r="X452" s="684">
        <f t="shared" si="209"/>
        <v>-202.86817359748102</v>
      </c>
      <c r="Y452" s="687">
        <f t="shared" si="210"/>
        <v>-22.868173597481018</v>
      </c>
      <c r="AA452" s="170">
        <f t="shared" si="211"/>
        <v>48699.25</v>
      </c>
      <c r="AB452" s="170">
        <f t="shared" si="212"/>
        <v>2371616950.5625</v>
      </c>
      <c r="AD452" s="686">
        <f t="shared" si="213"/>
        <v>21.208978506425922</v>
      </c>
      <c r="AE452" s="687">
        <f t="shared" si="214"/>
        <v>-62.00906495532611</v>
      </c>
      <c r="AG452" s="686">
        <f t="shared" si="215"/>
        <v>7.9724134021563797</v>
      </c>
      <c r="AH452" s="687">
        <f t="shared" si="216"/>
        <v>-59.990826259383049</v>
      </c>
      <c r="AJ452" s="170">
        <f t="shared" si="217"/>
        <v>0</v>
      </c>
      <c r="AK452" s="170">
        <f t="shared" si="229"/>
        <v>0</v>
      </c>
      <c r="AM452" s="170" t="str">
        <f t="shared" si="221"/>
        <v>0.540616317364966+0.888237936663749i</v>
      </c>
      <c r="AN452" s="170" t="str">
        <f t="shared" si="222"/>
        <v>1.09349511804332i</v>
      </c>
      <c r="AO452" s="170" t="str">
        <f t="shared" si="223"/>
        <v>0.812292548917041-0.494392986712492i</v>
      </c>
      <c r="AP452" s="170" t="str">
        <f t="shared" si="224"/>
        <v>0.076563947105839-0.148039656110625i</v>
      </c>
      <c r="AQ452" s="170" t="str">
        <f t="shared" si="225"/>
        <v>0.923436052894161+0.148039656110625i</v>
      </c>
      <c r="AR452" s="170" t="str">
        <f t="shared" si="226"/>
        <v>0.879463024592861-0.140990167445476i</v>
      </c>
    </row>
    <row r="453" spans="7:44">
      <c r="G453" s="688">
        <v>48978</v>
      </c>
      <c r="H453" s="676">
        <f t="shared" si="218"/>
        <v>48.978000000000002</v>
      </c>
      <c r="I453" s="677">
        <f t="shared" si="198"/>
        <v>255.76346239823883</v>
      </c>
      <c r="J453" s="678">
        <f t="shared" si="199"/>
        <v>1.5668864542177963</v>
      </c>
      <c r="K453" s="678">
        <f t="shared" si="200"/>
        <v>1.0022891823570663</v>
      </c>
      <c r="L453" s="679">
        <f t="shared" si="201"/>
        <v>6.759917022363944E-2</v>
      </c>
      <c r="M453" s="678">
        <f t="shared" si="202"/>
        <v>1.0332787287627774</v>
      </c>
      <c r="N453" s="679">
        <f t="shared" si="203"/>
        <v>-0.25448498825047339</v>
      </c>
      <c r="O453" s="677">
        <f t="shared" si="204"/>
        <v>923213.54887074162</v>
      </c>
      <c r="P453" s="680">
        <f t="shared" si="205"/>
        <v>1.5707952436218851</v>
      </c>
      <c r="Q453" s="689">
        <f t="shared" si="227"/>
        <v>123.71465717292838</v>
      </c>
      <c r="R453" s="690">
        <f t="shared" si="228"/>
        <v>1.5627131221638988</v>
      </c>
      <c r="S453" s="677">
        <f t="shared" si="206"/>
        <v>2.1079542665504913</v>
      </c>
      <c r="T453" s="680">
        <f t="shared" si="207"/>
        <v>1.0765212761350726</v>
      </c>
      <c r="U453" s="681">
        <f t="shared" si="219"/>
        <v>0.84558394743988707</v>
      </c>
      <c r="V453" s="682">
        <f t="shared" si="220"/>
        <v>-0.70918385939556139</v>
      </c>
      <c r="W453" s="683">
        <f t="shared" si="208"/>
        <v>-27.306000181511632</v>
      </c>
      <c r="X453" s="684">
        <f t="shared" si="209"/>
        <v>-203.26018882874104</v>
      </c>
      <c r="Y453" s="687">
        <f t="shared" si="210"/>
        <v>-23.260188828741036</v>
      </c>
      <c r="AA453" s="170">
        <f t="shared" si="211"/>
        <v>48978</v>
      </c>
      <c r="AB453" s="170">
        <f t="shared" si="212"/>
        <v>2398844484</v>
      </c>
      <c r="AD453" s="686">
        <f t="shared" si="213"/>
        <v>21.170606145846541</v>
      </c>
      <c r="AE453" s="687">
        <f t="shared" si="214"/>
        <v>-62.143197198640806</v>
      </c>
      <c r="AG453" s="686">
        <f t="shared" si="215"/>
        <v>7.9404662765484826</v>
      </c>
      <c r="AH453" s="687">
        <f t="shared" si="216"/>
        <v>-59.850507452910023</v>
      </c>
      <c r="AJ453" s="170">
        <f t="shared" si="217"/>
        <v>0</v>
      </c>
      <c r="AK453" s="170">
        <f t="shared" si="229"/>
        <v>0</v>
      </c>
      <c r="AM453" s="170" t="str">
        <f t="shared" si="221"/>
        <v>0.546184818271169+0.891095831452728i</v>
      </c>
      <c r="AN453" s="170" t="str">
        <f t="shared" si="222"/>
        <v>1.09975418289863i</v>
      </c>
      <c r="AO453" s="170" t="str">
        <f t="shared" si="223"/>
        <v>0.810268190209616-0.496642637749816i</v>
      </c>
      <c r="AP453" s="170" t="str">
        <f t="shared" si="224"/>
        <v>0.0756358636214718-0.148515971908788i</v>
      </c>
      <c r="AQ453" s="170" t="str">
        <f t="shared" si="225"/>
        <v>0.924364136378528+0.148515971908788i</v>
      </c>
      <c r="AR453" s="170" t="str">
        <f t="shared" si="226"/>
        <v>0.878482613021863-0.141144267657401i</v>
      </c>
    </row>
    <row r="454" spans="7:44">
      <c r="G454" s="688">
        <v>49263.25</v>
      </c>
      <c r="H454" s="676">
        <f t="shared" si="218"/>
        <v>49.263249999999999</v>
      </c>
      <c r="I454" s="677">
        <f t="shared" si="198"/>
        <v>257.25301721039278</v>
      </c>
      <c r="J454" s="678">
        <f t="shared" si="199"/>
        <v>1.5669090934038994</v>
      </c>
      <c r="K454" s="678">
        <f t="shared" si="200"/>
        <v>1.0023158937050032</v>
      </c>
      <c r="L454" s="679">
        <f t="shared" si="201"/>
        <v>6.7991661992021196E-2</v>
      </c>
      <c r="M454" s="678">
        <f t="shared" si="202"/>
        <v>1.0336611598937102</v>
      </c>
      <c r="N454" s="679">
        <f t="shared" si="203"/>
        <v>-0.2559034279818434</v>
      </c>
      <c r="O454" s="677">
        <f t="shared" si="204"/>
        <v>928590.38469121349</v>
      </c>
      <c r="P454" s="680">
        <f t="shared" si="205"/>
        <v>1.5707952498938038</v>
      </c>
      <c r="Q454" s="689">
        <f t="shared" si="227"/>
        <v>124.4351297713303</v>
      </c>
      <c r="R454" s="690">
        <f t="shared" si="228"/>
        <v>1.5627599244872916</v>
      </c>
      <c r="S454" s="677">
        <f t="shared" si="206"/>
        <v>2.1174744017984626</v>
      </c>
      <c r="T454" s="680">
        <f t="shared" si="207"/>
        <v>1.078942549943996</v>
      </c>
      <c r="U454" s="681">
        <f t="shared" si="219"/>
        <v>0.84415877501450021</v>
      </c>
      <c r="V454" s="682">
        <f t="shared" si="220"/>
        <v>-0.7127322338718739</v>
      </c>
      <c r="W454" s="683">
        <f t="shared" si="208"/>
        <v>-27.406788792341082</v>
      </c>
      <c r="X454" s="684">
        <f t="shared" si="209"/>
        <v>-203.65962288296623</v>
      </c>
      <c r="Y454" s="687">
        <f t="shared" si="210"/>
        <v>-23.659622882966232</v>
      </c>
      <c r="AA454" s="170">
        <f t="shared" si="211"/>
        <v>49263.25</v>
      </c>
      <c r="AB454" s="170">
        <f t="shared" si="212"/>
        <v>2426867800.5625</v>
      </c>
      <c r="AD454" s="686">
        <f t="shared" si="213"/>
        <v>21.131463179340876</v>
      </c>
      <c r="AE454" s="687">
        <f t="shared" si="214"/>
        <v>-62.279244752845791</v>
      </c>
      <c r="AG454" s="686">
        <f t="shared" si="215"/>
        <v>7.9081242490959234</v>
      </c>
      <c r="AH454" s="687">
        <f t="shared" si="216"/>
        <v>-59.707280189216313</v>
      </c>
      <c r="AJ454" s="170">
        <f t="shared" si="217"/>
        <v>0</v>
      </c>
      <c r="AK454" s="170">
        <f t="shared" si="229"/>
        <v>0</v>
      </c>
      <c r="AM454" s="170" t="str">
        <f t="shared" si="221"/>
        <v>0.551901571110625+0.893984226945237i</v>
      </c>
      <c r="AN454" s="170" t="str">
        <f t="shared" si="222"/>
        <v>1.10615919904204i</v>
      </c>
      <c r="AO454" s="170" t="str">
        <f t="shared" si="223"/>
        <v>0.808187671105071-0.498935028148376i</v>
      </c>
      <c r="AP454" s="170" t="str">
        <f t="shared" si="224"/>
        <v>0.0746830714815625-0.148997371157539i</v>
      </c>
      <c r="AQ454" s="170" t="str">
        <f t="shared" si="225"/>
        <v>0.925316928518437+0.148997371157539i</v>
      </c>
      <c r="AR454" s="170" t="str">
        <f t="shared" si="226"/>
        <v>0.877480409988533-0.141294588157884i</v>
      </c>
    </row>
    <row r="455" spans="7:44">
      <c r="G455" s="688">
        <v>49548.5</v>
      </c>
      <c r="H455" s="676">
        <f t="shared" si="218"/>
        <v>49.548499999999997</v>
      </c>
      <c r="I455" s="677">
        <f t="shared" si="198"/>
        <v>258.74257215287923</v>
      </c>
      <c r="J455" s="678">
        <f t="shared" si="199"/>
        <v>1.5669314719269831</v>
      </c>
      <c r="K455" s="678">
        <f t="shared" si="200"/>
        <v>1.002342759451248</v>
      </c>
      <c r="L455" s="679">
        <f t="shared" si="201"/>
        <v>6.8384132780983153E-2</v>
      </c>
      <c r="M455" s="678">
        <f t="shared" si="202"/>
        <v>1.0340456691804527</v>
      </c>
      <c r="N455" s="679">
        <f t="shared" si="203"/>
        <v>-0.25732081567119891</v>
      </c>
      <c r="O455" s="677">
        <f t="shared" si="204"/>
        <v>933967.22051168547</v>
      </c>
      <c r="P455" s="680">
        <f t="shared" si="205"/>
        <v>1.5707952560935079</v>
      </c>
      <c r="Q455" s="689">
        <f t="shared" si="227"/>
        <v>125.15560263916392</v>
      </c>
      <c r="R455" s="690">
        <f t="shared" si="228"/>
        <v>1.5628061879646853</v>
      </c>
      <c r="S455" s="677">
        <f t="shared" si="206"/>
        <v>2.1270068397148529</v>
      </c>
      <c r="T455" s="680">
        <f t="shared" si="207"/>
        <v>1.0813421352540973</v>
      </c>
      <c r="U455" s="681">
        <f t="shared" si="219"/>
        <v>0.8427319883754717</v>
      </c>
      <c r="V455" s="682">
        <f t="shared" si="220"/>
        <v>-0.71627290665037935</v>
      </c>
      <c r="W455" s="683">
        <f t="shared" si="208"/>
        <v>-27.507184593823226</v>
      </c>
      <c r="X455" s="684">
        <f t="shared" si="209"/>
        <v>-204.05732986200152</v>
      </c>
      <c r="Y455" s="687">
        <f t="shared" si="210"/>
        <v>-24.057329862001524</v>
      </c>
      <c r="AA455" s="170">
        <f t="shared" si="211"/>
        <v>49548.5</v>
      </c>
      <c r="AB455" s="170">
        <f t="shared" si="212"/>
        <v>2455053852.25</v>
      </c>
      <c r="AD455" s="686">
        <f t="shared" si="213"/>
        <v>21.092445607071831</v>
      </c>
      <c r="AE455" s="687">
        <f t="shared" si="214"/>
        <v>-62.414080517066893</v>
      </c>
      <c r="AG455" s="686">
        <f t="shared" si="215"/>
        <v>7.8761324259451264</v>
      </c>
      <c r="AH455" s="687">
        <f t="shared" si="216"/>
        <v>-59.564420189876465</v>
      </c>
      <c r="AJ455" s="170">
        <f t="shared" si="217"/>
        <v>0</v>
      </c>
      <c r="AK455" s="170">
        <f t="shared" si="229"/>
        <v>0</v>
      </c>
      <c r="AM455" s="170" t="str">
        <f t="shared" si="221"/>
        <v>0.55763670678104+0.896835947546973i</v>
      </c>
      <c r="AN455" s="170" t="str">
        <f t="shared" si="222"/>
        <v>1.11256421518544i</v>
      </c>
      <c r="AO455" s="170" t="str">
        <f t="shared" si="223"/>
        <v>0.806098142746296-0.501217546969272i</v>
      </c>
      <c r="AP455" s="170" t="str">
        <f t="shared" si="224"/>
        <v>0.0737272155364933-0.149472657924496i</v>
      </c>
      <c r="AQ455" s="170" t="str">
        <f t="shared" si="225"/>
        <v>0.926272784463507+0.149472657924496i</v>
      </c>
      <c r="AR455" s="170" t="str">
        <f t="shared" si="226"/>
        <v>0.876479344034534-0.141437489437456i</v>
      </c>
    </row>
    <row r="456" spans="7:44">
      <c r="G456" s="688">
        <v>49833.75</v>
      </c>
      <c r="H456" s="676">
        <f t="shared" si="218"/>
        <v>49.833750000000002</v>
      </c>
      <c r="I456" s="677">
        <f t="shared" si="198"/>
        <v>260.23212722346011</v>
      </c>
      <c r="J456" s="678">
        <f t="shared" si="199"/>
        <v>1.5669535942630888</v>
      </c>
      <c r="K456" s="678">
        <f t="shared" si="200"/>
        <v>1.0023697795833859</v>
      </c>
      <c r="L456" s="679">
        <f t="shared" si="201"/>
        <v>6.8776582471309938E-2</v>
      </c>
      <c r="M456" s="678">
        <f t="shared" si="202"/>
        <v>1.0344322543055884</v>
      </c>
      <c r="N456" s="679">
        <f t="shared" si="203"/>
        <v>-0.25873714679986315</v>
      </c>
      <c r="O456" s="677">
        <f t="shared" si="204"/>
        <v>939344.05633215734</v>
      </c>
      <c r="P456" s="680">
        <f t="shared" si="205"/>
        <v>1.5707952622222374</v>
      </c>
      <c r="Q456" s="689">
        <f t="shared" si="227"/>
        <v>125.8760757718028</v>
      </c>
      <c r="R456" s="690">
        <f t="shared" si="228"/>
        <v>1.5628519218484105</v>
      </c>
      <c r="S456" s="677">
        <f t="shared" si="206"/>
        <v>2.13655141563091</v>
      </c>
      <c r="T456" s="680">
        <f t="shared" si="207"/>
        <v>1.0837202949113891</v>
      </c>
      <c r="U456" s="681">
        <f t="shared" si="219"/>
        <v>0.84130364944863545</v>
      </c>
      <c r="V456" s="682">
        <f t="shared" si="220"/>
        <v>-0.71980588668331791</v>
      </c>
      <c r="W456" s="683">
        <f t="shared" si="208"/>
        <v>-27.607190724187078</v>
      </c>
      <c r="X456" s="684">
        <f t="shared" si="209"/>
        <v>-204.45332481307901</v>
      </c>
      <c r="Y456" s="687">
        <f t="shared" si="210"/>
        <v>-24.453324813079007</v>
      </c>
      <c r="AA456" s="170">
        <f t="shared" si="211"/>
        <v>49833.75</v>
      </c>
      <c r="AB456" s="170">
        <f t="shared" si="212"/>
        <v>2483402639.0625</v>
      </c>
      <c r="AD456" s="686">
        <f t="shared" si="213"/>
        <v>21.053553201425661</v>
      </c>
      <c r="AE456" s="687">
        <f t="shared" si="214"/>
        <v>-62.547719021222825</v>
      </c>
      <c r="AG456" s="686">
        <f t="shared" si="215"/>
        <v>7.844486954702802</v>
      </c>
      <c r="AH456" s="687">
        <f t="shared" si="216"/>
        <v>-59.421926946352606</v>
      </c>
      <c r="AJ456" s="170">
        <f t="shared" si="217"/>
        <v>0</v>
      </c>
      <c r="AK456" s="170">
        <f t="shared" si="229"/>
        <v>0</v>
      </c>
      <c r="AM456" s="170" t="str">
        <f t="shared" si="221"/>
        <v>0.563389990003704+0.899650876268697i</v>
      </c>
      <c r="AN456" s="170" t="str">
        <f t="shared" si="222"/>
        <v>1.11896923132885i</v>
      </c>
      <c r="AO456" s="170" t="str">
        <f t="shared" si="223"/>
        <v>0.803999655290166-0.5034901534644i</v>
      </c>
      <c r="AP456" s="170" t="str">
        <f t="shared" si="224"/>
        <v>0.0727683349993827-0.149941812711449i</v>
      </c>
      <c r="AQ456" s="170" t="str">
        <f t="shared" si="225"/>
        <v>0.927231665000617+0.149941812711449i</v>
      </c>
      <c r="AR456" s="170" t="str">
        <f t="shared" si="226"/>
        <v>0.875479469427517-0.141573010923362i</v>
      </c>
    </row>
    <row r="457" spans="7:44">
      <c r="G457" s="688">
        <v>50119</v>
      </c>
      <c r="H457" s="676">
        <f t="shared" si="218"/>
        <v>50.119</v>
      </c>
      <c r="I457" s="677">
        <f t="shared" si="198"/>
        <v>261.72168241994831</v>
      </c>
      <c r="J457" s="678">
        <f t="shared" si="199"/>
        <v>1.5669754647863605</v>
      </c>
      <c r="K457" s="678">
        <f t="shared" si="200"/>
        <v>1.0023969540889324</v>
      </c>
      <c r="L457" s="679">
        <f t="shared" si="201"/>
        <v>6.9169010943824979E-2</v>
      </c>
      <c r="M457" s="678">
        <f t="shared" si="202"/>
        <v>1.0348209129426615</v>
      </c>
      <c r="N457" s="679">
        <f t="shared" si="203"/>
        <v>-0.26015241687284862</v>
      </c>
      <c r="O457" s="677">
        <f t="shared" si="204"/>
        <v>944720.89215262933</v>
      </c>
      <c r="P457" s="680">
        <f t="shared" si="205"/>
        <v>1.5707952682812041</v>
      </c>
      <c r="Q457" s="689">
        <f t="shared" si="227"/>
        <v>126.5965491647259</v>
      </c>
      <c r="R457" s="690">
        <f t="shared" si="228"/>
        <v>1.5628971351801826</v>
      </c>
      <c r="S457" s="677">
        <f t="shared" si="206"/>
        <v>2.1461079675994386</v>
      </c>
      <c r="T457" s="680">
        <f t="shared" si="207"/>
        <v>1.0860772880584553</v>
      </c>
      <c r="U457" s="681">
        <f t="shared" si="219"/>
        <v>0.83987381957375529</v>
      </c>
      <c r="V457" s="682">
        <f t="shared" si="220"/>
        <v>-0.72333118333730695</v>
      </c>
      <c r="W457" s="683">
        <f t="shared" si="208"/>
        <v>-27.706810280424353</v>
      </c>
      <c r="X457" s="684">
        <f t="shared" si="209"/>
        <v>-204.8476226025644</v>
      </c>
      <c r="Y457" s="687">
        <f t="shared" si="210"/>
        <v>-24.8476226025644</v>
      </c>
      <c r="AA457" s="170">
        <f t="shared" si="211"/>
        <v>50119</v>
      </c>
      <c r="AB457" s="170">
        <f t="shared" si="212"/>
        <v>2511914161</v>
      </c>
      <c r="AD457" s="686">
        <f t="shared" si="213"/>
        <v>21.014785721711743</v>
      </c>
      <c r="AE457" s="687">
        <f t="shared" si="214"/>
        <v>-62.680174595107303</v>
      </c>
      <c r="AG457" s="686">
        <f t="shared" si="215"/>
        <v>7.8131840428993549</v>
      </c>
      <c r="AH457" s="687">
        <f t="shared" si="216"/>
        <v>-59.279799921881612</v>
      </c>
      <c r="AJ457" s="170">
        <f t="shared" si="217"/>
        <v>0</v>
      </c>
      <c r="AK457" s="170">
        <f t="shared" si="229"/>
        <v>0</v>
      </c>
      <c r="AM457" s="170" t="str">
        <f t="shared" si="221"/>
        <v>0.569161184755388+0.902428897630511i</v>
      </c>
      <c r="AN457" s="170" t="str">
        <f t="shared" si="222"/>
        <v>1.12537424747226i</v>
      </c>
      <c r="AO457" s="170" t="str">
        <f t="shared" si="223"/>
        <v>0.801892259092907-0.505752807151754i</v>
      </c>
      <c r="AP457" s="170" t="str">
        <f t="shared" si="224"/>
        <v>0.0718064692074353-0.150404816271752i</v>
      </c>
      <c r="AQ457" s="170" t="str">
        <f t="shared" si="225"/>
        <v>0.928193530792565+0.150404816271752i</v>
      </c>
      <c r="AR457" s="170" t="str">
        <f t="shared" si="226"/>
        <v>0.874480839689725-0.141701192330433i</v>
      </c>
    </row>
    <row r="458" spans="7:44">
      <c r="G458" s="688">
        <v>50410.75</v>
      </c>
      <c r="H458" s="676">
        <f t="shared" si="218"/>
        <v>50.41075</v>
      </c>
      <c r="I458" s="677">
        <f t="shared" si="198"/>
        <v>263.24518028179568</v>
      </c>
      <c r="J458" s="678">
        <f t="shared" si="199"/>
        <v>1.5669975776439489</v>
      </c>
      <c r="K458" s="678">
        <f t="shared" si="200"/>
        <v>1.002424907497691</v>
      </c>
      <c r="L458" s="679">
        <f t="shared" si="201"/>
        <v>6.9570359622559766E-2</v>
      </c>
      <c r="M458" s="678">
        <f t="shared" si="202"/>
        <v>1.0352205704451085</v>
      </c>
      <c r="N458" s="679">
        <f t="shared" si="203"/>
        <v>-0.26159883448707133</v>
      </c>
      <c r="O458" s="677">
        <f t="shared" si="204"/>
        <v>950220.2500864513</v>
      </c>
      <c r="P458" s="680">
        <f t="shared" si="205"/>
        <v>1.5707952744073055</v>
      </c>
      <c r="Q458" s="689">
        <f t="shared" si="227"/>
        <v>127.33344027033441</v>
      </c>
      <c r="R458" s="690">
        <f t="shared" si="228"/>
        <v>1.5629428495192614</v>
      </c>
      <c r="S458" s="677">
        <f t="shared" si="206"/>
        <v>2.1558945075055815</v>
      </c>
      <c r="T458" s="680">
        <f t="shared" si="207"/>
        <v>1.0884663608642695</v>
      </c>
      <c r="U458" s="681">
        <f t="shared" si="219"/>
        <v>0.83840992914685231</v>
      </c>
      <c r="V458" s="682">
        <f t="shared" si="220"/>
        <v>-0.72692887322347133</v>
      </c>
      <c r="W458" s="683">
        <f t="shared" si="208"/>
        <v>-27.808303168152829</v>
      </c>
      <c r="X458" s="684">
        <f t="shared" si="209"/>
        <v>-205.24916496324377</v>
      </c>
      <c r="Y458" s="687">
        <f t="shared" si="210"/>
        <v>-25.249164963243771</v>
      </c>
      <c r="AA458" s="170">
        <f t="shared" si="211"/>
        <v>50410.75</v>
      </c>
      <c r="AB458" s="170">
        <f t="shared" si="212"/>
        <v>2541243715.5625</v>
      </c>
      <c r="AD458" s="686">
        <f t="shared" si="213"/>
        <v>20.975263810700678</v>
      </c>
      <c r="AE458" s="687">
        <f t="shared" si="214"/>
        <v>-62.814439496290639</v>
      </c>
      <c r="AG458" s="686">
        <f t="shared" si="215"/>
        <v>7.781518296569077</v>
      </c>
      <c r="AH458" s="687">
        <f t="shared" si="216"/>
        <v>-59.1348124879583</v>
      </c>
      <c r="AJ458" s="170">
        <f t="shared" si="217"/>
        <v>0</v>
      </c>
      <c r="AK458" s="170">
        <f t="shared" si="229"/>
        <v>0</v>
      </c>
      <c r="AM458" s="170" t="str">
        <f t="shared" si="221"/>
        <v>0.575082169517277+0.905231924612613i</v>
      </c>
      <c r="AN458" s="170" t="str">
        <f t="shared" si="222"/>
        <v>1.13192521490377i</v>
      </c>
      <c r="AO458" s="170" t="str">
        <f t="shared" si="223"/>
        <v>0.799727678731471-0.508056682495731i</v>
      </c>
      <c r="AP458" s="170" t="str">
        <f t="shared" si="224"/>
        <v>0.0708196384137872-0.150871987435436i</v>
      </c>
      <c r="AQ458" s="170" t="str">
        <f t="shared" si="225"/>
        <v>0.929180361586213+0.150871987435436i</v>
      </c>
      <c r="AR458" s="170" t="str">
        <f t="shared" si="226"/>
        <v>0.873460796897268-0.141824743422113i</v>
      </c>
    </row>
    <row r="459" spans="7:44">
      <c r="G459" s="688">
        <v>50702.5</v>
      </c>
      <c r="H459" s="676">
        <f t="shared" si="218"/>
        <v>50.702500000000001</v>
      </c>
      <c r="I459" s="677">
        <f t="shared" si="198"/>
        <v>264.76867827088302</v>
      </c>
      <c r="J459" s="678">
        <f t="shared" si="199"/>
        <v>1.5670194360236067</v>
      </c>
      <c r="K459" s="678">
        <f t="shared" si="200"/>
        <v>1.0024530223687971</v>
      </c>
      <c r="L459" s="679">
        <f t="shared" si="201"/>
        <v>6.9971685853428417E-2</v>
      </c>
      <c r="M459" s="678">
        <f t="shared" si="202"/>
        <v>1.0356223920830088</v>
      </c>
      <c r="N459" s="679">
        <f t="shared" si="203"/>
        <v>-0.26304413270259969</v>
      </c>
      <c r="O459" s="677">
        <f t="shared" si="204"/>
        <v>955719.60802027327</v>
      </c>
      <c r="P459" s="680">
        <f t="shared" si="205"/>
        <v>1.570795280462906</v>
      </c>
      <c r="Q459" s="689">
        <f t="shared" si="227"/>
        <v>128.07033163898225</v>
      </c>
      <c r="R459" s="690">
        <f t="shared" si="228"/>
        <v>1.5629880377958951</v>
      </c>
      <c r="S459" s="677">
        <f t="shared" si="206"/>
        <v>2.1656932412917467</v>
      </c>
      <c r="T459" s="680">
        <f t="shared" si="207"/>
        <v>1.0908338282406078</v>
      </c>
      <c r="U459" s="681">
        <f t="shared" si="219"/>
        <v>0.83694460696616557</v>
      </c>
      <c r="V459" s="682">
        <f t="shared" si="220"/>
        <v>-0.73051854670075123</v>
      </c>
      <c r="W459" s="683">
        <f t="shared" si="208"/>
        <v>-27.909398087887336</v>
      </c>
      <c r="X459" s="684">
        <f t="shared" si="209"/>
        <v>-205.64896282355588</v>
      </c>
      <c r="Y459" s="687">
        <f t="shared" si="210"/>
        <v>-25.648962823555877</v>
      </c>
      <c r="AA459" s="170">
        <f t="shared" si="211"/>
        <v>50702.5</v>
      </c>
      <c r="AB459" s="170">
        <f t="shared" si="212"/>
        <v>2570743506.25</v>
      </c>
      <c r="AD459" s="686">
        <f t="shared" si="213"/>
        <v>20.935872034961875</v>
      </c>
      <c r="AE459" s="687">
        <f t="shared" si="214"/>
        <v>-62.947496634667559</v>
      </c>
      <c r="AG459" s="686">
        <f t="shared" si="215"/>
        <v>7.7502030608442141</v>
      </c>
      <c r="AH459" s="687">
        <f t="shared" si="216"/>
        <v>-58.99020692926716</v>
      </c>
      <c r="AJ459" s="170">
        <f t="shared" si="217"/>
        <v>0</v>
      </c>
      <c r="AK459" s="170">
        <f t="shared" si="229"/>
        <v>0</v>
      </c>
      <c r="AM459" s="170" t="str">
        <f t="shared" si="221"/>
        <v>0.581021389636714+0.907996103547834i</v>
      </c>
      <c r="AN459" s="170" t="str">
        <f t="shared" si="222"/>
        <v>1.13847618233529i</v>
      </c>
      <c r="AO459" s="170" t="str">
        <f t="shared" si="223"/>
        <v>0.797553886182594-0.510350061469796i</v>
      </c>
      <c r="AP459" s="170" t="str">
        <f t="shared" si="224"/>
        <v>0.069829768393881-0.151332683924639i</v>
      </c>
      <c r="AQ459" s="170" t="str">
        <f t="shared" si="225"/>
        <v>0.930170231606119+0.151332683924639i</v>
      </c>
      <c r="AR459" s="170" t="str">
        <f t="shared" si="226"/>
        <v>0.872442167232333-0.141940701013753i</v>
      </c>
    </row>
    <row r="460" spans="7:44">
      <c r="G460" s="688">
        <v>50994.25</v>
      </c>
      <c r="H460" s="676">
        <f t="shared" si="218"/>
        <v>50.994250000000001</v>
      </c>
      <c r="I460" s="677">
        <f t="shared" si="198"/>
        <v>266.29217638502632</v>
      </c>
      <c r="J460" s="678">
        <f t="shared" si="199"/>
        <v>1.5670410442930338</v>
      </c>
      <c r="K460" s="678">
        <f t="shared" si="200"/>
        <v>1.002481298688666</v>
      </c>
      <c r="L460" s="679">
        <f t="shared" si="201"/>
        <v>7.0372989509047648E-2</v>
      </c>
      <c r="M460" s="678">
        <f t="shared" si="202"/>
        <v>1.0360263753382901</v>
      </c>
      <c r="N460" s="679">
        <f t="shared" si="203"/>
        <v>-0.2644883067873029</v>
      </c>
      <c r="O460" s="677">
        <f t="shared" si="204"/>
        <v>961218.96595409524</v>
      </c>
      <c r="P460" s="680">
        <f t="shared" si="205"/>
        <v>1.5707952864492154</v>
      </c>
      <c r="Q460" s="689">
        <f t="shared" si="227"/>
        <v>128.80722326615498</v>
      </c>
      <c r="R460" s="690">
        <f t="shared" si="228"/>
        <v>1.5630327090385299</v>
      </c>
      <c r="S460" s="677">
        <f t="shared" si="206"/>
        <v>2.1755040041897984</v>
      </c>
      <c r="T460" s="680">
        <f t="shared" si="207"/>
        <v>1.0931799557668962</v>
      </c>
      <c r="U460" s="681">
        <f t="shared" si="219"/>
        <v>0.83547791675463823</v>
      </c>
      <c r="V460" s="682">
        <f t="shared" si="220"/>
        <v>-0.7341002150986552</v>
      </c>
      <c r="W460" s="683">
        <f t="shared" si="208"/>
        <v>-28.010098224376023</v>
      </c>
      <c r="X460" s="684">
        <f t="shared" si="209"/>
        <v>-206.04703151840982</v>
      </c>
      <c r="Y460" s="687">
        <f t="shared" si="210"/>
        <v>-26.047031518409824</v>
      </c>
      <c r="AA460" s="170">
        <f t="shared" si="211"/>
        <v>50994.25</v>
      </c>
      <c r="AB460" s="170">
        <f t="shared" si="212"/>
        <v>2600413533.0625</v>
      </c>
      <c r="AD460" s="686">
        <f t="shared" si="213"/>
        <v>20.896610097937099</v>
      </c>
      <c r="AE460" s="687">
        <f t="shared" si="214"/>
        <v>-63.079360709595726</v>
      </c>
      <c r="AG460" s="686">
        <f t="shared" si="215"/>
        <v>7.7192344643565072</v>
      </c>
      <c r="AH460" s="687">
        <f t="shared" si="216"/>
        <v>-58.845982583093353</v>
      </c>
      <c r="AJ460" s="170">
        <f t="shared" si="217"/>
        <v>0</v>
      </c>
      <c r="AK460" s="170">
        <f t="shared" si="229"/>
        <v>0</v>
      </c>
      <c r="AM460" s="170" t="str">
        <f t="shared" si="221"/>
        <v>0.586978590231925+0.910721315811369i</v>
      </c>
      <c r="AN460" s="170" t="str">
        <f t="shared" si="222"/>
        <v>1.1450271497668i</v>
      </c>
      <c r="AO460" s="170" t="str">
        <f t="shared" si="223"/>
        <v>0.795370935961518-0.512632901631608i</v>
      </c>
      <c r="AP460" s="170" t="str">
        <f t="shared" si="224"/>
        <v>0.0688369016280125-0.151786885968561i</v>
      </c>
      <c r="AQ460" s="170" t="str">
        <f t="shared" si="225"/>
        <v>0.931163098371988+0.151786885968561i</v>
      </c>
      <c r="AR460" s="170" t="str">
        <f t="shared" si="226"/>
        <v>0.871425005556932-0.142049108453589i</v>
      </c>
    </row>
    <row r="461" spans="7:44">
      <c r="G461" s="688">
        <v>51286</v>
      </c>
      <c r="H461" s="676">
        <f t="shared" si="218"/>
        <v>51.286000000000001</v>
      </c>
      <c r="I461" s="677">
        <f t="shared" ref="I461:I524" si="230">SQRT(1+(G461/pole1)^2)</f>
        <v>267.81567462209148</v>
      </c>
      <c r="J461" s="678">
        <f t="shared" ref="J461:J524" si="231">ATAN(G461/pole1)</f>
        <v>1.5670624067205468</v>
      </c>
      <c r="K461" s="678">
        <f t="shared" ref="K461:K524" si="232">SQRT(1+(G461/Zero1)^2)</f>
        <v>1.0025097364436362</v>
      </c>
      <c r="L461" s="679">
        <f t="shared" ref="L461:L524" si="233">ATAN(G461/Zero1)</f>
        <v>7.077427046207764E-2</v>
      </c>
      <c r="M461" s="678">
        <f t="shared" ref="M461:M524" si="234">SQRT(1+(G461/z_RHP)^2)</f>
        <v>1.0364325176832703</v>
      </c>
      <c r="N461" s="679">
        <f t="shared" ref="N461:N524" si="235">-ATAN(G461/z_RHP)</f>
        <v>-0.26593135203516466</v>
      </c>
      <c r="O461" s="677">
        <f t="shared" ref="O461:O524" si="236">SQRT(1+(G461/Pole2)^2)</f>
        <v>966718.32388791733</v>
      </c>
      <c r="P461" s="680">
        <f t="shared" ref="P461:P524" si="237">ATAN(G461/Pole2)</f>
        <v>1.5707952923674162</v>
      </c>
      <c r="Q461" s="689">
        <f t="shared" si="227"/>
        <v>129.54411514744086</v>
      </c>
      <c r="R461" s="690">
        <f t="shared" si="228"/>
        <v>1.563076872070192</v>
      </c>
      <c r="S461" s="677">
        <f t="shared" ref="S461:S524" si="238">SQRT(1+(G461/pole4)^2)</f>
        <v>2.1853266341899595</v>
      </c>
      <c r="T461" s="680">
        <f t="shared" ref="T461:T524" si="239">ATAN(G461/pole4)</f>
        <v>1.0955050051961299</v>
      </c>
      <c r="U461" s="681">
        <f t="shared" si="219"/>
        <v>0.83400992159185827</v>
      </c>
      <c r="V461" s="682">
        <f t="shared" si="220"/>
        <v>-0.73767389017500273</v>
      </c>
      <c r="W461" s="683">
        <f t="shared" ref="W461:W524" si="240">20*LOG10(((K461*Q461*M461*U461)/(I461*O461*S461))*Adc)</f>
        <v>-28.11040672058002</v>
      </c>
      <c r="X461" s="684">
        <f t="shared" ref="X461:X524" si="241">((L461+R461+N461+V461)-(J461+P461+T461))*radconv</f>
        <v>-206.44338619558403</v>
      </c>
      <c r="Y461" s="687">
        <f t="shared" ref="Y461:Y524" si="242">IF(X461&gt;0,X461,X461+180)</f>
        <v>-26.443386195584026</v>
      </c>
      <c r="AA461" s="170">
        <f t="shared" ref="AA461:AA524" si="243">IF(W461&lt;0,G461,1000000000)</f>
        <v>51286</v>
      </c>
      <c r="AB461" s="170">
        <f t="shared" ref="AB461:AB524" si="244">G461^2</f>
        <v>2630253796</v>
      </c>
      <c r="AD461" s="686">
        <f t="shared" ref="AD461:AD524" si="245">20*LOG10((Q461/(O461*S461))*Aea)</f>
        <v>20.857477691003837</v>
      </c>
      <c r="AE461" s="687">
        <f t="shared" ref="AE461:AE524" si="246">(R461-(P461+T461))*radconv</f>
        <v>-63.210046212962617</v>
      </c>
      <c r="AG461" s="686">
        <f t="shared" ref="AG461:AG524" si="247">20*LOG10((K461*M461/(I461*U461))*Acs*Am)</f>
        <v>7.6886086958883411</v>
      </c>
      <c r="AH461" s="687">
        <f t="shared" ref="AH461:AH524" si="248">(L461+N461-(J461+V461))*radconv</f>
        <v>-58.70213875798111</v>
      </c>
      <c r="AJ461" s="170">
        <f t="shared" ref="AJ461:AJ524" si="249">SUM((W462&lt;0)*(W461&gt;0))*G461</f>
        <v>0</v>
      </c>
      <c r="AK461" s="170">
        <f t="shared" si="229"/>
        <v>0</v>
      </c>
      <c r="AM461" s="170" t="str">
        <f t="shared" si="221"/>
        <v>0.592953515649533+0.913407444450682i</v>
      </c>
      <c r="AN461" s="170" t="str">
        <f t="shared" si="222"/>
        <v>1.15157811719831i</v>
      </c>
      <c r="AO461" s="170" t="str">
        <f t="shared" si="223"/>
        <v>0.793178882795136-0.51490516083454i</v>
      </c>
      <c r="AP461" s="170" t="str">
        <f t="shared" si="224"/>
        <v>0.0678410807250778-0.152234574075114i</v>
      </c>
      <c r="AQ461" s="170" t="str">
        <f t="shared" si="225"/>
        <v>0.932158919274922+0.152234574075114i</v>
      </c>
      <c r="AR461" s="170" t="str">
        <f t="shared" si="226"/>
        <v>0.870409365929274-0.142150009352807i</v>
      </c>
    </row>
    <row r="462" spans="7:44">
      <c r="G462" s="688">
        <v>51584.75</v>
      </c>
      <c r="H462" s="676">
        <f t="shared" ref="H462:H525" si="250">G462/1000</f>
        <v>51.58475</v>
      </c>
      <c r="I462" s="677">
        <f t="shared" si="230"/>
        <v>269.37572649818765</v>
      </c>
      <c r="J462" s="678">
        <f t="shared" si="231"/>
        <v>1.5670840312964871</v>
      </c>
      <c r="K462" s="678">
        <f t="shared" si="232"/>
        <v>1.0025390237870011</v>
      </c>
      <c r="L462" s="679">
        <f t="shared" si="233"/>
        <v>7.1185155747972892E-2</v>
      </c>
      <c r="M462" s="678">
        <f t="shared" si="234"/>
        <v>1.0368506394261874</v>
      </c>
      <c r="N462" s="679">
        <f t="shared" si="235"/>
        <v>-0.26740784580010174</v>
      </c>
      <c r="O462" s="677">
        <f t="shared" si="236"/>
        <v>972349.62871303933</v>
      </c>
      <c r="P462" s="680">
        <f t="shared" si="237"/>
        <v>1.5707952983582412</v>
      </c>
      <c r="Q462" s="689">
        <f t="shared" si="227"/>
        <v>130.29868764117623</v>
      </c>
      <c r="R462" s="690">
        <f t="shared" si="228"/>
        <v>1.5631215770707456</v>
      </c>
      <c r="S462" s="677">
        <f t="shared" si="238"/>
        <v>2.1953970711987121</v>
      </c>
      <c r="T462" s="680">
        <f t="shared" si="239"/>
        <v>1.0978642665703882</v>
      </c>
      <c r="U462" s="681">
        <f t="shared" ref="U462:U525" si="251">IMABS(IMPRODUCT(AO462, AR462))</f>
        <v>0.83250541753144436</v>
      </c>
      <c r="V462" s="682">
        <f t="shared" ref="V462:V525" si="252">IMARGUMENT(IMPRODUCT(AO462, AR462))</f>
        <v>-0.74132503838048225</v>
      </c>
      <c r="W462" s="683">
        <f t="shared" si="240"/>
        <v>-28.212719324975705</v>
      </c>
      <c r="X462" s="684">
        <f t="shared" si="241"/>
        <v>-206.84749009890149</v>
      </c>
      <c r="Y462" s="687">
        <f t="shared" si="242"/>
        <v>-26.847490098901488</v>
      </c>
      <c r="AA462" s="170">
        <f t="shared" si="243"/>
        <v>51584.75</v>
      </c>
      <c r="AB462" s="170">
        <f t="shared" si="244"/>
        <v>2660986432.5625</v>
      </c>
      <c r="AD462" s="686">
        <f t="shared" si="245"/>
        <v>20.817540269187941</v>
      </c>
      <c r="AE462" s="687">
        <f t="shared" si="246"/>
        <v>-63.342660868021511</v>
      </c>
      <c r="AG462" s="686">
        <f t="shared" si="247"/>
        <v>7.657599464697558</v>
      </c>
      <c r="AH462" s="687">
        <f t="shared" si="248"/>
        <v>-58.555237240660091</v>
      </c>
      <c r="AJ462" s="170">
        <f t="shared" si="249"/>
        <v>0</v>
      </c>
      <c r="AK462" s="170">
        <f t="shared" si="229"/>
        <v>0</v>
      </c>
      <c r="AM462" s="170" t="str">
        <f t="shared" ref="AM462:AM525" si="253">IMSUB(1,IMEXP(COMPLEX(0,-2*Pi*G462*Tsw)))</f>
        <v>0.599089898307571+0.916117399878949i</v>
      </c>
      <c r="AN462" s="170" t="str">
        <f t="shared" ref="AN462:AN525" si="254">COMPLEX(0, 2*Pi*G462*Tsw)</f>
        <v>1.15828626294009i</v>
      </c>
      <c r="AO462" s="170" t="str">
        <f t="shared" ref="AO462:AO525" si="255">IMDIV(AM462, AN462)</f>
        <v>0.790924859588301-0.5172209301584i</v>
      </c>
      <c r="AP462" s="170" t="str">
        <f t="shared" ref="AP462:AP525" si="256">IMDIV(IMEXP(COMPLEX(0,-2*Pi*G462*Tsw)),6)</f>
        <v>0.0668183502820715-0.152686233313158i</v>
      </c>
      <c r="AQ462" s="170" t="str">
        <f t="shared" ref="AQ462:AQ525" si="257">IMSUB(1, AP462)</f>
        <v>0.933181649717928+0.152686233313158i</v>
      </c>
      <c r="AR462" s="170" t="str">
        <f t="shared" ref="AR462:AR525" si="258">IMDIV(0.833, AQ462)</f>
        <v>0.869370990803174-0.142245598140071i</v>
      </c>
    </row>
    <row r="463" spans="7:44">
      <c r="G463" s="688">
        <v>51883.5</v>
      </c>
      <c r="H463" s="676">
        <f t="shared" si="250"/>
        <v>51.883499999999998</v>
      </c>
      <c r="I463" s="677">
        <f t="shared" si="230"/>
        <v>270.93577849879932</v>
      </c>
      <c r="J463" s="678">
        <f t="shared" si="231"/>
        <v>1.5671054068432162</v>
      </c>
      <c r="K463" s="678">
        <f t="shared" si="232"/>
        <v>1.0025684803758339</v>
      </c>
      <c r="L463" s="679">
        <f t="shared" si="233"/>
        <v>7.1596016958686046E-2</v>
      </c>
      <c r="M463" s="678">
        <f t="shared" si="234"/>
        <v>1.0372710197134098</v>
      </c>
      <c r="N463" s="679">
        <f t="shared" si="235"/>
        <v>-0.26888314600627322</v>
      </c>
      <c r="O463" s="677">
        <f t="shared" si="236"/>
        <v>977980.93353816133</v>
      </c>
      <c r="P463" s="680">
        <f t="shared" si="237"/>
        <v>1.5707953042800749</v>
      </c>
      <c r="Q463" s="689">
        <f t="shared" si="227"/>
        <v>131.05326039231969</v>
      </c>
      <c r="R463" s="690">
        <f t="shared" si="228"/>
        <v>1.5631657672703791</v>
      </c>
      <c r="S463" s="677">
        <f t="shared" si="238"/>
        <v>2.2054796164049799</v>
      </c>
      <c r="T463" s="680">
        <f t="shared" si="239"/>
        <v>1.1002019697134242</v>
      </c>
      <c r="U463" s="681">
        <f t="shared" si="251"/>
        <v>0.83099967695399579</v>
      </c>
      <c r="V463" s="682">
        <f t="shared" si="252"/>
        <v>-0.74496783139538092</v>
      </c>
      <c r="W463" s="683">
        <f t="shared" si="240"/>
        <v>-28.314627809639589</v>
      </c>
      <c r="X463" s="684">
        <f t="shared" si="241"/>
        <v>-207.24982830656759</v>
      </c>
      <c r="Y463" s="687">
        <f t="shared" si="242"/>
        <v>-27.249828306567593</v>
      </c>
      <c r="AA463" s="170">
        <f t="shared" si="243"/>
        <v>51883.5</v>
      </c>
      <c r="AB463" s="170">
        <f t="shared" si="244"/>
        <v>2691897572.25</v>
      </c>
      <c r="AD463" s="686">
        <f t="shared" si="245"/>
        <v>20.777737976186927</v>
      </c>
      <c r="AE463" s="687">
        <f t="shared" si="246"/>
        <v>-63.474069819383338</v>
      </c>
      <c r="AG463" s="686">
        <f t="shared" si="247"/>
        <v>7.626941809247767</v>
      </c>
      <c r="AH463" s="687">
        <f t="shared" si="248"/>
        <v>-58.408733165700525</v>
      </c>
      <c r="AJ463" s="170">
        <f t="shared" si="249"/>
        <v>0</v>
      </c>
      <c r="AK463" s="170">
        <f t="shared" si="229"/>
        <v>0</v>
      </c>
      <c r="AM463" s="170" t="str">
        <f t="shared" si="253"/>
        <v>0.60524432153955+0.918786130894035i</v>
      </c>
      <c r="AN463" s="170" t="str">
        <f t="shared" si="254"/>
        <v>1.16499440868188i</v>
      </c>
      <c r="AO463" s="170" t="str">
        <f t="shared" si="255"/>
        <v>0.788661408198161-0.519525516199127i</v>
      </c>
      <c r="AP463" s="170" t="str">
        <f t="shared" si="256"/>
        <v>0.0657926130767417-0.153131021815673i</v>
      </c>
      <c r="AQ463" s="170" t="str">
        <f t="shared" si="257"/>
        <v>0.934207386923258+0.153131021815673i</v>
      </c>
      <c r="AR463" s="170" t="str">
        <f t="shared" si="258"/>
        <v>0.868334323797541-0.142333409200137i</v>
      </c>
    </row>
    <row r="464" spans="7:44">
      <c r="G464" s="688">
        <v>52182.25</v>
      </c>
      <c r="H464" s="676">
        <f t="shared" si="250"/>
        <v>52.182250000000003</v>
      </c>
      <c r="I464" s="677">
        <f t="shared" si="230"/>
        <v>272.49583062178783</v>
      </c>
      <c r="J464" s="678">
        <f t="shared" si="231"/>
        <v>1.5671265376378278</v>
      </c>
      <c r="K464" s="678">
        <f t="shared" si="232"/>
        <v>1.0025981061952169</v>
      </c>
      <c r="L464" s="679">
        <f t="shared" si="233"/>
        <v>7.2006853957632802E-2</v>
      </c>
      <c r="M464" s="678">
        <f t="shared" si="234"/>
        <v>1.0376936558000596</v>
      </c>
      <c r="N464" s="679">
        <f t="shared" si="235"/>
        <v>-0.27035724768615094</v>
      </c>
      <c r="O464" s="677">
        <f t="shared" si="236"/>
        <v>983612.23836328345</v>
      </c>
      <c r="P464" s="680">
        <f t="shared" si="237"/>
        <v>1.5707953101341019</v>
      </c>
      <c r="Q464" s="689">
        <f t="shared" si="227"/>
        <v>131.80783339645035</v>
      </c>
      <c r="R464" s="690">
        <f t="shared" si="228"/>
        <v>1.5632094515103094</v>
      </c>
      <c r="S464" s="677">
        <f t="shared" si="238"/>
        <v>2.2155741045042801</v>
      </c>
      <c r="T464" s="680">
        <f t="shared" si="239"/>
        <v>1.1025183835667762</v>
      </c>
      <c r="U464" s="681">
        <f t="shared" si="251"/>
        <v>0.82949276549208451</v>
      </c>
      <c r="V464" s="682">
        <f t="shared" si="252"/>
        <v>-0.74860228319901367</v>
      </c>
      <c r="W464" s="683">
        <f t="shared" si="240"/>
        <v>-28.416135418129961</v>
      </c>
      <c r="X464" s="684">
        <f t="shared" si="241"/>
        <v>-207.65041649052336</v>
      </c>
      <c r="Y464" s="687">
        <f t="shared" si="242"/>
        <v>-27.650416490523355</v>
      </c>
      <c r="AA464" s="170">
        <f t="shared" si="243"/>
        <v>52182.25</v>
      </c>
      <c r="AB464" s="170">
        <f t="shared" si="244"/>
        <v>2722987215.0625</v>
      </c>
      <c r="AD464" s="686">
        <f t="shared" si="245"/>
        <v>20.738070444663109</v>
      </c>
      <c r="AE464" s="687">
        <f t="shared" si="246"/>
        <v>-63.604287969766666</v>
      </c>
      <c r="AG464" s="686">
        <f t="shared" si="247"/>
        <v>7.5966318251888971</v>
      </c>
      <c r="AH464" s="687">
        <f t="shared" si="248"/>
        <v>-58.262625700413388</v>
      </c>
      <c r="AJ464" s="170">
        <f t="shared" si="249"/>
        <v>0</v>
      </c>
      <c r="AK464" s="170">
        <f t="shared" si="229"/>
        <v>0</v>
      </c>
      <c r="AM464" s="170" t="str">
        <f t="shared" si="253"/>
        <v>0.61141650840225+0.921413517405568i</v>
      </c>
      <c r="AN464" s="170" t="str">
        <f t="shared" si="254"/>
        <v>1.17170255442366i</v>
      </c>
      <c r="AO464" s="170" t="str">
        <f t="shared" si="255"/>
        <v>0.786388588065164-0.521818874674209i</v>
      </c>
      <c r="AP464" s="170" t="str">
        <f t="shared" si="256"/>
        <v>0.0647639152662917-0.153568919567595i</v>
      </c>
      <c r="AQ464" s="170" t="str">
        <f t="shared" si="257"/>
        <v>0.935236084733708+0.153568919567595i</v>
      </c>
      <c r="AR464" s="170" t="str">
        <f t="shared" si="258"/>
        <v>0.867299420358911-0.14241349013393i</v>
      </c>
    </row>
    <row r="465" spans="7:44">
      <c r="G465" s="688">
        <v>52481</v>
      </c>
      <c r="H465" s="676">
        <f t="shared" si="250"/>
        <v>52.481000000000002</v>
      </c>
      <c r="I465" s="677">
        <f t="shared" si="230"/>
        <v>274.05588286506332</v>
      </c>
      <c r="J465" s="678">
        <f t="shared" si="231"/>
        <v>1.5671474278600284</v>
      </c>
      <c r="K465" s="678">
        <f t="shared" si="232"/>
        <v>1.0026279012301493</v>
      </c>
      <c r="L465" s="679">
        <f t="shared" si="233"/>
        <v>7.241766660827767E-2</v>
      </c>
      <c r="M465" s="678">
        <f t="shared" si="234"/>
        <v>1.0381185449310113</v>
      </c>
      <c r="N465" s="679">
        <f t="shared" si="235"/>
        <v>-0.27183014590110938</v>
      </c>
      <c r="O465" s="677">
        <f t="shared" si="236"/>
        <v>989243.54318840557</v>
      </c>
      <c r="P465" s="680">
        <f t="shared" si="237"/>
        <v>1.5707953159214805</v>
      </c>
      <c r="Q465" s="689">
        <f t="shared" si="227"/>
        <v>132.56240664924803</v>
      </c>
      <c r="R465" s="690">
        <f t="shared" si="228"/>
        <v>1.5632526384304575</v>
      </c>
      <c r="S465" s="677">
        <f t="shared" si="238"/>
        <v>2.225680372997016</v>
      </c>
      <c r="T465" s="680">
        <f t="shared" si="239"/>
        <v>1.1048137731097447</v>
      </c>
      <c r="U465" s="681">
        <f t="shared" si="251"/>
        <v>0.82798474807144384</v>
      </c>
      <c r="V465" s="682">
        <f t="shared" si="252"/>
        <v>-0.75222840821372594</v>
      </c>
      <c r="W465" s="683">
        <f t="shared" si="240"/>
        <v>-28.51724535144491</v>
      </c>
      <c r="X465" s="684">
        <f t="shared" si="241"/>
        <v>-208.04927012867932</v>
      </c>
      <c r="Y465" s="687">
        <f t="shared" si="242"/>
        <v>-28.049270128679325</v>
      </c>
      <c r="AA465" s="170">
        <f t="shared" si="243"/>
        <v>52481</v>
      </c>
      <c r="AB465" s="170">
        <f t="shared" si="244"/>
        <v>2754255361</v>
      </c>
      <c r="AD465" s="686">
        <f t="shared" si="245"/>
        <v>20.69853729622519</v>
      </c>
      <c r="AE465" s="687">
        <f t="shared" si="246"/>
        <v>-63.733330006402376</v>
      </c>
      <c r="AG465" s="686">
        <f t="shared" si="247"/>
        <v>7.5666656688604128</v>
      </c>
      <c r="AH465" s="687">
        <f t="shared" si="248"/>
        <v>-58.116913982799176</v>
      </c>
      <c r="AJ465" s="170">
        <f t="shared" si="249"/>
        <v>0</v>
      </c>
      <c r="AK465" s="170">
        <f t="shared" si="229"/>
        <v>0</v>
      </c>
      <c r="AM465" s="170" t="str">
        <f t="shared" si="253"/>
        <v>0.61760618115313+0.923999441183655i</v>
      </c>
      <c r="AN465" s="170" t="str">
        <f t="shared" si="254"/>
        <v>1.17841070016544i</v>
      </c>
      <c r="AO465" s="170" t="str">
        <f t="shared" si="255"/>
        <v>0.784106458855077-0.524100961631138i</v>
      </c>
      <c r="AP465" s="170" t="str">
        <f t="shared" si="256"/>
        <v>0.063732303141145-0.153999906863942i</v>
      </c>
      <c r="AQ465" s="170" t="str">
        <f t="shared" si="257"/>
        <v>0.936267696858855+0.153999906863942i</v>
      </c>
      <c r="AR465" s="170" t="str">
        <f t="shared" si="258"/>
        <v>0.866266335066425-0.142485888776433i</v>
      </c>
    </row>
    <row r="466" spans="7:44">
      <c r="G466" s="688">
        <v>52786.5</v>
      </c>
      <c r="H466" s="676">
        <f t="shared" si="250"/>
        <v>52.786499999999997</v>
      </c>
      <c r="I466" s="677">
        <f t="shared" si="230"/>
        <v>275.65118327292203</v>
      </c>
      <c r="J466" s="678">
        <f t="shared" si="231"/>
        <v>1.5671685455476114</v>
      </c>
      <c r="K466" s="678">
        <f t="shared" si="232"/>
        <v>1.0026585444362823</v>
      </c>
      <c r="L466" s="679">
        <f t="shared" si="233"/>
        <v>7.2837735896473202E-2</v>
      </c>
      <c r="M466" s="678">
        <f t="shared" si="234"/>
        <v>1.0385553611639098</v>
      </c>
      <c r="N466" s="679">
        <f t="shared" si="235"/>
        <v>-0.27333507331348783</v>
      </c>
      <c r="O466" s="677">
        <f t="shared" si="236"/>
        <v>995002.08251585264</v>
      </c>
      <c r="P466" s="680">
        <f t="shared" si="237"/>
        <v>1.5707953217718744</v>
      </c>
      <c r="Q466" s="689">
        <f t="shared" si="227"/>
        <v>133.33402909022388</v>
      </c>
      <c r="R466" s="690">
        <f t="shared" si="228"/>
        <v>1.5632962956178384</v>
      </c>
      <c r="S466" s="677">
        <f t="shared" si="238"/>
        <v>2.2360270001774016</v>
      </c>
      <c r="T466" s="680">
        <f t="shared" si="239"/>
        <v>1.1071395547973435</v>
      </c>
      <c r="U466" s="681">
        <f t="shared" si="251"/>
        <v>0.82644158147569302</v>
      </c>
      <c r="V466" s="682">
        <f t="shared" si="252"/>
        <v>-0.75592786677759338</v>
      </c>
      <c r="W466" s="683">
        <f t="shared" si="240"/>
        <v>-28.620231814082842</v>
      </c>
      <c r="X466" s="684">
        <f t="shared" si="241"/>
        <v>-208.45535767498299</v>
      </c>
      <c r="Y466" s="687">
        <f t="shared" si="242"/>
        <v>-28.455357674982992</v>
      </c>
      <c r="AA466" s="170">
        <f t="shared" si="243"/>
        <v>52786.5</v>
      </c>
      <c r="AB466" s="170">
        <f t="shared" si="244"/>
        <v>2786414582.25</v>
      </c>
      <c r="AD466" s="686">
        <f t="shared" si="245"/>
        <v>20.658249496698915</v>
      </c>
      <c r="AE466" s="687">
        <f t="shared" si="246"/>
        <v>-63.864086443940543</v>
      </c>
      <c r="AG466" s="686">
        <f t="shared" si="247"/>
        <v>7.5363740785610194</v>
      </c>
      <c r="AH466" s="687">
        <f t="shared" si="248"/>
        <v>-57.968318366693993</v>
      </c>
      <c r="AJ466" s="170">
        <f t="shared" si="249"/>
        <v>0</v>
      </c>
      <c r="AK466" s="170">
        <f t="shared" si="229"/>
        <v>0</v>
      </c>
      <c r="AM466" s="170" t="str">
        <f t="shared" si="253"/>
        <v>0.623953497005965+0.926600791919561i</v>
      </c>
      <c r="AN466" s="170" t="str">
        <f t="shared" si="254"/>
        <v>1.18527041070641i</v>
      </c>
      <c r="AO466" s="170" t="str">
        <f t="shared" si="255"/>
        <v>0.781763202345797-0.5264229085362i</v>
      </c>
      <c r="AP466" s="170" t="str">
        <f t="shared" si="256"/>
        <v>0.0626744171656725-0.154433465319927i</v>
      </c>
      <c r="AQ466" s="170" t="str">
        <f t="shared" si="257"/>
        <v>0.937325582834328+0.154433465319927i</v>
      </c>
      <c r="AR466" s="170" t="str">
        <f t="shared" si="258"/>
        <v>0.865211844291142-0.142552028661894i</v>
      </c>
    </row>
    <row r="467" spans="7:44">
      <c r="G467" s="688">
        <v>53092</v>
      </c>
      <c r="H467" s="676">
        <f t="shared" si="250"/>
        <v>53.091999999999999</v>
      </c>
      <c r="I467" s="677">
        <f t="shared" si="230"/>
        <v>277.24648380229456</v>
      </c>
      <c r="J467" s="678">
        <f t="shared" si="231"/>
        <v>1.5671894202091587</v>
      </c>
      <c r="K467" s="678">
        <f t="shared" si="232"/>
        <v>1.0026893645589119</v>
      </c>
      <c r="L467" s="679">
        <f t="shared" si="233"/>
        <v>7.3257779435060524E-2</v>
      </c>
      <c r="M467" s="678">
        <f t="shared" si="234"/>
        <v>1.0389945275428796</v>
      </c>
      <c r="N467" s="679">
        <f t="shared" si="235"/>
        <v>-0.27483873191144575</v>
      </c>
      <c r="O467" s="677">
        <f t="shared" si="236"/>
        <v>1000760.6218432997</v>
      </c>
      <c r="P467" s="680">
        <f t="shared" si="237"/>
        <v>1.5707953275549404</v>
      </c>
      <c r="Q467" s="689">
        <f t="shared" si="227"/>
        <v>134.10565178240333</v>
      </c>
      <c r="R467" s="690">
        <f t="shared" si="228"/>
        <v>1.5633394504122098</v>
      </c>
      <c r="S467" s="677">
        <f t="shared" si="238"/>
        <v>2.2463856111532192</v>
      </c>
      <c r="T467" s="680">
        <f t="shared" si="239"/>
        <v>1.1094438994043565</v>
      </c>
      <c r="U467" s="681">
        <f t="shared" si="251"/>
        <v>0.82489739344008373</v>
      </c>
      <c r="V467" s="682">
        <f t="shared" si="252"/>
        <v>-0.75961864991997474</v>
      </c>
      <c r="W467" s="683">
        <f t="shared" si="240"/>
        <v>-28.722809065680181</v>
      </c>
      <c r="X467" s="684">
        <f t="shared" si="241"/>
        <v>-208.85966353641325</v>
      </c>
      <c r="Y467" s="687">
        <f t="shared" si="242"/>
        <v>-28.859663536413251</v>
      </c>
      <c r="AA467" s="170">
        <f t="shared" si="243"/>
        <v>53092</v>
      </c>
      <c r="AB467" s="170">
        <f t="shared" si="244"/>
        <v>2818760464</v>
      </c>
      <c r="AD467" s="686">
        <f t="shared" si="245"/>
        <v>20.618101387904883</v>
      </c>
      <c r="AE467" s="687">
        <f t="shared" si="246"/>
        <v>-63.993643408376215</v>
      </c>
      <c r="AG467" s="686">
        <f t="shared" si="247"/>
        <v>7.5064340878239211</v>
      </c>
      <c r="AH467" s="687">
        <f t="shared" si="248"/>
        <v>-57.820134668892372</v>
      </c>
      <c r="AJ467" s="170">
        <f t="shared" si="249"/>
        <v>0</v>
      </c>
      <c r="AK467" s="170">
        <f t="shared" si="229"/>
        <v>0</v>
      </c>
      <c r="AM467" s="170" t="str">
        <f t="shared" si="253"/>
        <v>0.630318507894023+0.929158541043615i</v>
      </c>
      <c r="AN467" s="170" t="str">
        <f t="shared" si="254"/>
        <v>1.19213012124737i</v>
      </c>
      <c r="AO467" s="170" t="str">
        <f t="shared" si="255"/>
        <v>0.779410338253514-0.528732976929144i</v>
      </c>
      <c r="AP467" s="170" t="str">
        <f t="shared" si="256"/>
        <v>0.0616135820176628-0.154859756840602i</v>
      </c>
      <c r="AQ467" s="170" t="str">
        <f t="shared" si="257"/>
        <v>0.938386417982337+0.154859756840602i</v>
      </c>
      <c r="AR467" s="170" t="str">
        <f t="shared" si="258"/>
        <v>0.864159367429106-0.142610237048549i</v>
      </c>
    </row>
    <row r="468" spans="7:44">
      <c r="G468" s="688">
        <v>53397.5</v>
      </c>
      <c r="H468" s="676">
        <f t="shared" si="250"/>
        <v>53.397500000000001</v>
      </c>
      <c r="I468" s="677">
        <f t="shared" si="230"/>
        <v>278.84178445109524</v>
      </c>
      <c r="J468" s="678">
        <f t="shared" si="231"/>
        <v>1.5672100560158306</v>
      </c>
      <c r="K468" s="678">
        <f t="shared" si="232"/>
        <v>1.0027203615817244</v>
      </c>
      <c r="L468" s="679">
        <f t="shared" si="233"/>
        <v>7.3677797078198798E-2</v>
      </c>
      <c r="M468" s="678">
        <f t="shared" si="234"/>
        <v>1.0394360410890797</v>
      </c>
      <c r="N468" s="679">
        <f t="shared" si="235"/>
        <v>-0.27634111650803578</v>
      </c>
      <c r="O468" s="677">
        <f t="shared" si="236"/>
        <v>1006519.1611707468</v>
      </c>
      <c r="P468" s="680">
        <f t="shared" si="237"/>
        <v>1.5707953332718336</v>
      </c>
      <c r="Q468" s="689">
        <f t="shared" si="227"/>
        <v>134.87727472147495</v>
      </c>
      <c r="R468" s="690">
        <f t="shared" si="228"/>
        <v>1.5633821114358697</v>
      </c>
      <c r="S468" s="677">
        <f t="shared" si="238"/>
        <v>2.2567560409060063</v>
      </c>
      <c r="T468" s="680">
        <f t="shared" si="239"/>
        <v>1.1117270778171808</v>
      </c>
      <c r="U468" s="681">
        <f t="shared" si="251"/>
        <v>0.82335225110247534</v>
      </c>
      <c r="V468" s="682">
        <f t="shared" si="252"/>
        <v>-0.76330077445483469</v>
      </c>
      <c r="W468" s="683">
        <f t="shared" si="240"/>
        <v>-28.824980396237976</v>
      </c>
      <c r="X468" s="684">
        <f t="shared" si="241"/>
        <v>-209.26220365318733</v>
      </c>
      <c r="Y468" s="687">
        <f t="shared" si="242"/>
        <v>-29.262203653187328</v>
      </c>
      <c r="AA468" s="170">
        <f t="shared" si="243"/>
        <v>53397.5</v>
      </c>
      <c r="AB468" s="170">
        <f t="shared" si="244"/>
        <v>2851293006.25</v>
      </c>
      <c r="AD468" s="686">
        <f t="shared" si="245"/>
        <v>20.578092532643019</v>
      </c>
      <c r="AE468" s="687">
        <f t="shared" si="246"/>
        <v>-64.122015926401545</v>
      </c>
      <c r="AG468" s="686">
        <f t="shared" si="247"/>
        <v>7.4768417751740559</v>
      </c>
      <c r="AH468" s="687">
        <f t="shared" si="248"/>
        <v>-57.67236187618083</v>
      </c>
      <c r="AJ468" s="170">
        <f t="shared" si="249"/>
        <v>0</v>
      </c>
      <c r="AK468" s="170">
        <f t="shared" si="229"/>
        <v>0</v>
      </c>
      <c r="AM468" s="170" t="str">
        <f t="shared" si="253"/>
        <v>0.636700914308909+0.931672568199803i</v>
      </c>
      <c r="AN468" s="170" t="str">
        <f t="shared" si="254"/>
        <v>1.19898983178834i</v>
      </c>
      <c r="AO468" s="170" t="str">
        <f t="shared" si="255"/>
        <v>0.777047931098946-0.531031120888861i</v>
      </c>
      <c r="AP468" s="170" t="str">
        <f t="shared" si="256"/>
        <v>0.0605498476151818-0.155278761366634i</v>
      </c>
      <c r="AQ468" s="170" t="str">
        <f t="shared" si="257"/>
        <v>0.939450152384818+0.155278761366634i</v>
      </c>
      <c r="AR468" s="170" t="str">
        <f t="shared" si="258"/>
        <v>0.863108960059846-0.14266056576i</v>
      </c>
    </row>
    <row r="469" spans="7:44">
      <c r="G469" s="688">
        <v>53703</v>
      </c>
      <c r="H469" s="676">
        <f t="shared" si="250"/>
        <v>53.703000000000003</v>
      </c>
      <c r="I469" s="677">
        <f t="shared" si="230"/>
        <v>280.43708521728604</v>
      </c>
      <c r="J469" s="678">
        <f t="shared" si="231"/>
        <v>1.5672304570438751</v>
      </c>
      <c r="K469" s="678">
        <f t="shared" si="232"/>
        <v>1.0027515354883152</v>
      </c>
      <c r="L469" s="679">
        <f t="shared" si="233"/>
        <v>7.4097788680101681E-2</v>
      </c>
      <c r="M469" s="678">
        <f t="shared" si="234"/>
        <v>1.0398798988128195</v>
      </c>
      <c r="N469" s="679">
        <f t="shared" si="235"/>
        <v>-0.27784222194810076</v>
      </c>
      <c r="O469" s="677">
        <f t="shared" si="236"/>
        <v>1012277.7004981941</v>
      </c>
      <c r="P469" s="680">
        <f t="shared" si="237"/>
        <v>1.5707953389236835</v>
      </c>
      <c r="Q469" s="689">
        <f t="shared" si="227"/>
        <v>135.64889790322556</v>
      </c>
      <c r="R469" s="690">
        <f t="shared" si="228"/>
        <v>1.5634242871149353</v>
      </c>
      <c r="S469" s="677">
        <f t="shared" si="238"/>
        <v>2.2671381272500661</v>
      </c>
      <c r="T469" s="680">
        <f t="shared" si="239"/>
        <v>1.1139893568514452</v>
      </c>
      <c r="U469" s="681">
        <f t="shared" si="251"/>
        <v>0.82180622083128674</v>
      </c>
      <c r="V469" s="682">
        <f t="shared" si="252"/>
        <v>-0.76697425764999427</v>
      </c>
      <c r="W469" s="683">
        <f t="shared" si="240"/>
        <v>-28.926749052635014</v>
      </c>
      <c r="X469" s="684">
        <f t="shared" si="241"/>
        <v>-209.66299376590757</v>
      </c>
      <c r="Y469" s="687">
        <f t="shared" si="242"/>
        <v>-29.662993765907572</v>
      </c>
      <c r="AA469" s="170">
        <f t="shared" si="243"/>
        <v>53703</v>
      </c>
      <c r="AB469" s="170">
        <f t="shared" si="244"/>
        <v>2884012209</v>
      </c>
      <c r="AD469" s="686">
        <f t="shared" si="245"/>
        <v>20.538222483780796</v>
      </c>
      <c r="AE469" s="687">
        <f t="shared" si="246"/>
        <v>-64.249218802709763</v>
      </c>
      <c r="AG469" s="686">
        <f t="shared" si="247"/>
        <v>7.4475932800625442</v>
      </c>
      <c r="AH469" s="687">
        <f t="shared" si="248"/>
        <v>-57.52499894572211</v>
      </c>
      <c r="AJ469" s="170">
        <f t="shared" si="249"/>
        <v>0</v>
      </c>
      <c r="AK469" s="170">
        <f t="shared" si="229"/>
        <v>0</v>
      </c>
      <c r="AM469" s="170" t="str">
        <f t="shared" si="253"/>
        <v>0.643100415923645+0.934142755089459i</v>
      </c>
      <c r="AN469" s="170" t="str">
        <f t="shared" si="254"/>
        <v>1.20584954232931i</v>
      </c>
      <c r="AO469" s="170" t="str">
        <f t="shared" si="255"/>
        <v>0.774676045640817-0.533317294860339i</v>
      </c>
      <c r="AP469" s="170" t="str">
        <f t="shared" si="256"/>
        <v>0.0594832640127258-0.155690459181577i</v>
      </c>
      <c r="AQ469" s="170" t="str">
        <f t="shared" si="257"/>
        <v>0.940516735987274+0.155690459181577i</v>
      </c>
      <c r="AR469" s="170" t="str">
        <f t="shared" si="258"/>
        <v>0.862060676835712-0.142703066817887i</v>
      </c>
    </row>
    <row r="470" spans="7:44">
      <c r="G470" s="688">
        <v>54015.75</v>
      </c>
      <c r="H470" s="676">
        <f t="shared" si="250"/>
        <v>54.015749999999997</v>
      </c>
      <c r="I470" s="677">
        <f t="shared" si="230"/>
        <v>282.07024512281873</v>
      </c>
      <c r="J470" s="678">
        <f t="shared" si="231"/>
        <v>1.5672511031775098</v>
      </c>
      <c r="K470" s="678">
        <f t="shared" si="232"/>
        <v>1.0027836324141626</v>
      </c>
      <c r="L470" s="679">
        <f t="shared" si="233"/>
        <v>7.4527720221757882E-2</v>
      </c>
      <c r="M470" s="678">
        <f t="shared" si="234"/>
        <v>1.0403367151364702</v>
      </c>
      <c r="N470" s="679">
        <f t="shared" si="235"/>
        <v>-0.27937762060307675</v>
      </c>
      <c r="O470" s="677">
        <f t="shared" si="236"/>
        <v>1018172.8991059161</v>
      </c>
      <c r="P470" s="680">
        <f t="shared" si="237"/>
        <v>1.570795344643436</v>
      </c>
      <c r="Q470" s="689">
        <f t="shared" si="227"/>
        <v>136.43883317516546</v>
      </c>
      <c r="R470" s="690">
        <f t="shared" si="228"/>
        <v>1.5634669695288566</v>
      </c>
      <c r="S470" s="677">
        <f t="shared" si="238"/>
        <v>2.2777785053852675</v>
      </c>
      <c r="T470" s="680">
        <f t="shared" si="239"/>
        <v>1.1162839484992673</v>
      </c>
      <c r="U470" s="681">
        <f t="shared" si="251"/>
        <v>0.82022264950234958</v>
      </c>
      <c r="V470" s="682">
        <f t="shared" si="252"/>
        <v>-0.77072598554867189</v>
      </c>
      <c r="W470" s="683">
        <f t="shared" si="240"/>
        <v>-29.030519064660378</v>
      </c>
      <c r="X470" s="684">
        <f t="shared" si="241"/>
        <v>-210.07149869982112</v>
      </c>
      <c r="Y470" s="687">
        <f t="shared" si="242"/>
        <v>-30.07149869982112</v>
      </c>
      <c r="AA470" s="170">
        <f t="shared" si="243"/>
        <v>54015.75</v>
      </c>
      <c r="AB470" s="170">
        <f t="shared" si="244"/>
        <v>2917701248.0625</v>
      </c>
      <c r="AD470" s="686">
        <f t="shared" si="245"/>
        <v>20.497549565248832</v>
      </c>
      <c r="AE470" s="687">
        <f t="shared" si="246"/>
        <v>-64.378244025523927</v>
      </c>
      <c r="AG470" s="686">
        <f t="shared" si="247"/>
        <v>7.4180028570301184</v>
      </c>
      <c r="AH470" s="687">
        <f t="shared" si="248"/>
        <v>-57.374562307378774</v>
      </c>
      <c r="AJ470" s="170">
        <f t="shared" si="249"/>
        <v>0</v>
      </c>
      <c r="AK470" s="170">
        <f t="shared" si="229"/>
        <v>0</v>
      </c>
      <c r="AM470" s="170" t="str">
        <f t="shared" si="253"/>
        <v>0.649669182021242+0.936626028879368i</v>
      </c>
      <c r="AN470" s="170" t="str">
        <f t="shared" si="254"/>
        <v>1.21287204469163i</v>
      </c>
      <c r="AO470" s="170" t="str">
        <f t="shared" si="255"/>
        <v>0.772238121060415-0.535645276733556i</v>
      </c>
      <c r="AP470" s="170" t="str">
        <f t="shared" si="256"/>
        <v>0.0583884696631263-0.156104338146561i</v>
      </c>
      <c r="AQ470" s="170" t="str">
        <f t="shared" si="257"/>
        <v>0.941611530336874+0.156104338146561i</v>
      </c>
      <c r="AR470" s="170" t="str">
        <f t="shared" si="258"/>
        <v>0.860989772637132-0.14273852249918i</v>
      </c>
    </row>
    <row r="471" spans="7:44">
      <c r="G471" s="688">
        <v>54328.5</v>
      </c>
      <c r="H471" s="676">
        <f t="shared" si="250"/>
        <v>54.328499999999998</v>
      </c>
      <c r="I471" s="677">
        <f t="shared" si="230"/>
        <v>283.70340514720323</v>
      </c>
      <c r="J471" s="678">
        <f t="shared" si="231"/>
        <v>1.567271511609106</v>
      </c>
      <c r="K471" s="678">
        <f t="shared" si="232"/>
        <v>1.0028159146837849</v>
      </c>
      <c r="L471" s="679">
        <f t="shared" si="233"/>
        <v>7.4957624162487468E-2</v>
      </c>
      <c r="M471" s="678">
        <f t="shared" si="234"/>
        <v>1.0407959818446375</v>
      </c>
      <c r="N471" s="679">
        <f t="shared" si="235"/>
        <v>-0.2809116678368489</v>
      </c>
      <c r="O471" s="677">
        <f t="shared" si="236"/>
        <v>1024068.0977136383</v>
      </c>
      <c r="P471" s="680">
        <f t="shared" si="237"/>
        <v>1.5707953502973353</v>
      </c>
      <c r="Q471" s="689">
        <f t="shared" ref="Q471:Q534" si="259">SQRT(1+(G471/Zero2)^2)</f>
        <v>137.22876869280645</v>
      </c>
      <c r="R471" s="690">
        <f t="shared" ref="R471:R534" si="260">ATAN(G471/Zero2)</f>
        <v>1.5635091605538389</v>
      </c>
      <c r="S471" s="677">
        <f t="shared" si="238"/>
        <v>2.288430764806388</v>
      </c>
      <c r="T471" s="680">
        <f t="shared" si="239"/>
        <v>1.1185571901488274</v>
      </c>
      <c r="U471" s="681">
        <f t="shared" si="251"/>
        <v>0.81863828589327658</v>
      </c>
      <c r="V471" s="682">
        <f t="shared" si="252"/>
        <v>-0.77446869514376659</v>
      </c>
      <c r="W471" s="683">
        <f t="shared" si="240"/>
        <v>-29.1338738149527</v>
      </c>
      <c r="X471" s="684">
        <f t="shared" si="241"/>
        <v>-210.47820234030669</v>
      </c>
      <c r="Y471" s="687">
        <f t="shared" si="242"/>
        <v>-30.478202340306694</v>
      </c>
      <c r="AA471" s="170">
        <f t="shared" si="243"/>
        <v>54328.5</v>
      </c>
      <c r="AB471" s="170">
        <f t="shared" si="244"/>
        <v>2951585912.25</v>
      </c>
      <c r="AD471" s="686">
        <f t="shared" si="245"/>
        <v>20.457021141388193</v>
      </c>
      <c r="AE471" s="687">
        <f t="shared" si="246"/>
        <v>-64.506074134282912</v>
      </c>
      <c r="AG471" s="686">
        <f t="shared" si="247"/>
        <v>7.3887647660489444</v>
      </c>
      <c r="AH471" s="687">
        <f t="shared" si="248"/>
        <v>-57.224552911131283</v>
      </c>
      <c r="AJ471" s="170">
        <f t="shared" si="249"/>
        <v>0</v>
      </c>
      <c r="AK471" s="170">
        <f t="shared" ref="AK471:AK534" si="261">IF(AJ471&gt;0,Y471,0)</f>
        <v>0</v>
      </c>
      <c r="AM471" s="170" t="str">
        <f t="shared" si="253"/>
        <v>0.656255224801096+0.93906311264124i</v>
      </c>
      <c r="AN471" s="170" t="str">
        <f t="shared" si="254"/>
        <v>1.21989454705394i</v>
      </c>
      <c r="AO471" s="170" t="str">
        <f t="shared" si="255"/>
        <v>0.769790401071215-0.537960618305869i</v>
      </c>
      <c r="AP471" s="170" t="str">
        <f t="shared" si="256"/>
        <v>0.057290795866484-0.15651051877354i</v>
      </c>
      <c r="AQ471" s="170" t="str">
        <f t="shared" si="257"/>
        <v>0.942709204133516+0.15651051877354i</v>
      </c>
      <c r="AR471" s="170" t="str">
        <f t="shared" si="258"/>
        <v>0.859921207560416-0.142765885502682i</v>
      </c>
    </row>
    <row r="472" spans="7:44">
      <c r="G472" s="688">
        <v>54641.25</v>
      </c>
      <c r="H472" s="676">
        <f t="shared" si="250"/>
        <v>54.641249999999999</v>
      </c>
      <c r="I472" s="677">
        <f t="shared" si="230"/>
        <v>285.33656528839867</v>
      </c>
      <c r="J472" s="678">
        <f t="shared" si="231"/>
        <v>1.5672916864202</v>
      </c>
      <c r="K472" s="678">
        <f t="shared" si="232"/>
        <v>1.0028483822792833</v>
      </c>
      <c r="L472" s="679">
        <f t="shared" si="233"/>
        <v>7.5387500346056194E-2</v>
      </c>
      <c r="M472" s="678">
        <f t="shared" si="234"/>
        <v>1.0412576956949542</v>
      </c>
      <c r="N472" s="679">
        <f t="shared" si="235"/>
        <v>-0.28244435822227243</v>
      </c>
      <c r="O472" s="677">
        <f t="shared" si="236"/>
        <v>1029963.2963213605</v>
      </c>
      <c r="P472" s="680">
        <f t="shared" si="237"/>
        <v>1.5707953558865122</v>
      </c>
      <c r="Q472" s="689">
        <f t="shared" si="259"/>
        <v>138.01870445192975</v>
      </c>
      <c r="R472" s="690">
        <f t="shared" si="260"/>
        <v>1.5635508686269721</v>
      </c>
      <c r="S472" s="677">
        <f t="shared" si="238"/>
        <v>2.2990947403668591</v>
      </c>
      <c r="T472" s="680">
        <f t="shared" si="239"/>
        <v>1.1208093552265377</v>
      </c>
      <c r="U472" s="681">
        <f t="shared" si="251"/>
        <v>0.81705319871388882</v>
      </c>
      <c r="V472" s="682">
        <f t="shared" si="252"/>
        <v>-0.77820240639025717</v>
      </c>
      <c r="W472" s="683">
        <f t="shared" si="240"/>
        <v>-29.236816651880293</v>
      </c>
      <c r="X472" s="684">
        <f t="shared" si="241"/>
        <v>-210.88312094538901</v>
      </c>
      <c r="Y472" s="687">
        <f t="shared" si="242"/>
        <v>-30.88312094538901</v>
      </c>
      <c r="AA472" s="170">
        <f t="shared" si="243"/>
        <v>54641.25</v>
      </c>
      <c r="AB472" s="170">
        <f t="shared" si="244"/>
        <v>2985666201.5625</v>
      </c>
      <c r="AD472" s="686">
        <f t="shared" si="245"/>
        <v>20.416636703322474</v>
      </c>
      <c r="AE472" s="687">
        <f t="shared" si="246"/>
        <v>-64.632724311821278</v>
      </c>
      <c r="AG472" s="686">
        <f t="shared" si="247"/>
        <v>7.3598750553135677</v>
      </c>
      <c r="AH472" s="687">
        <f t="shared" si="248"/>
        <v>-57.074969545497446</v>
      </c>
      <c r="AJ472" s="170">
        <f t="shared" si="249"/>
        <v>0</v>
      </c>
      <c r="AK472" s="170">
        <f t="shared" si="261"/>
        <v>0</v>
      </c>
      <c r="AM472" s="170" t="str">
        <f t="shared" si="253"/>
        <v>0.662858219470307+0.941453886189477i</v>
      </c>
      <c r="AN472" s="170" t="str">
        <f t="shared" si="254"/>
        <v>1.22691704941626i</v>
      </c>
      <c r="AO472" s="170" t="str">
        <f t="shared" si="255"/>
        <v>0.767332955913686-0.540263271902269i</v>
      </c>
      <c r="AP472" s="170" t="str">
        <f t="shared" si="256"/>
        <v>0.0561902967549488-0.156908981031579i</v>
      </c>
      <c r="AQ472" s="170" t="str">
        <f t="shared" si="257"/>
        <v>0.943809703245051+0.156908981031579i</v>
      </c>
      <c r="AR472" s="170" t="str">
        <f t="shared" si="258"/>
        <v>0.858855037261135-0.142785212195995i</v>
      </c>
    </row>
    <row r="473" spans="7:44">
      <c r="G473" s="688">
        <v>54954</v>
      </c>
      <c r="H473" s="676">
        <f t="shared" si="250"/>
        <v>54.954000000000001</v>
      </c>
      <c r="I473" s="677">
        <f t="shared" si="230"/>
        <v>286.96972554441084</v>
      </c>
      <c r="J473" s="678">
        <f t="shared" si="231"/>
        <v>1.5673116315994162</v>
      </c>
      <c r="K473" s="678">
        <f t="shared" si="232"/>
        <v>1.0028810351826583</v>
      </c>
      <c r="L473" s="679">
        <f t="shared" si="233"/>
        <v>7.5817348616290942E-2</v>
      </c>
      <c r="M473" s="678">
        <f t="shared" si="234"/>
        <v>1.0417218534335395</v>
      </c>
      <c r="N473" s="679">
        <f t="shared" si="235"/>
        <v>-0.28397568636729797</v>
      </c>
      <c r="O473" s="677">
        <f t="shared" si="236"/>
        <v>1035858.4949290827</v>
      </c>
      <c r="P473" s="680">
        <f t="shared" si="237"/>
        <v>1.5707953614120718</v>
      </c>
      <c r="Q473" s="689">
        <f t="shared" si="259"/>
        <v>138.80864044841269</v>
      </c>
      <c r="R473" s="690">
        <f t="shared" si="260"/>
        <v>1.5635921019932963</v>
      </c>
      <c r="S473" s="677">
        <f t="shared" si="238"/>
        <v>2.3097702697899982</v>
      </c>
      <c r="T473" s="680">
        <f t="shared" si="239"/>
        <v>1.1230407129674045</v>
      </c>
      <c r="U473" s="681">
        <f t="shared" si="251"/>
        <v>0.81546745583579294</v>
      </c>
      <c r="V473" s="682">
        <f t="shared" si="252"/>
        <v>-0.78192713970812877</v>
      </c>
      <c r="W473" s="683">
        <f t="shared" si="240"/>
        <v>-29.339350879918634</v>
      </c>
      <c r="X473" s="684">
        <f t="shared" si="241"/>
        <v>-211.28627056727157</v>
      </c>
      <c r="Y473" s="687">
        <f t="shared" si="242"/>
        <v>-31.286270567271572</v>
      </c>
      <c r="AA473" s="170">
        <f t="shared" si="243"/>
        <v>54954</v>
      </c>
      <c r="AB473" s="170">
        <f t="shared" si="244"/>
        <v>3019942116</v>
      </c>
      <c r="AD473" s="686">
        <f t="shared" si="245"/>
        <v>20.376395733364774</v>
      </c>
      <c r="AE473" s="687">
        <f t="shared" si="246"/>
        <v>-64.758209511825896</v>
      </c>
      <c r="AG473" s="686">
        <f t="shared" si="247"/>
        <v>7.3313298344830748</v>
      </c>
      <c r="AH473" s="687">
        <f t="shared" si="248"/>
        <v>-56.925810969036036</v>
      </c>
      <c r="AJ473" s="170">
        <f t="shared" si="249"/>
        <v>0</v>
      </c>
      <c r="AK473" s="170">
        <f t="shared" si="261"/>
        <v>0</v>
      </c>
      <c r="AM473" s="170" t="str">
        <f t="shared" si="253"/>
        <v>0.669477840399962+0.943798231622272i</v>
      </c>
      <c r="AN473" s="170" t="str">
        <f t="shared" si="254"/>
        <v>1.23393955177858i</v>
      </c>
      <c r="AO473" s="170" t="str">
        <f t="shared" si="255"/>
        <v>0.764865856080143-0.542553190255542i</v>
      </c>
      <c r="AP473" s="170" t="str">
        <f t="shared" si="256"/>
        <v>0.0550870266000063-0.157299705270379i</v>
      </c>
      <c r="AQ473" s="170" t="str">
        <f t="shared" si="257"/>
        <v>0.944912973399994+0.157299705270379i</v>
      </c>
      <c r="AR473" s="170" t="str">
        <f t="shared" si="258"/>
        <v>0.857791316403368-0.142796559103462i</v>
      </c>
    </row>
    <row r="474" spans="7:44">
      <c r="G474" s="688">
        <v>55274</v>
      </c>
      <c r="H474" s="676">
        <f t="shared" si="250"/>
        <v>55.274000000000001</v>
      </c>
      <c r="I474" s="677">
        <f t="shared" si="230"/>
        <v>288.64074494794494</v>
      </c>
      <c r="J474" s="678">
        <f t="shared" si="231"/>
        <v>1.5673318055241114</v>
      </c>
      <c r="K474" s="678">
        <f t="shared" si="232"/>
        <v>1.0029146368101849</v>
      </c>
      <c r="L474" s="679">
        <f t="shared" si="233"/>
        <v>7.6257132340516995E-2</v>
      </c>
      <c r="M474" s="678">
        <f t="shared" si="234"/>
        <v>1.0421992971421301</v>
      </c>
      <c r="N474" s="679">
        <f t="shared" si="235"/>
        <v>-0.28554109736481098</v>
      </c>
      <c r="O474" s="677">
        <f t="shared" si="236"/>
        <v>1041890.35281708</v>
      </c>
      <c r="P474" s="680">
        <f t="shared" si="237"/>
        <v>1.5707953670010015</v>
      </c>
      <c r="Q474" s="689">
        <f t="shared" si="259"/>
        <v>139.61688855199623</v>
      </c>
      <c r="R474" s="690">
        <f t="shared" si="260"/>
        <v>1.563633808272237</v>
      </c>
      <c r="S474" s="677">
        <f t="shared" si="238"/>
        <v>2.3207050659253579</v>
      </c>
      <c r="T474" s="680">
        <f t="shared" si="239"/>
        <v>1.1253025368803862</v>
      </c>
      <c r="U474" s="681">
        <f t="shared" si="251"/>
        <v>0.813844344371488</v>
      </c>
      <c r="V474" s="682">
        <f t="shared" si="252"/>
        <v>-0.78572894701800433</v>
      </c>
      <c r="W474" s="683">
        <f t="shared" si="240"/>
        <v>-29.443842475150316</v>
      </c>
      <c r="X474" s="684">
        <f t="shared" si="241"/>
        <v>-211.69695134459931</v>
      </c>
      <c r="Y474" s="687">
        <f t="shared" si="242"/>
        <v>-31.696951344599313</v>
      </c>
      <c r="AA474" s="170">
        <f t="shared" si="243"/>
        <v>55274</v>
      </c>
      <c r="AB474" s="170">
        <f t="shared" si="244"/>
        <v>3055215076</v>
      </c>
      <c r="AD474" s="686">
        <f t="shared" si="245"/>
        <v>20.335369865834785</v>
      </c>
      <c r="AE474" s="687">
        <f t="shared" si="246"/>
        <v>-64.885413202646461</v>
      </c>
      <c r="AG474" s="686">
        <f t="shared" si="247"/>
        <v>7.3024754603875639</v>
      </c>
      <c r="AH474" s="687">
        <f t="shared" si="248"/>
        <v>-56.773633028289709</v>
      </c>
      <c r="AJ474" s="170">
        <f t="shared" si="249"/>
        <v>0</v>
      </c>
      <c r="AK474" s="170">
        <f t="shared" si="261"/>
        <v>0</v>
      </c>
      <c r="AM474" s="170" t="str">
        <f t="shared" si="253"/>
        <v>0.676267782128655+0.946148746821608i</v>
      </c>
      <c r="AN474" s="170" t="str">
        <f t="shared" si="254"/>
        <v>1.24112484596224i</v>
      </c>
      <c r="AO474" s="170" t="str">
        <f t="shared" si="255"/>
        <v>0.76233164608679-0.544882961878301i</v>
      </c>
      <c r="AP474" s="170" t="str">
        <f t="shared" si="256"/>
        <v>0.0539553696452242-0.157691457803601i</v>
      </c>
      <c r="AQ474" s="170" t="str">
        <f t="shared" si="257"/>
        <v>0.946044630354776+0.157691457803601i</v>
      </c>
      <c r="AR474" s="170" t="str">
        <f t="shared" si="258"/>
        <v>0.85670552820486-0.142799968750276i</v>
      </c>
    </row>
    <row r="475" spans="7:44">
      <c r="G475" s="688">
        <v>55594</v>
      </c>
      <c r="H475" s="676">
        <f t="shared" si="250"/>
        <v>55.594000000000001</v>
      </c>
      <c r="I475" s="677">
        <f t="shared" si="230"/>
        <v>290.3117644675998</v>
      </c>
      <c r="J475" s="678">
        <f t="shared" si="231"/>
        <v>1.5673517472086782</v>
      </c>
      <c r="K475" s="678">
        <f t="shared" si="232"/>
        <v>1.0029484323981357</v>
      </c>
      <c r="L475" s="679">
        <f t="shared" si="233"/>
        <v>7.6696886511677942E-2</v>
      </c>
      <c r="M475" s="678">
        <f t="shared" si="234"/>
        <v>1.0426792924296444</v>
      </c>
      <c r="N475" s="679">
        <f t="shared" si="235"/>
        <v>-0.28710507092440085</v>
      </c>
      <c r="O475" s="677">
        <f t="shared" si="236"/>
        <v>1047922.2107050772</v>
      </c>
      <c r="P475" s="680">
        <f t="shared" si="237"/>
        <v>1.5707953725255914</v>
      </c>
      <c r="Q475" s="689">
        <f t="shared" si="259"/>
        <v>140.42513689563569</v>
      </c>
      <c r="R475" s="690">
        <f t="shared" si="260"/>
        <v>1.5636750344515797</v>
      </c>
      <c r="S475" s="677">
        <f t="shared" si="238"/>
        <v>2.3316516230422493</v>
      </c>
      <c r="T475" s="680">
        <f t="shared" si="239"/>
        <v>1.1275431347016314</v>
      </c>
      <c r="U475" s="681">
        <f t="shared" si="251"/>
        <v>0.81222068753527776</v>
      </c>
      <c r="V475" s="682">
        <f t="shared" si="252"/>
        <v>-0.78952140003767446</v>
      </c>
      <c r="W475" s="683">
        <f t="shared" si="240"/>
        <v>-29.547913159545232</v>
      </c>
      <c r="X475" s="684">
        <f t="shared" si="241"/>
        <v>-212.10581352685853</v>
      </c>
      <c r="Y475" s="687">
        <f t="shared" si="242"/>
        <v>-32.105813526858526</v>
      </c>
      <c r="AA475" s="170">
        <f t="shared" si="243"/>
        <v>55594</v>
      </c>
      <c r="AB475" s="170">
        <f t="shared" si="244"/>
        <v>3090692836</v>
      </c>
      <c r="AD475" s="686">
        <f t="shared" si="245"/>
        <v>20.294493072432815</v>
      </c>
      <c r="AE475" s="687">
        <f t="shared" si="246"/>
        <v>-65.011428231987907</v>
      </c>
      <c r="AG475" s="686">
        <f t="shared" si="247"/>
        <v>7.273973684407836</v>
      </c>
      <c r="AH475" s="687">
        <f t="shared" si="248"/>
        <v>-56.62189707665339</v>
      </c>
      <c r="AJ475" s="170">
        <f t="shared" si="249"/>
        <v>0</v>
      </c>
      <c r="AK475" s="170">
        <f t="shared" si="261"/>
        <v>0</v>
      </c>
      <c r="AM475" s="170" t="str">
        <f t="shared" si="253"/>
        <v>0.683074437578884+0.948450414035472i</v>
      </c>
      <c r="AN475" s="170" t="str">
        <f t="shared" si="254"/>
        <v>1.24831014014591i</v>
      </c>
      <c r="AO475" s="170" t="str">
        <f t="shared" si="255"/>
        <v>0.759787478714714-0.547199302169445i</v>
      </c>
      <c r="AP475" s="170" t="str">
        <f t="shared" si="256"/>
        <v>0.052820927070186-0.158075069005912i</v>
      </c>
      <c r="AQ475" s="170" t="str">
        <f t="shared" si="257"/>
        <v>0.947179072929814+0.158075069005912i</v>
      </c>
      <c r="AR475" s="170" t="str">
        <f t="shared" si="258"/>
        <v>0.855622416962446-0.142795144518956i</v>
      </c>
    </row>
    <row r="476" spans="7:44">
      <c r="G476" s="688">
        <v>55914</v>
      </c>
      <c r="H476" s="676">
        <f t="shared" si="250"/>
        <v>55.914000000000001</v>
      </c>
      <c r="I476" s="677">
        <f t="shared" si="230"/>
        <v>291.98278410138175</v>
      </c>
      <c r="J476" s="678">
        <f t="shared" si="231"/>
        <v>1.5673714606404359</v>
      </c>
      <c r="K476" s="678">
        <f t="shared" si="232"/>
        <v>1.0029824219269039</v>
      </c>
      <c r="L476" s="679">
        <f t="shared" si="233"/>
        <v>7.7136610962687174E-2</v>
      </c>
      <c r="M476" s="678">
        <f t="shared" si="234"/>
        <v>1.0431618357738699</v>
      </c>
      <c r="N476" s="679">
        <f t="shared" si="235"/>
        <v>-0.28866760138461328</v>
      </c>
      <c r="O476" s="677">
        <f t="shared" si="236"/>
        <v>1053954.0685930743</v>
      </c>
      <c r="P476" s="680">
        <f t="shared" si="237"/>
        <v>1.5707953779869459</v>
      </c>
      <c r="Q476" s="689">
        <f t="shared" si="259"/>
        <v>141.23338547520976</v>
      </c>
      <c r="R476" s="690">
        <f t="shared" si="260"/>
        <v>1.5637157887737063</v>
      </c>
      <c r="S476" s="677">
        <f t="shared" si="238"/>
        <v>2.3426097762703817</v>
      </c>
      <c r="T476" s="680">
        <f t="shared" si="239"/>
        <v>1.129762781646741</v>
      </c>
      <c r="U476" s="681">
        <f t="shared" si="251"/>
        <v>0.8105965553194262</v>
      </c>
      <c r="V476" s="682">
        <f t="shared" si="252"/>
        <v>-0.79330452209763169</v>
      </c>
      <c r="W476" s="683">
        <f t="shared" si="240"/>
        <v>-29.651566335394847</v>
      </c>
      <c r="X476" s="684">
        <f t="shared" si="241"/>
        <v>-212.51287366094238</v>
      </c>
      <c r="Y476" s="687">
        <f t="shared" si="242"/>
        <v>-32.512873660942375</v>
      </c>
      <c r="AA476" s="170">
        <f t="shared" si="243"/>
        <v>55914</v>
      </c>
      <c r="AB476" s="170">
        <f t="shared" si="244"/>
        <v>3126375396</v>
      </c>
      <c r="AD476" s="686">
        <f t="shared" si="245"/>
        <v>20.253764773088022</v>
      </c>
      <c r="AE476" s="687">
        <f t="shared" si="246"/>
        <v>-65.136269896352232</v>
      </c>
      <c r="AG476" s="686">
        <f t="shared" si="247"/>
        <v>7.2458205308597332</v>
      </c>
      <c r="AH476" s="687">
        <f t="shared" si="248"/>
        <v>-56.470601691040827</v>
      </c>
      <c r="AJ476" s="170">
        <f t="shared" si="249"/>
        <v>0</v>
      </c>
      <c r="AK476" s="170">
        <f t="shared" si="261"/>
        <v>0</v>
      </c>
      <c r="AM476" s="170" t="str">
        <f t="shared" si="253"/>
        <v>0.689897455335053+0.950703114432852i</v>
      </c>
      <c r="AN476" s="170" t="str">
        <f t="shared" si="254"/>
        <v>1.25549543432957i</v>
      </c>
      <c r="AO476" s="170" t="str">
        <f t="shared" si="255"/>
        <v>0.757233430275694-0.549502161832596i</v>
      </c>
      <c r="AP476" s="170" t="str">
        <f t="shared" si="256"/>
        <v>0.0516837574441578-0.158450519072142i</v>
      </c>
      <c r="AQ476" s="170" t="str">
        <f t="shared" si="257"/>
        <v>0.948316242555842+0.158450519072142i</v>
      </c>
      <c r="AR476" s="170" t="str">
        <f t="shared" si="258"/>
        <v>0.854542038055538-0.142782147370942i</v>
      </c>
    </row>
    <row r="477" spans="7:44">
      <c r="G477" s="688">
        <v>56234</v>
      </c>
      <c r="H477" s="676">
        <f t="shared" si="250"/>
        <v>56.234000000000002</v>
      </c>
      <c r="I477" s="677">
        <f t="shared" si="230"/>
        <v>293.65380384734249</v>
      </c>
      <c r="J477" s="678">
        <f t="shared" si="231"/>
        <v>1.5673909497159471</v>
      </c>
      <c r="K477" s="678">
        <f t="shared" si="232"/>
        <v>1.0030166053767731</v>
      </c>
      <c r="L477" s="679">
        <f t="shared" si="233"/>
        <v>7.7576305526526668E-2</v>
      </c>
      <c r="M477" s="678">
        <f t="shared" si="234"/>
        <v>1.0436469236404278</v>
      </c>
      <c r="N477" s="679">
        <f t="shared" si="235"/>
        <v>-0.29022868312262318</v>
      </c>
      <c r="O477" s="677">
        <f t="shared" si="236"/>
        <v>1059985.9264810719</v>
      </c>
      <c r="P477" s="680">
        <f t="shared" si="237"/>
        <v>1.5707953833861446</v>
      </c>
      <c r="Q477" s="689">
        <f t="shared" si="259"/>
        <v>142.04163428669085</v>
      </c>
      <c r="R477" s="690">
        <f t="shared" si="260"/>
        <v>1.5637560792934009</v>
      </c>
      <c r="S477" s="677">
        <f t="shared" si="238"/>
        <v>2.3535793636369386</v>
      </c>
      <c r="T477" s="680">
        <f t="shared" si="239"/>
        <v>1.1319617486343376</v>
      </c>
      <c r="U477" s="681">
        <f t="shared" si="251"/>
        <v>0.80897201680835384</v>
      </c>
      <c r="V477" s="682">
        <f t="shared" si="252"/>
        <v>-0.79707833700153241</v>
      </c>
      <c r="W477" s="683">
        <f t="shared" si="240"/>
        <v>-29.754805360408771</v>
      </c>
      <c r="X477" s="684">
        <f t="shared" si="241"/>
        <v>-212.91814808241239</v>
      </c>
      <c r="Y477" s="687">
        <f t="shared" si="242"/>
        <v>-32.918148082412387</v>
      </c>
      <c r="AA477" s="170">
        <f t="shared" si="243"/>
        <v>56234</v>
      </c>
      <c r="AB477" s="170">
        <f t="shared" si="244"/>
        <v>3162262756</v>
      </c>
      <c r="AD477" s="686">
        <f t="shared" si="245"/>
        <v>20.213184380103954</v>
      </c>
      <c r="AE477" s="687">
        <f t="shared" si="246"/>
        <v>-65.259953256789871</v>
      </c>
      <c r="AG477" s="686">
        <f t="shared" si="247"/>
        <v>7.2180120859605355</v>
      </c>
      <c r="AH477" s="687">
        <f t="shared" si="248"/>
        <v>-56.31974541826483</v>
      </c>
      <c r="AJ477" s="170">
        <f t="shared" si="249"/>
        <v>0</v>
      </c>
      <c r="AK477" s="170">
        <f t="shared" si="261"/>
        <v>0</v>
      </c>
      <c r="AM477" s="170" t="str">
        <f t="shared" si="253"/>
        <v>0.696736483136851+0.952906731710819i</v>
      </c>
      <c r="AN477" s="170" t="str">
        <f t="shared" si="254"/>
        <v>1.26268072851324i</v>
      </c>
      <c r="AO477" s="170" t="str">
        <f t="shared" si="255"/>
        <v>0.754669577346628-0.551791492024459i</v>
      </c>
      <c r="AP477" s="170" t="str">
        <f t="shared" si="256"/>
        <v>0.0505439194771915-0.15881778861847i</v>
      </c>
      <c r="AQ477" s="170" t="str">
        <f t="shared" si="257"/>
        <v>0.949456080522808+0.15881778861847i</v>
      </c>
      <c r="AR477" s="170" t="str">
        <f t="shared" si="258"/>
        <v>0.85346444580988-0.142761038376179i</v>
      </c>
    </row>
    <row r="478" spans="7:44">
      <c r="G478" s="688">
        <v>56561.5</v>
      </c>
      <c r="H478" s="676">
        <f t="shared" si="250"/>
        <v>56.561500000000002</v>
      </c>
      <c r="I478" s="677">
        <f t="shared" si="230"/>
        <v>295.36398823276579</v>
      </c>
      <c r="J478" s="678">
        <f t="shared" si="231"/>
        <v>1.5674106672348593</v>
      </c>
      <c r="K478" s="678">
        <f t="shared" si="232"/>
        <v>1.0030517907724605</v>
      </c>
      <c r="L478" s="679">
        <f t="shared" si="233"/>
        <v>7.8026274311392502E-2</v>
      </c>
      <c r="M478" s="678">
        <f t="shared" si="234"/>
        <v>1.0441460117300827</v>
      </c>
      <c r="N478" s="679">
        <f t="shared" si="235"/>
        <v>-0.29182484683517507</v>
      </c>
      <c r="O478" s="677">
        <f t="shared" si="236"/>
        <v>1066159.156038319</v>
      </c>
      <c r="P478" s="680">
        <f t="shared" si="237"/>
        <v>1.5707953888486301</v>
      </c>
      <c r="Q478" s="689">
        <f t="shared" si="259"/>
        <v>142.86882666570759</v>
      </c>
      <c r="R478" s="690">
        <f t="shared" si="260"/>
        <v>1.5637968421007942</v>
      </c>
      <c r="S478" s="677">
        <f t="shared" si="238"/>
        <v>2.3648177239246362</v>
      </c>
      <c r="T478" s="680">
        <f t="shared" si="239"/>
        <v>1.1341911195185863</v>
      </c>
      <c r="U478" s="681">
        <f t="shared" si="251"/>
        <v>0.8073090536267874</v>
      </c>
      <c r="V478" s="682">
        <f t="shared" si="252"/>
        <v>-0.80093098910184612</v>
      </c>
      <c r="W478" s="683">
        <f t="shared" si="240"/>
        <v>-29.860038683421944</v>
      </c>
      <c r="X478" s="684">
        <f t="shared" si="241"/>
        <v>-213.33108896942565</v>
      </c>
      <c r="Y478" s="687">
        <f t="shared" si="242"/>
        <v>-33.33108896942565</v>
      </c>
      <c r="AA478" s="170">
        <f t="shared" si="243"/>
        <v>56561.5</v>
      </c>
      <c r="AB478" s="170">
        <f t="shared" si="244"/>
        <v>3199203282.25</v>
      </c>
      <c r="AD478" s="686">
        <f t="shared" si="245"/>
        <v>20.171805410191666</v>
      </c>
      <c r="AE478" s="687">
        <f t="shared" si="246"/>
        <v>-65.385351575722595</v>
      </c>
      <c r="AG478" s="686">
        <f t="shared" si="247"/>
        <v>7.1899047821282016</v>
      </c>
      <c r="AH478" s="687">
        <f t="shared" si="248"/>
        <v>-56.165806575280605</v>
      </c>
      <c r="AJ478" s="170">
        <f t="shared" si="249"/>
        <v>0</v>
      </c>
      <c r="AK478" s="170">
        <f t="shared" si="261"/>
        <v>0</v>
      </c>
      <c r="AM478" s="170" t="str">
        <f t="shared" si="253"/>
        <v>0.703752009490533+0.955111055385238i</v>
      </c>
      <c r="AN478" s="170" t="str">
        <f t="shared" si="254"/>
        <v>1.27003442802933i</v>
      </c>
      <c r="AO478" s="170" t="str">
        <f t="shared" si="255"/>
        <v>0.752035562427431-0.554120419068105i</v>
      </c>
      <c r="AP478" s="170" t="str">
        <f t="shared" si="256"/>
        <v>0.0493746650849112-0.15918517589754i</v>
      </c>
      <c r="AQ478" s="170" t="str">
        <f t="shared" si="257"/>
        <v>0.950625334915089+0.15918517589754i</v>
      </c>
      <c r="AR478" s="170" t="str">
        <f t="shared" si="258"/>
        <v>0.852364538484438-0.14273109920807i</v>
      </c>
    </row>
    <row r="479" spans="7:44">
      <c r="G479" s="688">
        <v>56889</v>
      </c>
      <c r="H479" s="676">
        <f t="shared" si="250"/>
        <v>56.889000000000003</v>
      </c>
      <c r="I479" s="677">
        <f t="shared" si="230"/>
        <v>297.0741727316987</v>
      </c>
      <c r="J479" s="678">
        <f t="shared" si="231"/>
        <v>1.5674301577357594</v>
      </c>
      <c r="K479" s="678">
        <f t="shared" si="232"/>
        <v>1.003087179243686</v>
      </c>
      <c r="L479" s="679">
        <f t="shared" si="233"/>
        <v>7.8476211437953913E-2</v>
      </c>
      <c r="M479" s="678">
        <f t="shared" si="234"/>
        <v>1.0446477574850113</v>
      </c>
      <c r="N479" s="679">
        <f t="shared" si="235"/>
        <v>-0.29341948132794132</v>
      </c>
      <c r="O479" s="677">
        <f t="shared" si="236"/>
        <v>1072332.3855955661</v>
      </c>
      <c r="P479" s="680">
        <f t="shared" si="237"/>
        <v>1.5707953942482222</v>
      </c>
      <c r="Q479" s="689">
        <f t="shared" si="259"/>
        <v>143.69601927938294</v>
      </c>
      <c r="R479" s="690">
        <f t="shared" si="260"/>
        <v>1.5638371356023766</v>
      </c>
      <c r="S479" s="677">
        <f t="shared" si="238"/>
        <v>2.3760677263635976</v>
      </c>
      <c r="T479" s="680">
        <f t="shared" si="239"/>
        <v>1.1363993904222138</v>
      </c>
      <c r="U479" s="681">
        <f t="shared" si="251"/>
        <v>0.80564580840071021</v>
      </c>
      <c r="V479" s="682">
        <f t="shared" si="252"/>
        <v>-0.8047739445889287</v>
      </c>
      <c r="W479" s="683">
        <f t="shared" si="240"/>
        <v>-29.964845191666928</v>
      </c>
      <c r="X479" s="684">
        <f t="shared" si="241"/>
        <v>-213.7421934160981</v>
      </c>
      <c r="Y479" s="687">
        <f t="shared" si="242"/>
        <v>-33.742193416098104</v>
      </c>
      <c r="AA479" s="170">
        <f t="shared" si="243"/>
        <v>56889</v>
      </c>
      <c r="AB479" s="170">
        <f t="shared" si="244"/>
        <v>3236358321</v>
      </c>
      <c r="AD479" s="686">
        <f t="shared" si="245"/>
        <v>20.130580092964152</v>
      </c>
      <c r="AE479" s="687">
        <f t="shared" si="246"/>
        <v>-65.509567840455276</v>
      </c>
      <c r="AG479" s="686">
        <f t="shared" si="247"/>
        <v>7.162150432730213</v>
      </c>
      <c r="AH479" s="687">
        <f t="shared" si="248"/>
        <v>-56.012324496184206</v>
      </c>
      <c r="AJ479" s="170">
        <f t="shared" si="249"/>
        <v>0</v>
      </c>
      <c r="AK479" s="170">
        <f t="shared" si="261"/>
        <v>0</v>
      </c>
      <c r="AM479" s="170" t="str">
        <f t="shared" si="253"/>
        <v>0.710783555943975+0.957263729850655i</v>
      </c>
      <c r="AN479" s="170" t="str">
        <f t="shared" si="254"/>
        <v>1.27738812754543i</v>
      </c>
      <c r="AO479" s="170" t="str">
        <f t="shared" si="255"/>
        <v>0.749391441182477-0.556435072956083i</v>
      </c>
      <c r="AP479" s="170" t="str">
        <f t="shared" si="256"/>
        <v>0.0482027406760042-0.159543954975109i</v>
      </c>
      <c r="AQ479" s="170" t="str">
        <f t="shared" si="257"/>
        <v>0.951797259323996+0.159543954975109i</v>
      </c>
      <c r="AR479" s="170" t="str">
        <f t="shared" si="258"/>
        <v>0.851267661771254-0.142692793208777i</v>
      </c>
    </row>
    <row r="480" spans="7:44">
      <c r="G480" s="688">
        <v>57216.5</v>
      </c>
      <c r="H480" s="676">
        <f t="shared" si="250"/>
        <v>57.216500000000003</v>
      </c>
      <c r="I480" s="677">
        <f t="shared" si="230"/>
        <v>298.78435734219215</v>
      </c>
      <c r="J480" s="678">
        <f t="shared" si="231"/>
        <v>1.5674494251168558</v>
      </c>
      <c r="K480" s="678">
        <f t="shared" si="232"/>
        <v>1.0031227707689563</v>
      </c>
      <c r="L480" s="679">
        <f t="shared" si="233"/>
        <v>7.8926116727397522E-2</v>
      </c>
      <c r="M480" s="678">
        <f t="shared" si="234"/>
        <v>1.0451521570776201</v>
      </c>
      <c r="N480" s="679">
        <f t="shared" si="235"/>
        <v>-0.29501258069931591</v>
      </c>
      <c r="O480" s="677">
        <f t="shared" si="236"/>
        <v>1078505.6151528137</v>
      </c>
      <c r="P480" s="680">
        <f t="shared" si="237"/>
        <v>1.5707953995860013</v>
      </c>
      <c r="Q480" s="689">
        <f t="shared" si="259"/>
        <v>144.52321212368767</v>
      </c>
      <c r="R480" s="690">
        <f t="shared" si="260"/>
        <v>1.5638769678563702</v>
      </c>
      <c r="S480" s="677">
        <f t="shared" si="238"/>
        <v>2.3873292063671054</v>
      </c>
      <c r="T480" s="680">
        <f t="shared" si="239"/>
        <v>1.1385868382524218</v>
      </c>
      <c r="U480" s="681">
        <f t="shared" si="251"/>
        <v>0.80398235225488213</v>
      </c>
      <c r="V480" s="682">
        <f t="shared" si="252"/>
        <v>-0.80860723045992433</v>
      </c>
      <c r="W480" s="683">
        <f t="shared" si="240"/>
        <v>-30.069228344882575</v>
      </c>
      <c r="X480" s="684">
        <f t="shared" si="241"/>
        <v>-214.15147826868494</v>
      </c>
      <c r="Y480" s="687">
        <f t="shared" si="242"/>
        <v>-34.15147826868494</v>
      </c>
      <c r="AA480" s="170">
        <f t="shared" si="243"/>
        <v>57216.5</v>
      </c>
      <c r="AB480" s="170">
        <f t="shared" si="244"/>
        <v>3273727872.25</v>
      </c>
      <c r="AD480" s="686">
        <f t="shared" si="245"/>
        <v>20.089507776604904</v>
      </c>
      <c r="AE480" s="687">
        <f t="shared" si="246"/>
        <v>-65.632617454961746</v>
      </c>
      <c r="AG480" s="686">
        <f t="shared" si="247"/>
        <v>7.1347450353965609</v>
      </c>
      <c r="AH480" s="687">
        <f t="shared" si="248"/>
        <v>-55.859297529612235</v>
      </c>
      <c r="AJ480" s="170">
        <f t="shared" si="249"/>
        <v>0</v>
      </c>
      <c r="AK480" s="170">
        <f t="shared" si="261"/>
        <v>0</v>
      </c>
      <c r="AM480" s="170" t="str">
        <f t="shared" si="253"/>
        <v>0.71783074225466+0.959364638697635i</v>
      </c>
      <c r="AN480" s="170" t="str">
        <f t="shared" si="254"/>
        <v>1.28474182706152i</v>
      </c>
      <c r="AO480" s="170" t="str">
        <f t="shared" si="255"/>
        <v>0.746737296544558-0.55873540281357i</v>
      </c>
      <c r="AP480" s="170" t="str">
        <f t="shared" si="256"/>
        <v>0.0470282096242233-0.159894106449606i</v>
      </c>
      <c r="AQ480" s="170" t="str">
        <f t="shared" si="257"/>
        <v>0.952971790375777+0.159894106449606i</v>
      </c>
      <c r="AR480" s="170" t="str">
        <f t="shared" si="258"/>
        <v>0.850173870536009-0.142646186098074i</v>
      </c>
    </row>
    <row r="481" spans="7:44">
      <c r="G481" s="688">
        <v>57544</v>
      </c>
      <c r="H481" s="676">
        <f t="shared" si="250"/>
        <v>57.543999999999997</v>
      </c>
      <c r="I481" s="677">
        <f t="shared" si="230"/>
        <v>300.4945420623414</v>
      </c>
      <c r="J481" s="678">
        <f t="shared" si="231"/>
        <v>1.5674684731876147</v>
      </c>
      <c r="K481" s="678">
        <f t="shared" si="232"/>
        <v>1.0031585653266593</v>
      </c>
      <c r="L481" s="679">
        <f t="shared" si="233"/>
        <v>7.9375990000986815E-2</v>
      </c>
      <c r="M481" s="678">
        <f t="shared" si="234"/>
        <v>1.045659206667477</v>
      </c>
      <c r="N481" s="679">
        <f t="shared" si="235"/>
        <v>-0.29660413909021838</v>
      </c>
      <c r="O481" s="677">
        <f t="shared" si="236"/>
        <v>1084678.8447100611</v>
      </c>
      <c r="P481" s="680">
        <f t="shared" si="237"/>
        <v>1.5707954048630226</v>
      </c>
      <c r="Q481" s="689">
        <f t="shared" si="259"/>
        <v>145.35040519468424</v>
      </c>
      <c r="R481" s="690">
        <f t="shared" si="260"/>
        <v>1.563916346737565</v>
      </c>
      <c r="S481" s="677">
        <f t="shared" si="238"/>
        <v>2.398602002273043</v>
      </c>
      <c r="T481" s="680">
        <f t="shared" si="239"/>
        <v>1.1407537355159192</v>
      </c>
      <c r="U481" s="681">
        <f t="shared" si="251"/>
        <v>0.80231875533343611</v>
      </c>
      <c r="V481" s="682">
        <f t="shared" si="252"/>
        <v>-0.81243087419142079</v>
      </c>
      <c r="W481" s="683">
        <f t="shared" si="240"/>
        <v>-30.173191557483577</v>
      </c>
      <c r="X481" s="684">
        <f t="shared" si="241"/>
        <v>-214.55896015663768</v>
      </c>
      <c r="Y481" s="687">
        <f t="shared" si="242"/>
        <v>-34.558960156637681</v>
      </c>
      <c r="AA481" s="170">
        <f t="shared" si="243"/>
        <v>57544</v>
      </c>
      <c r="AB481" s="170">
        <f t="shared" si="244"/>
        <v>3311311936</v>
      </c>
      <c r="AD481" s="686">
        <f t="shared" si="245"/>
        <v>20.048587802887493</v>
      </c>
      <c r="AE481" s="687">
        <f t="shared" si="246"/>
        <v>-65.754515581594532</v>
      </c>
      <c r="AG481" s="686">
        <f t="shared" si="247"/>
        <v>7.1076846501883884</v>
      </c>
      <c r="AH481" s="687">
        <f t="shared" si="248"/>
        <v>-55.706723994078793</v>
      </c>
      <c r="AJ481" s="170">
        <f t="shared" si="249"/>
        <v>0</v>
      </c>
      <c r="AK481" s="170">
        <f t="shared" si="261"/>
        <v>0</v>
      </c>
      <c r="AM481" s="170" t="str">
        <f t="shared" si="253"/>
        <v>0.724893187334358+0.961413668316064i</v>
      </c>
      <c r="AN481" s="170" t="str">
        <f t="shared" si="254"/>
        <v>1.29209552657762i</v>
      </c>
      <c r="AO481" s="170" t="str">
        <f t="shared" si="255"/>
        <v>0.744073211724961-0.561021358269374i</v>
      </c>
      <c r="AP481" s="170" t="str">
        <f t="shared" si="256"/>
        <v>0.0458511354442737-0.160235611386011i</v>
      </c>
      <c r="AQ481" s="170" t="str">
        <f t="shared" si="257"/>
        <v>0.954148864555726+0.160235611386011i</v>
      </c>
      <c r="AR481" s="170" t="str">
        <f t="shared" si="258"/>
        <v>0.849083218528196-0.142591343649313i</v>
      </c>
    </row>
    <row r="482" spans="7:44">
      <c r="G482" s="688">
        <v>57879</v>
      </c>
      <c r="H482" s="676">
        <f t="shared" si="250"/>
        <v>57.878999999999998</v>
      </c>
      <c r="I482" s="677">
        <f t="shared" si="230"/>
        <v>302.24389142957733</v>
      </c>
      <c r="J482" s="678">
        <f t="shared" si="231"/>
        <v>1.5674877344533398</v>
      </c>
      <c r="K482" s="678">
        <f t="shared" si="232"/>
        <v>1.0031953896444685</v>
      </c>
      <c r="L482" s="679">
        <f t="shared" si="233"/>
        <v>7.9836132405671362E-2</v>
      </c>
      <c r="M482" s="678">
        <f t="shared" si="234"/>
        <v>1.0461806057855572</v>
      </c>
      <c r="N482" s="679">
        <f t="shared" si="235"/>
        <v>-0.29823054500066964</v>
      </c>
      <c r="O482" s="677">
        <f t="shared" si="236"/>
        <v>1090993.4459365583</v>
      </c>
      <c r="P482" s="680">
        <f t="shared" si="237"/>
        <v>1.5707954101991062</v>
      </c>
      <c r="Q482" s="689">
        <f t="shared" si="259"/>
        <v>146.1965418489786</v>
      </c>
      <c r="R482" s="690">
        <f t="shared" si="260"/>
        <v>1.5639561663823383</v>
      </c>
      <c r="S482" s="677">
        <f t="shared" si="238"/>
        <v>2.4101444958622364</v>
      </c>
      <c r="T482" s="680">
        <f t="shared" si="239"/>
        <v>1.1429492740476126</v>
      </c>
      <c r="U482" s="681">
        <f t="shared" si="251"/>
        <v>0.80061698722672048</v>
      </c>
      <c r="V482" s="682">
        <f t="shared" si="252"/>
        <v>-0.8163321355337182</v>
      </c>
      <c r="W482" s="683">
        <f t="shared" si="240"/>
        <v>-30.27910464378332</v>
      </c>
      <c r="X482" s="684">
        <f t="shared" si="241"/>
        <v>-214.97392543248998</v>
      </c>
      <c r="Y482" s="687">
        <f t="shared" si="242"/>
        <v>-34.973925432489978</v>
      </c>
      <c r="AA482" s="170">
        <f t="shared" si="243"/>
        <v>57879</v>
      </c>
      <c r="AB482" s="170">
        <f t="shared" si="244"/>
        <v>3349978641</v>
      </c>
      <c r="AD482" s="686">
        <f t="shared" si="245"/>
        <v>20.006887653811852</v>
      </c>
      <c r="AE482" s="687">
        <f t="shared" si="246"/>
        <v>-65.878029481507895</v>
      </c>
      <c r="AG482" s="686">
        <f t="shared" si="247"/>
        <v>7.0803574723256526</v>
      </c>
      <c r="AH482" s="687">
        <f t="shared" si="248"/>
        <v>-55.551123750124496</v>
      </c>
      <c r="AJ482" s="170">
        <f t="shared" si="249"/>
        <v>0</v>
      </c>
      <c r="AK482" s="170">
        <f t="shared" si="261"/>
        <v>0</v>
      </c>
      <c r="AM482" s="170" t="str">
        <f t="shared" si="253"/>
        <v>0.732132756570131+0.963455831835214i</v>
      </c>
      <c r="AN482" s="170" t="str">
        <f t="shared" si="254"/>
        <v>1.29961763142614i</v>
      </c>
      <c r="AO482" s="170" t="str">
        <f t="shared" si="255"/>
        <v>0.741337920121907-0.563344739919173i</v>
      </c>
      <c r="AP482" s="170" t="str">
        <f t="shared" si="256"/>
        <v>0.0446445405716448-0.160575971972536i</v>
      </c>
      <c r="AQ482" s="170" t="str">
        <f t="shared" si="257"/>
        <v>0.955355459428355+0.160575971972536i</v>
      </c>
      <c r="AR482" s="170" t="str">
        <f t="shared" si="258"/>
        <v>0.847970892518659-0.142526793484885i</v>
      </c>
    </row>
    <row r="483" spans="7:44">
      <c r="G483" s="688">
        <v>58214</v>
      </c>
      <c r="H483" s="676">
        <f t="shared" si="250"/>
        <v>58.213999999999999</v>
      </c>
      <c r="I483" s="677">
        <f t="shared" si="230"/>
        <v>303.99324090765424</v>
      </c>
      <c r="J483" s="678">
        <f t="shared" si="231"/>
        <v>1.5675067740385829</v>
      </c>
      <c r="K483" s="678">
        <f t="shared" si="232"/>
        <v>1.0032324263542545</v>
      </c>
      <c r="L483" s="679">
        <f t="shared" si="233"/>
        <v>8.0296240933267843E-2</v>
      </c>
      <c r="M483" s="678">
        <f t="shared" si="234"/>
        <v>1.0467047694952929</v>
      </c>
      <c r="N483" s="679">
        <f t="shared" si="235"/>
        <v>-0.29985532627816841</v>
      </c>
      <c r="O483" s="677">
        <f t="shared" si="236"/>
        <v>1097308.0471630557</v>
      </c>
      <c r="P483" s="680">
        <f t="shared" si="237"/>
        <v>1.5707954154737753</v>
      </c>
      <c r="Q483" s="689">
        <f t="shared" si="259"/>
        <v>147.04267873241497</v>
      </c>
      <c r="R483" s="690">
        <f t="shared" si="260"/>
        <v>1.5639955277538282</v>
      </c>
      <c r="S483" s="677">
        <f t="shared" si="238"/>
        <v>2.4216984965063149</v>
      </c>
      <c r="T483" s="680">
        <f t="shared" si="239"/>
        <v>1.1451238730100626</v>
      </c>
      <c r="U483" s="681">
        <f t="shared" si="251"/>
        <v>0.79891521716867109</v>
      </c>
      <c r="V483" s="682">
        <f t="shared" si="252"/>
        <v>-0.8202233677059072</v>
      </c>
      <c r="W483" s="683">
        <f t="shared" si="240"/>
        <v>-30.384585420773796</v>
      </c>
      <c r="X483" s="684">
        <f t="shared" si="241"/>
        <v>-215.38703873893135</v>
      </c>
      <c r="Y483" s="687">
        <f t="shared" si="242"/>
        <v>-35.387038738931352</v>
      </c>
      <c r="AA483" s="170">
        <f t="shared" si="243"/>
        <v>58214</v>
      </c>
      <c r="AB483" s="170">
        <f t="shared" si="244"/>
        <v>3388869796</v>
      </c>
      <c r="AD483" s="686">
        <f t="shared" si="245"/>
        <v>19.965345492964182</v>
      </c>
      <c r="AE483" s="687">
        <f t="shared" si="246"/>
        <v>-66.000369886083661</v>
      </c>
      <c r="AG483" s="686">
        <f t="shared" si="247"/>
        <v>7.0533831447419191</v>
      </c>
      <c r="AH483" s="687">
        <f t="shared" si="248"/>
        <v>-55.395994290336681</v>
      </c>
      <c r="AJ483" s="170">
        <f t="shared" si="249"/>
        <v>0</v>
      </c>
      <c r="AK483" s="170">
        <f t="shared" si="261"/>
        <v>0</v>
      </c>
      <c r="AM483" s="170" t="str">
        <f t="shared" si="253"/>
        <v>0.739387482215251+0.965443481294422i</v>
      </c>
      <c r="AN483" s="170" t="str">
        <f t="shared" si="254"/>
        <v>1.30713973627467i</v>
      </c>
      <c r="AO483" s="170" t="str">
        <f t="shared" si="255"/>
        <v>0.738592404853304-0.565652976262886i</v>
      </c>
      <c r="AP483" s="170" t="str">
        <f t="shared" si="256"/>
        <v>0.0434354196307915-0.160907246882404i</v>
      </c>
      <c r="AQ483" s="170" t="str">
        <f t="shared" si="257"/>
        <v>0.956564580369209+0.160907246882404i</v>
      </c>
      <c r="AR483" s="170" t="str">
        <f t="shared" si="258"/>
        <v>0.84686196140091-0.142453765793688i</v>
      </c>
    </row>
    <row r="484" spans="7:44">
      <c r="G484" s="688">
        <v>58549</v>
      </c>
      <c r="H484" s="676">
        <f t="shared" si="250"/>
        <v>58.548999999999999</v>
      </c>
      <c r="I484" s="677">
        <f t="shared" si="230"/>
        <v>305.74259049466929</v>
      </c>
      <c r="J484" s="678">
        <f t="shared" si="231"/>
        <v>1.5675255957484591</v>
      </c>
      <c r="K484" s="678">
        <f t="shared" si="232"/>
        <v>1.0032696754324946</v>
      </c>
      <c r="L484" s="679">
        <f t="shared" si="233"/>
        <v>8.0756315392729122E-2</v>
      </c>
      <c r="M484" s="678">
        <f t="shared" si="234"/>
        <v>1.0472316936454578</v>
      </c>
      <c r="N484" s="679">
        <f t="shared" si="235"/>
        <v>-0.30147847679011008</v>
      </c>
      <c r="O484" s="677">
        <f t="shared" si="236"/>
        <v>1103622.6483895532</v>
      </c>
      <c r="P484" s="680">
        <f t="shared" si="237"/>
        <v>1.5707954206880843</v>
      </c>
      <c r="Q484" s="689">
        <f t="shared" si="259"/>
        <v>147.88881584106031</v>
      </c>
      <c r="R484" s="690">
        <f t="shared" si="260"/>
        <v>1.5640344387178624</v>
      </c>
      <c r="S484" s="677">
        <f t="shared" si="238"/>
        <v>2.433263840286537</v>
      </c>
      <c r="T484" s="680">
        <f t="shared" si="239"/>
        <v>1.147277810267157</v>
      </c>
      <c r="U484" s="681">
        <f t="shared" si="251"/>
        <v>0.79721351707831478</v>
      </c>
      <c r="V484" s="682">
        <f t="shared" si="252"/>
        <v>-0.82410460160888976</v>
      </c>
      <c r="W484" s="683">
        <f t="shared" si="240"/>
        <v>-30.489637401169652</v>
      </c>
      <c r="X484" s="684">
        <f t="shared" si="241"/>
        <v>-215.79831719385373</v>
      </c>
      <c r="Y484" s="687">
        <f t="shared" si="242"/>
        <v>-35.798317193853734</v>
      </c>
      <c r="AA484" s="170">
        <f t="shared" si="243"/>
        <v>58549</v>
      </c>
      <c r="AB484" s="170">
        <f t="shared" si="244"/>
        <v>3427985401</v>
      </c>
      <c r="AD484" s="686">
        <f t="shared" si="245"/>
        <v>19.923960597896887</v>
      </c>
      <c r="AE484" s="687">
        <f t="shared" si="246"/>
        <v>-66.121552265131555</v>
      </c>
      <c r="AG484" s="686">
        <f t="shared" si="247"/>
        <v>7.0267576450073506</v>
      </c>
      <c r="AH484" s="687">
        <f t="shared" si="248"/>
        <v>-55.241333721814961</v>
      </c>
      <c r="AJ484" s="170">
        <f t="shared" si="249"/>
        <v>0</v>
      </c>
      <c r="AK484" s="170">
        <f t="shared" si="261"/>
        <v>0</v>
      </c>
      <c r="AM484" s="170" t="str">
        <f t="shared" si="253"/>
        <v>0.746656953784301+0.967376504228912i</v>
      </c>
      <c r="AN484" s="170" t="str">
        <f t="shared" si="254"/>
        <v>1.31466184112319i</v>
      </c>
      <c r="AO484" s="170" t="str">
        <f t="shared" si="255"/>
        <v>0.735836755862958-0.567946015034855i</v>
      </c>
      <c r="AP484" s="170" t="str">
        <f t="shared" si="256"/>
        <v>0.0422238410359498-0.161229417371485i</v>
      </c>
      <c r="AQ484" s="170" t="str">
        <f t="shared" si="257"/>
        <v>0.95777615896405+0.161229417371485i</v>
      </c>
      <c r="AR484" s="170" t="str">
        <f t="shared" si="258"/>
        <v>0.845756479146415-0.142372331044892i</v>
      </c>
    </row>
    <row r="485" spans="7:44">
      <c r="G485" s="688">
        <v>58884</v>
      </c>
      <c r="H485" s="676">
        <f t="shared" si="250"/>
        <v>58.884</v>
      </c>
      <c r="I485" s="677">
        <f t="shared" si="230"/>
        <v>307.49194018876346</v>
      </c>
      <c r="J485" s="678">
        <f t="shared" si="231"/>
        <v>1.5675442033014932</v>
      </c>
      <c r="K485" s="678">
        <f t="shared" si="232"/>
        <v>1.003307136855536</v>
      </c>
      <c r="L485" s="679">
        <f t="shared" si="233"/>
        <v>8.1216355593093981E-2</v>
      </c>
      <c r="M485" s="678">
        <f t="shared" si="234"/>
        <v>1.0477613740713363</v>
      </c>
      <c r="N485" s="679">
        <f t="shared" si="235"/>
        <v>-0.30309999045056546</v>
      </c>
      <c r="O485" s="677">
        <f t="shared" si="236"/>
        <v>1109937.2496160506</v>
      </c>
      <c r="P485" s="680">
        <f t="shared" si="237"/>
        <v>1.5707954258430632</v>
      </c>
      <c r="Q485" s="689">
        <f t="shared" si="259"/>
        <v>148.73495317107097</v>
      </c>
      <c r="R485" s="690">
        <f t="shared" si="260"/>
        <v>1.564072906961282</v>
      </c>
      <c r="S485" s="677">
        <f t="shared" si="238"/>
        <v>2.4448403662264231</v>
      </c>
      <c r="T485" s="680">
        <f t="shared" si="239"/>
        <v>1.1494113591945785</v>
      </c>
      <c r="U485" s="681">
        <f t="shared" si="251"/>
        <v>0.79551195782148765</v>
      </c>
      <c r="V485" s="682">
        <f t="shared" si="252"/>
        <v>-0.82797586862564809</v>
      </c>
      <c r="W485" s="683">
        <f t="shared" si="240"/>
        <v>-30.594264051710027</v>
      </c>
      <c r="X485" s="684">
        <f t="shared" si="241"/>
        <v>-216.20777769357684</v>
      </c>
      <c r="Y485" s="687">
        <f t="shared" si="242"/>
        <v>-36.207777693576844</v>
      </c>
      <c r="AA485" s="170">
        <f t="shared" si="243"/>
        <v>58884</v>
      </c>
      <c r="AB485" s="170">
        <f t="shared" si="244"/>
        <v>3467325456</v>
      </c>
      <c r="AD485" s="686">
        <f t="shared" si="245"/>
        <v>19.88273224101431</v>
      </c>
      <c r="AE485" s="687">
        <f t="shared" si="246"/>
        <v>-66.241591841559952</v>
      </c>
      <c r="AG485" s="686">
        <f t="shared" si="247"/>
        <v>7.0004770135534811</v>
      </c>
      <c r="AH485" s="687">
        <f t="shared" si="248"/>
        <v>-55.087140121745882</v>
      </c>
      <c r="AJ485" s="170">
        <f t="shared" si="249"/>
        <v>0</v>
      </c>
      <c r="AK485" s="170">
        <f t="shared" si="261"/>
        <v>0</v>
      </c>
      <c r="AM485" s="170" t="str">
        <f t="shared" si="253"/>
        <v>0.753940759957554+0.969254791264781i</v>
      </c>
      <c r="AN485" s="170" t="str">
        <f t="shared" si="254"/>
        <v>1.32218394597172i</v>
      </c>
      <c r="AO485" s="170" t="str">
        <f t="shared" si="255"/>
        <v>0.733071063385542-0.570223804527785i</v>
      </c>
      <c r="AP485" s="170" t="str">
        <f t="shared" si="256"/>
        <v>0.0410098733404077-0.161542465210797i</v>
      </c>
      <c r="AQ485" s="170" t="str">
        <f t="shared" si="257"/>
        <v>0.958990126659592+0.161542465210797i</v>
      </c>
      <c r="AR485" s="170" t="str">
        <f t="shared" si="258"/>
        <v>0.844654498551692-0.142282559699245i</v>
      </c>
    </row>
    <row r="486" spans="7:44">
      <c r="G486" s="688">
        <v>59227</v>
      </c>
      <c r="H486" s="676">
        <f t="shared" si="250"/>
        <v>59.226999999999997</v>
      </c>
      <c r="I486" s="677">
        <f t="shared" si="230"/>
        <v>309.28306550698801</v>
      </c>
      <c r="J486" s="678">
        <f t="shared" si="231"/>
        <v>1.5675630371198759</v>
      </c>
      <c r="K486" s="678">
        <f t="shared" si="232"/>
        <v>1.0033457128666143</v>
      </c>
      <c r="L486" s="679">
        <f t="shared" si="233"/>
        <v>8.1687346132697652E-2</v>
      </c>
      <c r="M486" s="678">
        <f t="shared" si="234"/>
        <v>1.0483065550124622</v>
      </c>
      <c r="N486" s="679">
        <f t="shared" si="235"/>
        <v>-0.30475852456679242</v>
      </c>
      <c r="O486" s="677">
        <f t="shared" si="236"/>
        <v>1116402.6472897478</v>
      </c>
      <c r="P486" s="680">
        <f t="shared" si="237"/>
        <v>1.5707954310607255</v>
      </c>
      <c r="Q486" s="689">
        <f t="shared" si="259"/>
        <v>149.60129699111422</v>
      </c>
      <c r="R486" s="690">
        <f t="shared" si="260"/>
        <v>1.5641118429889027</v>
      </c>
      <c r="S486" s="677">
        <f t="shared" si="238"/>
        <v>2.456704767329664</v>
      </c>
      <c r="T486" s="680">
        <f t="shared" si="239"/>
        <v>1.1515750149426105</v>
      </c>
      <c r="U486" s="681">
        <f t="shared" si="251"/>
        <v>0.79376998314070957</v>
      </c>
      <c r="V486" s="682">
        <f t="shared" si="252"/>
        <v>-0.8319292903291915</v>
      </c>
      <c r="W486" s="683">
        <f t="shared" si="240"/>
        <v>-30.700952135413644</v>
      </c>
      <c r="X486" s="684">
        <f t="shared" si="241"/>
        <v>-216.62515017711385</v>
      </c>
      <c r="Y486" s="687">
        <f t="shared" si="242"/>
        <v>-36.625150177113852</v>
      </c>
      <c r="AA486" s="170">
        <f t="shared" si="243"/>
        <v>59227</v>
      </c>
      <c r="AB486" s="170">
        <f t="shared" si="244"/>
        <v>3507837529</v>
      </c>
      <c r="AD486" s="686">
        <f t="shared" si="245"/>
        <v>19.840680751688147</v>
      </c>
      <c r="AE486" s="687">
        <f t="shared" si="246"/>
        <v>-66.363329613276889</v>
      </c>
      <c r="AG486" s="686">
        <f t="shared" si="247"/>
        <v>6.9739220345239108</v>
      </c>
      <c r="AH486" s="687">
        <f t="shared" si="248"/>
        <v>-54.929746076551403</v>
      </c>
      <c r="AJ486" s="170">
        <f t="shared" si="249"/>
        <v>0</v>
      </c>
      <c r="AK486" s="170">
        <f t="shared" si="261"/>
        <v>0</v>
      </c>
      <c r="AM486" s="170" t="str">
        <f t="shared" si="253"/>
        <v>0.761412929525428+0.971121109750149i</v>
      </c>
      <c r="AN486" s="170" t="str">
        <f t="shared" si="254"/>
        <v>1.32988568317483i</v>
      </c>
      <c r="AO486" s="170" t="str">
        <f t="shared" si="255"/>
        <v>0.730229012941771-0.572540135711297i</v>
      </c>
      <c r="AP486" s="170" t="str">
        <f t="shared" si="256"/>
        <v>0.039764511745762-0.161853518291692i</v>
      </c>
      <c r="AQ486" s="170" t="str">
        <f t="shared" si="257"/>
        <v>0.960235488254238+0.161853518291692i</v>
      </c>
      <c r="AR486" s="170" t="str">
        <f t="shared" si="258"/>
        <v>0.843529884010073-0.142182080522174i</v>
      </c>
    </row>
    <row r="487" spans="7:44">
      <c r="G487" s="688">
        <v>59570</v>
      </c>
      <c r="H487" s="676">
        <f t="shared" si="250"/>
        <v>59.57</v>
      </c>
      <c r="I487" s="677">
        <f t="shared" si="230"/>
        <v>311.07419093365593</v>
      </c>
      <c r="J487" s="678">
        <f t="shared" si="231"/>
        <v>1.5675816540528278</v>
      </c>
      <c r="K487" s="678">
        <f t="shared" si="232"/>
        <v>1.0033845114348245</v>
      </c>
      <c r="L487" s="679">
        <f t="shared" si="233"/>
        <v>8.2158300352528454E-2</v>
      </c>
      <c r="M487" s="678">
        <f t="shared" si="234"/>
        <v>1.0488546165652002</v>
      </c>
      <c r="N487" s="679">
        <f t="shared" si="235"/>
        <v>-0.30641532995760346</v>
      </c>
      <c r="O487" s="677">
        <f t="shared" si="236"/>
        <v>1122868.0449634453</v>
      </c>
      <c r="P487" s="680">
        <f t="shared" si="237"/>
        <v>1.5707954362183016</v>
      </c>
      <c r="Q487" s="689">
        <f t="shared" si="259"/>
        <v>150.46764103534349</v>
      </c>
      <c r="R487" s="690">
        <f t="shared" si="260"/>
        <v>1.5641503306544564</v>
      </c>
      <c r="S487" s="677">
        <f t="shared" si="238"/>
        <v>2.4685805586848328</v>
      </c>
      <c r="T487" s="680">
        <f t="shared" si="239"/>
        <v>1.1537178629099551</v>
      </c>
      <c r="U487" s="681">
        <f t="shared" si="251"/>
        <v>0.79202830309758376</v>
      </c>
      <c r="V487" s="682">
        <f t="shared" si="252"/>
        <v>-0.83587233152034102</v>
      </c>
      <c r="W487" s="683">
        <f t="shared" si="240"/>
        <v>-30.807201543856436</v>
      </c>
      <c r="X487" s="684">
        <f t="shared" si="241"/>
        <v>-217.04065199457605</v>
      </c>
      <c r="Y487" s="687">
        <f t="shared" si="242"/>
        <v>-37.040651994576052</v>
      </c>
      <c r="AA487" s="170">
        <f t="shared" si="243"/>
        <v>59570</v>
      </c>
      <c r="AB487" s="170">
        <f t="shared" si="244"/>
        <v>3548584900</v>
      </c>
      <c r="AD487" s="686">
        <f t="shared" si="245"/>
        <v>19.798791807815672</v>
      </c>
      <c r="AE487" s="687">
        <f t="shared" si="246"/>
        <v>-66.483900872789491</v>
      </c>
      <c r="AG487" s="686">
        <f t="shared" si="247"/>
        <v>6.9477203871335114</v>
      </c>
      <c r="AH487" s="687">
        <f t="shared" si="248"/>
        <v>-54.772837396586439</v>
      </c>
      <c r="AJ487" s="170">
        <f t="shared" si="249"/>
        <v>0</v>
      </c>
      <c r="AK487" s="170">
        <f t="shared" si="261"/>
        <v>0</v>
      </c>
      <c r="AM487" s="170" t="str">
        <f t="shared" si="253"/>
        <v>0.768899251234388+0.972929824766398i</v>
      </c>
      <c r="AN487" s="170" t="str">
        <f t="shared" si="254"/>
        <v>1.33758742037795i</v>
      </c>
      <c r="AO487" s="170" t="str">
        <f t="shared" si="255"/>
        <v>0.727376625963996-0.574840372689156i</v>
      </c>
      <c r="AP487" s="170" t="str">
        <f t="shared" si="256"/>
        <v>0.0385167914609353-0.1621549707944i</v>
      </c>
      <c r="AQ487" s="170" t="str">
        <f t="shared" si="257"/>
        <v>0.961483208539065+0.1621549707944i</v>
      </c>
      <c r="AR487" s="170" t="str">
        <f t="shared" si="258"/>
        <v>0.842409048665741-0.142073011229069i</v>
      </c>
    </row>
    <row r="488" spans="7:44">
      <c r="G488" s="688">
        <v>59913</v>
      </c>
      <c r="H488" s="676">
        <f t="shared" si="250"/>
        <v>59.912999999999997</v>
      </c>
      <c r="I488" s="677">
        <f t="shared" si="230"/>
        <v>312.86531646690457</v>
      </c>
      <c r="J488" s="678">
        <f t="shared" si="231"/>
        <v>1.5676000578252838</v>
      </c>
      <c r="K488" s="678">
        <f t="shared" si="232"/>
        <v>1.0034235325343503</v>
      </c>
      <c r="L488" s="679">
        <f t="shared" si="233"/>
        <v>8.2629218047898342E-2</v>
      </c>
      <c r="M488" s="678">
        <f t="shared" si="234"/>
        <v>1.0494055542162741</v>
      </c>
      <c r="N488" s="679">
        <f t="shared" si="235"/>
        <v>-0.30807040024280019</v>
      </c>
      <c r="O488" s="677">
        <f t="shared" si="236"/>
        <v>1129333.442637143</v>
      </c>
      <c r="P488" s="680">
        <f t="shared" si="237"/>
        <v>1.5707954413168241</v>
      </c>
      <c r="Q488" s="689">
        <f t="shared" si="259"/>
        <v>151.33398529990862</v>
      </c>
      <c r="R488" s="690">
        <f t="shared" si="260"/>
        <v>1.5641883776580658</v>
      </c>
      <c r="S488" s="677">
        <f t="shared" si="238"/>
        <v>2.4804675766918254</v>
      </c>
      <c r="T488" s="680">
        <f t="shared" si="239"/>
        <v>1.1558401824232936</v>
      </c>
      <c r="U488" s="681">
        <f t="shared" si="251"/>
        <v>0.79028699036301797</v>
      </c>
      <c r="V488" s="682">
        <f t="shared" si="252"/>
        <v>-0.83980502738634299</v>
      </c>
      <c r="W488" s="683">
        <f t="shared" si="240"/>
        <v>-30.913015853924154</v>
      </c>
      <c r="X488" s="684">
        <f t="shared" si="241"/>
        <v>-217.45430058475102</v>
      </c>
      <c r="Y488" s="687">
        <f t="shared" si="242"/>
        <v>-37.454300584751024</v>
      </c>
      <c r="AA488" s="170">
        <f t="shared" si="243"/>
        <v>59913</v>
      </c>
      <c r="AB488" s="170">
        <f t="shared" si="244"/>
        <v>3589567569</v>
      </c>
      <c r="AD488" s="686">
        <f t="shared" si="245"/>
        <v>19.757064614375761</v>
      </c>
      <c r="AE488" s="687">
        <f t="shared" si="246"/>
        <v>-66.603321183212373</v>
      </c>
      <c r="AG488" s="686">
        <f t="shared" si="247"/>
        <v>6.9218680177928853</v>
      </c>
      <c r="AH488" s="687">
        <f t="shared" si="248"/>
        <v>-54.616411925362648</v>
      </c>
      <c r="AJ488" s="170">
        <f t="shared" si="249"/>
        <v>0</v>
      </c>
      <c r="AK488" s="170">
        <f t="shared" si="261"/>
        <v>0</v>
      </c>
      <c r="AM488" s="170" t="str">
        <f t="shared" si="253"/>
        <v>0.776399281022301+0.974680829026947i</v>
      </c>
      <c r="AN488" s="170" t="str">
        <f t="shared" si="254"/>
        <v>1.34528915758107i</v>
      </c>
      <c r="AO488" s="170" t="str">
        <f t="shared" si="255"/>
        <v>0.724514000231367-0.577124461791043i</v>
      </c>
      <c r="AP488" s="170" t="str">
        <f t="shared" si="256"/>
        <v>0.0372667864962832-0.162446804837825i</v>
      </c>
      <c r="AQ488" s="170" t="str">
        <f t="shared" si="257"/>
        <v>0.962733213503717+0.162446804837825i</v>
      </c>
      <c r="AR488" s="170" t="str">
        <f t="shared" si="258"/>
        <v>0.841292045441069-0.141955427319276i</v>
      </c>
    </row>
    <row r="489" spans="7:44">
      <c r="G489" s="688">
        <v>60256</v>
      </c>
      <c r="H489" s="676">
        <f t="shared" si="250"/>
        <v>60.256</v>
      </c>
      <c r="I489" s="677">
        <f t="shared" si="230"/>
        <v>314.65644210491394</v>
      </c>
      <c r="J489" s="678">
        <f t="shared" si="231"/>
        <v>1.5676182520773658</v>
      </c>
      <c r="K489" s="678">
        <f t="shared" si="232"/>
        <v>1.0034627761392316</v>
      </c>
      <c r="L489" s="679">
        <f t="shared" si="233"/>
        <v>8.3100099014215736E-2</v>
      </c>
      <c r="M489" s="678">
        <f t="shared" si="234"/>
        <v>1.0499593634382205</v>
      </c>
      <c r="N489" s="679">
        <f t="shared" si="235"/>
        <v>-0.3097237290935636</v>
      </c>
      <c r="O489" s="677">
        <f t="shared" si="236"/>
        <v>1135798.8403108404</v>
      </c>
      <c r="P489" s="680">
        <f t="shared" si="237"/>
        <v>1.5707954463573011</v>
      </c>
      <c r="Q489" s="689">
        <f t="shared" si="259"/>
        <v>152.20032978104706</v>
      </c>
      <c r="R489" s="690">
        <f t="shared" si="260"/>
        <v>1.5642259915245389</v>
      </c>
      <c r="S489" s="677">
        <f t="shared" si="238"/>
        <v>2.4923656607184235</v>
      </c>
      <c r="T489" s="680">
        <f t="shared" si="239"/>
        <v>1.1579422482227899</v>
      </c>
      <c r="U489" s="681">
        <f t="shared" si="251"/>
        <v>0.78854611647659678</v>
      </c>
      <c r="V489" s="682">
        <f t="shared" si="252"/>
        <v>-0.84372741359802383</v>
      </c>
      <c r="W489" s="683">
        <f t="shared" si="240"/>
        <v>-31.018398595698272</v>
      </c>
      <c r="X489" s="684">
        <f t="shared" si="241"/>
        <v>-217.86611315946769</v>
      </c>
      <c r="Y489" s="687">
        <f t="shared" si="242"/>
        <v>-37.866113159467687</v>
      </c>
      <c r="AA489" s="170">
        <f t="shared" si="243"/>
        <v>60256</v>
      </c>
      <c r="AB489" s="170">
        <f t="shared" si="244"/>
        <v>3630785536</v>
      </c>
      <c r="AD489" s="686">
        <f t="shared" si="245"/>
        <v>19.715498372472577</v>
      </c>
      <c r="AE489" s="687">
        <f t="shared" si="246"/>
        <v>-66.721605854915452</v>
      </c>
      <c r="AG489" s="686">
        <f t="shared" si="247"/>
        <v>6.8963609364761851</v>
      </c>
      <c r="AH489" s="687">
        <f t="shared" si="248"/>
        <v>-54.460467476763469</v>
      </c>
      <c r="AJ489" s="170">
        <f t="shared" si="249"/>
        <v>0</v>
      </c>
      <c r="AK489" s="170">
        <f t="shared" si="261"/>
        <v>0</v>
      </c>
      <c r="AM489" s="170" t="str">
        <f t="shared" si="253"/>
        <v>0.78391257401392+0.976374018668415i</v>
      </c>
      <c r="AN489" s="170" t="str">
        <f t="shared" si="254"/>
        <v>1.35299089478418i</v>
      </c>
      <c r="AO489" s="170" t="str">
        <f t="shared" si="255"/>
        <v>0.721641233826751-0.579392349967709i</v>
      </c>
      <c r="AP489" s="170" t="str">
        <f t="shared" si="256"/>
        <v>0.03601457099768-0.162729003111403i</v>
      </c>
      <c r="AQ489" s="170" t="str">
        <f t="shared" si="257"/>
        <v>0.96398542900232+0.162729003111403i</v>
      </c>
      <c r="AR489" s="170" t="str">
        <f t="shared" si="258"/>
        <v>0.840178926022282-0.141829404214455i</v>
      </c>
    </row>
    <row r="490" spans="7:44">
      <c r="G490" s="688">
        <v>60607</v>
      </c>
      <c r="H490" s="676">
        <f t="shared" si="250"/>
        <v>60.606999999999999</v>
      </c>
      <c r="I490" s="677">
        <f t="shared" si="230"/>
        <v>316.48934337460679</v>
      </c>
      <c r="J490" s="678">
        <f t="shared" si="231"/>
        <v>1.5676366574889489</v>
      </c>
      <c r="K490" s="678">
        <f t="shared" si="232"/>
        <v>1.0035031653699344</v>
      </c>
      <c r="L490" s="679">
        <f t="shared" si="233"/>
        <v>8.3581924389604101E-2</v>
      </c>
      <c r="M490" s="678">
        <f t="shared" si="234"/>
        <v>1.0505290575701314</v>
      </c>
      <c r="N490" s="679">
        <f t="shared" si="235"/>
        <v>-0.31141381016829567</v>
      </c>
      <c r="O490" s="677">
        <f t="shared" si="236"/>
        <v>1142415.0344317378</v>
      </c>
      <c r="P490" s="680">
        <f t="shared" si="237"/>
        <v>1.5707954514562763</v>
      </c>
      <c r="Q490" s="689">
        <f t="shared" si="259"/>
        <v>153.08688076783287</v>
      </c>
      <c r="R490" s="690">
        <f t="shared" si="260"/>
        <v>1.564264041945858</v>
      </c>
      <c r="S490" s="677">
        <f t="shared" si="238"/>
        <v>2.5045525427160737</v>
      </c>
      <c r="T490" s="680">
        <f t="shared" si="239"/>
        <v>1.1600726559018217</v>
      </c>
      <c r="U490" s="681">
        <f t="shared" si="251"/>
        <v>0.78676516689630338</v>
      </c>
      <c r="V490" s="682">
        <f t="shared" si="252"/>
        <v>-0.84773064860119751</v>
      </c>
      <c r="W490" s="683">
        <f t="shared" si="240"/>
        <v>-31.125796094483249</v>
      </c>
      <c r="X490" s="684">
        <f t="shared" si="241"/>
        <v>-218.28564766682723</v>
      </c>
      <c r="Y490" s="687">
        <f t="shared" si="242"/>
        <v>-38.285647666827231</v>
      </c>
      <c r="AA490" s="170">
        <f t="shared" si="243"/>
        <v>60607</v>
      </c>
      <c r="AB490" s="170">
        <f t="shared" si="244"/>
        <v>3673208449</v>
      </c>
      <c r="AD490" s="686">
        <f t="shared" si="245"/>
        <v>19.673128444680231</v>
      </c>
      <c r="AE490" s="687">
        <f t="shared" si="246"/>
        <v>-66.841489387302701</v>
      </c>
      <c r="AG490" s="686">
        <f t="shared" si="247"/>
        <v>6.8706123023111356</v>
      </c>
      <c r="AH490" s="687">
        <f t="shared" si="248"/>
        <v>-54.301381511049726</v>
      </c>
      <c r="AJ490" s="170">
        <f t="shared" si="249"/>
        <v>0</v>
      </c>
      <c r="AK490" s="170">
        <f t="shared" si="261"/>
        <v>0</v>
      </c>
      <c r="AM490" s="170" t="str">
        <f t="shared" si="253"/>
        <v>0.79161437002342+0.978046741837661i</v>
      </c>
      <c r="AN490" s="170" t="str">
        <f t="shared" si="254"/>
        <v>1.36087226434189i</v>
      </c>
      <c r="AO490" s="170" t="str">
        <f t="shared" si="255"/>
        <v>0.718691068563028-0.581696306674484i</v>
      </c>
      <c r="AP490" s="170" t="str">
        <f t="shared" si="256"/>
        <v>0.03473093832943-0.163007790306277i</v>
      </c>
      <c r="AQ490" s="170" t="str">
        <f t="shared" si="257"/>
        <v>0.96526906167057+0.163007790306277i</v>
      </c>
      <c r="AR490" s="170" t="str">
        <f t="shared" si="258"/>
        <v>0.839043918015723-0.141691783645234i</v>
      </c>
    </row>
    <row r="491" spans="7:44">
      <c r="G491" s="688">
        <v>60958</v>
      </c>
      <c r="H491" s="676">
        <f t="shared" si="250"/>
        <v>60.957999999999998</v>
      </c>
      <c r="I491" s="677">
        <f t="shared" si="230"/>
        <v>318.32224475027857</v>
      </c>
      <c r="J491" s="678">
        <f t="shared" si="231"/>
        <v>1.5676548509435997</v>
      </c>
      <c r="K491" s="678">
        <f t="shared" si="232"/>
        <v>1.0035437875508255</v>
      </c>
      <c r="L491" s="679">
        <f t="shared" si="233"/>
        <v>8.4063710869473118E-2</v>
      </c>
      <c r="M491" s="678">
        <f t="shared" si="234"/>
        <v>1.0511017491482273</v>
      </c>
      <c r="N491" s="679">
        <f t="shared" si="235"/>
        <v>-0.31310205438346067</v>
      </c>
      <c r="O491" s="677">
        <f t="shared" si="236"/>
        <v>1149031.2285526353</v>
      </c>
      <c r="P491" s="680">
        <f t="shared" si="237"/>
        <v>1.5707954564965312</v>
      </c>
      <c r="Q491" s="689">
        <f t="shared" si="259"/>
        <v>153.97343197371075</v>
      </c>
      <c r="R491" s="690">
        <f t="shared" si="260"/>
        <v>1.5643016541923269</v>
      </c>
      <c r="S491" s="677">
        <f t="shared" si="238"/>
        <v>2.5167506818508385</v>
      </c>
      <c r="T491" s="680">
        <f t="shared" si="239"/>
        <v>1.1621824218406511</v>
      </c>
      <c r="U491" s="681">
        <f t="shared" si="251"/>
        <v>0.78498482485482046</v>
      </c>
      <c r="V491" s="682">
        <f t="shared" si="252"/>
        <v>-0.8517231645065404</v>
      </c>
      <c r="W491" s="683">
        <f t="shared" si="240"/>
        <v>-31.232748991994626</v>
      </c>
      <c r="X491" s="684">
        <f t="shared" si="241"/>
        <v>-218.7032952727391</v>
      </c>
      <c r="Y491" s="687">
        <f t="shared" si="242"/>
        <v>-38.703295272739098</v>
      </c>
      <c r="AA491" s="170">
        <f t="shared" si="243"/>
        <v>60958</v>
      </c>
      <c r="AB491" s="170">
        <f t="shared" si="244"/>
        <v>3715877764</v>
      </c>
      <c r="AD491" s="686">
        <f t="shared" si="245"/>
        <v>19.630925360518969</v>
      </c>
      <c r="AE491" s="687">
        <f t="shared" si="246"/>
        <v>-66.960215337298422</v>
      </c>
      <c r="AG491" s="686">
        <f t="shared" si="247"/>
        <v>6.8452169949195163</v>
      </c>
      <c r="AH491" s="687">
        <f t="shared" si="248"/>
        <v>-54.142794544413135</v>
      </c>
      <c r="AJ491" s="170">
        <f t="shared" si="249"/>
        <v>0</v>
      </c>
      <c r="AK491" s="170">
        <f t="shared" si="261"/>
        <v>0</v>
      </c>
      <c r="AM491" s="170" t="str">
        <f t="shared" si="253"/>
        <v>0.799329110044814+0.979658712983554i</v>
      </c>
      <c r="AN491" s="170" t="str">
        <f t="shared" si="254"/>
        <v>1.3687536338996i</v>
      </c>
      <c r="AO491" s="170" t="str">
        <f t="shared" si="255"/>
        <v>0.715730492851728-0.58398318751309i</v>
      </c>
      <c r="AP491" s="170" t="str">
        <f t="shared" si="256"/>
        <v>0.0334451483258643-0.163276452163926i</v>
      </c>
      <c r="AQ491" s="170" t="str">
        <f t="shared" si="257"/>
        <v>0.966554851674136+0.163276452163926i</v>
      </c>
      <c r="AR491" s="170" t="str">
        <f t="shared" si="258"/>
        <v>0.837913082706649-0.141545485110455i</v>
      </c>
    </row>
    <row r="492" spans="7:44">
      <c r="G492" s="688">
        <v>61309</v>
      </c>
      <c r="H492" s="676">
        <f t="shared" si="250"/>
        <v>61.308999999999997</v>
      </c>
      <c r="I492" s="677">
        <f t="shared" si="230"/>
        <v>320.15514623010921</v>
      </c>
      <c r="J492" s="678">
        <f t="shared" si="231"/>
        <v>1.5676728360816925</v>
      </c>
      <c r="K492" s="678">
        <f t="shared" si="232"/>
        <v>1.0035846426536172</v>
      </c>
      <c r="L492" s="679">
        <f t="shared" si="233"/>
        <v>8.4545458234896689E-2</v>
      </c>
      <c r="M492" s="678">
        <f t="shared" si="234"/>
        <v>1.0516774332757248</v>
      </c>
      <c r="N492" s="679">
        <f t="shared" si="235"/>
        <v>-0.31478845512417308</v>
      </c>
      <c r="O492" s="677">
        <f t="shared" si="236"/>
        <v>1155647.4226735327</v>
      </c>
      <c r="P492" s="680">
        <f t="shared" si="237"/>
        <v>1.5707954614790742</v>
      </c>
      <c r="Q492" s="689">
        <f t="shared" si="259"/>
        <v>154.85998339491795</v>
      </c>
      <c r="R492" s="690">
        <f t="shared" si="260"/>
        <v>1.5643388357893044</v>
      </c>
      <c r="S492" s="677">
        <f t="shared" si="238"/>
        <v>2.5289599152303119</v>
      </c>
      <c r="T492" s="680">
        <f t="shared" si="239"/>
        <v>1.1642718260813072</v>
      </c>
      <c r="U492" s="681">
        <f t="shared" si="251"/>
        <v>0.78320516338265667</v>
      </c>
      <c r="V492" s="682">
        <f t="shared" si="252"/>
        <v>-0.85570500103820468</v>
      </c>
      <c r="W492" s="683">
        <f t="shared" si="240"/>
        <v>-31.339260924631485</v>
      </c>
      <c r="X492" s="684">
        <f t="shared" si="241"/>
        <v>-219.11907370945914</v>
      </c>
      <c r="Y492" s="687">
        <f t="shared" si="242"/>
        <v>-39.119073709459144</v>
      </c>
      <c r="AA492" s="170">
        <f t="shared" si="243"/>
        <v>61309</v>
      </c>
      <c r="AB492" s="170">
        <f t="shared" si="244"/>
        <v>3758793481</v>
      </c>
      <c r="AD492" s="686">
        <f t="shared" si="245"/>
        <v>19.588888253863988</v>
      </c>
      <c r="AE492" s="687">
        <f t="shared" si="246"/>
        <v>-67.077799319015426</v>
      </c>
      <c r="AG492" s="686">
        <f t="shared" si="247"/>
        <v>6.8201709368606789</v>
      </c>
      <c r="AH492" s="687">
        <f t="shared" si="248"/>
        <v>-53.98470414294404</v>
      </c>
      <c r="AJ492" s="170">
        <f t="shared" si="249"/>
        <v>0</v>
      </c>
      <c r="AK492" s="170">
        <f t="shared" si="261"/>
        <v>0</v>
      </c>
      <c r="AM492" s="170" t="str">
        <f t="shared" si="253"/>
        <v>0.807056314871898+0.981209831977436i</v>
      </c>
      <c r="AN492" s="170" t="str">
        <f t="shared" si="254"/>
        <v>1.37663500345731i</v>
      </c>
      <c r="AO492" s="170" t="str">
        <f t="shared" si="255"/>
        <v>0.712759612760975-0.586252937666876i</v>
      </c>
      <c r="AP492" s="170" t="str">
        <f t="shared" si="256"/>
        <v>0.0321572808546837-0.163534971996239i</v>
      </c>
      <c r="AQ492" s="170" t="str">
        <f t="shared" si="257"/>
        <v>0.967842719145316+0.163534971996239i</v>
      </c>
      <c r="AR492" s="170" t="str">
        <f t="shared" si="258"/>
        <v>0.836786471556174-0.141390589075893i</v>
      </c>
    </row>
    <row r="493" spans="7:44">
      <c r="G493" s="688">
        <v>61660</v>
      </c>
      <c r="H493" s="676">
        <f t="shared" si="250"/>
        <v>61.66</v>
      </c>
      <c r="I493" s="677">
        <f t="shared" si="230"/>
        <v>321.98804781231985</v>
      </c>
      <c r="J493" s="678">
        <f t="shared" si="231"/>
        <v>1.5676906164607123</v>
      </c>
      <c r="K493" s="678">
        <f t="shared" si="232"/>
        <v>1.0036257306498648</v>
      </c>
      <c r="L493" s="679">
        <f t="shared" si="233"/>
        <v>8.5027166267056975E-2</v>
      </c>
      <c r="M493" s="678">
        <f t="shared" si="234"/>
        <v>1.0522561050409969</v>
      </c>
      <c r="N493" s="679">
        <f t="shared" si="235"/>
        <v>-0.31647300583192706</v>
      </c>
      <c r="O493" s="677">
        <f t="shared" si="236"/>
        <v>1162263.6167944302</v>
      </c>
      <c r="P493" s="680">
        <f t="shared" si="237"/>
        <v>1.5707954664048909</v>
      </c>
      <c r="Q493" s="689">
        <f t="shared" si="259"/>
        <v>155.74653502777727</v>
      </c>
      <c r="R493" s="690">
        <f t="shared" si="260"/>
        <v>1.5643755940908093</v>
      </c>
      <c r="S493" s="677">
        <f t="shared" si="238"/>
        <v>2.541180082945854</v>
      </c>
      <c r="T493" s="680">
        <f t="shared" si="239"/>
        <v>1.1663411439975828</v>
      </c>
      <c r="U493" s="681">
        <f t="shared" si="251"/>
        <v>0.78142625430207557</v>
      </c>
      <c r="V493" s="682">
        <f t="shared" si="252"/>
        <v>-0.85967619840110754</v>
      </c>
      <c r="W493" s="683">
        <f t="shared" si="240"/>
        <v>-31.445335481264006</v>
      </c>
      <c r="X493" s="684">
        <f t="shared" si="241"/>
        <v>-219.53300047760922</v>
      </c>
      <c r="Y493" s="687">
        <f t="shared" si="242"/>
        <v>-39.533000477609221</v>
      </c>
      <c r="AA493" s="170">
        <f t="shared" si="243"/>
        <v>61660</v>
      </c>
      <c r="AB493" s="170">
        <f t="shared" si="244"/>
        <v>3801955600</v>
      </c>
      <c r="AD493" s="686">
        <f t="shared" si="245"/>
        <v>19.547016256027142</v>
      </c>
      <c r="AE493" s="687">
        <f t="shared" si="246"/>
        <v>-67.194256688912105</v>
      </c>
      <c r="AG493" s="686">
        <f t="shared" si="247"/>
        <v>6.7954701148529253</v>
      </c>
      <c r="AH493" s="687">
        <f t="shared" si="248"/>
        <v>-53.827107843661857</v>
      </c>
      <c r="AJ493" s="170">
        <f t="shared" si="249"/>
        <v>0</v>
      </c>
      <c r="AK493" s="170">
        <f t="shared" si="261"/>
        <v>0</v>
      </c>
      <c r="AM493" s="170" t="str">
        <f t="shared" si="253"/>
        <v>0.814795504524198+0.982700002470517i</v>
      </c>
      <c r="AN493" s="170" t="str">
        <f t="shared" si="254"/>
        <v>1.38451637301501i</v>
      </c>
      <c r="AO493" s="170" t="str">
        <f t="shared" si="255"/>
        <v>0.709778534673828-0.588505503008136i</v>
      </c>
      <c r="AP493" s="170" t="str">
        <f t="shared" si="256"/>
        <v>0.0308674159126337-0.163783333745086i</v>
      </c>
      <c r="AQ493" s="170" t="str">
        <f t="shared" si="257"/>
        <v>0.969132584087366+0.163783333745086i</v>
      </c>
      <c r="AR493" s="170" t="str">
        <f t="shared" si="258"/>
        <v>0.835664134733469-0.141227175853074i</v>
      </c>
    </row>
    <row r="494" spans="7:44">
      <c r="G494" s="688">
        <v>62019</v>
      </c>
      <c r="H494" s="676">
        <f t="shared" si="250"/>
        <v>62.018999999999998</v>
      </c>
      <c r="I494" s="677">
        <f t="shared" si="230"/>
        <v>323.86272503326273</v>
      </c>
      <c r="J494" s="678">
        <f t="shared" si="231"/>
        <v>1.5677085939015394</v>
      </c>
      <c r="K494" s="678">
        <f t="shared" si="232"/>
        <v>1.0036679960109625</v>
      </c>
      <c r="L494" s="679">
        <f t="shared" si="233"/>
        <v>8.551981248349734E-2</v>
      </c>
      <c r="M494" s="678">
        <f t="shared" si="234"/>
        <v>1.0528510513267795</v>
      </c>
      <c r="N494" s="679">
        <f t="shared" si="235"/>
        <v>-0.31819403031845905</v>
      </c>
      <c r="O494" s="677">
        <f t="shared" si="236"/>
        <v>1169030.6073625279</v>
      </c>
      <c r="P494" s="680">
        <f t="shared" si="237"/>
        <v>1.5707954713853003</v>
      </c>
      <c r="Q494" s="689">
        <f t="shared" si="259"/>
        <v>156.65329318085671</v>
      </c>
      <c r="R494" s="690">
        <f t="shared" si="260"/>
        <v>1.5644127598019426</v>
      </c>
      <c r="S494" s="677">
        <f t="shared" si="238"/>
        <v>2.553689920388079</v>
      </c>
      <c r="T494" s="680">
        <f t="shared" si="239"/>
        <v>1.1684371298238199</v>
      </c>
      <c r="U494" s="681">
        <f t="shared" si="251"/>
        <v>0.77960765219835315</v>
      </c>
      <c r="V494" s="682">
        <f t="shared" si="252"/>
        <v>-0.86372694411743833</v>
      </c>
      <c r="W494" s="683">
        <f t="shared" si="240"/>
        <v>-31.553378940809921</v>
      </c>
      <c r="X494" s="684">
        <f t="shared" si="241"/>
        <v>-219.95446402225346</v>
      </c>
      <c r="Y494" s="687">
        <f t="shared" si="242"/>
        <v>-39.954464022253461</v>
      </c>
      <c r="AA494" s="170">
        <f t="shared" si="243"/>
        <v>62019</v>
      </c>
      <c r="AB494" s="170">
        <f t="shared" si="244"/>
        <v>3846356361</v>
      </c>
      <c r="AD494" s="686">
        <f t="shared" si="245"/>
        <v>19.504359799385234</v>
      </c>
      <c r="AE494" s="687">
        <f t="shared" si="246"/>
        <v>-67.312218677775405</v>
      </c>
      <c r="AG494" s="686">
        <f t="shared" si="247"/>
        <v>6.7705593226167737</v>
      </c>
      <c r="AH494" s="687">
        <f t="shared" si="248"/>
        <v>-53.66642813205948</v>
      </c>
      <c r="AJ494" s="170">
        <f t="shared" si="249"/>
        <v>0</v>
      </c>
      <c r="AK494" s="170">
        <f t="shared" si="261"/>
        <v>0</v>
      </c>
      <c r="AM494" s="170" t="str">
        <f t="shared" si="253"/>
        <v>0.822722982572081+0.984160992466101i</v>
      </c>
      <c r="AN494" s="170" t="str">
        <f t="shared" si="254"/>
        <v>1.39257737492731i</v>
      </c>
      <c r="AO494" s="170" t="str">
        <f t="shared" si="255"/>
        <v>0.706719073701361-0.590791576385496i</v>
      </c>
      <c r="AP494" s="170" t="str">
        <f t="shared" si="256"/>
        <v>0.0295461695713198-0.164026832077684i</v>
      </c>
      <c r="AQ494" s="170" t="str">
        <f t="shared" si="257"/>
        <v>0.97045383042868+0.164026832077684i</v>
      </c>
      <c r="AR494" s="170" t="str">
        <f t="shared" si="258"/>
        <v>0.834520690107715-0.14105131105638i</v>
      </c>
    </row>
    <row r="495" spans="7:44">
      <c r="G495" s="688">
        <v>62378</v>
      </c>
      <c r="H495" s="676">
        <f t="shared" si="250"/>
        <v>62.378</v>
      </c>
      <c r="I495" s="677">
        <f t="shared" si="230"/>
        <v>325.73740235766957</v>
      </c>
      <c r="J495" s="678">
        <f t="shared" si="231"/>
        <v>1.567726364415563</v>
      </c>
      <c r="K495" s="678">
        <f t="shared" si="232"/>
        <v>1.003710504942029</v>
      </c>
      <c r="L495" s="679">
        <f t="shared" si="233"/>
        <v>8.6012417090591736E-2</v>
      </c>
      <c r="M495" s="678">
        <f t="shared" si="234"/>
        <v>1.0534491125509542</v>
      </c>
      <c r="N495" s="679">
        <f t="shared" si="235"/>
        <v>-0.31991310578141086</v>
      </c>
      <c r="O495" s="677">
        <f t="shared" si="236"/>
        <v>1175797.5979306255</v>
      </c>
      <c r="P495" s="680">
        <f t="shared" si="237"/>
        <v>1.5707954763083829</v>
      </c>
      <c r="Q495" s="689">
        <f t="shared" si="259"/>
        <v>157.56005154782918</v>
      </c>
      <c r="R495" s="690">
        <f t="shared" si="260"/>
        <v>1.5644494977356633</v>
      </c>
      <c r="S495" s="677">
        <f t="shared" si="238"/>
        <v>2.5662108671823489</v>
      </c>
      <c r="T495" s="680">
        <f t="shared" si="239"/>
        <v>1.1705126714046685</v>
      </c>
      <c r="U495" s="681">
        <f t="shared" si="251"/>
        <v>0.77778998532179477</v>
      </c>
      <c r="V495" s="682">
        <f t="shared" si="252"/>
        <v>-0.86776664672493808</v>
      </c>
      <c r="W495" s="683">
        <f t="shared" si="240"/>
        <v>-31.660972305674534</v>
      </c>
      <c r="X495" s="684">
        <f t="shared" si="241"/>
        <v>-220.37402683812857</v>
      </c>
      <c r="Y495" s="687">
        <f t="shared" si="242"/>
        <v>-40.374026838128572</v>
      </c>
      <c r="AA495" s="170">
        <f t="shared" si="243"/>
        <v>62378</v>
      </c>
      <c r="AB495" s="170">
        <f t="shared" si="244"/>
        <v>3891014884</v>
      </c>
      <c r="AD495" s="686">
        <f t="shared" si="245"/>
        <v>19.461874218884972</v>
      </c>
      <c r="AE495" s="687">
        <f t="shared" si="246"/>
        <v>-67.42903380421707</v>
      </c>
      <c r="AG495" s="686">
        <f t="shared" si="247"/>
        <v>6.7460013905877405</v>
      </c>
      <c r="AH495" s="687">
        <f t="shared" si="248"/>
        <v>-53.506260001168485</v>
      </c>
      <c r="AJ495" s="170">
        <f t="shared" si="249"/>
        <v>0</v>
      </c>
      <c r="AK495" s="170">
        <f t="shared" si="261"/>
        <v>0</v>
      </c>
      <c r="AM495" s="170" t="str">
        <f t="shared" si="253"/>
        <v>0.830661979974183+0.985558032270924i</v>
      </c>
      <c r="AN495" s="170" t="str">
        <f t="shared" si="254"/>
        <v>1.40063837683961i</v>
      </c>
      <c r="AO495" s="170" t="str">
        <f t="shared" si="255"/>
        <v>0.703649170669398-0.593059560347391i</v>
      </c>
      <c r="AP495" s="170" t="str">
        <f t="shared" si="256"/>
        <v>0.0282230033376362-0.164259672045154i</v>
      </c>
      <c r="AQ495" s="170" t="str">
        <f t="shared" si="257"/>
        <v>0.971776996662364+0.164259672045154i</v>
      </c>
      <c r="AR495" s="170" t="str">
        <f t="shared" si="258"/>
        <v>0.833381818964843-0.140866705778919i</v>
      </c>
    </row>
    <row r="496" spans="7:44">
      <c r="G496" s="688">
        <v>62737</v>
      </c>
      <c r="H496" s="676">
        <f t="shared" si="250"/>
        <v>62.737000000000002</v>
      </c>
      <c r="I496" s="677">
        <f t="shared" si="230"/>
        <v>327.6120797837641</v>
      </c>
      <c r="J496" s="678">
        <f t="shared" si="231"/>
        <v>1.567743931555031</v>
      </c>
      <c r="K496" s="678">
        <f t="shared" si="232"/>
        <v>1.0037532574121188</v>
      </c>
      <c r="L496" s="679">
        <f t="shared" si="233"/>
        <v>8.6504979854571687E-2</v>
      </c>
      <c r="M496" s="678">
        <f t="shared" si="234"/>
        <v>1.0540502834113337</v>
      </c>
      <c r="N496" s="679">
        <f t="shared" si="235"/>
        <v>-0.32163022538655323</v>
      </c>
      <c r="O496" s="677">
        <f t="shared" si="236"/>
        <v>1182564.588498723</v>
      </c>
      <c r="P496" s="680">
        <f t="shared" si="237"/>
        <v>1.5707954811751226</v>
      </c>
      <c r="Q496" s="689">
        <f t="shared" si="259"/>
        <v>158.46681012502299</v>
      </c>
      <c r="R496" s="690">
        <f t="shared" si="260"/>
        <v>1.5644858152351917</v>
      </c>
      <c r="S496" s="677">
        <f t="shared" si="238"/>
        <v>2.5787427615060832</v>
      </c>
      <c r="T496" s="680">
        <f t="shared" si="239"/>
        <v>1.1725680487846446</v>
      </c>
      <c r="U496" s="681">
        <f t="shared" si="251"/>
        <v>0.77597332665308572</v>
      </c>
      <c r="V496" s="682">
        <f t="shared" si="252"/>
        <v>-0.87179535072257541</v>
      </c>
      <c r="W496" s="683">
        <f t="shared" si="240"/>
        <v>-31.768119267292086</v>
      </c>
      <c r="X496" s="684">
        <f t="shared" si="241"/>
        <v>-220.79170692487756</v>
      </c>
      <c r="Y496" s="687">
        <f t="shared" si="242"/>
        <v>-40.791706924877559</v>
      </c>
      <c r="AA496" s="170">
        <f t="shared" si="243"/>
        <v>62737</v>
      </c>
      <c r="AB496" s="170">
        <f t="shared" si="244"/>
        <v>3935931169</v>
      </c>
      <c r="AD496" s="686">
        <f t="shared" si="245"/>
        <v>19.419558579180098</v>
      </c>
      <c r="AE496" s="687">
        <f t="shared" si="246"/>
        <v>-67.544717692926724</v>
      </c>
      <c r="AG496" s="686">
        <f t="shared" si="247"/>
        <v>6.7217922246368396</v>
      </c>
      <c r="AH496" s="687">
        <f t="shared" si="248"/>
        <v>-53.346600726736057</v>
      </c>
      <c r="AJ496" s="170">
        <f t="shared" si="249"/>
        <v>0</v>
      </c>
      <c r="AK496" s="170">
        <f t="shared" si="261"/>
        <v>0</v>
      </c>
      <c r="AM496" s="170" t="str">
        <f t="shared" si="253"/>
        <v>0.838611980859219+0.986891031106178i</v>
      </c>
      <c r="AN496" s="170" t="str">
        <f t="shared" si="254"/>
        <v>1.40869937875191i</v>
      </c>
      <c r="AO496" s="170" t="str">
        <f t="shared" si="255"/>
        <v>0.700568940394189-0.595309399229109i</v>
      </c>
      <c r="AP496" s="170" t="str">
        <f t="shared" si="256"/>
        <v>0.0268980031901302-0.164481838517696i</v>
      </c>
      <c r="AQ496" s="170" t="str">
        <f t="shared" si="257"/>
        <v>0.97310199680987+0.164481838517696i</v>
      </c>
      <c r="AR496" s="170" t="str">
        <f t="shared" si="258"/>
        <v>0.832247570896056-0.140673445344513i</v>
      </c>
    </row>
    <row r="497" spans="7:44">
      <c r="G497" s="688">
        <v>63096</v>
      </c>
      <c r="H497" s="676">
        <f t="shared" si="250"/>
        <v>63.095999999999997</v>
      </c>
      <c r="I497" s="677">
        <f t="shared" si="230"/>
        <v>329.48675730981074</v>
      </c>
      <c r="J497" s="678">
        <f t="shared" si="231"/>
        <v>1.5677612987913467</v>
      </c>
      <c r="K497" s="678">
        <f t="shared" si="232"/>
        <v>1.003796253390115</v>
      </c>
      <c r="L497" s="679">
        <f t="shared" si="233"/>
        <v>8.6997500541789688E-2</v>
      </c>
      <c r="M497" s="678">
        <f t="shared" si="234"/>
        <v>1.0546545585902833</v>
      </c>
      <c r="N497" s="679">
        <f t="shared" si="235"/>
        <v>-0.32334538236133376</v>
      </c>
      <c r="O497" s="677">
        <f t="shared" si="236"/>
        <v>1189331.5790668207</v>
      </c>
      <c r="P497" s="680">
        <f t="shared" si="237"/>
        <v>1.5707954859864814</v>
      </c>
      <c r="Q497" s="689">
        <f t="shared" si="259"/>
        <v>159.37356890884996</v>
      </c>
      <c r="R497" s="690">
        <f t="shared" si="260"/>
        <v>1.5645217194766348</v>
      </c>
      <c r="S497" s="677">
        <f t="shared" si="238"/>
        <v>2.5912854445269802</v>
      </c>
      <c r="T497" s="680">
        <f t="shared" si="239"/>
        <v>1.174603537274834</v>
      </c>
      <c r="U497" s="681">
        <f t="shared" si="251"/>
        <v>0.77415774788985803</v>
      </c>
      <c r="V497" s="682">
        <f t="shared" si="252"/>
        <v>-0.8758131010827086</v>
      </c>
      <c r="W497" s="683">
        <f t="shared" si="240"/>
        <v>-31.874823468948513</v>
      </c>
      <c r="X497" s="684">
        <f t="shared" si="241"/>
        <v>-221.20752204652956</v>
      </c>
      <c r="Y497" s="687">
        <f t="shared" si="242"/>
        <v>-41.207522046529562</v>
      </c>
      <c r="AA497" s="170">
        <f t="shared" si="243"/>
        <v>63096</v>
      </c>
      <c r="AB497" s="170">
        <f t="shared" si="244"/>
        <v>3981105216</v>
      </c>
      <c r="AD497" s="686">
        <f t="shared" si="245"/>
        <v>19.377411943696895</v>
      </c>
      <c r="AE497" s="687">
        <f t="shared" si="246"/>
        <v>-67.659285706962194</v>
      </c>
      <c r="AG497" s="686">
        <f t="shared" si="247"/>
        <v>6.6979277952872014</v>
      </c>
      <c r="AH497" s="687">
        <f t="shared" si="248"/>
        <v>-53.187447556280979</v>
      </c>
      <c r="AJ497" s="170">
        <f t="shared" si="249"/>
        <v>0</v>
      </c>
      <c r="AK497" s="170">
        <f t="shared" si="261"/>
        <v>0</v>
      </c>
      <c r="AM497" s="170" t="str">
        <f t="shared" si="253"/>
        <v>0.8465724686409+0.988159902354398i</v>
      </c>
      <c r="AN497" s="170" t="str">
        <f t="shared" si="254"/>
        <v>1.41676038066421i</v>
      </c>
      <c r="AO497" s="170" t="str">
        <f t="shared" si="255"/>
        <v>0.697478498016105-0.597541038128132i</v>
      </c>
      <c r="AP497" s="170" t="str">
        <f t="shared" si="256"/>
        <v>0.0255712552265167-0.164693317059066i</v>
      </c>
      <c r="AQ497" s="170" t="str">
        <f t="shared" si="257"/>
        <v>0.974428744773483+0.164693317059066i</v>
      </c>
      <c r="AR497" s="170" t="str">
        <f t="shared" si="258"/>
        <v>0.83111799415125-0.140471614839386i</v>
      </c>
    </row>
    <row r="498" spans="7:44">
      <c r="G498" s="688">
        <v>63463.25</v>
      </c>
      <c r="H498" s="676">
        <f t="shared" si="250"/>
        <v>63.463250000000002</v>
      </c>
      <c r="I498" s="677">
        <f t="shared" si="230"/>
        <v>331.40451596701092</v>
      </c>
      <c r="J498" s="678">
        <f t="shared" si="231"/>
        <v>1.5677788618258406</v>
      </c>
      <c r="K498" s="678">
        <f t="shared" si="232"/>
        <v>1.0038404893707231</v>
      </c>
      <c r="L498" s="679">
        <f t="shared" si="233"/>
        <v>8.7501295819568531E-2</v>
      </c>
      <c r="M498" s="678">
        <f t="shared" si="234"/>
        <v>1.0552759269018113</v>
      </c>
      <c r="N498" s="679">
        <f t="shared" si="235"/>
        <v>-0.32509791670460408</v>
      </c>
      <c r="O498" s="677">
        <f t="shared" si="236"/>
        <v>1196254.078471093</v>
      </c>
      <c r="P498" s="680">
        <f t="shared" si="237"/>
        <v>1.5707954908520831</v>
      </c>
      <c r="Q498" s="689">
        <f t="shared" si="259"/>
        <v>160.30116567432597</v>
      </c>
      <c r="R498" s="690">
        <f t="shared" si="260"/>
        <v>1.5645580285150076</v>
      </c>
      <c r="S498" s="677">
        <f t="shared" si="238"/>
        <v>2.6041273655916357</v>
      </c>
      <c r="T498" s="680">
        <f t="shared" si="239"/>
        <v>1.1766655047722283</v>
      </c>
      <c r="U498" s="681">
        <f t="shared" si="251"/>
        <v>0.77230163705384491</v>
      </c>
      <c r="V498" s="682">
        <f t="shared" si="252"/>
        <v>-0.87991189462440689</v>
      </c>
      <c r="W498" s="683">
        <f t="shared" si="240"/>
        <v>-31.983525396708838</v>
      </c>
      <c r="X498" s="684">
        <f t="shared" si="241"/>
        <v>-221.6309813431813</v>
      </c>
      <c r="Y498" s="687">
        <f t="shared" si="242"/>
        <v>-41.630981343181304</v>
      </c>
      <c r="AA498" s="170">
        <f t="shared" si="243"/>
        <v>63463.25</v>
      </c>
      <c r="AB498" s="170">
        <f t="shared" si="244"/>
        <v>4027584100.5625</v>
      </c>
      <c r="AD498" s="686">
        <f t="shared" si="245"/>
        <v>19.334470654506191</v>
      </c>
      <c r="AE498" s="687">
        <f t="shared" si="246"/>
        <v>-67.775347666310154</v>
      </c>
      <c r="AG498" s="686">
        <f t="shared" si="247"/>
        <v>6.6738675253820103</v>
      </c>
      <c r="AH498" s="687">
        <f t="shared" si="248"/>
        <v>-53.025157750978451</v>
      </c>
      <c r="AJ498" s="170">
        <f t="shared" si="249"/>
        <v>0</v>
      </c>
      <c r="AK498" s="170">
        <f t="shared" si="261"/>
        <v>0</v>
      </c>
      <c r="AM498" s="170" t="str">
        <f t="shared" si="253"/>
        <v>0.854726204241255+0.989391491910986i</v>
      </c>
      <c r="AN498" s="170" t="str">
        <f t="shared" si="254"/>
        <v>1.42500662844218i</v>
      </c>
      <c r="AO498" s="170" t="str">
        <f t="shared" si="255"/>
        <v>0.69430658929116-0.599805072609131i</v>
      </c>
      <c r="AP498" s="170" t="str">
        <f t="shared" si="256"/>
        <v>0.0242122992931242-0.164898581985164i</v>
      </c>
      <c r="AQ498" s="170" t="str">
        <f t="shared" si="257"/>
        <v>0.975787700706876+0.164898581985164i</v>
      </c>
      <c r="AR498" s="170" t="str">
        <f t="shared" si="258"/>
        <v>0.829967341669153-0.140256366867604i</v>
      </c>
    </row>
    <row r="499" spans="7:44">
      <c r="G499" s="688">
        <v>63830.5</v>
      </c>
      <c r="H499" s="676">
        <f t="shared" si="250"/>
        <v>63.830500000000001</v>
      </c>
      <c r="I499" s="677">
        <f t="shared" si="230"/>
        <v>333.32227472525983</v>
      </c>
      <c r="J499" s="678">
        <f t="shared" si="231"/>
        <v>1.5677962227636557</v>
      </c>
      <c r="K499" s="678">
        <f t="shared" si="232"/>
        <v>1.0038849801132745</v>
      </c>
      <c r="L499" s="679">
        <f t="shared" si="233"/>
        <v>8.8005046570226439E-2</v>
      </c>
      <c r="M499" s="678">
        <f t="shared" si="234"/>
        <v>1.0559005325426962</v>
      </c>
      <c r="N499" s="679">
        <f t="shared" si="235"/>
        <v>-0.32684838303644081</v>
      </c>
      <c r="O499" s="677">
        <f t="shared" si="236"/>
        <v>1203176.5778753657</v>
      </c>
      <c r="P499" s="680">
        <f t="shared" si="237"/>
        <v>1.5707954956616961</v>
      </c>
      <c r="Q499" s="689">
        <f t="shared" si="259"/>
        <v>161.22876264870268</v>
      </c>
      <c r="R499" s="690">
        <f t="shared" si="260"/>
        <v>1.564593919760056</v>
      </c>
      <c r="S499" s="677">
        <f t="shared" si="238"/>
        <v>2.616980249959318</v>
      </c>
      <c r="T499" s="680">
        <f t="shared" si="239"/>
        <v>1.1787072268254164</v>
      </c>
      <c r="U499" s="681">
        <f t="shared" si="251"/>
        <v>0.77044680404671428</v>
      </c>
      <c r="V499" s="682">
        <f t="shared" si="252"/>
        <v>-0.88399932197292641</v>
      </c>
      <c r="W499" s="683">
        <f t="shared" si="240"/>
        <v>-32.091771543600387</v>
      </c>
      <c r="X499" s="684">
        <f t="shared" si="241"/>
        <v>-222.05252584461371</v>
      </c>
      <c r="Y499" s="687">
        <f t="shared" si="242"/>
        <v>-42.052525844613712</v>
      </c>
      <c r="AA499" s="170">
        <f t="shared" si="243"/>
        <v>63830.5</v>
      </c>
      <c r="AB499" s="170">
        <f t="shared" si="244"/>
        <v>4074332730.25</v>
      </c>
      <c r="AD499" s="686">
        <f t="shared" si="245"/>
        <v>19.29170424121704</v>
      </c>
      <c r="AE499" s="687">
        <f t="shared" si="246"/>
        <v>-67.890273581735727</v>
      </c>
      <c r="AG499" s="686">
        <f t="shared" si="247"/>
        <v>6.6501596895966575</v>
      </c>
      <c r="AH499" s="687">
        <f t="shared" si="248"/>
        <v>-52.863391664177037</v>
      </c>
      <c r="AJ499" s="170">
        <f t="shared" si="249"/>
        <v>0</v>
      </c>
      <c r="AK499" s="170">
        <f t="shared" si="261"/>
        <v>0</v>
      </c>
      <c r="AM499" s="170" t="str">
        <f t="shared" si="253"/>
        <v>0.862889818491266+0.990555802631352i</v>
      </c>
      <c r="AN499" s="170" t="str">
        <f t="shared" si="254"/>
        <v>1.43325287622016i</v>
      </c>
      <c r="AO499" s="170" t="str">
        <f t="shared" si="255"/>
        <v>0.691124238483087-0.602049947226981i</v>
      </c>
      <c r="AP499" s="170" t="str">
        <f t="shared" si="256"/>
        <v>0.0228516969181223-0.165092633771892i</v>
      </c>
      <c r="AQ499" s="170" t="str">
        <f t="shared" si="257"/>
        <v>0.977148303081878+0.165092633771892i</v>
      </c>
      <c r="AR499" s="170" t="str">
        <f t="shared" si="258"/>
        <v>0.828821675605035-0.140032329710143i</v>
      </c>
    </row>
    <row r="500" spans="7:44">
      <c r="G500" s="688">
        <v>64197.75</v>
      </c>
      <c r="H500" s="676">
        <f t="shared" si="250"/>
        <v>64.197749999999999</v>
      </c>
      <c r="I500" s="677">
        <f t="shared" si="230"/>
        <v>335.24003358282346</v>
      </c>
      <c r="J500" s="678">
        <f t="shared" si="231"/>
        <v>1.5678133850730969</v>
      </c>
      <c r="K500" s="678">
        <f t="shared" si="232"/>
        <v>1.0039297255838993</v>
      </c>
      <c r="L500" s="679">
        <f t="shared" si="233"/>
        <v>8.8508752544031927E-2</v>
      </c>
      <c r="M500" s="678">
        <f t="shared" si="234"/>
        <v>1.0565283697713383</v>
      </c>
      <c r="N500" s="679">
        <f t="shared" si="235"/>
        <v>-0.32859677430680861</v>
      </c>
      <c r="O500" s="677">
        <f t="shared" si="236"/>
        <v>1210099.0772796383</v>
      </c>
      <c r="P500" s="680">
        <f t="shared" si="237"/>
        <v>1.5707955004162812</v>
      </c>
      <c r="Q500" s="689">
        <f t="shared" si="259"/>
        <v>162.15635982839518</v>
      </c>
      <c r="R500" s="690">
        <f t="shared" si="260"/>
        <v>1.564629400381506</v>
      </c>
      <c r="S500" s="677">
        <f t="shared" si="238"/>
        <v>2.6298439368865774</v>
      </c>
      <c r="T500" s="680">
        <f t="shared" si="239"/>
        <v>1.1807289833734649</v>
      </c>
      <c r="U500" s="681">
        <f t="shared" si="251"/>
        <v>0.76859332152372872</v>
      </c>
      <c r="V500" s="682">
        <f t="shared" si="252"/>
        <v>-0.88807543272694534</v>
      </c>
      <c r="W500" s="683">
        <f t="shared" si="240"/>
        <v>-32.199565659428792</v>
      </c>
      <c r="X500" s="684">
        <f t="shared" si="241"/>
        <v>-222.47217383029925</v>
      </c>
      <c r="Y500" s="687">
        <f t="shared" si="242"/>
        <v>-42.472173830299255</v>
      </c>
      <c r="AA500" s="170">
        <f t="shared" si="243"/>
        <v>64197.75</v>
      </c>
      <c r="AB500" s="170">
        <f t="shared" si="244"/>
        <v>4121351105.0625</v>
      </c>
      <c r="AD500" s="686">
        <f t="shared" si="245"/>
        <v>19.249111699460148</v>
      </c>
      <c r="AE500" s="687">
        <f t="shared" si="246"/>
        <v>-68.00407908182595</v>
      </c>
      <c r="AG500" s="686">
        <f t="shared" si="247"/>
        <v>6.626800175797575</v>
      </c>
      <c r="AH500" s="687">
        <f t="shared" si="248"/>
        <v>-52.702146263172295</v>
      </c>
      <c r="AJ500" s="170">
        <f t="shared" si="249"/>
        <v>0</v>
      </c>
      <c r="AK500" s="170">
        <f t="shared" si="261"/>
        <v>0</v>
      </c>
      <c r="AM500" s="170" t="str">
        <f t="shared" si="253"/>
        <v>0.871062756263374+0.991652755342112i</v>
      </c>
      <c r="AN500" s="170" t="str">
        <f t="shared" si="254"/>
        <v>1.44149912399813i</v>
      </c>
      <c r="AO500" s="170" t="str">
        <f t="shared" si="255"/>
        <v>0.68793156987267-0.604275605695411i</v>
      </c>
      <c r="AP500" s="170" t="str">
        <f t="shared" si="256"/>
        <v>0.021489540622771-0.165275459223685i</v>
      </c>
      <c r="AQ500" s="170" t="str">
        <f t="shared" si="257"/>
        <v>0.978510459377229+0.165275459223685i</v>
      </c>
      <c r="AR500" s="170" t="str">
        <f t="shared" si="258"/>
        <v>0.827681043376108-0.139799593580009i</v>
      </c>
    </row>
    <row r="501" spans="7:44">
      <c r="G501" s="688">
        <v>64565</v>
      </c>
      <c r="H501" s="676">
        <f t="shared" si="250"/>
        <v>64.564999999999998</v>
      </c>
      <c r="I501" s="677">
        <f t="shared" si="230"/>
        <v>337.15779253800702</v>
      </c>
      <c r="J501" s="678">
        <f t="shared" si="231"/>
        <v>1.5678303521435577</v>
      </c>
      <c r="K501" s="678">
        <f t="shared" si="232"/>
        <v>1.0039747257485385</v>
      </c>
      <c r="L501" s="679">
        <f t="shared" si="233"/>
        <v>8.9012413491388748E-2</v>
      </c>
      <c r="M501" s="678">
        <f t="shared" si="234"/>
        <v>1.0571594328301077</v>
      </c>
      <c r="N501" s="679">
        <f t="shared" si="235"/>
        <v>-0.33034308353312214</v>
      </c>
      <c r="O501" s="677">
        <f t="shared" si="236"/>
        <v>1217021.5766839108</v>
      </c>
      <c r="P501" s="680">
        <f t="shared" si="237"/>
        <v>1.5707955051167775</v>
      </c>
      <c r="Q501" s="689">
        <f t="shared" si="259"/>
        <v>163.08395720990001</v>
      </c>
      <c r="R501" s="690">
        <f t="shared" si="260"/>
        <v>1.5646644773859655</v>
      </c>
      <c r="S501" s="677">
        <f t="shared" si="238"/>
        <v>2.6427182686259068</v>
      </c>
      <c r="T501" s="680">
        <f t="shared" si="239"/>
        <v>1.1827310495601693</v>
      </c>
      <c r="U501" s="681">
        <f t="shared" si="251"/>
        <v>0.76674126078160554</v>
      </c>
      <c r="V501" s="682">
        <f t="shared" si="252"/>
        <v>-0.89214027694767917</v>
      </c>
      <c r="W501" s="683">
        <f t="shared" si="240"/>
        <v>-32.306911445205571</v>
      </c>
      <c r="X501" s="684">
        <f t="shared" si="241"/>
        <v>-222.8899433401435</v>
      </c>
      <c r="Y501" s="687">
        <f t="shared" si="242"/>
        <v>-42.889943340143503</v>
      </c>
      <c r="AA501" s="170">
        <f t="shared" si="243"/>
        <v>64565</v>
      </c>
      <c r="AB501" s="170">
        <f t="shared" si="244"/>
        <v>4168639225</v>
      </c>
      <c r="AD501" s="686">
        <f t="shared" si="245"/>
        <v>19.206692024987014</v>
      </c>
      <c r="AE501" s="687">
        <f t="shared" si="246"/>
        <v>-68.116779529763875</v>
      </c>
      <c r="AG501" s="686">
        <f t="shared" si="247"/>
        <v>6.6037849370745825</v>
      </c>
      <c r="AH501" s="687">
        <f t="shared" si="248"/>
        <v>-52.541418488093967</v>
      </c>
      <c r="AJ501" s="170">
        <f t="shared" si="249"/>
        <v>0</v>
      </c>
      <c r="AK501" s="170">
        <f t="shared" si="261"/>
        <v>0</v>
      </c>
      <c r="AM501" s="170" t="str">
        <f t="shared" si="253"/>
        <v>0.879244461796045+0.992682275450244i</v>
      </c>
      <c r="AN501" s="170" t="str">
        <f t="shared" si="254"/>
        <v>1.4497453717761i</v>
      </c>
      <c r="AO501" s="170" t="str">
        <f t="shared" si="255"/>
        <v>0.684728708072437-0.606481992571476i</v>
      </c>
      <c r="AP501" s="170" t="str">
        <f t="shared" si="256"/>
        <v>0.0201259230339925-0.165447045908374i</v>
      </c>
      <c r="AQ501" s="170" t="str">
        <f t="shared" si="257"/>
        <v>0.979874076966007+0.165447045908374i</v>
      </c>
      <c r="AR501" s="170" t="str">
        <f t="shared" si="258"/>
        <v>0.826545491012538-0.139558248362208i</v>
      </c>
    </row>
    <row r="502" spans="7:44">
      <c r="G502" s="688">
        <v>64941</v>
      </c>
      <c r="H502" s="676">
        <f t="shared" si="250"/>
        <v>64.941000000000003</v>
      </c>
      <c r="I502" s="677">
        <f t="shared" si="230"/>
        <v>339.1212436031023</v>
      </c>
      <c r="J502" s="678">
        <f t="shared" si="231"/>
        <v>1.5678475246537638</v>
      </c>
      <c r="K502" s="678">
        <f t="shared" si="232"/>
        <v>1.0040210619079801</v>
      </c>
      <c r="L502" s="679">
        <f t="shared" si="233"/>
        <v>8.9528027620481732E-2</v>
      </c>
      <c r="M502" s="678">
        <f t="shared" si="234"/>
        <v>1.0578088674314139</v>
      </c>
      <c r="N502" s="679">
        <f t="shared" si="235"/>
        <v>-0.33212883558959289</v>
      </c>
      <c r="O502" s="677">
        <f t="shared" si="236"/>
        <v>1224109.0097023086</v>
      </c>
      <c r="P502" s="680">
        <f t="shared" si="237"/>
        <v>1.5707955098741877</v>
      </c>
      <c r="Q502" s="689">
        <f t="shared" si="259"/>
        <v>164.03365548333286</v>
      </c>
      <c r="R502" s="690">
        <f t="shared" si="260"/>
        <v>1.5646999791196419</v>
      </c>
      <c r="S502" s="677">
        <f t="shared" si="238"/>
        <v>2.6559102073536982</v>
      </c>
      <c r="T502" s="680">
        <f t="shared" si="239"/>
        <v>1.1847606991631396</v>
      </c>
      <c r="U502" s="681">
        <f t="shared" si="251"/>
        <v>0.76484661937118192</v>
      </c>
      <c r="V502" s="682">
        <f t="shared" si="252"/>
        <v>-0.89629034942330799</v>
      </c>
      <c r="W502" s="683">
        <f t="shared" si="240"/>
        <v>-32.416354157408563</v>
      </c>
      <c r="X502" s="684">
        <f t="shared" si="241"/>
        <v>-223.31573896236873</v>
      </c>
      <c r="Y502" s="687">
        <f t="shared" si="242"/>
        <v>-43.315738962368727</v>
      </c>
      <c r="AA502" s="170">
        <f t="shared" si="243"/>
        <v>64941</v>
      </c>
      <c r="AB502" s="170">
        <f t="shared" si="244"/>
        <v>4217333481</v>
      </c>
      <c r="AD502" s="686">
        <f t="shared" si="245"/>
        <v>19.163439716896512</v>
      </c>
      <c r="AE502" s="687">
        <f t="shared" si="246"/>
        <v>-68.231036059109499</v>
      </c>
      <c r="AG502" s="686">
        <f t="shared" si="247"/>
        <v>6.5805738612848756</v>
      </c>
      <c r="AH502" s="687">
        <f t="shared" si="248"/>
        <v>-52.377394305376299</v>
      </c>
      <c r="AJ502" s="170">
        <f t="shared" si="249"/>
        <v>0</v>
      </c>
      <c r="AK502" s="170">
        <f t="shared" si="261"/>
        <v>0</v>
      </c>
      <c r="AM502" s="170" t="str">
        <f t="shared" si="253"/>
        <v>0.887629605066599+0.993666389862569i</v>
      </c>
      <c r="AN502" s="170" t="str">
        <f t="shared" si="254"/>
        <v>1.45818809244191i</v>
      </c>
      <c r="AO502" s="170" t="str">
        <f t="shared" si="255"/>
        <v>0.681439105841659-0.60872092541927i</v>
      </c>
      <c r="AP502" s="170" t="str">
        <f t="shared" si="256"/>
        <v>0.0187283991555668-0.165611064977095i</v>
      </c>
      <c r="AQ502" s="170" t="str">
        <f t="shared" si="257"/>
        <v>0.981271600844433+0.165611064977095i</v>
      </c>
      <c r="AR502" s="170" t="str">
        <f t="shared" si="258"/>
        <v>0.825388192769216-0.139302327211343i</v>
      </c>
    </row>
    <row r="503" spans="7:44">
      <c r="G503" s="688">
        <v>65317</v>
      </c>
      <c r="H503" s="676">
        <f t="shared" si="250"/>
        <v>65.316999999999993</v>
      </c>
      <c r="I503" s="677">
        <f t="shared" si="230"/>
        <v>341.0846947670513</v>
      </c>
      <c r="J503" s="678">
        <f t="shared" si="231"/>
        <v>1.5678644994571549</v>
      </c>
      <c r="K503" s="678">
        <f t="shared" si="232"/>
        <v>1.0040676649697053</v>
      </c>
      <c r="L503" s="679">
        <f t="shared" si="233"/>
        <v>9.0043594022930898E-2</v>
      </c>
      <c r="M503" s="678">
        <f t="shared" si="234"/>
        <v>1.0584616711447326</v>
      </c>
      <c r="N503" s="679">
        <f t="shared" si="235"/>
        <v>-0.33391239061117894</v>
      </c>
      <c r="O503" s="677">
        <f t="shared" si="236"/>
        <v>1231196.4427207061</v>
      </c>
      <c r="P503" s="680">
        <f t="shared" si="237"/>
        <v>1.5707955145768253</v>
      </c>
      <c r="Q503" s="689">
        <f t="shared" si="259"/>
        <v>164.98335396112918</v>
      </c>
      <c r="R503" s="690">
        <f t="shared" si="260"/>
        <v>1.5647350721340383</v>
      </c>
      <c r="S503" s="677">
        <f t="shared" si="238"/>
        <v>2.6691129788675538</v>
      </c>
      <c r="T503" s="680">
        <f t="shared" si="239"/>
        <v>1.1867702776465803</v>
      </c>
      <c r="U503" s="681">
        <f t="shared" si="251"/>
        <v>0.76295361523784422</v>
      </c>
      <c r="V503" s="682">
        <f t="shared" si="252"/>
        <v>-0.90042871973057481</v>
      </c>
      <c r="W503" s="683">
        <f t="shared" si="240"/>
        <v>-32.525334620160884</v>
      </c>
      <c r="X503" s="684">
        <f t="shared" si="241"/>
        <v>-223.73960304998869</v>
      </c>
      <c r="Y503" s="687">
        <f t="shared" si="242"/>
        <v>-43.739603049988688</v>
      </c>
      <c r="AA503" s="170">
        <f t="shared" si="243"/>
        <v>65317</v>
      </c>
      <c r="AB503" s="170">
        <f t="shared" si="244"/>
        <v>4266310489</v>
      </c>
      <c r="AD503" s="686">
        <f t="shared" si="245"/>
        <v>19.120366482958133</v>
      </c>
      <c r="AE503" s="687">
        <f t="shared" si="246"/>
        <v>-68.344166012766195</v>
      </c>
      <c r="AG503" s="686">
        <f t="shared" si="247"/>
        <v>6.5577152798748113</v>
      </c>
      <c r="AH503" s="687">
        <f t="shared" si="248"/>
        <v>-52.213906133460384</v>
      </c>
      <c r="AJ503" s="170">
        <f t="shared" si="249"/>
        <v>0</v>
      </c>
      <c r="AK503" s="170">
        <f t="shared" si="261"/>
        <v>0</v>
      </c>
      <c r="AM503" s="170" t="str">
        <f t="shared" si="253"/>
        <v>0.896022757998754+0.994579676620136i</v>
      </c>
      <c r="AN503" s="170" t="str">
        <f t="shared" si="254"/>
        <v>1.46663081310771i</v>
      </c>
      <c r="AO503" s="170" t="str">
        <f t="shared" si="255"/>
        <v>0.678139084308938-0.610939542515223i</v>
      </c>
      <c r="AP503" s="170" t="str">
        <f t="shared" si="256"/>
        <v>0.017329540333541-0.165763279436689i</v>
      </c>
      <c r="AQ503" s="170" t="str">
        <f t="shared" si="257"/>
        <v>0.982670459666459+0.165763279436689i</v>
      </c>
      <c r="AR503" s="170" t="str">
        <f t="shared" si="258"/>
        <v>0.824236312621673-0.139037571412646i</v>
      </c>
    </row>
    <row r="504" spans="7:44">
      <c r="G504" s="688">
        <v>65693</v>
      </c>
      <c r="H504" s="676">
        <f t="shared" si="250"/>
        <v>65.692999999999998</v>
      </c>
      <c r="I504" s="677">
        <f t="shared" si="230"/>
        <v>343.04814602815685</v>
      </c>
      <c r="J504" s="678">
        <f t="shared" si="231"/>
        <v>1.5678812799484723</v>
      </c>
      <c r="K504" s="678">
        <f t="shared" si="232"/>
        <v>1.0041145348965514</v>
      </c>
      <c r="L504" s="679">
        <f t="shared" si="233"/>
        <v>9.0559112431316591E-2</v>
      </c>
      <c r="M504" s="678">
        <f t="shared" si="234"/>
        <v>1.059117837740251</v>
      </c>
      <c r="N504" s="679">
        <f t="shared" si="235"/>
        <v>-0.33569374132371149</v>
      </c>
      <c r="O504" s="677">
        <f t="shared" si="236"/>
        <v>1238283.8757391039</v>
      </c>
      <c r="P504" s="680">
        <f t="shared" si="237"/>
        <v>1.5707955192256311</v>
      </c>
      <c r="Q504" s="689">
        <f t="shared" si="259"/>
        <v>165.93305263977996</v>
      </c>
      <c r="R504" s="690">
        <f t="shared" si="260"/>
        <v>1.5647697634468407</v>
      </c>
      <c r="S504" s="677">
        <f t="shared" si="238"/>
        <v>2.6823264232061867</v>
      </c>
      <c r="T504" s="680">
        <f t="shared" si="239"/>
        <v>1.1887600652764767</v>
      </c>
      <c r="U504" s="681">
        <f t="shared" si="251"/>
        <v>0.76106232055115219</v>
      </c>
      <c r="V504" s="682">
        <f t="shared" si="252"/>
        <v>-0.90455544301296587</v>
      </c>
      <c r="W504" s="683">
        <f t="shared" si="240"/>
        <v>-32.633856652467117</v>
      </c>
      <c r="X504" s="684">
        <f t="shared" si="241"/>
        <v>-224.16155421156782</v>
      </c>
      <c r="Y504" s="687">
        <f t="shared" si="242"/>
        <v>-44.161554211567818</v>
      </c>
      <c r="AA504" s="170">
        <f t="shared" si="243"/>
        <v>65693</v>
      </c>
      <c r="AB504" s="170">
        <f t="shared" si="244"/>
        <v>4315570249</v>
      </c>
      <c r="AD504" s="686">
        <f t="shared" si="245"/>
        <v>19.07747124789811</v>
      </c>
      <c r="AE504" s="687">
        <f t="shared" si="246"/>
        <v>-68.456185046762201</v>
      </c>
      <c r="AG504" s="686">
        <f t="shared" si="247"/>
        <v>6.5352050537065898</v>
      </c>
      <c r="AH504" s="687">
        <f t="shared" si="248"/>
        <v>-52.050950605904369</v>
      </c>
      <c r="AJ504" s="170">
        <f t="shared" si="249"/>
        <v>0</v>
      </c>
      <c r="AK504" s="170">
        <f t="shared" si="261"/>
        <v>0</v>
      </c>
      <c r="AM504" s="170" t="str">
        <f t="shared" si="253"/>
        <v>0.904423322336069+0.99542207062468i</v>
      </c>
      <c r="AN504" s="170" t="str">
        <f t="shared" si="254"/>
        <v>1.47507353377352i</v>
      </c>
      <c r="AO504" s="170" t="str">
        <f t="shared" si="255"/>
        <v>0.674828778249583-0.61313778711925i</v>
      </c>
      <c r="AP504" s="170" t="str">
        <f t="shared" si="256"/>
        <v>0.0159294462773219-0.165903678437447i</v>
      </c>
      <c r="AQ504" s="170" t="str">
        <f t="shared" si="257"/>
        <v>0.984070553722678+0.165903678437447i</v>
      </c>
      <c r="AR504" s="170" t="str">
        <f t="shared" si="258"/>
        <v>0.823089895586558-0.138764076260518i</v>
      </c>
    </row>
    <row r="505" spans="7:44">
      <c r="G505" s="688">
        <v>66069</v>
      </c>
      <c r="H505" s="676">
        <f t="shared" si="250"/>
        <v>66.069000000000003</v>
      </c>
      <c r="I505" s="677">
        <f t="shared" si="230"/>
        <v>345.01159738476014</v>
      </c>
      <c r="J505" s="678">
        <f t="shared" si="231"/>
        <v>1.5678978694451804</v>
      </c>
      <c r="K505" s="678">
        <f t="shared" si="232"/>
        <v>1.0041616716511501</v>
      </c>
      <c r="L505" s="679">
        <f t="shared" si="233"/>
        <v>9.1074582578371005E-2</v>
      </c>
      <c r="M505" s="678">
        <f t="shared" si="234"/>
        <v>1.0597773609715311</v>
      </c>
      <c r="N505" s="679">
        <f t="shared" si="235"/>
        <v>-0.33747288052694863</v>
      </c>
      <c r="O505" s="677">
        <f t="shared" si="236"/>
        <v>1245371.3087575014</v>
      </c>
      <c r="P505" s="680">
        <f t="shared" si="237"/>
        <v>1.5707955238215239</v>
      </c>
      <c r="Q505" s="689">
        <f t="shared" si="259"/>
        <v>166.88275151585617</v>
      </c>
      <c r="R505" s="690">
        <f t="shared" si="260"/>
        <v>1.5648040599159929</v>
      </c>
      <c r="S505" s="677">
        <f t="shared" si="238"/>
        <v>2.6955503834167471</v>
      </c>
      <c r="T505" s="680">
        <f t="shared" si="239"/>
        <v>1.1907303374525831</v>
      </c>
      <c r="U505" s="681">
        <f t="shared" si="251"/>
        <v>0.75917280604271786</v>
      </c>
      <c r="V505" s="682">
        <f t="shared" si="252"/>
        <v>-0.90867057486293568</v>
      </c>
      <c r="W505" s="683">
        <f t="shared" si="240"/>
        <v>-32.74192402374139</v>
      </c>
      <c r="X505" s="684">
        <f t="shared" si="241"/>
        <v>-224.58161081153071</v>
      </c>
      <c r="Y505" s="687">
        <f t="shared" si="242"/>
        <v>-44.581610811530709</v>
      </c>
      <c r="AA505" s="170">
        <f t="shared" si="243"/>
        <v>66069</v>
      </c>
      <c r="AB505" s="170">
        <f t="shared" si="244"/>
        <v>4365112761</v>
      </c>
      <c r="AD505" s="686">
        <f t="shared" si="245"/>
        <v>19.034752937927863</v>
      </c>
      <c r="AE505" s="687">
        <f t="shared" si="246"/>
        <v>-68.567108547462539</v>
      </c>
      <c r="AG505" s="686">
        <f t="shared" si="247"/>
        <v>6.5130391096821603</v>
      </c>
      <c r="AH505" s="687">
        <f t="shared" si="248"/>
        <v>-51.888524330341809</v>
      </c>
      <c r="AJ505" s="170">
        <f t="shared" si="249"/>
        <v>0</v>
      </c>
      <c r="AK505" s="170">
        <f t="shared" si="261"/>
        <v>0</v>
      </c>
      <c r="AM505" s="170" t="str">
        <f t="shared" si="253"/>
        <v>0.912830699293794+0.996193511831105i</v>
      </c>
      <c r="AN505" s="170" t="str">
        <f t="shared" si="254"/>
        <v>1.48351625443933i</v>
      </c>
      <c r="AO505" s="170" t="str">
        <f t="shared" si="255"/>
        <v>0.67150832277709-0.615315603426794i</v>
      </c>
      <c r="AP505" s="170" t="str">
        <f t="shared" si="256"/>
        <v>0.0145282167843677-0.166032251971851i</v>
      </c>
      <c r="AQ505" s="170" t="str">
        <f t="shared" si="257"/>
        <v>0.985471783215632+0.166032251971851i</v>
      </c>
      <c r="AR505" s="170" t="str">
        <f t="shared" si="258"/>
        <v>0.821948985248482-0.138481936622758i</v>
      </c>
    </row>
    <row r="506" spans="7:44">
      <c r="G506" s="688">
        <v>66453.75</v>
      </c>
      <c r="H506" s="676">
        <f t="shared" si="250"/>
        <v>66.453749999999999</v>
      </c>
      <c r="I506" s="677">
        <f t="shared" si="230"/>
        <v>347.02074085813126</v>
      </c>
      <c r="J506" s="678">
        <f t="shared" si="231"/>
        <v>1.5679146506693198</v>
      </c>
      <c r="K506" s="678">
        <f t="shared" si="232"/>
        <v>1.0042101815131408</v>
      </c>
      <c r="L506" s="679">
        <f t="shared" si="233"/>
        <v>9.1601998136085216E-2</v>
      </c>
      <c r="M506" s="678">
        <f t="shared" si="234"/>
        <v>1.060455700331294</v>
      </c>
      <c r="N506" s="679">
        <f t="shared" si="235"/>
        <v>-0.33929112583176019</v>
      </c>
      <c r="O506" s="677">
        <f t="shared" si="236"/>
        <v>1252623.6753900244</v>
      </c>
      <c r="P506" s="680">
        <f t="shared" si="237"/>
        <v>1.5707955284705317</v>
      </c>
      <c r="Q506" s="689">
        <f t="shared" si="259"/>
        <v>167.85455129803478</v>
      </c>
      <c r="R506" s="690">
        <f t="shared" si="260"/>
        <v>1.5648387527658374</v>
      </c>
      <c r="S506" s="677">
        <f t="shared" si="238"/>
        <v>2.709092807210475</v>
      </c>
      <c r="T506" s="680">
        <f t="shared" si="239"/>
        <v>1.1927265407100587</v>
      </c>
      <c r="U506" s="681">
        <f t="shared" si="251"/>
        <v>0.75724123521422315</v>
      </c>
      <c r="V506" s="682">
        <f t="shared" si="252"/>
        <v>-0.91286953034256879</v>
      </c>
      <c r="W506" s="683">
        <f t="shared" si="240"/>
        <v>-32.852039487004269</v>
      </c>
      <c r="X506" s="684">
        <f t="shared" si="241"/>
        <v>-225.00950036345958</v>
      </c>
      <c r="Y506" s="687">
        <f t="shared" si="242"/>
        <v>-45.00950036345958</v>
      </c>
      <c r="AA506" s="170">
        <f t="shared" si="243"/>
        <v>66453.75</v>
      </c>
      <c r="AB506" s="170">
        <f t="shared" si="244"/>
        <v>4416100889.0625</v>
      </c>
      <c r="AD506" s="686">
        <f t="shared" si="245"/>
        <v>18.991222548947071</v>
      </c>
      <c r="AE506" s="687">
        <f t="shared" si="246"/>
        <v>-68.679495081787735</v>
      </c>
      <c r="AG506" s="686">
        <f t="shared" si="247"/>
        <v>6.4907095478439274</v>
      </c>
      <c r="AH506" s="687">
        <f t="shared" si="248"/>
        <v>-51.722862492703072</v>
      </c>
      <c r="AJ506" s="170">
        <f t="shared" si="249"/>
        <v>0</v>
      </c>
      <c r="AK506" s="170">
        <f t="shared" si="261"/>
        <v>0</v>
      </c>
      <c r="AM506" s="170" t="str">
        <f t="shared" si="253"/>
        <v>0.921440153752664+0.996909399372679i</v>
      </c>
      <c r="AN506" s="170" t="str">
        <f t="shared" si="254"/>
        <v>1.49215544799297i</v>
      </c>
      <c r="AO506" s="170" t="str">
        <f t="shared" si="255"/>
        <v>0.668100230920027-0.61752289615137i</v>
      </c>
      <c r="AP506" s="170" t="str">
        <f t="shared" si="256"/>
        <v>0.0130933077078894-0.166151566562113i</v>
      </c>
      <c r="AQ506" s="170" t="str">
        <f t="shared" si="257"/>
        <v>0.986906692292111+0.166151566562113i</v>
      </c>
      <c r="AR506" s="170" t="str">
        <f t="shared" si="258"/>
        <v>0.820787268869894-0.138184381159922i</v>
      </c>
    </row>
    <row r="507" spans="7:44">
      <c r="G507" s="688">
        <v>66838.5</v>
      </c>
      <c r="H507" s="676">
        <f t="shared" si="250"/>
        <v>66.838499999999996</v>
      </c>
      <c r="I507" s="677">
        <f t="shared" si="230"/>
        <v>349.0298844281017</v>
      </c>
      <c r="J507" s="678">
        <f t="shared" si="231"/>
        <v>1.5679312386957458</v>
      </c>
      <c r="K507" s="678">
        <f t="shared" si="232"/>
        <v>1.0042589706864045</v>
      </c>
      <c r="L507" s="679">
        <f t="shared" si="233"/>
        <v>9.2129362594400577E-2</v>
      </c>
      <c r="M507" s="678">
        <f t="shared" si="234"/>
        <v>1.0611375410854815</v>
      </c>
      <c r="N507" s="679">
        <f t="shared" si="235"/>
        <v>-0.3411070404831642</v>
      </c>
      <c r="O507" s="677">
        <f t="shared" si="236"/>
        <v>1259876.0420225468</v>
      </c>
      <c r="P507" s="680">
        <f t="shared" si="237"/>
        <v>1.5707955330660164</v>
      </c>
      <c r="Q507" s="689">
        <f t="shared" si="259"/>
        <v>168.82635127991625</v>
      </c>
      <c r="R507" s="690">
        <f t="shared" si="260"/>
        <v>1.5648730462170439</v>
      </c>
      <c r="S507" s="677">
        <f t="shared" si="238"/>
        <v>2.7226459188554388</v>
      </c>
      <c r="T507" s="680">
        <f t="shared" si="239"/>
        <v>1.1947028779002993</v>
      </c>
      <c r="U507" s="681">
        <f t="shared" si="251"/>
        <v>0.75531167367971674</v>
      </c>
      <c r="V507" s="682">
        <f t="shared" si="252"/>
        <v>-0.91705646777007432</v>
      </c>
      <c r="W507" s="683">
        <f t="shared" si="240"/>
        <v>-32.961686712652693</v>
      </c>
      <c r="X507" s="684">
        <f t="shared" si="241"/>
        <v>-225.43544429246543</v>
      </c>
      <c r="Y507" s="687">
        <f t="shared" si="242"/>
        <v>-45.435444292465434</v>
      </c>
      <c r="AA507" s="170">
        <f t="shared" si="243"/>
        <v>66838.5</v>
      </c>
      <c r="AB507" s="170">
        <f t="shared" si="244"/>
        <v>4467385082.25</v>
      </c>
      <c r="AD507" s="686">
        <f t="shared" si="245"/>
        <v>18.947875146596111</v>
      </c>
      <c r="AE507" s="687">
        <f t="shared" si="246"/>
        <v>-68.790766255093217</v>
      </c>
      <c r="AG507" s="686">
        <f t="shared" si="247"/>
        <v>6.4687320554396157</v>
      </c>
      <c r="AH507" s="687">
        <f t="shared" si="248"/>
        <v>-51.557747560492381</v>
      </c>
      <c r="AJ507" s="170">
        <f t="shared" si="249"/>
        <v>0</v>
      </c>
      <c r="AK507" s="170">
        <f t="shared" si="261"/>
        <v>0</v>
      </c>
      <c r="AM507" s="170" t="str">
        <f t="shared" si="253"/>
        <v>0.930055471541453+0.997550882380799i</v>
      </c>
      <c r="AN507" s="170" t="str">
        <f t="shared" si="254"/>
        <v>1.50079464154661i</v>
      </c>
      <c r="AO507" s="170" t="str">
        <f t="shared" si="255"/>
        <v>0.664681799071987-0.619708683516491i</v>
      </c>
      <c r="AP507" s="170" t="str">
        <f t="shared" si="256"/>
        <v>0.0116574214097579-0.1662584803968i</v>
      </c>
      <c r="AQ507" s="170" t="str">
        <f t="shared" si="257"/>
        <v>0.988342578590242+0.1662584803968i</v>
      </c>
      <c r="AR507" s="170" t="str">
        <f t="shared" si="258"/>
        <v>0.819631406309563-0.137877973741549i</v>
      </c>
    </row>
    <row r="508" spans="7:44">
      <c r="G508" s="688">
        <v>67223.25</v>
      </c>
      <c r="H508" s="676">
        <f t="shared" si="250"/>
        <v>67.223249999999993</v>
      </c>
      <c r="I508" s="677">
        <f t="shared" si="230"/>
        <v>351.03902809301263</v>
      </c>
      <c r="J508" s="678">
        <f t="shared" si="231"/>
        <v>1.567947636841704</v>
      </c>
      <c r="K508" s="678">
        <f t="shared" si="232"/>
        <v>1.0043080391302348</v>
      </c>
      <c r="L508" s="679">
        <f t="shared" si="233"/>
        <v>9.2656675667451643E-2</v>
      </c>
      <c r="M508" s="678">
        <f t="shared" si="234"/>
        <v>1.0618228764889195</v>
      </c>
      <c r="N508" s="679">
        <f t="shared" si="235"/>
        <v>-0.34292061700643561</v>
      </c>
      <c r="O508" s="677">
        <f t="shared" si="236"/>
        <v>1267128.4086550698</v>
      </c>
      <c r="P508" s="680">
        <f t="shared" si="237"/>
        <v>1.5707955376088969</v>
      </c>
      <c r="Q508" s="689">
        <f t="shared" si="259"/>
        <v>169.79815145807171</v>
      </c>
      <c r="R508" s="690">
        <f t="shared" si="260"/>
        <v>1.564906947127126</v>
      </c>
      <c r="S508" s="677">
        <f t="shared" si="238"/>
        <v>2.7362095595330613</v>
      </c>
      <c r="T508" s="680">
        <f t="shared" si="239"/>
        <v>1.196659628902542</v>
      </c>
      <c r="U508" s="681">
        <f t="shared" si="251"/>
        <v>0.7533841926422149</v>
      </c>
      <c r="V508" s="682">
        <f t="shared" si="252"/>
        <v>-0.92123144807653146</v>
      </c>
      <c r="W508" s="683">
        <f t="shared" si="240"/>
        <v>-33.070869584368367</v>
      </c>
      <c r="X508" s="684">
        <f t="shared" si="241"/>
        <v>-225.85946151086</v>
      </c>
      <c r="Y508" s="687">
        <f t="shared" si="242"/>
        <v>-45.859461510860001</v>
      </c>
      <c r="AA508" s="170">
        <f t="shared" si="243"/>
        <v>67223.25</v>
      </c>
      <c r="AB508" s="170">
        <f t="shared" si="244"/>
        <v>4518965340.5625</v>
      </c>
      <c r="AD508" s="686">
        <f t="shared" si="245"/>
        <v>18.904709587097326</v>
      </c>
      <c r="AE508" s="687">
        <f t="shared" si="246"/>
        <v>-68.900937710424131</v>
      </c>
      <c r="AG508" s="686">
        <f t="shared" si="247"/>
        <v>6.447102474517572</v>
      </c>
      <c r="AH508" s="687">
        <f t="shared" si="248"/>
        <v>-51.393175820788912</v>
      </c>
      <c r="AJ508" s="170">
        <f t="shared" si="249"/>
        <v>0</v>
      </c>
      <c r="AK508" s="170">
        <f t="shared" si="261"/>
        <v>0</v>
      </c>
      <c r="AM508" s="170" t="str">
        <f t="shared" si="253"/>
        <v>0.938676009654186+0.998117912978254i</v>
      </c>
      <c r="AN508" s="170" t="str">
        <f t="shared" si="254"/>
        <v>1.50943383510025i</v>
      </c>
      <c r="AO508" s="170" t="str">
        <f t="shared" si="255"/>
        <v>0.661253173056084-0.621872908786256i</v>
      </c>
      <c r="AP508" s="170" t="str">
        <f t="shared" si="256"/>
        <v>0.0102206650576357-0.166352985496376i</v>
      </c>
      <c r="AQ508" s="170" t="str">
        <f t="shared" si="257"/>
        <v>0.989779334942364+0.166352985496376i</v>
      </c>
      <c r="AR508" s="170" t="str">
        <f t="shared" si="258"/>
        <v>0.818481439761447-0.137562814529379i</v>
      </c>
    </row>
    <row r="509" spans="7:44">
      <c r="G509" s="688">
        <v>67608</v>
      </c>
      <c r="H509" s="676">
        <f t="shared" si="250"/>
        <v>67.608000000000004</v>
      </c>
      <c r="I509" s="677">
        <f t="shared" si="230"/>
        <v>353.04817185124341</v>
      </c>
      <c r="J509" s="678">
        <f t="shared" si="231"/>
        <v>1.5679638483489289</v>
      </c>
      <c r="K509" s="678">
        <f t="shared" si="232"/>
        <v>1.0043573868036997</v>
      </c>
      <c r="L509" s="679">
        <f t="shared" si="233"/>
        <v>9.3183937069543005E-2</v>
      </c>
      <c r="M509" s="678">
        <f t="shared" si="234"/>
        <v>1.0625116997793103</v>
      </c>
      <c r="N509" s="679">
        <f t="shared" si="235"/>
        <v>-0.34473184800760703</v>
      </c>
      <c r="O509" s="677">
        <f t="shared" si="236"/>
        <v>1274380.7752875923</v>
      </c>
      <c r="P509" s="680">
        <f t="shared" si="237"/>
        <v>1.5707955421000712</v>
      </c>
      <c r="Q509" s="689">
        <f t="shared" si="259"/>
        <v>170.76995182915041</v>
      </c>
      <c r="R509" s="690">
        <f t="shared" si="260"/>
        <v>1.5649404621975052</v>
      </c>
      <c r="S509" s="677">
        <f t="shared" si="238"/>
        <v>2.7497835734361584</v>
      </c>
      <c r="T509" s="680">
        <f t="shared" si="239"/>
        <v>1.1985970686760443</v>
      </c>
      <c r="U509" s="681">
        <f t="shared" si="251"/>
        <v>0.7514588617916329</v>
      </c>
      <c r="V509" s="682">
        <f t="shared" si="252"/>
        <v>-0.92539453262299975</v>
      </c>
      <c r="W509" s="683">
        <f t="shared" si="240"/>
        <v>-33.179591935566478</v>
      </c>
      <c r="X509" s="684">
        <f t="shared" si="241"/>
        <v>-226.28157068293004</v>
      </c>
      <c r="Y509" s="687">
        <f t="shared" si="242"/>
        <v>-46.281570682930038</v>
      </c>
      <c r="AA509" s="170">
        <f t="shared" si="243"/>
        <v>67608</v>
      </c>
      <c r="AB509" s="170">
        <f t="shared" si="244"/>
        <v>4570841664</v>
      </c>
      <c r="AD509" s="686">
        <f t="shared" si="245"/>
        <v>18.861724729533083</v>
      </c>
      <c r="AE509" s="687">
        <f t="shared" si="246"/>
        <v>-69.010024817873784</v>
      </c>
      <c r="AG509" s="686">
        <f t="shared" si="247"/>
        <v>6.4258167138681461</v>
      </c>
      <c r="AH509" s="687">
        <f t="shared" si="248"/>
        <v>-51.229143536326632</v>
      </c>
      <c r="AJ509" s="170">
        <f t="shared" si="249"/>
        <v>0</v>
      </c>
      <c r="AK509" s="170">
        <f t="shared" si="261"/>
        <v>0</v>
      </c>
      <c r="AM509" s="170" t="str">
        <f t="shared" si="253"/>
        <v>0.947301124695267+0.998610448844601i</v>
      </c>
      <c r="AN509" s="170" t="str">
        <f t="shared" si="254"/>
        <v>1.51807302865389i</v>
      </c>
      <c r="AO509" s="170" t="str">
        <f t="shared" si="255"/>
        <v>0.657814499036382-0.624015516259623i</v>
      </c>
      <c r="AP509" s="170" t="str">
        <f t="shared" si="256"/>
        <v>0.00878314588412213-0.166435074807433i</v>
      </c>
      <c r="AQ509" s="170" t="str">
        <f t="shared" si="257"/>
        <v>0.991216854115878+0.166435074807433i</v>
      </c>
      <c r="AR509" s="170" t="str">
        <f t="shared" si="258"/>
        <v>0.817337409951736-0.137239003153923i</v>
      </c>
    </row>
    <row r="510" spans="7:44">
      <c r="G510" s="688">
        <v>68001.75</v>
      </c>
      <c r="H510" s="676">
        <f t="shared" si="250"/>
        <v>68.001750000000001</v>
      </c>
      <c r="I510" s="677">
        <f t="shared" si="230"/>
        <v>355.10431321925341</v>
      </c>
      <c r="J510" s="678">
        <f t="shared" si="231"/>
        <v>1.567980249139711</v>
      </c>
      <c r="K510" s="678">
        <f t="shared" si="232"/>
        <v>1.0044081778693215</v>
      </c>
      <c r="L510" s="679">
        <f t="shared" si="233"/>
        <v>9.372347827564588E-2</v>
      </c>
      <c r="M510" s="678">
        <f t="shared" si="234"/>
        <v>1.0632202400447108</v>
      </c>
      <c r="N510" s="679">
        <f t="shared" si="235"/>
        <v>-0.346583010892131</v>
      </c>
      <c r="O510" s="677">
        <f t="shared" si="236"/>
        <v>1281802.7879232154</v>
      </c>
      <c r="P510" s="680">
        <f t="shared" si="237"/>
        <v>1.5707955466436836</v>
      </c>
      <c r="Q510" s="689">
        <f t="shared" si="259"/>
        <v>171.76448456898041</v>
      </c>
      <c r="R510" s="690">
        <f t="shared" si="260"/>
        <v>1.5649743685959636</v>
      </c>
      <c r="S510" s="677">
        <f t="shared" si="238"/>
        <v>2.7636856886829029</v>
      </c>
      <c r="T510" s="680">
        <f t="shared" si="239"/>
        <v>1.2005601164222475</v>
      </c>
      <c r="U510" s="681">
        <f t="shared" si="251"/>
        <v>0.7494907913284018</v>
      </c>
      <c r="V510" s="682">
        <f t="shared" si="252"/>
        <v>-0.92964274731609364</v>
      </c>
      <c r="W510" s="683">
        <f t="shared" si="240"/>
        <v>-33.290384642723481</v>
      </c>
      <c r="X510" s="684">
        <f t="shared" si="241"/>
        <v>-226.71159745602478</v>
      </c>
      <c r="Y510" s="687">
        <f t="shared" si="242"/>
        <v>-46.711597456024776</v>
      </c>
      <c r="AA510" s="170">
        <f t="shared" si="243"/>
        <v>68001.75</v>
      </c>
      <c r="AB510" s="170">
        <f t="shared" si="244"/>
        <v>4624238003.0625</v>
      </c>
      <c r="AD510" s="686">
        <f t="shared" si="245"/>
        <v>18.817920282830936</v>
      </c>
      <c r="AE510" s="687">
        <f t="shared" si="246"/>
        <v>-69.120556735639823</v>
      </c>
      <c r="AG510" s="686">
        <f t="shared" si="247"/>
        <v>6.4043848186246226</v>
      </c>
      <c r="AH510" s="687">
        <f t="shared" si="248"/>
        <v>-51.061828846339594</v>
      </c>
      <c r="AJ510" s="170">
        <f t="shared" si="249"/>
        <v>0</v>
      </c>
      <c r="AK510" s="170">
        <f t="shared" si="261"/>
        <v>0</v>
      </c>
      <c r="AM510" s="170" t="str">
        <f t="shared" si="253"/>
        <v>0.95613206388854+0.999037338732302i</v>
      </c>
      <c r="AN510" s="170" t="str">
        <f t="shared" si="254"/>
        <v>1.52691430860645i</v>
      </c>
      <c r="AO510" s="170" t="str">
        <f t="shared" si="255"/>
        <v>0.654285137745602-0.62618580394414i</v>
      </c>
      <c r="AP510" s="170" t="str">
        <f t="shared" si="256"/>
        <v>0.00731132268524332-0.16650622312205i</v>
      </c>
      <c r="AQ510" s="170" t="str">
        <f t="shared" si="257"/>
        <v>0.992688677314757+0.16650622312205i</v>
      </c>
      <c r="AR510" s="170" t="str">
        <f t="shared" si="258"/>
        <v>0.816172806861696-0.136898762513409i</v>
      </c>
    </row>
    <row r="511" spans="7:44">
      <c r="G511" s="688">
        <v>68395.5</v>
      </c>
      <c r="H511" s="676">
        <f t="shared" si="250"/>
        <v>68.395499999999998</v>
      </c>
      <c r="I511" s="677">
        <f t="shared" si="230"/>
        <v>357.16045468168181</v>
      </c>
      <c r="J511" s="678">
        <f t="shared" si="231"/>
        <v>1.5679964610946646</v>
      </c>
      <c r="K511" s="678">
        <f t="shared" si="232"/>
        <v>1.0044592612932786</v>
      </c>
      <c r="L511" s="679">
        <f t="shared" si="233"/>
        <v>9.4262964760275764E-2</v>
      </c>
      <c r="M511" s="678">
        <f t="shared" si="234"/>
        <v>1.0639324188974253</v>
      </c>
      <c r="N511" s="679">
        <f t="shared" si="235"/>
        <v>-0.34843170182876415</v>
      </c>
      <c r="O511" s="677">
        <f t="shared" si="236"/>
        <v>1289224.8005588381</v>
      </c>
      <c r="P511" s="680">
        <f t="shared" si="237"/>
        <v>1.5707955511349809</v>
      </c>
      <c r="Q511" s="689">
        <f t="shared" si="259"/>
        <v>172.75901750400487</v>
      </c>
      <c r="R511" s="690">
        <f t="shared" si="260"/>
        <v>1.5650078846121755</v>
      </c>
      <c r="S511" s="677">
        <f t="shared" si="238"/>
        <v>2.7775983473161738</v>
      </c>
      <c r="T511" s="680">
        <f t="shared" si="239"/>
        <v>1.2025035062512732</v>
      </c>
      <c r="U511" s="681">
        <f t="shared" si="251"/>
        <v>0.74752511572302993</v>
      </c>
      <c r="V511" s="682">
        <f t="shared" si="252"/>
        <v>-0.93387863456172426</v>
      </c>
      <c r="W511" s="683">
        <f t="shared" si="240"/>
        <v>-33.400702999127091</v>
      </c>
      <c r="X511" s="684">
        <f t="shared" si="241"/>
        <v>-227.13966465060702</v>
      </c>
      <c r="Y511" s="687">
        <f t="shared" si="242"/>
        <v>-47.139664650607017</v>
      </c>
      <c r="AA511" s="170">
        <f t="shared" si="243"/>
        <v>68395.5</v>
      </c>
      <c r="AB511" s="170">
        <f t="shared" si="244"/>
        <v>4677944420.25</v>
      </c>
      <c r="AD511" s="686">
        <f t="shared" si="245"/>
        <v>18.774302683369459</v>
      </c>
      <c r="AE511" s="687">
        <f t="shared" si="246"/>
        <v>-69.229984701974047</v>
      </c>
      <c r="AG511" s="686">
        <f t="shared" si="247"/>
        <v>6.3833045553712884</v>
      </c>
      <c r="AH511" s="687">
        <f t="shared" si="248"/>
        <v>-50.895071150697134</v>
      </c>
      <c r="AJ511" s="170">
        <f t="shared" si="249"/>
        <v>0</v>
      </c>
      <c r="AK511" s="170">
        <f t="shared" si="261"/>
        <v>0</v>
      </c>
      <c r="AM511" s="170" t="str">
        <f t="shared" si="253"/>
        <v>0.964966432138448+0.99938613614703i</v>
      </c>
      <c r="AN511" s="170" t="str">
        <f t="shared" si="254"/>
        <v>1.53575558855901i</v>
      </c>
      <c r="AO511" s="170" t="str">
        <f t="shared" si="255"/>
        <v>0.650745563677061-0.628333335933923i</v>
      </c>
      <c r="AP511" s="170" t="str">
        <f t="shared" si="256"/>
        <v>0.00583892797692535-0.166564356024505i</v>
      </c>
      <c r="AQ511" s="170" t="str">
        <f t="shared" si="257"/>
        <v>0.994161072023075+0.166564356024505i</v>
      </c>
      <c r="AR511" s="170" t="str">
        <f t="shared" si="258"/>
        <v>0.815014503208202-0.136549669563359i</v>
      </c>
    </row>
    <row r="512" spans="7:44">
      <c r="G512" s="688">
        <v>68789.25</v>
      </c>
      <c r="H512" s="676">
        <f t="shared" si="250"/>
        <v>68.789249999999996</v>
      </c>
      <c r="I512" s="677">
        <f t="shared" si="230"/>
        <v>359.21659623690704</v>
      </c>
      <c r="J512" s="678">
        <f t="shared" si="231"/>
        <v>1.5680124874564476</v>
      </c>
      <c r="K512" s="678">
        <f t="shared" si="232"/>
        <v>1.004510637030968</v>
      </c>
      <c r="L512" s="679">
        <f t="shared" si="233"/>
        <v>9.4802396217774795E-2</v>
      </c>
      <c r="M512" s="678">
        <f t="shared" si="234"/>
        <v>1.0646482290355348</v>
      </c>
      <c r="N512" s="679">
        <f t="shared" si="235"/>
        <v>-0.35027791315454138</v>
      </c>
      <c r="O512" s="677">
        <f t="shared" si="236"/>
        <v>1296646.8131944607</v>
      </c>
      <c r="P512" s="680">
        <f t="shared" si="237"/>
        <v>1.5707955555748621</v>
      </c>
      <c r="Q512" s="689">
        <f t="shared" si="259"/>
        <v>173.75355063087201</v>
      </c>
      <c r="R512" s="690">
        <f t="shared" si="260"/>
        <v>1.5650410169494917</v>
      </c>
      <c r="S512" s="677">
        <f t="shared" si="238"/>
        <v>2.7915213916944777</v>
      </c>
      <c r="T512" s="680">
        <f t="shared" si="239"/>
        <v>1.2044275175115498</v>
      </c>
      <c r="U512" s="681">
        <f t="shared" si="251"/>
        <v>0.74556190485627438</v>
      </c>
      <c r="V512" s="682">
        <f t="shared" si="252"/>
        <v>-0.93810226142927189</v>
      </c>
      <c r="W512" s="683">
        <f t="shared" si="240"/>
        <v>-33.510550956342449</v>
      </c>
      <c r="X512" s="684">
        <f t="shared" si="241"/>
        <v>-227.56579149518095</v>
      </c>
      <c r="Y512" s="687">
        <f t="shared" si="242"/>
        <v>-47.565791495180946</v>
      </c>
      <c r="AA512" s="170">
        <f t="shared" si="243"/>
        <v>68789.25</v>
      </c>
      <c r="AB512" s="170">
        <f t="shared" si="244"/>
        <v>4731960915.5625</v>
      </c>
      <c r="AD512" s="686">
        <f t="shared" si="245"/>
        <v>18.730870719299464</v>
      </c>
      <c r="AE512" s="687">
        <f t="shared" si="246"/>
        <v>-69.338324338340186</v>
      </c>
      <c r="AG512" s="686">
        <f t="shared" si="247"/>
        <v>6.362571747510982</v>
      </c>
      <c r="AH512" s="687">
        <f t="shared" si="248"/>
        <v>-50.728866370854789</v>
      </c>
      <c r="AJ512" s="170">
        <f t="shared" si="249"/>
        <v>0</v>
      </c>
      <c r="AK512" s="170">
        <f t="shared" si="261"/>
        <v>0</v>
      </c>
      <c r="AM512" s="170" t="str">
        <f t="shared" si="253"/>
        <v>0.97380353888254+0.999656813824085i</v>
      </c>
      <c r="AN512" s="170" t="str">
        <f t="shared" si="254"/>
        <v>1.54459686851156i</v>
      </c>
      <c r="AO512" s="170" t="str">
        <f t="shared" si="255"/>
        <v>0.64719593455307-0.630458055907454i</v>
      </c>
      <c r="AP512" s="170" t="str">
        <f t="shared" si="256"/>
        <v>0.00436607685291005-0.166609468970681i</v>
      </c>
      <c r="AQ512" s="170" t="str">
        <f t="shared" si="257"/>
        <v>0.99563392314709+0.166609468970681i</v>
      </c>
      <c r="AR512" s="170" t="str">
        <f t="shared" si="258"/>
        <v>0.813862538035846-0.136191829270617i</v>
      </c>
    </row>
    <row r="513" spans="7:44">
      <c r="G513" s="688">
        <v>69183</v>
      </c>
      <c r="H513" s="676">
        <f t="shared" si="250"/>
        <v>69.183000000000007</v>
      </c>
      <c r="I513" s="677">
        <f t="shared" si="230"/>
        <v>361.27273788334486</v>
      </c>
      <c r="J513" s="678">
        <f t="shared" si="231"/>
        <v>1.5680283313938972</v>
      </c>
      <c r="K513" s="678">
        <f t="shared" si="232"/>
        <v>1.0045623050375412</v>
      </c>
      <c r="L513" s="679">
        <f t="shared" si="233"/>
        <v>9.5341772342675463E-2</v>
      </c>
      <c r="M513" s="678">
        <f t="shared" si="234"/>
        <v>1.0653676631395639</v>
      </c>
      <c r="N513" s="679">
        <f t="shared" si="235"/>
        <v>-0.35212163729465384</v>
      </c>
      <c r="O513" s="677">
        <f t="shared" si="236"/>
        <v>1304068.8258300836</v>
      </c>
      <c r="P513" s="680">
        <f t="shared" si="237"/>
        <v>1.5707955599642047</v>
      </c>
      <c r="Q513" s="689">
        <f t="shared" si="259"/>
        <v>174.74808394630631</v>
      </c>
      <c r="R513" s="690">
        <f t="shared" si="260"/>
        <v>1.5650737721586654</v>
      </c>
      <c r="S513" s="677">
        <f t="shared" si="238"/>
        <v>2.8054546671892058</v>
      </c>
      <c r="T513" s="680">
        <f t="shared" si="239"/>
        <v>1.2063324245820903</v>
      </c>
      <c r="U513" s="681">
        <f t="shared" si="251"/>
        <v>0.74360122702187992</v>
      </c>
      <c r="V513" s="682">
        <f t="shared" si="252"/>
        <v>-0.94231369539457144</v>
      </c>
      <c r="W513" s="683">
        <f t="shared" si="240"/>
        <v>-33.619932414983104</v>
      </c>
      <c r="X513" s="684">
        <f t="shared" si="241"/>
        <v>-227.98999696636471</v>
      </c>
      <c r="Y513" s="687">
        <f t="shared" si="242"/>
        <v>-47.989996966364714</v>
      </c>
      <c r="AA513" s="170">
        <f t="shared" si="243"/>
        <v>69183</v>
      </c>
      <c r="AB513" s="170">
        <f t="shared" si="244"/>
        <v>4786287489</v>
      </c>
      <c r="AD513" s="686">
        <f t="shared" si="245"/>
        <v>18.687623183015429</v>
      </c>
      <c r="AE513" s="687">
        <f t="shared" si="246"/>
        <v>-69.445590990217454</v>
      </c>
      <c r="AG513" s="686">
        <f t="shared" si="247"/>
        <v>6.3421822859498995</v>
      </c>
      <c r="AH513" s="687">
        <f t="shared" si="248"/>
        <v>-50.563210405790429</v>
      </c>
      <c r="AJ513" s="170">
        <f t="shared" si="249"/>
        <v>0</v>
      </c>
      <c r="AK513" s="170">
        <f t="shared" si="261"/>
        <v>0</v>
      </c>
      <c r="AM513" s="170" t="str">
        <f t="shared" si="253"/>
        <v>0.982642693344332+0.999849350605211i</v>
      </c>
      <c r="AN513" s="170" t="str">
        <f t="shared" si="254"/>
        <v>1.55343814846412i</v>
      </c>
      <c r="AO513" s="170" t="str">
        <f t="shared" si="255"/>
        <v>0.64363640843619-0.632559908687622i</v>
      </c>
      <c r="AP513" s="170" t="str">
        <f t="shared" si="256"/>
        <v>0.00289288444261142-0.166641558434202i</v>
      </c>
      <c r="AQ513" s="170" t="str">
        <f t="shared" si="257"/>
        <v>0.997107115557389+0.166641558434202i</v>
      </c>
      <c r="AR513" s="170" t="str">
        <f t="shared" si="258"/>
        <v>0.812716948892138-0.135825345959514i</v>
      </c>
    </row>
    <row r="514" spans="7:44">
      <c r="G514" s="688">
        <v>69586</v>
      </c>
      <c r="H514" s="676">
        <f t="shared" si="250"/>
        <v>69.585999999999999</v>
      </c>
      <c r="I514" s="677">
        <f t="shared" si="230"/>
        <v>363.37718263272541</v>
      </c>
      <c r="J514" s="678">
        <f t="shared" si="231"/>
        <v>1.5680443618669546</v>
      </c>
      <c r="K514" s="678">
        <f t="shared" si="232"/>
        <v>1.0046154894336723</v>
      </c>
      <c r="L514" s="679">
        <f t="shared" si="233"/>
        <v>9.589376190947442E-2</v>
      </c>
      <c r="M514" s="678">
        <f t="shared" si="234"/>
        <v>1.0661077432459329</v>
      </c>
      <c r="N514" s="679">
        <f t="shared" si="235"/>
        <v>-0.35400609099083546</v>
      </c>
      <c r="O514" s="677">
        <f t="shared" si="236"/>
        <v>1311665.1968577811</v>
      </c>
      <c r="P514" s="680">
        <f t="shared" si="237"/>
        <v>1.5707955644052241</v>
      </c>
      <c r="Q514" s="689">
        <f t="shared" si="259"/>
        <v>175.76598109345522</v>
      </c>
      <c r="R514" s="690">
        <f t="shared" si="260"/>
        <v>1.5651069130146866</v>
      </c>
      <c r="S514" s="677">
        <f t="shared" si="238"/>
        <v>2.8197257002574903</v>
      </c>
      <c r="T514" s="680">
        <f t="shared" si="239"/>
        <v>1.2082625804332481</v>
      </c>
      <c r="U514" s="681">
        <f t="shared" si="251"/>
        <v>0.74159718143639186</v>
      </c>
      <c r="V514" s="682">
        <f t="shared" si="252"/>
        <v>-0.9466115095419515</v>
      </c>
      <c r="W514" s="683">
        <f t="shared" si="240"/>
        <v>-33.731404422307797</v>
      </c>
      <c r="X514" s="684">
        <f t="shared" si="241"/>
        <v>-228.42219783539713</v>
      </c>
      <c r="Y514" s="687">
        <f t="shared" si="242"/>
        <v>-48.422197835397128</v>
      </c>
      <c r="AA514" s="170">
        <f t="shared" si="243"/>
        <v>69586</v>
      </c>
      <c r="AB514" s="170">
        <f t="shared" si="244"/>
        <v>4842211396</v>
      </c>
      <c r="AD514" s="686">
        <f t="shared" si="245"/>
        <v>18.643549394848208</v>
      </c>
      <c r="AE514" s="687">
        <f t="shared" si="246"/>
        <v>-69.554282197687641</v>
      </c>
      <c r="AG514" s="686">
        <f t="shared" si="247"/>
        <v>6.3216651548693488</v>
      </c>
      <c r="AH514" s="687">
        <f t="shared" si="248"/>
        <v>-50.394226843236829</v>
      </c>
      <c r="AJ514" s="170">
        <f t="shared" si="249"/>
        <v>0</v>
      </c>
      <c r="AK514" s="170">
        <f t="shared" si="261"/>
        <v>0</v>
      </c>
      <c r="AM514" s="170" t="str">
        <f t="shared" si="253"/>
        <v>0.991690897146469+0.999965478809028i</v>
      </c>
      <c r="AN514" s="170" t="str">
        <f t="shared" si="254"/>
        <v>1.56248712832667i</v>
      </c>
      <c r="AO514" s="170" t="str">
        <f t="shared" si="255"/>
        <v>0.639983178536601-0.634687402646645i</v>
      </c>
      <c r="AP514" s="170" t="str">
        <f t="shared" si="256"/>
        <v>0.00138485047558849-0.166660913134838i</v>
      </c>
      <c r="AQ514" s="170" t="str">
        <f t="shared" si="257"/>
        <v>0.998615149524412+0.166660913134838i</v>
      </c>
      <c r="AR514" s="170" t="str">
        <f t="shared" si="258"/>
        <v>0.811551087606266-0.135441411419049i</v>
      </c>
    </row>
    <row r="515" spans="7:44">
      <c r="G515" s="688">
        <v>69989</v>
      </c>
      <c r="H515" s="676">
        <f t="shared" si="250"/>
        <v>69.989000000000004</v>
      </c>
      <c r="I515" s="677">
        <f t="shared" si="230"/>
        <v>365.48162747440983</v>
      </c>
      <c r="J515" s="678">
        <f t="shared" si="231"/>
        <v>1.5680602077329455</v>
      </c>
      <c r="K515" s="678">
        <f t="shared" si="232"/>
        <v>1.0046689798961279</v>
      </c>
      <c r="L515" s="679">
        <f t="shared" si="233"/>
        <v>9.6445692866506255E-2</v>
      </c>
      <c r="M515" s="678">
        <f t="shared" si="234"/>
        <v>1.0668516040171223</v>
      </c>
      <c r="N515" s="679">
        <f t="shared" si="235"/>
        <v>-0.3558879234966244</v>
      </c>
      <c r="O515" s="677">
        <f t="shared" si="236"/>
        <v>1319261.5678854792</v>
      </c>
      <c r="P515" s="680">
        <f t="shared" si="237"/>
        <v>1.5707955687951001</v>
      </c>
      <c r="Q515" s="689">
        <f t="shared" si="259"/>
        <v>176.78387843142769</v>
      </c>
      <c r="R515" s="690">
        <f t="shared" si="260"/>
        <v>1.5651396722297315</v>
      </c>
      <c r="S515" s="677">
        <f t="shared" si="238"/>
        <v>2.8340071323980482</v>
      </c>
      <c r="T515" s="680">
        <f t="shared" si="239"/>
        <v>1.2101732900471098</v>
      </c>
      <c r="U515" s="681">
        <f t="shared" si="251"/>
        <v>0.739595929042415</v>
      </c>
      <c r="V515" s="682">
        <f t="shared" si="252"/>
        <v>-0.95089669544903077</v>
      </c>
      <c r="W515" s="683">
        <f t="shared" si="240"/>
        <v>-33.842395864423096</v>
      </c>
      <c r="X515" s="684">
        <f t="shared" si="241"/>
        <v>-228.85242543345748</v>
      </c>
      <c r="Y515" s="687">
        <f t="shared" si="242"/>
        <v>-48.852425433457483</v>
      </c>
      <c r="AA515" s="170">
        <f t="shared" si="243"/>
        <v>69989</v>
      </c>
      <c r="AB515" s="170">
        <f t="shared" si="244"/>
        <v>4898460121</v>
      </c>
      <c r="AD515" s="686">
        <f t="shared" si="245"/>
        <v>18.599666256328725</v>
      </c>
      <c r="AE515" s="687">
        <f t="shared" si="246"/>
        <v>-69.661881081319081</v>
      </c>
      <c r="AG515" s="686">
        <f t="shared" si="247"/>
        <v>6.3014991922454078</v>
      </c>
      <c r="AH515" s="687">
        <f t="shared" si="248"/>
        <v>-50.225809423295509</v>
      </c>
      <c r="AJ515" s="170">
        <f t="shared" si="249"/>
        <v>0</v>
      </c>
      <c r="AK515" s="170">
        <f t="shared" si="261"/>
        <v>0</v>
      </c>
      <c r="AM515" s="170" t="str">
        <f t="shared" si="253"/>
        <v>1.00073978132686+0.999999726361757i</v>
      </c>
      <c r="AN515" s="170" t="str">
        <f t="shared" si="254"/>
        <v>1.57153610818923i</v>
      </c>
      <c r="AO515" s="170" t="str">
        <f t="shared" si="255"/>
        <v>0.636319917277616-0.63679082912065i</v>
      </c>
      <c r="AP515" s="170" t="str">
        <f t="shared" si="256"/>
        <v>-0.000123296887809325-0.166666621060293i</v>
      </c>
      <c r="AQ515" s="170" t="str">
        <f t="shared" si="257"/>
        <v>1.00012329688781+0.166666621060293i</v>
      </c>
      <c r="AR515" s="170" t="str">
        <f t="shared" si="258"/>
        <v>0.810391980346424-0.135048642021434i</v>
      </c>
    </row>
    <row r="516" spans="7:44">
      <c r="G516" s="688">
        <v>70392</v>
      </c>
      <c r="H516" s="676">
        <f t="shared" si="250"/>
        <v>70.391999999999996</v>
      </c>
      <c r="I516" s="677">
        <f t="shared" si="230"/>
        <v>367.58607240681278</v>
      </c>
      <c r="J516" s="678">
        <f t="shared" si="231"/>
        <v>1.5680758721625099</v>
      </c>
      <c r="K516" s="678">
        <f t="shared" si="232"/>
        <v>1.0047227763760236</v>
      </c>
      <c r="L516" s="679">
        <f t="shared" si="233"/>
        <v>9.6997564886891915E-2</v>
      </c>
      <c r="M516" s="678">
        <f t="shared" si="234"/>
        <v>1.0675992375504799</v>
      </c>
      <c r="N516" s="679">
        <f t="shared" si="235"/>
        <v>-0.35776712697677149</v>
      </c>
      <c r="O516" s="677">
        <f t="shared" si="236"/>
        <v>1326857.9389131768</v>
      </c>
      <c r="P516" s="680">
        <f t="shared" si="237"/>
        <v>1.5707955731347114</v>
      </c>
      <c r="Q516" s="689">
        <f t="shared" si="259"/>
        <v>177.80177595694644</v>
      </c>
      <c r="R516" s="690">
        <f t="shared" si="260"/>
        <v>1.5651720563582996</v>
      </c>
      <c r="S516" s="677">
        <f t="shared" si="238"/>
        <v>2.8482988071873603</v>
      </c>
      <c r="T516" s="680">
        <f t="shared" si="239"/>
        <v>1.2120648320878877</v>
      </c>
      <c r="U516" s="681">
        <f t="shared" si="251"/>
        <v>0.73759753801831407</v>
      </c>
      <c r="V516" s="682">
        <f t="shared" si="252"/>
        <v>-0.95516932668017396</v>
      </c>
      <c r="W516" s="683">
        <f t="shared" si="240"/>
        <v>-33.952910763989969</v>
      </c>
      <c r="X516" s="684">
        <f t="shared" si="241"/>
        <v>-229.28069931772831</v>
      </c>
      <c r="Y516" s="687">
        <f t="shared" si="242"/>
        <v>-49.280699317728306</v>
      </c>
      <c r="AA516" s="170">
        <f t="shared" si="243"/>
        <v>70392</v>
      </c>
      <c r="AB516" s="170">
        <f t="shared" si="244"/>
        <v>4955033664</v>
      </c>
      <c r="AD516" s="686">
        <f t="shared" si="245"/>
        <v>18.555972488061261</v>
      </c>
      <c r="AE516" s="687">
        <f t="shared" si="246"/>
        <v>-69.76840323190018</v>
      </c>
      <c r="AG516" s="686">
        <f t="shared" si="247"/>
        <v>6.2816802034959709</v>
      </c>
      <c r="AH516" s="687">
        <f t="shared" si="248"/>
        <v>-50.0579536825052</v>
      </c>
      <c r="AJ516" s="170">
        <f t="shared" si="249"/>
        <v>0</v>
      </c>
      <c r="AK516" s="170">
        <f t="shared" si="261"/>
        <v>0</v>
      </c>
      <c r="AM516" s="170" t="str">
        <f t="shared" si="253"/>
        <v>1.00978860493136+0.999952090459087i</v>
      </c>
      <c r="AN516" s="170" t="str">
        <f t="shared" si="254"/>
        <v>1.58058508805178i</v>
      </c>
      <c r="AO516" s="170" t="str">
        <f t="shared" si="255"/>
        <v>0.632646795176097-0.638870132689927i</v>
      </c>
      <c r="AP516" s="170" t="str">
        <f t="shared" si="256"/>
        <v>-0.00163143415522746-0.166658681743181i</v>
      </c>
      <c r="AQ516" s="170" t="str">
        <f t="shared" si="257"/>
        <v>1.00163143415523+0.166658681743181i</v>
      </c>
      <c r="AR516" s="170" t="str">
        <f t="shared" si="258"/>
        <v>0.809239662681447-0.134647147441546i</v>
      </c>
    </row>
    <row r="517" spans="7:44">
      <c r="G517" s="688">
        <v>70795</v>
      </c>
      <c r="H517" s="676">
        <f t="shared" si="250"/>
        <v>70.795000000000002</v>
      </c>
      <c r="I517" s="677">
        <f t="shared" si="230"/>
        <v>369.69051742838502</v>
      </c>
      <c r="J517" s="678">
        <f t="shared" si="231"/>
        <v>1.5680913582540938</v>
      </c>
      <c r="K517" s="678">
        <f t="shared" si="232"/>
        <v>1.0047768788242066</v>
      </c>
      <c r="L517" s="679">
        <f t="shared" si="233"/>
        <v>9.7549377643965748E-2</v>
      </c>
      <c r="M517" s="678">
        <f t="shared" si="234"/>
        <v>1.0683506359254504</v>
      </c>
      <c r="N517" s="679">
        <f t="shared" si="235"/>
        <v>-0.35964369369217741</v>
      </c>
      <c r="O517" s="677">
        <f t="shared" si="236"/>
        <v>1334454.3099408748</v>
      </c>
      <c r="P517" s="680">
        <f t="shared" si="237"/>
        <v>1.5707955774249163</v>
      </c>
      <c r="Q517" s="689">
        <f t="shared" si="259"/>
        <v>178.81967366680871</v>
      </c>
      <c r="R517" s="690">
        <f t="shared" si="260"/>
        <v>1.5652040718056519</v>
      </c>
      <c r="S517" s="677">
        <f t="shared" si="238"/>
        <v>2.8626005712146414</v>
      </c>
      <c r="T517" s="680">
        <f t="shared" si="239"/>
        <v>1.2139374802055323</v>
      </c>
      <c r="U517" s="681">
        <f t="shared" si="251"/>
        <v>0.73560207488355622</v>
      </c>
      <c r="V517" s="682">
        <f t="shared" si="252"/>
        <v>-0.95942947717790439</v>
      </c>
      <c r="W517" s="683">
        <f t="shared" si="240"/>
        <v>-34.062953092028415</v>
      </c>
      <c r="X517" s="684">
        <f t="shared" si="241"/>
        <v>-229.70703878967288</v>
      </c>
      <c r="Y517" s="687">
        <f t="shared" si="242"/>
        <v>-49.707038789672879</v>
      </c>
      <c r="AA517" s="170">
        <f t="shared" si="243"/>
        <v>70795</v>
      </c>
      <c r="AB517" s="170">
        <f t="shared" si="244"/>
        <v>5011932025</v>
      </c>
      <c r="AD517" s="686">
        <f t="shared" si="245"/>
        <v>18.512466816284523</v>
      </c>
      <c r="AE517" s="687">
        <f t="shared" si="246"/>
        <v>-69.873863961472964</v>
      </c>
      <c r="AG517" s="686">
        <f t="shared" si="247"/>
        <v>6.262204062356405</v>
      </c>
      <c r="AH517" s="687">
        <f t="shared" si="248"/>
        <v>-49.890655137098115</v>
      </c>
      <c r="AJ517" s="170">
        <f t="shared" si="249"/>
        <v>0</v>
      </c>
      <c r="AK517" s="170">
        <f t="shared" si="261"/>
        <v>0</v>
      </c>
      <c r="AM517" s="170" t="str">
        <f t="shared" si="253"/>
        <v>1.01883662701087+0.999822575001612i</v>
      </c>
      <c r="AN517" s="170" t="str">
        <f t="shared" si="254"/>
        <v>1.58963406791434i</v>
      </c>
      <c r="AO517" s="170" t="str">
        <f t="shared" si="255"/>
        <v>0.628963983084118-0.640925259199825i</v>
      </c>
      <c r="AP517" s="170" t="str">
        <f t="shared" si="256"/>
        <v>-0.00313943783514482-0.166637095833602i</v>
      </c>
      <c r="AQ517" s="170" t="str">
        <f t="shared" si="257"/>
        <v>1.00313943783514+0.166637095833602i</v>
      </c>
      <c r="AR517" s="170" t="str">
        <f t="shared" si="258"/>
        <v>0.808094168661181-0.134237036594207i</v>
      </c>
    </row>
    <row r="518" spans="7:44">
      <c r="G518" s="688">
        <v>71207.25</v>
      </c>
      <c r="H518" s="676">
        <f t="shared" si="250"/>
        <v>71.207250000000002</v>
      </c>
      <c r="I518" s="677">
        <f t="shared" si="230"/>
        <v>371.84326555912696</v>
      </c>
      <c r="J518" s="678">
        <f t="shared" si="231"/>
        <v>1.5681070184275825</v>
      </c>
      <c r="K518" s="678">
        <f t="shared" si="232"/>
        <v>1.0048325396095847</v>
      </c>
      <c r="L518" s="679">
        <f t="shared" si="233"/>
        <v>9.8113794418790645E-2</v>
      </c>
      <c r="M518" s="678">
        <f t="shared" si="234"/>
        <v>1.0691231682149813</v>
      </c>
      <c r="N518" s="679">
        <f t="shared" si="235"/>
        <v>-0.36156059675924029</v>
      </c>
      <c r="O518" s="677">
        <f t="shared" si="236"/>
        <v>1342225.0393606476</v>
      </c>
      <c r="P518" s="680">
        <f t="shared" si="237"/>
        <v>1.5707955817633477</v>
      </c>
      <c r="Q518" s="689">
        <f t="shared" si="259"/>
        <v>179.86093522125893</v>
      </c>
      <c r="R518" s="690">
        <f t="shared" si="260"/>
        <v>1.5652364471532612</v>
      </c>
      <c r="S518" s="677">
        <f t="shared" si="238"/>
        <v>2.8772408839372186</v>
      </c>
      <c r="T518" s="680">
        <f t="shared" si="239"/>
        <v>1.2158338416993952</v>
      </c>
      <c r="U518" s="681">
        <f t="shared" si="251"/>
        <v>0.73356390727762832</v>
      </c>
      <c r="V518" s="682">
        <f t="shared" si="252"/>
        <v>-0.9637745740349698</v>
      </c>
      <c r="W518" s="683">
        <f t="shared" si="240"/>
        <v>-34.175036326345115</v>
      </c>
      <c r="X518" s="684">
        <f t="shared" si="241"/>
        <v>-230.14118230772118</v>
      </c>
      <c r="Y518" s="687">
        <f t="shared" si="242"/>
        <v>-50.141182307721181</v>
      </c>
      <c r="AA518" s="170">
        <f t="shared" si="243"/>
        <v>71207.25</v>
      </c>
      <c r="AB518" s="170">
        <f t="shared" si="244"/>
        <v>5070472452.5625</v>
      </c>
      <c r="AD518" s="686">
        <f t="shared" si="245"/>
        <v>18.468155865352806</v>
      </c>
      <c r="AE518" s="687">
        <f t="shared" si="246"/>
        <v>-69.980662749419992</v>
      </c>
      <c r="AG518" s="686">
        <f t="shared" si="247"/>
        <v>6.2426313982414872</v>
      </c>
      <c r="AH518" s="687">
        <f t="shared" si="248"/>
        <v>-49.720088443659684</v>
      </c>
      <c r="AJ518" s="170">
        <f t="shared" si="249"/>
        <v>0</v>
      </c>
      <c r="AK518" s="170">
        <f t="shared" si="261"/>
        <v>0</v>
      </c>
      <c r="AM518" s="170" t="str">
        <f t="shared" si="253"/>
        <v>1.02809072523323+0.999605377714561i</v>
      </c>
      <c r="AN518" s="170" t="str">
        <f t="shared" si="254"/>
        <v>1.59889074768689i</v>
      </c>
      <c r="AO518" s="170" t="str">
        <f t="shared" si="255"/>
        <v>0.625186792256248-0.643002485767439i</v>
      </c>
      <c r="AP518" s="170" t="str">
        <f t="shared" si="256"/>
        <v>-0.00468178753887235-0.16660089628576i</v>
      </c>
      <c r="AQ518" s="170" t="str">
        <f t="shared" si="257"/>
        <v>1.00468178753887+0.16660089628576i</v>
      </c>
      <c r="AR518" s="170" t="str">
        <f t="shared" si="258"/>
        <v>0.806929476599961-0.133808710089464i</v>
      </c>
    </row>
    <row r="519" spans="7:44">
      <c r="G519" s="688">
        <v>71619.5</v>
      </c>
      <c r="H519" s="676">
        <f t="shared" si="250"/>
        <v>71.619500000000002</v>
      </c>
      <c r="I519" s="677">
        <f t="shared" si="230"/>
        <v>373.99601378001029</v>
      </c>
      <c r="J519" s="678">
        <f t="shared" si="231"/>
        <v>1.5681224983188824</v>
      </c>
      <c r="K519" s="678">
        <f t="shared" si="232"/>
        <v>1.0048885204652218</v>
      </c>
      <c r="L519" s="679">
        <f t="shared" si="233"/>
        <v>9.8678148487732889E-2</v>
      </c>
      <c r="M519" s="678">
        <f t="shared" si="234"/>
        <v>1.0698996233345028</v>
      </c>
      <c r="N519" s="679">
        <f t="shared" si="235"/>
        <v>-0.36347472455441826</v>
      </c>
      <c r="O519" s="677">
        <f t="shared" si="236"/>
        <v>1349995.7687804205</v>
      </c>
      <c r="P519" s="680">
        <f t="shared" si="237"/>
        <v>1.5707955860518341</v>
      </c>
      <c r="Q519" s="689">
        <f t="shared" si="259"/>
        <v>180.90219696206245</v>
      </c>
      <c r="R519" s="690">
        <f t="shared" si="260"/>
        <v>1.5652684497999485</v>
      </c>
      <c r="S519" s="677">
        <f t="shared" si="238"/>
        <v>2.8918914389690857</v>
      </c>
      <c r="T519" s="680">
        <f t="shared" si="239"/>
        <v>1.2177109956467509</v>
      </c>
      <c r="U519" s="681">
        <f t="shared" si="251"/>
        <v>0.73152893909979799</v>
      </c>
      <c r="V519" s="682">
        <f t="shared" si="252"/>
        <v>-0.96810676831553855</v>
      </c>
      <c r="W519" s="683">
        <f t="shared" si="240"/>
        <v>-34.28663329153197</v>
      </c>
      <c r="X519" s="684">
        <f t="shared" si="241"/>
        <v>-230.57334165457561</v>
      </c>
      <c r="Y519" s="687">
        <f t="shared" si="242"/>
        <v>-50.573341654575614</v>
      </c>
      <c r="AA519" s="170">
        <f t="shared" si="243"/>
        <v>71619.5</v>
      </c>
      <c r="AB519" s="170">
        <f t="shared" si="244"/>
        <v>5129352780.25</v>
      </c>
      <c r="AD519" s="686">
        <f t="shared" si="245"/>
        <v>18.424039067246248</v>
      </c>
      <c r="AE519" s="687">
        <f t="shared" si="246"/>
        <v>-70.086382377344364</v>
      </c>
      <c r="AG519" s="686">
        <f t="shared" si="247"/>
        <v>6.223408979248779</v>
      </c>
      <c r="AH519" s="687">
        <f t="shared" si="248"/>
        <v>-49.550095265407897</v>
      </c>
      <c r="AJ519" s="170">
        <f t="shared" si="249"/>
        <v>0</v>
      </c>
      <c r="AK519" s="170">
        <f t="shared" si="261"/>
        <v>0</v>
      </c>
      <c r="AM519" s="170" t="str">
        <f t="shared" si="253"/>
        <v>1.03734241648752+0.999302528732352i</v>
      </c>
      <c r="AN519" s="170" t="str">
        <f t="shared" si="254"/>
        <v>1.60814742745944i</v>
      </c>
      <c r="AO519" s="170" t="str">
        <f t="shared" si="255"/>
        <v>0.621399824213291-0.64505430209612i</v>
      </c>
      <c r="AP519" s="170" t="str">
        <f t="shared" si="256"/>
        <v>-0.00622373608125357-0.166550421455392i</v>
      </c>
      <c r="AQ519" s="170" t="str">
        <f t="shared" si="257"/>
        <v>1.00622373608125+0.166550421455392i</v>
      </c>
      <c r="AR519" s="170" t="str">
        <f t="shared" si="258"/>
        <v>0.80577199236781-0.133371595315829i</v>
      </c>
    </row>
    <row r="520" spans="7:44">
      <c r="G520" s="688">
        <v>72031.75</v>
      </c>
      <c r="H520" s="676">
        <f t="shared" si="250"/>
        <v>72.031750000000002</v>
      </c>
      <c r="I520" s="677">
        <f t="shared" si="230"/>
        <v>376.14876208948738</v>
      </c>
      <c r="J520" s="678">
        <f t="shared" si="231"/>
        <v>1.5681378010233218</v>
      </c>
      <c r="K520" s="678">
        <f t="shared" si="232"/>
        <v>1.0049448213376293</v>
      </c>
      <c r="L520" s="679">
        <f t="shared" si="233"/>
        <v>9.9242439501813343E-2</v>
      </c>
      <c r="M520" s="678">
        <f t="shared" si="234"/>
        <v>1.0706799927495283</v>
      </c>
      <c r="N520" s="679">
        <f t="shared" si="235"/>
        <v>-0.36538606910458798</v>
      </c>
      <c r="O520" s="677">
        <f t="shared" si="236"/>
        <v>1357766.4982001935</v>
      </c>
      <c r="P520" s="680">
        <f t="shared" si="237"/>
        <v>1.5707955902912332</v>
      </c>
      <c r="Q520" s="689">
        <f t="shared" si="259"/>
        <v>181.94345888601987</v>
      </c>
      <c r="R520" s="690">
        <f t="shared" si="260"/>
        <v>1.5653000861445465</v>
      </c>
      <c r="S520" s="677">
        <f t="shared" si="238"/>
        <v>2.9065520814303292</v>
      </c>
      <c r="T520" s="680">
        <f t="shared" si="239"/>
        <v>1.219569219366061</v>
      </c>
      <c r="U520" s="681">
        <f t="shared" si="251"/>
        <v>0.72949723630466135</v>
      </c>
      <c r="V520" s="682">
        <f t="shared" si="252"/>
        <v>-0.97242614029397134</v>
      </c>
      <c r="W520" s="683">
        <f t="shared" si="240"/>
        <v>-34.39774807719256</v>
      </c>
      <c r="X520" s="684">
        <f t="shared" si="241"/>
        <v>-231.00353669273662</v>
      </c>
      <c r="Y520" s="687">
        <f t="shared" si="242"/>
        <v>-51.003536692736617</v>
      </c>
      <c r="AA520" s="170">
        <f t="shared" si="243"/>
        <v>72031.75</v>
      </c>
      <c r="AB520" s="170">
        <f t="shared" si="244"/>
        <v>5188573008.0625</v>
      </c>
      <c r="AD520" s="686">
        <f t="shared" si="245"/>
        <v>18.380115078087229</v>
      </c>
      <c r="AE520" s="687">
        <f t="shared" si="246"/>
        <v>-70.191038367846502</v>
      </c>
      <c r="AG520" s="686">
        <f t="shared" si="247"/>
        <v>6.2045326015527298</v>
      </c>
      <c r="AH520" s="687">
        <f t="shared" si="248"/>
        <v>-49.380670743478625</v>
      </c>
      <c r="AJ520" s="170">
        <f t="shared" si="249"/>
        <v>0</v>
      </c>
      <c r="AK520" s="170">
        <f t="shared" si="261"/>
        <v>0</v>
      </c>
      <c r="AM520" s="170" t="str">
        <f t="shared" si="253"/>
        <v>1.04659090803786+0.998914054004752i</v>
      </c>
      <c r="AN520" s="170" t="str">
        <f t="shared" si="254"/>
        <v>1.61740410723199i</v>
      </c>
      <c r="AO520" s="170" t="str">
        <f t="shared" si="255"/>
        <v>0.617603262869342-0.647080654338751i</v>
      </c>
      <c r="AP520" s="170" t="str">
        <f t="shared" si="256"/>
        <v>-0.00776515133964343-0.166485675667459i</v>
      </c>
      <c r="AQ520" s="170" t="str">
        <f t="shared" si="257"/>
        <v>1.00776515133964+0.166485675667459i</v>
      </c>
      <c r="AR520" s="170" t="str">
        <f t="shared" si="258"/>
        <v>0.8046217476799-0.132925806316231i</v>
      </c>
    </row>
    <row r="521" spans="7:44">
      <c r="G521" s="688">
        <v>72444</v>
      </c>
      <c r="H521" s="676">
        <f t="shared" si="250"/>
        <v>72.444000000000003</v>
      </c>
      <c r="I521" s="677">
        <f t="shared" si="230"/>
        <v>378.30151048604569</v>
      </c>
      <c r="J521" s="678">
        <f t="shared" si="231"/>
        <v>1.5681529295657721</v>
      </c>
      <c r="K521" s="678">
        <f t="shared" si="232"/>
        <v>1.0050014421730242</v>
      </c>
      <c r="L521" s="679">
        <f t="shared" si="233"/>
        <v>9.9806667112291483E-2</v>
      </c>
      <c r="M521" s="678">
        <f t="shared" si="234"/>
        <v>1.0714642679074724</v>
      </c>
      <c r="N521" s="679">
        <f t="shared" si="235"/>
        <v>-0.36729462254113793</v>
      </c>
      <c r="O521" s="677">
        <f t="shared" si="236"/>
        <v>1365537.227619966</v>
      </c>
      <c r="P521" s="680">
        <f t="shared" si="237"/>
        <v>1.5707955944823826</v>
      </c>
      <c r="Q521" s="689">
        <f t="shared" si="259"/>
        <v>182.98472099000446</v>
      </c>
      <c r="R521" s="690">
        <f t="shared" si="260"/>
        <v>1.5653313624402432</v>
      </c>
      <c r="S521" s="677">
        <f t="shared" si="238"/>
        <v>2.92122265944462</v>
      </c>
      <c r="T521" s="680">
        <f t="shared" si="239"/>
        <v>1.2214087851336326</v>
      </c>
      <c r="U521" s="681">
        <f t="shared" si="251"/>
        <v>0.72746886312295744</v>
      </c>
      <c r="V521" s="682">
        <f t="shared" si="252"/>
        <v>-0.97673277058854435</v>
      </c>
      <c r="W521" s="683">
        <f t="shared" si="240"/>
        <v>-34.508384720726468</v>
      </c>
      <c r="X521" s="684">
        <f t="shared" si="241"/>
        <v>-231.43178702579669</v>
      </c>
      <c r="Y521" s="687">
        <f t="shared" si="242"/>
        <v>-51.431787025796694</v>
      </c>
      <c r="AA521" s="170">
        <f t="shared" si="243"/>
        <v>72444</v>
      </c>
      <c r="AB521" s="170">
        <f t="shared" si="244"/>
        <v>5248133136</v>
      </c>
      <c r="AD521" s="686">
        <f t="shared" si="245"/>
        <v>18.336382561011085</v>
      </c>
      <c r="AE521" s="687">
        <f t="shared" si="246"/>
        <v>-70.294645962976418</v>
      </c>
      <c r="AG521" s="686">
        <f t="shared" si="247"/>
        <v>6.1859981303409715</v>
      </c>
      <c r="AH521" s="687">
        <f t="shared" si="248"/>
        <v>-49.211810001240401</v>
      </c>
      <c r="AJ521" s="170">
        <f t="shared" si="249"/>
        <v>0</v>
      </c>
      <c r="AK521" s="170">
        <f t="shared" si="261"/>
        <v>0</v>
      </c>
      <c r="AM521" s="170" t="str">
        <f t="shared" si="253"/>
        <v>1.05583540742255+0.998439986818416i</v>
      </c>
      <c r="AN521" s="170" t="str">
        <f t="shared" si="254"/>
        <v>1.62666078700454i</v>
      </c>
      <c r="AO521" s="170" t="str">
        <f t="shared" si="255"/>
        <v>0.613797292462568-0.649081490042462i</v>
      </c>
      <c r="AP521" s="170" t="str">
        <f t="shared" si="256"/>
        <v>-0.00930590123709165-0.166406664469736i</v>
      </c>
      <c r="AQ521" s="170" t="str">
        <f t="shared" si="257"/>
        <v>1.00930590123709+0.166406664469736i</v>
      </c>
      <c r="AR521" s="170" t="str">
        <f t="shared" si="258"/>
        <v>0.803478772722539-0.132471456252377i</v>
      </c>
    </row>
    <row r="522" spans="7:44">
      <c r="G522" s="688">
        <v>72865.75</v>
      </c>
      <c r="H522" s="676">
        <f t="shared" si="250"/>
        <v>72.865750000000006</v>
      </c>
      <c r="I522" s="677">
        <f t="shared" si="230"/>
        <v>380.50386748486397</v>
      </c>
      <c r="J522" s="678">
        <f t="shared" si="231"/>
        <v>1.5681682295885262</v>
      </c>
      <c r="K522" s="678">
        <f t="shared" si="232"/>
        <v>1.0050596988457177</v>
      </c>
      <c r="L522" s="679">
        <f t="shared" si="233"/>
        <v>0.10038383096026593</v>
      </c>
      <c r="M522" s="678">
        <f t="shared" si="234"/>
        <v>1.0722706489637246</v>
      </c>
      <c r="N522" s="679">
        <f t="shared" si="235"/>
        <v>-0.36924426076763861</v>
      </c>
      <c r="O522" s="677">
        <f t="shared" si="236"/>
        <v>1373487.027820789</v>
      </c>
      <c r="P522" s="680">
        <f t="shared" si="237"/>
        <v>1.570795598721038</v>
      </c>
      <c r="Q522" s="689">
        <f t="shared" si="259"/>
        <v>184.04997840138896</v>
      </c>
      <c r="R522" s="690">
        <f t="shared" si="260"/>
        <v>1.5653629932575157</v>
      </c>
      <c r="S522" s="677">
        <f t="shared" si="238"/>
        <v>2.9362414365390905</v>
      </c>
      <c r="T522" s="680">
        <f t="shared" si="239"/>
        <v>1.2232717132550626</v>
      </c>
      <c r="U522" s="681">
        <f t="shared" si="251"/>
        <v>0.72539725834901225</v>
      </c>
      <c r="V522" s="682">
        <f t="shared" si="252"/>
        <v>-0.98112554294016341</v>
      </c>
      <c r="W522" s="683">
        <f t="shared" si="240"/>
        <v>-34.62108026458823</v>
      </c>
      <c r="X522" s="684">
        <f t="shared" si="241"/>
        <v>-231.86791380793321</v>
      </c>
      <c r="Y522" s="687">
        <f t="shared" si="242"/>
        <v>-51.867913807933206</v>
      </c>
      <c r="AA522" s="170">
        <f t="shared" si="243"/>
        <v>72865.75</v>
      </c>
      <c r="AB522" s="170">
        <f t="shared" si="244"/>
        <v>5309417523.0625</v>
      </c>
      <c r="AD522" s="686">
        <f t="shared" si="245"/>
        <v>18.291839014945843</v>
      </c>
      <c r="AE522" s="687">
        <f t="shared" si="246"/>
        <v>-70.399571812515305</v>
      </c>
      <c r="AG522" s="686">
        <f t="shared" si="247"/>
        <v>6.1673861207614582</v>
      </c>
      <c r="AH522" s="687">
        <f t="shared" si="248"/>
        <v>-49.039636301043792</v>
      </c>
      <c r="AJ522" s="170">
        <f t="shared" si="249"/>
        <v>0</v>
      </c>
      <c r="AK522" s="170">
        <f t="shared" si="261"/>
        <v>0</v>
      </c>
      <c r="AM522" s="170" t="str">
        <f t="shared" si="253"/>
        <v>1.06528798231487+0.997866463694042i</v>
      </c>
      <c r="AN522" s="170" t="str">
        <f t="shared" si="254"/>
        <v>1.63613078019816i</v>
      </c>
      <c r="AO522" s="170" t="str">
        <f t="shared" si="255"/>
        <v>0.609894071898816-0.651101974981393i</v>
      </c>
      <c r="AP522" s="170" t="str">
        <f t="shared" si="256"/>
        <v>-0.010881330385812-0.16631107728234i</v>
      </c>
      <c r="AQ522" s="170" t="str">
        <f t="shared" si="257"/>
        <v>1.01088133038581+0.16631107728234i</v>
      </c>
      <c r="AR522" s="170" t="str">
        <f t="shared" si="258"/>
        <v>0.802317011601023-0.131997893828337i</v>
      </c>
    </row>
    <row r="523" spans="7:44">
      <c r="G523" s="688">
        <v>73287.5</v>
      </c>
      <c r="H523" s="676">
        <f t="shared" si="250"/>
        <v>73.287499999999994</v>
      </c>
      <c r="I523" s="677">
        <f t="shared" si="230"/>
        <v>382.70622457172942</v>
      </c>
      <c r="J523" s="678">
        <f t="shared" si="231"/>
        <v>1.5681833535173959</v>
      </c>
      <c r="K523" s="678">
        <f t="shared" si="232"/>
        <v>1.0051182902831204</v>
      </c>
      <c r="L523" s="679">
        <f t="shared" si="233"/>
        <v>0.10096092771115044</v>
      </c>
      <c r="M523" s="678">
        <f t="shared" si="234"/>
        <v>1.0730810996817235</v>
      </c>
      <c r="N523" s="679">
        <f t="shared" si="235"/>
        <v>-0.37119096143329805</v>
      </c>
      <c r="O523" s="677">
        <f t="shared" si="236"/>
        <v>1381436.828021612</v>
      </c>
      <c r="P523" s="680">
        <f t="shared" si="237"/>
        <v>1.5707956029109087</v>
      </c>
      <c r="Q523" s="689">
        <f t="shared" si="259"/>
        <v>185.11523599479773</v>
      </c>
      <c r="R523" s="690">
        <f t="shared" si="260"/>
        <v>1.5653942600316533</v>
      </c>
      <c r="S523" s="677">
        <f t="shared" si="238"/>
        <v>2.9512703001279248</v>
      </c>
      <c r="T523" s="680">
        <f t="shared" si="239"/>
        <v>1.225115674405362</v>
      </c>
      <c r="U523" s="681">
        <f t="shared" si="251"/>
        <v>0.72332926898950667</v>
      </c>
      <c r="V523" s="682">
        <f t="shared" si="252"/>
        <v>-0.98550515132387273</v>
      </c>
      <c r="W523" s="683">
        <f t="shared" si="240"/>
        <v>-34.733283761293087</v>
      </c>
      <c r="X523" s="684">
        <f t="shared" si="241"/>
        <v>-232.30204592331404</v>
      </c>
      <c r="Y523" s="687">
        <f t="shared" si="242"/>
        <v>-52.30204592331404</v>
      </c>
      <c r="AA523" s="170">
        <f t="shared" si="243"/>
        <v>73287.5</v>
      </c>
      <c r="AB523" s="170">
        <f t="shared" si="244"/>
        <v>5371057656.25</v>
      </c>
      <c r="AD523" s="686">
        <f t="shared" si="245"/>
        <v>18.247493059915914</v>
      </c>
      <c r="AE523" s="687">
        <f t="shared" si="246"/>
        <v>-70.503431789997052</v>
      </c>
      <c r="AG523" s="686">
        <f t="shared" si="247"/>
        <v>6.1491234176169485</v>
      </c>
      <c r="AH523" s="687">
        <f t="shared" si="248"/>
        <v>-48.868042285756147</v>
      </c>
      <c r="AJ523" s="170">
        <f t="shared" si="249"/>
        <v>0</v>
      </c>
      <c r="AK523" s="170">
        <f t="shared" si="261"/>
        <v>0</v>
      </c>
      <c r="AM523" s="170" t="str">
        <f t="shared" si="253"/>
        <v>1.07473470217436+0.99720345180455i</v>
      </c>
      <c r="AN523" s="170" t="str">
        <f t="shared" si="254"/>
        <v>1.64560077339179i</v>
      </c>
      <c r="AO523" s="170" t="str">
        <f t="shared" si="255"/>
        <v>0.60598139471531-0.653095647226269i</v>
      </c>
      <c r="AP523" s="170" t="str">
        <f t="shared" si="256"/>
        <v>-0.0124557836957275-0.166200575300758i</v>
      </c>
      <c r="AQ523" s="170" t="str">
        <f t="shared" si="257"/>
        <v>1.01245578369573+0.166200575300758i</v>
      </c>
      <c r="AR523" s="170" t="str">
        <f t="shared" si="258"/>
        <v>0.801162918280469-0.131515607962455i</v>
      </c>
    </row>
    <row r="524" spans="7:44">
      <c r="G524" s="688">
        <v>73709.25</v>
      </c>
      <c r="H524" s="676">
        <f t="shared" si="250"/>
        <v>73.709249999999997</v>
      </c>
      <c r="I524" s="677">
        <f t="shared" si="230"/>
        <v>384.90858174513073</v>
      </c>
      <c r="J524" s="678">
        <f t="shared" si="231"/>
        <v>1.5681983043750785</v>
      </c>
      <c r="K524" s="678">
        <f t="shared" si="232"/>
        <v>1.0051772164266926</v>
      </c>
      <c r="L524" s="679">
        <f t="shared" si="233"/>
        <v>0.10153795699231857</v>
      </c>
      <c r="M524" s="678">
        <f t="shared" si="234"/>
        <v>1.0738956108475555</v>
      </c>
      <c r="N524" s="679">
        <f t="shared" si="235"/>
        <v>-0.37313471645104174</v>
      </c>
      <c r="O524" s="677">
        <f t="shared" si="236"/>
        <v>1389386.628222435</v>
      </c>
      <c r="P524" s="680">
        <f t="shared" si="237"/>
        <v>1.5707956070528322</v>
      </c>
      <c r="Q524" s="689">
        <f t="shared" si="259"/>
        <v>186.1804937671063</v>
      </c>
      <c r="R524" s="690">
        <f t="shared" si="260"/>
        <v>1.5654251690113656</v>
      </c>
      <c r="S524" s="677">
        <f t="shared" si="238"/>
        <v>2.9663090969008588</v>
      </c>
      <c r="T524" s="680">
        <f t="shared" si="239"/>
        <v>1.2269409444288553</v>
      </c>
      <c r="U524" s="681">
        <f t="shared" si="251"/>
        <v>0.72126495837061055</v>
      </c>
      <c r="V524" s="682">
        <f t="shared" si="252"/>
        <v>-0.98987168306955664</v>
      </c>
      <c r="W524" s="683">
        <f t="shared" si="240"/>
        <v>-34.844999370888331</v>
      </c>
      <c r="X524" s="684">
        <f t="shared" si="241"/>
        <v>-232.73420355349455</v>
      </c>
      <c r="Y524" s="687">
        <f t="shared" si="242"/>
        <v>-52.734203553494552</v>
      </c>
      <c r="AA524" s="170">
        <f t="shared" si="243"/>
        <v>73709.25</v>
      </c>
      <c r="AB524" s="170">
        <f t="shared" si="244"/>
        <v>5433053535.5625</v>
      </c>
      <c r="AD524" s="686">
        <f t="shared" si="245"/>
        <v>18.203343288388499</v>
      </c>
      <c r="AE524" s="687">
        <f t="shared" si="246"/>
        <v>-70.606241342160601</v>
      </c>
      <c r="AG524" s="686">
        <f t="shared" si="247"/>
        <v>6.1312058090090442</v>
      </c>
      <c r="AH524" s="687">
        <f t="shared" si="248"/>
        <v>-48.697022682926153</v>
      </c>
      <c r="AJ524" s="170">
        <f t="shared" si="249"/>
        <v>0</v>
      </c>
      <c r="AK524" s="170">
        <f t="shared" si="261"/>
        <v>0</v>
      </c>
      <c r="AM524" s="170" t="str">
        <f t="shared" si="253"/>
        <v>1.08417471981823+0.996451010608912i</v>
      </c>
      <c r="AN524" s="170" t="str">
        <f t="shared" si="254"/>
        <v>1.65507076658542i</v>
      </c>
      <c r="AO524" s="170" t="str">
        <f t="shared" si="255"/>
        <v>0.60205945916421-0.655062455157125i</v>
      </c>
      <c r="AP524" s="170" t="str">
        <f t="shared" si="256"/>
        <v>-0.0140291199697047-0.166075168434819i</v>
      </c>
      <c r="AQ524" s="170" t="str">
        <f t="shared" si="257"/>
        <v>1.0140291199697+0.166075168434819i</v>
      </c>
      <c r="AR524" s="170" t="str">
        <f t="shared" si="258"/>
        <v>0.800016520331496-0.131024716892411i</v>
      </c>
    </row>
    <row r="525" spans="7:44">
      <c r="G525" s="688">
        <v>74131</v>
      </c>
      <c r="H525" s="676">
        <f t="shared" si="250"/>
        <v>74.131</v>
      </c>
      <c r="I525" s="677">
        <f t="shared" ref="I525:I588" si="262">SQRT(1+(G525/pole1)^2)</f>
        <v>387.11093900359106</v>
      </c>
      <c r="J525" s="678">
        <f t="shared" ref="J525:J588" si="263">ATAN(G525/pole1)</f>
        <v>1.5682130851154845</v>
      </c>
      <c r="K525" s="678">
        <f t="shared" ref="K525:K588" si="264">SQRT(1+(G525/Zero1)^2)</f>
        <v>1.005236477217573</v>
      </c>
      <c r="L525" s="679">
        <f t="shared" ref="L525:L588" si="265">ATAN(G525/Zero1)</f>
        <v>0.10211491843141079</v>
      </c>
      <c r="M525" s="678">
        <f t="shared" ref="M525:M588" si="266">SQRT(1+(G525/z_RHP)^2)</f>
        <v>1.0747141732291472</v>
      </c>
      <c r="N525" s="679">
        <f t="shared" ref="N525:N588" si="267">-ATAN(G525/z_RHP)</f>
        <v>-0.37507551784728332</v>
      </c>
      <c r="O525" s="677">
        <f t="shared" ref="O525:O588" si="268">SQRT(1+(G525/Pole2)^2)</f>
        <v>1397336.428423258</v>
      </c>
      <c r="P525" s="680">
        <f t="shared" ref="P525:P588" si="269">ATAN(G525/Pole2)</f>
        <v>1.5707956111476269</v>
      </c>
      <c r="Q525" s="689">
        <f t="shared" si="259"/>
        <v>187.24575171526141</v>
      </c>
      <c r="R525" s="690">
        <f t="shared" si="260"/>
        <v>1.5654557263031672</v>
      </c>
      <c r="S525" s="677">
        <f t="shared" ref="S525:S588" si="270">SQRT(1+(G525/pole4)^2)</f>
        <v>2.981357676540672</v>
      </c>
      <c r="T525" s="680">
        <f t="shared" ref="T525:T588" si="271">ATAN(G525/pole4)</f>
        <v>1.2287477941042129</v>
      </c>
      <c r="U525" s="681">
        <f t="shared" si="251"/>
        <v>0.71920438803330022</v>
      </c>
      <c r="V525" s="682">
        <f t="shared" si="252"/>
        <v>-0.99422522581179185</v>
      </c>
      <c r="W525" s="683">
        <f t="shared" ref="W525:W588" si="272">20*LOG10(((K525*Q525*M525*U525)/(I525*O525*S525))*Adc)</f>
        <v>-34.956231200654308</v>
      </c>
      <c r="X525" s="684">
        <f t="shared" ref="X525:X588" si="273">((L525+R525+N525+V525)-(J525+P525+T525))*radconv</f>
        <v>-233.16440661793879</v>
      </c>
      <c r="Y525" s="687">
        <f t="shared" ref="Y525:Y588" si="274">IF(X525&gt;0,X525,X525+180)</f>
        <v>-53.164406617938795</v>
      </c>
      <c r="AA525" s="170">
        <f t="shared" ref="AA525:AA588" si="275">IF(W525&lt;0,G525,1000000000)</f>
        <v>74131</v>
      </c>
      <c r="AB525" s="170">
        <f t="shared" ref="AB525:AB588" si="276">G525^2</f>
        <v>5495405161</v>
      </c>
      <c r="AD525" s="686">
        <f t="shared" ref="AD525:AD588" si="277">20*LOG10((Q525/(O525*S525))*Aea)</f>
        <v>18.159388301218794</v>
      </c>
      <c r="AE525" s="687">
        <f t="shared" ref="AE525:AE588" si="278">(R525-(P525+T525))*radconv</f>
        <v>-70.708015633650362</v>
      </c>
      <c r="AG525" s="686">
        <f t="shared" ref="AG525:AG588" si="279">20*LOG10((K525*M525/(I525*U525))*Acs*Am)</f>
        <v>6.1136291527975031</v>
      </c>
      <c r="AH525" s="687">
        <f t="shared" ref="AH525:AH588" si="280">(L525+N525-(J525+V525))*radconv</f>
        <v>-48.526572205190803</v>
      </c>
      <c r="AJ525" s="170">
        <f t="shared" ref="AJ525:AJ588" si="281">SUM((W526&lt;0)*(W525&gt;0))*G525</f>
        <v>0</v>
      </c>
      <c r="AK525" s="170">
        <f t="shared" si="261"/>
        <v>0</v>
      </c>
      <c r="AM525" s="170" t="str">
        <f t="shared" si="253"/>
        <v>1.09360718866473+0.995609207586132i</v>
      </c>
      <c r="AN525" s="170" t="str">
        <f t="shared" si="254"/>
        <v>1.66454075977905i</v>
      </c>
      <c r="AO525" s="170" t="str">
        <f t="shared" si="255"/>
        <v>0.598128463804208-0.657002348689794i</v>
      </c>
      <c r="AP525" s="170" t="str">
        <f t="shared" si="256"/>
        <v>-0.015601198110788-0.165934867931022i</v>
      </c>
      <c r="AQ525" s="170" t="str">
        <f t="shared" si="257"/>
        <v>1.01560119811079+0.165934867931022i</v>
      </c>
      <c r="AR525" s="170" t="str">
        <f t="shared" si="258"/>
        <v>0.798877843795026-0.130525337848889i</v>
      </c>
    </row>
    <row r="526" spans="7:44">
      <c r="G526" s="688">
        <v>74562.75</v>
      </c>
      <c r="H526" s="676">
        <f t="shared" ref="H526:H589" si="282">G526/1000</f>
        <v>74.562749999999994</v>
      </c>
      <c r="I526" s="677">
        <f t="shared" si="262"/>
        <v>389.36551584500012</v>
      </c>
      <c r="J526" s="678">
        <f t="shared" si="263"/>
        <v>1.5682280431163138</v>
      </c>
      <c r="K526" s="678">
        <f t="shared" si="264"/>
        <v>1.0052974897066991</v>
      </c>
      <c r="L526" s="679">
        <f t="shared" si="265"/>
        <v>0.10270548938439106</v>
      </c>
      <c r="M526" s="678">
        <f t="shared" si="266"/>
        <v>1.075556331104865</v>
      </c>
      <c r="N526" s="679">
        <f t="shared" si="267"/>
        <v>-0.37705926935334061</v>
      </c>
      <c r="O526" s="677">
        <f t="shared" si="268"/>
        <v>1405474.724183081</v>
      </c>
      <c r="P526" s="680">
        <f t="shared" si="269"/>
        <v>1.5707956152915286</v>
      </c>
      <c r="Q526" s="689">
        <f t="shared" si="259"/>
        <v>188.33626788508687</v>
      </c>
      <c r="R526" s="690">
        <f t="shared" si="260"/>
        <v>1.5654866500660181</v>
      </c>
      <c r="S526" s="677">
        <f t="shared" si="270"/>
        <v>2.9967730486639663</v>
      </c>
      <c r="T526" s="680">
        <f t="shared" si="271"/>
        <v>1.2305786823339273</v>
      </c>
      <c r="U526" s="681">
        <f t="shared" ref="U526:U589" si="283">IMABS(IMPRODUCT(AO526, AR526))</f>
        <v>0.71709889683453831</v>
      </c>
      <c r="V526" s="682">
        <f t="shared" ref="V526:V589" si="284">IMARGUMENT(IMPRODUCT(AO526, AR526))</f>
        <v>-0.99866863139925122</v>
      </c>
      <c r="W526" s="683">
        <f t="shared" si="272"/>
        <v>-35.06960353005681</v>
      </c>
      <c r="X526" s="684">
        <f t="shared" si="273"/>
        <v>-233.60280600602729</v>
      </c>
      <c r="Y526" s="687">
        <f t="shared" si="274"/>
        <v>-53.602806006027294</v>
      </c>
      <c r="AA526" s="170">
        <f t="shared" si="275"/>
        <v>74562.75</v>
      </c>
      <c r="AB526" s="170">
        <f t="shared" si="276"/>
        <v>5559603687.5625</v>
      </c>
      <c r="AD526" s="686">
        <f t="shared" si="277"/>
        <v>18.114591424293604</v>
      </c>
      <c r="AE526" s="687">
        <f t="shared" si="278"/>
        <v>-70.811146238421074</v>
      </c>
      <c r="AG526" s="686">
        <f t="shared" si="279"/>
        <v>6.0959846631015049</v>
      </c>
      <c r="AH526" s="687">
        <f t="shared" si="280"/>
        <v>-48.352664214274299</v>
      </c>
      <c r="AJ526" s="170">
        <f t="shared" si="281"/>
        <v>0</v>
      </c>
      <c r="AK526" s="170">
        <f t="shared" si="261"/>
        <v>0</v>
      </c>
      <c r="AM526" s="170" t="str">
        <f t="shared" ref="AM526:AM589" si="285">IMSUB(1,IMEXP(COMPLEX(0,-2*Pi*G526*Tsw)))</f>
        <v>1.10325460567543+0.994654958468921i</v>
      </c>
      <c r="AN526" s="170" t="str">
        <f t="shared" ref="AN526:AN589" si="286">COMPLEX(0, 2*Pi*G526*Tsw)</f>
        <v>1.67423529341591i</v>
      </c>
      <c r="AO526" s="170" t="str">
        <f t="shared" ref="AO526:AO589" si="287">IMDIV(AM526, AN526)</f>
        <v>0.594095084711508-0.658960308634087i</v>
      </c>
      <c r="AP526" s="170" t="str">
        <f t="shared" ref="AP526:AP589" si="288">IMDIV(IMEXP(COMPLEX(0,-2*Pi*G526*Tsw)),6)</f>
        <v>-0.0172091009459052-0.165775826411487i</v>
      </c>
      <c r="AQ526" s="170" t="str">
        <f t="shared" ref="AQ526:AQ589" si="289">IMSUB(1, AP526)</f>
        <v>1.01720910094591+0.165775826411487i</v>
      </c>
      <c r="AR526" s="170" t="str">
        <f t="shared" ref="AR526:AR589" si="290">IMDIV(0.833, AQ526)</f>
        <v>0.797720192229979-0.130005447246866i</v>
      </c>
    </row>
    <row r="527" spans="7:44">
      <c r="G527" s="688">
        <v>74994.5</v>
      </c>
      <c r="H527" s="676">
        <f t="shared" si="282"/>
        <v>74.994500000000002</v>
      </c>
      <c r="I527" s="677">
        <f t="shared" si="262"/>
        <v>391.62009277252338</v>
      </c>
      <c r="J527" s="678">
        <f t="shared" si="263"/>
        <v>1.568242828889193</v>
      </c>
      <c r="K527" s="678">
        <f t="shared" si="264"/>
        <v>1.0053588527748749</v>
      </c>
      <c r="L527" s="679">
        <f t="shared" si="265"/>
        <v>0.10329598845114113</v>
      </c>
      <c r="M527" s="678">
        <f t="shared" si="266"/>
        <v>1.0764027149524538</v>
      </c>
      <c r="N527" s="679">
        <f t="shared" si="267"/>
        <v>-0.37903990896500783</v>
      </c>
      <c r="O527" s="677">
        <f t="shared" si="268"/>
        <v>1413613.0199429039</v>
      </c>
      <c r="P527" s="680">
        <f t="shared" si="269"/>
        <v>1.5707956193877166</v>
      </c>
      <c r="Q527" s="689">
        <f t="shared" si="259"/>
        <v>189.42678423294078</v>
      </c>
      <c r="R527" s="690">
        <f t="shared" si="260"/>
        <v>1.5655172177771488</v>
      </c>
      <c r="S527" s="677">
        <f t="shared" si="270"/>
        <v>3.0121983635855472</v>
      </c>
      <c r="T527" s="680">
        <f t="shared" si="271"/>
        <v>1.2323908248151152</v>
      </c>
      <c r="U527" s="681">
        <f t="shared" si="283"/>
        <v>0.71499745028714023</v>
      </c>
      <c r="V527" s="682">
        <f t="shared" si="284"/>
        <v>-1.0030986114848117</v>
      </c>
      <c r="W527" s="683">
        <f t="shared" si="272"/>
        <v>-35.182477411979832</v>
      </c>
      <c r="X527" s="684">
        <f t="shared" si="273"/>
        <v>-234.03919846719774</v>
      </c>
      <c r="Y527" s="687">
        <f t="shared" si="274"/>
        <v>-54.039198467197735</v>
      </c>
      <c r="AA527" s="170">
        <f t="shared" si="275"/>
        <v>74994.5</v>
      </c>
      <c r="AB527" s="170">
        <f t="shared" si="276"/>
        <v>5624175030.25</v>
      </c>
      <c r="AD527" s="686">
        <f t="shared" si="277"/>
        <v>18.069995738408117</v>
      </c>
      <c r="AE527" s="687">
        <f t="shared" si="278"/>
        <v>-70.913223188443268</v>
      </c>
      <c r="AG527" s="686">
        <f t="shared" si="279"/>
        <v>6.0786889192674609</v>
      </c>
      <c r="AH527" s="687">
        <f t="shared" si="280"/>
        <v>-48.179341400383215</v>
      </c>
      <c r="AJ527" s="170">
        <f t="shared" si="281"/>
        <v>0</v>
      </c>
      <c r="AK527" s="170">
        <f t="shared" si="261"/>
        <v>0</v>
      </c>
      <c r="AM527" s="170" t="str">
        <f t="shared" si="285"/>
        <v>1.1128923184831+0.993607228449708i</v>
      </c>
      <c r="AN527" s="170" t="str">
        <f t="shared" si="286"/>
        <v>1.68392982705278i</v>
      </c>
      <c r="AO527" s="170" t="str">
        <f t="shared" si="287"/>
        <v>0.590052633124697-0.660889961448624i</v>
      </c>
      <c r="AP527" s="170" t="str">
        <f t="shared" si="288"/>
        <v>-0.0188153864138503-0.165601204741618i</v>
      </c>
      <c r="AQ527" s="170" t="str">
        <f t="shared" si="289"/>
        <v>1.01881538641385+0.165601204741618i</v>
      </c>
      <c r="AR527" s="170" t="str">
        <f t="shared" si="290"/>
        <v>0.796570683049644-0.129476906742838i</v>
      </c>
    </row>
    <row r="528" spans="7:44">
      <c r="G528" s="688">
        <v>75426.25</v>
      </c>
      <c r="H528" s="676">
        <f t="shared" si="282"/>
        <v>75.426249999999996</v>
      </c>
      <c r="I528" s="677">
        <f t="shared" si="262"/>
        <v>393.87466978468217</v>
      </c>
      <c r="J528" s="678">
        <f t="shared" si="263"/>
        <v>1.5682574453916642</v>
      </c>
      <c r="K528" s="678">
        <f t="shared" si="264"/>
        <v>1.0054205663579103</v>
      </c>
      <c r="L528" s="679">
        <f t="shared" si="265"/>
        <v>0.10388641523305982</v>
      </c>
      <c r="M528" s="678">
        <f t="shared" si="266"/>
        <v>1.0772533148110406</v>
      </c>
      <c r="N528" s="679">
        <f t="shared" si="267"/>
        <v>-0.38101742849573633</v>
      </c>
      <c r="O528" s="677">
        <f t="shared" si="268"/>
        <v>1421751.3157027268</v>
      </c>
      <c r="P528" s="680">
        <f t="shared" si="269"/>
        <v>1.5707956234370104</v>
      </c>
      <c r="Q528" s="689">
        <f t="shared" si="259"/>
        <v>190.51730075576594</v>
      </c>
      <c r="R528" s="690">
        <f t="shared" si="260"/>
        <v>1.5655474355505965</v>
      </c>
      <c r="S528" s="677">
        <f t="shared" si="270"/>
        <v>3.0276334693344515</v>
      </c>
      <c r="T528" s="680">
        <f t="shared" si="271"/>
        <v>1.2341844962560888</v>
      </c>
      <c r="U528" s="681">
        <f t="shared" si="283"/>
        <v>0.7129001087704977</v>
      </c>
      <c r="V528" s="682">
        <f t="shared" si="284"/>
        <v>-1.0075152609667564</v>
      </c>
      <c r="W528" s="683">
        <f t="shared" si="272"/>
        <v>-35.294857087799471</v>
      </c>
      <c r="X528" s="684">
        <f t="shared" si="273"/>
        <v>-234.4736045513246</v>
      </c>
      <c r="Y528" s="687">
        <f t="shared" si="274"/>
        <v>-54.473604551324598</v>
      </c>
      <c r="AA528" s="170">
        <f t="shared" si="275"/>
        <v>75426.25</v>
      </c>
      <c r="AB528" s="170">
        <f t="shared" si="276"/>
        <v>5689119189.0625</v>
      </c>
      <c r="AD528" s="686">
        <f t="shared" si="277"/>
        <v>18.025599770735905</v>
      </c>
      <c r="AE528" s="687">
        <f t="shared" si="278"/>
        <v>-71.014261873082276</v>
      </c>
      <c r="AG528" s="686">
        <f t="shared" si="279"/>
        <v>6.0617376957192519</v>
      </c>
      <c r="AH528" s="687">
        <f t="shared" si="280"/>
        <v>-48.006598049484609</v>
      </c>
      <c r="AJ528" s="170">
        <f t="shared" si="281"/>
        <v>0</v>
      </c>
      <c r="AK528" s="170">
        <f t="shared" si="261"/>
        <v>0</v>
      </c>
      <c r="AM528" s="170" t="str">
        <f t="shared" si="285"/>
        <v>1.12251942130419+0.992466115997562i</v>
      </c>
      <c r="AN528" s="170" t="str">
        <f t="shared" si="286"/>
        <v>1.69362436068965i</v>
      </c>
      <c r="AO528" s="170" t="str">
        <f t="shared" si="287"/>
        <v>0.586001322981341-0.662791258415234i</v>
      </c>
      <c r="AP528" s="170" t="str">
        <f t="shared" si="288"/>
        <v>-0.0204199035506987-0.165411019332927i</v>
      </c>
      <c r="AQ528" s="170" t="str">
        <f t="shared" si="289"/>
        <v>1.0204199035507+0.165411019332927i</v>
      </c>
      <c r="AR528" s="170" t="str">
        <f t="shared" si="290"/>
        <v>0.795429339443107-0.128939838773013i</v>
      </c>
    </row>
    <row r="529" spans="7:44">
      <c r="G529" s="688">
        <v>75858</v>
      </c>
      <c r="H529" s="676">
        <f t="shared" si="282"/>
        <v>75.858000000000004</v>
      </c>
      <c r="I529" s="677">
        <f t="shared" si="262"/>
        <v>396.1292468800313</v>
      </c>
      <c r="J529" s="678">
        <f t="shared" si="263"/>
        <v>1.5682718955139385</v>
      </c>
      <c r="K529" s="678">
        <f t="shared" si="264"/>
        <v>1.0054826303912645</v>
      </c>
      <c r="L529" s="679">
        <f t="shared" si="265"/>
        <v>0.10447676933184505</v>
      </c>
      <c r="M529" s="678">
        <f t="shared" si="266"/>
        <v>1.0781081207016499</v>
      </c>
      <c r="N529" s="679">
        <f t="shared" si="267"/>
        <v>-0.38299181988235975</v>
      </c>
      <c r="O529" s="677">
        <f t="shared" si="268"/>
        <v>1429889.6114625498</v>
      </c>
      <c r="P529" s="680">
        <f t="shared" si="269"/>
        <v>1.5707956274402108</v>
      </c>
      <c r="Q529" s="689">
        <f t="shared" si="259"/>
        <v>191.60781745057488</v>
      </c>
      <c r="R529" s="690">
        <f t="shared" si="260"/>
        <v>1.5655773093612113</v>
      </c>
      <c r="S529" s="677">
        <f t="shared" si="270"/>
        <v>3.0430782169275381</v>
      </c>
      <c r="T529" s="680">
        <f t="shared" si="271"/>
        <v>1.235959966268906</v>
      </c>
      <c r="U529" s="681">
        <f t="shared" si="283"/>
        <v>0.71080693081781332</v>
      </c>
      <c r="V529" s="682">
        <f t="shared" si="284"/>
        <v>-1.0119186750043465</v>
      </c>
      <c r="W529" s="683">
        <f t="shared" si="272"/>
        <v>-35.406746745441502</v>
      </c>
      <c r="X529" s="684">
        <f t="shared" si="273"/>
        <v>-234.90604454240969</v>
      </c>
      <c r="Y529" s="687">
        <f t="shared" si="274"/>
        <v>-54.906044542409688</v>
      </c>
      <c r="AA529" s="170">
        <f t="shared" si="275"/>
        <v>75858</v>
      </c>
      <c r="AB529" s="170">
        <f t="shared" si="276"/>
        <v>5754436164</v>
      </c>
      <c r="AD529" s="686">
        <f t="shared" si="277"/>
        <v>17.981402058230994</v>
      </c>
      <c r="AE529" s="687">
        <f t="shared" si="278"/>
        <v>-71.114277397683296</v>
      </c>
      <c r="AG529" s="686">
        <f t="shared" si="279"/>
        <v>6.0451268375874703</v>
      </c>
      <c r="AH529" s="687">
        <f t="shared" si="280"/>
        <v>-47.834428435786926</v>
      </c>
      <c r="AJ529" s="170">
        <f t="shared" si="281"/>
        <v>0</v>
      </c>
      <c r="AK529" s="170">
        <f t="shared" si="261"/>
        <v>0</v>
      </c>
      <c r="AM529" s="170" t="str">
        <f t="shared" si="285"/>
        <v>1.13213500935233+0.991231728357936i</v>
      </c>
      <c r="AN529" s="170" t="str">
        <f t="shared" si="286"/>
        <v>1.70331889432652i</v>
      </c>
      <c r="AO529" s="170" t="str">
        <f t="shared" si="287"/>
        <v>0.581941368500971-0.664664152510307i</v>
      </c>
      <c r="AP529" s="170" t="str">
        <f t="shared" si="288"/>
        <v>-0.0220225015587212-0.165205288059656i</v>
      </c>
      <c r="AQ529" s="170" t="str">
        <f t="shared" si="289"/>
        <v>1.02202250155872+0.165205288059656i</v>
      </c>
      <c r="AR529" s="170" t="str">
        <f t="shared" si="290"/>
        <v>0.794296183075476-0.128394364634378i</v>
      </c>
    </row>
    <row r="530" spans="7:44">
      <c r="G530" s="688">
        <v>76299.75</v>
      </c>
      <c r="H530" s="676">
        <f t="shared" si="282"/>
        <v>76.299750000000003</v>
      </c>
      <c r="I530" s="677">
        <f t="shared" si="262"/>
        <v>398.43604356424555</v>
      </c>
      <c r="J530" s="678">
        <f t="shared" si="263"/>
        <v>1.5682865110640765</v>
      </c>
      <c r="K530" s="678">
        <f t="shared" si="264"/>
        <v>1.0055464945760397</v>
      </c>
      <c r="L530" s="679">
        <f t="shared" si="265"/>
        <v>0.10508072130475926</v>
      </c>
      <c r="M530" s="678">
        <f t="shared" si="266"/>
        <v>1.0789870680841465</v>
      </c>
      <c r="N530" s="679">
        <f t="shared" si="267"/>
        <v>-0.38500869529441456</v>
      </c>
      <c r="O530" s="677">
        <f t="shared" si="268"/>
        <v>1438216.4027813727</v>
      </c>
      <c r="P530" s="680">
        <f t="shared" si="269"/>
        <v>1.5707956314892402</v>
      </c>
      <c r="Q530" s="689">
        <f t="shared" si="259"/>
        <v>192.72359237928555</v>
      </c>
      <c r="R530" s="690">
        <f t="shared" si="260"/>
        <v>1.56560752518039</v>
      </c>
      <c r="S530" s="677">
        <f t="shared" si="270"/>
        <v>3.0588905159231881</v>
      </c>
      <c r="T530" s="680">
        <f t="shared" si="271"/>
        <v>1.2377579962288692</v>
      </c>
      <c r="U530" s="681">
        <f t="shared" si="283"/>
        <v>0.7086696400917073</v>
      </c>
      <c r="V530" s="682">
        <f t="shared" si="284"/>
        <v>-1.0164104796262818</v>
      </c>
      <c r="W530" s="683">
        <f t="shared" si="272"/>
        <v>-35.520725080270864</v>
      </c>
      <c r="X530" s="684">
        <f t="shared" si="273"/>
        <v>-235.34648647054607</v>
      </c>
      <c r="Y530" s="687">
        <f t="shared" si="274"/>
        <v>-55.346486470546068</v>
      </c>
      <c r="AA530" s="170">
        <f t="shared" si="275"/>
        <v>76299.75</v>
      </c>
      <c r="AB530" s="170">
        <f t="shared" si="276"/>
        <v>5821651850.0625</v>
      </c>
      <c r="AD530" s="686">
        <f t="shared" si="277"/>
        <v>17.936384338728445</v>
      </c>
      <c r="AE530" s="687">
        <f t="shared" si="278"/>
        <v>-71.215565919021827</v>
      </c>
      <c r="AG530" s="686">
        <f t="shared" si="279"/>
        <v>6.0284792671700664</v>
      </c>
      <c r="AH530" s="687">
        <f t="shared" si="280"/>
        <v>-47.658858947528088</v>
      </c>
      <c r="AJ530" s="170">
        <f t="shared" si="281"/>
        <v>0</v>
      </c>
      <c r="AK530" s="170">
        <f t="shared" si="261"/>
        <v>0</v>
      </c>
      <c r="AM530" s="170" t="str">
        <f t="shared" si="285"/>
        <v>1.14196044887203+0.989872330634639i</v>
      </c>
      <c r="AN530" s="170" t="str">
        <f t="shared" si="286"/>
        <v>1.71323796840662i</v>
      </c>
      <c r="AO530" s="170" t="str">
        <f t="shared" si="287"/>
        <v>0.577778655906897-0.666550981200877i</v>
      </c>
      <c r="AP530" s="170" t="str">
        <f t="shared" si="288"/>
        <v>-0.023660074812005-0.16497872177244i</v>
      </c>
      <c r="AQ530" s="170" t="str">
        <f t="shared" si="289"/>
        <v>1.02366007481201+0.16497872177244i</v>
      </c>
      <c r="AR530" s="170" t="str">
        <f t="shared" si="290"/>
        <v>0.793145275964912-0.127827681305799i</v>
      </c>
    </row>
    <row r="531" spans="7:44">
      <c r="G531" s="688">
        <v>76741.5</v>
      </c>
      <c r="H531" s="676">
        <f t="shared" si="282"/>
        <v>76.741500000000002</v>
      </c>
      <c r="I531" s="677">
        <f t="shared" si="262"/>
        <v>400.74284033259147</v>
      </c>
      <c r="J531" s="678">
        <f t="shared" si="263"/>
        <v>1.5683009583511798</v>
      </c>
      <c r="K531" s="678">
        <f t="shared" si="264"/>
        <v>1.0056107254952635</v>
      </c>
      <c r="L531" s="679">
        <f t="shared" si="265"/>
        <v>0.10568459634601571</v>
      </c>
      <c r="M531" s="678">
        <f t="shared" si="266"/>
        <v>1.0798703974002981</v>
      </c>
      <c r="N531" s="679">
        <f t="shared" si="267"/>
        <v>-0.38702227929542699</v>
      </c>
      <c r="O531" s="677">
        <f t="shared" si="268"/>
        <v>1446543.1941001958</v>
      </c>
      <c r="P531" s="680">
        <f t="shared" si="269"/>
        <v>1.5707956354916546</v>
      </c>
      <c r="Q531" s="689">
        <f t="shared" si="259"/>
        <v>193.83936748192639</v>
      </c>
      <c r="R531" s="690">
        <f t="shared" si="260"/>
        <v>1.5656373931439544</v>
      </c>
      <c r="S531" s="677">
        <f t="shared" si="270"/>
        <v>3.0747126023099285</v>
      </c>
      <c r="T531" s="680">
        <f t="shared" si="271"/>
        <v>1.2395375270182132</v>
      </c>
      <c r="U531" s="681">
        <f t="shared" si="283"/>
        <v>0.7065368262083751</v>
      </c>
      <c r="V531" s="682">
        <f t="shared" si="284"/>
        <v>-1.0208886309024714</v>
      </c>
      <c r="W531" s="683">
        <f t="shared" si="272"/>
        <v>-35.634199138015767</v>
      </c>
      <c r="X531" s="684">
        <f t="shared" si="273"/>
        <v>-235.78491230631553</v>
      </c>
      <c r="Y531" s="687">
        <f t="shared" si="274"/>
        <v>-55.784912306315533</v>
      </c>
      <c r="AA531" s="170">
        <f t="shared" si="275"/>
        <v>76741.5</v>
      </c>
      <c r="AB531" s="170">
        <f t="shared" si="276"/>
        <v>5889257822.25</v>
      </c>
      <c r="AD531" s="686">
        <f t="shared" si="277"/>
        <v>17.891571097686871</v>
      </c>
      <c r="AE531" s="687">
        <f t="shared" si="278"/>
        <v>-71.315814443945925</v>
      </c>
      <c r="AG531" s="686">
        <f t="shared" si="279"/>
        <v>6.0121794323463948</v>
      </c>
      <c r="AH531" s="687">
        <f t="shared" si="280"/>
        <v>-47.483877921493587</v>
      </c>
      <c r="AJ531" s="170">
        <f t="shared" si="281"/>
        <v>0</v>
      </c>
      <c r="AK531" s="170">
        <f t="shared" si="261"/>
        <v>0</v>
      </c>
      <c r="AM531" s="170" t="str">
        <f t="shared" si="285"/>
        <v>1.15177192129727+0.988415542120689i</v>
      </c>
      <c r="AN531" s="170" t="str">
        <f t="shared" si="286"/>
        <v>1.72315704248673i</v>
      </c>
      <c r="AO531" s="170" t="str">
        <f t="shared" si="287"/>
        <v>0.573607348459826-0.668407981918537i</v>
      </c>
      <c r="AP531" s="170" t="str">
        <f t="shared" si="288"/>
        <v>-0.0252953202162118-0.164735923686781i</v>
      </c>
      <c r="AQ531" s="170" t="str">
        <f t="shared" si="289"/>
        <v>1.02529532021621+0.164735923686781i</v>
      </c>
      <c r="AR531" s="170" t="str">
        <f t="shared" si="290"/>
        <v>0.792002980908539-0.127252451123193i</v>
      </c>
    </row>
    <row r="532" spans="7:44">
      <c r="G532" s="688">
        <v>77183.25</v>
      </c>
      <c r="H532" s="676">
        <f t="shared" si="282"/>
        <v>77.183250000000001</v>
      </c>
      <c r="I532" s="677">
        <f t="shared" si="262"/>
        <v>403.04963718362467</v>
      </c>
      <c r="J532" s="678">
        <f t="shared" si="263"/>
        <v>1.5683152402643306</v>
      </c>
      <c r="K532" s="678">
        <f t="shared" si="264"/>
        <v>1.0056753230786681</v>
      </c>
      <c r="L532" s="679">
        <f t="shared" si="265"/>
        <v>0.106288394029973</v>
      </c>
      <c r="M532" s="678">
        <f t="shared" si="266"/>
        <v>1.080758097905729</v>
      </c>
      <c r="N532" s="679">
        <f t="shared" si="267"/>
        <v>-0.38903256364767552</v>
      </c>
      <c r="O532" s="677">
        <f t="shared" si="268"/>
        <v>1454869.9854190189</v>
      </c>
      <c r="P532" s="680">
        <f t="shared" si="269"/>
        <v>1.5707956394482538</v>
      </c>
      <c r="Q532" s="689">
        <f t="shared" si="259"/>
        <v>194.95514275551102</v>
      </c>
      <c r="R532" s="690">
        <f t="shared" si="260"/>
        <v>1.5656669192244355</v>
      </c>
      <c r="S532" s="677">
        <f t="shared" si="270"/>
        <v>3.0905443257676919</v>
      </c>
      <c r="T532" s="680">
        <f t="shared" si="271"/>
        <v>1.2412988315723603</v>
      </c>
      <c r="U532" s="681">
        <f t="shared" si="283"/>
        <v>0.7044085460487588</v>
      </c>
      <c r="V532" s="682">
        <f t="shared" si="284"/>
        <v>-1.0253532314939193</v>
      </c>
      <c r="W532" s="683">
        <f t="shared" si="272"/>
        <v>-35.747173237564965</v>
      </c>
      <c r="X532" s="684">
        <f t="shared" si="273"/>
        <v>-236.22134294558637</v>
      </c>
      <c r="Y532" s="687">
        <f t="shared" si="274"/>
        <v>-56.221342945586372</v>
      </c>
      <c r="AA532" s="170">
        <f t="shared" si="275"/>
        <v>77183.25</v>
      </c>
      <c r="AB532" s="170">
        <f t="shared" si="276"/>
        <v>5957254080.5625</v>
      </c>
      <c r="AD532" s="686">
        <f t="shared" si="277"/>
        <v>17.84696080051096</v>
      </c>
      <c r="AE532" s="687">
        <f t="shared" si="278"/>
        <v>-71.415038268348425</v>
      </c>
      <c r="AG532" s="686">
        <f t="shared" si="279"/>
        <v>5.9962231036263622</v>
      </c>
      <c r="AH532" s="687">
        <f t="shared" si="280"/>
        <v>-47.309479193574148</v>
      </c>
      <c r="AJ532" s="170">
        <f t="shared" si="281"/>
        <v>0</v>
      </c>
      <c r="AK532" s="170">
        <f t="shared" si="261"/>
        <v>0</v>
      </c>
      <c r="AM532" s="170" t="str">
        <f t="shared" si="285"/>
        <v>1.16156846130451+0.986861506145464i</v>
      </c>
      <c r="AN532" s="170" t="str">
        <f t="shared" si="286"/>
        <v>1.73307611656684i</v>
      </c>
      <c r="AO532" s="170" t="str">
        <f t="shared" si="287"/>
        <v>0.569427676437201-0.670235109814758i</v>
      </c>
      <c r="AP532" s="170" t="str">
        <f t="shared" si="288"/>
        <v>-0.0269280768840843-0.164476917690911i</v>
      </c>
      <c r="AQ532" s="170" t="str">
        <f t="shared" si="289"/>
        <v>1.02692807688408+0.164476917690911i</v>
      </c>
      <c r="AR532" s="170" t="str">
        <f t="shared" si="290"/>
        <v>0.79086931640708-0.126668800266562i</v>
      </c>
    </row>
    <row r="533" spans="7:44">
      <c r="G533" s="688">
        <v>77625</v>
      </c>
      <c r="H533" s="676">
        <f t="shared" si="282"/>
        <v>77.625</v>
      </c>
      <c r="I533" s="677">
        <f t="shared" si="262"/>
        <v>405.35643411593344</v>
      </c>
      <c r="J533" s="678">
        <f t="shared" si="263"/>
        <v>1.5683293596268464</v>
      </c>
      <c r="K533" s="678">
        <f t="shared" si="264"/>
        <v>1.0057402872556016</v>
      </c>
      <c r="L533" s="679">
        <f t="shared" si="265"/>
        <v>0.10689211393132449</v>
      </c>
      <c r="M533" s="678">
        <f t="shared" si="266"/>
        <v>1.0816501588382523</v>
      </c>
      <c r="N533" s="679">
        <f t="shared" si="267"/>
        <v>-0.39103954024709114</v>
      </c>
      <c r="O533" s="677">
        <f t="shared" si="268"/>
        <v>1463196.776737842</v>
      </c>
      <c r="P533" s="680">
        <f t="shared" si="269"/>
        <v>1.5707956433598209</v>
      </c>
      <c r="Q533" s="689">
        <f t="shared" si="259"/>
        <v>196.07091819712113</v>
      </c>
      <c r="R533" s="690">
        <f t="shared" si="260"/>
        <v>1.5656961092584152</v>
      </c>
      <c r="S533" s="677">
        <f t="shared" si="270"/>
        <v>3.1063855389502102</v>
      </c>
      <c r="T533" s="680">
        <f t="shared" si="271"/>
        <v>1.243042177716756</v>
      </c>
      <c r="U533" s="681">
        <f t="shared" si="283"/>
        <v>0.7022848545961029</v>
      </c>
      <c r="V533" s="682">
        <f t="shared" si="284"/>
        <v>-1.0298043842729232</v>
      </c>
      <c r="W533" s="683">
        <f t="shared" si="272"/>
        <v>-35.859651643808</v>
      </c>
      <c r="X533" s="684">
        <f t="shared" si="273"/>
        <v>-236.65579901521139</v>
      </c>
      <c r="Y533" s="687">
        <f t="shared" si="274"/>
        <v>-56.655799015211386</v>
      </c>
      <c r="AA533" s="170">
        <f t="shared" si="275"/>
        <v>77625</v>
      </c>
      <c r="AB533" s="170">
        <f t="shared" si="276"/>
        <v>6025640625</v>
      </c>
      <c r="AD533" s="686">
        <f t="shared" si="277"/>
        <v>17.802551923750837</v>
      </c>
      <c r="AE533" s="687">
        <f t="shared" si="278"/>
        <v>-71.513252403130323</v>
      </c>
      <c r="AG533" s="686">
        <f t="shared" si="279"/>
        <v>5.9806061230466785</v>
      </c>
      <c r="AH533" s="687">
        <f t="shared" si="280"/>
        <v>-47.135656591424784</v>
      </c>
      <c r="AJ533" s="170">
        <f t="shared" si="281"/>
        <v>0</v>
      </c>
      <c r="AK533" s="170">
        <f t="shared" si="261"/>
        <v>0</v>
      </c>
      <c r="AM533" s="170" t="str">
        <f t="shared" si="285"/>
        <v>1.17134910503935+0.985210375606253i</v>
      </c>
      <c r="AN533" s="170" t="str">
        <f t="shared" si="286"/>
        <v>1.74299519064694i</v>
      </c>
      <c r="AO533" s="170" t="str">
        <f t="shared" si="287"/>
        <v>0.565239870363943-0.672032321904793i</v>
      </c>
      <c r="AP533" s="170" t="str">
        <f t="shared" si="288"/>
        <v>-0.0285581841732248-0.164201729267709i</v>
      </c>
      <c r="AQ533" s="170" t="str">
        <f t="shared" si="289"/>
        <v>1.02855818417322+0.164201729267709i</v>
      </c>
      <c r="AR533" s="170" t="str">
        <f t="shared" si="290"/>
        <v>0.789744299457389-0.126076853643877i</v>
      </c>
    </row>
    <row r="534" spans="7:44">
      <c r="G534" s="688">
        <v>78077</v>
      </c>
      <c r="H534" s="676">
        <f t="shared" si="282"/>
        <v>78.076999999999998</v>
      </c>
      <c r="I534" s="677">
        <f t="shared" si="262"/>
        <v>407.71675613049069</v>
      </c>
      <c r="J534" s="678">
        <f t="shared" si="263"/>
        <v>1.5683436412293033</v>
      </c>
      <c r="K534" s="678">
        <f t="shared" si="264"/>
        <v>1.0058071381846405</v>
      </c>
      <c r="L534" s="679">
        <f t="shared" si="265"/>
        <v>0.10750976109367981</v>
      </c>
      <c r="M534" s="678">
        <f t="shared" si="266"/>
        <v>1.0825674205320561</v>
      </c>
      <c r="N534" s="679">
        <f t="shared" si="267"/>
        <v>-0.39308965298195697</v>
      </c>
      <c r="O534" s="677">
        <f t="shared" si="268"/>
        <v>1471716.7760046399</v>
      </c>
      <c r="P534" s="680">
        <f t="shared" si="269"/>
        <v>1.5707956473163336</v>
      </c>
      <c r="Q534" s="689">
        <f t="shared" si="259"/>
        <v>197.21258333605101</v>
      </c>
      <c r="R534" s="690">
        <f t="shared" si="260"/>
        <v>1.56572563471016</v>
      </c>
      <c r="S534" s="677">
        <f t="shared" si="270"/>
        <v>3.1226039904009193</v>
      </c>
      <c r="T534" s="680">
        <f t="shared" si="271"/>
        <v>1.2448076608558583</v>
      </c>
      <c r="U534" s="681">
        <f t="shared" si="283"/>
        <v>0.70011669181621039</v>
      </c>
      <c r="V534" s="682">
        <f t="shared" si="284"/>
        <v>-1.0343450059298409</v>
      </c>
      <c r="W534" s="683">
        <f t="shared" si="272"/>
        <v>-35.974231219431026</v>
      </c>
      <c r="X534" s="684">
        <f t="shared" si="273"/>
        <v>-237.09831325576266</v>
      </c>
      <c r="Y534" s="687">
        <f t="shared" si="274"/>
        <v>-57.098313255762662</v>
      </c>
      <c r="AA534" s="170">
        <f t="shared" si="275"/>
        <v>78077</v>
      </c>
      <c r="AB534" s="170">
        <f t="shared" si="276"/>
        <v>6096017929</v>
      </c>
      <c r="AD534" s="686">
        <f t="shared" si="277"/>
        <v>17.757319528030546</v>
      </c>
      <c r="AE534" s="687">
        <f t="shared" si="278"/>
        <v>-71.612715678834348</v>
      </c>
      <c r="AG534" s="686">
        <f t="shared" si="279"/>
        <v>5.9649737659100444</v>
      </c>
      <c r="AH534" s="687">
        <f t="shared" si="280"/>
        <v>-46.958390641063247</v>
      </c>
      <c r="AJ534" s="170">
        <f t="shared" si="281"/>
        <v>0</v>
      </c>
      <c r="AK534" s="170">
        <f t="shared" si="261"/>
        <v>0</v>
      </c>
      <c r="AM534" s="170" t="str">
        <f t="shared" si="285"/>
        <v>1.18133923315284+0.983420603058295i</v>
      </c>
      <c r="AN534" s="170" t="str">
        <f t="shared" si="286"/>
        <v>1.75314441868137i</v>
      </c>
      <c r="AO534" s="170" t="str">
        <f t="shared" si="287"/>
        <v>0.560946715272879-0.67384022705978i</v>
      </c>
      <c r="AP534" s="170" t="str">
        <f t="shared" si="288"/>
        <v>-0.0302232055254727-0.163903433843049i</v>
      </c>
      <c r="AQ534" s="170" t="str">
        <f t="shared" si="289"/>
        <v>1.03022320552547+0.163903433843049i</v>
      </c>
      <c r="AR534" s="170" t="str">
        <f t="shared" si="290"/>
        <v>0.788602145598686-0.125462714202495i</v>
      </c>
    </row>
    <row r="535" spans="7:44">
      <c r="G535" s="688">
        <v>78529</v>
      </c>
      <c r="H535" s="676">
        <f t="shared" si="282"/>
        <v>78.528999999999996</v>
      </c>
      <c r="I535" s="677">
        <f t="shared" si="262"/>
        <v>410.07707822725018</v>
      </c>
      <c r="J535" s="678">
        <f t="shared" si="263"/>
        <v>1.5683577584276367</v>
      </c>
      <c r="K535" s="678">
        <f t="shared" si="264"/>
        <v>1.0058743727659625</v>
      </c>
      <c r="L535" s="679">
        <f t="shared" si="265"/>
        <v>0.10812732592214956</v>
      </c>
      <c r="M535" s="678">
        <f t="shared" si="266"/>
        <v>1.0834892245008181</v>
      </c>
      <c r="N535" s="679">
        <f t="shared" si="267"/>
        <v>-0.3951362859432187</v>
      </c>
      <c r="O535" s="677">
        <f t="shared" si="268"/>
        <v>1480236.7752714381</v>
      </c>
      <c r="P535" s="680">
        <f t="shared" si="269"/>
        <v>1.5707956512273005</v>
      </c>
      <c r="Q535" s="689">
        <f t="shared" ref="Q535:Q598" si="291">SQRT(1+(G535/Zero2)^2)</f>
        <v>198.35424864492236</v>
      </c>
      <c r="R535" s="690">
        <f t="shared" ref="R535:R598" si="292">ATAN(G535/Zero2)</f>
        <v>1.5657548202833118</v>
      </c>
      <c r="S535" s="677">
        <f t="shared" si="270"/>
        <v>3.1388320741934619</v>
      </c>
      <c r="T535" s="680">
        <f t="shared" si="271"/>
        <v>1.2465548939362965</v>
      </c>
      <c r="U535" s="681">
        <f t="shared" si="283"/>
        <v>0.69795344367366718</v>
      </c>
      <c r="V535" s="682">
        <f t="shared" si="284"/>
        <v>-1.0388717669746279</v>
      </c>
      <c r="W535" s="683">
        <f t="shared" si="272"/>
        <v>-36.088300696912249</v>
      </c>
      <c r="X535" s="684">
        <f t="shared" si="273"/>
        <v>-237.53880308277755</v>
      </c>
      <c r="Y535" s="687">
        <f t="shared" si="274"/>
        <v>-57.538803082777548</v>
      </c>
      <c r="AA535" s="170">
        <f t="shared" si="275"/>
        <v>78529</v>
      </c>
      <c r="AB535" s="170">
        <f t="shared" si="276"/>
        <v>6166803841</v>
      </c>
      <c r="AD535" s="686">
        <f t="shared" si="277"/>
        <v>17.71229481746974</v>
      </c>
      <c r="AE535" s="687">
        <f t="shared" si="278"/>
        <v>-71.711152774199206</v>
      </c>
      <c r="AG535" s="686">
        <f t="shared" si="279"/>
        <v>5.9496881034699856</v>
      </c>
      <c r="AH535" s="687">
        <f t="shared" si="280"/>
        <v>-46.781714766659519</v>
      </c>
      <c r="AJ535" s="170">
        <f t="shared" si="281"/>
        <v>0</v>
      </c>
      <c r="AK535" s="170">
        <f t="shared" ref="AK535:AK598" si="293">IF(AJ535&gt;0,Y535,0)</f>
        <v>0</v>
      </c>
      <c r="AM535" s="170" t="str">
        <f t="shared" si="285"/>
        <v>1.19131068224716+0.981529532341298i</v>
      </c>
      <c r="AN535" s="170" t="str">
        <f t="shared" si="286"/>
        <v>1.7632936467158i</v>
      </c>
      <c r="AO535" s="170" t="str">
        <f t="shared" si="287"/>
        <v>0.556645533300385-0.675616726950738i</v>
      </c>
      <c r="AP535" s="170" t="str">
        <f t="shared" si="288"/>
        <v>-0.0318851137078595-0.163588255390216i</v>
      </c>
      <c r="AQ535" s="170" t="str">
        <f t="shared" si="289"/>
        <v>1.03188511370786+0.163588255390216i</v>
      </c>
      <c r="AR535" s="170" t="str">
        <f t="shared" si="290"/>
        <v>0.787469076603987-0.124840150036181i</v>
      </c>
    </row>
    <row r="536" spans="7:44">
      <c r="G536" s="688">
        <v>78981</v>
      </c>
      <c r="H536" s="676">
        <f t="shared" si="282"/>
        <v>78.980999999999995</v>
      </c>
      <c r="I536" s="677">
        <f t="shared" si="262"/>
        <v>412.43740040480077</v>
      </c>
      <c r="J536" s="678">
        <f t="shared" si="263"/>
        <v>1.5683717140444275</v>
      </c>
      <c r="K536" s="678">
        <f t="shared" si="264"/>
        <v>1.0059419909226406</v>
      </c>
      <c r="L536" s="679">
        <f t="shared" si="265"/>
        <v>0.10874480796222859</v>
      </c>
      <c r="M536" s="678">
        <f t="shared" si="266"/>
        <v>1.0844155591610993</v>
      </c>
      <c r="N536" s="679">
        <f t="shared" si="267"/>
        <v>-0.39717943088121199</v>
      </c>
      <c r="O536" s="677">
        <f t="shared" si="268"/>
        <v>1488756.774538236</v>
      </c>
      <c r="P536" s="680">
        <f t="shared" si="269"/>
        <v>1.5707956550935032</v>
      </c>
      <c r="Q536" s="689">
        <f t="shared" si="291"/>
        <v>199.49591412081759</v>
      </c>
      <c r="R536" s="690">
        <f t="shared" si="292"/>
        <v>1.5657836718129421</v>
      </c>
      <c r="S536" s="677">
        <f t="shared" si="270"/>
        <v>3.1550696416961452</v>
      </c>
      <c r="T536" s="680">
        <f t="shared" si="271"/>
        <v>1.2482841479788054</v>
      </c>
      <c r="U536" s="681">
        <f t="shared" si="283"/>
        <v>0.69579516310313283</v>
      </c>
      <c r="V536" s="682">
        <f t="shared" si="284"/>
        <v>-1.0433847781810399</v>
      </c>
      <c r="W536" s="683">
        <f t="shared" si="272"/>
        <v>-36.201864476435397</v>
      </c>
      <c r="X536" s="684">
        <f t="shared" si="273"/>
        <v>-237.97728975228119</v>
      </c>
      <c r="Y536" s="687">
        <f t="shared" si="274"/>
        <v>-57.977289752281195</v>
      </c>
      <c r="AA536" s="170">
        <f t="shared" si="275"/>
        <v>78981</v>
      </c>
      <c r="AB536" s="170">
        <f t="shared" si="276"/>
        <v>6237998361</v>
      </c>
      <c r="AD536" s="686">
        <f t="shared" si="277"/>
        <v>17.667476196800777</v>
      </c>
      <c r="AE536" s="687">
        <f t="shared" si="278"/>
        <v>-71.808578883289002</v>
      </c>
      <c r="AG536" s="686">
        <f t="shared" si="279"/>
        <v>5.9347449049900201</v>
      </c>
      <c r="AH536" s="687">
        <f t="shared" si="280"/>
        <v>-46.605622336437143</v>
      </c>
      <c r="AJ536" s="170">
        <f t="shared" si="281"/>
        <v>0</v>
      </c>
      <c r="AK536" s="170">
        <f t="shared" si="293"/>
        <v>0</v>
      </c>
      <c r="AM536" s="170" t="str">
        <f t="shared" si="285"/>
        <v>1.20126242520376+0.97953735824679i</v>
      </c>
      <c r="AN536" s="170" t="str">
        <f t="shared" si="286"/>
        <v>1.77344287475022i</v>
      </c>
      <c r="AO536" s="170" t="str">
        <f t="shared" si="287"/>
        <v>0.552336572095536-0.677361781598379i</v>
      </c>
      <c r="AP536" s="170" t="str">
        <f t="shared" si="288"/>
        <v>-0.03354373753396-0.163256226374465i</v>
      </c>
      <c r="AQ536" s="170" t="str">
        <f t="shared" si="289"/>
        <v>1.03354373753396+0.163256226374465i</v>
      </c>
      <c r="AR536" s="170" t="str">
        <f t="shared" si="290"/>
        <v>0.786345106055826-0.124209290793061i</v>
      </c>
    </row>
    <row r="537" spans="7:44">
      <c r="G537" s="688">
        <v>79433</v>
      </c>
      <c r="H537" s="676">
        <f t="shared" si="282"/>
        <v>79.433000000000007</v>
      </c>
      <c r="I537" s="677">
        <f t="shared" si="262"/>
        <v>414.79772266176315</v>
      </c>
      <c r="J537" s="678">
        <f t="shared" si="263"/>
        <v>1.5683855108380107</v>
      </c>
      <c r="K537" s="678">
        <f t="shared" si="264"/>
        <v>1.0060099925773296</v>
      </c>
      <c r="L537" s="679">
        <f t="shared" si="265"/>
        <v>0.10936220675978608</v>
      </c>
      <c r="M537" s="678">
        <f t="shared" si="266"/>
        <v>1.0853464129121708</v>
      </c>
      <c r="N537" s="679">
        <f t="shared" si="267"/>
        <v>-0.39921907969085152</v>
      </c>
      <c r="O537" s="677">
        <f t="shared" si="268"/>
        <v>1497276.7738050341</v>
      </c>
      <c r="P537" s="680">
        <f t="shared" si="269"/>
        <v>1.5707956589157059</v>
      </c>
      <c r="Q537" s="689">
        <f t="shared" si="291"/>
        <v>200.63757976088556</v>
      </c>
      <c r="R537" s="690">
        <f t="shared" si="292"/>
        <v>1.5658121950013144</v>
      </c>
      <c r="S537" s="677">
        <f t="shared" si="270"/>
        <v>3.1713165472353566</v>
      </c>
      <c r="T537" s="680">
        <f t="shared" si="271"/>
        <v>1.2499956888852635</v>
      </c>
      <c r="U537" s="681">
        <f t="shared" si="283"/>
        <v>0.69364190109612267</v>
      </c>
      <c r="V537" s="682">
        <f t="shared" si="284"/>
        <v>-1.0478841504793341</v>
      </c>
      <c r="W537" s="683">
        <f t="shared" si="272"/>
        <v>-36.314926903647056</v>
      </c>
      <c r="X537" s="684">
        <f t="shared" si="273"/>
        <v>-238.41379424816637</v>
      </c>
      <c r="Y537" s="687">
        <f t="shared" si="274"/>
        <v>-58.413794248166369</v>
      </c>
      <c r="AA537" s="170">
        <f t="shared" si="275"/>
        <v>79433</v>
      </c>
      <c r="AB537" s="170">
        <f t="shared" si="276"/>
        <v>6309601489</v>
      </c>
      <c r="AD537" s="686">
        <f t="shared" si="277"/>
        <v>17.622862083256418</v>
      </c>
      <c r="AE537" s="687">
        <f t="shared" si="278"/>
        <v>-71.905008914487311</v>
      </c>
      <c r="AG537" s="686">
        <f t="shared" si="279"/>
        <v>5.92014001211394</v>
      </c>
      <c r="AH537" s="687">
        <f t="shared" si="280"/>
        <v>-46.430106714234114</v>
      </c>
      <c r="AJ537" s="170">
        <f t="shared" si="281"/>
        <v>0</v>
      </c>
      <c r="AK537" s="170">
        <f t="shared" si="293"/>
        <v>0</v>
      </c>
      <c r="AM537" s="170" t="str">
        <f t="shared" si="285"/>
        <v>1.21119343693397+0.977444285980545i</v>
      </c>
      <c r="AN537" s="170" t="str">
        <f t="shared" si="286"/>
        <v>1.78359210278465i</v>
      </c>
      <c r="AO537" s="170" t="str">
        <f t="shared" si="287"/>
        <v>0.548020079509491-0.679075353071469i</v>
      </c>
      <c r="AP537" s="170" t="str">
        <f t="shared" si="288"/>
        <v>-0.0351989061556618-0.162907380996758i</v>
      </c>
      <c r="AQ537" s="170" t="str">
        <f t="shared" si="289"/>
        <v>1.03519890615566+0.162907380996758i</v>
      </c>
      <c r="AR537" s="170" t="str">
        <f t="shared" si="290"/>
        <v>0.785230246064477-0.123570264714489i</v>
      </c>
    </row>
    <row r="538" spans="7:44">
      <c r="G538" s="688">
        <v>79895.5</v>
      </c>
      <c r="H538" s="676">
        <f t="shared" si="282"/>
        <v>79.895499999999998</v>
      </c>
      <c r="I538" s="677">
        <f t="shared" si="262"/>
        <v>417.21287549442729</v>
      </c>
      <c r="J538" s="678">
        <f t="shared" si="263"/>
        <v>1.5683994665438667</v>
      </c>
      <c r="K538" s="678">
        <f t="shared" si="264"/>
        <v>1.0060799707998809</v>
      </c>
      <c r="L538" s="679">
        <f t="shared" si="265"/>
        <v>0.1099938611471466</v>
      </c>
      <c r="M538" s="678">
        <f t="shared" si="266"/>
        <v>1.0863035561380743</v>
      </c>
      <c r="N538" s="679">
        <f t="shared" si="267"/>
        <v>-0.40130248252460138</v>
      </c>
      <c r="O538" s="677">
        <f t="shared" si="268"/>
        <v>1505994.6934087821</v>
      </c>
      <c r="P538" s="680">
        <f t="shared" si="269"/>
        <v>1.5707956627819326</v>
      </c>
      <c r="Q538" s="689">
        <f t="shared" si="291"/>
        <v>201.80576656183572</v>
      </c>
      <c r="R538" s="690">
        <f t="shared" si="292"/>
        <v>1.565841046727753</v>
      </c>
      <c r="S538" s="677">
        <f t="shared" si="270"/>
        <v>3.1879503868414081</v>
      </c>
      <c r="T538" s="680">
        <f t="shared" si="271"/>
        <v>1.2517289260267284</v>
      </c>
      <c r="U538" s="681">
        <f t="shared" si="283"/>
        <v>0.69144386460010865</v>
      </c>
      <c r="V538" s="682">
        <f t="shared" si="284"/>
        <v>-1.052474041616795</v>
      </c>
      <c r="W538" s="683">
        <f t="shared" si="272"/>
        <v>-36.430101300795101</v>
      </c>
      <c r="X538" s="684">
        <f t="shared" si="273"/>
        <v>-238.858408613677</v>
      </c>
      <c r="Y538" s="687">
        <f t="shared" si="274"/>
        <v>-58.858408613677</v>
      </c>
      <c r="AA538" s="170">
        <f t="shared" si="275"/>
        <v>79895.5</v>
      </c>
      <c r="AB538" s="170">
        <f t="shared" si="276"/>
        <v>6383290920.25</v>
      </c>
      <c r="AD538" s="686">
        <f t="shared" si="277"/>
        <v>17.577421630419366</v>
      </c>
      <c r="AE538" s="687">
        <f t="shared" si="278"/>
        <v>-72.002663227062044</v>
      </c>
      <c r="AG538" s="686">
        <f t="shared" si="279"/>
        <v>5.9055417682032907</v>
      </c>
      <c r="AH538" s="687">
        <f t="shared" si="280"/>
        <v>-46.251103985367024</v>
      </c>
      <c r="AJ538" s="170">
        <f t="shared" si="281"/>
        <v>0</v>
      </c>
      <c r="AK538" s="170">
        <f t="shared" si="293"/>
        <v>0</v>
      </c>
      <c r="AM538" s="170" t="str">
        <f t="shared" si="285"/>
        <v>1.22133262068311+0.975198375214779i</v>
      </c>
      <c r="AN538" s="170" t="str">
        <f t="shared" si="286"/>
        <v>1.79397709828448i</v>
      </c>
      <c r="AO538" s="170" t="str">
        <f t="shared" si="287"/>
        <v>0.543595777308043-0.68079610483937i</v>
      </c>
      <c r="AP538" s="170" t="str">
        <f t="shared" si="288"/>
        <v>-0.0368887701138523-0.162533062535796i</v>
      </c>
      <c r="AQ538" s="170" t="str">
        <f t="shared" si="289"/>
        <v>1.03688877011385+0.162533062535796i</v>
      </c>
      <c r="AR538" s="170" t="str">
        <f t="shared" si="290"/>
        <v>0.784098929383537-0.12290807268532i</v>
      </c>
    </row>
    <row r="539" spans="7:44">
      <c r="G539" s="688">
        <v>80358</v>
      </c>
      <c r="H539" s="676">
        <f t="shared" si="282"/>
        <v>80.358000000000004</v>
      </c>
      <c r="I539" s="677">
        <f t="shared" si="262"/>
        <v>419.62802840741324</v>
      </c>
      <c r="J539" s="678">
        <f t="shared" si="263"/>
        <v>1.568413261606673</v>
      </c>
      <c r="K539" s="678">
        <f t="shared" si="264"/>
        <v>1.0061503503795974</v>
      </c>
      <c r="L539" s="679">
        <f t="shared" si="265"/>
        <v>0.11062542741881609</v>
      </c>
      <c r="M539" s="678">
        <f t="shared" si="266"/>
        <v>1.0872654062240796</v>
      </c>
      <c r="N539" s="679">
        <f t="shared" si="267"/>
        <v>-0.40338220820477833</v>
      </c>
      <c r="O539" s="677">
        <f t="shared" si="268"/>
        <v>1514712.6130125304</v>
      </c>
      <c r="P539" s="680">
        <f t="shared" si="269"/>
        <v>1.5707956666036555</v>
      </c>
      <c r="Q539" s="689">
        <f t="shared" si="291"/>
        <v>202.9739535288399</v>
      </c>
      <c r="R539" s="690">
        <f t="shared" si="292"/>
        <v>1.5658695663504136</v>
      </c>
      <c r="S539" s="677">
        <f t="shared" si="270"/>
        <v>3.2045937039668102</v>
      </c>
      <c r="T539" s="680">
        <f t="shared" si="271"/>
        <v>1.2534441648613257</v>
      </c>
      <c r="U539" s="681">
        <f t="shared" si="283"/>
        <v>0.68925118447130029</v>
      </c>
      <c r="V539" s="682">
        <f t="shared" si="284"/>
        <v>-1.0570498882320507</v>
      </c>
      <c r="W539" s="683">
        <f t="shared" si="272"/>
        <v>-36.544759817515747</v>
      </c>
      <c r="X539" s="684">
        <f t="shared" si="273"/>
        <v>-239.30099124501882</v>
      </c>
      <c r="Y539" s="687">
        <f t="shared" si="274"/>
        <v>-59.300991245018821</v>
      </c>
      <c r="AA539" s="170">
        <f t="shared" si="275"/>
        <v>80358</v>
      </c>
      <c r="AB539" s="170">
        <f t="shared" si="276"/>
        <v>6457408164</v>
      </c>
      <c r="AD539" s="686">
        <f t="shared" si="277"/>
        <v>17.532191983957624</v>
      </c>
      <c r="AE539" s="687">
        <f t="shared" si="278"/>
        <v>-72.09930533820868</v>
      </c>
      <c r="AG539" s="686">
        <f t="shared" si="279"/>
        <v>5.8912891474266216</v>
      </c>
      <c r="AH539" s="687">
        <f t="shared" si="280"/>
        <v>-46.072691107456343</v>
      </c>
      <c r="AJ539" s="170">
        <f t="shared" si="281"/>
        <v>0</v>
      </c>
      <c r="AK539" s="170">
        <f t="shared" si="293"/>
        <v>0</v>
      </c>
      <c r="AM539" s="170" t="str">
        <f t="shared" si="285"/>
        <v>1.2314479343372+0.972847292071599i</v>
      </c>
      <c r="AN539" s="170" t="str">
        <f t="shared" si="286"/>
        <v>1.80436209378431i</v>
      </c>
      <c r="AO539" s="170" t="str">
        <f t="shared" si="287"/>
        <v>0.539164115352942-0.68248381994906i</v>
      </c>
      <c r="AP539" s="170" t="str">
        <f t="shared" si="288"/>
        <v>-0.0385746557228667-0.162141215345267i</v>
      </c>
      <c r="AQ539" s="170" t="str">
        <f t="shared" si="289"/>
        <v>1.03857465572287+0.162141215345267i</v>
      </c>
      <c r="AR539" s="170" t="str">
        <f t="shared" si="290"/>
        <v>0.782977172570833-0.122237597122832i</v>
      </c>
    </row>
    <row r="540" spans="7:44">
      <c r="G540" s="688">
        <v>80820.5</v>
      </c>
      <c r="H540" s="676">
        <f t="shared" si="282"/>
        <v>80.820499999999996</v>
      </c>
      <c r="I540" s="677">
        <f t="shared" si="262"/>
        <v>422.04318139934202</v>
      </c>
      <c r="J540" s="678">
        <f t="shared" si="263"/>
        <v>1.5684268987842767</v>
      </c>
      <c r="K540" s="678">
        <f t="shared" si="264"/>
        <v>1.006221131232262</v>
      </c>
      <c r="L540" s="679">
        <f t="shared" si="265"/>
        <v>0.11125690508950409</v>
      </c>
      <c r="M540" s="678">
        <f t="shared" si="266"/>
        <v>1.0882319506895006</v>
      </c>
      <c r="N540" s="679">
        <f t="shared" si="267"/>
        <v>-0.40545824851490669</v>
      </c>
      <c r="O540" s="677">
        <f t="shared" si="268"/>
        <v>1523430.5326162784</v>
      </c>
      <c r="P540" s="680">
        <f t="shared" si="269"/>
        <v>1.5707956703816381</v>
      </c>
      <c r="Q540" s="689">
        <f t="shared" si="291"/>
        <v>204.14214065904727</v>
      </c>
      <c r="R540" s="690">
        <f t="shared" si="292"/>
        <v>1.5658977595705617</v>
      </c>
      <c r="S540" s="677">
        <f t="shared" si="270"/>
        <v>3.2212463517081558</v>
      </c>
      <c r="T540" s="680">
        <f t="shared" si="271"/>
        <v>1.2551416743511661</v>
      </c>
      <c r="U540" s="681">
        <f t="shared" si="283"/>
        <v>0.6870639092416575</v>
      </c>
      <c r="V540" s="682">
        <f t="shared" si="284"/>
        <v>-1.0616118095620692</v>
      </c>
      <c r="W540" s="683">
        <f t="shared" si="272"/>
        <v>-36.658906939213935</v>
      </c>
      <c r="X540" s="684">
        <f t="shared" si="273"/>
        <v>-239.74156377279476</v>
      </c>
      <c r="Y540" s="687">
        <f t="shared" si="274"/>
        <v>-59.741563772794763</v>
      </c>
      <c r="AA540" s="170">
        <f t="shared" si="275"/>
        <v>80820.5</v>
      </c>
      <c r="AB540" s="170">
        <f t="shared" si="276"/>
        <v>6531953220.25</v>
      </c>
      <c r="AD540" s="686">
        <f t="shared" si="277"/>
        <v>17.487171489117394</v>
      </c>
      <c r="AE540" s="687">
        <f t="shared" si="278"/>
        <v>-72.194950331706323</v>
      </c>
      <c r="AG540" s="686">
        <f t="shared" si="279"/>
        <v>5.87737792097791</v>
      </c>
      <c r="AH540" s="687">
        <f t="shared" si="280"/>
        <v>-45.894860963775741</v>
      </c>
      <c r="AJ540" s="170">
        <f t="shared" si="281"/>
        <v>0</v>
      </c>
      <c r="AK540" s="170">
        <f t="shared" si="293"/>
        <v>0</v>
      </c>
      <c r="AM540" s="170" t="str">
        <f t="shared" si="285"/>
        <v>1.24153828698836+0.97039129010865i</v>
      </c>
      <c r="AN540" s="170" t="str">
        <f t="shared" si="286"/>
        <v>1.81474708928414i</v>
      </c>
      <c r="AO540" s="170" t="str">
        <f t="shared" si="287"/>
        <v>0.534725359714691-0.68413846442818i</v>
      </c>
      <c r="AP540" s="170" t="str">
        <f t="shared" si="288"/>
        <v>-0.040256381164726-0.161731881684775i</v>
      </c>
      <c r="AQ540" s="170" t="str">
        <f t="shared" si="289"/>
        <v>1.04025638116473+0.161731881684775i</v>
      </c>
      <c r="AR540" s="170" t="str">
        <f t="shared" si="290"/>
        <v>0.781864984091964-0.121558970836638i</v>
      </c>
    </row>
    <row r="541" spans="7:44">
      <c r="G541" s="688">
        <v>81283</v>
      </c>
      <c r="H541" s="676">
        <f t="shared" si="282"/>
        <v>81.283000000000001</v>
      </c>
      <c r="I541" s="677">
        <f t="shared" si="262"/>
        <v>424.45833446886604</v>
      </c>
      <c r="J541" s="678">
        <f t="shared" si="263"/>
        <v>1.568440380771756</v>
      </c>
      <c r="K541" s="678">
        <f t="shared" si="264"/>
        <v>1.0062923132731991</v>
      </c>
      <c r="L541" s="679">
        <f t="shared" si="265"/>
        <v>0.11188829367433888</v>
      </c>
      <c r="M541" s="678">
        <f t="shared" si="266"/>
        <v>1.0892031770371475</v>
      </c>
      <c r="N541" s="679">
        <f t="shared" si="267"/>
        <v>-0.40753059539467368</v>
      </c>
      <c r="O541" s="677">
        <f t="shared" si="268"/>
        <v>1532148.4522200266</v>
      </c>
      <c r="P541" s="680">
        <f t="shared" si="269"/>
        <v>1.5707956741166273</v>
      </c>
      <c r="Q541" s="689">
        <f t="shared" si="291"/>
        <v>205.31032794967206</v>
      </c>
      <c r="R541" s="690">
        <f t="shared" si="292"/>
        <v>1.5659256319597066</v>
      </c>
      <c r="S541" s="677">
        <f t="shared" si="270"/>
        <v>3.2379081861026302</v>
      </c>
      <c r="T541" s="680">
        <f t="shared" si="271"/>
        <v>1.2568217183355606</v>
      </c>
      <c r="U541" s="681">
        <f t="shared" si="283"/>
        <v>0.68488208546142393</v>
      </c>
      <c r="V541" s="682">
        <f t="shared" si="284"/>
        <v>-1.0661599249404174</v>
      </c>
      <c r="W541" s="683">
        <f t="shared" si="272"/>
        <v>-36.772547096233581</v>
      </c>
      <c r="X541" s="684">
        <f t="shared" si="273"/>
        <v>-240.18014755238809</v>
      </c>
      <c r="Y541" s="687">
        <f t="shared" si="274"/>
        <v>-60.180147552388092</v>
      </c>
      <c r="AA541" s="170">
        <f t="shared" si="275"/>
        <v>81283</v>
      </c>
      <c r="AB541" s="170">
        <f t="shared" si="276"/>
        <v>6606926089</v>
      </c>
      <c r="AD541" s="686">
        <f t="shared" si="277"/>
        <v>17.442358504987805</v>
      </c>
      <c r="AE541" s="687">
        <f t="shared" si="278"/>
        <v>-72.289613005252818</v>
      </c>
      <c r="AG541" s="686">
        <f t="shared" si="279"/>
        <v>5.8638039333134317</v>
      </c>
      <c r="AH541" s="687">
        <f t="shared" si="280"/>
        <v>-45.717606437391296</v>
      </c>
      <c r="AJ541" s="170">
        <f t="shared" si="281"/>
        <v>0</v>
      </c>
      <c r="AK541" s="170">
        <f t="shared" si="293"/>
        <v>0</v>
      </c>
      <c r="AM541" s="170" t="str">
        <f t="shared" si="285"/>
        <v>1.25160259042068+0.967830634198775i</v>
      </c>
      <c r="AN541" s="170" t="str">
        <f t="shared" si="286"/>
        <v>1.82513208478397i</v>
      </c>
      <c r="AO541" s="170" t="str">
        <f t="shared" si="287"/>
        <v>0.530279776607692-0.685760006552526i</v>
      </c>
      <c r="AP541" s="170" t="str">
        <f t="shared" si="288"/>
        <v>-0.0419337650701135-0.161305105699796i</v>
      </c>
      <c r="AQ541" s="170" t="str">
        <f t="shared" si="289"/>
        <v>1.04193376507011+0.161305105699796i</v>
      </c>
      <c r="AR541" s="170" t="str">
        <f t="shared" si="290"/>
        <v>0.780762370984096-0.120872325094042i</v>
      </c>
    </row>
    <row r="542" spans="7:44">
      <c r="G542" s="688">
        <v>81756.25</v>
      </c>
      <c r="H542" s="676">
        <f t="shared" si="282"/>
        <v>81.756249999999994</v>
      </c>
      <c r="I542" s="677">
        <f t="shared" si="262"/>
        <v>426.92962360760254</v>
      </c>
      <c r="J542" s="678">
        <f t="shared" si="263"/>
        <v>1.568454018229021</v>
      </c>
      <c r="K542" s="678">
        <f t="shared" si="264"/>
        <v>1.0063655650108403</v>
      </c>
      <c r="L542" s="679">
        <f t="shared" si="265"/>
        <v>0.11253426505639365</v>
      </c>
      <c r="M542" s="678">
        <f t="shared" si="266"/>
        <v>1.0902018111619642</v>
      </c>
      <c r="N542" s="679">
        <f t="shared" si="267"/>
        <v>-0.40964727889310015</v>
      </c>
      <c r="O542" s="677">
        <f t="shared" si="268"/>
        <v>1541069.0045496996</v>
      </c>
      <c r="P542" s="680">
        <f t="shared" si="269"/>
        <v>1.570795677894687</v>
      </c>
      <c r="Q542" s="689">
        <f t="shared" si="291"/>
        <v>206.50566786486033</v>
      </c>
      <c r="R542" s="690">
        <f t="shared" si="292"/>
        <v>1.5659538257698506</v>
      </c>
      <c r="S542" s="677">
        <f t="shared" si="270"/>
        <v>3.2549666578277265</v>
      </c>
      <c r="T542" s="680">
        <f t="shared" si="271"/>
        <v>1.2585230028075893</v>
      </c>
      <c r="U542" s="681">
        <f t="shared" si="283"/>
        <v>0.68265523852482779</v>
      </c>
      <c r="V542" s="682">
        <f t="shared" si="284"/>
        <v>-1.0707995868134434</v>
      </c>
      <c r="W542" s="683">
        <f t="shared" si="272"/>
        <v>-36.888308407134978</v>
      </c>
      <c r="X542" s="684">
        <f t="shared" si="273"/>
        <v>-240.62688881261781</v>
      </c>
      <c r="Y542" s="687">
        <f t="shared" si="274"/>
        <v>-60.626888812617807</v>
      </c>
      <c r="AA542" s="170">
        <f t="shared" si="275"/>
        <v>81756.25</v>
      </c>
      <c r="AB542" s="170">
        <f t="shared" si="276"/>
        <v>6684084414.0625</v>
      </c>
      <c r="AD542" s="686">
        <f t="shared" si="277"/>
        <v>17.39671702617677</v>
      </c>
      <c r="AE542" s="687">
        <f t="shared" si="278"/>
        <v>-72.385474255497968</v>
      </c>
      <c r="AG542" s="686">
        <f t="shared" si="279"/>
        <v>5.8502592702910423</v>
      </c>
      <c r="AH542" s="687">
        <f t="shared" si="280"/>
        <v>-45.536820359383995</v>
      </c>
      <c r="AJ542" s="170">
        <f t="shared" si="281"/>
        <v>0</v>
      </c>
      <c r="AK542" s="170">
        <f t="shared" si="293"/>
        <v>0</v>
      </c>
      <c r="AM542" s="170" t="str">
        <f t="shared" si="285"/>
        <v>1.26187272421827+0.965102417523913i</v>
      </c>
      <c r="AN542" s="170" t="str">
        <f t="shared" si="286"/>
        <v>1.83575846126028i</v>
      </c>
      <c r="AO542" s="170" t="str">
        <f t="shared" si="287"/>
        <v>0.525724074212548-0.687384942435168i</v>
      </c>
      <c r="AP542" s="170" t="str">
        <f t="shared" si="288"/>
        <v>-0.0436454540363783-0.160850402920652i</v>
      </c>
      <c r="AQ542" s="170" t="str">
        <f t="shared" si="289"/>
        <v>1.04364545403638+0.160850402920652i</v>
      </c>
      <c r="AR542" s="170" t="str">
        <f t="shared" si="290"/>
        <v>0.779644047262602-0.120161553573448i</v>
      </c>
    </row>
    <row r="543" spans="7:44">
      <c r="G543" s="688">
        <v>82229.5</v>
      </c>
      <c r="H543" s="676">
        <f t="shared" si="282"/>
        <v>82.229500000000002</v>
      </c>
      <c r="I543" s="677">
        <f t="shared" si="262"/>
        <v>429.40091282482558</v>
      </c>
      <c r="J543" s="678">
        <f t="shared" si="263"/>
        <v>1.5684674987136316</v>
      </c>
      <c r="K543" s="678">
        <f t="shared" si="264"/>
        <v>1.0064392366224937</v>
      </c>
      <c r="L543" s="679">
        <f t="shared" si="265"/>
        <v>0.1131801421373831</v>
      </c>
      <c r="M543" s="678">
        <f t="shared" si="266"/>
        <v>1.0912053208184291</v>
      </c>
      <c r="N543" s="679">
        <f t="shared" si="267"/>
        <v>-0.41176007869435782</v>
      </c>
      <c r="O543" s="677">
        <f t="shared" si="268"/>
        <v>1549989.5568793728</v>
      </c>
      <c r="P543" s="680">
        <f t="shared" si="269"/>
        <v>1.5707956816292594</v>
      </c>
      <c r="Q543" s="689">
        <f t="shared" si="291"/>
        <v>207.70100794230865</v>
      </c>
      <c r="R543" s="690">
        <f t="shared" si="292"/>
        <v>1.5659816950636214</v>
      </c>
      <c r="S543" s="677">
        <f t="shared" si="270"/>
        <v>3.2720344523792022</v>
      </c>
      <c r="T543" s="680">
        <f t="shared" si="271"/>
        <v>1.2602065434132588</v>
      </c>
      <c r="U543" s="681">
        <f t="shared" si="283"/>
        <v>0.68043419181632481</v>
      </c>
      <c r="V543" s="682">
        <f t="shared" si="284"/>
        <v>-1.0754250465158048</v>
      </c>
      <c r="W543" s="683">
        <f t="shared" si="272"/>
        <v>-37.00354812591862</v>
      </c>
      <c r="X543" s="684">
        <f t="shared" si="273"/>
        <v>-241.07159218040422</v>
      </c>
      <c r="Y543" s="687">
        <f t="shared" si="274"/>
        <v>-61.071592180404224</v>
      </c>
      <c r="AA543" s="170">
        <f t="shared" si="275"/>
        <v>82229.5</v>
      </c>
      <c r="AB543" s="170">
        <f t="shared" si="276"/>
        <v>6761690670.25</v>
      </c>
      <c r="AD543" s="686">
        <f t="shared" si="277"/>
        <v>17.351289384963135</v>
      </c>
      <c r="AE543" s="687">
        <f t="shared" si="278"/>
        <v>-72.480337448014268</v>
      </c>
      <c r="AG543" s="686">
        <f t="shared" si="279"/>
        <v>5.8370591309694131</v>
      </c>
      <c r="AH543" s="687">
        <f t="shared" si="280"/>
        <v>-45.356621895542141</v>
      </c>
      <c r="AJ543" s="170">
        <f t="shared" si="281"/>
        <v>0</v>
      </c>
      <c r="AK543" s="170">
        <f t="shared" si="293"/>
        <v>0</v>
      </c>
      <c r="AM543" s="170" t="str">
        <f t="shared" si="285"/>
        <v>1.27211328765831+0.962265222628246i</v>
      </c>
      <c r="AN543" s="170" t="str">
        <f t="shared" si="286"/>
        <v>1.84638483773659i</v>
      </c>
      <c r="AO543" s="170" t="str">
        <f t="shared" si="287"/>
        <v>0.521161787597784-0.688975159272724i</v>
      </c>
      <c r="AP543" s="170" t="str">
        <f t="shared" si="288"/>
        <v>-0.0453522146097177-0.160377537104708i</v>
      </c>
      <c r="AQ543" s="170" t="str">
        <f t="shared" si="289"/>
        <v>1.04535221460972+0.160377537104708i</v>
      </c>
      <c r="AR543" s="170" t="str">
        <f t="shared" si="290"/>
        <v>0.778535759730742-0.119442658606865i</v>
      </c>
    </row>
    <row r="544" spans="7:44">
      <c r="G544" s="688">
        <v>82702.75</v>
      </c>
      <c r="H544" s="676">
        <f t="shared" si="282"/>
        <v>82.702749999999995</v>
      </c>
      <c r="I544" s="677">
        <f t="shared" si="262"/>
        <v>431.87220211918788</v>
      </c>
      <c r="J544" s="678">
        <f t="shared" si="263"/>
        <v>1.5684808249203026</v>
      </c>
      <c r="K544" s="678">
        <f t="shared" si="264"/>
        <v>1.0065133280159619</v>
      </c>
      <c r="L544" s="679">
        <f t="shared" si="265"/>
        <v>0.11382592439920919</v>
      </c>
      <c r="M544" s="678">
        <f t="shared" si="266"/>
        <v>1.0922136925678447</v>
      </c>
      <c r="N544" s="679">
        <f t="shared" si="267"/>
        <v>-0.4138689866665981</v>
      </c>
      <c r="O544" s="677">
        <f t="shared" si="268"/>
        <v>1558910.1092090458</v>
      </c>
      <c r="P544" s="680">
        <f t="shared" si="269"/>
        <v>1.5707956853210912</v>
      </c>
      <c r="Q544" s="689">
        <f t="shared" si="291"/>
        <v>208.89634817923167</v>
      </c>
      <c r="R544" s="690">
        <f t="shared" si="292"/>
        <v>1.5660092454117878</v>
      </c>
      <c r="S544" s="677">
        <f t="shared" si="270"/>
        <v>3.28911142462356</v>
      </c>
      <c r="T544" s="680">
        <f t="shared" si="271"/>
        <v>1.2618726069111574</v>
      </c>
      <c r="U544" s="681">
        <f t="shared" si="283"/>
        <v>0.67821898900332367</v>
      </c>
      <c r="V544" s="682">
        <f t="shared" si="284"/>
        <v>-1.0800364320985121</v>
      </c>
      <c r="W544" s="683">
        <f t="shared" si="272"/>
        <v>-37.118270827308486</v>
      </c>
      <c r="X544" s="684">
        <f t="shared" si="273"/>
        <v>-241.51427967569236</v>
      </c>
      <c r="Y544" s="687">
        <f t="shared" si="274"/>
        <v>-61.514279675692364</v>
      </c>
      <c r="AA544" s="170">
        <f t="shared" si="275"/>
        <v>82702.75</v>
      </c>
      <c r="AB544" s="170">
        <f t="shared" si="276"/>
        <v>6839744857.5625</v>
      </c>
      <c r="AD544" s="686">
        <f t="shared" si="277"/>
        <v>17.306073868382459</v>
      </c>
      <c r="AE544" s="687">
        <f t="shared" si="278"/>
        <v>-72.574217547804267</v>
      </c>
      <c r="AG544" s="686">
        <f t="shared" si="279"/>
        <v>5.8241992921672736</v>
      </c>
      <c r="AH544" s="687">
        <f t="shared" si="280"/>
        <v>-45.177003427243271</v>
      </c>
      <c r="AJ544" s="170">
        <f t="shared" si="281"/>
        <v>0</v>
      </c>
      <c r="AK544" s="170">
        <f t="shared" si="293"/>
        <v>0</v>
      </c>
      <c r="AM544" s="170" t="str">
        <f t="shared" si="285"/>
        <v>1.2823231243885+0.959319369884458i</v>
      </c>
      <c r="AN544" s="170" t="str">
        <f t="shared" si="286"/>
        <v>1.8570112142129i</v>
      </c>
      <c r="AO544" s="170" t="str">
        <f t="shared" si="287"/>
        <v>0.51659320231465-0.690530630388259i</v>
      </c>
      <c r="AP544" s="170" t="str">
        <f t="shared" si="288"/>
        <v>-0.0470538540647507-0.15988656164741i</v>
      </c>
      <c r="AQ544" s="170" t="str">
        <f t="shared" si="289"/>
        <v>1.04705385406475+0.15988656164741i</v>
      </c>
      <c r="AR544" s="170" t="str">
        <f t="shared" si="290"/>
        <v>0.777437511575065-0.118715775830351i</v>
      </c>
    </row>
    <row r="545" spans="7:44">
      <c r="G545" s="688">
        <v>83176</v>
      </c>
      <c r="H545" s="676">
        <f t="shared" si="282"/>
        <v>83.176000000000002</v>
      </c>
      <c r="I545" s="677">
        <f t="shared" si="262"/>
        <v>434.34349148937264</v>
      </c>
      <c r="J545" s="678">
        <f t="shared" si="263"/>
        <v>1.5684939994824201</v>
      </c>
      <c r="K545" s="678">
        <f t="shared" si="264"/>
        <v>1.0065878390985492</v>
      </c>
      <c r="L545" s="679">
        <f t="shared" si="265"/>
        <v>0.11447161132424227</v>
      </c>
      <c r="M545" s="678">
        <f t="shared" si="266"/>
        <v>1.0932269129561043</v>
      </c>
      <c r="N545" s="679">
        <f t="shared" si="267"/>
        <v>-0.41597399484637249</v>
      </c>
      <c r="O545" s="677">
        <f t="shared" si="268"/>
        <v>1567830.661538719</v>
      </c>
      <c r="P545" s="680">
        <f t="shared" si="269"/>
        <v>1.5707956889709118</v>
      </c>
      <c r="Q545" s="689">
        <f t="shared" si="291"/>
        <v>210.09168857290723</v>
      </c>
      <c r="R545" s="690">
        <f t="shared" si="292"/>
        <v>1.5660364822583386</v>
      </c>
      <c r="S545" s="677">
        <f t="shared" si="270"/>
        <v>3.3061974323486001</v>
      </c>
      <c r="T545" s="680">
        <f t="shared" si="271"/>
        <v>1.2635214549381351</v>
      </c>
      <c r="U545" s="681">
        <f t="shared" si="283"/>
        <v>0.67600967174051585</v>
      </c>
      <c r="V545" s="682">
        <f t="shared" si="284"/>
        <v>-1.084633871644439</v>
      </c>
      <c r="W545" s="683">
        <f t="shared" si="272"/>
        <v>-37.232481030461784</v>
      </c>
      <c r="X545" s="684">
        <f t="shared" si="273"/>
        <v>-241.95497304016979</v>
      </c>
      <c r="Y545" s="687">
        <f t="shared" si="274"/>
        <v>-61.95497304016979</v>
      </c>
      <c r="AA545" s="170">
        <f t="shared" si="275"/>
        <v>83176</v>
      </c>
      <c r="AB545" s="170">
        <f t="shared" si="276"/>
        <v>6918246976</v>
      </c>
      <c r="AD545" s="686">
        <f t="shared" si="277"/>
        <v>17.26106877864089</v>
      </c>
      <c r="AE545" s="687">
        <f t="shared" si="278"/>
        <v>-72.667129233679447</v>
      </c>
      <c r="AG545" s="686">
        <f t="shared" si="279"/>
        <v>5.811675604873221</v>
      </c>
      <c r="AH545" s="687">
        <f t="shared" si="280"/>
        <v>-44.997957340147202</v>
      </c>
      <c r="AJ545" s="170">
        <f t="shared" si="281"/>
        <v>0</v>
      </c>
      <c r="AK545" s="170">
        <f t="shared" si="293"/>
        <v>0</v>
      </c>
      <c r="AM545" s="170" t="str">
        <f t="shared" si="285"/>
        <v>1.29250108152621+0.956265191934748i</v>
      </c>
      <c r="AN545" s="170" t="str">
        <f t="shared" si="286"/>
        <v>1.86763759068921i</v>
      </c>
      <c r="AO545" s="170" t="str">
        <f t="shared" si="287"/>
        <v>0.51201860398508-0.692051331569762i</v>
      </c>
      <c r="AP545" s="170" t="str">
        <f t="shared" si="288"/>
        <v>-0.0487501802543675-0.159377531989125i</v>
      </c>
      <c r="AQ545" s="170" t="str">
        <f t="shared" si="289"/>
        <v>1.04875018025437+0.159377531989125i</v>
      </c>
      <c r="AR545" s="170" t="str">
        <f t="shared" si="290"/>
        <v>0.776349304610281-0.117981039202538i</v>
      </c>
    </row>
    <row r="546" spans="7:44">
      <c r="G546" s="688">
        <v>83660.5</v>
      </c>
      <c r="H546" s="676">
        <f t="shared" si="282"/>
        <v>83.660499999999999</v>
      </c>
      <c r="I546" s="677">
        <f t="shared" si="262"/>
        <v>436.873527910696</v>
      </c>
      <c r="J546" s="678">
        <f t="shared" si="263"/>
        <v>1.5685073328198398</v>
      </c>
      <c r="K546" s="678">
        <f t="shared" si="264"/>
        <v>1.0066645561185379</v>
      </c>
      <c r="L546" s="679">
        <f t="shared" si="265"/>
        <v>0.11513254808057723</v>
      </c>
      <c r="M546" s="678">
        <f t="shared" si="266"/>
        <v>1.0942692282439692</v>
      </c>
      <c r="N546" s="679">
        <f t="shared" si="267"/>
        <v>-0.41812499474939924</v>
      </c>
      <c r="O546" s="677">
        <f t="shared" si="268"/>
        <v>1576963.2713722673</v>
      </c>
      <c r="P546" s="680">
        <f t="shared" si="269"/>
        <v>1.5707956926647186</v>
      </c>
      <c r="Q546" s="689">
        <f t="shared" si="291"/>
        <v>211.31544450797475</v>
      </c>
      <c r="R546" s="690">
        <f t="shared" si="292"/>
        <v>1.5660640473595264</v>
      </c>
      <c r="S546" s="677">
        <f t="shared" si="270"/>
        <v>3.3236988197955997</v>
      </c>
      <c r="T546" s="680">
        <f t="shared" si="271"/>
        <v>1.2651919327682049</v>
      </c>
      <c r="U546" s="681">
        <f t="shared" si="283"/>
        <v>0.67375397354921207</v>
      </c>
      <c r="V546" s="682">
        <f t="shared" si="284"/>
        <v>-1.0893262870537688</v>
      </c>
      <c r="W546" s="683">
        <f t="shared" si="272"/>
        <v>-37.348879958639259</v>
      </c>
      <c r="X546" s="684">
        <f t="shared" si="273"/>
        <v>-242.4040990899469</v>
      </c>
      <c r="Y546" s="687">
        <f t="shared" si="274"/>
        <v>-62.404099089946897</v>
      </c>
      <c r="AA546" s="170">
        <f t="shared" si="275"/>
        <v>83660.5</v>
      </c>
      <c r="AB546" s="170">
        <f t="shared" si="276"/>
        <v>6999079260.25</v>
      </c>
      <c r="AD546" s="686">
        <f t="shared" si="277"/>
        <v>17.215210070110668</v>
      </c>
      <c r="AE546" s="687">
        <f t="shared" si="278"/>
        <v>-72.761261410899806</v>
      </c>
      <c r="AG546" s="686">
        <f t="shared" si="279"/>
        <v>5.7991981841602041</v>
      </c>
      <c r="AH546" s="687">
        <f t="shared" si="280"/>
        <v>-44.815240014736077</v>
      </c>
      <c r="AJ546" s="170">
        <f t="shared" si="281"/>
        <v>0</v>
      </c>
      <c r="AK546" s="170">
        <f t="shared" si="293"/>
        <v>0</v>
      </c>
      <c r="AM546" s="170" t="str">
        <f t="shared" si="285"/>
        <v>1.30288676157979+0.953026552442116i</v>
      </c>
      <c r="AN546" s="170" t="str">
        <f t="shared" si="286"/>
        <v>1.87851657516417i</v>
      </c>
      <c r="AO546" s="170" t="str">
        <f t="shared" si="287"/>
        <v>0.507329328387123-0.693572140275593i</v>
      </c>
      <c r="AP546" s="170" t="str">
        <f t="shared" si="288"/>
        <v>-0.0504811269299655-0.158837758740353i</v>
      </c>
      <c r="AQ546" s="170" t="str">
        <f t="shared" si="289"/>
        <v>1.05048112692997+0.158837758740353i</v>
      </c>
      <c r="AR546" s="170" t="str">
        <f t="shared" si="290"/>
        <v>0.775245631594222-0.117220838565227i</v>
      </c>
    </row>
    <row r="547" spans="7:44">
      <c r="G547" s="688">
        <v>84145</v>
      </c>
      <c r="H547" s="676">
        <f t="shared" si="282"/>
        <v>84.144999999999996</v>
      </c>
      <c r="I547" s="677">
        <f t="shared" si="262"/>
        <v>439.40356440879151</v>
      </c>
      <c r="J547" s="678">
        <f t="shared" si="263"/>
        <v>1.5685205126135353</v>
      </c>
      <c r="K547" s="678">
        <f t="shared" si="264"/>
        <v>1.006741712820117</v>
      </c>
      <c r="L547" s="679">
        <f t="shared" si="265"/>
        <v>0.11579338381714521</v>
      </c>
      <c r="M547" s="678">
        <f t="shared" si="266"/>
        <v>1.0953165968477405</v>
      </c>
      <c r="N547" s="679">
        <f t="shared" si="267"/>
        <v>-0.42027189089213085</v>
      </c>
      <c r="O547" s="677">
        <f t="shared" si="268"/>
        <v>1586095.8812058154</v>
      </c>
      <c r="P547" s="680">
        <f t="shared" si="269"/>
        <v>1.5707956963159881</v>
      </c>
      <c r="Q547" s="689">
        <f t="shared" si="291"/>
        <v>212.53920060175807</v>
      </c>
      <c r="R547" s="690">
        <f t="shared" si="292"/>
        <v>1.5660912950326042</v>
      </c>
      <c r="S547" s="677">
        <f t="shared" si="270"/>
        <v>3.3412093848332414</v>
      </c>
      <c r="T547" s="680">
        <f t="shared" si="271"/>
        <v>1.2668449059353737</v>
      </c>
      <c r="U547" s="681">
        <f t="shared" si="283"/>
        <v>0.67150452611505329</v>
      </c>
      <c r="V547" s="682">
        <f t="shared" si="284"/>
        <v>-1.0940043572103912</v>
      </c>
      <c r="W547" s="683">
        <f t="shared" si="272"/>
        <v>-37.464751145149926</v>
      </c>
      <c r="X547" s="684">
        <f t="shared" si="273"/>
        <v>-242.85118032128716</v>
      </c>
      <c r="Y547" s="687">
        <f t="shared" si="274"/>
        <v>-62.85118032128716</v>
      </c>
      <c r="AA547" s="170">
        <f t="shared" si="275"/>
        <v>84145</v>
      </c>
      <c r="AB547" s="170">
        <f t="shared" si="276"/>
        <v>7080381025</v>
      </c>
      <c r="AD547" s="686">
        <f t="shared" si="277"/>
        <v>17.16956835913863</v>
      </c>
      <c r="AE547" s="687">
        <f t="shared" si="278"/>
        <v>-72.854408829666824</v>
      </c>
      <c r="AG547" s="686">
        <f t="shared" si="279"/>
        <v>5.7870645180874982</v>
      </c>
      <c r="AH547" s="687">
        <f t="shared" si="280"/>
        <v>-44.633106474215658</v>
      </c>
      <c r="AJ547" s="170">
        <f t="shared" si="281"/>
        <v>0</v>
      </c>
      <c r="AK547" s="170">
        <f t="shared" si="293"/>
        <v>0</v>
      </c>
      <c r="AM547" s="170" t="str">
        <f t="shared" si="285"/>
        <v>1.31323659464108+0.949675121174426i</v>
      </c>
      <c r="AN547" s="170" t="str">
        <f t="shared" si="286"/>
        <v>1.88939555963912i</v>
      </c>
      <c r="AO547" s="170" t="str">
        <f t="shared" si="287"/>
        <v>0.502634356437154-0.695056462867898i</v>
      </c>
      <c r="AP547" s="170" t="str">
        <f t="shared" si="288"/>
        <v>-0.0522060991068462-0.158279186862404i</v>
      </c>
      <c r="AQ547" s="170" t="str">
        <f t="shared" si="289"/>
        <v>1.05220609910685+0.158279186862404i</v>
      </c>
      <c r="AR547" s="170" t="str">
        <f t="shared" si="290"/>
        <v>0.774152482482854-0.11645268501951i</v>
      </c>
    </row>
    <row r="548" spans="7:44">
      <c r="G548" s="688">
        <v>84629.5</v>
      </c>
      <c r="H548" s="676">
        <f t="shared" si="282"/>
        <v>84.629499999999993</v>
      </c>
      <c r="I548" s="677">
        <f t="shared" si="262"/>
        <v>441.93360098234052</v>
      </c>
      <c r="J548" s="678">
        <f t="shared" si="263"/>
        <v>1.5685335415005812</v>
      </c>
      <c r="K548" s="678">
        <f t="shared" si="264"/>
        <v>1.0068193091022033</v>
      </c>
      <c r="L548" s="679">
        <f t="shared" si="265"/>
        <v>0.11645411798005852</v>
      </c>
      <c r="M548" s="678">
        <f t="shared" si="266"/>
        <v>1.0963690042850189</v>
      </c>
      <c r="N548" s="679">
        <f t="shared" si="267"/>
        <v>-0.422414675273246</v>
      </c>
      <c r="O548" s="677">
        <f t="shared" si="268"/>
        <v>1595228.4910393634</v>
      </c>
      <c r="P548" s="680">
        <f t="shared" si="269"/>
        <v>1.5707956999254509</v>
      </c>
      <c r="Q548" s="689">
        <f t="shared" si="291"/>
        <v>213.76295685153136</v>
      </c>
      <c r="R548" s="690">
        <f t="shared" si="292"/>
        <v>1.5661182307291954</v>
      </c>
      <c r="S548" s="677">
        <f t="shared" si="270"/>
        <v>3.3587289839208032</v>
      </c>
      <c r="T548" s="680">
        <f t="shared" si="271"/>
        <v>1.2684806392557035</v>
      </c>
      <c r="U548" s="681">
        <f t="shared" si="283"/>
        <v>0.66926136783460688</v>
      </c>
      <c r="V548" s="682">
        <f t="shared" si="284"/>
        <v>-1.0986682195435304</v>
      </c>
      <c r="W548" s="683">
        <f t="shared" si="272"/>
        <v>-37.580099265527195</v>
      </c>
      <c r="X548" s="684">
        <f t="shared" si="273"/>
        <v>-243.29623919322148</v>
      </c>
      <c r="Y548" s="687">
        <f t="shared" si="274"/>
        <v>-63.296239193221481</v>
      </c>
      <c r="AA548" s="170">
        <f t="shared" si="275"/>
        <v>84629.5</v>
      </c>
      <c r="AB548" s="170">
        <f t="shared" si="276"/>
        <v>7162152270.25</v>
      </c>
      <c r="AD548" s="686">
        <f t="shared" si="277"/>
        <v>17.124141873183579</v>
      </c>
      <c r="AE548" s="687">
        <f t="shared" si="278"/>
        <v>-72.946586350510003</v>
      </c>
      <c r="AG548" s="686">
        <f t="shared" si="279"/>
        <v>5.7752703868528084</v>
      </c>
      <c r="AH548" s="687">
        <f t="shared" si="280"/>
        <v>-44.451548568858179</v>
      </c>
      <c r="AJ548" s="170">
        <f t="shared" si="281"/>
        <v>0</v>
      </c>
      <c r="AK548" s="170">
        <f t="shared" si="293"/>
        <v>0</v>
      </c>
      <c r="AM548" s="170" t="str">
        <f t="shared" si="285"/>
        <v>1.32354935579558+0.94621129477737i</v>
      </c>
      <c r="AN548" s="170" t="str">
        <f t="shared" si="286"/>
        <v>1.90027454411408i</v>
      </c>
      <c r="AO548" s="170" t="str">
        <f t="shared" si="287"/>
        <v>0.49793399469996-0.696504281391943i</v>
      </c>
      <c r="AP548" s="170" t="str">
        <f t="shared" si="288"/>
        <v>-0.0539248926325963-0.157701882462895i</v>
      </c>
      <c r="AQ548" s="170" t="str">
        <f t="shared" si="289"/>
        <v>1.0539248926326+0.157701882462895i</v>
      </c>
      <c r="AR548" s="170" t="str">
        <f t="shared" si="290"/>
        <v>0.773069855059278-0.115676716880303i</v>
      </c>
    </row>
    <row r="549" spans="7:44">
      <c r="G549" s="688">
        <v>85114</v>
      </c>
      <c r="H549" s="676">
        <f t="shared" si="282"/>
        <v>85.114000000000004</v>
      </c>
      <c r="I549" s="677">
        <f t="shared" si="262"/>
        <v>444.46363763005445</v>
      </c>
      <c r="J549" s="678">
        <f t="shared" si="263"/>
        <v>1.568546422058007</v>
      </c>
      <c r="K549" s="678">
        <f t="shared" si="264"/>
        <v>1.0068973448631675</v>
      </c>
      <c r="L549" s="679">
        <f t="shared" si="265"/>
        <v>0.11711475001595442</v>
      </c>
      <c r="M549" s="678">
        <f t="shared" si="266"/>
        <v>1.0974264360594188</v>
      </c>
      <c r="N549" s="679">
        <f t="shared" si="267"/>
        <v>-0.4245533400730751</v>
      </c>
      <c r="O549" s="677">
        <f t="shared" si="268"/>
        <v>1604361.1008729117</v>
      </c>
      <c r="P549" s="680">
        <f t="shared" si="269"/>
        <v>1.5707957034938209</v>
      </c>
      <c r="Q549" s="689">
        <f t="shared" si="291"/>
        <v>214.98671325463084</v>
      </c>
      <c r="R549" s="690">
        <f t="shared" si="292"/>
        <v>1.566144859776798</v>
      </c>
      <c r="S549" s="677">
        <f t="shared" si="270"/>
        <v>3.3762574764236351</v>
      </c>
      <c r="T549" s="680">
        <f t="shared" si="271"/>
        <v>1.2700993924191688</v>
      </c>
      <c r="U549" s="681">
        <f t="shared" si="283"/>
        <v>0.66702453506477266</v>
      </c>
      <c r="V549" s="682">
        <f t="shared" si="284"/>
        <v>-1.1033180114448826</v>
      </c>
      <c r="W549" s="683">
        <f t="shared" si="272"/>
        <v>-37.694928939139842</v>
      </c>
      <c r="X549" s="684">
        <f t="shared" si="273"/>
        <v>-243.73929788297548</v>
      </c>
      <c r="Y549" s="687">
        <f t="shared" si="274"/>
        <v>-63.739297882975478</v>
      </c>
      <c r="AA549" s="170">
        <f t="shared" si="275"/>
        <v>85114</v>
      </c>
      <c r="AB549" s="170">
        <f t="shared" si="276"/>
        <v>7244392996</v>
      </c>
      <c r="AD549" s="686">
        <f t="shared" si="277"/>
        <v>17.07892885621909</v>
      </c>
      <c r="AE549" s="687">
        <f t="shared" si="278"/>
        <v>-73.037808547366723</v>
      </c>
      <c r="AG549" s="686">
        <f t="shared" si="279"/>
        <v>5.7638116459082944</v>
      </c>
      <c r="AH549" s="687">
        <f t="shared" si="280"/>
        <v>-44.270558158023476</v>
      </c>
      <c r="AJ549" s="170">
        <f t="shared" si="281"/>
        <v>0</v>
      </c>
      <c r="AK549" s="170">
        <f t="shared" si="293"/>
        <v>0</v>
      </c>
      <c r="AM549" s="170" t="str">
        <f t="shared" si="285"/>
        <v>1.33382382451629+0.942635483198738i</v>
      </c>
      <c r="AN549" s="170" t="str">
        <f t="shared" si="286"/>
        <v>1.91115352858904i</v>
      </c>
      <c r="AO549" s="170" t="str">
        <f t="shared" si="287"/>
        <v>0.493228549720264-0.697915580597557i</v>
      </c>
      <c r="AP549" s="170" t="str">
        <f t="shared" si="288"/>
        <v>-0.055637304086048-0.157105913866456i</v>
      </c>
      <c r="AQ549" s="170" t="str">
        <f t="shared" si="289"/>
        <v>1.05563730408605+0.157105913866456i</v>
      </c>
      <c r="AR549" s="170" t="str">
        <f t="shared" si="290"/>
        <v>0.771997745801986-0.11489307064804i</v>
      </c>
    </row>
    <row r="550" spans="7:44">
      <c r="G550" s="688">
        <v>85609.5</v>
      </c>
      <c r="H550" s="676">
        <f t="shared" si="282"/>
        <v>85.609499999999997</v>
      </c>
      <c r="I550" s="677">
        <f t="shared" si="262"/>
        <v>447.0511158456838</v>
      </c>
      <c r="J550" s="678">
        <f t="shared" si="263"/>
        <v>1.5685594442584345</v>
      </c>
      <c r="K550" s="678">
        <f t="shared" si="264"/>
        <v>1.0069776067863125</v>
      </c>
      <c r="L550" s="679">
        <f t="shared" si="265"/>
        <v>0.1177902747141247</v>
      </c>
      <c r="M550" s="678">
        <f t="shared" si="266"/>
        <v>1.098513057191101</v>
      </c>
      <c r="N550" s="679">
        <f t="shared" si="267"/>
        <v>-0.4267362918319631</v>
      </c>
      <c r="O550" s="677">
        <f t="shared" si="268"/>
        <v>1613701.0558213601</v>
      </c>
      <c r="P550" s="680">
        <f t="shared" si="269"/>
        <v>1.5707957071014309</v>
      </c>
      <c r="Q550" s="689">
        <f t="shared" si="291"/>
        <v>216.23825375670921</v>
      </c>
      <c r="R550" s="690">
        <f t="shared" si="292"/>
        <v>1.566171781659895</v>
      </c>
      <c r="S550" s="677">
        <f t="shared" si="270"/>
        <v>3.3941929876251828</v>
      </c>
      <c r="T550" s="680">
        <f t="shared" si="271"/>
        <v>1.2717376000414651</v>
      </c>
      <c r="U550" s="681">
        <f t="shared" si="283"/>
        <v>0.66474349600628024</v>
      </c>
      <c r="V550" s="682">
        <f t="shared" si="284"/>
        <v>-1.1080589612646397</v>
      </c>
      <c r="W550" s="683">
        <f t="shared" si="272"/>
        <v>-37.811834204728981</v>
      </c>
      <c r="X550" s="684">
        <f t="shared" si="273"/>
        <v>-244.19036970382024</v>
      </c>
      <c r="Y550" s="687">
        <f t="shared" si="274"/>
        <v>-64.190369703820238</v>
      </c>
      <c r="AA550" s="170">
        <f t="shared" si="275"/>
        <v>85609.5</v>
      </c>
      <c r="AB550" s="170">
        <f t="shared" si="276"/>
        <v>7328986490.25</v>
      </c>
      <c r="AD550" s="686">
        <f t="shared" si="277"/>
        <v>17.032908312200657</v>
      </c>
      <c r="AE550" s="687">
        <f t="shared" si="278"/>
        <v>-73.130128626618784</v>
      </c>
      <c r="AG550" s="686">
        <f t="shared" si="279"/>
        <v>5.7524354045972927</v>
      </c>
      <c r="AH550" s="687">
        <f t="shared" si="280"/>
        <v>-44.086037067884654</v>
      </c>
      <c r="AJ550" s="170">
        <f t="shared" si="281"/>
        <v>0</v>
      </c>
      <c r="AK550" s="170">
        <f t="shared" si="293"/>
        <v>0</v>
      </c>
      <c r="AM550" s="170" t="str">
        <f t="shared" si="285"/>
        <v>1.34429068931811+0.938863100376653i</v>
      </c>
      <c r="AN550" s="170" t="str">
        <f t="shared" si="286"/>
        <v>1.92227950755155i</v>
      </c>
      <c r="AO550" s="170" t="str">
        <f t="shared" si="287"/>
        <v>0.488411334922102-0.699321136201656i</v>
      </c>
      <c r="AP550" s="170" t="str">
        <f t="shared" si="288"/>
        <v>-0.057381781553018-0.156477183396109i</v>
      </c>
      <c r="AQ550" s="170" t="str">
        <f t="shared" si="289"/>
        <v>1.05738178155302+0.156477183396109i</v>
      </c>
      <c r="AR550" s="170" t="str">
        <f t="shared" si="290"/>
        <v>0.770912169665843-0.114083831459551i</v>
      </c>
    </row>
    <row r="551" spans="7:44">
      <c r="G551" s="688">
        <v>86105</v>
      </c>
      <c r="H551" s="676">
        <f t="shared" si="282"/>
        <v>86.105000000000004</v>
      </c>
      <c r="I551" s="677">
        <f t="shared" si="262"/>
        <v>449.63859413625062</v>
      </c>
      <c r="J551" s="678">
        <f t="shared" si="263"/>
        <v>1.5685723165844481</v>
      </c>
      <c r="K551" s="678">
        <f t="shared" si="264"/>
        <v>1.0070583281538232</v>
      </c>
      <c r="L551" s="679">
        <f t="shared" si="265"/>
        <v>0.11846569142629028</v>
      </c>
      <c r="M551" s="678">
        <f t="shared" si="266"/>
        <v>1.0996049026829509</v>
      </c>
      <c r="N551" s="679">
        <f t="shared" si="267"/>
        <v>-0.42891491886015265</v>
      </c>
      <c r="O551" s="677">
        <f t="shared" si="268"/>
        <v>1623041.0107698082</v>
      </c>
      <c r="P551" s="680">
        <f t="shared" si="269"/>
        <v>1.5707957106675201</v>
      </c>
      <c r="Q551" s="689">
        <f t="shared" si="291"/>
        <v>217.48979441371063</v>
      </c>
      <c r="R551" s="690">
        <f t="shared" si="292"/>
        <v>1.5661983937001391</v>
      </c>
      <c r="S551" s="677">
        <f t="shared" si="270"/>
        <v>3.4121375121288087</v>
      </c>
      <c r="T551" s="680">
        <f t="shared" si="271"/>
        <v>1.2733585812185999</v>
      </c>
      <c r="U551" s="681">
        <f t="shared" si="283"/>
        <v>0.66246914351183683</v>
      </c>
      <c r="V551" s="682">
        <f t="shared" si="284"/>
        <v>-1.1127854849683088</v>
      </c>
      <c r="W551" s="683">
        <f t="shared" si="272"/>
        <v>-37.928206812717058</v>
      </c>
      <c r="X551" s="684">
        <f t="shared" si="273"/>
        <v>-244.63939552795546</v>
      </c>
      <c r="Y551" s="687">
        <f t="shared" si="274"/>
        <v>-64.639395527955458</v>
      </c>
      <c r="AA551" s="170">
        <f t="shared" si="275"/>
        <v>86105</v>
      </c>
      <c r="AB551" s="170">
        <f t="shared" si="276"/>
        <v>7414071025</v>
      </c>
      <c r="AD551" s="686">
        <f t="shared" si="277"/>
        <v>16.987107377911872</v>
      </c>
      <c r="AE551" s="687">
        <f t="shared" si="278"/>
        <v>-73.221479453574787</v>
      </c>
      <c r="AG551" s="686">
        <f t="shared" si="279"/>
        <v>5.7414014221871126</v>
      </c>
      <c r="AH551" s="687">
        <f t="shared" si="280"/>
        <v>-43.902092344467476</v>
      </c>
      <c r="AJ551" s="170">
        <f t="shared" si="281"/>
        <v>0</v>
      </c>
      <c r="AK551" s="170">
        <f t="shared" si="293"/>
        <v>0</v>
      </c>
      <c r="AM551" s="170" t="str">
        <f t="shared" si="285"/>
        <v>1.35471493570759+0.934974499323891i</v>
      </c>
      <c r="AN551" s="170" t="str">
        <f t="shared" si="286"/>
        <v>1.93340548651407i</v>
      </c>
      <c r="AO551" s="170" t="str">
        <f t="shared" si="287"/>
        <v>0.483589451796607-0.700688471796023i</v>
      </c>
      <c r="AP551" s="170" t="str">
        <f t="shared" si="288"/>
        <v>-0.059119155951265-0.155829083220649i</v>
      </c>
      <c r="AQ551" s="170" t="str">
        <f t="shared" si="289"/>
        <v>1.05911915595126+0.155829083220649i</v>
      </c>
      <c r="AR551" s="170" t="str">
        <f t="shared" si="290"/>
        <v>0.769837583304366-0.113266844585936i</v>
      </c>
    </row>
    <row r="552" spans="7:44">
      <c r="G552" s="688">
        <v>86600.5</v>
      </c>
      <c r="H552" s="676">
        <f t="shared" si="282"/>
        <v>86.600499999999997</v>
      </c>
      <c r="I552" s="677">
        <f t="shared" si="262"/>
        <v>452.22607250046843</v>
      </c>
      <c r="J552" s="678">
        <f t="shared" si="263"/>
        <v>1.5685850416086293</v>
      </c>
      <c r="K552" s="678">
        <f t="shared" si="264"/>
        <v>1.0071395088552271</v>
      </c>
      <c r="L552" s="679">
        <f t="shared" si="265"/>
        <v>0.11914099956225688</v>
      </c>
      <c r="M552" s="678">
        <f t="shared" si="266"/>
        <v>1.1007019569879961</v>
      </c>
      <c r="N552" s="679">
        <f t="shared" si="267"/>
        <v>-0.43108921337693734</v>
      </c>
      <c r="O552" s="677">
        <f t="shared" si="268"/>
        <v>1632380.9657182565</v>
      </c>
      <c r="P552" s="680">
        <f t="shared" si="269"/>
        <v>1.5707957141928013</v>
      </c>
      <c r="Q552" s="689">
        <f t="shared" si="291"/>
        <v>218.74133522297595</v>
      </c>
      <c r="R552" s="690">
        <f t="shared" si="292"/>
        <v>1.5662247012158421</v>
      </c>
      <c r="S552" s="677">
        <f t="shared" si="270"/>
        <v>3.4300909084752154</v>
      </c>
      <c r="T552" s="680">
        <f t="shared" si="271"/>
        <v>1.2749625978587247</v>
      </c>
      <c r="U552" s="681">
        <f t="shared" si="283"/>
        <v>0.66020151012414119</v>
      </c>
      <c r="V552" s="682">
        <f t="shared" si="284"/>
        <v>-1.1174977292910557</v>
      </c>
      <c r="W552" s="683">
        <f t="shared" si="272"/>
        <v>-38.044051529488094</v>
      </c>
      <c r="X552" s="684">
        <f t="shared" si="273"/>
        <v>-245.08639819965481</v>
      </c>
      <c r="Y552" s="687">
        <f t="shared" si="274"/>
        <v>-65.086398199654809</v>
      </c>
      <c r="AA552" s="170">
        <f t="shared" si="275"/>
        <v>86600.5</v>
      </c>
      <c r="AB552" s="170">
        <f t="shared" si="276"/>
        <v>7499646600.25</v>
      </c>
      <c r="AD552" s="686">
        <f t="shared" si="277"/>
        <v>16.941524228179293</v>
      </c>
      <c r="AE552" s="687">
        <f t="shared" si="278"/>
        <v>-73.311875729790444</v>
      </c>
      <c r="AG552" s="686">
        <f t="shared" si="279"/>
        <v>5.7307055001225446</v>
      </c>
      <c r="AH552" s="687">
        <f t="shared" si="280"/>
        <v>-43.718715315878306</v>
      </c>
      <c r="AJ552" s="170">
        <f t="shared" si="281"/>
        <v>0</v>
      </c>
      <c r="AK552" s="170">
        <f t="shared" si="293"/>
        <v>0</v>
      </c>
      <c r="AM552" s="170" t="str">
        <f t="shared" si="285"/>
        <v>1.3650952733076+0.930970161395333i</v>
      </c>
      <c r="AN552" s="170" t="str">
        <f t="shared" si="286"/>
        <v>1.94453146547659i</v>
      </c>
      <c r="AO552" s="170" t="str">
        <f t="shared" si="287"/>
        <v>0.478763228018611-0.702017579835369i</v>
      </c>
      <c r="AP552" s="170" t="str">
        <f t="shared" si="288"/>
        <v>-0.0608492122179327-0.155161693565889i</v>
      </c>
      <c r="AQ552" s="170" t="str">
        <f t="shared" si="289"/>
        <v>1.06084921221793+0.155161693565889i</v>
      </c>
      <c r="AR552" s="170" t="str">
        <f t="shared" si="290"/>
        <v>0.768773979031274-0.112442250210556i</v>
      </c>
    </row>
    <row r="553" spans="7:44">
      <c r="G553" s="688">
        <v>87096</v>
      </c>
      <c r="H553" s="676">
        <f t="shared" si="282"/>
        <v>87.096000000000004</v>
      </c>
      <c r="I553" s="677">
        <f t="shared" si="262"/>
        <v>454.81355093708038</v>
      </c>
      <c r="J553" s="678">
        <f t="shared" si="263"/>
        <v>1.5685976218450171</v>
      </c>
      <c r="K553" s="678">
        <f t="shared" si="264"/>
        <v>1.0072211487794591</v>
      </c>
      <c r="L553" s="679">
        <f t="shared" si="265"/>
        <v>0.11981619853241611</v>
      </c>
      <c r="M553" s="678">
        <f t="shared" si="266"/>
        <v>1.1018042045471637</v>
      </c>
      <c r="N553" s="679">
        <f t="shared" si="267"/>
        <v>-0.43325916779638229</v>
      </c>
      <c r="O553" s="677">
        <f t="shared" si="268"/>
        <v>1641720.9206667047</v>
      </c>
      <c r="P553" s="680">
        <f t="shared" si="269"/>
        <v>1.570795717677971</v>
      </c>
      <c r="Q553" s="689">
        <f t="shared" si="291"/>
        <v>219.99287618190647</v>
      </c>
      <c r="R553" s="690">
        <f t="shared" si="292"/>
        <v>1.5662507094042937</v>
      </c>
      <c r="S553" s="677">
        <f t="shared" si="270"/>
        <v>3.4480530380821026</v>
      </c>
      <c r="T553" s="680">
        <f t="shared" si="271"/>
        <v>1.2765499067657404</v>
      </c>
      <c r="U553" s="681">
        <f t="shared" si="283"/>
        <v>0.65794062633650519</v>
      </c>
      <c r="V553" s="682">
        <f t="shared" si="284"/>
        <v>-1.1221958408571919</v>
      </c>
      <c r="W553" s="683">
        <f t="shared" si="272"/>
        <v>-38.159373064922335</v>
      </c>
      <c r="X553" s="684">
        <f t="shared" si="273"/>
        <v>-245.53140027909305</v>
      </c>
      <c r="Y553" s="687">
        <f t="shared" si="274"/>
        <v>-65.531400279093049</v>
      </c>
      <c r="AA553" s="170">
        <f t="shared" si="275"/>
        <v>87096</v>
      </c>
      <c r="AB553" s="170">
        <f t="shared" si="276"/>
        <v>7585713216</v>
      </c>
      <c r="AD553" s="686">
        <f t="shared" si="277"/>
        <v>16.896157055600348</v>
      </c>
      <c r="AE553" s="687">
        <f t="shared" si="278"/>
        <v>-73.401331871302673</v>
      </c>
      <c r="AG553" s="686">
        <f t="shared" si="279"/>
        <v>5.7203435158989215</v>
      </c>
      <c r="AH553" s="687">
        <f t="shared" si="280"/>
        <v>-43.535897324346749</v>
      </c>
      <c r="AJ553" s="170">
        <f t="shared" si="281"/>
        <v>0</v>
      </c>
      <c r="AK553" s="170">
        <f t="shared" si="293"/>
        <v>0</v>
      </c>
      <c r="AM553" s="170" t="str">
        <f t="shared" si="285"/>
        <v>1.3754304171763+0.926850582272479i</v>
      </c>
      <c r="AN553" s="170" t="str">
        <f t="shared" si="286"/>
        <v>1.95565744443911i</v>
      </c>
      <c r="AO553" s="170" t="str">
        <f t="shared" si="287"/>
        <v>0.473932991131943-0.703308455725373i</v>
      </c>
      <c r="AP553" s="170" t="str">
        <f t="shared" si="288"/>
        <v>-0.0625717361960493-0.154475097045413i</v>
      </c>
      <c r="AQ553" s="170" t="str">
        <f t="shared" si="289"/>
        <v>1.06257173619605+0.154475097045413i</v>
      </c>
      <c r="AR553" s="170" t="str">
        <f t="shared" si="290"/>
        <v>0.767721347941926-0.111610186575943i</v>
      </c>
    </row>
    <row r="554" spans="7:44">
      <c r="G554" s="688">
        <v>87603.25</v>
      </c>
      <c r="H554" s="676">
        <f t="shared" si="282"/>
        <v>87.603250000000003</v>
      </c>
      <c r="I554" s="677">
        <f t="shared" si="262"/>
        <v>457.46238741234413</v>
      </c>
      <c r="J554" s="678">
        <f t="shared" si="263"/>
        <v>1.5686103529882398</v>
      </c>
      <c r="K554" s="678">
        <f t="shared" si="264"/>
        <v>1.0073052002355503</v>
      </c>
      <c r="L554" s="679">
        <f t="shared" si="265"/>
        <v>0.12050729508537095</v>
      </c>
      <c r="M554" s="678">
        <f t="shared" si="266"/>
        <v>1.1029379533493633</v>
      </c>
      <c r="N554" s="679">
        <f t="shared" si="267"/>
        <v>-0.43547607584607267</v>
      </c>
      <c r="O554" s="677">
        <f t="shared" si="268"/>
        <v>1651282.357896978</v>
      </c>
      <c r="P554" s="680">
        <f t="shared" si="269"/>
        <v>1.570795721204947</v>
      </c>
      <c r="Q554" s="689">
        <f t="shared" si="291"/>
        <v>221.27409561060787</v>
      </c>
      <c r="R554" s="690">
        <f t="shared" si="292"/>
        <v>1.5662770295800261</v>
      </c>
      <c r="S554" s="677">
        <f t="shared" si="270"/>
        <v>3.4664500158470188</v>
      </c>
      <c r="T554" s="680">
        <f t="shared" si="271"/>
        <v>1.2781578123480568</v>
      </c>
      <c r="U554" s="681">
        <f t="shared" si="283"/>
        <v>0.65563315057290827</v>
      </c>
      <c r="V554" s="682">
        <f t="shared" si="284"/>
        <v>-1.1269908742338652</v>
      </c>
      <c r="W554" s="683">
        <f t="shared" si="272"/>
        <v>-38.276892189581737</v>
      </c>
      <c r="X554" s="684">
        <f t="shared" si="273"/>
        <v>-245.98490582540708</v>
      </c>
      <c r="Y554" s="687">
        <f t="shared" si="274"/>
        <v>-65.984905825407083</v>
      </c>
      <c r="AA554" s="170">
        <f t="shared" si="275"/>
        <v>87603.25</v>
      </c>
      <c r="AB554" s="170">
        <f t="shared" si="276"/>
        <v>7674329410.5625</v>
      </c>
      <c r="AD554" s="686">
        <f t="shared" si="277"/>
        <v>16.84993592395055</v>
      </c>
      <c r="AE554" s="687">
        <f t="shared" si="278"/>
        <v>-73.49195024222378</v>
      </c>
      <c r="AG554" s="686">
        <f t="shared" si="279"/>
        <v>5.7100774977750737</v>
      </c>
      <c r="AH554" s="687">
        <f t="shared" si="280"/>
        <v>-43.349314148896333</v>
      </c>
      <c r="AJ554" s="170">
        <f t="shared" si="281"/>
        <v>0</v>
      </c>
      <c r="AK554" s="170">
        <f t="shared" si="293"/>
        <v>0</v>
      </c>
      <c r="AM554" s="170" t="str">
        <f t="shared" si="285"/>
        <v>1.38596249302195+0.922514473588509i</v>
      </c>
      <c r="AN554" s="170" t="str">
        <f t="shared" si="286"/>
        <v>1.96704725842244i</v>
      </c>
      <c r="AO554" s="170" t="str">
        <f t="shared" si="287"/>
        <v>0.468984397623654-0.704590338176971i</v>
      </c>
      <c r="AP554" s="170" t="str">
        <f t="shared" si="288"/>
        <v>-0.0643270821703243-0.153752412264752i</v>
      </c>
      <c r="AQ554" s="170" t="str">
        <f t="shared" si="289"/>
        <v>1.06432708217032+0.153752412264752i</v>
      </c>
      <c r="AR554" s="170" t="str">
        <f t="shared" si="290"/>
        <v>0.766655111431617-0.110750797130285i</v>
      </c>
    </row>
    <row r="555" spans="7:44">
      <c r="G555" s="688">
        <v>88110.5</v>
      </c>
      <c r="H555" s="676">
        <f t="shared" si="282"/>
        <v>88.110500000000002</v>
      </c>
      <c r="I555" s="677">
        <f t="shared" si="262"/>
        <v>460.1112239609007</v>
      </c>
      <c r="J555" s="678">
        <f t="shared" si="263"/>
        <v>1.5686229375463971</v>
      </c>
      <c r="K555" s="678">
        <f t="shared" si="264"/>
        <v>1.0073897327147405</v>
      </c>
      <c r="L555" s="679">
        <f t="shared" si="265"/>
        <v>0.12119827598517656</v>
      </c>
      <c r="M555" s="678">
        <f t="shared" si="266"/>
        <v>1.1040771115920465</v>
      </c>
      <c r="N555" s="679">
        <f t="shared" si="267"/>
        <v>-0.43768842005316516</v>
      </c>
      <c r="O555" s="677">
        <f t="shared" si="268"/>
        <v>1660843.7951272512</v>
      </c>
      <c r="P555" s="680">
        <f t="shared" si="269"/>
        <v>1.5707957246913136</v>
      </c>
      <c r="Q555" s="689">
        <f t="shared" si="291"/>
        <v>222.55531519083235</v>
      </c>
      <c r="R555" s="690">
        <f t="shared" si="292"/>
        <v>1.5663030467126928</v>
      </c>
      <c r="S555" s="677">
        <f t="shared" si="270"/>
        <v>3.4848558609977562</v>
      </c>
      <c r="T555" s="680">
        <f t="shared" si="271"/>
        <v>1.2797487371664726</v>
      </c>
      <c r="U555" s="681">
        <f t="shared" si="283"/>
        <v>0.65333280659903747</v>
      </c>
      <c r="V555" s="682">
        <f t="shared" si="284"/>
        <v>-1.1317714071759832</v>
      </c>
      <c r="W555" s="683">
        <f t="shared" si="272"/>
        <v>-38.393872838336009</v>
      </c>
      <c r="X555" s="684">
        <f t="shared" si="273"/>
        <v>-246.43636173148772</v>
      </c>
      <c r="Y555" s="687">
        <f t="shared" si="274"/>
        <v>-66.436361731487722</v>
      </c>
      <c r="AA555" s="170">
        <f t="shared" si="275"/>
        <v>88110.5</v>
      </c>
      <c r="AB555" s="170">
        <f t="shared" si="276"/>
        <v>7763460210.25</v>
      </c>
      <c r="AD555" s="686">
        <f t="shared" si="277"/>
        <v>16.803937357480795</v>
      </c>
      <c r="AE555" s="687">
        <f t="shared" si="278"/>
        <v>-73.581613047801326</v>
      </c>
      <c r="AG555" s="686">
        <f t="shared" si="279"/>
        <v>5.700152937563657</v>
      </c>
      <c r="AH555" s="687">
        <f t="shared" si="280"/>
        <v>-43.163298525960208</v>
      </c>
      <c r="AJ555" s="170">
        <f t="shared" si="281"/>
        <v>0</v>
      </c>
      <c r="AK555" s="170">
        <f t="shared" si="293"/>
        <v>0</v>
      </c>
      <c r="AM555" s="170" t="str">
        <f t="shared" si="285"/>
        <v>1.39644449931962+0.918058690367459i</v>
      </c>
      <c r="AN555" s="170" t="str">
        <f t="shared" si="286"/>
        <v>1.97843707240576i</v>
      </c>
      <c r="AO555" s="170" t="str">
        <f t="shared" si="287"/>
        <v>0.464032292546514-0.705832153469282i</v>
      </c>
      <c r="AP555" s="170" t="str">
        <f t="shared" si="288"/>
        <v>-0.066074083219937-0.15300978172791i</v>
      </c>
      <c r="AQ555" s="170" t="str">
        <f t="shared" si="289"/>
        <v>1.06607408321994+0.15300978172791i</v>
      </c>
      <c r="AR555" s="170" t="str">
        <f t="shared" si="290"/>
        <v>0.765600352116592-0.109883866995764i</v>
      </c>
    </row>
    <row r="556" spans="7:44">
      <c r="G556" s="688">
        <v>88617.75</v>
      </c>
      <c r="H556" s="676">
        <f t="shared" si="282"/>
        <v>88.617750000000001</v>
      </c>
      <c r="I556" s="677">
        <f t="shared" si="262"/>
        <v>462.76006058149125</v>
      </c>
      <c r="J556" s="678">
        <f t="shared" si="263"/>
        <v>1.5686353780366413</v>
      </c>
      <c r="K556" s="678">
        <f t="shared" si="264"/>
        <v>1.0074747460959483</v>
      </c>
      <c r="L556" s="679">
        <f t="shared" si="265"/>
        <v>0.12188914060120407</v>
      </c>
      <c r="M556" s="678">
        <f t="shared" si="266"/>
        <v>1.10522166254859</v>
      </c>
      <c r="N556" s="679">
        <f t="shared" si="267"/>
        <v>-0.4398961929066495</v>
      </c>
      <c r="O556" s="677">
        <f t="shared" si="268"/>
        <v>1670405.2323575246</v>
      </c>
      <c r="P556" s="680">
        <f t="shared" si="269"/>
        <v>1.570795728137768</v>
      </c>
      <c r="Q556" s="689">
        <f t="shared" si="291"/>
        <v>223.83653491997799</v>
      </c>
      <c r="R556" s="690">
        <f t="shared" si="292"/>
        <v>1.5663287660060299</v>
      </c>
      <c r="S556" s="677">
        <f t="shared" si="270"/>
        <v>3.5032704337691469</v>
      </c>
      <c r="T556" s="680">
        <f t="shared" si="271"/>
        <v>1.2813229408762989</v>
      </c>
      <c r="U556" s="681">
        <f t="shared" si="283"/>
        <v>0.65103962074400978</v>
      </c>
      <c r="V556" s="682">
        <f t="shared" si="284"/>
        <v>-1.1365375965251634</v>
      </c>
      <c r="W556" s="683">
        <f t="shared" si="272"/>
        <v>-38.510319887703211</v>
      </c>
      <c r="X556" s="684">
        <f t="shared" si="273"/>
        <v>-246.88579131274437</v>
      </c>
      <c r="Y556" s="687">
        <f t="shared" si="274"/>
        <v>-66.885791312744374</v>
      </c>
      <c r="AA556" s="170">
        <f t="shared" si="275"/>
        <v>88617.75</v>
      </c>
      <c r="AB556" s="170">
        <f t="shared" si="276"/>
        <v>7853105615.0625</v>
      </c>
      <c r="AD556" s="686">
        <f t="shared" si="277"/>
        <v>16.758159474386314</v>
      </c>
      <c r="AE556" s="687">
        <f t="shared" si="278"/>
        <v>-73.670334867076633</v>
      </c>
      <c r="AG556" s="686">
        <f t="shared" si="279"/>
        <v>5.6905656505464854</v>
      </c>
      <c r="AH556" s="687">
        <f t="shared" si="280"/>
        <v>-42.977841219181038</v>
      </c>
      <c r="AJ556" s="170">
        <f t="shared" si="281"/>
        <v>0</v>
      </c>
      <c r="AK556" s="170">
        <f t="shared" si="293"/>
        <v>0</v>
      </c>
      <c r="AM556" s="170" t="str">
        <f t="shared" si="285"/>
        <v>1.40687507627577+0.913483810642305i</v>
      </c>
      <c r="AN556" s="170" t="str">
        <f t="shared" si="286"/>
        <v>1.98982688638909i</v>
      </c>
      <c r="AO556" s="170" t="str">
        <f t="shared" si="287"/>
        <v>0.459077026695519-0.707033906265487i</v>
      </c>
      <c r="AP556" s="170" t="str">
        <f t="shared" si="288"/>
        <v>-0.0678125127126282-0.152247301773718i</v>
      </c>
      <c r="AQ556" s="170" t="str">
        <f t="shared" si="289"/>
        <v>1.06781251271263+0.152247301773718i</v>
      </c>
      <c r="AR556" s="170" t="str">
        <f t="shared" si="290"/>
        <v>0.764557056799859-0.109009538251365i</v>
      </c>
    </row>
    <row r="557" spans="7:44">
      <c r="G557" s="688">
        <v>89125</v>
      </c>
      <c r="H557" s="676">
        <f t="shared" si="282"/>
        <v>89.125</v>
      </c>
      <c r="I557" s="677">
        <f t="shared" si="262"/>
        <v>465.40889727288612</v>
      </c>
      <c r="J557" s="678">
        <f t="shared" si="263"/>
        <v>1.5686476769188211</v>
      </c>
      <c r="K557" s="678">
        <f t="shared" si="264"/>
        <v>1.0075602402574453</v>
      </c>
      <c r="L557" s="679">
        <f t="shared" si="265"/>
        <v>0.12257988830348085</v>
      </c>
      <c r="M557" s="678">
        <f t="shared" si="266"/>
        <v>1.1063715894825672</v>
      </c>
      <c r="N557" s="679">
        <f t="shared" si="267"/>
        <v>-0.4420993871047772</v>
      </c>
      <c r="O557" s="677">
        <f t="shared" si="268"/>
        <v>1679966.6695877977</v>
      </c>
      <c r="P557" s="680">
        <f t="shared" si="269"/>
        <v>1.5707957315449919</v>
      </c>
      <c r="Q557" s="689">
        <f t="shared" si="291"/>
        <v>225.11775479550212</v>
      </c>
      <c r="R557" s="690">
        <f t="shared" si="292"/>
        <v>1.5663541925453106</v>
      </c>
      <c r="S557" s="677">
        <f t="shared" si="270"/>
        <v>3.5216935972537078</v>
      </c>
      <c r="T557" s="680">
        <f t="shared" si="271"/>
        <v>1.2828806780348403</v>
      </c>
      <c r="U557" s="681">
        <f t="shared" si="283"/>
        <v>0.64875361727884295</v>
      </c>
      <c r="V557" s="682">
        <f t="shared" si="284"/>
        <v>-1.1412895989348166</v>
      </c>
      <c r="W557" s="683">
        <f t="shared" si="272"/>
        <v>-38.626238157163527</v>
      </c>
      <c r="X557" s="684">
        <f t="shared" si="273"/>
        <v>-247.33321759716424</v>
      </c>
      <c r="Y557" s="687">
        <f t="shared" si="274"/>
        <v>-67.333217597164236</v>
      </c>
      <c r="AA557" s="170">
        <f t="shared" si="275"/>
        <v>89125</v>
      </c>
      <c r="AB557" s="170">
        <f t="shared" si="276"/>
        <v>7943265625</v>
      </c>
      <c r="AD557" s="686">
        <f t="shared" si="277"/>
        <v>16.712600411938332</v>
      </c>
      <c r="AE557" s="687">
        <f t="shared" si="278"/>
        <v>-73.758129993783214</v>
      </c>
      <c r="AG557" s="686">
        <f t="shared" si="279"/>
        <v>5.6813115291818228</v>
      </c>
      <c r="AH557" s="687">
        <f t="shared" si="280"/>
        <v>-42.792933011653865</v>
      </c>
      <c r="AJ557" s="170">
        <f t="shared" si="281"/>
        <v>0</v>
      </c>
      <c r="AK557" s="170">
        <f t="shared" si="293"/>
        <v>0</v>
      </c>
      <c r="AM557" s="170" t="str">
        <f t="shared" si="285"/>
        <v>1.41725287076855+0.908790427896004i</v>
      </c>
      <c r="AN557" s="170" t="str">
        <f t="shared" si="286"/>
        <v>2.00121670037242i</v>
      </c>
      <c r="AO557" s="170" t="str">
        <f t="shared" si="287"/>
        <v>0.454118950599843-0.708195604456431i</v>
      </c>
      <c r="AP557" s="170" t="str">
        <f t="shared" si="288"/>
        <v>-0.069542145128092-0.151465071316001i</v>
      </c>
      <c r="AQ557" s="170" t="str">
        <f t="shared" si="289"/>
        <v>1.06954214512809+0.151465071316001i</v>
      </c>
      <c r="AR557" s="170" t="str">
        <f t="shared" si="290"/>
        <v>0.763525211161266-0.108127950905811i</v>
      </c>
    </row>
    <row r="558" spans="7:44">
      <c r="G558" s="688">
        <v>89644</v>
      </c>
      <c r="H558" s="676">
        <f t="shared" si="282"/>
        <v>89.644000000000005</v>
      </c>
      <c r="I558" s="677">
        <f t="shared" si="262"/>
        <v>468.11909200796941</v>
      </c>
      <c r="J558" s="678">
        <f t="shared" si="263"/>
        <v>1.5686601166346219</v>
      </c>
      <c r="K558" s="678">
        <f t="shared" si="264"/>
        <v>1.0076482123028925</v>
      </c>
      <c r="L558" s="679">
        <f t="shared" si="265"/>
        <v>0.12328651490480284</v>
      </c>
      <c r="M558" s="678">
        <f t="shared" si="266"/>
        <v>1.1075537002111844</v>
      </c>
      <c r="N558" s="679">
        <f t="shared" si="267"/>
        <v>-0.44434886998620043</v>
      </c>
      <c r="O558" s="677">
        <f t="shared" si="268"/>
        <v>1689749.5890998961</v>
      </c>
      <c r="P558" s="680">
        <f t="shared" si="269"/>
        <v>1.5707957349912314</v>
      </c>
      <c r="Q558" s="689">
        <f t="shared" si="291"/>
        <v>226.42865315120983</v>
      </c>
      <c r="R558" s="690">
        <f t="shared" si="292"/>
        <v>1.5663799102465512</v>
      </c>
      <c r="S558" s="677">
        <f t="shared" si="270"/>
        <v>3.5405522687528497</v>
      </c>
      <c r="T558" s="680">
        <f t="shared" si="271"/>
        <v>1.2844577159686628</v>
      </c>
      <c r="U558" s="681">
        <f t="shared" si="283"/>
        <v>0.64642211763712776</v>
      </c>
      <c r="V558" s="682">
        <f t="shared" si="284"/>
        <v>-1.146137156789333</v>
      </c>
      <c r="W558" s="683">
        <f t="shared" si="272"/>
        <v>-38.744299244671176</v>
      </c>
      <c r="X558" s="684">
        <f t="shared" si="273"/>
        <v>-247.78895839960825</v>
      </c>
      <c r="Y558" s="687">
        <f t="shared" si="274"/>
        <v>-67.788958399608248</v>
      </c>
      <c r="AA558" s="170">
        <f t="shared" si="275"/>
        <v>89644</v>
      </c>
      <c r="AB558" s="170">
        <f t="shared" si="276"/>
        <v>8036046736</v>
      </c>
      <c r="AD558" s="686">
        <f t="shared" si="277"/>
        <v>16.666210573465946</v>
      </c>
      <c r="AE558" s="687">
        <f t="shared" si="278"/>
        <v>-73.847014293339939</v>
      </c>
      <c r="AG558" s="686">
        <f t="shared" si="279"/>
        <v>5.6721836706932107</v>
      </c>
      <c r="AH558" s="687">
        <f t="shared" si="280"/>
        <v>-42.604300301887818</v>
      </c>
      <c r="AJ558" s="170">
        <f t="shared" si="281"/>
        <v>0</v>
      </c>
      <c r="AK558" s="170">
        <f t="shared" si="293"/>
        <v>0</v>
      </c>
      <c r="AM558" s="170" t="str">
        <f t="shared" si="285"/>
        <v>1.4278150229972+0.903866309858881i</v>
      </c>
      <c r="AN558" s="170" t="str">
        <f t="shared" si="286"/>
        <v>2.01287034937655i</v>
      </c>
      <c r="AO558" s="170" t="str">
        <f t="shared" si="287"/>
        <v>0.449043481682184-0.709342766879864i</v>
      </c>
      <c r="AP558" s="170" t="str">
        <f t="shared" si="288"/>
        <v>-0.0713025038328658-0.15064438497648i</v>
      </c>
      <c r="AQ558" s="170" t="str">
        <f t="shared" si="289"/>
        <v>1.07130250383287+0.15064438497648i</v>
      </c>
      <c r="AR558" s="170" t="str">
        <f t="shared" si="290"/>
        <v>0.762481298248595-0.107218573483935i</v>
      </c>
    </row>
    <row r="559" spans="7:44">
      <c r="G559" s="688">
        <v>90163</v>
      </c>
      <c r="H559" s="676">
        <f t="shared" si="282"/>
        <v>90.162999999999997</v>
      </c>
      <c r="I559" s="677">
        <f t="shared" si="262"/>
        <v>470.82928681465859</v>
      </c>
      <c r="J559" s="678">
        <f t="shared" si="263"/>
        <v>1.5686724131390561</v>
      </c>
      <c r="K559" s="678">
        <f t="shared" si="264"/>
        <v>1.0077366874004161</v>
      </c>
      <c r="L559" s="679">
        <f t="shared" si="265"/>
        <v>0.12399301778108114</v>
      </c>
      <c r="M559" s="678">
        <f t="shared" si="266"/>
        <v>1.108741403386313</v>
      </c>
      <c r="N559" s="679">
        <f t="shared" si="267"/>
        <v>-0.44659354483506059</v>
      </c>
      <c r="O559" s="677">
        <f t="shared" si="268"/>
        <v>1699532.5086119946</v>
      </c>
      <c r="P559" s="680">
        <f t="shared" si="269"/>
        <v>1.5707957383977962</v>
      </c>
      <c r="Q559" s="689">
        <f t="shared" si="291"/>
        <v>227.73955165495343</v>
      </c>
      <c r="R559" s="690">
        <f t="shared" si="292"/>
        <v>1.5664053318789364</v>
      </c>
      <c r="S559" s="677">
        <f t="shared" si="270"/>
        <v>3.5594196524573802</v>
      </c>
      <c r="T559" s="680">
        <f t="shared" si="271"/>
        <v>1.286018038967327</v>
      </c>
      <c r="U559" s="681">
        <f t="shared" si="283"/>
        <v>0.64409818199578595</v>
      </c>
      <c r="V559" s="682">
        <f t="shared" si="284"/>
        <v>-1.1509701939576205</v>
      </c>
      <c r="W559" s="683">
        <f t="shared" si="272"/>
        <v>-38.861816800916273</v>
      </c>
      <c r="X559" s="684">
        <f t="shared" si="273"/>
        <v>-248.24264989753894</v>
      </c>
      <c r="Y559" s="687">
        <f t="shared" si="274"/>
        <v>-68.242649897538939</v>
      </c>
      <c r="AA559" s="170">
        <f t="shared" si="275"/>
        <v>90163</v>
      </c>
      <c r="AB559" s="170">
        <f t="shared" si="276"/>
        <v>8129366569</v>
      </c>
      <c r="AD559" s="686">
        <f t="shared" si="277"/>
        <v>16.620045926013113</v>
      </c>
      <c r="AE559" s="687">
        <f t="shared" si="278"/>
        <v>-73.934957858878875</v>
      </c>
      <c r="AG559" s="686">
        <f t="shared" si="279"/>
        <v>5.6633961328803384</v>
      </c>
      <c r="AH559" s="687">
        <f t="shared" si="280"/>
        <v>-42.41622296970128</v>
      </c>
      <c r="AJ559" s="170">
        <f t="shared" si="281"/>
        <v>0</v>
      </c>
      <c r="AK559" s="170">
        <f t="shared" si="293"/>
        <v>0</v>
      </c>
      <c r="AM559" s="170" t="str">
        <f t="shared" si="285"/>
        <v>1.43831907537962+0.898819441355358i</v>
      </c>
      <c r="AN559" s="170" t="str">
        <f t="shared" si="286"/>
        <v>2.02452399838068i</v>
      </c>
      <c r="AO559" s="170" t="str">
        <f t="shared" si="287"/>
        <v>0.443965812247363-0.710448024587539i</v>
      </c>
      <c r="AP559" s="170" t="str">
        <f t="shared" si="288"/>
        <v>-0.0730531792299363-0.149803240225893i</v>
      </c>
      <c r="AQ559" s="170" t="str">
        <f t="shared" si="289"/>
        <v>1.07305317922994+0.149803240225893i</v>
      </c>
      <c r="AR559" s="170" t="str">
        <f t="shared" si="290"/>
        <v>0.761449337890682-0.106301887261304i</v>
      </c>
    </row>
    <row r="560" spans="7:44">
      <c r="G560" s="688">
        <v>90682</v>
      </c>
      <c r="H560" s="676">
        <f t="shared" si="282"/>
        <v>90.682000000000002</v>
      </c>
      <c r="I560" s="677">
        <f t="shared" si="262"/>
        <v>473.53948169172412</v>
      </c>
      <c r="J560" s="678">
        <f t="shared" si="263"/>
        <v>1.5686845688910331</v>
      </c>
      <c r="K560" s="678">
        <f t="shared" si="264"/>
        <v>1.0078256654175302</v>
      </c>
      <c r="L560" s="679">
        <f t="shared" si="265"/>
        <v>0.12469939625969716</v>
      </c>
      <c r="M560" s="678">
        <f t="shared" si="266"/>
        <v>1.1099346810550956</v>
      </c>
      <c r="N560" s="679">
        <f t="shared" si="267"/>
        <v>-0.44883340450258208</v>
      </c>
      <c r="O560" s="677">
        <f t="shared" si="268"/>
        <v>1709315.4281240925</v>
      </c>
      <c r="P560" s="680">
        <f t="shared" si="269"/>
        <v>1.5707957417653675</v>
      </c>
      <c r="Q560" s="689">
        <f t="shared" si="291"/>
        <v>229.05045030419117</v>
      </c>
      <c r="R560" s="690">
        <f t="shared" si="292"/>
        <v>1.5664304625258059</v>
      </c>
      <c r="S560" s="677">
        <f t="shared" si="270"/>
        <v>3.5782956105560042</v>
      </c>
      <c r="T560" s="680">
        <f t="shared" si="271"/>
        <v>1.2875619038927324</v>
      </c>
      <c r="U560" s="681">
        <f t="shared" si="283"/>
        <v>0.64178182996615851</v>
      </c>
      <c r="V560" s="682">
        <f t="shared" si="284"/>
        <v>-1.1557888775263252</v>
      </c>
      <c r="W560" s="683">
        <f t="shared" si="272"/>
        <v>-38.978795810401628</v>
      </c>
      <c r="X560" s="684">
        <f t="shared" si="273"/>
        <v>-248.69431586003256</v>
      </c>
      <c r="Y560" s="687">
        <f t="shared" si="274"/>
        <v>-68.69431586003256</v>
      </c>
      <c r="AA560" s="170">
        <f t="shared" si="275"/>
        <v>90682</v>
      </c>
      <c r="AB560" s="170">
        <f t="shared" si="276"/>
        <v>8223225124</v>
      </c>
      <c r="AD560" s="686">
        <f t="shared" si="277"/>
        <v>16.574104535547988</v>
      </c>
      <c r="AE560" s="687">
        <f t="shared" si="278"/>
        <v>-74.021975116287891</v>
      </c>
      <c r="AG560" s="686">
        <f t="shared" si="279"/>
        <v>5.6549447572653619</v>
      </c>
      <c r="AH560" s="687">
        <f t="shared" si="280"/>
        <v>-42.228691211563252</v>
      </c>
      <c r="AJ560" s="170">
        <f t="shared" si="281"/>
        <v>0</v>
      </c>
      <c r="AK560" s="170">
        <f t="shared" si="293"/>
        <v>0</v>
      </c>
      <c r="AM560" s="170" t="str">
        <f t="shared" si="285"/>
        <v>1.4487636014025+0.89365050778045i</v>
      </c>
      <c r="AN560" s="170" t="str">
        <f t="shared" si="286"/>
        <v>2.03617764738481i</v>
      </c>
      <c r="AO560" s="170" t="str">
        <f t="shared" si="287"/>
        <v>0.438886316686671-0.711511396494917i</v>
      </c>
      <c r="AP560" s="170" t="str">
        <f t="shared" si="288"/>
        <v>-0.0747939335670838-0.148941751296742i</v>
      </c>
      <c r="AQ560" s="170" t="str">
        <f t="shared" si="289"/>
        <v>1.07479393356708+0.148941751296742i</v>
      </c>
      <c r="AR560" s="170" t="str">
        <f t="shared" si="290"/>
        <v>0.760429311429707-0.105378035588482i</v>
      </c>
    </row>
    <row r="561" spans="7:44">
      <c r="G561" s="688">
        <v>91201</v>
      </c>
      <c r="H561" s="676">
        <f t="shared" si="282"/>
        <v>91.200999999999993</v>
      </c>
      <c r="I561" s="677">
        <f t="shared" si="262"/>
        <v>476.24967663796457</v>
      </c>
      <c r="J561" s="678">
        <f t="shared" si="263"/>
        <v>1.5686965862934896</v>
      </c>
      <c r="K561" s="678">
        <f t="shared" si="264"/>
        <v>1.0079151462210427</v>
      </c>
      <c r="L561" s="679">
        <f t="shared" si="265"/>
        <v>0.1254056496687658</v>
      </c>
      <c r="M561" s="678">
        <f t="shared" si="266"/>
        <v>1.1111335152577135</v>
      </c>
      <c r="N561" s="679">
        <f t="shared" si="267"/>
        <v>-0.45106844206388613</v>
      </c>
      <c r="O561" s="677">
        <f t="shared" si="268"/>
        <v>1719098.3476361909</v>
      </c>
      <c r="P561" s="680">
        <f t="shared" si="269"/>
        <v>1.5707957450946108</v>
      </c>
      <c r="Q561" s="689">
        <f t="shared" si="291"/>
        <v>230.3613490964392</v>
      </c>
      <c r="R561" s="690">
        <f t="shared" si="292"/>
        <v>1.5664553071547911</v>
      </c>
      <c r="S561" s="677">
        <f t="shared" si="270"/>
        <v>3.5971800080680691</v>
      </c>
      <c r="T561" s="680">
        <f t="shared" si="271"/>
        <v>1.2890895625304182</v>
      </c>
      <c r="U561" s="681">
        <f t="shared" si="283"/>
        <v>0.63947307910672468</v>
      </c>
      <c r="V561" s="682">
        <f t="shared" si="284"/>
        <v>-1.1605933743139252</v>
      </c>
      <c r="W561" s="683">
        <f t="shared" si="272"/>
        <v>-39.095241200211966</v>
      </c>
      <c r="X561" s="684">
        <f t="shared" si="273"/>
        <v>-249.1439797661543</v>
      </c>
      <c r="Y561" s="687">
        <f t="shared" si="274"/>
        <v>-69.143979766154303</v>
      </c>
      <c r="AA561" s="170">
        <f t="shared" si="275"/>
        <v>91201</v>
      </c>
      <c r="AB561" s="170">
        <f t="shared" si="276"/>
        <v>8317622401</v>
      </c>
      <c r="AD561" s="686">
        <f t="shared" si="277"/>
        <v>16.528384488358533</v>
      </c>
      <c r="AE561" s="687">
        <f t="shared" si="278"/>
        <v>-74.10808020722952</v>
      </c>
      <c r="AG561" s="686">
        <f t="shared" si="279"/>
        <v>5.6468254635408748</v>
      </c>
      <c r="AH561" s="687">
        <f t="shared" si="280"/>
        <v>-42.041695248886974</v>
      </c>
      <c r="AJ561" s="170">
        <f t="shared" si="281"/>
        <v>0</v>
      </c>
      <c r="AK561" s="170">
        <f t="shared" si="293"/>
        <v>0</v>
      </c>
      <c r="AM561" s="170" t="str">
        <f t="shared" si="285"/>
        <v>1.45914718263657+0.88836021110634i</v>
      </c>
      <c r="AN561" s="170" t="str">
        <f t="shared" si="286"/>
        <v>2.04783129638894i</v>
      </c>
      <c r="AO561" s="170" t="str">
        <f t="shared" si="287"/>
        <v>0.433805368964151-0.712532905034496i</v>
      </c>
      <c r="AP561" s="170" t="str">
        <f t="shared" si="288"/>
        <v>-0.0765245304394282-0.14806003518439i</v>
      </c>
      <c r="AQ561" s="170" t="str">
        <f t="shared" si="289"/>
        <v>1.07652453043943+0.14806003518439i</v>
      </c>
      <c r="AR561" s="170" t="str">
        <f t="shared" si="290"/>
        <v>0.759421199196508-0.104447159626645i</v>
      </c>
    </row>
    <row r="562" spans="7:44">
      <c r="G562" s="688">
        <v>91732</v>
      </c>
      <c r="H562" s="676">
        <f t="shared" si="282"/>
        <v>91.731999999999999</v>
      </c>
      <c r="I562" s="677">
        <f t="shared" si="262"/>
        <v>479.02253512153806</v>
      </c>
      <c r="J562" s="678">
        <f t="shared" si="263"/>
        <v>1.5687087408192546</v>
      </c>
      <c r="K562" s="678">
        <f t="shared" si="264"/>
        <v>1.0080072161636897</v>
      </c>
      <c r="L562" s="679">
        <f t="shared" si="265"/>
        <v>0.12612810249582165</v>
      </c>
      <c r="M562" s="678">
        <f t="shared" si="266"/>
        <v>1.1123658001643928</v>
      </c>
      <c r="N562" s="679">
        <f t="shared" si="267"/>
        <v>-0.4533501591696355</v>
      </c>
      <c r="O562" s="677">
        <f t="shared" si="268"/>
        <v>1729107.4618190893</v>
      </c>
      <c r="P562" s="680">
        <f t="shared" si="269"/>
        <v>1.570795748461842</v>
      </c>
      <c r="Q562" s="689">
        <f t="shared" si="291"/>
        <v>231.70255783282886</v>
      </c>
      <c r="R562" s="690">
        <f t="shared" si="292"/>
        <v>1.5664804352749815</v>
      </c>
      <c r="S562" s="677">
        <f t="shared" si="270"/>
        <v>3.6165096355342352</v>
      </c>
      <c r="T562" s="680">
        <f t="shared" si="271"/>
        <v>1.290636027463433</v>
      </c>
      <c r="U562" s="681">
        <f t="shared" si="283"/>
        <v>0.63711882976148948</v>
      </c>
      <c r="V562" s="682">
        <f t="shared" si="284"/>
        <v>-1.1654944488156436</v>
      </c>
      <c r="W562" s="683">
        <f t="shared" si="272"/>
        <v>-39.213831779254491</v>
      </c>
      <c r="X562" s="684">
        <f t="shared" si="273"/>
        <v>-249.60199268756909</v>
      </c>
      <c r="Y562" s="687">
        <f t="shared" si="274"/>
        <v>-69.601992687569094</v>
      </c>
      <c r="AA562" s="170">
        <f t="shared" si="275"/>
        <v>91732</v>
      </c>
      <c r="AB562" s="170">
        <f t="shared" si="276"/>
        <v>8414759824</v>
      </c>
      <c r="AD562" s="686">
        <f t="shared" si="277"/>
        <v>16.481834434624304</v>
      </c>
      <c r="AE562" s="687">
        <f t="shared" si="278"/>
        <v>-74.195246578849989</v>
      </c>
      <c r="AG562" s="686">
        <f t="shared" si="279"/>
        <v>5.6388579533690377</v>
      </c>
      <c r="AH562" s="687">
        <f t="shared" si="280"/>
        <v>-41.850920029984302</v>
      </c>
      <c r="AJ562" s="170">
        <f t="shared" si="281"/>
        <v>0</v>
      </c>
      <c r="AK562" s="170">
        <f t="shared" si="293"/>
        <v>0</v>
      </c>
      <c r="AM562" s="170" t="str">
        <f t="shared" si="285"/>
        <v>1.46970630126851+0.882822740162859i</v>
      </c>
      <c r="AN562" s="170" t="str">
        <f t="shared" si="286"/>
        <v>2.05975439392496i</v>
      </c>
      <c r="AO562" s="170" t="str">
        <f t="shared" si="287"/>
        <v>0.428605829300162-0.713534732880416i</v>
      </c>
      <c r="AP562" s="170" t="str">
        <f t="shared" si="288"/>
        <v>-0.0782843835447512-0.147137123360476i</v>
      </c>
      <c r="AQ562" s="170" t="str">
        <f t="shared" si="289"/>
        <v>1.07828438354475+0.147137123360476i</v>
      </c>
      <c r="AR562" s="170" t="str">
        <f t="shared" si="290"/>
        <v>0.758402087113307-0.103487635684378i</v>
      </c>
    </row>
    <row r="563" spans="7:44">
      <c r="G563" s="688">
        <v>92263</v>
      </c>
      <c r="H563" s="676">
        <f t="shared" si="282"/>
        <v>92.263000000000005</v>
      </c>
      <c r="I563" s="677">
        <f t="shared" si="262"/>
        <v>481.79539367506425</v>
      </c>
      <c r="J563" s="678">
        <f t="shared" si="263"/>
        <v>1.5687207554400693</v>
      </c>
      <c r="K563" s="678">
        <f t="shared" si="264"/>
        <v>1.0080998121274343</v>
      </c>
      <c r="L563" s="679">
        <f t="shared" si="265"/>
        <v>0.12685042298238133</v>
      </c>
      <c r="M563" s="678">
        <f t="shared" si="266"/>
        <v>1.1136038634721295</v>
      </c>
      <c r="N563" s="679">
        <f t="shared" si="267"/>
        <v>-0.45562681465005095</v>
      </c>
      <c r="O563" s="677">
        <f t="shared" si="268"/>
        <v>1739116.5760019878</v>
      </c>
      <c r="P563" s="680">
        <f t="shared" si="269"/>
        <v>1.5707957517903146</v>
      </c>
      <c r="Q563" s="689">
        <f t="shared" si="291"/>
        <v>233.0437667138367</v>
      </c>
      <c r="R563" s="690">
        <f t="shared" si="292"/>
        <v>1.5665052741614658</v>
      </c>
      <c r="S563" s="677">
        <f t="shared" si="270"/>
        <v>3.6358478201017927</v>
      </c>
      <c r="T563" s="680">
        <f t="shared" si="271"/>
        <v>1.2921660454863411</v>
      </c>
      <c r="U563" s="681">
        <f t="shared" si="283"/>
        <v>0.6347725679643722</v>
      </c>
      <c r="V563" s="682">
        <f t="shared" si="284"/>
        <v>-1.1703810252789892</v>
      </c>
      <c r="W563" s="683">
        <f t="shared" si="272"/>
        <v>-39.331874032802794</v>
      </c>
      <c r="X563" s="684">
        <f t="shared" si="273"/>
        <v>-250.05795872050606</v>
      </c>
      <c r="Y563" s="687">
        <f t="shared" si="274"/>
        <v>-70.057958720506065</v>
      </c>
      <c r="AA563" s="170">
        <f t="shared" si="275"/>
        <v>92263</v>
      </c>
      <c r="AB563" s="170">
        <f t="shared" si="276"/>
        <v>8512461169</v>
      </c>
      <c r="AD563" s="686">
        <f t="shared" si="277"/>
        <v>16.435512089683684</v>
      </c>
      <c r="AE563" s="687">
        <f t="shared" si="278"/>
        <v>-74.281487181584211</v>
      </c>
      <c r="AG563" s="686">
        <f t="shared" si="279"/>
        <v>5.6312296619694644</v>
      </c>
      <c r="AH563" s="687">
        <f t="shared" si="280"/>
        <v>-41.660685044311812</v>
      </c>
      <c r="AJ563" s="170">
        <f t="shared" si="281"/>
        <v>0</v>
      </c>
      <c r="AK563" s="170">
        <f t="shared" si="293"/>
        <v>0</v>
      </c>
      <c r="AM563" s="170" t="str">
        <f t="shared" si="285"/>
        <v>1.48019864712399+0.877159768400425i</v>
      </c>
      <c r="AN563" s="170" t="str">
        <f t="shared" si="286"/>
        <v>2.07167749146098i</v>
      </c>
      <c r="AO563" s="170" t="str">
        <f t="shared" si="287"/>
        <v>0.423405559994687-0.714492797853459i</v>
      </c>
      <c r="AP563" s="170" t="str">
        <f t="shared" si="288"/>
        <v>-0.0800331078539988-0.146193294733404i</v>
      </c>
      <c r="AQ563" s="170" t="str">
        <f t="shared" si="289"/>
        <v>1.080033107854+0.146193294733404i</v>
      </c>
      <c r="AR563" s="170" t="str">
        <f t="shared" si="290"/>
        <v>0.757395401901448-0.102521050896221i</v>
      </c>
    </row>
    <row r="564" spans="7:44">
      <c r="G564" s="688">
        <v>92794</v>
      </c>
      <c r="H564" s="676">
        <f t="shared" si="282"/>
        <v>92.793999999999997</v>
      </c>
      <c r="I564" s="677">
        <f t="shared" si="262"/>
        <v>484.56825229734221</v>
      </c>
      <c r="J564" s="678">
        <f t="shared" si="263"/>
        <v>1.5687326325576763</v>
      </c>
      <c r="K564" s="678">
        <f t="shared" si="264"/>
        <v>1.0081929339673414</v>
      </c>
      <c r="L564" s="679">
        <f t="shared" si="265"/>
        <v>0.1275726104112761</v>
      </c>
      <c r="M564" s="678">
        <f t="shared" si="266"/>
        <v>1.1148476859297922</v>
      </c>
      <c r="N564" s="679">
        <f t="shared" si="267"/>
        <v>-0.4578984018071155</v>
      </c>
      <c r="O564" s="677">
        <f t="shared" si="268"/>
        <v>1749125.6901848861</v>
      </c>
      <c r="P564" s="680">
        <f t="shared" si="269"/>
        <v>1.5707957550806935</v>
      </c>
      <c r="Q564" s="689">
        <f t="shared" si="291"/>
        <v>234.38497573698015</v>
      </c>
      <c r="R564" s="690">
        <f t="shared" si="292"/>
        <v>1.5665298287794145</v>
      </c>
      <c r="S564" s="677">
        <f t="shared" si="270"/>
        <v>3.6551944259540523</v>
      </c>
      <c r="T564" s="680">
        <f t="shared" si="271"/>
        <v>1.2936798705342352</v>
      </c>
      <c r="U564" s="681">
        <f t="shared" si="283"/>
        <v>0.6324343061664508</v>
      </c>
      <c r="V564" s="682">
        <f t="shared" si="284"/>
        <v>-1.1752532814044903</v>
      </c>
      <c r="W564" s="683">
        <f t="shared" si="272"/>
        <v>-39.449373058857738</v>
      </c>
      <c r="X564" s="684">
        <f t="shared" si="273"/>
        <v>-250.51190210635153</v>
      </c>
      <c r="Y564" s="687">
        <f t="shared" si="274"/>
        <v>-70.511902106351528</v>
      </c>
      <c r="AA564" s="170">
        <f t="shared" si="275"/>
        <v>92794</v>
      </c>
      <c r="AB564" s="170">
        <f t="shared" si="276"/>
        <v>8610726436</v>
      </c>
      <c r="AD564" s="686">
        <f t="shared" si="277"/>
        <v>16.389415468968597</v>
      </c>
      <c r="AE564" s="687">
        <f t="shared" si="278"/>
        <v>-74.366816280396023</v>
      </c>
      <c r="AG564" s="686">
        <f t="shared" si="279"/>
        <v>5.6239364636948554</v>
      </c>
      <c r="AH564" s="687">
        <f t="shared" si="280"/>
        <v>-41.47097990531158</v>
      </c>
      <c r="AJ564" s="170">
        <f t="shared" si="281"/>
        <v>0</v>
      </c>
      <c r="AK564" s="170">
        <f t="shared" si="293"/>
        <v>0</v>
      </c>
      <c r="AM564" s="170" t="str">
        <f t="shared" si="285"/>
        <v>1.49062272862614+0.87137210085901i</v>
      </c>
      <c r="AN564" s="170" t="str">
        <f t="shared" si="286"/>
        <v>2.083600588997i</v>
      </c>
      <c r="AO564" s="170" t="str">
        <f t="shared" si="287"/>
        <v>0.418204959943148-0.715407135368345i</v>
      </c>
      <c r="AP564" s="170" t="str">
        <f t="shared" si="288"/>
        <v>-0.0817704547710227-0.145228683476502i</v>
      </c>
      <c r="AQ564" s="170" t="str">
        <f t="shared" si="289"/>
        <v>1.08177045477102+0.145228683476502i</v>
      </c>
      <c r="AR564" s="170" t="str">
        <f t="shared" si="290"/>
        <v>0.756401119545562-0.101547549470656i</v>
      </c>
    </row>
    <row r="565" spans="7:44">
      <c r="G565" s="688">
        <v>93325</v>
      </c>
      <c r="H565" s="676">
        <f t="shared" si="282"/>
        <v>93.325000000000003</v>
      </c>
      <c r="I565" s="677">
        <f t="shared" si="262"/>
        <v>487.34111098719831</v>
      </c>
      <c r="J565" s="678">
        <f t="shared" si="263"/>
        <v>1.5687443745191569</v>
      </c>
      <c r="K565" s="678">
        <f t="shared" si="264"/>
        <v>1.0082865815377069</v>
      </c>
      <c r="L565" s="679">
        <f t="shared" si="265"/>
        <v>0.12829466406615647</v>
      </c>
      <c r="M565" s="678">
        <f t="shared" si="266"/>
        <v>1.1160972482827154</v>
      </c>
      <c r="N565" s="679">
        <f t="shared" si="267"/>
        <v>-0.4601649141818242</v>
      </c>
      <c r="O565" s="677">
        <f t="shared" si="268"/>
        <v>1759134.8043677844</v>
      </c>
      <c r="P565" s="680">
        <f t="shared" si="269"/>
        <v>1.5707957583336294</v>
      </c>
      <c r="Q565" s="689">
        <f t="shared" si="291"/>
        <v>235.72618489983304</v>
      </c>
      <c r="R565" s="690">
        <f t="shared" si="292"/>
        <v>1.566554103980998</v>
      </c>
      <c r="S565" s="677">
        <f t="shared" si="270"/>
        <v>3.6745493200761112</v>
      </c>
      <c r="T565" s="680">
        <f t="shared" si="271"/>
        <v>1.2951777514923926</v>
      </c>
      <c r="U565" s="681">
        <f t="shared" si="283"/>
        <v>0.63010405478111697</v>
      </c>
      <c r="V565" s="682">
        <f t="shared" si="284"/>
        <v>-1.1801113945425217</v>
      </c>
      <c r="W565" s="683">
        <f t="shared" si="272"/>
        <v>-39.566333897669878</v>
      </c>
      <c r="X565" s="684">
        <f t="shared" si="273"/>
        <v>-250.96384679408601</v>
      </c>
      <c r="Y565" s="687">
        <f t="shared" si="274"/>
        <v>-70.96384679408601</v>
      </c>
      <c r="AA565" s="170">
        <f t="shared" si="275"/>
        <v>93325</v>
      </c>
      <c r="AB565" s="170">
        <f t="shared" si="276"/>
        <v>8709555625</v>
      </c>
      <c r="AD565" s="686">
        <f t="shared" si="277"/>
        <v>16.343542609446899</v>
      </c>
      <c r="AE565" s="687">
        <f t="shared" si="278"/>
        <v>-74.451247857389859</v>
      </c>
      <c r="AG565" s="686">
        <f t="shared" si="279"/>
        <v>5.6169743120904938</v>
      </c>
      <c r="AH565" s="687">
        <f t="shared" si="280"/>
        <v>-41.28179425700354</v>
      </c>
      <c r="AJ565" s="170">
        <f t="shared" si="281"/>
        <v>0</v>
      </c>
      <c r="AK565" s="170">
        <f t="shared" si="293"/>
        <v>0</v>
      </c>
      <c r="AM565" s="170" t="str">
        <f t="shared" si="285"/>
        <v>1.50097706390241+0.865460560305161i</v>
      </c>
      <c r="AN565" s="170" t="str">
        <f t="shared" si="286"/>
        <v>2.09552368653302i</v>
      </c>
      <c r="AO565" s="170" t="str">
        <f t="shared" si="287"/>
        <v>0.413004427421691-0.716277784664764i</v>
      </c>
      <c r="AP565" s="170" t="str">
        <f t="shared" si="288"/>
        <v>-0.0834961773170678-0.144243426717527i</v>
      </c>
      <c r="AQ565" s="170" t="str">
        <f t="shared" si="289"/>
        <v>1.08349617731707+0.144243426717527i</v>
      </c>
      <c r="AR565" s="170" t="str">
        <f t="shared" si="290"/>
        <v>0.75541921514485-0.100567273315696i</v>
      </c>
    </row>
    <row r="566" spans="7:44">
      <c r="G566" s="688">
        <v>93868.5</v>
      </c>
      <c r="H566" s="676">
        <f t="shared" si="282"/>
        <v>93.868499999999997</v>
      </c>
      <c r="I566" s="677">
        <f t="shared" si="262"/>
        <v>490.17924419710846</v>
      </c>
      <c r="J566" s="678">
        <f t="shared" si="263"/>
        <v>1.5687562553200489</v>
      </c>
      <c r="K566" s="678">
        <f t="shared" si="264"/>
        <v>1.0083829779049074</v>
      </c>
      <c r="L566" s="679">
        <f t="shared" si="265"/>
        <v>0.12903357593608236</v>
      </c>
      <c r="M566" s="678">
        <f t="shared" si="266"/>
        <v>1.1173821500118288</v>
      </c>
      <c r="N566" s="679">
        <f t="shared" si="267"/>
        <v>-0.46247951949271365</v>
      </c>
      <c r="O566" s="677">
        <f t="shared" si="268"/>
        <v>1769379.5379994328</v>
      </c>
      <c r="P566" s="680">
        <f t="shared" si="269"/>
        <v>1.5707957616250285</v>
      </c>
      <c r="Q566" s="689">
        <f t="shared" si="291"/>
        <v>237.09896692529892</v>
      </c>
      <c r="R566" s="690">
        <f t="shared" si="292"/>
        <v>1.5665786662215462</v>
      </c>
      <c r="S566" s="677">
        <f t="shared" si="270"/>
        <v>3.6943682851517257</v>
      </c>
      <c r="T566" s="680">
        <f t="shared" si="271"/>
        <v>1.2966946363876326</v>
      </c>
      <c r="U566" s="681">
        <f t="shared" si="283"/>
        <v>0.62772725240608307</v>
      </c>
      <c r="V566" s="682">
        <f t="shared" si="284"/>
        <v>-1.185069408459607</v>
      </c>
      <c r="W566" s="683">
        <f t="shared" si="272"/>
        <v>-39.685495912991108</v>
      </c>
      <c r="X566" s="684">
        <f t="shared" si="273"/>
        <v>-251.42438534891923</v>
      </c>
      <c r="Y566" s="687">
        <f t="shared" si="274"/>
        <v>-71.42438534891923</v>
      </c>
      <c r="AA566" s="170">
        <f t="shared" si="275"/>
        <v>93868.5</v>
      </c>
      <c r="AB566" s="170">
        <f t="shared" si="276"/>
        <v>8811295292.25</v>
      </c>
      <c r="AD566" s="686">
        <f t="shared" si="277"/>
        <v>16.296819578277699</v>
      </c>
      <c r="AE566" s="687">
        <f t="shared" si="278"/>
        <v>-74.536751835856464</v>
      </c>
      <c r="AG566" s="686">
        <f t="shared" si="279"/>
        <v>5.6101869541124554</v>
      </c>
      <c r="AH566" s="687">
        <f t="shared" si="280"/>
        <v>-41.088682288288766</v>
      </c>
      <c r="AJ566" s="170">
        <f t="shared" si="281"/>
        <v>0</v>
      </c>
      <c r="AK566" s="170">
        <f t="shared" si="293"/>
        <v>0</v>
      </c>
      <c r="AM566" s="170" t="str">
        <f t="shared" si="285"/>
        <v>1.51150138071901+0.859282455030093i</v>
      </c>
      <c r="AN566" s="170" t="str">
        <f t="shared" si="286"/>
        <v>2.10772745962309i</v>
      </c>
      <c r="AO566" s="170" t="str">
        <f t="shared" si="287"/>
        <v>0.407681956747744-0.717123731447377i</v>
      </c>
      <c r="AP566" s="170" t="str">
        <f t="shared" si="288"/>
        <v>-0.0852502301198355-0.143213742505016i</v>
      </c>
      <c r="AQ566" s="170" t="str">
        <f t="shared" si="289"/>
        <v>1.08525023011984+0.143213742505016i</v>
      </c>
      <c r="AR566" s="170" t="str">
        <f t="shared" si="290"/>
        <v>0.754426987830063-0.0995570508766431i</v>
      </c>
    </row>
    <row r="567" spans="7:44">
      <c r="G567" s="688">
        <v>94412</v>
      </c>
      <c r="H567" s="676">
        <f t="shared" si="282"/>
        <v>94.412000000000006</v>
      </c>
      <c r="I567" s="677">
        <f t="shared" si="262"/>
        <v>493.0173774754125</v>
      </c>
      <c r="J567" s="678">
        <f t="shared" si="263"/>
        <v>1.5687679993334867</v>
      </c>
      <c r="K567" s="678">
        <f t="shared" si="264"/>
        <v>1.0084799247344594</v>
      </c>
      <c r="L567" s="679">
        <f t="shared" si="265"/>
        <v>0.1297723461436851</v>
      </c>
      <c r="M567" s="678">
        <f t="shared" si="266"/>
        <v>1.1186730242312974</v>
      </c>
      <c r="N567" s="679">
        <f t="shared" si="267"/>
        <v>-0.46478879535060735</v>
      </c>
      <c r="O567" s="677">
        <f t="shared" si="268"/>
        <v>1779624.2716310809</v>
      </c>
      <c r="P567" s="680">
        <f t="shared" si="269"/>
        <v>1.5707957648785327</v>
      </c>
      <c r="Q567" s="689">
        <f t="shared" si="291"/>
        <v>238.47174909216062</v>
      </c>
      <c r="R567" s="690">
        <f t="shared" si="292"/>
        <v>1.5666029456730077</v>
      </c>
      <c r="S567" s="677">
        <f t="shared" si="270"/>
        <v>3.7141956600173529</v>
      </c>
      <c r="T567" s="680">
        <f t="shared" si="271"/>
        <v>1.2981953296265616</v>
      </c>
      <c r="U567" s="681">
        <f t="shared" si="283"/>
        <v>0.62535885777673406</v>
      </c>
      <c r="V567" s="682">
        <f t="shared" si="284"/>
        <v>-1.1900129804811135</v>
      </c>
      <c r="W567" s="683">
        <f t="shared" si="272"/>
        <v>-39.804104609370775</v>
      </c>
      <c r="X567" s="684">
        <f t="shared" si="273"/>
        <v>-251.88287985511093</v>
      </c>
      <c r="Y567" s="687">
        <f t="shared" si="274"/>
        <v>-71.882879855110929</v>
      </c>
      <c r="AA567" s="170">
        <f t="shared" si="275"/>
        <v>94412</v>
      </c>
      <c r="AB567" s="170">
        <f t="shared" si="276"/>
        <v>8913625744</v>
      </c>
      <c r="AD567" s="686">
        <f t="shared" si="277"/>
        <v>16.250326873976235</v>
      </c>
      <c r="AE567" s="687">
        <f t="shared" si="278"/>
        <v>-74.621344301201987</v>
      </c>
      <c r="AG567" s="686">
        <f t="shared" si="279"/>
        <v>5.6037380816318532</v>
      </c>
      <c r="AH567" s="687">
        <f t="shared" si="280"/>
        <v>-40.896092703385072</v>
      </c>
      <c r="AJ567" s="170">
        <f t="shared" si="281"/>
        <v>0</v>
      </c>
      <c r="AK567" s="170">
        <f t="shared" si="293"/>
        <v>0</v>
      </c>
      <c r="AM567" s="170" t="str">
        <f t="shared" si="285"/>
        <v>1.52194951951773+0.85297637662201i</v>
      </c>
      <c r="AN567" s="170" t="str">
        <f t="shared" si="286"/>
        <v>2.11993123271316i</v>
      </c>
      <c r="AO567" s="170" t="str">
        <f t="shared" si="287"/>
        <v>0.402360398988198-0.717924004341352i</v>
      </c>
      <c r="AP567" s="170" t="str">
        <f t="shared" si="288"/>
        <v>-0.0869915865862882-0.142162729437002i</v>
      </c>
      <c r="AQ567" s="170" t="str">
        <f t="shared" si="289"/>
        <v>1.08699158658629+0.142162729437002i</v>
      </c>
      <c r="AR567" s="170" t="str">
        <f t="shared" si="290"/>
        <v>0.753447672692588-0.0985400245592722i</v>
      </c>
    </row>
    <row r="568" spans="7:44">
      <c r="G568" s="688">
        <v>94955.5</v>
      </c>
      <c r="H568" s="676">
        <f t="shared" si="282"/>
        <v>94.955500000000001</v>
      </c>
      <c r="I568" s="677">
        <f t="shared" si="262"/>
        <v>495.85551082093599</v>
      </c>
      <c r="J568" s="678">
        <f t="shared" si="263"/>
        <v>1.5687796089082622</v>
      </c>
      <c r="K568" s="678">
        <f t="shared" si="264"/>
        <v>1.008577421867628</v>
      </c>
      <c r="L568" s="679">
        <f t="shared" si="265"/>
        <v>0.13051097392351804</v>
      </c>
      <c r="M568" s="678">
        <f t="shared" si="266"/>
        <v>1.119969850289493</v>
      </c>
      <c r="N568" s="679">
        <f t="shared" si="267"/>
        <v>-0.46709273559668729</v>
      </c>
      <c r="O568" s="677">
        <f t="shared" si="268"/>
        <v>1789869.0052627295</v>
      </c>
      <c r="P568" s="680">
        <f t="shared" si="269"/>
        <v>1.5707957680947924</v>
      </c>
      <c r="Q568" s="689">
        <f t="shared" si="291"/>
        <v>239.84453139799024</v>
      </c>
      <c r="R568" s="690">
        <f t="shared" si="292"/>
        <v>1.5666269471910972</v>
      </c>
      <c r="S568" s="677">
        <f t="shared" si="270"/>
        <v>3.7340313107072816</v>
      </c>
      <c r="T568" s="680">
        <f t="shared" si="271"/>
        <v>1.2996800824318664</v>
      </c>
      <c r="U568" s="681">
        <f t="shared" si="283"/>
        <v>0.6229988757587317</v>
      </c>
      <c r="V568" s="682">
        <f t="shared" si="284"/>
        <v>-1.1949422995621797</v>
      </c>
      <c r="W568" s="683">
        <f t="shared" si="272"/>
        <v>-39.922165211423511</v>
      </c>
      <c r="X568" s="684">
        <f t="shared" si="273"/>
        <v>-252.33935508037649</v>
      </c>
      <c r="Y568" s="687">
        <f t="shared" si="274"/>
        <v>-72.339355080376492</v>
      </c>
      <c r="AA568" s="170">
        <f t="shared" si="275"/>
        <v>94955.5</v>
      </c>
      <c r="AB568" s="170">
        <f t="shared" si="276"/>
        <v>9016546980.25</v>
      </c>
      <c r="AD568" s="686">
        <f t="shared" si="277"/>
        <v>16.204062460404224</v>
      </c>
      <c r="AE568" s="687">
        <f t="shared" si="278"/>
        <v>-74.705039369251466</v>
      </c>
      <c r="AG568" s="686">
        <f t="shared" si="279"/>
        <v>5.5976236035304874</v>
      </c>
      <c r="AH568" s="687">
        <f t="shared" si="280"/>
        <v>-40.704014501518934</v>
      </c>
      <c r="AJ568" s="170">
        <f t="shared" si="281"/>
        <v>0</v>
      </c>
      <c r="AK568" s="170">
        <f t="shared" si="293"/>
        <v>0</v>
      </c>
      <c r="AM568" s="170" t="str">
        <f t="shared" si="285"/>
        <v>1.53231992425485+0.846543264246615i</v>
      </c>
      <c r="AN568" s="170" t="str">
        <f t="shared" si="286"/>
        <v>2.13213500580323i</v>
      </c>
      <c r="AO568" s="170" t="str">
        <f t="shared" si="287"/>
        <v>0.397040178948565-0.718678657816786i</v>
      </c>
      <c r="AP568" s="170" t="str">
        <f t="shared" si="288"/>
        <v>-0.0887199873758078-0.141090544041102i</v>
      </c>
      <c r="AQ568" s="170" t="str">
        <f t="shared" si="289"/>
        <v>1.08871998737581+0.141090544041102i</v>
      </c>
      <c r="AR568" s="170" t="str">
        <f t="shared" si="290"/>
        <v>0.752481240490131-0.0975163392171915i</v>
      </c>
    </row>
    <row r="569" spans="7:44">
      <c r="G569" s="688">
        <v>95499</v>
      </c>
      <c r="H569" s="676">
        <f t="shared" si="282"/>
        <v>95.498999999999995</v>
      </c>
      <c r="I569" s="677">
        <f t="shared" si="262"/>
        <v>498.69364423253126</v>
      </c>
      <c r="J569" s="678">
        <f t="shared" si="263"/>
        <v>1.5687910863396985</v>
      </c>
      <c r="K569" s="678">
        <f t="shared" si="264"/>
        <v>1.0086754691448383</v>
      </c>
      <c r="L569" s="679">
        <f t="shared" si="265"/>
        <v>0.13124945851105144</v>
      </c>
      <c r="M569" s="678">
        <f t="shared" si="266"/>
        <v>1.1212726075353281</v>
      </c>
      <c r="N569" s="679">
        <f t="shared" si="267"/>
        <v>-0.46939133432713809</v>
      </c>
      <c r="O569" s="677">
        <f t="shared" si="268"/>
        <v>1800113.7388943778</v>
      </c>
      <c r="P569" s="680">
        <f t="shared" si="269"/>
        <v>1.5707957712744434</v>
      </c>
      <c r="Q569" s="689">
        <f t="shared" si="291"/>
        <v>241.2173138404151</v>
      </c>
      <c r="R569" s="690">
        <f t="shared" si="292"/>
        <v>1.5666506755209944</v>
      </c>
      <c r="S569" s="677">
        <f t="shared" si="270"/>
        <v>3.7538751060319915</v>
      </c>
      <c r="T569" s="680">
        <f t="shared" si="271"/>
        <v>1.3011491409986236</v>
      </c>
      <c r="U569" s="681">
        <f t="shared" si="283"/>
        <v>0.62064730920170175</v>
      </c>
      <c r="V569" s="682">
        <f t="shared" si="284"/>
        <v>-1.1998575542240042</v>
      </c>
      <c r="W569" s="683">
        <f t="shared" si="272"/>
        <v>-40.039682885632608</v>
      </c>
      <c r="X569" s="684">
        <f t="shared" si="273"/>
        <v>-252.79383549733453</v>
      </c>
      <c r="Y569" s="687">
        <f t="shared" si="274"/>
        <v>-72.793835497334527</v>
      </c>
      <c r="AA569" s="170">
        <f t="shared" si="275"/>
        <v>95499</v>
      </c>
      <c r="AB569" s="170">
        <f t="shared" si="276"/>
        <v>9120059001</v>
      </c>
      <c r="AD569" s="686">
        <f t="shared" si="277"/>
        <v>16.158024324186997</v>
      </c>
      <c r="AE569" s="687">
        <f t="shared" si="278"/>
        <v>-74.787850874101395</v>
      </c>
      <c r="AG569" s="686">
        <f t="shared" si="279"/>
        <v>5.5918395090846111</v>
      </c>
      <c r="AH569" s="687">
        <f t="shared" si="280"/>
        <v>-40.512436718274273</v>
      </c>
      <c r="AJ569" s="170">
        <f t="shared" si="281"/>
        <v>0</v>
      </c>
      <c r="AK569" s="170">
        <f t="shared" si="293"/>
        <v>0</v>
      </c>
      <c r="AM569" s="170" t="str">
        <f t="shared" si="285"/>
        <v>1.54261105046361+0.839984075988809i</v>
      </c>
      <c r="AN569" s="170" t="str">
        <f t="shared" si="286"/>
        <v>2.1443387788933i</v>
      </c>
      <c r="AO569" s="170" t="str">
        <f t="shared" si="287"/>
        <v>0.391721720586673-0.719387750502631i</v>
      </c>
      <c r="AP569" s="170" t="str">
        <f t="shared" si="288"/>
        <v>-0.090435175077269-0.139997345998135i</v>
      </c>
      <c r="AQ569" s="170" t="str">
        <f t="shared" si="289"/>
        <v>1.09043517507727+0.139997345998135i</v>
      </c>
      <c r="AR569" s="170" t="str">
        <f t="shared" si="290"/>
        <v>0.751527661233618-0.096486137297833i</v>
      </c>
    </row>
    <row r="570" spans="7:44">
      <c r="G570" s="688">
        <v>96611.5</v>
      </c>
      <c r="H570" s="676">
        <f t="shared" si="282"/>
        <v>96.611500000000007</v>
      </c>
      <c r="I570" s="677">
        <f t="shared" si="262"/>
        <v>504.50307115034542</v>
      </c>
      <c r="J570" s="678">
        <f t="shared" si="263"/>
        <v>1.5688141770082962</v>
      </c>
      <c r="K570" s="678">
        <f t="shared" si="264"/>
        <v>1.0088778787847377</v>
      </c>
      <c r="L570" s="679">
        <f t="shared" si="265"/>
        <v>0.13276062625554283</v>
      </c>
      <c r="M570" s="678">
        <f t="shared" si="266"/>
        <v>1.1239576538819995</v>
      </c>
      <c r="N570" s="679">
        <f t="shared" si="267"/>
        <v>-0.47407969727204108</v>
      </c>
      <c r="O570" s="677">
        <f t="shared" si="268"/>
        <v>1821083.8698331246</v>
      </c>
      <c r="P570" s="680">
        <f t="shared" si="269"/>
        <v>1.5707957776713684</v>
      </c>
      <c r="Q570" s="689">
        <f t="shared" si="291"/>
        <v>244.0272875173892</v>
      </c>
      <c r="R570" s="690">
        <f t="shared" si="292"/>
        <v>1.5666984129550334</v>
      </c>
      <c r="S570" s="677">
        <f t="shared" si="270"/>
        <v>3.7945185909343322</v>
      </c>
      <c r="T570" s="680">
        <f t="shared" si="271"/>
        <v>1.3041082524949683</v>
      </c>
      <c r="U570" s="681">
        <f t="shared" si="283"/>
        <v>0.61586008936340242</v>
      </c>
      <c r="V570" s="682">
        <f t="shared" si="284"/>
        <v>-1.2098756103126576</v>
      </c>
      <c r="W570" s="683">
        <f t="shared" si="272"/>
        <v>-40.278560311712717</v>
      </c>
      <c r="X570" s="684">
        <f t="shared" si="273"/>
        <v>-253.71800051759598</v>
      </c>
      <c r="Y570" s="687">
        <f t="shared" si="274"/>
        <v>-73.718000517595982</v>
      </c>
      <c r="AA570" s="170">
        <f t="shared" si="275"/>
        <v>96611.5</v>
      </c>
      <c r="AB570" s="170">
        <f t="shared" si="276"/>
        <v>9333781932.25</v>
      </c>
      <c r="AD570" s="686">
        <f t="shared" si="277"/>
        <v>16.064485301032651</v>
      </c>
      <c r="AE570" s="687">
        <f t="shared" si="278"/>
        <v>-74.9546606871628</v>
      </c>
      <c r="AG570" s="686">
        <f t="shared" si="279"/>
        <v>5.5810137536137896</v>
      </c>
      <c r="AH570" s="687">
        <f t="shared" si="280"/>
        <v>-40.121807258552323</v>
      </c>
      <c r="AJ570" s="170">
        <f t="shared" si="281"/>
        <v>0</v>
      </c>
      <c r="AK570" s="170">
        <f t="shared" si="293"/>
        <v>0</v>
      </c>
      <c r="AM570" s="170" t="str">
        <f t="shared" si="285"/>
        <v>1.56342248728535+0.826168929953913i</v>
      </c>
      <c r="AN570" s="170" t="str">
        <f t="shared" si="286"/>
        <v>2.1693189032037i</v>
      </c>
      <c r="AO570" s="170" t="str">
        <f t="shared" si="287"/>
        <v>0.38084254405095-0.720697397222903i</v>
      </c>
      <c r="AP570" s="170" t="str">
        <f t="shared" si="288"/>
        <v>-0.0939037478808912-0.137694821658986i</v>
      </c>
      <c r="AQ570" s="170" t="str">
        <f t="shared" si="289"/>
        <v>1.09390374788089+0.137694821658986i</v>
      </c>
      <c r="AR570" s="170" t="str">
        <f t="shared" si="290"/>
        <v>0.74961571336865-0.0943576637021531i</v>
      </c>
    </row>
    <row r="571" spans="7:44">
      <c r="G571" s="688">
        <v>97724</v>
      </c>
      <c r="H571" s="676">
        <f t="shared" si="282"/>
        <v>97.724000000000004</v>
      </c>
      <c r="I571" s="677">
        <f t="shared" si="262"/>
        <v>510.31249833102567</v>
      </c>
      <c r="J571" s="678">
        <f t="shared" si="263"/>
        <v>1.5688367419458753</v>
      </c>
      <c r="K571" s="678">
        <f t="shared" si="264"/>
        <v>1.0090825913990236</v>
      </c>
      <c r="L571" s="679">
        <f t="shared" si="265"/>
        <v>0.13427118430713908</v>
      </c>
      <c r="M571" s="678">
        <f t="shared" si="266"/>
        <v>1.1266672875869495</v>
      </c>
      <c r="N571" s="679">
        <f t="shared" si="267"/>
        <v>-0.4787456113517653</v>
      </c>
      <c r="O571" s="677">
        <f t="shared" si="268"/>
        <v>1842054.0007718715</v>
      </c>
      <c r="P571" s="680">
        <f t="shared" si="269"/>
        <v>1.5707957839226467</v>
      </c>
      <c r="Q571" s="689">
        <f t="shared" si="291"/>
        <v>246.83726173780667</v>
      </c>
      <c r="R571" s="690">
        <f t="shared" si="292"/>
        <v>1.5667450635114659</v>
      </c>
      <c r="S571" s="677">
        <f t="shared" si="270"/>
        <v>3.83519459753989</v>
      </c>
      <c r="T571" s="680">
        <f t="shared" si="271"/>
        <v>1.3070046203374368</v>
      </c>
      <c r="U571" s="681">
        <f t="shared" si="283"/>
        <v>0.6111081138100426</v>
      </c>
      <c r="V571" s="682">
        <f t="shared" si="284"/>
        <v>-1.2198371327824593</v>
      </c>
      <c r="W571" s="683">
        <f t="shared" si="272"/>
        <v>-40.515227387663309</v>
      </c>
      <c r="X571" s="684">
        <f t="shared" si="273"/>
        <v>-254.63411230411555</v>
      </c>
      <c r="Y571" s="687">
        <f t="shared" si="274"/>
        <v>-74.634112304115547</v>
      </c>
      <c r="AA571" s="170">
        <f t="shared" si="275"/>
        <v>97724</v>
      </c>
      <c r="AB571" s="170">
        <f t="shared" si="276"/>
        <v>9549980176</v>
      </c>
      <c r="AD571" s="686">
        <f t="shared" si="277"/>
        <v>15.971869250763138</v>
      </c>
      <c r="AE571" s="687">
        <f t="shared" si="278"/>
        <v>-75.117937818816571</v>
      </c>
      <c r="AG571" s="686">
        <f t="shared" si="279"/>
        <v>5.5715231557760365</v>
      </c>
      <c r="AH571" s="687">
        <f t="shared" si="280"/>
        <v>-39.73313552202498</v>
      </c>
      <c r="AJ571" s="170">
        <f t="shared" si="281"/>
        <v>0</v>
      </c>
      <c r="AK571" s="170">
        <f t="shared" si="293"/>
        <v>0</v>
      </c>
      <c r="AM571" s="170" t="str">
        <f t="shared" si="285"/>
        <v>1.58388236303241+0.811838275852823i</v>
      </c>
      <c r="AN571" s="170" t="str">
        <f t="shared" si="286"/>
        <v>2.1942990275141i</v>
      </c>
      <c r="AO571" s="170" t="str">
        <f t="shared" si="287"/>
        <v>0.369976136193501-0.721817009975516i</v>
      </c>
      <c r="AP571" s="170" t="str">
        <f t="shared" si="288"/>
        <v>-0.0973137271720688-0.135306379308804i</v>
      </c>
      <c r="AQ571" s="170" t="str">
        <f t="shared" si="289"/>
        <v>1.09731372717207+0.135306379308804i</v>
      </c>
      <c r="AR571" s="170" t="str">
        <f t="shared" si="290"/>
        <v>0.747757217259005-0.0922036416422933i</v>
      </c>
    </row>
    <row r="572" spans="7:44">
      <c r="G572" s="688">
        <v>98862</v>
      </c>
      <c r="H572" s="676">
        <f t="shared" si="282"/>
        <v>98.861999999999995</v>
      </c>
      <c r="I572" s="677">
        <f t="shared" si="262"/>
        <v>516.2550856783439</v>
      </c>
      <c r="J572" s="678">
        <f t="shared" si="263"/>
        <v>1.5688592986607668</v>
      </c>
      <c r="K572" s="678">
        <f t="shared" si="264"/>
        <v>1.0092943776016883</v>
      </c>
      <c r="L572" s="679">
        <f t="shared" si="265"/>
        <v>0.13581572877267373</v>
      </c>
      <c r="M572" s="678">
        <f t="shared" si="266"/>
        <v>1.1294642844326479</v>
      </c>
      <c r="N572" s="679">
        <f t="shared" si="267"/>
        <v>-0.48349520530951701</v>
      </c>
      <c r="O572" s="677">
        <f t="shared" si="268"/>
        <v>1863504.7953860683</v>
      </c>
      <c r="P572" s="680">
        <f t="shared" si="269"/>
        <v>1.5707957901716465</v>
      </c>
      <c r="Q572" s="689">
        <f t="shared" si="291"/>
        <v>249.71164489922967</v>
      </c>
      <c r="R572" s="690">
        <f t="shared" si="292"/>
        <v>1.566791697081886</v>
      </c>
      <c r="S572" s="677">
        <f t="shared" si="270"/>
        <v>3.8768355342486185</v>
      </c>
      <c r="T572" s="680">
        <f t="shared" si="271"/>
        <v>1.3099044685649297</v>
      </c>
      <c r="U572" s="681">
        <f t="shared" si="283"/>
        <v>0.60628363085214365</v>
      </c>
      <c r="V572" s="682">
        <f t="shared" si="284"/>
        <v>-1.2299701612752461</v>
      </c>
      <c r="W572" s="683">
        <f t="shared" si="272"/>
        <v>-40.755076221047531</v>
      </c>
      <c r="X572" s="684">
        <f t="shared" si="273"/>
        <v>-255.56309780103356</v>
      </c>
      <c r="Y572" s="687">
        <f t="shared" si="274"/>
        <v>-75.563097801033564</v>
      </c>
      <c r="AA572" s="170">
        <f t="shared" si="275"/>
        <v>98862</v>
      </c>
      <c r="AB572" s="170">
        <f t="shared" si="276"/>
        <v>9773695044</v>
      </c>
      <c r="AD572" s="686">
        <f t="shared" si="277"/>
        <v>15.878068168362544</v>
      </c>
      <c r="AE572" s="687">
        <f t="shared" si="278"/>
        <v>-75.281415334939808</v>
      </c>
      <c r="AG572" s="686">
        <f t="shared" si="279"/>
        <v>5.5631636915500522</v>
      </c>
      <c r="AH572" s="687">
        <f t="shared" si="280"/>
        <v>-39.337483968847934</v>
      </c>
      <c r="AJ572" s="170">
        <f t="shared" si="281"/>
        <v>0</v>
      </c>
      <c r="AK572" s="170">
        <f t="shared" si="293"/>
        <v>0</v>
      </c>
      <c r="AM572" s="170" t="str">
        <f t="shared" si="285"/>
        <v>1.60443415761452+0.796655100472488i</v>
      </c>
      <c r="AN572" s="170" t="str">
        <f t="shared" si="286"/>
        <v>2.21985172995476i</v>
      </c>
      <c r="AO572" s="170" t="str">
        <f t="shared" si="287"/>
        <v>0.358877617690585-0.722766361358386i</v>
      </c>
      <c r="AP572" s="170" t="str">
        <f t="shared" si="288"/>
        <v>-0.100739026269086-0.132775850078748i</v>
      </c>
      <c r="AQ572" s="170" t="str">
        <f t="shared" si="289"/>
        <v>1.10073902626909+0.132775850078748i</v>
      </c>
      <c r="AR572" s="170" t="str">
        <f t="shared" si="290"/>
        <v>0.745911132792004-0.0899749916884012i</v>
      </c>
    </row>
    <row r="573" spans="7:44">
      <c r="G573" s="688">
        <v>100000</v>
      </c>
      <c r="H573" s="676">
        <f t="shared" si="282"/>
        <v>100</v>
      </c>
      <c r="I573" s="677">
        <f t="shared" si="262"/>
        <v>522.19767328235696</v>
      </c>
      <c r="J573" s="678">
        <f t="shared" si="263"/>
        <v>1.5688813419867318</v>
      </c>
      <c r="K573" s="678">
        <f t="shared" si="264"/>
        <v>1.0095085705811724</v>
      </c>
      <c r="L573" s="679">
        <f t="shared" si="265"/>
        <v>0.1373596214910808</v>
      </c>
      <c r="M573" s="678">
        <f t="shared" si="266"/>
        <v>1.1322866342469728</v>
      </c>
      <c r="N573" s="679">
        <f t="shared" si="267"/>
        <v>-0.48822122766151116</v>
      </c>
      <c r="O573" s="677">
        <f t="shared" si="268"/>
        <v>1884955.5900002653</v>
      </c>
      <c r="P573" s="680">
        <f t="shared" si="269"/>
        <v>1.5707957962784191</v>
      </c>
      <c r="Q573" s="689">
        <f t="shared" si="291"/>
        <v>252.58602859133856</v>
      </c>
      <c r="R573" s="690">
        <f t="shared" si="292"/>
        <v>1.5668372692890726</v>
      </c>
      <c r="S573" s="677">
        <f t="shared" si="270"/>
        <v>3.9185083786943107</v>
      </c>
      <c r="T573" s="680">
        <f t="shared" si="271"/>
        <v>1.3127426611946742</v>
      </c>
      <c r="U573" s="681">
        <f t="shared" si="283"/>
        <v>0.6014958905417741</v>
      </c>
      <c r="V573" s="682">
        <f t="shared" si="284"/>
        <v>-1.2400474095792806</v>
      </c>
      <c r="W573" s="683">
        <f t="shared" si="272"/>
        <v>-40.992700498742423</v>
      </c>
      <c r="X573" s="684">
        <f t="shared" si="273"/>
        <v>-256.48407290031167</v>
      </c>
      <c r="Y573" s="687">
        <f t="shared" si="274"/>
        <v>-76.484072900311673</v>
      </c>
      <c r="AA573" s="170">
        <f t="shared" si="275"/>
        <v>100000</v>
      </c>
      <c r="AB573" s="170">
        <f t="shared" si="276"/>
        <v>10000000000</v>
      </c>
      <c r="AD573" s="686">
        <f t="shared" si="277"/>
        <v>15.785198546870514</v>
      </c>
      <c r="AE573" s="687">
        <f t="shared" si="278"/>
        <v>-75.441421049009548</v>
      </c>
      <c r="AG573" s="686">
        <f t="shared" si="279"/>
        <v>5.5561361653171781</v>
      </c>
      <c r="AH573" s="687">
        <f t="shared" si="280"/>
        <v>-38.943685758883689</v>
      </c>
      <c r="AJ573" s="170">
        <f t="shared" si="281"/>
        <v>0</v>
      </c>
      <c r="AK573" s="170">
        <f t="shared" si="293"/>
        <v>0</v>
      </c>
      <c r="AM573" s="170" t="str">
        <f t="shared" si="285"/>
        <v>1.6245913140675+0.78095178493389i</v>
      </c>
      <c r="AN573" s="170" t="str">
        <f t="shared" si="286"/>
        <v>2.24540443239542i</v>
      </c>
      <c r="AO573" s="170" t="str">
        <f t="shared" si="287"/>
        <v>0.347800054932983-0.723518351807282i</v>
      </c>
      <c r="AP573" s="170" t="str">
        <f t="shared" si="288"/>
        <v>-0.104098552344584-0.130158630822315i</v>
      </c>
      <c r="AQ573" s="170" t="str">
        <f t="shared" si="289"/>
        <v>1.10409855234458+0.130158630822315i</v>
      </c>
      <c r="AR573" s="170" t="str">
        <f t="shared" si="290"/>
        <v>0.744120375866649-0.0877219602218646i</v>
      </c>
    </row>
    <row r="574" spans="7:44">
      <c r="G574" s="688">
        <v>101165</v>
      </c>
      <c r="H574" s="676">
        <f t="shared" si="282"/>
        <v>101.16500000000001</v>
      </c>
      <c r="I574" s="677">
        <f t="shared" si="262"/>
        <v>528.28125399499334</v>
      </c>
      <c r="J574" s="678">
        <f t="shared" si="263"/>
        <v>1.5689033945932773</v>
      </c>
      <c r="K574" s="678">
        <f t="shared" si="264"/>
        <v>1.0097303369770765</v>
      </c>
      <c r="L574" s="679">
        <f t="shared" si="265"/>
        <v>0.13893946197889623</v>
      </c>
      <c r="M574" s="678">
        <f t="shared" si="266"/>
        <v>1.1352020116106549</v>
      </c>
      <c r="N574" s="679">
        <f t="shared" si="267"/>
        <v>-0.49303492572019686</v>
      </c>
      <c r="O574" s="677">
        <f t="shared" si="268"/>
        <v>1906915.3226237623</v>
      </c>
      <c r="P574" s="680">
        <f t="shared" si="269"/>
        <v>1.5707958023877622</v>
      </c>
      <c r="Q574" s="689">
        <f t="shared" si="291"/>
        <v>255.52860996709612</v>
      </c>
      <c r="R574" s="690">
        <f t="shared" si="292"/>
        <v>1.5668828606954666</v>
      </c>
      <c r="S574" s="677">
        <f t="shared" si="270"/>
        <v>3.9612019470277167</v>
      </c>
      <c r="T574" s="680">
        <f t="shared" si="271"/>
        <v>1.3155863097886169</v>
      </c>
      <c r="U574" s="681">
        <f t="shared" si="283"/>
        <v>0.59663249671392005</v>
      </c>
      <c r="V574" s="682">
        <f t="shared" si="284"/>
        <v>-1.250307734859168</v>
      </c>
      <c r="W574" s="683">
        <f t="shared" si="272"/>
        <v>-41.233703387330898</v>
      </c>
      <c r="X574" s="684">
        <f t="shared" si="273"/>
        <v>-257.41881336571072</v>
      </c>
      <c r="Y574" s="687">
        <f t="shared" si="274"/>
        <v>-77.418813365710719</v>
      </c>
      <c r="AA574" s="170">
        <f t="shared" si="275"/>
        <v>101165</v>
      </c>
      <c r="AB574" s="170">
        <f t="shared" si="276"/>
        <v>10234357225</v>
      </c>
      <c r="AD574" s="686">
        <f t="shared" si="277"/>
        <v>15.691072905785655</v>
      </c>
      <c r="AE574" s="687">
        <f t="shared" si="278"/>
        <v>-75.601738266915106</v>
      </c>
      <c r="AG574" s="686">
        <f t="shared" si="279"/>
        <v>5.5502893266268991</v>
      </c>
      <c r="AH574" s="687">
        <f t="shared" si="280"/>
        <v>-38.542362335095788</v>
      </c>
      <c r="AJ574" s="170">
        <f t="shared" si="281"/>
        <v>0</v>
      </c>
      <c r="AK574" s="170">
        <f t="shared" si="293"/>
        <v>0</v>
      </c>
      <c r="AM574" s="170" t="str">
        <f t="shared" si="285"/>
        <v>1.6448041830379+0.76434780403742i</v>
      </c>
      <c r="AN574" s="170" t="str">
        <f t="shared" si="286"/>
        <v>2.27156339403282i</v>
      </c>
      <c r="AO574" s="170" t="str">
        <f t="shared" si="287"/>
        <v>0.336485350153682-0.724084649082937i</v>
      </c>
      <c r="AP574" s="170" t="str">
        <f t="shared" si="288"/>
        <v>-0.10746736383965-0.127391300672903i</v>
      </c>
      <c r="AQ574" s="170" t="str">
        <f t="shared" si="289"/>
        <v>1.10746736383965+0.127391300672903i</v>
      </c>
      <c r="AR574" s="170" t="str">
        <f t="shared" si="290"/>
        <v>0.74234411420775-0.0853913942239583i</v>
      </c>
    </row>
    <row r="575" spans="7:44">
      <c r="G575" s="688">
        <v>102330</v>
      </c>
      <c r="H575" s="676">
        <f t="shared" si="282"/>
        <v>102.33</v>
      </c>
      <c r="I575" s="677">
        <f t="shared" si="262"/>
        <v>534.3648349586922</v>
      </c>
      <c r="J575" s="678">
        <f t="shared" si="263"/>
        <v>1.5689249450754095</v>
      </c>
      <c r="K575" s="678">
        <f t="shared" si="264"/>
        <v>1.0099546224444222</v>
      </c>
      <c r="L575" s="679">
        <f t="shared" si="265"/>
        <v>0.1405186047211264</v>
      </c>
      <c r="M575" s="678">
        <f t="shared" si="266"/>
        <v>1.1381435584085597</v>
      </c>
      <c r="N575" s="679">
        <f t="shared" si="267"/>
        <v>-0.49782385214059011</v>
      </c>
      <c r="O575" s="677">
        <f t="shared" si="268"/>
        <v>1928875.0552472593</v>
      </c>
      <c r="P575" s="680">
        <f t="shared" si="269"/>
        <v>1.5707958083579987</v>
      </c>
      <c r="Q575" s="689">
        <f t="shared" si="291"/>
        <v>258.47119186189582</v>
      </c>
      <c r="R575" s="690">
        <f t="shared" si="292"/>
        <v>1.5669274140253593</v>
      </c>
      <c r="S575" s="677">
        <f t="shared" si="270"/>
        <v>4.0039268637257246</v>
      </c>
      <c r="T575" s="680">
        <f t="shared" si="271"/>
        <v>1.3183692927417905</v>
      </c>
      <c r="U575" s="681">
        <f t="shared" si="283"/>
        <v>0.59180733243614758</v>
      </c>
      <c r="V575" s="682">
        <f t="shared" si="284"/>
        <v>-1.260513180384653</v>
      </c>
      <c r="W575" s="683">
        <f t="shared" si="272"/>
        <v>-41.472465615886222</v>
      </c>
      <c r="X575" s="684">
        <f t="shared" si="273"/>
        <v>-258.34558493498901</v>
      </c>
      <c r="Y575" s="687">
        <f t="shared" si="274"/>
        <v>-78.345584934989006</v>
      </c>
      <c r="AA575" s="170">
        <f t="shared" si="275"/>
        <v>102330</v>
      </c>
      <c r="AB575" s="170">
        <f t="shared" si="276"/>
        <v>10471428900</v>
      </c>
      <c r="AD575" s="686">
        <f t="shared" si="277"/>
        <v>15.597888356882436</v>
      </c>
      <c r="AE575" s="687">
        <f t="shared" si="278"/>
        <v>-75.758639069071336</v>
      </c>
      <c r="AG575" s="686">
        <f t="shared" si="279"/>
        <v>5.5457741515004457</v>
      </c>
      <c r="AH575" s="687">
        <f t="shared" si="280"/>
        <v>-38.1427751875596</v>
      </c>
      <c r="AJ575" s="170">
        <f t="shared" si="281"/>
        <v>0</v>
      </c>
      <c r="AK575" s="170">
        <f t="shared" si="293"/>
        <v>0</v>
      </c>
      <c r="AM575" s="170" t="str">
        <f t="shared" si="285"/>
        <v>1.66457584329291+0.747220816433478i</v>
      </c>
      <c r="AN575" s="170" t="str">
        <f t="shared" si="286"/>
        <v>2.29772235567023i</v>
      </c>
      <c r="AO575" s="170" t="str">
        <f t="shared" si="287"/>
        <v>0.325200655592489-0.724446032039134i</v>
      </c>
      <c r="AP575" s="170" t="str">
        <f t="shared" si="288"/>
        <v>-0.110762640548819-0.124536802738913i</v>
      </c>
      <c r="AQ575" s="170" t="str">
        <f t="shared" si="289"/>
        <v>1.11076264054882+0.124536802738913i</v>
      </c>
      <c r="AR575" s="170" t="str">
        <f t="shared" si="290"/>
        <v>0.74062516136802-0.0830376232128153i</v>
      </c>
    </row>
    <row r="576" spans="7:44">
      <c r="G576" s="688">
        <v>103520</v>
      </c>
      <c r="H576" s="676">
        <f t="shared" si="282"/>
        <v>103.52</v>
      </c>
      <c r="I576" s="677">
        <f t="shared" si="262"/>
        <v>540.57896512049831</v>
      </c>
      <c r="J576" s="678">
        <f t="shared" si="263"/>
        <v>1.5689464572386265</v>
      </c>
      <c r="K576" s="678">
        <f t="shared" si="264"/>
        <v>1.0101863198973022</v>
      </c>
      <c r="L576" s="679">
        <f t="shared" si="265"/>
        <v>0.14213090657764113</v>
      </c>
      <c r="M576" s="678">
        <f t="shared" si="266"/>
        <v>1.1411750359200272</v>
      </c>
      <c r="N576" s="679">
        <f t="shared" si="267"/>
        <v>-0.50268994221559538</v>
      </c>
      <c r="O576" s="677">
        <f t="shared" si="268"/>
        <v>1951306.0267682564</v>
      </c>
      <c r="P576" s="680">
        <f t="shared" si="269"/>
        <v>1.5707958143176193</v>
      </c>
      <c r="Q576" s="689">
        <f t="shared" si="291"/>
        <v>261.47691980856689</v>
      </c>
      <c r="R576" s="690">
        <f t="shared" si="292"/>
        <v>1.566971888146705</v>
      </c>
      <c r="S576" s="677">
        <f t="shared" si="270"/>
        <v>4.04759995655815</v>
      </c>
      <c r="T576" s="680">
        <f t="shared" si="271"/>
        <v>1.3211513174514788</v>
      </c>
      <c r="U576" s="681">
        <f t="shared" si="283"/>
        <v>0.58691789907651148</v>
      </c>
      <c r="V576" s="682">
        <f t="shared" si="284"/>
        <v>-1.2708828335640383</v>
      </c>
      <c r="W576" s="683">
        <f t="shared" si="272"/>
        <v>-41.714084428451926</v>
      </c>
      <c r="X576" s="684">
        <f t="shared" si="273"/>
        <v>-259.28423362314084</v>
      </c>
      <c r="Y576" s="687">
        <f t="shared" si="274"/>
        <v>-79.284233623140835</v>
      </c>
      <c r="AA576" s="170">
        <f t="shared" si="275"/>
        <v>103520</v>
      </c>
      <c r="AB576" s="170">
        <f t="shared" si="276"/>
        <v>10716390400</v>
      </c>
      <c r="AD576" s="686">
        <f t="shared" si="277"/>
        <v>15.503657939351198</v>
      </c>
      <c r="AE576" s="687">
        <f t="shared" si="278"/>
        <v>-75.915489505627249</v>
      </c>
      <c r="AG576" s="686">
        <f t="shared" si="279"/>
        <v>5.5425052543867146</v>
      </c>
      <c r="AH576" s="687">
        <f t="shared" si="280"/>
        <v>-37.736298713411372</v>
      </c>
      <c r="AJ576" s="170">
        <f t="shared" si="281"/>
        <v>0</v>
      </c>
      <c r="AK576" s="170">
        <f t="shared" si="293"/>
        <v>0</v>
      </c>
      <c r="AM576" s="170" t="str">
        <f t="shared" si="285"/>
        <v>1.68430221022349+0.729198522408843i</v>
      </c>
      <c r="AN576" s="170" t="str">
        <f t="shared" si="286"/>
        <v>2.32444266841574i</v>
      </c>
      <c r="AO576" s="170" t="str">
        <f t="shared" si="287"/>
        <v>0.313708973044209-0.724604754984752i</v>
      </c>
      <c r="AP576" s="170" t="str">
        <f t="shared" si="288"/>
        <v>-0.114050368370582-0.12153308706814i</v>
      </c>
      <c r="AQ576" s="170" t="str">
        <f t="shared" si="289"/>
        <v>1.11405036837058+0.12153308706814i</v>
      </c>
      <c r="AR576" s="170" t="str">
        <f t="shared" si="290"/>
        <v>0.738928125709806-0.0806105529773629i</v>
      </c>
    </row>
    <row r="577" spans="7:44">
      <c r="G577" s="688">
        <v>104710</v>
      </c>
      <c r="H577" s="676">
        <f t="shared" si="282"/>
        <v>104.71</v>
      </c>
      <c r="I577" s="677">
        <f t="shared" si="262"/>
        <v>546.79309552678365</v>
      </c>
      <c r="J577" s="678">
        <f t="shared" si="263"/>
        <v>1.5689674804440052</v>
      </c>
      <c r="K577" s="678">
        <f t="shared" si="264"/>
        <v>1.0104206421386688</v>
      </c>
      <c r="L577" s="679">
        <f t="shared" si="265"/>
        <v>0.14374246481804442</v>
      </c>
      <c r="M577" s="678">
        <f t="shared" si="266"/>
        <v>1.1442333915720904</v>
      </c>
      <c r="N577" s="679">
        <f t="shared" si="267"/>
        <v>-0.50753013380785317</v>
      </c>
      <c r="O577" s="677">
        <f t="shared" si="268"/>
        <v>1973736.9982892536</v>
      </c>
      <c r="P577" s="680">
        <f t="shared" si="269"/>
        <v>1.5707958201417809</v>
      </c>
      <c r="Q577" s="689">
        <f t="shared" si="291"/>
        <v>264.48264826067032</v>
      </c>
      <c r="R577" s="690">
        <f t="shared" si="292"/>
        <v>1.5670153514106531</v>
      </c>
      <c r="S577" s="677">
        <f t="shared" si="270"/>
        <v>4.0913037074959284</v>
      </c>
      <c r="T577" s="680">
        <f t="shared" si="271"/>
        <v>1.323873927079084</v>
      </c>
      <c r="U577" s="681">
        <f t="shared" si="283"/>
        <v>0.58206793031673587</v>
      </c>
      <c r="V577" s="682">
        <f t="shared" si="284"/>
        <v>-1.2811989987862509</v>
      </c>
      <c r="W577" s="683">
        <f t="shared" si="272"/>
        <v>-41.953458199004181</v>
      </c>
      <c r="X577" s="684">
        <f t="shared" si="273"/>
        <v>-260.21500207082858</v>
      </c>
      <c r="Y577" s="687">
        <f t="shared" si="274"/>
        <v>-80.215002070828575</v>
      </c>
      <c r="AA577" s="170">
        <f t="shared" si="275"/>
        <v>104710</v>
      </c>
      <c r="AB577" s="170">
        <f t="shared" si="276"/>
        <v>10964184100</v>
      </c>
      <c r="AD577" s="686">
        <f t="shared" si="277"/>
        <v>15.410373766506089</v>
      </c>
      <c r="AE577" s="687">
        <f t="shared" si="278"/>
        <v>-76.068993618837922</v>
      </c>
      <c r="AG577" s="686">
        <f t="shared" si="279"/>
        <v>5.5405629475942426</v>
      </c>
      <c r="AH577" s="687">
        <f t="shared" si="280"/>
        <v>-37.331417590552789</v>
      </c>
      <c r="AJ577" s="170">
        <f t="shared" si="281"/>
        <v>0</v>
      </c>
      <c r="AK577" s="170">
        <f t="shared" si="293"/>
        <v>0</v>
      </c>
      <c r="AM577" s="170" t="str">
        <f t="shared" si="285"/>
        <v>1.70354003147454+0.710655629762265i</v>
      </c>
      <c r="AN577" s="170" t="str">
        <f t="shared" si="286"/>
        <v>2.35116298116124i</v>
      </c>
      <c r="AO577" s="170" t="str">
        <f t="shared" si="287"/>
        <v>0.302257068291911-0.724552081299426i</v>
      </c>
      <c r="AP577" s="170" t="str">
        <f t="shared" si="288"/>
        <v>-0.117256671912424-0.118442604960378i</v>
      </c>
      <c r="AQ577" s="170" t="str">
        <f t="shared" si="289"/>
        <v>1.11725667191242+0.118442604960378i</v>
      </c>
      <c r="AR577" s="170" t="str">
        <f t="shared" si="290"/>
        <v>0.737290147871318-0.0781615969909792i</v>
      </c>
    </row>
    <row r="578" spans="7:44">
      <c r="G578" s="688">
        <v>105930</v>
      </c>
      <c r="H578" s="676">
        <f t="shared" si="282"/>
        <v>105.93</v>
      </c>
      <c r="I578" s="677">
        <f t="shared" si="262"/>
        <v>553.16388492798399</v>
      </c>
      <c r="J578" s="678">
        <f t="shared" si="263"/>
        <v>1.5689885432936099</v>
      </c>
      <c r="K578" s="678">
        <f t="shared" si="264"/>
        <v>1.0106635946313645</v>
      </c>
      <c r="L578" s="679">
        <f t="shared" si="265"/>
        <v>0.14539387038639978</v>
      </c>
      <c r="M578" s="678">
        <f t="shared" si="266"/>
        <v>1.1473965266969353</v>
      </c>
      <c r="N578" s="679">
        <f t="shared" si="267"/>
        <v>-0.51246544135470118</v>
      </c>
      <c r="O578" s="677">
        <f t="shared" si="268"/>
        <v>1996733.4564872507</v>
      </c>
      <c r="P578" s="680">
        <f t="shared" si="269"/>
        <v>1.5707958259769248</v>
      </c>
      <c r="Q578" s="689">
        <f t="shared" si="291"/>
        <v>267.56415188650783</v>
      </c>
      <c r="R578" s="690">
        <f t="shared" si="292"/>
        <v>1.5670588966458385</v>
      </c>
      <c r="S578" s="677">
        <f t="shared" si="270"/>
        <v>4.1361400434847342</v>
      </c>
      <c r="T578" s="680">
        <f t="shared" si="271"/>
        <v>1.3266054232522035</v>
      </c>
      <c r="U578" s="681">
        <f t="shared" si="283"/>
        <v>0.57713639260147065</v>
      </c>
      <c r="V578" s="682">
        <f t="shared" si="284"/>
        <v>-1.2917216846023387</v>
      </c>
      <c r="W578" s="683">
        <f t="shared" si="272"/>
        <v>-42.196583566252613</v>
      </c>
      <c r="X578" s="684">
        <f t="shared" si="273"/>
        <v>-261.16127667301396</v>
      </c>
      <c r="Y578" s="687">
        <f t="shared" si="274"/>
        <v>-81.161276673013958</v>
      </c>
      <c r="AA578" s="170">
        <f t="shared" si="275"/>
        <v>105930</v>
      </c>
      <c r="AB578" s="170">
        <f t="shared" si="276"/>
        <v>11221164900</v>
      </c>
      <c r="AD578" s="686">
        <f t="shared" si="277"/>
        <v>15.315702035560117</v>
      </c>
      <c r="AE578" s="687">
        <f t="shared" si="278"/>
        <v>-76.223002197624865</v>
      </c>
      <c r="AG578" s="686">
        <f t="shared" si="279"/>
        <v>5.5399177689143917</v>
      </c>
      <c r="AH578" s="687">
        <f t="shared" si="280"/>
        <v>-36.917872639765399</v>
      </c>
      <c r="AJ578" s="170">
        <f t="shared" si="281"/>
        <v>0</v>
      </c>
      <c r="AK578" s="170">
        <f t="shared" si="293"/>
        <v>0</v>
      </c>
      <c r="AM578" s="170" t="str">
        <f t="shared" si="285"/>
        <v>1.7227412887641+0.691118679761735i</v>
      </c>
      <c r="AN578" s="170" t="str">
        <f t="shared" si="286"/>
        <v>2.37855691523646i</v>
      </c>
      <c r="AO578" s="170" t="str">
        <f t="shared" si="287"/>
        <v>0.290562178829775-0.724280036239047i</v>
      </c>
      <c r="AP578" s="170" t="str">
        <f t="shared" si="288"/>
        <v>-0.120456881460684-0.115186446626956i</v>
      </c>
      <c r="AQ578" s="170" t="str">
        <f t="shared" si="289"/>
        <v>1.12045688146068+0.115186446626956i</v>
      </c>
      <c r="AR578" s="170" t="str">
        <f t="shared" si="290"/>
        <v>0.735671794376757-0.075629344850348i</v>
      </c>
    </row>
    <row r="579" spans="7:44">
      <c r="G579" s="688">
        <v>107150</v>
      </c>
      <c r="H579" s="676">
        <f t="shared" si="282"/>
        <v>107.15</v>
      </c>
      <c r="I579" s="677">
        <f t="shared" si="262"/>
        <v>559.53467456900364</v>
      </c>
      <c r="J579" s="678">
        <f t="shared" si="263"/>
        <v>1.5690091265054456</v>
      </c>
      <c r="K579" s="678">
        <f t="shared" si="264"/>
        <v>1.010909302016338</v>
      </c>
      <c r="L579" s="679">
        <f t="shared" si="265"/>
        <v>0.14704447768692391</v>
      </c>
      <c r="M579" s="678">
        <f t="shared" si="266"/>
        <v>1.150587455198878</v>
      </c>
      <c r="N579" s="679">
        <f t="shared" si="267"/>
        <v>-0.51737349368462993</v>
      </c>
      <c r="O579" s="677">
        <f t="shared" si="268"/>
        <v>2019729.9146852477</v>
      </c>
      <c r="P579" s="680">
        <f t="shared" si="269"/>
        <v>1.5707958316791919</v>
      </c>
      <c r="Q579" s="689">
        <f t="shared" si="291"/>
        <v>270.64565600814399</v>
      </c>
      <c r="R579" s="690">
        <f t="shared" si="292"/>
        <v>1.5671014502906693</v>
      </c>
      <c r="S579" s="677">
        <f t="shared" si="270"/>
        <v>4.1810065775023224</v>
      </c>
      <c r="T579" s="680">
        <f t="shared" si="271"/>
        <v>1.3292783154428833</v>
      </c>
      <c r="U579" s="681">
        <f t="shared" si="283"/>
        <v>0.57224575522150833</v>
      </c>
      <c r="V579" s="682">
        <f t="shared" si="284"/>
        <v>-1.3021921581207843</v>
      </c>
      <c r="W579" s="683">
        <f t="shared" si="272"/>
        <v>-42.437445124636113</v>
      </c>
      <c r="X579" s="684">
        <f t="shared" si="273"/>
        <v>-262.09971542362797</v>
      </c>
      <c r="Y579" s="687">
        <f t="shared" si="274"/>
        <v>-82.09971542362797</v>
      </c>
      <c r="AA579" s="170">
        <f t="shared" si="275"/>
        <v>107150</v>
      </c>
      <c r="AB579" s="170">
        <f t="shared" si="276"/>
        <v>11481122500</v>
      </c>
      <c r="AD579" s="686">
        <f t="shared" si="277"/>
        <v>15.221988344325116</v>
      </c>
      <c r="AE579" s="687">
        <f t="shared" si="278"/>
        <v>-76.373709821880652</v>
      </c>
      <c r="AG579" s="686">
        <f t="shared" si="279"/>
        <v>5.5406051295583669</v>
      </c>
      <c r="AH579" s="687">
        <f t="shared" si="280"/>
        <v>-36.505775880531836</v>
      </c>
      <c r="AJ579" s="170">
        <f t="shared" si="281"/>
        <v>0</v>
      </c>
      <c r="AK579" s="170">
        <f t="shared" si="293"/>
        <v>0</v>
      </c>
      <c r="AM579" s="170" t="str">
        <f t="shared" si="285"/>
        <v>1.74140021494178+0.671063127644691i</v>
      </c>
      <c r="AN579" s="170" t="str">
        <f t="shared" si="286"/>
        <v>2.40595084931169i</v>
      </c>
      <c r="AO579" s="170" t="str">
        <f t="shared" si="287"/>
        <v>0.278918053474232-0.723788773756526i</v>
      </c>
      <c r="AP579" s="170" t="str">
        <f t="shared" si="288"/>
        <v>-0.123566702490297-0.111843854607449i</v>
      </c>
      <c r="AQ579" s="170" t="str">
        <f t="shared" si="289"/>
        <v>1.1235667024903+0.111843854607449i</v>
      </c>
      <c r="AR579" s="170" t="str">
        <f t="shared" si="290"/>
        <v>0.734114717818581-0.0730764088886824i</v>
      </c>
    </row>
    <row r="580" spans="7:44">
      <c r="G580" s="688">
        <v>108400</v>
      </c>
      <c r="H580" s="676">
        <f t="shared" si="282"/>
        <v>108.4</v>
      </c>
      <c r="I580" s="677">
        <f t="shared" si="262"/>
        <v>566.06212321195812</v>
      </c>
      <c r="J580" s="678">
        <f t="shared" si="263"/>
        <v>1.5690297353217437</v>
      </c>
      <c r="K580" s="678">
        <f t="shared" si="264"/>
        <v>1.0111639066260809</v>
      </c>
      <c r="L580" s="679">
        <f t="shared" si="265"/>
        <v>0.14873483694510584</v>
      </c>
      <c r="M580" s="678">
        <f t="shared" si="266"/>
        <v>1.1538854349761438</v>
      </c>
      <c r="N580" s="679">
        <f t="shared" si="267"/>
        <v>-0.52237395731148817</v>
      </c>
      <c r="O580" s="677">
        <f t="shared" si="268"/>
        <v>2043291.8595602449</v>
      </c>
      <c r="P580" s="680">
        <f t="shared" si="269"/>
        <v>1.570795837388552</v>
      </c>
      <c r="Q580" s="689">
        <f t="shared" si="291"/>
        <v>273.80293531802727</v>
      </c>
      <c r="R580" s="690">
        <f t="shared" si="292"/>
        <v>1.5671440568803277</v>
      </c>
      <c r="S580" s="677">
        <f t="shared" si="270"/>
        <v>4.2270067024400086</v>
      </c>
      <c r="T580" s="680">
        <f t="shared" si="271"/>
        <v>1.3319580632583548</v>
      </c>
      <c r="U580" s="681">
        <f t="shared" si="283"/>
        <v>0.56727692607655444</v>
      </c>
      <c r="V580" s="682">
        <f t="shared" si="284"/>
        <v>-1.312868048596014</v>
      </c>
      <c r="W580" s="683">
        <f t="shared" si="272"/>
        <v>-42.681930768880633</v>
      </c>
      <c r="X580" s="684">
        <f t="shared" si="273"/>
        <v>-263.05333208910116</v>
      </c>
      <c r="Y580" s="687">
        <f t="shared" si="274"/>
        <v>-83.053332089101161</v>
      </c>
      <c r="AA580" s="170">
        <f t="shared" si="275"/>
        <v>108400</v>
      </c>
      <c r="AB580" s="170">
        <f t="shared" si="276"/>
        <v>11750560000</v>
      </c>
      <c r="AD580" s="686">
        <f t="shared" si="277"/>
        <v>15.126945271219331</v>
      </c>
      <c r="AE580" s="687">
        <f t="shared" si="278"/>
        <v>-76.524807211394588</v>
      </c>
      <c r="AG580" s="686">
        <f t="shared" si="279"/>
        <v>5.5426609913254339</v>
      </c>
      <c r="AH580" s="687">
        <f t="shared" si="280"/>
        <v>-36.084928221543983</v>
      </c>
      <c r="AJ580" s="170">
        <f t="shared" si="281"/>
        <v>0</v>
      </c>
      <c r="AK580" s="170">
        <f t="shared" si="293"/>
        <v>0</v>
      </c>
      <c r="AM580" s="170" t="str">
        <f t="shared" si="285"/>
        <v>1.75994082974302+0.649992257868884i</v>
      </c>
      <c r="AN580" s="170" t="str">
        <f t="shared" si="286"/>
        <v>2.43401840471663i</v>
      </c>
      <c r="AO580" s="170" t="str">
        <f t="shared" si="287"/>
        <v>0.267044923164645-0.723059787194959i</v>
      </c>
      <c r="AP580" s="170" t="str">
        <f t="shared" si="288"/>
        <v>-0.12665680495717-0.108332042978147i</v>
      </c>
      <c r="AQ580" s="170" t="str">
        <f t="shared" si="289"/>
        <v>1.12665680495717+0.108332042978147i</v>
      </c>
      <c r="AR580" s="170" t="str">
        <f t="shared" si="290"/>
        <v>0.732582489856588-0.0704404015730405i</v>
      </c>
    </row>
    <row r="581" spans="7:44">
      <c r="G581" s="688">
        <v>109650</v>
      </c>
      <c r="H581" s="676">
        <f t="shared" si="282"/>
        <v>109.65</v>
      </c>
      <c r="I581" s="677">
        <f t="shared" si="262"/>
        <v>572.58957208985078</v>
      </c>
      <c r="J581" s="678">
        <f t="shared" si="263"/>
        <v>1.5690498742622392</v>
      </c>
      <c r="K581" s="678">
        <f t="shared" si="264"/>
        <v>1.0114213989896221</v>
      </c>
      <c r="L581" s="679">
        <f t="shared" si="265"/>
        <v>0.15042434034964994</v>
      </c>
      <c r="M581" s="678">
        <f t="shared" si="266"/>
        <v>1.1572121023643605</v>
      </c>
      <c r="N581" s="679">
        <f t="shared" si="267"/>
        <v>-0.5273457947419351</v>
      </c>
      <c r="O581" s="677">
        <f t="shared" si="268"/>
        <v>2066853.8044352422</v>
      </c>
      <c r="P581" s="680">
        <f t="shared" si="269"/>
        <v>1.5707958429677398</v>
      </c>
      <c r="Q581" s="689">
        <f t="shared" si="291"/>
        <v>276.96021511361863</v>
      </c>
      <c r="R581" s="690">
        <f t="shared" si="292"/>
        <v>1.5671856920603244</v>
      </c>
      <c r="S581" s="677">
        <f t="shared" si="270"/>
        <v>4.2730365280501559</v>
      </c>
      <c r="T581" s="680">
        <f t="shared" si="271"/>
        <v>1.3345800962312993</v>
      </c>
      <c r="U581" s="681">
        <f t="shared" si="283"/>
        <v>0.56235029059314545</v>
      </c>
      <c r="V581" s="682">
        <f t="shared" si="284"/>
        <v>-1.3234933820314891</v>
      </c>
      <c r="W581" s="683">
        <f t="shared" si="272"/>
        <v>-42.924139047688058</v>
      </c>
      <c r="X581" s="684">
        <f t="shared" si="273"/>
        <v>-263.99918283754926</v>
      </c>
      <c r="Y581" s="687">
        <f t="shared" si="274"/>
        <v>-83.999182837549256</v>
      </c>
      <c r="AA581" s="170">
        <f t="shared" si="275"/>
        <v>109650</v>
      </c>
      <c r="AB581" s="170">
        <f t="shared" si="276"/>
        <v>12023122500</v>
      </c>
      <c r="AD581" s="686">
        <f t="shared" si="277"/>
        <v>15.032870579096398</v>
      </c>
      <c r="AE581" s="687">
        <f t="shared" si="278"/>
        <v>-76.672653434228195</v>
      </c>
      <c r="AG581" s="686">
        <f t="shared" si="279"/>
        <v>5.546055210567121</v>
      </c>
      <c r="AH581" s="687">
        <f t="shared" si="280"/>
        <v>-35.665359222223266</v>
      </c>
      <c r="AJ581" s="170">
        <f t="shared" si="281"/>
        <v>0</v>
      </c>
      <c r="AK581" s="170">
        <f t="shared" si="293"/>
        <v>0</v>
      </c>
      <c r="AM581" s="170" t="str">
        <f t="shared" si="285"/>
        <v>1.77788281183255+0.628409365824126i</v>
      </c>
      <c r="AN581" s="170" t="str">
        <f t="shared" si="286"/>
        <v>2.46208596012157i</v>
      </c>
      <c r="AO581" s="170" t="str">
        <f t="shared" si="287"/>
        <v>0.255234535269068-0.722104280934515i</v>
      </c>
      <c r="AP581" s="170" t="str">
        <f t="shared" si="288"/>
        <v>-0.129647135305426-0.104734894304021i</v>
      </c>
      <c r="AQ581" s="170" t="str">
        <f t="shared" si="289"/>
        <v>1.12964713530543+0.104734894304021i</v>
      </c>
      <c r="AR581" s="170" t="str">
        <f t="shared" si="290"/>
        <v>0.731113743700294-0.0677849907971163i</v>
      </c>
    </row>
    <row r="582" spans="7:44">
      <c r="G582" s="688">
        <v>110925</v>
      </c>
      <c r="H582" s="676">
        <f t="shared" si="282"/>
        <v>110.925</v>
      </c>
      <c r="I582" s="677">
        <f t="shared" si="262"/>
        <v>579.24757017909792</v>
      </c>
      <c r="J582" s="678">
        <f t="shared" si="263"/>
        <v>1.5690699483891635</v>
      </c>
      <c r="K582" s="678">
        <f t="shared" si="264"/>
        <v>1.0116870138775818</v>
      </c>
      <c r="L582" s="679">
        <f t="shared" si="265"/>
        <v>0.15214674280095106</v>
      </c>
      <c r="M582" s="678">
        <f t="shared" si="266"/>
        <v>1.1606346012448197</v>
      </c>
      <c r="N582" s="679">
        <f t="shared" si="267"/>
        <v>-0.53238757971786177</v>
      </c>
      <c r="O582" s="677">
        <f t="shared" si="268"/>
        <v>2090886.9882077393</v>
      </c>
      <c r="P582" s="680">
        <f t="shared" si="269"/>
        <v>1.5707958485289715</v>
      </c>
      <c r="Q582" s="689">
        <f t="shared" si="291"/>
        <v>280.18064098846969</v>
      </c>
      <c r="R582" s="690">
        <f t="shared" si="292"/>
        <v>1.5672271932544986</v>
      </c>
      <c r="S582" s="677">
        <f t="shared" si="270"/>
        <v>4.3200165632274707</v>
      </c>
      <c r="T582" s="680">
        <f t="shared" si="271"/>
        <v>1.337196988493971</v>
      </c>
      <c r="U582" s="681">
        <f t="shared" si="283"/>
        <v>0.55736815753805624</v>
      </c>
      <c r="V582" s="682">
        <f t="shared" si="284"/>
        <v>-1.3342813491255083</v>
      </c>
      <c r="W582" s="683">
        <f t="shared" si="272"/>
        <v>-43.168895912806306</v>
      </c>
      <c r="X582" s="684">
        <f t="shared" si="273"/>
        <v>-264.95618395211255</v>
      </c>
      <c r="Y582" s="687">
        <f t="shared" si="274"/>
        <v>-84.956183952112553</v>
      </c>
      <c r="AA582" s="170">
        <f t="shared" si="275"/>
        <v>110925</v>
      </c>
      <c r="AB582" s="170">
        <f t="shared" si="276"/>
        <v>12304355625</v>
      </c>
      <c r="AD582" s="686">
        <f t="shared" si="277"/>
        <v>14.937893154377797</v>
      </c>
      <c r="AE582" s="687">
        <f t="shared" si="278"/>
        <v>-76.820212791852541</v>
      </c>
      <c r="AG582" s="686">
        <f t="shared" si="279"/>
        <v>5.5508665729895377</v>
      </c>
      <c r="AH582" s="687">
        <f t="shared" si="280"/>
        <v>-35.238591009722995</v>
      </c>
      <c r="AJ582" s="170">
        <f t="shared" si="281"/>
        <v>0</v>
      </c>
      <c r="AK582" s="170">
        <f t="shared" si="293"/>
        <v>0</v>
      </c>
      <c r="AM582" s="170" t="str">
        <f t="shared" si="285"/>
        <v>1.79555226718965+0.605884964468838i</v>
      </c>
      <c r="AN582" s="170" t="str">
        <f t="shared" si="286"/>
        <v>2.49071486663462i</v>
      </c>
      <c r="AO582" s="170" t="str">
        <f t="shared" si="287"/>
        <v>0.243257456959532-0.72089836184892i</v>
      </c>
      <c r="AP582" s="170" t="str">
        <f t="shared" si="288"/>
        <v>-0.132592044531609-0.100980827411473i</v>
      </c>
      <c r="AQ582" s="170" t="str">
        <f t="shared" si="289"/>
        <v>1.13259204453161+0.100980827411473i</v>
      </c>
      <c r="AR582" s="170" t="str">
        <f t="shared" si="290"/>
        <v>0.729680586326875-0.0650576257436533i</v>
      </c>
    </row>
    <row r="583" spans="7:44">
      <c r="G583" s="688">
        <v>112200</v>
      </c>
      <c r="H583" s="676">
        <f t="shared" si="282"/>
        <v>112.2</v>
      </c>
      <c r="I583" s="677">
        <f t="shared" si="262"/>
        <v>585.90556849645986</v>
      </c>
      <c r="J583" s="678">
        <f t="shared" si="263"/>
        <v>1.5690895662872748</v>
      </c>
      <c r="K583" s="678">
        <f t="shared" si="264"/>
        <v>1.0119556285265037</v>
      </c>
      <c r="L583" s="679">
        <f t="shared" si="265"/>
        <v>0.15386823596418936</v>
      </c>
      <c r="M583" s="678">
        <f t="shared" si="266"/>
        <v>1.164086429070543</v>
      </c>
      <c r="N583" s="679">
        <f t="shared" si="267"/>
        <v>-0.53739959098685441</v>
      </c>
      <c r="O583" s="677">
        <f t="shared" si="268"/>
        <v>2114920.1719802367</v>
      </c>
      <c r="P583" s="680">
        <f t="shared" si="269"/>
        <v>1.5707958539638114</v>
      </c>
      <c r="Q583" s="689">
        <f t="shared" si="291"/>
        <v>283.40106733492223</v>
      </c>
      <c r="R583" s="690">
        <f t="shared" si="292"/>
        <v>1.5672677512515938</v>
      </c>
      <c r="S583" s="677">
        <f t="shared" si="270"/>
        <v>4.3670255457781506</v>
      </c>
      <c r="T583" s="680">
        <f t="shared" si="271"/>
        <v>1.3397575587420016</v>
      </c>
      <c r="U583" s="681">
        <f t="shared" si="283"/>
        <v>0.5524290188679899</v>
      </c>
      <c r="V583" s="682">
        <f t="shared" si="284"/>
        <v>-1.3450211820218496</v>
      </c>
      <c r="W583" s="683">
        <f t="shared" si="272"/>
        <v>-43.411384922823444</v>
      </c>
      <c r="X583" s="684">
        <f t="shared" si="273"/>
        <v>-265.90557425116253</v>
      </c>
      <c r="Y583" s="687">
        <f t="shared" si="274"/>
        <v>-85.905574251162534</v>
      </c>
      <c r="AA583" s="170">
        <f t="shared" si="275"/>
        <v>112200</v>
      </c>
      <c r="AB583" s="170">
        <f t="shared" si="276"/>
        <v>12588840000</v>
      </c>
      <c r="AD583" s="686">
        <f t="shared" si="277"/>
        <v>14.843885494406097</v>
      </c>
      <c r="AE583" s="687">
        <f t="shared" si="278"/>
        <v>-76.964599169710752</v>
      </c>
      <c r="AG583" s="686">
        <f t="shared" si="279"/>
        <v>5.5570120234222999</v>
      </c>
      <c r="AH583" s="687">
        <f t="shared" si="280"/>
        <v>-34.812900734236258</v>
      </c>
      <c r="AJ583" s="170">
        <f t="shared" si="281"/>
        <v>0</v>
      </c>
      <c r="AK583" s="170">
        <f t="shared" si="293"/>
        <v>0</v>
      </c>
      <c r="AM583" s="170" t="str">
        <f t="shared" si="285"/>
        <v>1.8125697210759+0.582864005056611i</v>
      </c>
      <c r="AN583" s="170" t="str">
        <f t="shared" si="286"/>
        <v>2.51934377314766i</v>
      </c>
      <c r="AO583" s="170" t="str">
        <f t="shared" si="287"/>
        <v>0.231355486801383-0.719461051879903i</v>
      </c>
      <c r="AP583" s="170" t="str">
        <f t="shared" si="288"/>
        <v>-0.135428286845983-0.0971440008427685i</v>
      </c>
      <c r="AQ583" s="170" t="str">
        <f t="shared" si="289"/>
        <v>1.13542828684598+0.0971440008427685i</v>
      </c>
      <c r="AR583" s="170" t="str">
        <f t="shared" si="290"/>
        <v>0.728312601520415-0.0623123457426206i</v>
      </c>
    </row>
    <row r="584" spans="7:44">
      <c r="G584" s="688">
        <v>113510</v>
      </c>
      <c r="H584" s="676">
        <f t="shared" si="282"/>
        <v>113.51</v>
      </c>
      <c r="I584" s="677">
        <f t="shared" si="262"/>
        <v>592.74633562459667</v>
      </c>
      <c r="J584" s="678">
        <f t="shared" si="263"/>
        <v>1.5691092636883655</v>
      </c>
      <c r="K584" s="678">
        <f t="shared" si="264"/>
        <v>1.0122347388113542</v>
      </c>
      <c r="L584" s="679">
        <f t="shared" si="265"/>
        <v>0.15563602877131638</v>
      </c>
      <c r="M584" s="678">
        <f t="shared" si="266"/>
        <v>1.1676632872040742</v>
      </c>
      <c r="N584" s="679">
        <f t="shared" si="267"/>
        <v>-0.54251819008633806</v>
      </c>
      <c r="O584" s="677">
        <f t="shared" si="268"/>
        <v>2139613.090209234</v>
      </c>
      <c r="P584" s="680">
        <f t="shared" si="269"/>
        <v>1.5707958594206761</v>
      </c>
      <c r="Q584" s="689">
        <f t="shared" si="291"/>
        <v>286.70989801636046</v>
      </c>
      <c r="R584" s="690">
        <f t="shared" si="292"/>
        <v>1.5673084736219107</v>
      </c>
      <c r="S584" s="677">
        <f t="shared" si="270"/>
        <v>4.4153541494000415</v>
      </c>
      <c r="T584" s="680">
        <f t="shared" si="271"/>
        <v>1.342331612895004</v>
      </c>
      <c r="U584" s="681">
        <f t="shared" si="283"/>
        <v>0.54739855622621603</v>
      </c>
      <c r="V584" s="682">
        <f t="shared" si="284"/>
        <v>-1.356008045973367</v>
      </c>
      <c r="W584" s="683">
        <f t="shared" si="272"/>
        <v>-43.658220816303285</v>
      </c>
      <c r="X584" s="684">
        <f t="shared" si="273"/>
        <v>-266.8733403551521</v>
      </c>
      <c r="Y584" s="687">
        <f t="shared" si="274"/>
        <v>-86.873340355152095</v>
      </c>
      <c r="AA584" s="170">
        <f t="shared" si="275"/>
        <v>113510</v>
      </c>
      <c r="AB584" s="170">
        <f t="shared" si="276"/>
        <v>12884520100</v>
      </c>
      <c r="AD584" s="686">
        <f t="shared" si="277"/>
        <v>14.748288032601804</v>
      </c>
      <c r="AE584" s="687">
        <f t="shared" si="278"/>
        <v>-77.109748701786174</v>
      </c>
      <c r="AG584" s="686">
        <f t="shared" si="279"/>
        <v>5.5646870397262749</v>
      </c>
      <c r="AH584" s="687">
        <f t="shared" si="280"/>
        <v>-34.376515435699034</v>
      </c>
      <c r="AJ584" s="170">
        <f t="shared" si="281"/>
        <v>0</v>
      </c>
      <c r="AK584" s="170">
        <f t="shared" si="293"/>
        <v>0</v>
      </c>
      <c r="AM584" s="170" t="str">
        <f t="shared" si="285"/>
        <v>1.82936057117518+0.558713739745124i</v>
      </c>
      <c r="AN584" s="170" t="str">
        <f t="shared" si="286"/>
        <v>2.54875857121204i</v>
      </c>
      <c r="AO584" s="170" t="str">
        <f t="shared" si="287"/>
        <v>0.219210146482973-0.717745726032122i</v>
      </c>
      <c r="AP584" s="170" t="str">
        <f t="shared" si="288"/>
        <v>-0.13822676186253-0.0931189566241873i</v>
      </c>
      <c r="AQ584" s="170" t="str">
        <f t="shared" si="289"/>
        <v>1.13822676186253+0.0931189566241873i</v>
      </c>
      <c r="AR584" s="170" t="str">
        <f t="shared" si="290"/>
        <v>0.726974495658065-0.0594741828221482i</v>
      </c>
    </row>
    <row r="585" spans="7:44">
      <c r="G585" s="688">
        <v>114820</v>
      </c>
      <c r="H585" s="676">
        <f t="shared" si="282"/>
        <v>114.82</v>
      </c>
      <c r="I585" s="677">
        <f t="shared" si="262"/>
        <v>599.58710297746427</v>
      </c>
      <c r="J585" s="678">
        <f t="shared" si="263"/>
        <v>1.5691285116290341</v>
      </c>
      <c r="K585" s="678">
        <f t="shared" si="264"/>
        <v>1.0125170106725223</v>
      </c>
      <c r="L585" s="679">
        <f t="shared" si="265"/>
        <v>0.15740284143851271</v>
      </c>
      <c r="M585" s="678">
        <f t="shared" si="266"/>
        <v>1.1712705508655474</v>
      </c>
      <c r="N585" s="679">
        <f t="shared" si="267"/>
        <v>-0.54760539340153735</v>
      </c>
      <c r="O585" s="677">
        <f t="shared" si="268"/>
        <v>2164306.008438231</v>
      </c>
      <c r="P585" s="680">
        <f t="shared" si="269"/>
        <v>1.5707958647530245</v>
      </c>
      <c r="Q585" s="689">
        <f t="shared" si="291"/>
        <v>290.01872916240399</v>
      </c>
      <c r="R585" s="690">
        <f t="shared" si="292"/>
        <v>1.5673482667871499</v>
      </c>
      <c r="S585" s="677">
        <f t="shared" si="270"/>
        <v>4.4637113744752321</v>
      </c>
      <c r="T585" s="680">
        <f t="shared" si="271"/>
        <v>1.3448499118546375</v>
      </c>
      <c r="U585" s="681">
        <f t="shared" si="283"/>
        <v>0.54241239475914449</v>
      </c>
      <c r="V585" s="682">
        <f t="shared" si="284"/>
        <v>-1.3669488589859191</v>
      </c>
      <c r="W585" s="683">
        <f t="shared" si="272"/>
        <v>-43.902768418739832</v>
      </c>
      <c r="X585" s="684">
        <f t="shared" si="273"/>
        <v>-267.83355818957887</v>
      </c>
      <c r="Y585" s="687">
        <f t="shared" si="274"/>
        <v>-87.833558189578866</v>
      </c>
      <c r="AA585" s="170">
        <f t="shared" si="275"/>
        <v>114820</v>
      </c>
      <c r="AB585" s="170">
        <f t="shared" si="276"/>
        <v>13183632400</v>
      </c>
      <c r="AD585" s="686">
        <f t="shared" si="277"/>
        <v>14.653675599912109</v>
      </c>
      <c r="AE585" s="687">
        <f t="shared" si="278"/>
        <v>-77.251756928987021</v>
      </c>
      <c r="AG585" s="686">
        <f t="shared" si="279"/>
        <v>5.5737135701968974</v>
      </c>
      <c r="AH585" s="687">
        <f t="shared" si="280"/>
        <v>-33.941000221370246</v>
      </c>
      <c r="AJ585" s="170">
        <f t="shared" si="281"/>
        <v>0</v>
      </c>
      <c r="AK585" s="170">
        <f t="shared" si="293"/>
        <v>0</v>
      </c>
      <c r="AM585" s="170" t="str">
        <f t="shared" si="285"/>
        <v>1.8454338850796+0.534080093206263i</v>
      </c>
      <c r="AN585" s="170" t="str">
        <f t="shared" si="286"/>
        <v>2.57817336927642i</v>
      </c>
      <c r="AO585" s="170" t="str">
        <f t="shared" si="287"/>
        <v>0.207154452672109-0.715791229197877i</v>
      </c>
      <c r="AP585" s="170" t="str">
        <f t="shared" si="288"/>
        <v>-0.140905647513267-0.0890133488677105i</v>
      </c>
      <c r="AQ585" s="170" t="str">
        <f t="shared" si="289"/>
        <v>1.14090564751327+0.0890133488677105i</v>
      </c>
      <c r="AR585" s="170" t="str">
        <f t="shared" si="290"/>
        <v>0.72570428702757-0.0566193786635865i</v>
      </c>
    </row>
    <row r="586" spans="7:44">
      <c r="G586" s="688">
        <v>116155</v>
      </c>
      <c r="H586" s="676">
        <f t="shared" si="282"/>
        <v>116.155</v>
      </c>
      <c r="I586" s="677">
        <f t="shared" si="262"/>
        <v>606.55841954894765</v>
      </c>
      <c r="J586" s="678">
        <f t="shared" si="263"/>
        <v>1.5691476802329551</v>
      </c>
      <c r="K586" s="678">
        <f t="shared" si="264"/>
        <v>1.0128079193194321</v>
      </c>
      <c r="L586" s="679">
        <f t="shared" si="265"/>
        <v>0.1592023529616966</v>
      </c>
      <c r="M586" s="678">
        <f t="shared" si="266"/>
        <v>1.174977646935476</v>
      </c>
      <c r="N586" s="679">
        <f t="shared" si="267"/>
        <v>-0.55275740858397682</v>
      </c>
      <c r="O586" s="677">
        <f t="shared" si="268"/>
        <v>2189470.1655647284</v>
      </c>
      <c r="P586" s="680">
        <f t="shared" si="269"/>
        <v>1.5707958700633935</v>
      </c>
      <c r="Q586" s="689">
        <f t="shared" si="291"/>
        <v>293.39070640272035</v>
      </c>
      <c r="R586" s="690">
        <f t="shared" si="292"/>
        <v>1.5673878959400234</v>
      </c>
      <c r="S586" s="677">
        <f t="shared" si="270"/>
        <v>4.5130199407696656</v>
      </c>
      <c r="T586" s="680">
        <f t="shared" si="271"/>
        <v>1.3473607316524083</v>
      </c>
      <c r="U586" s="681">
        <f t="shared" si="283"/>
        <v>0.53737604641721093</v>
      </c>
      <c r="V586" s="682">
        <f t="shared" si="284"/>
        <v>-1.3780535627870429</v>
      </c>
      <c r="W586" s="683">
        <f t="shared" si="272"/>
        <v>-44.149682810531736</v>
      </c>
      <c r="X586" s="684">
        <f t="shared" si="273"/>
        <v>-268.80458254040354</v>
      </c>
      <c r="Y586" s="687">
        <f t="shared" si="274"/>
        <v>-88.804582540403544</v>
      </c>
      <c r="AA586" s="170">
        <f t="shared" si="275"/>
        <v>116155</v>
      </c>
      <c r="AB586" s="170">
        <f t="shared" si="276"/>
        <v>13491984025</v>
      </c>
      <c r="AD586" s="686">
        <f t="shared" si="277"/>
        <v>14.558251474116215</v>
      </c>
      <c r="AE586" s="687">
        <f t="shared" si="278"/>
        <v>-77.393346027735362</v>
      </c>
      <c r="AG586" s="686">
        <f t="shared" si="279"/>
        <v>5.5842753560088862</v>
      </c>
      <c r="AH586" s="687">
        <f t="shared" si="280"/>
        <v>-33.497930150898021</v>
      </c>
      <c r="AJ586" s="170">
        <f t="shared" si="281"/>
        <v>0</v>
      </c>
      <c r="AK586" s="170">
        <f t="shared" si="293"/>
        <v>0</v>
      </c>
      <c r="AM586" s="170" t="str">
        <f t="shared" si="285"/>
        <v>1.86106133998065+0.508501100088017i</v>
      </c>
      <c r="AN586" s="170" t="str">
        <f t="shared" si="286"/>
        <v>2.6081495184489i</v>
      </c>
      <c r="AO586" s="170" t="str">
        <f t="shared" si="287"/>
        <v>0.194966238128261-0.713556230889496i</v>
      </c>
      <c r="AP586" s="170" t="str">
        <f t="shared" si="288"/>
        <v>-0.143510223330109-0.0847501833480028i</v>
      </c>
      <c r="AQ586" s="170" t="str">
        <f t="shared" si="289"/>
        <v>1.14351022333011+0.0847501833480028i</v>
      </c>
      <c r="AR586" s="170" t="str">
        <f t="shared" si="290"/>
        <v>0.724479238204889-0.0536940964907847i</v>
      </c>
    </row>
    <row r="587" spans="7:44">
      <c r="G587" s="688">
        <v>117490</v>
      </c>
      <c r="H587" s="676">
        <f t="shared" si="282"/>
        <v>117.49</v>
      </c>
      <c r="I587" s="677">
        <f t="shared" si="262"/>
        <v>613.52973633823717</v>
      </c>
      <c r="J587" s="678">
        <f t="shared" si="263"/>
        <v>1.5691664132250374</v>
      </c>
      <c r="K587" s="678">
        <f t="shared" si="264"/>
        <v>1.0131021057934917</v>
      </c>
      <c r="L587" s="679">
        <f t="shared" si="265"/>
        <v>0.16100082521495712</v>
      </c>
      <c r="M587" s="678">
        <f t="shared" si="266"/>
        <v>1.1787157340892389</v>
      </c>
      <c r="N587" s="679">
        <f t="shared" si="267"/>
        <v>-0.55787688154095039</v>
      </c>
      <c r="O587" s="677">
        <f t="shared" si="268"/>
        <v>2214634.3226912259</v>
      </c>
      <c r="P587" s="680">
        <f t="shared" si="269"/>
        <v>1.5707958752530824</v>
      </c>
      <c r="Q587" s="689">
        <f t="shared" si="291"/>
        <v>296.7626840933271</v>
      </c>
      <c r="R587" s="690">
        <f t="shared" si="292"/>
        <v>1.5674266245173345</v>
      </c>
      <c r="S587" s="677">
        <f t="shared" si="270"/>
        <v>4.5623563430328486</v>
      </c>
      <c r="T587" s="680">
        <f t="shared" si="271"/>
        <v>1.3498172636600327</v>
      </c>
      <c r="U587" s="681">
        <f t="shared" si="283"/>
        <v>0.53238444975817123</v>
      </c>
      <c r="V587" s="682">
        <f t="shared" si="284"/>
        <v>-1.3891154361052698</v>
      </c>
      <c r="W587" s="683">
        <f t="shared" si="272"/>
        <v>-44.394329309914099</v>
      </c>
      <c r="X587" s="684">
        <f t="shared" si="273"/>
        <v>-269.76826407121069</v>
      </c>
      <c r="Y587" s="687">
        <f t="shared" si="274"/>
        <v>-89.768264071210695</v>
      </c>
      <c r="AA587" s="170">
        <f t="shared" si="275"/>
        <v>117490</v>
      </c>
      <c r="AB587" s="170">
        <f t="shared" si="276"/>
        <v>13803900100</v>
      </c>
      <c r="AD587" s="686">
        <f t="shared" si="277"/>
        <v>14.463811326049488</v>
      </c>
      <c r="AE587" s="687">
        <f t="shared" si="278"/>
        <v>-77.531876257490126</v>
      </c>
      <c r="AG587" s="686">
        <f t="shared" si="279"/>
        <v>5.5961866843607915</v>
      </c>
      <c r="AH587" s="687">
        <f t="shared" si="280"/>
        <v>-33.055484141216375</v>
      </c>
      <c r="AJ587" s="170">
        <f t="shared" si="281"/>
        <v>0</v>
      </c>
      <c r="AK587" s="170">
        <f t="shared" si="293"/>
        <v>0</v>
      </c>
      <c r="AM587" s="170" t="str">
        <f t="shared" si="285"/>
        <v>1.87591512934272+0.482465217594522i</v>
      </c>
      <c r="AN587" s="170" t="str">
        <f t="shared" si="286"/>
        <v>2.63812566762138i</v>
      </c>
      <c r="AO587" s="170" t="str">
        <f t="shared" si="287"/>
        <v>0.182881817767813-0.711078760335972i</v>
      </c>
      <c r="AP587" s="170" t="str">
        <f t="shared" si="288"/>
        <v>-0.145985854890453-0.080410869599087i</v>
      </c>
      <c r="AQ587" s="170" t="str">
        <f t="shared" si="289"/>
        <v>1.14598585489045+0.080410869599087i</v>
      </c>
      <c r="AR587" s="170" t="str">
        <f t="shared" si="290"/>
        <v>0.723323802072174-0.0507537642616901i</v>
      </c>
    </row>
    <row r="588" spans="7:44">
      <c r="G588" s="688">
        <v>118860</v>
      </c>
      <c r="H588" s="676">
        <f t="shared" si="282"/>
        <v>118.86</v>
      </c>
      <c r="I588" s="677">
        <f t="shared" si="262"/>
        <v>620.68382195123911</v>
      </c>
      <c r="J588" s="678">
        <f t="shared" si="263"/>
        <v>1.5691851998454651</v>
      </c>
      <c r="K588" s="678">
        <f t="shared" si="264"/>
        <v>1.0134074098845132</v>
      </c>
      <c r="L588" s="679">
        <f t="shared" si="265"/>
        <v>0.16284535668220043</v>
      </c>
      <c r="M588" s="678">
        <f t="shared" si="266"/>
        <v>1.1825837357841926</v>
      </c>
      <c r="N588" s="679">
        <f t="shared" si="267"/>
        <v>-0.5630967833378494</v>
      </c>
      <c r="O588" s="677">
        <f t="shared" si="268"/>
        <v>2240458.2142742234</v>
      </c>
      <c r="P588" s="680">
        <f t="shared" si="269"/>
        <v>1.5707958804576279</v>
      </c>
      <c r="Q588" s="689">
        <f t="shared" si="291"/>
        <v>300.22306614566645</v>
      </c>
      <c r="R588" s="690">
        <f t="shared" si="292"/>
        <v>1.5674654639736334</v>
      </c>
      <c r="S588" s="677">
        <f t="shared" si="270"/>
        <v>4.6130142125652149</v>
      </c>
      <c r="T588" s="680">
        <f t="shared" si="271"/>
        <v>1.3522835539434719</v>
      </c>
      <c r="U588" s="681">
        <f t="shared" si="283"/>
        <v>0.52730781267932014</v>
      </c>
      <c r="V588" s="682">
        <f t="shared" si="284"/>
        <v>-1.4004254104853253</v>
      </c>
      <c r="W588" s="683">
        <f t="shared" si="272"/>
        <v>-44.643087962556784</v>
      </c>
      <c r="X588" s="684">
        <f t="shared" si="273"/>
        <v>-270.74983172452454</v>
      </c>
      <c r="Y588" s="687">
        <f t="shared" si="274"/>
        <v>-90.74983172452454</v>
      </c>
      <c r="AA588" s="170">
        <f t="shared" si="275"/>
        <v>118860</v>
      </c>
      <c r="AB588" s="170">
        <f t="shared" si="276"/>
        <v>14127699600</v>
      </c>
      <c r="AD588" s="686">
        <f t="shared" si="277"/>
        <v>14.367898399706</v>
      </c>
      <c r="AE588" s="687">
        <f t="shared" si="278"/>
        <v>-77.670959243218206</v>
      </c>
      <c r="AG588" s="686">
        <f t="shared" si="279"/>
        <v>5.6097871926995477</v>
      </c>
      <c r="AH588" s="687">
        <f t="shared" si="280"/>
        <v>-32.601941210564632</v>
      </c>
      <c r="AJ588" s="170">
        <f t="shared" si="281"/>
        <v>0</v>
      </c>
      <c r="AK588" s="170">
        <f t="shared" si="293"/>
        <v>0</v>
      </c>
      <c r="AM588" s="170" t="str">
        <f t="shared" si="285"/>
        <v>1.89033999540553+0.455296269017524i</v>
      </c>
      <c r="AN588" s="170" t="str">
        <f t="shared" si="286"/>
        <v>2.66888770834519i</v>
      </c>
      <c r="AO588" s="170" t="str">
        <f t="shared" si="287"/>
        <v>0.170594014725267-0.708287572195239i</v>
      </c>
      <c r="AP588" s="170" t="str">
        <f t="shared" si="288"/>
        <v>-0.148389999234255-0.0758827115029207i</v>
      </c>
      <c r="AQ588" s="170" t="str">
        <f t="shared" si="289"/>
        <v>1.14838999923425+0.0758827115029207i</v>
      </c>
      <c r="AR588" s="170" t="str">
        <f t="shared" si="290"/>
        <v>0.722209998323446-0.0477218131330348i</v>
      </c>
    </row>
    <row r="589" spans="7:44">
      <c r="G589" s="688">
        <v>120230</v>
      </c>
      <c r="H589" s="676">
        <f t="shared" si="282"/>
        <v>120.23</v>
      </c>
      <c r="I589" s="677">
        <f t="shared" ref="I589:I613" si="294">SQRT(1+(G589/pole1)^2)</f>
        <v>627.83790777831121</v>
      </c>
      <c r="J589" s="678">
        <f t="shared" ref="J589:J613" si="295">ATAN(G589/pole1)</f>
        <v>1.5692035583264279</v>
      </c>
      <c r="K589" s="678">
        <f t="shared" ref="K589:K613" si="296">SQRT(1+(G589/Zero1)^2)</f>
        <v>1.013716159804172</v>
      </c>
      <c r="L589" s="679">
        <f t="shared" ref="L589:L613" si="297">ATAN(G589/Zero1)</f>
        <v>0.16468877083152622</v>
      </c>
      <c r="M589" s="678">
        <f t="shared" ref="M589:M613" si="298">SQRT(1+(G589/z_RHP)^2)</f>
        <v>1.1864837491782576</v>
      </c>
      <c r="N589" s="679">
        <f t="shared" ref="N589:N613" si="299">-ATAN(G589/z_RHP)</f>
        <v>-0.56828250966405802</v>
      </c>
      <c r="O589" s="677">
        <f t="shared" ref="O589:O613" si="300">SQRT(1+(G589/Pole2)^2)</f>
        <v>2266282.1058572209</v>
      </c>
      <c r="P589" s="680">
        <f t="shared" ref="P589:P613" si="301">ATAN(G589/Pole2)</f>
        <v>1.5707958855435638</v>
      </c>
      <c r="Q589" s="689">
        <f t="shared" si="291"/>
        <v>303.68344864057229</v>
      </c>
      <c r="R589" s="690">
        <f t="shared" si="292"/>
        <v>1.5675034183019034</v>
      </c>
      <c r="S589" s="677">
        <f t="shared" ref="S589:S613" si="302">SQRT(1+(G589/pole4)^2)</f>
        <v>4.6636995314987866</v>
      </c>
      <c r="T589" s="680">
        <f t="shared" ref="T589:T613" si="303">ATAN(G589/pole4)</f>
        <v>1.3546962511063241</v>
      </c>
      <c r="U589" s="681">
        <f t="shared" si="283"/>
        <v>0.52227685445470473</v>
      </c>
      <c r="V589" s="682">
        <f t="shared" si="284"/>
        <v>-1.411695591437985</v>
      </c>
      <c r="W589" s="683">
        <f t="shared" ref="W589:W613" si="304">20*LOG10(((K589*Q589*M589*U589)/(I589*O589*S589))*Adc)</f>
        <v>-44.889571405897797</v>
      </c>
      <c r="X589" s="684">
        <f t="shared" ref="X589:X613" si="305">((L589+R589+N589+V589)-(J589+P589+T589))*radconv</f>
        <v>-271.72418080685509</v>
      </c>
      <c r="Y589" s="687">
        <f t="shared" ref="Y589:Y613" si="306">IF(X589&gt;0,X589,X589+180)</f>
        <v>-91.724180806855088</v>
      </c>
      <c r="AA589" s="170">
        <f t="shared" ref="AA589:AA613" si="307">IF(W589&lt;0,G589,1000000000)</f>
        <v>120230</v>
      </c>
      <c r="AB589" s="170">
        <f t="shared" ref="AB589:AB613" si="308">G589^2</f>
        <v>14455252900</v>
      </c>
      <c r="AD589" s="686">
        <f t="shared" ref="AD589:AD613" si="309">20*LOG10((Q589/(O589*S589))*Aea)</f>
        <v>14.272981914450886</v>
      </c>
      <c r="AE589" s="687">
        <f t="shared" ref="AE589:AE613" si="310">(R589-(P589+T589))*radconv</f>
        <v>-77.807022276626853</v>
      </c>
      <c r="AG589" s="686">
        <f t="shared" ref="AG589:AG613" si="311">20*LOG10((K589*M589/(I589*U589))*Acs*Am)</f>
        <v>5.6247572809354498</v>
      </c>
      <c r="AH589" s="687">
        <f t="shared" ref="AH589:AH613" si="312">(L589+N589-(J589+V589))*radconv</f>
        <v>-32.148759652138679</v>
      </c>
      <c r="AJ589" s="170">
        <f t="shared" ref="AJ589:AJ613" si="313">SUM((W590&lt;0)*(W589&gt;0))*G589</f>
        <v>0</v>
      </c>
      <c r="AK589" s="170">
        <f t="shared" si="293"/>
        <v>0</v>
      </c>
      <c r="AM589" s="170" t="str">
        <f t="shared" si="285"/>
        <v>1.90392239636534+0.427696506122214i</v>
      </c>
      <c r="AN589" s="170" t="str">
        <f t="shared" si="286"/>
        <v>2.69964974906901i</v>
      </c>
      <c r="AO589" s="170" t="str">
        <f t="shared" si="287"/>
        <v>0.158426664892254-0.705247929670106i</v>
      </c>
      <c r="AP589" s="170" t="str">
        <f t="shared" si="288"/>
        <v>-0.150653732727556-0.071282751020369i</v>
      </c>
      <c r="AQ589" s="170" t="str">
        <f t="shared" si="289"/>
        <v>1.15065373272756+0.071282751020369i</v>
      </c>
      <c r="AR589" s="170" t="str">
        <f t="shared" si="290"/>
        <v>0.721168611450829-0.044676240220329i</v>
      </c>
    </row>
    <row r="590" spans="7:44">
      <c r="G590" s="688">
        <v>126030</v>
      </c>
      <c r="H590" s="676">
        <f t="shared" ref="H590:H613" si="314">G590/1000</f>
        <v>126.03</v>
      </c>
      <c r="I590" s="677">
        <f t="shared" si="294"/>
        <v>658.12528064391643</v>
      </c>
      <c r="J590" s="678">
        <f t="shared" si="295"/>
        <v>1.5692768586720205</v>
      </c>
      <c r="K590" s="678">
        <f t="shared" si="296"/>
        <v>1.0150613773969317</v>
      </c>
      <c r="L590" s="679">
        <f t="shared" si="297"/>
        <v>0.17248036391531474</v>
      </c>
      <c r="M590" s="678">
        <f t="shared" si="298"/>
        <v>1.2033421801251074</v>
      </c>
      <c r="N590" s="679">
        <f t="shared" si="299"/>
        <v>-0.58985953316032913</v>
      </c>
      <c r="O590" s="677">
        <f t="shared" si="300"/>
        <v>2375609.5300772106</v>
      </c>
      <c r="P590" s="680">
        <f t="shared" si="301"/>
        <v>1.570795905850298</v>
      </c>
      <c r="Q590" s="689">
        <f t="shared" si="291"/>
        <v>318.33324771524377</v>
      </c>
      <c r="R590" s="690">
        <f t="shared" si="292"/>
        <v>1.5676549595268616</v>
      </c>
      <c r="S590" s="677">
        <f t="shared" si="302"/>
        <v>4.8785641058830329</v>
      </c>
      <c r="T590" s="680">
        <f t="shared" si="303"/>
        <v>1.3643547436177641</v>
      </c>
      <c r="U590" s="681">
        <f t="shared" ref="U590:U613" si="315">IMABS(IMPRODUCT(AO590, AR590))</f>
        <v>0.50146594051189886</v>
      </c>
      <c r="V590" s="682">
        <f t="shared" ref="V590:V613" si="316">IMARGUMENT(IMPRODUCT(AO590, AR590))</f>
        <v>-1.4590290271512585</v>
      </c>
      <c r="W590" s="683">
        <f t="shared" si="304"/>
        <v>-45.909146691348397</v>
      </c>
      <c r="X590" s="684">
        <f t="shared" si="305"/>
        <v>-275.77494303779611</v>
      </c>
      <c r="Y590" s="687">
        <f t="shared" si="306"/>
        <v>-95.774943037796106</v>
      </c>
      <c r="AA590" s="170">
        <f t="shared" si="307"/>
        <v>126030</v>
      </c>
      <c r="AB590" s="170">
        <f t="shared" si="308"/>
        <v>15883560900</v>
      </c>
      <c r="AD590" s="686">
        <f t="shared" si="309"/>
        <v>13.881748603809292</v>
      </c>
      <c r="AE590" s="687">
        <f t="shared" si="310"/>
        <v>-78.351731625491311</v>
      </c>
      <c r="AG590" s="686">
        <f t="shared" si="311"/>
        <v>5.7027888523119232</v>
      </c>
      <c r="AH590" s="687">
        <f t="shared" si="312"/>
        <v>-30.230800335568567</v>
      </c>
      <c r="AJ590" s="170">
        <f t="shared" si="313"/>
        <v>0</v>
      </c>
      <c r="AK590" s="170">
        <f t="shared" si="293"/>
        <v>0</v>
      </c>
      <c r="AM590" s="170" t="str">
        <f t="shared" ref="AM590:AM613" si="317">IMSUB(1,IMEXP(COMPLEX(0,-2*Pi*G590*Tsw)))</f>
        <v>1.95181069697474+0.306686154112724i</v>
      </c>
      <c r="AN590" s="170" t="str">
        <f t="shared" ref="AN590:AN613" si="318">COMPLEX(0, 2*Pi*G590*Tsw)</f>
        <v>2.82988320614794i</v>
      </c>
      <c r="AO590" s="170" t="str">
        <f t="shared" ref="AO590:AO613" si="319">IMDIV(AM590, AN590)</f>
        <v>0.108374138355409-0.689714223093878i</v>
      </c>
      <c r="AP590" s="170" t="str">
        <f t="shared" ref="AP590:AP613" si="320">IMDIV(IMEXP(COMPLEX(0,-2*Pi*G590*Tsw)),6)</f>
        <v>-0.158635116162457-0.0511143590187873i</v>
      </c>
      <c r="AQ590" s="170" t="str">
        <f t="shared" ref="AQ590:AQ613" si="321">IMSUB(1, AP590)</f>
        <v>1.15863511616246+0.0511143590187873i</v>
      </c>
      <c r="AR590" s="170" t="str">
        <f t="shared" ref="AR590:AR613" si="322">IMDIV(0.833, AQ590)</f>
        <v>0.717552863923153-0.0316555697215587i</v>
      </c>
    </row>
    <row r="591" spans="7:44">
      <c r="G591" s="688">
        <v>131830</v>
      </c>
      <c r="H591" s="676">
        <f t="shared" si="314"/>
        <v>131.83000000000001</v>
      </c>
      <c r="I591" s="677">
        <f t="shared" si="294"/>
        <v>688.41265673444457</v>
      </c>
      <c r="J591" s="678">
        <f t="shared" si="295"/>
        <v>1.5693437091797198</v>
      </c>
      <c r="K591" s="678">
        <f t="shared" si="296"/>
        <v>1.0164680529862331</v>
      </c>
      <c r="L591" s="679">
        <f t="shared" si="297"/>
        <v>0.18025086232330789</v>
      </c>
      <c r="M591" s="678">
        <f t="shared" si="298"/>
        <v>1.2207452253296136</v>
      </c>
      <c r="N591" s="679">
        <f t="shared" si="299"/>
        <v>-0.61083088512046835</v>
      </c>
      <c r="O591" s="677">
        <f t="shared" si="300"/>
        <v>2484936.9542972012</v>
      </c>
      <c r="P591" s="680">
        <f t="shared" si="301"/>
        <v>1.5707959243701999</v>
      </c>
      <c r="Q591" s="689">
        <f t="shared" si="291"/>
        <v>332.98305345710133</v>
      </c>
      <c r="R591" s="690">
        <f t="shared" si="292"/>
        <v>1.5677931664454994</v>
      </c>
      <c r="S591" s="677">
        <f t="shared" si="302"/>
        <v>5.0938453672214399</v>
      </c>
      <c r="T591" s="680">
        <f t="shared" si="303"/>
        <v>1.3731976099525098</v>
      </c>
      <c r="U591" s="681">
        <f t="shared" si="315"/>
        <v>0.48139780905453627</v>
      </c>
      <c r="V591" s="682">
        <f t="shared" si="316"/>
        <v>-1.505896282743024</v>
      </c>
      <c r="W591" s="683">
        <f t="shared" si="304"/>
        <v>-46.893030798268455</v>
      </c>
      <c r="X591" s="684">
        <f t="shared" si="305"/>
        <v>-279.71916373928383</v>
      </c>
      <c r="Y591" s="687">
        <f t="shared" si="306"/>
        <v>-99.719163739283829</v>
      </c>
      <c r="AA591" s="170">
        <f t="shared" si="307"/>
        <v>131830</v>
      </c>
      <c r="AB591" s="170">
        <f t="shared" si="308"/>
        <v>17379148900</v>
      </c>
      <c r="AD591" s="686">
        <f t="shared" si="309"/>
        <v>13.506670097465713</v>
      </c>
      <c r="AE591" s="687">
        <f t="shared" si="310"/>
        <v>-78.850472933815212</v>
      </c>
      <c r="AG591" s="686">
        <f t="shared" si="311"/>
        <v>5.8034765225150444</v>
      </c>
      <c r="AH591" s="687">
        <f t="shared" si="312"/>
        <v>-28.305687837057459</v>
      </c>
      <c r="AJ591" s="170">
        <f t="shared" si="313"/>
        <v>0</v>
      </c>
      <c r="AK591" s="170">
        <f t="shared" si="293"/>
        <v>0</v>
      </c>
      <c r="AM591" s="170" t="str">
        <f t="shared" si="317"/>
        <v>1.98357837528407+0.180481521695548i</v>
      </c>
      <c r="AN591" s="170" t="str">
        <f t="shared" si="318"/>
        <v>2.96011666322688i</v>
      </c>
      <c r="AO591" s="170" t="str">
        <f t="shared" si="319"/>
        <v>0.0609710839905889-0.670101418611567i</v>
      </c>
      <c r="AP591" s="170" t="str">
        <f t="shared" si="320"/>
        <v>-0.163929729214012-0.0300802536159247i</v>
      </c>
      <c r="AQ591" s="170" t="str">
        <f t="shared" si="321"/>
        <v>1.16392972921401+0.0300802536159247i</v>
      </c>
      <c r="AR591" s="170" t="str">
        <f t="shared" si="322"/>
        <v>0.715201263686802-0.0184834486637408i</v>
      </c>
    </row>
    <row r="592" spans="7:44">
      <c r="G592" s="688">
        <v>144540</v>
      </c>
      <c r="H592" s="676">
        <f t="shared" si="314"/>
        <v>144.54</v>
      </c>
      <c r="I592" s="677">
        <f t="shared" si="294"/>
        <v>754.78379544402048</v>
      </c>
      <c r="J592" s="678">
        <f t="shared" si="295"/>
        <v>1.5694714436977915</v>
      </c>
      <c r="K592" s="678">
        <f t="shared" si="296"/>
        <v>1.0197642580474269</v>
      </c>
      <c r="L592" s="679">
        <f t="shared" si="297"/>
        <v>0.19720108374770487</v>
      </c>
      <c r="M592" s="678">
        <f t="shared" si="298"/>
        <v>1.2606750745151403</v>
      </c>
      <c r="N592" s="679">
        <f t="shared" si="299"/>
        <v>-0.65470794160872092</v>
      </c>
      <c r="O592" s="677">
        <f t="shared" si="300"/>
        <v>2724514.8097861838</v>
      </c>
      <c r="P592" s="680">
        <f t="shared" si="301"/>
        <v>1.570795959757068</v>
      </c>
      <c r="Q592" s="689">
        <f t="shared" si="291"/>
        <v>365.08635405289215</v>
      </c>
      <c r="R592" s="690">
        <f t="shared" si="292"/>
        <v>1.5680572453712067</v>
      </c>
      <c r="S592" s="677">
        <f t="shared" si="302"/>
        <v>5.5668290193805658</v>
      </c>
      <c r="T592" s="680">
        <f t="shared" si="303"/>
        <v>1.3901804362449266</v>
      </c>
      <c r="U592" s="681">
        <f t="shared" si="315"/>
        <v>0.43968957060320935</v>
      </c>
      <c r="V592" s="682">
        <f t="shared" si="316"/>
        <v>-1.607925157085687</v>
      </c>
      <c r="W592" s="683">
        <f t="shared" si="304"/>
        <v>-48.943229528052889</v>
      </c>
      <c r="X592" s="684">
        <f t="shared" si="305"/>
        <v>-288.07301598109819</v>
      </c>
      <c r="Y592" s="687">
        <f t="shared" si="306"/>
        <v>-108.07301598109819</v>
      </c>
      <c r="AA592" s="170">
        <f t="shared" si="307"/>
        <v>144540</v>
      </c>
      <c r="AB592" s="170">
        <f t="shared" si="308"/>
        <v>20891811600</v>
      </c>
      <c r="AD592" s="686">
        <f t="shared" si="309"/>
        <v>12.735421002427483</v>
      </c>
      <c r="AE592" s="687">
        <f t="shared" si="310"/>
        <v>-79.808388625285886</v>
      </c>
      <c r="AG592" s="686">
        <f t="shared" si="311"/>
        <v>6.098844690143375</v>
      </c>
      <c r="AH592" s="687">
        <f t="shared" si="312"/>
        <v>-24.009976597431145</v>
      </c>
      <c r="AJ592" s="170">
        <f t="shared" si="313"/>
        <v>0</v>
      </c>
      <c r="AK592" s="170">
        <f t="shared" si="293"/>
        <v>0</v>
      </c>
      <c r="AM592" s="170" t="str">
        <f t="shared" si="317"/>
        <v>1.99460570215857-0.103727996383086i</v>
      </c>
      <c r="AN592" s="170" t="str">
        <f t="shared" si="318"/>
        <v>3.24550756658434i</v>
      </c>
      <c r="AO592" s="170" t="str">
        <f t="shared" si="319"/>
        <v>-0.0319604851490925-0.614574349693397i</v>
      </c>
      <c r="AP592" s="170" t="str">
        <f t="shared" si="320"/>
        <v>-0.165767617026429+0.017287999397181i</v>
      </c>
      <c r="AQ592" s="170" t="str">
        <f t="shared" si="321"/>
        <v>1.16576761702643-0.017287999397181i</v>
      </c>
      <c r="AR592" s="170" t="str">
        <f t="shared" si="322"/>
        <v>0.714393533006221+0.0105942511934448i</v>
      </c>
    </row>
    <row r="593" spans="7:44">
      <c r="G593" s="688">
        <v>158490</v>
      </c>
      <c r="H593" s="676">
        <f t="shared" si="314"/>
        <v>158.49</v>
      </c>
      <c r="I593" s="677">
        <f t="shared" si="294"/>
        <v>827.63017898982037</v>
      </c>
      <c r="J593" s="678">
        <f t="shared" si="295"/>
        <v>1.5695880573664669</v>
      </c>
      <c r="K593" s="678">
        <f t="shared" si="296"/>
        <v>1.0237169619270394</v>
      </c>
      <c r="L593" s="679">
        <f t="shared" si="297"/>
        <v>0.21567341764358447</v>
      </c>
      <c r="M593" s="678">
        <f t="shared" si="298"/>
        <v>1.3071118864135827</v>
      </c>
      <c r="N593" s="679">
        <f t="shared" si="299"/>
        <v>-0.69968442378843287</v>
      </c>
      <c r="O593" s="677">
        <f t="shared" si="300"/>
        <v>2987466.1145911678</v>
      </c>
      <c r="P593" s="680">
        <f t="shared" si="301"/>
        <v>1.5707959920630665</v>
      </c>
      <c r="Q593" s="689">
        <f t="shared" si="291"/>
        <v>400.32170835261184</v>
      </c>
      <c r="R593" s="690">
        <f t="shared" si="292"/>
        <v>1.5682983332583702</v>
      </c>
      <c r="S593" s="677">
        <f t="shared" si="302"/>
        <v>6.0875040690031215</v>
      </c>
      <c r="T593" s="680">
        <f t="shared" si="303"/>
        <v>1.4057774641442944</v>
      </c>
      <c r="U593" s="681">
        <f t="shared" si="315"/>
        <v>0.3967570219338557</v>
      </c>
      <c r="V593" s="682">
        <f t="shared" si="316"/>
        <v>-1.7208404909773212</v>
      </c>
      <c r="W593" s="683">
        <f t="shared" si="304"/>
        <v>-51.06477430605257</v>
      </c>
      <c r="X593" s="684">
        <f t="shared" si="305"/>
        <v>-296.947677776994</v>
      </c>
      <c r="Y593" s="687">
        <f t="shared" si="306"/>
        <v>-116.947677776994</v>
      </c>
      <c r="AA593" s="170">
        <f t="shared" si="307"/>
        <v>158490</v>
      </c>
      <c r="AB593" s="170">
        <f t="shared" si="308"/>
        <v>25119080100</v>
      </c>
      <c r="AD593" s="686">
        <f t="shared" si="309"/>
        <v>11.958787878973725</v>
      </c>
      <c r="AE593" s="687">
        <f t="shared" si="310"/>
        <v>-80.688221030443998</v>
      </c>
      <c r="AG593" s="686">
        <f t="shared" si="311"/>
        <v>6.5387947370878337</v>
      </c>
      <c r="AH593" s="687">
        <f t="shared" si="312"/>
        <v>-19.065661824781429</v>
      </c>
      <c r="AJ593" s="170">
        <f t="shared" si="313"/>
        <v>0</v>
      </c>
      <c r="AK593" s="170">
        <f t="shared" si="293"/>
        <v>0</v>
      </c>
      <c r="AM593" s="170" t="str">
        <f t="shared" si="317"/>
        <v>1.91424782125058-0.405155428617907i</v>
      </c>
      <c r="AN593" s="170" t="str">
        <f t="shared" si="318"/>
        <v>3.5587414849035i</v>
      </c>
      <c r="AO593" s="170" t="str">
        <f t="shared" si="319"/>
        <v>-0.113847951680844-0.53790021820101i</v>
      </c>
      <c r="AP593" s="170" t="str">
        <f t="shared" si="320"/>
        <v>-0.152374636875097+0.0675259047696512i</v>
      </c>
      <c r="AQ593" s="170" t="str">
        <f t="shared" si="321"/>
        <v>1.1523746368751-0.0675259047696512i</v>
      </c>
      <c r="AR593" s="170" t="str">
        <f t="shared" si="322"/>
        <v>0.720381677367248+0.0422123352832649i</v>
      </c>
    </row>
    <row r="594" spans="7:44">
      <c r="G594" s="688">
        <v>173780</v>
      </c>
      <c r="H594" s="676">
        <f t="shared" si="314"/>
        <v>173.78</v>
      </c>
      <c r="I594" s="677">
        <f t="shared" si="294"/>
        <v>907.47400367940963</v>
      </c>
      <c r="J594" s="678">
        <f t="shared" si="295"/>
        <v>1.5696943666303833</v>
      </c>
      <c r="K594" s="678">
        <f t="shared" si="296"/>
        <v>1.0284472936274351</v>
      </c>
      <c r="L594" s="679">
        <f t="shared" si="297"/>
        <v>0.23574942143863667</v>
      </c>
      <c r="M594" s="678">
        <f t="shared" si="298"/>
        <v>1.3608255199947901</v>
      </c>
      <c r="N594" s="679">
        <f t="shared" si="299"/>
        <v>-0.74535368953364245</v>
      </c>
      <c r="O594" s="677">
        <f t="shared" si="300"/>
        <v>3275675.8243021532</v>
      </c>
      <c r="P594" s="680">
        <f t="shared" si="301"/>
        <v>1.5707960215143824</v>
      </c>
      <c r="Q594" s="689">
        <f t="shared" si="291"/>
        <v>438.94169956138626</v>
      </c>
      <c r="R594" s="690">
        <f t="shared" si="292"/>
        <v>1.5685181179438372</v>
      </c>
      <c r="S594" s="677">
        <f t="shared" si="302"/>
        <v>6.6596158682850186</v>
      </c>
      <c r="T594" s="680">
        <f t="shared" si="303"/>
        <v>1.4200674237862327</v>
      </c>
      <c r="U594" s="681">
        <f t="shared" si="315"/>
        <v>0.35190032868812099</v>
      </c>
      <c r="V594" s="682">
        <f t="shared" si="316"/>
        <v>-1.8488885586227233</v>
      </c>
      <c r="W594" s="683">
        <f t="shared" si="304"/>
        <v>-53.297197199594073</v>
      </c>
      <c r="X594" s="684">
        <f t="shared" si="305"/>
        <v>-306.56293193418315</v>
      </c>
      <c r="Y594" s="687">
        <f t="shared" si="306"/>
        <v>-126.56293193418315</v>
      </c>
      <c r="AA594" s="170">
        <f t="shared" si="307"/>
        <v>173780</v>
      </c>
      <c r="AB594" s="170">
        <f t="shared" si="308"/>
        <v>30199488400</v>
      </c>
      <c r="AD594" s="686">
        <f t="shared" si="309"/>
        <v>11.178585021162444</v>
      </c>
      <c r="AE594" s="687">
        <f t="shared" si="310"/>
        <v>-81.494384360817747</v>
      </c>
      <c r="AG594" s="686">
        <f t="shared" si="311"/>
        <v>7.1707726732019523</v>
      </c>
      <c r="AH594" s="687">
        <f t="shared" si="312"/>
        <v>-13.201524933055801</v>
      </c>
      <c r="AJ594" s="170">
        <f t="shared" si="313"/>
        <v>0</v>
      </c>
      <c r="AK594" s="170">
        <f t="shared" si="293"/>
        <v>0</v>
      </c>
      <c r="AM594" s="170" t="str">
        <f t="shared" si="317"/>
        <v>1.72451133184908-0.689262888905441i</v>
      </c>
      <c r="AN594" s="170" t="str">
        <f t="shared" si="318"/>
        <v>3.90206382261676i</v>
      </c>
      <c r="AO594" s="170" t="str">
        <f t="shared" si="319"/>
        <v>-0.176640598472635-0.44194852012764i</v>
      </c>
      <c r="AP594" s="170" t="str">
        <f t="shared" si="320"/>
        <v>-0.120751888641513+0.114877148150907i</v>
      </c>
      <c r="AQ594" s="170" t="str">
        <f t="shared" si="321"/>
        <v>1.12075188864151-0.114877148150907i</v>
      </c>
      <c r="AR594" s="170" t="str">
        <f t="shared" si="322"/>
        <v>0.735523430176735+0.0753912038098765i</v>
      </c>
    </row>
    <row r="595" spans="7:44">
      <c r="G595" s="688">
        <v>190550</v>
      </c>
      <c r="H595" s="676">
        <f t="shared" si="314"/>
        <v>190.55</v>
      </c>
      <c r="I595" s="677">
        <f t="shared" si="294"/>
        <v>995.04634442648296</v>
      </c>
      <c r="J595" s="678">
        <f t="shared" si="295"/>
        <v>1.5697913483092898</v>
      </c>
      <c r="K595" s="678">
        <f t="shared" si="296"/>
        <v>1.0341074393413461</v>
      </c>
      <c r="L595" s="679">
        <f t="shared" si="297"/>
        <v>0.25754770527911591</v>
      </c>
      <c r="M595" s="678">
        <f t="shared" si="298"/>
        <v>1.4227394240096287</v>
      </c>
      <c r="N595" s="679">
        <f t="shared" si="299"/>
        <v>-0.79137291737654036</v>
      </c>
      <c r="O595" s="677">
        <f t="shared" si="300"/>
        <v>3591782.8767451397</v>
      </c>
      <c r="P595" s="680">
        <f t="shared" si="301"/>
        <v>1.570796048381631</v>
      </c>
      <c r="Q595" s="689">
        <f t="shared" si="291"/>
        <v>481.29994433817751</v>
      </c>
      <c r="R595" s="690">
        <f t="shared" si="292"/>
        <v>1.5687186188474049</v>
      </c>
      <c r="S595" s="677">
        <f t="shared" si="302"/>
        <v>7.2884115686811271</v>
      </c>
      <c r="T595" s="680">
        <f t="shared" si="303"/>
        <v>1.4331580546992795</v>
      </c>
      <c r="U595" s="681">
        <f t="shared" si="315"/>
        <v>0.3036319002220117</v>
      </c>
      <c r="V595" s="682">
        <f t="shared" si="316"/>
        <v>-1.9989078694439486</v>
      </c>
      <c r="W595" s="683">
        <f t="shared" si="304"/>
        <v>-55.728372123693582</v>
      </c>
      <c r="X595" s="684">
        <f t="shared" si="305"/>
        <v>-317.29027139630921</v>
      </c>
      <c r="Y595" s="687">
        <f t="shared" si="306"/>
        <v>-137.29027139630921</v>
      </c>
      <c r="AA595" s="170">
        <f t="shared" si="307"/>
        <v>190550</v>
      </c>
      <c r="AB595" s="170">
        <f t="shared" si="308"/>
        <v>36309302500</v>
      </c>
      <c r="AD595" s="686">
        <f t="shared" si="309"/>
        <v>10.394907041408025</v>
      </c>
      <c r="AE595" s="687">
        <f t="shared" si="310"/>
        <v>-82.232935947959689</v>
      </c>
      <c r="AG595" s="686">
        <f t="shared" si="311"/>
        <v>8.0861667267653985</v>
      </c>
      <c r="AH595" s="687">
        <f t="shared" si="312"/>
        <v>-5.9993660773613735</v>
      </c>
      <c r="AJ595" s="170">
        <f t="shared" si="313"/>
        <v>0</v>
      </c>
      <c r="AK595" s="170">
        <f t="shared" si="293"/>
        <v>0</v>
      </c>
      <c r="AM595" s="170" t="str">
        <f t="shared" si="317"/>
        <v>1.42029538989427-0.907387340243196i</v>
      </c>
      <c r="AN595" s="170" t="str">
        <f t="shared" si="318"/>
        <v>4.27861814592947i</v>
      </c>
      <c r="AO595" s="170" t="str">
        <f t="shared" si="319"/>
        <v>-0.21207485905384-0.331951892282206i</v>
      </c>
      <c r="AP595" s="170" t="str">
        <f t="shared" si="320"/>
        <v>-0.0700492316490452+0.151231223373866i</v>
      </c>
      <c r="AQ595" s="170" t="str">
        <f t="shared" si="321"/>
        <v>1.07004923164905-0.151231223373866i</v>
      </c>
      <c r="AR595" s="170" t="str">
        <f t="shared" si="322"/>
        <v>0.763223857643103+0.10786725908079i</v>
      </c>
    </row>
    <row r="596" spans="7:44">
      <c r="G596" s="688">
        <v>208930</v>
      </c>
      <c r="H596" s="676">
        <f t="shared" si="314"/>
        <v>208.93</v>
      </c>
      <c r="I596" s="677">
        <f t="shared" si="294"/>
        <v>1091.0260565836304</v>
      </c>
      <c r="J596" s="678">
        <f t="shared" si="295"/>
        <v>1.5698797582730157</v>
      </c>
      <c r="K596" s="678">
        <f t="shared" si="296"/>
        <v>1.0408687754095256</v>
      </c>
      <c r="L596" s="679">
        <f t="shared" si="297"/>
        <v>0.28115394151503298</v>
      </c>
      <c r="M596" s="678">
        <f t="shared" si="298"/>
        <v>1.4937529783613523</v>
      </c>
      <c r="N596" s="679">
        <f t="shared" si="299"/>
        <v>-0.83732180101901987</v>
      </c>
      <c r="O596" s="677">
        <f t="shared" si="300"/>
        <v>3938237.7141871275</v>
      </c>
      <c r="P596" s="680">
        <f t="shared" si="301"/>
        <v>1.5707960728742163</v>
      </c>
      <c r="Q596" s="689">
        <f t="shared" si="291"/>
        <v>527.72480116543306</v>
      </c>
      <c r="R596" s="690">
        <f t="shared" si="292"/>
        <v>1.5689013986121569</v>
      </c>
      <c r="S596" s="677">
        <f t="shared" si="302"/>
        <v>7.9787721359333572</v>
      </c>
      <c r="T596" s="680">
        <f t="shared" si="303"/>
        <v>1.4451332916675932</v>
      </c>
      <c r="U596" s="681">
        <f t="shared" si="315"/>
        <v>0.24943826081276529</v>
      </c>
      <c r="V596" s="682">
        <f t="shared" si="316"/>
        <v>-2.1811162805281441</v>
      </c>
      <c r="W596" s="683">
        <f t="shared" si="304"/>
        <v>-58.542286861442605</v>
      </c>
      <c r="X596" s="684">
        <f t="shared" si="305"/>
        <v>-329.69090870589599</v>
      </c>
      <c r="Y596" s="687">
        <f t="shared" si="306"/>
        <v>-149.69090870589599</v>
      </c>
      <c r="AA596" s="170">
        <f t="shared" si="307"/>
        <v>208930</v>
      </c>
      <c r="AB596" s="170">
        <f t="shared" si="308"/>
        <v>43651744900</v>
      </c>
      <c r="AD596" s="686">
        <f t="shared" si="309"/>
        <v>9.6088404172948305</v>
      </c>
      <c r="AE596" s="687">
        <f t="shared" si="310"/>
        <v>-82.908595379906245</v>
      </c>
      <c r="AG596" s="686">
        <f t="shared" si="311"/>
        <v>9.4736917235833129</v>
      </c>
      <c r="AH596" s="687">
        <f t="shared" si="312"/>
        <v>3.1552019626750316</v>
      </c>
      <c r="AJ596" s="170">
        <f t="shared" si="313"/>
        <v>0</v>
      </c>
      <c r="AK596" s="170">
        <f t="shared" si="293"/>
        <v>0</v>
      </c>
      <c r="AM596" s="170" t="str">
        <f t="shared" si="317"/>
        <v>1.02106394182772-0.999778130564316i</v>
      </c>
      <c r="AN596" s="170" t="str">
        <f t="shared" si="318"/>
        <v>4.69132348060374i</v>
      </c>
      <c r="AO596" s="170" t="str">
        <f t="shared" si="319"/>
        <v>-0.21311217073346-0.217649442859633i</v>
      </c>
      <c r="AP596" s="170" t="str">
        <f t="shared" si="320"/>
        <v>-0.00351065697128705+0.166629688427386i</v>
      </c>
      <c r="AQ596" s="170" t="str">
        <f t="shared" si="321"/>
        <v>1.00351065697129-0.166629688427386i</v>
      </c>
      <c r="AR596" s="170" t="str">
        <f t="shared" si="322"/>
        <v>0.80781321122669+0.134134762554974i</v>
      </c>
    </row>
    <row r="597" spans="7:44">
      <c r="G597" s="688">
        <v>229090</v>
      </c>
      <c r="H597" s="676">
        <f t="shared" si="314"/>
        <v>229.09</v>
      </c>
      <c r="I597" s="677">
        <f t="shared" si="294"/>
        <v>1196.3008741576627</v>
      </c>
      <c r="J597" s="678">
        <f t="shared" si="295"/>
        <v>1.5699604165836283</v>
      </c>
      <c r="K597" s="678">
        <f t="shared" si="296"/>
        <v>1.0489426586565112</v>
      </c>
      <c r="L597" s="679">
        <f t="shared" si="297"/>
        <v>0.30668051453334366</v>
      </c>
      <c r="M597" s="678">
        <f t="shared" si="298"/>
        <v>1.5749228770454566</v>
      </c>
      <c r="N597" s="679">
        <f t="shared" si="299"/>
        <v>-0.88285029404583193</v>
      </c>
      <c r="O597" s="677">
        <f t="shared" si="300"/>
        <v>4318244.7611311162</v>
      </c>
      <c r="P597" s="680">
        <f t="shared" si="301"/>
        <v>1.5707960952193247</v>
      </c>
      <c r="Q597" s="689">
        <f t="shared" si="291"/>
        <v>578.64566207886367</v>
      </c>
      <c r="R597" s="690">
        <f t="shared" si="292"/>
        <v>1.569068152605926</v>
      </c>
      <c r="S597" s="677">
        <f t="shared" si="302"/>
        <v>8.737087930460838</v>
      </c>
      <c r="T597" s="680">
        <f t="shared" si="303"/>
        <v>1.4560903413028781</v>
      </c>
      <c r="U597" s="681">
        <f t="shared" si="315"/>
        <v>0.18531424971426463</v>
      </c>
      <c r="V597" s="682">
        <f t="shared" si="316"/>
        <v>-2.4106843807344651</v>
      </c>
      <c r="W597" s="683">
        <f t="shared" si="304"/>
        <v>-62.185367906043687</v>
      </c>
      <c r="X597" s="684">
        <f t="shared" si="305"/>
        <v>-344.61307863526935</v>
      </c>
      <c r="Y597" s="687">
        <f t="shared" si="306"/>
        <v>-164.61307863526935</v>
      </c>
      <c r="AA597" s="170">
        <f t="shared" si="307"/>
        <v>229090</v>
      </c>
      <c r="AB597" s="170">
        <f t="shared" si="308"/>
        <v>52482228100</v>
      </c>
      <c r="AD597" s="686">
        <f t="shared" si="309"/>
        <v>8.8202249100728753</v>
      </c>
      <c r="AE597" s="687">
        <f t="shared" si="310"/>
        <v>-83.526835060850345</v>
      </c>
      <c r="AG597" s="686">
        <f t="shared" si="311"/>
        <v>11.781396352407718</v>
      </c>
      <c r="AH597" s="687">
        <f t="shared" si="312"/>
        <v>15.157838249622444</v>
      </c>
      <c r="AJ597" s="170">
        <f t="shared" si="313"/>
        <v>0</v>
      </c>
      <c r="AK597" s="170">
        <f t="shared" si="293"/>
        <v>0</v>
      </c>
      <c r="AM597" s="170" t="str">
        <f t="shared" si="317"/>
        <v>0.581668089527749-0.908294232438276i</v>
      </c>
      <c r="AN597" s="170" t="str">
        <f t="shared" si="318"/>
        <v>5.14399701417466i</v>
      </c>
      <c r="AO597" s="170" t="str">
        <f t="shared" si="319"/>
        <v>-0.176573631348425-0.113077065932371i</v>
      </c>
      <c r="AP597" s="170" t="str">
        <f t="shared" si="320"/>
        <v>0.0697219850787085+0.151382372073046i</v>
      </c>
      <c r="AQ597" s="170" t="str">
        <f t="shared" si="321"/>
        <v>0.930278014921291-0.151382372073046i</v>
      </c>
      <c r="AR597" s="170" t="str">
        <f t="shared" si="322"/>
        <v>0.872331526484701+0.141952850218145i</v>
      </c>
    </row>
    <row r="598" spans="7:44">
      <c r="G598" s="688">
        <v>251190</v>
      </c>
      <c r="H598" s="676">
        <f t="shared" si="314"/>
        <v>251.19</v>
      </c>
      <c r="I598" s="677">
        <f t="shared" si="294"/>
        <v>1311.7063115749911</v>
      </c>
      <c r="J598" s="678">
        <f t="shared" si="295"/>
        <v>1.5700339609451308</v>
      </c>
      <c r="K598" s="678">
        <f t="shared" si="296"/>
        <v>1.0585659253294368</v>
      </c>
      <c r="L598" s="679">
        <f t="shared" si="297"/>
        <v>0.33419617662260215</v>
      </c>
      <c r="M598" s="678">
        <f t="shared" si="298"/>
        <v>1.6672671283465299</v>
      </c>
      <c r="N598" s="679">
        <f t="shared" si="299"/>
        <v>-0.92756530109192437</v>
      </c>
      <c r="O598" s="677">
        <f t="shared" si="300"/>
        <v>4734819.9465211052</v>
      </c>
      <c r="P598" s="680">
        <f t="shared" si="301"/>
        <v>1.5707961155936236</v>
      </c>
      <c r="Q598" s="689">
        <f t="shared" si="291"/>
        <v>634.46666089777614</v>
      </c>
      <c r="R598" s="690">
        <f t="shared" si="292"/>
        <v>1.5692201991972465</v>
      </c>
      <c r="S598" s="677">
        <f t="shared" si="302"/>
        <v>9.5693815031549487</v>
      </c>
      <c r="T598" s="680">
        <f t="shared" si="303"/>
        <v>1.4661052302544784</v>
      </c>
      <c r="U598" s="681">
        <f t="shared" si="315"/>
        <v>0.10698641379740476</v>
      </c>
      <c r="V598" s="682">
        <f t="shared" si="316"/>
        <v>-2.7053150049783632</v>
      </c>
      <c r="W598" s="683">
        <f t="shared" si="304"/>
        <v>-67.972999637933981</v>
      </c>
      <c r="X598" s="684">
        <f t="shared" si="305"/>
        <v>-363.04893400736114</v>
      </c>
      <c r="Y598" s="687">
        <f t="shared" si="306"/>
        <v>-183.04893400736114</v>
      </c>
      <c r="AA598" s="170">
        <f t="shared" si="307"/>
        <v>251190</v>
      </c>
      <c r="AB598" s="170">
        <f t="shared" si="308"/>
        <v>63096416100</v>
      </c>
      <c r="AD598" s="686">
        <f t="shared" si="309"/>
        <v>8.0298794785437568</v>
      </c>
      <c r="AE598" s="687">
        <f t="shared" si="310"/>
        <v>-84.091935470104303</v>
      </c>
      <c r="AG598" s="686">
        <f t="shared" si="311"/>
        <v>16.327317471231456</v>
      </c>
      <c r="AH598" s="687">
        <f t="shared" si="312"/>
        <v>31.049265894323955</v>
      </c>
      <c r="AJ598" s="170">
        <f t="shared" si="313"/>
        <v>0</v>
      </c>
      <c r="AK598" s="170">
        <f t="shared" si="293"/>
        <v>0</v>
      </c>
      <c r="AM598" s="170" t="str">
        <f t="shared" si="317"/>
        <v>0.199671802576832-0.599562153916825i</v>
      </c>
      <c r="AN598" s="170" t="str">
        <f t="shared" si="318"/>
        <v>5.64023139373405i</v>
      </c>
      <c r="AO598" s="170" t="str">
        <f t="shared" si="319"/>
        <v>-0.106300985201228-0.0354013494550339i</v>
      </c>
      <c r="AP598" s="170" t="str">
        <f t="shared" si="320"/>
        <v>0.133388032903861+0.0999270256528042i</v>
      </c>
      <c r="AQ598" s="170" t="str">
        <f t="shared" si="321"/>
        <v>0.866611967096139-0.0999270256528042i</v>
      </c>
      <c r="AR598" s="170" t="str">
        <f t="shared" si="322"/>
        <v>0.948602029714605+0.109381110527727i</v>
      </c>
    </row>
    <row r="599" spans="7:44">
      <c r="G599" s="688">
        <v>275420</v>
      </c>
      <c r="H599" s="676">
        <f t="shared" si="314"/>
        <v>275.42</v>
      </c>
      <c r="I599" s="677">
        <f t="shared" si="294"/>
        <v>1438.2345422763681</v>
      </c>
      <c r="J599" s="678">
        <f t="shared" si="295"/>
        <v>1.5701010298518889</v>
      </c>
      <c r="K599" s="678">
        <f t="shared" si="296"/>
        <v>1.0700199060122879</v>
      </c>
      <c r="L599" s="679">
        <f t="shared" si="297"/>
        <v>0.36377013820853704</v>
      </c>
      <c r="M599" s="678">
        <f t="shared" si="298"/>
        <v>1.7719193243957017</v>
      </c>
      <c r="N599" s="679">
        <f t="shared" si="299"/>
        <v>-0.97113880606551406</v>
      </c>
      <c r="O599" s="677">
        <f t="shared" si="300"/>
        <v>5191544.685978096</v>
      </c>
      <c r="P599" s="680">
        <f t="shared" si="301"/>
        <v>1.5707961341739984</v>
      </c>
      <c r="Q599" s="689">
        <f t="shared" ref="Q599:Q613" si="323">SQRT(1+(G599/Zero2)^2)</f>
        <v>695.66770665537535</v>
      </c>
      <c r="R599" s="690">
        <f t="shared" ref="R599:R613" si="324">ATAN(G599/Zero2)</f>
        <v>1.569358858396092</v>
      </c>
      <c r="S599" s="677">
        <f t="shared" si="302"/>
        <v>10.482810957405871</v>
      </c>
      <c r="T599" s="680">
        <f t="shared" si="303"/>
        <v>1.4752567881871885</v>
      </c>
      <c r="U599" s="681">
        <f t="shared" si="315"/>
        <v>1.5959289564160234E-2</v>
      </c>
      <c r="V599" s="682">
        <f t="shared" si="316"/>
        <v>-3.072422017221164</v>
      </c>
      <c r="W599" s="683">
        <f t="shared" si="304"/>
        <v>-85.468788724805052</v>
      </c>
      <c r="X599" s="684">
        <f t="shared" si="305"/>
        <v>-385.40497610379958</v>
      </c>
      <c r="Y599" s="687">
        <f t="shared" si="306"/>
        <v>-205.40497610379958</v>
      </c>
      <c r="AA599" s="170">
        <f t="shared" si="307"/>
        <v>275420</v>
      </c>
      <c r="AB599" s="170">
        <f t="shared" si="308"/>
        <v>75856176400</v>
      </c>
      <c r="AD599" s="686">
        <f t="shared" si="309"/>
        <v>7.2379999635880621</v>
      </c>
      <c r="AE599" s="687">
        <f t="shared" si="310"/>
        <v>-84.608337593900686</v>
      </c>
      <c r="AG599" s="686">
        <f t="shared" si="311"/>
        <v>32.676010920607716</v>
      </c>
      <c r="AH599" s="687">
        <f t="shared" si="312"/>
        <v>51.276990832090739</v>
      </c>
      <c r="AJ599" s="170">
        <f t="shared" si="313"/>
        <v>0</v>
      </c>
      <c r="AK599" s="170">
        <f t="shared" ref="AK599:AK613" si="325">IF(AJ599&gt;0,Y599,0)</f>
        <v>0</v>
      </c>
      <c r="AM599" s="170" t="str">
        <f t="shared" si="317"/>
        <v>0.00488587149963604-0.0987313084029651i</v>
      </c>
      <c r="AN599" s="170" t="str">
        <f t="shared" si="318"/>
        <v>6.18429288770346i</v>
      </c>
      <c r="AO599" s="170" t="str">
        <f t="shared" si="319"/>
        <v>-0.015964850015315-0.00079004529513i</v>
      </c>
      <c r="AP599" s="170" t="str">
        <f t="shared" si="320"/>
        <v>0.165852354750061+0.0164552180671609i</v>
      </c>
      <c r="AQ599" s="170" t="str">
        <f t="shared" si="321"/>
        <v>0.834147645249939-0.0164552180671609i</v>
      </c>
      <c r="AR599" s="170" t="str">
        <f t="shared" si="322"/>
        <v>0.998235702772562+0.0196921807129555i</v>
      </c>
    </row>
    <row r="600" spans="7:44">
      <c r="G600" s="688">
        <v>302000</v>
      </c>
      <c r="H600" s="676">
        <f t="shared" si="314"/>
        <v>302</v>
      </c>
      <c r="I600" s="677">
        <f t="shared" si="294"/>
        <v>1577.0343987355948</v>
      </c>
      <c r="J600" s="678">
        <f t="shared" si="295"/>
        <v>1.5701622251749092</v>
      </c>
      <c r="K600" s="678">
        <f t="shared" si="296"/>
        <v>1.0836367178175665</v>
      </c>
      <c r="L600" s="679">
        <f t="shared" si="297"/>
        <v>0.3954625039901315</v>
      </c>
      <c r="M600" s="678">
        <f t="shared" si="298"/>
        <v>1.8901372412365194</v>
      </c>
      <c r="N600" s="679">
        <f t="shared" si="299"/>
        <v>-1.013301383263141</v>
      </c>
      <c r="O600" s="677">
        <f t="shared" si="300"/>
        <v>5692565.8818000881</v>
      </c>
      <c r="P600" s="680">
        <f t="shared" si="301"/>
        <v>1.5707961511271888</v>
      </c>
      <c r="Q600" s="689">
        <f t="shared" si="323"/>
        <v>762.80448363744017</v>
      </c>
      <c r="R600" s="690">
        <f t="shared" si="324"/>
        <v>1.5694853745025554</v>
      </c>
      <c r="S600" s="677">
        <f t="shared" si="302"/>
        <v>11.485672729880079</v>
      </c>
      <c r="T600" s="680">
        <f t="shared" si="303"/>
        <v>1.4836209616125022</v>
      </c>
      <c r="U600" s="681">
        <f t="shared" si="315"/>
        <v>7.0615623480926704E-2</v>
      </c>
      <c r="V600" s="682">
        <f t="shared" si="316"/>
        <v>-0.34195688268367452</v>
      </c>
      <c r="W600" s="683">
        <f t="shared" si="304"/>
        <v>-73.474023071894294</v>
      </c>
      <c r="X600" s="684">
        <f t="shared" si="305"/>
        <v>-230.03623673692104</v>
      </c>
      <c r="Y600" s="687">
        <f t="shared" si="306"/>
        <v>-50.03623673692104</v>
      </c>
      <c r="AA600" s="170">
        <f t="shared" si="307"/>
        <v>302000</v>
      </c>
      <c r="AB600" s="170">
        <f t="shared" si="308"/>
        <v>91204000000</v>
      </c>
      <c r="AD600" s="686">
        <f t="shared" si="309"/>
        <v>6.4444247844463467</v>
      </c>
      <c r="AE600" s="687">
        <f t="shared" si="310"/>
        <v>-85.08032156323145</v>
      </c>
      <c r="AG600" s="686">
        <f t="shared" si="311"/>
        <v>19.628862018992056</v>
      </c>
      <c r="AH600" s="687">
        <f t="shared" si="312"/>
        <v>-105.77054282246425</v>
      </c>
      <c r="AJ600" s="170">
        <f t="shared" si="313"/>
        <v>0</v>
      </c>
      <c r="AK600" s="170">
        <f t="shared" si="325"/>
        <v>0</v>
      </c>
      <c r="AM600" s="170" t="str">
        <f t="shared" si="317"/>
        <v>0.121429811359315+0.477613257387052i</v>
      </c>
      <c r="AN600" s="170" t="str">
        <f t="shared" si="318"/>
        <v>6.78112138583416i</v>
      </c>
      <c r="AO600" s="170" t="str">
        <f t="shared" si="319"/>
        <v>0.0704327839322847-0.0179070399201205i</v>
      </c>
      <c r="AP600" s="170" t="str">
        <f t="shared" si="320"/>
        <v>0.146428364773448-0.0796022095645087i</v>
      </c>
      <c r="AQ600" s="170" t="str">
        <f t="shared" si="321"/>
        <v>0.853571635226552+0.0796022095645087i</v>
      </c>
      <c r="AR600" s="170" t="str">
        <f t="shared" si="322"/>
        <v>0.967485111299116-0.0902255292957731i</v>
      </c>
    </row>
    <row r="601" spans="7:44">
      <c r="G601" s="688">
        <v>331130</v>
      </c>
      <c r="H601" s="676">
        <f t="shared" si="314"/>
        <v>331.13</v>
      </c>
      <c r="I601" s="677">
        <f t="shared" si="294"/>
        <v>1729.1502741536942</v>
      </c>
      <c r="J601" s="678">
        <f t="shared" si="295"/>
        <v>1.5702180080271819</v>
      </c>
      <c r="K601" s="678">
        <f t="shared" si="296"/>
        <v>1.0997766796597566</v>
      </c>
      <c r="L601" s="679">
        <f t="shared" si="297"/>
        <v>0.42925633906719085</v>
      </c>
      <c r="M601" s="678">
        <f t="shared" si="298"/>
        <v>2.0230788997217402</v>
      </c>
      <c r="N601" s="679">
        <f t="shared" si="299"/>
        <v>-1.0537714254369708</v>
      </c>
      <c r="O601" s="677">
        <f t="shared" si="300"/>
        <v>6241653.4451670805</v>
      </c>
      <c r="P601" s="680">
        <f t="shared" si="301"/>
        <v>1.5707961665809391</v>
      </c>
      <c r="Q601" s="689">
        <f t="shared" si="323"/>
        <v>836.38215946543892</v>
      </c>
      <c r="R601" s="690">
        <f t="shared" si="324"/>
        <v>1.5696007008158672</v>
      </c>
      <c r="S601" s="677">
        <f t="shared" si="302"/>
        <v>12.585514540582595</v>
      </c>
      <c r="T601" s="680">
        <f t="shared" si="303"/>
        <v>1.4912560570662465</v>
      </c>
      <c r="U601" s="681">
        <f t="shared" si="315"/>
        <v>0.12920733333008735</v>
      </c>
      <c r="V601" s="682">
        <f t="shared" si="316"/>
        <v>-0.737915960057281</v>
      </c>
      <c r="W601" s="683">
        <f t="shared" si="304"/>
        <v>-69.10161370305849</v>
      </c>
      <c r="X601" s="684">
        <f t="shared" si="305"/>
        <v>-253.53958728907801</v>
      </c>
      <c r="Y601" s="687">
        <f t="shared" si="306"/>
        <v>-73.539587289078014</v>
      </c>
      <c r="AA601" s="170">
        <f t="shared" si="307"/>
        <v>331130</v>
      </c>
      <c r="AB601" s="170">
        <f t="shared" si="308"/>
        <v>109647076900</v>
      </c>
      <c r="AD601" s="686">
        <f t="shared" si="309"/>
        <v>5.6501327626982984</v>
      </c>
      <c r="AE601" s="687">
        <f t="shared" si="310"/>
        <v>-85.511173483817927</v>
      </c>
      <c r="AG601" s="686">
        <f t="shared" si="311"/>
        <v>14.30010879526311</v>
      </c>
      <c r="AH601" s="687">
        <f t="shared" si="312"/>
        <v>-83.469473415384556</v>
      </c>
      <c r="AJ601" s="170">
        <f t="shared" si="313"/>
        <v>0</v>
      </c>
      <c r="AK601" s="170">
        <f t="shared" si="325"/>
        <v>0</v>
      </c>
      <c r="AM601" s="170" t="str">
        <f t="shared" si="317"/>
        <v>0.593359357719344+0.913588193906629i</v>
      </c>
      <c r="AN601" s="170" t="str">
        <f t="shared" si="318"/>
        <v>7.43520769699094i</v>
      </c>
      <c r="AO601" s="170" t="str">
        <f t="shared" si="319"/>
        <v>0.122873258036405-0.079804005738734i</v>
      </c>
      <c r="AP601" s="170" t="str">
        <f t="shared" si="320"/>
        <v>0.0677734403801093-0.152264698984438i</v>
      </c>
      <c r="AQ601" s="170" t="str">
        <f t="shared" si="321"/>
        <v>0.932226559619891+0.152264698984438i</v>
      </c>
      <c r="AR601" s="170" t="str">
        <f t="shared" si="322"/>
        <v>0.870340543864943-0.142156581528403i</v>
      </c>
    </row>
    <row r="602" spans="7:44">
      <c r="G602" s="688">
        <v>363080</v>
      </c>
      <c r="H602" s="676">
        <f t="shared" si="314"/>
        <v>363.08</v>
      </c>
      <c r="I602" s="677">
        <f t="shared" si="294"/>
        <v>1895.9920994032962</v>
      </c>
      <c r="J602" s="678">
        <f t="shared" si="295"/>
        <v>1.5702688984123214</v>
      </c>
      <c r="K602" s="678">
        <f t="shared" si="296"/>
        <v>1.118878598516412</v>
      </c>
      <c r="L602" s="679">
        <f t="shared" si="297"/>
        <v>0.46515508046044324</v>
      </c>
      <c r="M602" s="678">
        <f t="shared" si="298"/>
        <v>2.1722077399443038</v>
      </c>
      <c r="N602" s="679">
        <f t="shared" si="299"/>
        <v>-1.0923943754005063</v>
      </c>
      <c r="O602" s="677">
        <f t="shared" si="300"/>
        <v>6843896.756172074</v>
      </c>
      <c r="P602" s="680">
        <f t="shared" si="301"/>
        <v>1.5707961806793085</v>
      </c>
      <c r="Q602" s="689">
        <f t="shared" si="323"/>
        <v>917.08271053430474</v>
      </c>
      <c r="R602" s="690">
        <f t="shared" si="324"/>
        <v>1.5697059123898702</v>
      </c>
      <c r="S602" s="677">
        <f t="shared" si="302"/>
        <v>13.792531748783947</v>
      </c>
      <c r="T602" s="680">
        <f t="shared" si="303"/>
        <v>1.4982296500247676</v>
      </c>
      <c r="U602" s="681">
        <f t="shared" si="315"/>
        <v>0.15492661271565672</v>
      </c>
      <c r="V602" s="682">
        <f t="shared" si="316"/>
        <v>-1.0854075955708611</v>
      </c>
      <c r="W602" s="683">
        <f t="shared" si="304"/>
        <v>-68.353033604300023</v>
      </c>
      <c r="X602" s="684">
        <f t="shared" si="305"/>
        <v>-274.00192297455914</v>
      </c>
      <c r="Y602" s="687">
        <f t="shared" si="306"/>
        <v>-94.001922974559136</v>
      </c>
      <c r="AA602" s="170">
        <f t="shared" si="307"/>
        <v>363080</v>
      </c>
      <c r="AB602" s="170">
        <f t="shared" si="308"/>
        <v>131827086400</v>
      </c>
      <c r="AD602" s="686">
        <f t="shared" si="309"/>
        <v>4.8546713866264151</v>
      </c>
      <c r="AE602" s="687">
        <f t="shared" si="310"/>
        <v>-85.904703557463762</v>
      </c>
      <c r="AG602" s="686">
        <f t="shared" si="311"/>
        <v>12.690595776201146</v>
      </c>
      <c r="AH602" s="687">
        <f t="shared" si="312"/>
        <v>-63.718670719666406</v>
      </c>
      <c r="AJ602" s="170">
        <f t="shared" si="313"/>
        <v>0</v>
      </c>
      <c r="AK602" s="170">
        <f t="shared" si="325"/>
        <v>0</v>
      </c>
      <c r="AM602" s="170" t="str">
        <f t="shared" si="317"/>
        <v>1.29421377491076+0.955739637481233i</v>
      </c>
      <c r="AN602" s="170" t="str">
        <f t="shared" si="318"/>
        <v>8.15261441314128i</v>
      </c>
      <c r="AO602" s="170" t="str">
        <f t="shared" si="319"/>
        <v>0.117231060988321-0.15874831180837i</v>
      </c>
      <c r="AP602" s="170" t="str">
        <f t="shared" si="320"/>
        <v>-0.0490356291517938-0.159289939580206i</v>
      </c>
      <c r="AQ602" s="170" t="str">
        <f t="shared" si="321"/>
        <v>1.04903562915179+0.159289939580206i</v>
      </c>
      <c r="AR602" s="170" t="str">
        <f t="shared" si="322"/>
        <v>0.77616683150075-0.117856404738018i</v>
      </c>
    </row>
    <row r="603" spans="7:44">
      <c r="G603" s="688">
        <v>398110</v>
      </c>
      <c r="H603" s="676">
        <f t="shared" si="314"/>
        <v>398.11</v>
      </c>
      <c r="I603" s="677">
        <f t="shared" si="294"/>
        <v>2078.9175857400051</v>
      </c>
      <c r="J603" s="678">
        <f t="shared" si="295"/>
        <v>1.5703153072271068</v>
      </c>
      <c r="K603" s="678">
        <f t="shared" si="296"/>
        <v>1.1414195672330325</v>
      </c>
      <c r="L603" s="679">
        <f t="shared" si="297"/>
        <v>0.5030794627182118</v>
      </c>
      <c r="M603" s="678">
        <f t="shared" si="298"/>
        <v>2.3389355852337972</v>
      </c>
      <c r="N603" s="679">
        <f t="shared" si="299"/>
        <v>-1.1290211268701478</v>
      </c>
      <c r="O603" s="677">
        <f t="shared" si="300"/>
        <v>7504196.6993490681</v>
      </c>
      <c r="P603" s="680">
        <f t="shared" si="301"/>
        <v>1.5707961935361296</v>
      </c>
      <c r="Q603" s="689">
        <f t="shared" si="323"/>
        <v>1005.5628549468488</v>
      </c>
      <c r="R603" s="690">
        <f t="shared" si="324"/>
        <v>1.5698018587117646</v>
      </c>
      <c r="S603" s="677">
        <f t="shared" si="302"/>
        <v>15.116547966747993</v>
      </c>
      <c r="T603" s="680">
        <f t="shared" si="303"/>
        <v>1.5045953128541665</v>
      </c>
      <c r="U603" s="681">
        <f t="shared" si="315"/>
        <v>0.15730336802793091</v>
      </c>
      <c r="V603" s="682">
        <f t="shared" si="316"/>
        <v>-1.3956900092340792</v>
      </c>
      <c r="W603" s="683">
        <f t="shared" si="304"/>
        <v>-69.001397214147872</v>
      </c>
      <c r="X603" s="684">
        <f t="shared" si="305"/>
        <v>-292.06733504819522</v>
      </c>
      <c r="Y603" s="687">
        <f t="shared" si="306"/>
        <v>-112.06733504819522</v>
      </c>
      <c r="AA603" s="170">
        <f t="shared" si="307"/>
        <v>398110</v>
      </c>
      <c r="AB603" s="170">
        <f t="shared" si="308"/>
        <v>158491572100</v>
      </c>
      <c r="AD603" s="686">
        <f t="shared" si="309"/>
        <v>4.0584978349485175</v>
      </c>
      <c r="AE603" s="687">
        <f t="shared" si="310"/>
        <v>-86.263932589139344</v>
      </c>
      <c r="AG603" s="686">
        <f t="shared" si="311"/>
        <v>12.573925887482602</v>
      </c>
      <c r="AH603" s="687">
        <f t="shared" si="312"/>
        <v>-45.869108200929048</v>
      </c>
      <c r="AJ603" s="170">
        <f t="shared" si="313"/>
        <v>0</v>
      </c>
      <c r="AK603" s="170">
        <f t="shared" si="325"/>
        <v>0</v>
      </c>
      <c r="AM603" s="170" t="str">
        <f t="shared" si="317"/>
        <v>1.88439582333667+0.466737643290806i</v>
      </c>
      <c r="AN603" s="170" t="str">
        <f t="shared" si="318"/>
        <v>8.93917958580939i</v>
      </c>
      <c r="AO603" s="170" t="str">
        <f t="shared" si="319"/>
        <v>0.05221258156976-0.210801875636113i</v>
      </c>
      <c r="AP603" s="170" t="str">
        <f t="shared" si="320"/>
        <v>-0.147399303889445-0.0777896072151343i</v>
      </c>
      <c r="AQ603" s="170" t="str">
        <f t="shared" si="321"/>
        <v>1.14739930388944+0.0777896072151343i</v>
      </c>
      <c r="AR603" s="170" t="str">
        <f t="shared" si="322"/>
        <v>0.722667991488163-0.0489943291879765i</v>
      </c>
    </row>
    <row r="604" spans="7:44">
      <c r="G604" s="688">
        <v>436520</v>
      </c>
      <c r="H604" s="676">
        <f t="shared" si="314"/>
        <v>436.52</v>
      </c>
      <c r="I604" s="677">
        <f t="shared" si="294"/>
        <v>2279.4933231120262</v>
      </c>
      <c r="J604" s="678">
        <f t="shared" si="295"/>
        <v>1.5703576328000792</v>
      </c>
      <c r="K604" s="678">
        <f t="shared" si="296"/>
        <v>1.1679443007179133</v>
      </c>
      <c r="L604" s="679">
        <f t="shared" si="297"/>
        <v>0.54291716583645155</v>
      </c>
      <c r="M604" s="678">
        <f t="shared" si="298"/>
        <v>2.5248550982527473</v>
      </c>
      <c r="N604" s="679">
        <f t="shared" si="299"/>
        <v>-1.163571820656762</v>
      </c>
      <c r="O604" s="677">
        <f t="shared" si="300"/>
        <v>8228208.1414680611</v>
      </c>
      <c r="P604" s="680">
        <f t="shared" si="301"/>
        <v>1.5707962052617532</v>
      </c>
      <c r="Q604" s="689">
        <f t="shared" si="323"/>
        <v>1102.5803444384974</v>
      </c>
      <c r="R604" s="690">
        <f t="shared" si="324"/>
        <v>1.5698893632868482</v>
      </c>
      <c r="S604" s="677">
        <f t="shared" si="302"/>
        <v>16.56890290836952</v>
      </c>
      <c r="T604" s="680">
        <f t="shared" si="303"/>
        <v>1.5104055994030934</v>
      </c>
      <c r="U604" s="681">
        <f t="shared" si="315"/>
        <v>0.14435694244473415</v>
      </c>
      <c r="V604" s="682">
        <f t="shared" si="316"/>
        <v>-1.7061725178277767</v>
      </c>
      <c r="W604" s="683">
        <f t="shared" si="304"/>
        <v>-70.480348108245906</v>
      </c>
      <c r="X604" s="684">
        <f t="shared" si="305"/>
        <v>-309.88406610535884</v>
      </c>
      <c r="Y604" s="687">
        <f t="shared" si="306"/>
        <v>-129.88406610535884</v>
      </c>
      <c r="AA604" s="170">
        <f t="shared" si="307"/>
        <v>436520</v>
      </c>
      <c r="AB604" s="170">
        <f t="shared" si="308"/>
        <v>190549710400</v>
      </c>
      <c r="AD604" s="686">
        <f t="shared" si="309"/>
        <v>3.261674580969645</v>
      </c>
      <c r="AE604" s="687">
        <f t="shared" si="310"/>
        <v>-86.591824515517544</v>
      </c>
      <c r="AG604" s="686">
        <f t="shared" si="311"/>
        <v>13.383812107994551</v>
      </c>
      <c r="AH604" s="687">
        <f t="shared" si="312"/>
        <v>-27.779272580953592</v>
      </c>
      <c r="AJ604" s="170">
        <f t="shared" si="313"/>
        <v>0</v>
      </c>
      <c r="AK604" s="170">
        <f t="shared" si="325"/>
        <v>0</v>
      </c>
      <c r="AM604" s="170" t="str">
        <f t="shared" si="317"/>
        <v>1.92982420575604-0.368004003225707i</v>
      </c>
      <c r="AN604" s="170" t="str">
        <f t="shared" si="318"/>
        <v>9.80163942829247i</v>
      </c>
      <c r="AO604" s="170" t="str">
        <f t="shared" si="319"/>
        <v>-0.0375451480252846-0.19688790022061i</v>
      </c>
      <c r="AP604" s="170" t="str">
        <f t="shared" si="320"/>
        <v>-0.15497070095934+0.0613340005376178i</v>
      </c>
      <c r="AQ604" s="170" t="str">
        <f t="shared" si="321"/>
        <v>1.15497070095934-0.0613340005376178i</v>
      </c>
      <c r="AR604" s="170" t="str">
        <f t="shared" si="322"/>
        <v>0.719202212617927+0.0381927860669747i</v>
      </c>
    </row>
    <row r="605" spans="7:44">
      <c r="G605" s="688">
        <v>478630</v>
      </c>
      <c r="H605" s="676">
        <f t="shared" si="314"/>
        <v>478.63</v>
      </c>
      <c r="I605" s="677">
        <f t="shared" si="294"/>
        <v>2499.3903408328438</v>
      </c>
      <c r="J605" s="678">
        <f t="shared" si="295"/>
        <v>1.5703962292149618</v>
      </c>
      <c r="K605" s="678">
        <f t="shared" si="296"/>
        <v>1.1990532126286451</v>
      </c>
      <c r="L605" s="679">
        <f t="shared" si="297"/>
        <v>0.58449408754562537</v>
      </c>
      <c r="M605" s="678">
        <f t="shared" si="298"/>
        <v>2.7316509893237124</v>
      </c>
      <c r="N605" s="679">
        <f t="shared" si="299"/>
        <v>-1.1960043251468648</v>
      </c>
      <c r="O605" s="677">
        <f t="shared" si="300"/>
        <v>9021962.9404170569</v>
      </c>
      <c r="P605" s="680">
        <f t="shared" si="301"/>
        <v>1.5707962159542728</v>
      </c>
      <c r="Q605" s="689">
        <f t="shared" si="323"/>
        <v>1208.9434476002245</v>
      </c>
      <c r="R605" s="690">
        <f t="shared" si="324"/>
        <v>1.5699691581493991</v>
      </c>
      <c r="S605" s="677">
        <f t="shared" si="302"/>
        <v>18.161696875195648</v>
      </c>
      <c r="T605" s="680">
        <f t="shared" si="303"/>
        <v>1.515707532951396</v>
      </c>
      <c r="U605" s="681">
        <f t="shared" si="315"/>
        <v>0.11614218791817897</v>
      </c>
      <c r="V605" s="682">
        <f t="shared" si="316"/>
        <v>-2.0780327813097816</v>
      </c>
      <c r="W605" s="683">
        <f t="shared" si="304"/>
        <v>-73.054369254229485</v>
      </c>
      <c r="X605" s="684">
        <f t="shared" si="305"/>
        <v>-330.96757181387136</v>
      </c>
      <c r="Y605" s="687">
        <f t="shared" si="306"/>
        <v>-150.96757181387136</v>
      </c>
      <c r="AA605" s="170">
        <f t="shared" si="307"/>
        <v>478630</v>
      </c>
      <c r="AB605" s="170">
        <f t="shared" si="308"/>
        <v>229086676900</v>
      </c>
      <c r="AD605" s="686">
        <f t="shared" si="309"/>
        <v>2.4644205832334021</v>
      </c>
      <c r="AE605" s="687">
        <f t="shared" si="310"/>
        <v>-86.891031635221225</v>
      </c>
      <c r="AG605" s="686">
        <f t="shared" si="311"/>
        <v>15.38495183051934</v>
      </c>
      <c r="AH605" s="687">
        <f t="shared" si="312"/>
        <v>-5.9515237887876804</v>
      </c>
      <c r="AJ605" s="170">
        <f t="shared" si="313"/>
        <v>0</v>
      </c>
      <c r="AK605" s="170">
        <f t="shared" si="325"/>
        <v>0</v>
      </c>
      <c r="AM605" s="170" t="str">
        <f t="shared" si="317"/>
        <v>1.24584858799588-0.969308243945358i</v>
      </c>
      <c r="AN605" s="170" t="str">
        <f t="shared" si="318"/>
        <v>10.7471792347742i</v>
      </c>
      <c r="AO605" s="170" t="str">
        <f t="shared" si="319"/>
        <v>-0.0901918747952958-0.115923309808097i</v>
      </c>
      <c r="AP605" s="170" t="str">
        <f t="shared" si="320"/>
        <v>-0.0409747646659793+0.161551373990893i</v>
      </c>
      <c r="AQ605" s="170" t="str">
        <f t="shared" si="321"/>
        <v>1.04097476466598-0.161551373990893i</v>
      </c>
      <c r="AR605" s="170" t="str">
        <f t="shared" si="322"/>
        <v>0.781391945040254+0.121266092734894i</v>
      </c>
    </row>
    <row r="606" spans="7:44">
      <c r="G606" s="688">
        <v>524810</v>
      </c>
      <c r="H606" s="676">
        <f t="shared" si="314"/>
        <v>524.80999999999995</v>
      </c>
      <c r="I606" s="677">
        <f t="shared" si="294"/>
        <v>2740.5407665814669</v>
      </c>
      <c r="J606" s="678">
        <f t="shared" si="295"/>
        <v>1.5704314352981581</v>
      </c>
      <c r="K606" s="678">
        <f t="shared" si="296"/>
        <v>1.2354233414167757</v>
      </c>
      <c r="L606" s="679">
        <f t="shared" si="297"/>
        <v>0.62759998796289207</v>
      </c>
      <c r="M606" s="678">
        <f t="shared" si="298"/>
        <v>2.9612516497197627</v>
      </c>
      <c r="N606" s="679">
        <f t="shared" si="299"/>
        <v>-1.2263293205183863</v>
      </c>
      <c r="O606" s="677">
        <f t="shared" si="300"/>
        <v>9892435.431879051</v>
      </c>
      <c r="P606" s="680">
        <f t="shared" si="301"/>
        <v>1.5707962257075549</v>
      </c>
      <c r="Q606" s="689">
        <f t="shared" si="323"/>
        <v>1325.5867250633059</v>
      </c>
      <c r="R606" s="690">
        <f t="shared" si="324"/>
        <v>1.5700419437915505</v>
      </c>
      <c r="S606" s="677">
        <f t="shared" si="302"/>
        <v>19.908925442484676</v>
      </c>
      <c r="T606" s="680">
        <f t="shared" si="303"/>
        <v>1.5205464542684592</v>
      </c>
      <c r="U606" s="681">
        <f t="shared" si="315"/>
        <v>6.0588486181966952E-2</v>
      </c>
      <c r="V606" s="682">
        <f t="shared" si="316"/>
        <v>-2.6180090764389337</v>
      </c>
      <c r="W606" s="683">
        <f t="shared" si="304"/>
        <v>-79.343690315584766</v>
      </c>
      <c r="X606" s="684">
        <f t="shared" si="305"/>
        <v>-361.44873985679487</v>
      </c>
      <c r="Y606" s="687">
        <f t="shared" si="306"/>
        <v>-181.44873985679487</v>
      </c>
      <c r="AA606" s="170">
        <f t="shared" si="307"/>
        <v>524810</v>
      </c>
      <c r="AB606" s="170">
        <f t="shared" si="308"/>
        <v>275425536100</v>
      </c>
      <c r="AD606" s="686">
        <f t="shared" si="309"/>
        <v>1.6665921369347068</v>
      </c>
      <c r="AE606" s="687">
        <f t="shared" si="310"/>
        <v>-87.164111653114361</v>
      </c>
      <c r="AG606" s="686">
        <f t="shared" si="311"/>
        <v>21.197455273586648</v>
      </c>
      <c r="AH606" s="687">
        <f t="shared" si="312"/>
        <v>25.7171137529083</v>
      </c>
      <c r="AJ606" s="170">
        <f t="shared" si="313"/>
        <v>0</v>
      </c>
      <c r="AK606" s="170">
        <f t="shared" si="325"/>
        <v>0</v>
      </c>
      <c r="AM606" s="170" t="str">
        <f t="shared" si="317"/>
        <v>0.290680234195778-0.704886848961905i</v>
      </c>
      <c r="AN606" s="170" t="str">
        <f t="shared" si="318"/>
        <v>11.7841070016544i</v>
      </c>
      <c r="AO606" s="170" t="str">
        <f t="shared" si="319"/>
        <v>-0.0598167386686954-0.0246671414435535i</v>
      </c>
      <c r="AP606" s="170" t="str">
        <f t="shared" si="320"/>
        <v>0.11821996096737+0.117481141493651i</v>
      </c>
      <c r="AQ606" s="170" t="str">
        <f t="shared" si="321"/>
        <v>0.88178003903263-0.117481141493651i</v>
      </c>
      <c r="AR606" s="170" t="str">
        <f t="shared" si="322"/>
        <v>0.928203759103209+0.123666257264991i</v>
      </c>
    </row>
    <row r="607" spans="7:44">
      <c r="G607" s="688">
        <v>575440</v>
      </c>
      <c r="H607" s="676">
        <f t="shared" si="314"/>
        <v>575.44000000000005</v>
      </c>
      <c r="I607" s="677">
        <f t="shared" si="294"/>
        <v>3004.9289477333114</v>
      </c>
      <c r="J607" s="678">
        <f t="shared" si="295"/>
        <v>1.5704635402179588</v>
      </c>
      <c r="K607" s="678">
        <f t="shared" si="296"/>
        <v>1.27777569190532</v>
      </c>
      <c r="L607" s="679">
        <f t="shared" si="297"/>
        <v>0.67194884425064771</v>
      </c>
      <c r="M607" s="678">
        <f t="shared" si="298"/>
        <v>3.2156364298293627</v>
      </c>
      <c r="N607" s="679">
        <f t="shared" si="299"/>
        <v>-1.2545718885901509</v>
      </c>
      <c r="O607" s="677">
        <f t="shared" si="300"/>
        <v>10846788.447096048</v>
      </c>
      <c r="P607" s="680">
        <f t="shared" si="301"/>
        <v>1.5707962346017093</v>
      </c>
      <c r="Q607" s="689">
        <f t="shared" si="323"/>
        <v>1453.4699959152542</v>
      </c>
      <c r="R607" s="690">
        <f t="shared" si="324"/>
        <v>1.5701083180422544</v>
      </c>
      <c r="S607" s="677">
        <f t="shared" si="302"/>
        <v>21.824966358068572</v>
      </c>
      <c r="T607" s="680">
        <f t="shared" si="303"/>
        <v>1.5249611941005956</v>
      </c>
      <c r="U607" s="681">
        <f t="shared" si="315"/>
        <v>2.6889629513338394E-2</v>
      </c>
      <c r="V607" s="682">
        <f t="shared" si="316"/>
        <v>-0.24577191095849971</v>
      </c>
      <c r="W607" s="683">
        <f t="shared" si="304"/>
        <v>-86.989261583181147</v>
      </c>
      <c r="X607" s="684">
        <f t="shared" si="305"/>
        <v>-224.85772275781267</v>
      </c>
      <c r="Y607" s="687">
        <f t="shared" si="306"/>
        <v>-44.857722757812667</v>
      </c>
      <c r="AA607" s="170">
        <f t="shared" si="307"/>
        <v>575440</v>
      </c>
      <c r="AB607" s="170">
        <f t="shared" si="308"/>
        <v>331131193600</v>
      </c>
      <c r="AD607" s="686">
        <f t="shared" si="309"/>
        <v>0.86847646635883469</v>
      </c>
      <c r="AE607" s="687">
        <f t="shared" si="310"/>
        <v>-87.413255158592577</v>
      </c>
      <c r="AG607" s="686">
        <f t="shared" si="311"/>
        <v>28.462211002391513</v>
      </c>
      <c r="AH607" s="687">
        <f t="shared" si="312"/>
        <v>-109.28108112546455</v>
      </c>
      <c r="AJ607" s="170">
        <f t="shared" si="313"/>
        <v>0</v>
      </c>
      <c r="AK607" s="170">
        <f t="shared" si="325"/>
        <v>0</v>
      </c>
      <c r="AM607" s="170" t="str">
        <f t="shared" si="317"/>
        <v>0.062209220897927+0.347200885124342i</v>
      </c>
      <c r="AN607" s="170" t="str">
        <f t="shared" si="318"/>
        <v>12.9209552657762i</v>
      </c>
      <c r="AO607" s="170" t="str">
        <f t="shared" si="319"/>
        <v>0.0268711467521271-0.00481459920093531i</v>
      </c>
      <c r="AP607" s="170" t="str">
        <f t="shared" si="320"/>
        <v>0.156298463183679-0.0578668141873903i</v>
      </c>
      <c r="AQ607" s="170" t="str">
        <f t="shared" si="321"/>
        <v>0.843701536816321+0.0578668141873903i</v>
      </c>
      <c r="AR607" s="170" t="str">
        <f t="shared" si="322"/>
        <v>0.98269322896717-0.0673998137995922i</v>
      </c>
    </row>
    <row r="608" spans="7:44">
      <c r="G608" s="688">
        <v>630960</v>
      </c>
      <c r="H608" s="676">
        <f t="shared" si="314"/>
        <v>630.96</v>
      </c>
      <c r="I608" s="677">
        <f t="shared" si="294"/>
        <v>3294.8525496983034</v>
      </c>
      <c r="J608" s="678">
        <f t="shared" si="295"/>
        <v>1.5704928230719626</v>
      </c>
      <c r="K608" s="678">
        <f t="shared" si="296"/>
        <v>1.3269106345203403</v>
      </c>
      <c r="L608" s="679">
        <f t="shared" si="297"/>
        <v>0.71722860485826179</v>
      </c>
      <c r="M608" s="678">
        <f t="shared" si="298"/>
        <v>3.4970879021732526</v>
      </c>
      <c r="N608" s="679">
        <f t="shared" si="299"/>
        <v>-1.2807963467926231</v>
      </c>
      <c r="O608" s="677">
        <f t="shared" si="300"/>
        <v>11893315.790664043</v>
      </c>
      <c r="P608" s="680">
        <f t="shared" si="301"/>
        <v>1.5707962427140552</v>
      </c>
      <c r="Q608" s="689">
        <f t="shared" si="323"/>
        <v>1593.7046296834287</v>
      </c>
      <c r="R608" s="690">
        <f t="shared" si="324"/>
        <v>1.5701688579107671</v>
      </c>
      <c r="S608" s="677">
        <f t="shared" si="302"/>
        <v>23.92647122961802</v>
      </c>
      <c r="T608" s="680">
        <f t="shared" si="303"/>
        <v>1.5289894363222798</v>
      </c>
      <c r="U608" s="681">
        <f t="shared" si="315"/>
        <v>8.2849706765569062E-2</v>
      </c>
      <c r="V608" s="682">
        <f t="shared" si="316"/>
        <v>-0.96487207159721911</v>
      </c>
      <c r="W608" s="683">
        <f t="shared" si="304"/>
        <v>-77.757142466011416</v>
      </c>
      <c r="X608" s="684">
        <f t="shared" si="305"/>
        <v>-265.19634949847489</v>
      </c>
      <c r="Y608" s="687">
        <f t="shared" si="306"/>
        <v>-85.196349498474888</v>
      </c>
      <c r="AA608" s="170">
        <f t="shared" si="307"/>
        <v>630960</v>
      </c>
      <c r="AB608" s="170">
        <f t="shared" si="308"/>
        <v>398110521600</v>
      </c>
      <c r="AD608" s="686">
        <f t="shared" si="309"/>
        <v>6.9974741804486262E-2</v>
      </c>
      <c r="AE608" s="687">
        <f t="shared" si="310"/>
        <v>-87.64058822285638</v>
      </c>
      <c r="AG608" s="686">
        <f t="shared" si="311"/>
        <v>18.944585560003308</v>
      </c>
      <c r="AH608" s="687">
        <f t="shared" si="312"/>
        <v>-66.989566204147707</v>
      </c>
      <c r="AJ608" s="170">
        <f t="shared" si="313"/>
        <v>0</v>
      </c>
      <c r="AK608" s="170">
        <f t="shared" si="325"/>
        <v>0</v>
      </c>
      <c r="AM608" s="170" t="str">
        <f t="shared" si="317"/>
        <v>1.03043216623957+0.999536834367782i</v>
      </c>
      <c r="AN608" s="170" t="str">
        <f t="shared" si="318"/>
        <v>14.1676038066421i</v>
      </c>
      <c r="AO608" s="170" t="str">
        <f t="shared" si="319"/>
        <v>0.0705508742345813-0.0727315769344481i</v>
      </c>
      <c r="AP608" s="170" t="str">
        <f t="shared" si="320"/>
        <v>-0.00507202770659473-0.16658947239463i</v>
      </c>
      <c r="AQ608" s="170" t="str">
        <f t="shared" si="321"/>
        <v>1.00507202770659+0.16658947239463i</v>
      </c>
      <c r="AR608" s="170" t="str">
        <f t="shared" si="322"/>
        <v>0.806635887507683-0.133698922276352i</v>
      </c>
    </row>
    <row r="609" spans="7:44">
      <c r="G609" s="688">
        <v>691830</v>
      </c>
      <c r="H609" s="676">
        <f t="shared" si="314"/>
        <v>691.83</v>
      </c>
      <c r="I609" s="677">
        <f t="shared" si="294"/>
        <v>3612.7136772477284</v>
      </c>
      <c r="J609" s="678">
        <f t="shared" si="295"/>
        <v>1.5705195265549363</v>
      </c>
      <c r="K609" s="678">
        <f t="shared" si="296"/>
        <v>1.3836699282104066</v>
      </c>
      <c r="L609" s="679">
        <f t="shared" si="297"/>
        <v>0.76307274262958014</v>
      </c>
      <c r="M609" s="678">
        <f t="shared" si="298"/>
        <v>3.8079949798214683</v>
      </c>
      <c r="N609" s="679">
        <f t="shared" si="299"/>
        <v>-1.3050749573184615</v>
      </c>
      <c r="O609" s="677">
        <f t="shared" si="300"/>
        <v>13040688.258297039</v>
      </c>
      <c r="P609" s="680">
        <f t="shared" si="301"/>
        <v>1.5707962501118273</v>
      </c>
      <c r="Q609" s="689">
        <f t="shared" si="323"/>
        <v>1747.45251274263</v>
      </c>
      <c r="R609" s="690">
        <f t="shared" si="324"/>
        <v>1.5702240651469901</v>
      </c>
      <c r="S609" s="677">
        <f t="shared" si="302"/>
        <v>26.230851853597315</v>
      </c>
      <c r="T609" s="680">
        <f t="shared" si="303"/>
        <v>1.5326640392151096</v>
      </c>
      <c r="U609" s="681">
        <f t="shared" si="315"/>
        <v>9.1748106363411727E-2</v>
      </c>
      <c r="V609" s="682">
        <f t="shared" si="316"/>
        <v>-1.5087265379673562</v>
      </c>
      <c r="W609" s="683">
        <f t="shared" si="304"/>
        <v>-77.366033200800558</v>
      </c>
      <c r="X609" s="684">
        <f t="shared" si="305"/>
        <v>-295.33020794736126</v>
      </c>
      <c r="Y609" s="687">
        <f t="shared" si="306"/>
        <v>-115.33020794736126</v>
      </c>
      <c r="AA609" s="170">
        <f t="shared" si="307"/>
        <v>691830</v>
      </c>
      <c r="AB609" s="170">
        <f t="shared" si="308"/>
        <v>478628748900</v>
      </c>
      <c r="AD609" s="686">
        <f t="shared" si="309"/>
        <v>-0.72870040126186808</v>
      </c>
      <c r="AE609" s="687">
        <f t="shared" si="310"/>
        <v>-87.847964742466004</v>
      </c>
      <c r="AG609" s="686">
        <f t="shared" si="311"/>
        <v>18.362124618195338</v>
      </c>
      <c r="AH609" s="687">
        <f t="shared" si="312"/>
        <v>-34.59491687751531</v>
      </c>
      <c r="AJ609" s="170">
        <f t="shared" si="313"/>
        <v>0</v>
      </c>
      <c r="AK609" s="170">
        <f t="shared" si="325"/>
        <v>0</v>
      </c>
      <c r="AM609" s="170" t="str">
        <f t="shared" si="317"/>
        <v>1.98497247158007+0.172711407351815i</v>
      </c>
      <c r="AN609" s="170" t="str">
        <f t="shared" si="318"/>
        <v>15.5343814846412i</v>
      </c>
      <c r="AO609" s="170" t="str">
        <f t="shared" si="319"/>
        <v>0.011118009913853-0.127779305120233i</v>
      </c>
      <c r="AP609" s="170" t="str">
        <f t="shared" si="320"/>
        <v>-0.164162078596679-0.0287852345586358i</v>
      </c>
      <c r="AQ609" s="170" t="str">
        <f t="shared" si="321"/>
        <v>1.16416207859668+0.0287852345586358i</v>
      </c>
      <c r="AR609" s="170" t="str">
        <f t="shared" si="322"/>
        <v>0.715098906994535-0.0176816357008251i</v>
      </c>
    </row>
    <row r="610" spans="7:44">
      <c r="G610" s="688">
        <v>758580</v>
      </c>
      <c r="H610" s="676">
        <f t="shared" si="314"/>
        <v>758.58</v>
      </c>
      <c r="I610" s="677">
        <f t="shared" si="294"/>
        <v>3961.2799728590353</v>
      </c>
      <c r="J610" s="678">
        <f t="shared" si="295"/>
        <v>1.5705438831359093</v>
      </c>
      <c r="K610" s="678">
        <f t="shared" si="296"/>
        <v>1.4489761909202112</v>
      </c>
      <c r="L610" s="679">
        <f t="shared" si="297"/>
        <v>0.80911042901167274</v>
      </c>
      <c r="M610" s="678">
        <f t="shared" si="298"/>
        <v>4.151109730214837</v>
      </c>
      <c r="N610" s="679">
        <f t="shared" si="299"/>
        <v>-1.3275038523260887</v>
      </c>
      <c r="O610" s="677">
        <f t="shared" si="300"/>
        <v>14298896.114622036</v>
      </c>
      <c r="P610" s="680">
        <f t="shared" si="301"/>
        <v>1.570796256859428</v>
      </c>
      <c r="Q610" s="689">
        <f t="shared" si="323"/>
        <v>1916.0523403125717</v>
      </c>
      <c r="R610" s="690">
        <f t="shared" si="324"/>
        <v>1.5702744203603185</v>
      </c>
      <c r="S610" s="677">
        <f t="shared" si="302"/>
        <v>28.758172811113862</v>
      </c>
      <c r="T610" s="680">
        <f t="shared" si="303"/>
        <v>1.5360165916559398</v>
      </c>
      <c r="U610" s="681">
        <f t="shared" si="315"/>
        <v>7.3230056045417088E-2</v>
      </c>
      <c r="V610" s="682">
        <f t="shared" si="316"/>
        <v>-2.0792705068479513</v>
      </c>
      <c r="W610" s="683">
        <f t="shared" si="304"/>
        <v>-79.773274217826241</v>
      </c>
      <c r="X610" s="684">
        <f t="shared" si="305"/>
        <v>-326.85788320188448</v>
      </c>
      <c r="Y610" s="687">
        <f t="shared" si="306"/>
        <v>-146.85788320188448</v>
      </c>
      <c r="AA610" s="170">
        <f t="shared" si="307"/>
        <v>758580</v>
      </c>
      <c r="AB610" s="170">
        <f t="shared" si="308"/>
        <v>575443616400</v>
      </c>
      <c r="AD610" s="686">
        <f t="shared" si="309"/>
        <v>-1.5276785298378401</v>
      </c>
      <c r="AE610" s="687">
        <f t="shared" si="310"/>
        <v>-88.037167093546913</v>
      </c>
      <c r="AG610" s="686">
        <f t="shared" si="311"/>
        <v>20.670171444595237</v>
      </c>
      <c r="AH610" s="687">
        <f t="shared" si="312"/>
        <v>-0.5538668192476538</v>
      </c>
      <c r="AJ610" s="170">
        <f t="shared" si="313"/>
        <v>0</v>
      </c>
      <c r="AK610" s="170">
        <f t="shared" si="325"/>
        <v>0</v>
      </c>
      <c r="AM610" s="170" t="str">
        <f t="shared" si="317"/>
        <v>1.24310989556413-0.969998751895484i</v>
      </c>
      <c r="AN610" s="170" t="str">
        <f t="shared" si="318"/>
        <v>17.0331889432652i</v>
      </c>
      <c r="AO610" s="170" t="str">
        <f t="shared" si="319"/>
        <v>-0.0569475718919336-0.0729816301401181i</v>
      </c>
      <c r="AP610" s="170" t="str">
        <f t="shared" si="320"/>
        <v>-0.0405183159273553+0.161666458649247i</v>
      </c>
      <c r="AQ610" s="170" t="str">
        <f t="shared" si="321"/>
        <v>1.04051831592736-0.161666458649247i</v>
      </c>
      <c r="AR610" s="170" t="str">
        <f t="shared" si="322"/>
        <v>0.78169236405826+0.121452389944551i</v>
      </c>
    </row>
    <row r="611" spans="7:44">
      <c r="G611" s="688">
        <v>831760</v>
      </c>
      <c r="H611" s="676">
        <f t="shared" si="314"/>
        <v>831.76</v>
      </c>
      <c r="I611" s="677">
        <f t="shared" si="294"/>
        <v>4343.423518368646</v>
      </c>
      <c r="J611" s="678">
        <f t="shared" si="295"/>
        <v>1.5705660936609172</v>
      </c>
      <c r="K611" s="678">
        <f t="shared" si="296"/>
        <v>1.5237807526375562</v>
      </c>
      <c r="L611" s="679">
        <f t="shared" si="297"/>
        <v>0.85494184467791867</v>
      </c>
      <c r="M611" s="678">
        <f t="shared" si="298"/>
        <v>4.5292944617405206</v>
      </c>
      <c r="N611" s="679">
        <f t="shared" si="299"/>
        <v>-1.3481771304116197</v>
      </c>
      <c r="O611" s="677">
        <f t="shared" si="300"/>
        <v>15678306.615384033</v>
      </c>
      <c r="P611" s="680">
        <f t="shared" si="301"/>
        <v>1.5707962630124981</v>
      </c>
      <c r="Q611" s="689">
        <f t="shared" si="323"/>
        <v>2100.8933244554669</v>
      </c>
      <c r="R611" s="690">
        <f t="shared" si="324"/>
        <v>1.570320338782502</v>
      </c>
      <c r="S611" s="677">
        <f t="shared" si="302"/>
        <v>31.529258573059526</v>
      </c>
      <c r="T611" s="680">
        <f t="shared" si="303"/>
        <v>1.5390744348752043</v>
      </c>
      <c r="U611" s="681">
        <f t="shared" si="315"/>
        <v>9.2243342510503271E-3</v>
      </c>
      <c r="V611" s="682">
        <f t="shared" si="316"/>
        <v>-3.0206558204264793</v>
      </c>
      <c r="W611" s="683">
        <f t="shared" si="304"/>
        <v>-98.172791767422254</v>
      </c>
      <c r="X611" s="684">
        <f t="shared" si="305"/>
        <v>-379.52767702290538</v>
      </c>
      <c r="Y611" s="687">
        <f t="shared" si="306"/>
        <v>-199.52767702290538</v>
      </c>
      <c r="AA611" s="170">
        <f t="shared" si="307"/>
        <v>831760</v>
      </c>
      <c r="AB611" s="170">
        <f t="shared" si="308"/>
        <v>691824697600</v>
      </c>
      <c r="AD611" s="686">
        <f t="shared" si="309"/>
        <v>-2.3267281108200768</v>
      </c>
      <c r="AE611" s="687">
        <f t="shared" si="310"/>
        <v>-88.209738025372573</v>
      </c>
      <c r="AG611" s="686">
        <f t="shared" si="311"/>
        <v>39.059876873627395</v>
      </c>
      <c r="AH611" s="687">
        <f t="shared" si="312"/>
        <v>54.823721142120377</v>
      </c>
      <c r="AJ611" s="170">
        <f t="shared" si="313"/>
        <v>0</v>
      </c>
      <c r="AK611" s="170">
        <f t="shared" si="325"/>
        <v>0</v>
      </c>
      <c r="AM611" s="170" t="str">
        <f t="shared" si="317"/>
        <v>0.014958217887075-0.172315662351956i</v>
      </c>
      <c r="AN611" s="170" t="str">
        <f t="shared" si="318"/>
        <v>18.6763759068921i</v>
      </c>
      <c r="AO611" s="170" t="str">
        <f t="shared" si="319"/>
        <v>-0.00922639719884663-0.000800916514084245i</v>
      </c>
      <c r="AP611" s="170" t="str">
        <f t="shared" si="320"/>
        <v>0.164173630352154+0.0287192770586593i</v>
      </c>
      <c r="AQ611" s="170" t="str">
        <f t="shared" si="321"/>
        <v>0.835826369647846-0.0287192770586593i</v>
      </c>
      <c r="AR611" s="170" t="str">
        <f t="shared" si="322"/>
        <v>0.995443219763774+0.0342037660723778i</v>
      </c>
    </row>
    <row r="612" spans="7:44">
      <c r="G612" s="688">
        <v>912010</v>
      </c>
      <c r="H612" s="676">
        <f t="shared" si="314"/>
        <v>912.01</v>
      </c>
      <c r="I612" s="677">
        <f t="shared" si="294"/>
        <v>4762.486372660459</v>
      </c>
      <c r="J612" s="678">
        <f t="shared" si="295"/>
        <v>1.5705863524392556</v>
      </c>
      <c r="K612" s="678">
        <f t="shared" si="296"/>
        <v>1.6091283970456143</v>
      </c>
      <c r="L612" s="679">
        <f t="shared" si="297"/>
        <v>0.90019852230715536</v>
      </c>
      <c r="M612" s="678">
        <f t="shared" si="298"/>
        <v>4.9458840335066823</v>
      </c>
      <c r="N612" s="679">
        <f t="shared" si="299"/>
        <v>-1.3672044466767892</v>
      </c>
      <c r="O612" s="677">
        <f t="shared" si="300"/>
        <v>17190983.476359032</v>
      </c>
      <c r="P612" s="680">
        <f t="shared" si="301"/>
        <v>1.570796268624868</v>
      </c>
      <c r="Q612" s="689">
        <f t="shared" si="323"/>
        <v>2303.5920028844416</v>
      </c>
      <c r="R612" s="690">
        <f t="shared" si="324"/>
        <v>1.5703622221313296</v>
      </c>
      <c r="S612" s="677">
        <f t="shared" si="302"/>
        <v>34.568343915271086</v>
      </c>
      <c r="T612" s="680">
        <f t="shared" si="303"/>
        <v>1.5418640895876752</v>
      </c>
      <c r="U612" s="681">
        <f t="shared" si="315"/>
        <v>5.782325145765186E-2</v>
      </c>
      <c r="V612" s="682">
        <f t="shared" si="316"/>
        <v>-0.9777062832214608</v>
      </c>
      <c r="W612" s="683">
        <f t="shared" si="304"/>
        <v>-82.591138283232766</v>
      </c>
      <c r="X612" s="684">
        <f t="shared" si="305"/>
        <v>-261.13105570834637</v>
      </c>
      <c r="Y612" s="687">
        <f t="shared" si="306"/>
        <v>-81.131055708346366</v>
      </c>
      <c r="AA612" s="170">
        <f t="shared" si="307"/>
        <v>912010</v>
      </c>
      <c r="AB612" s="170">
        <f t="shared" si="308"/>
        <v>831762240100</v>
      </c>
      <c r="AD612" s="686">
        <f t="shared" si="309"/>
        <v>-3.1260245933305586</v>
      </c>
      <c r="AE612" s="687">
        <f t="shared" si="310"/>
        <v>-88.367174049321264</v>
      </c>
      <c r="AG612" s="686">
        <f t="shared" si="311"/>
        <v>23.554127750475438</v>
      </c>
      <c r="AH612" s="687">
        <f t="shared" si="312"/>
        <v>-60.726994266980206</v>
      </c>
      <c r="AJ612" s="170">
        <f t="shared" si="313"/>
        <v>0</v>
      </c>
      <c r="AK612" s="170">
        <f t="shared" si="325"/>
        <v>0</v>
      </c>
      <c r="AM612" s="170" t="str">
        <f t="shared" si="317"/>
        <v>1.05792826837147+0.998320747917964i</v>
      </c>
      <c r="AN612" s="170" t="str">
        <f t="shared" si="318"/>
        <v>20.4783129638894i</v>
      </c>
      <c r="AO612" s="170" t="str">
        <f t="shared" si="319"/>
        <v>0.0487501460534547-0.0516609092866671i</v>
      </c>
      <c r="AP612" s="170" t="str">
        <f t="shared" si="320"/>
        <v>-0.00965471139524572-0.166386791319661i</v>
      </c>
      <c r="AQ612" s="170" t="str">
        <f t="shared" si="321"/>
        <v>1.00965471139525+0.166386791319661i</v>
      </c>
      <c r="AR612" s="170" t="str">
        <f t="shared" si="322"/>
        <v>0.803220948681056-0.132367387447823i</v>
      </c>
    </row>
    <row r="613" spans="7:44">
      <c r="G613" s="688">
        <v>1000000</v>
      </c>
      <c r="H613" s="676">
        <f t="shared" si="314"/>
        <v>1000</v>
      </c>
      <c r="I613" s="677">
        <f t="shared" si="294"/>
        <v>5221.9672536459602</v>
      </c>
      <c r="J613" s="678">
        <f t="shared" si="295"/>
        <v>1.570604828082335</v>
      </c>
      <c r="K613" s="678">
        <f t="shared" si="296"/>
        <v>1.7060936104693043</v>
      </c>
      <c r="L613" s="679">
        <f t="shared" si="297"/>
        <v>0.94451696467950974</v>
      </c>
      <c r="M613" s="678">
        <f t="shared" si="298"/>
        <v>5.4043780594471551</v>
      </c>
      <c r="N613" s="679">
        <f t="shared" si="299"/>
        <v>-1.3846886790367583</v>
      </c>
      <c r="O613" s="677">
        <f t="shared" si="300"/>
        <v>18849555.900000028</v>
      </c>
      <c r="P613" s="680">
        <f t="shared" si="301"/>
        <v>1.5707962737432488</v>
      </c>
      <c r="Q613" s="689">
        <f t="shared" si="323"/>
        <v>2525.8406885539025</v>
      </c>
      <c r="R613" s="690">
        <f t="shared" si="324"/>
        <v>1.5704004189964929</v>
      </c>
      <c r="S613" s="677">
        <f t="shared" si="302"/>
        <v>37.900801988740973</v>
      </c>
      <c r="T613" s="680">
        <f t="shared" si="303"/>
        <v>1.5444085985943508</v>
      </c>
      <c r="U613" s="681">
        <f t="shared" si="315"/>
        <v>6.2714196389840271E-2</v>
      </c>
      <c r="V613" s="682">
        <f t="shared" si="316"/>
        <v>-1.7375692884050844</v>
      </c>
      <c r="W613" s="683">
        <f t="shared" si="304"/>
        <v>-82.206996834341169</v>
      </c>
      <c r="X613" s="684">
        <f t="shared" si="305"/>
        <v>-303.27517195885957</v>
      </c>
      <c r="Y613" s="687">
        <f t="shared" si="306"/>
        <v>-123.27517195885957</v>
      </c>
      <c r="AA613" s="170">
        <f t="shared" si="307"/>
        <v>1000000</v>
      </c>
      <c r="AB613" s="170">
        <f t="shared" si="308"/>
        <v>1000000000000</v>
      </c>
      <c r="AD613" s="686">
        <f t="shared" si="309"/>
        <v>-3.9254212464232618</v>
      </c>
      <c r="AE613" s="687">
        <f t="shared" si="310"/>
        <v>-88.510775450598032</v>
      </c>
      <c r="AG613" s="686">
        <f t="shared" si="311"/>
        <v>23.327131739013499</v>
      </c>
      <c r="AH613" s="687">
        <f t="shared" si="312"/>
        <v>-15.653622606422207</v>
      </c>
      <c r="AJ613" s="170">
        <f t="shared" si="313"/>
        <v>0</v>
      </c>
      <c r="AK613" s="170">
        <f t="shared" si="325"/>
        <v>0</v>
      </c>
      <c r="AM613" s="170" t="str">
        <f t="shared" si="317"/>
        <v>1.89476318025346-0.446540984975311i</v>
      </c>
      <c r="AN613" s="170" t="str">
        <f t="shared" si="318"/>
        <v>22.4540443239542i</v>
      </c>
      <c r="AO613" s="170" t="str">
        <f t="shared" si="319"/>
        <v>-0.0198868844531021-0.0843840491680204i</v>
      </c>
      <c r="AP613" s="170" t="str">
        <f t="shared" si="320"/>
        <v>-0.149127196708909+0.0744234974958852i</v>
      </c>
      <c r="AQ613" s="170" t="str">
        <f t="shared" si="321"/>
        <v>1.14912719670891-0.0744234974958852i</v>
      </c>
      <c r="AR613" s="170" t="str">
        <f t="shared" si="322"/>
        <v>0.72187008403835+0.0467520884943354i</v>
      </c>
    </row>
    <row r="614" spans="7:44">
      <c r="G614" s="692"/>
      <c r="H614" s="692"/>
      <c r="I614" s="693"/>
      <c r="J614" s="693"/>
      <c r="K614" s="693"/>
      <c r="L614" s="693"/>
      <c r="M614" s="678"/>
      <c r="N614" s="679"/>
      <c r="O614" s="693"/>
      <c r="P614" s="693"/>
      <c r="Q614" s="693"/>
      <c r="R614" s="693"/>
      <c r="S614" s="693"/>
      <c r="T614" s="693"/>
      <c r="U614" s="693"/>
      <c r="V614" s="694"/>
      <c r="W614" s="695"/>
      <c r="X614" s="684"/>
      <c r="Y614" s="696"/>
      <c r="AG614" s="686"/>
      <c r="AH614" s="687"/>
    </row>
    <row r="615" spans="7:44">
      <c r="G615" s="692"/>
      <c r="H615" s="692"/>
      <c r="I615" s="693"/>
      <c r="J615" s="693"/>
      <c r="K615" s="693"/>
      <c r="L615" s="693"/>
      <c r="M615" s="678"/>
      <c r="N615" s="679"/>
      <c r="O615" s="693"/>
      <c r="P615" s="693"/>
      <c r="Q615" s="693"/>
      <c r="R615" s="693"/>
      <c r="S615" s="693"/>
      <c r="T615" s="693"/>
      <c r="U615" s="693"/>
      <c r="V615" s="694"/>
      <c r="W615" s="696"/>
      <c r="X615" s="684"/>
      <c r="Y615" s="696"/>
      <c r="AG615" s="686"/>
      <c r="AH615" s="687"/>
    </row>
    <row r="616" spans="7:44">
      <c r="G616" s="170" t="s">
        <v>724</v>
      </c>
      <c r="M616" s="678"/>
      <c r="N616" s="679"/>
      <c r="W616" s="683"/>
      <c r="X616" s="684"/>
      <c r="Y616" s="697"/>
      <c r="AG616" s="686"/>
      <c r="AH616" s="687"/>
    </row>
    <row r="617" spans="7:44">
      <c r="G617" s="698">
        <f>W4*1000</f>
        <v>4786.3</v>
      </c>
      <c r="H617" s="698"/>
      <c r="I617" s="699">
        <f t="shared" ref="I617:I626" si="326">SQRT(1+(G617/pole1)^2)</f>
        <v>25.013898288448605</v>
      </c>
      <c r="J617" s="689">
        <f t="shared" ref="J617:J626" si="327">ATAN(G617/pole1)</f>
        <v>1.5308078951382877</v>
      </c>
      <c r="K617" s="689">
        <f t="shared" ref="K617:K626" si="328">SQRT(1+(G617/Zero1)^2)</f>
        <v>1.000021886190833</v>
      </c>
      <c r="L617" s="690">
        <f t="shared" ref="L617:L626" si="329">ATAN(G617/Zero1)</f>
        <v>6.6160096235434399E-3</v>
      </c>
      <c r="M617" s="678">
        <v>1</v>
      </c>
      <c r="N617" s="679">
        <v>0</v>
      </c>
      <c r="O617" s="699">
        <f t="shared" ref="O617:O626" si="330">SQRT(1+(G617/Pole2)^2)</f>
        <v>90219.629409712041</v>
      </c>
      <c r="P617" s="700">
        <f t="shared" ref="P617:P626" si="331">ATAN(G617/Pole2)</f>
        <v>1.5707852427325195</v>
      </c>
      <c r="Q617" s="689">
        <f t="shared" ref="Q617:Q626" si="332">SQRT(1+(G617/Zero2)^2)</f>
        <v>12.13071827838532</v>
      </c>
      <c r="R617" s="690">
        <f t="shared" ref="R617:R626" si="333">ATAN(G617/Zero2)</f>
        <v>1.4882673246034519</v>
      </c>
      <c r="S617" s="699">
        <f t="shared" ref="S617:S626" si="334">SQRT(1+(G617/pole4)^2)</f>
        <v>1.0163093639924061</v>
      </c>
      <c r="T617" s="700">
        <f t="shared" ref="T617:T626" si="335">ATAN(G617/pole4)</f>
        <v>0.17939198964184452</v>
      </c>
      <c r="U617" s="699" t="e">
        <v>#DIV/0!</v>
      </c>
      <c r="V617" s="701" t="e">
        <v>#DIV/0!</v>
      </c>
      <c r="W617" s="683" t="e">
        <f>20*LOG10(((K617*Q617*M617)/(I617*O617*U617*S617))*Adc)</f>
        <v>#DIV/0!</v>
      </c>
      <c r="X617" s="684" t="e">
        <f>((L617+R617+N617)-(J617+P617+V617+T617))*radconv</f>
        <v>#DIV/0!</v>
      </c>
      <c r="Y617" s="687" t="e">
        <f t="shared" ref="Y617:Y626" si="336">IF(X617&gt;0,X617,X617+180)</f>
        <v>#DIV/0!</v>
      </c>
      <c r="Z617" s="170" t="s">
        <v>725</v>
      </c>
      <c r="AD617" s="686">
        <f>20*LOG10((Q617/(O617*S617))*Aea)</f>
        <v>27.536641121369513</v>
      </c>
      <c r="AE617" s="687">
        <f>(R617-(P617+T617))*radconv</f>
        <v>-15.006332345081143</v>
      </c>
      <c r="AG617" s="686" t="e">
        <f>20*LOG10((K617*M617/(I617*U617))*Acs*Am)</f>
        <v>#DIV/0!</v>
      </c>
      <c r="AH617" s="687" t="e">
        <f>(L617+N617-(J617+V617))*radconv</f>
        <v>#DIV/0!</v>
      </c>
    </row>
    <row r="618" spans="7:44">
      <c r="G618" s="698">
        <f>G617</f>
        <v>4786.3</v>
      </c>
      <c r="H618" s="698"/>
      <c r="I618" s="699"/>
      <c r="J618" s="689"/>
      <c r="K618" s="689"/>
      <c r="L618" s="690"/>
      <c r="M618" s="678"/>
      <c r="N618" s="679"/>
      <c r="O618" s="699"/>
      <c r="P618" s="700"/>
      <c r="Q618" s="689"/>
      <c r="R618" s="690"/>
      <c r="S618" s="677"/>
      <c r="T618" s="680"/>
      <c r="U618" s="699"/>
      <c r="V618" s="682"/>
      <c r="W618" s="683"/>
      <c r="X618" s="684">
        <v>-135</v>
      </c>
      <c r="Y618" s="687"/>
      <c r="AD618" s="686"/>
      <c r="AE618" s="687"/>
      <c r="AG618" s="686"/>
      <c r="AH618" s="687"/>
    </row>
    <row r="619" spans="7:44">
      <c r="G619" s="170">
        <f>G618</f>
        <v>4786.3</v>
      </c>
      <c r="H619" s="698"/>
      <c r="I619" s="699"/>
      <c r="J619" s="689"/>
      <c r="K619" s="689"/>
      <c r="L619" s="690"/>
      <c r="M619" s="678"/>
      <c r="N619" s="679"/>
      <c r="O619" s="699"/>
      <c r="P619" s="700"/>
      <c r="Q619" s="689"/>
      <c r="R619" s="690"/>
      <c r="S619" s="677"/>
      <c r="T619" s="680"/>
      <c r="U619" s="699"/>
      <c r="V619" s="682"/>
      <c r="W619" s="683"/>
      <c r="X619" s="684"/>
      <c r="Y619" s="687"/>
      <c r="AD619" s="686"/>
      <c r="AE619" s="687"/>
      <c r="AG619" s="686"/>
      <c r="AH619" s="687"/>
    </row>
    <row r="620" spans="7:44">
      <c r="G620" s="698">
        <v>1000000</v>
      </c>
      <c r="H620" s="698"/>
      <c r="I620" s="699"/>
      <c r="J620" s="689"/>
      <c r="K620" s="689"/>
      <c r="L620" s="690"/>
      <c r="M620" s="678"/>
      <c r="N620" s="679"/>
      <c r="O620" s="699"/>
      <c r="P620" s="700"/>
      <c r="Q620" s="689"/>
      <c r="R620" s="690"/>
      <c r="S620" s="677"/>
      <c r="T620" s="680"/>
      <c r="U620" s="699"/>
      <c r="V620" s="682"/>
      <c r="W620" s="683"/>
      <c r="X620" s="684" t="e">
        <f>X617</f>
        <v>#DIV/0!</v>
      </c>
      <c r="Y620" s="687"/>
      <c r="AD620" s="686"/>
      <c r="AE620" s="687"/>
      <c r="AG620" s="686"/>
      <c r="AH620" s="687"/>
    </row>
    <row r="621" spans="7:44">
      <c r="G621" s="698"/>
      <c r="H621" s="698"/>
      <c r="I621" s="699"/>
      <c r="J621" s="689"/>
      <c r="K621" s="689"/>
      <c r="L621" s="690"/>
      <c r="M621" s="678"/>
      <c r="N621" s="679"/>
      <c r="O621" s="699"/>
      <c r="P621" s="700"/>
      <c r="Q621" s="689"/>
      <c r="R621" s="690"/>
      <c r="S621" s="677"/>
      <c r="T621" s="680"/>
      <c r="U621" s="699"/>
      <c r="V621" s="682"/>
      <c r="W621" s="683"/>
      <c r="X621" s="684"/>
      <c r="Y621" s="687"/>
      <c r="AD621" s="686"/>
      <c r="AE621" s="687"/>
      <c r="AG621" s="686"/>
      <c r="AH621" s="687"/>
    </row>
    <row r="622" spans="7:44">
      <c r="G622" s="702">
        <f>pole1</f>
        <v>191.49871490245025</v>
      </c>
      <c r="H622" s="703"/>
      <c r="I622" s="699">
        <f t="shared" si="326"/>
        <v>1.4142135623730951</v>
      </c>
      <c r="J622" s="689">
        <f t="shared" si="327"/>
        <v>0.78539816339744828</v>
      </c>
      <c r="K622" s="689">
        <f t="shared" si="328"/>
        <v>1.0000000350353793</v>
      </c>
      <c r="L622" s="690">
        <f t="shared" si="329"/>
        <v>2.6470881411489014E-4</v>
      </c>
      <c r="M622" s="678">
        <v>1</v>
      </c>
      <c r="N622" s="679">
        <v>0</v>
      </c>
      <c r="O622" s="699">
        <f t="shared" si="330"/>
        <v>3609.6658698488777</v>
      </c>
      <c r="P622" s="700">
        <f t="shared" si="331"/>
        <v>1.5705192928397198</v>
      </c>
      <c r="Q622" s="689">
        <f t="shared" si="332"/>
        <v>1.110837996397624</v>
      </c>
      <c r="R622" s="690">
        <f t="shared" si="333"/>
        <v>0.45051890048828735</v>
      </c>
      <c r="S622" s="677">
        <f t="shared" si="334"/>
        <v>1.0000263202722237</v>
      </c>
      <c r="T622" s="680">
        <f t="shared" si="335"/>
        <v>7.255300812427176E-3</v>
      </c>
      <c r="U622" s="699" t="e">
        <f>SQRT((1-(G622^2/(pole3^2)))^2+(G622/(Q*pole3))^2)</f>
        <v>#DIV/0!</v>
      </c>
      <c r="V622" s="682" t="e">
        <f>ATAN((G622/(Q*pole3))/(1-G622^2/pole3^2))</f>
        <v>#NAME?</v>
      </c>
      <c r="W622" s="683" t="e">
        <f t="shared" ref="W622:W628" si="337">20*LOG10(((K622*Q622*M622)/(I622*O622*U622*S622))*Adc)</f>
        <v>#DIV/0!</v>
      </c>
      <c r="X622" s="684" t="e">
        <f t="shared" ref="X622:X628" si="338">((L622+R622+N622)-(J622+P622+V622+T622))*radconv</f>
        <v>#NAME?</v>
      </c>
      <c r="Y622" s="687" t="e">
        <f t="shared" si="336"/>
        <v>#NAME?</v>
      </c>
      <c r="Z622" s="170" t="s">
        <v>713</v>
      </c>
      <c r="AD622" s="686">
        <f>20*LOG10((Q622/(O622*S622))*Aea)</f>
        <v>34.868895956526401</v>
      </c>
      <c r="AE622" s="687">
        <f>(R622-(P622+T622))*radconv</f>
        <v>-64.586993724184666</v>
      </c>
      <c r="AG622" s="686" t="e">
        <f t="shared" ref="AG622:AG628" si="339">20*LOG10((K622*M622/(I622*U622))*Acs*Am)</f>
        <v>#DIV/0!</v>
      </c>
      <c r="AH622" s="687" t="e">
        <f t="shared" ref="AH622:AH628" si="340">(L622+N622-(J622+V622))*radconv</f>
        <v>#NAME?</v>
      </c>
    </row>
    <row r="623" spans="7:44">
      <c r="G623" s="702">
        <f>Zero1</f>
        <v>723431.56033525639</v>
      </c>
      <c r="H623" s="703"/>
      <c r="I623" s="699">
        <f t="shared" si="326"/>
        <v>3777.7359814110118</v>
      </c>
      <c r="J623" s="689">
        <f t="shared" si="327"/>
        <v>1.5705316179807818</v>
      </c>
      <c r="K623" s="689">
        <f t="shared" si="328"/>
        <v>1.4142135623730951</v>
      </c>
      <c r="L623" s="690">
        <f t="shared" si="329"/>
        <v>0.78539816339744828</v>
      </c>
      <c r="M623" s="678">
        <v>1</v>
      </c>
      <c r="N623" s="679">
        <v>0</v>
      </c>
      <c r="O623" s="699">
        <f t="shared" si="330"/>
        <v>13636363.636363676</v>
      </c>
      <c r="P623" s="700">
        <f t="shared" si="331"/>
        <v>1.5707962534615634</v>
      </c>
      <c r="Q623" s="689">
        <f t="shared" si="332"/>
        <v>1827.2730009045483</v>
      </c>
      <c r="R623" s="690">
        <f t="shared" si="333"/>
        <v>1.5702490631679393</v>
      </c>
      <c r="S623" s="677">
        <f t="shared" si="334"/>
        <v>27.42732696532439</v>
      </c>
      <c r="T623" s="680">
        <f t="shared" si="335"/>
        <v>1.5343282565006597</v>
      </c>
      <c r="U623" s="699" t="e">
        <f>SQRT((1-(G623^2/(pole3^2)))^2+(G623/(Q*pole3))^2)</f>
        <v>#DIV/0!</v>
      </c>
      <c r="V623" s="682" t="e">
        <f>ATAN((G623/(Q*pole3))/(1-G623^2/pole3^2))</f>
        <v>#NAME?</v>
      </c>
      <c r="W623" s="683" t="e">
        <f t="shared" si="337"/>
        <v>#DIV/0!</v>
      </c>
      <c r="X623" s="684" t="e">
        <f t="shared" si="338"/>
        <v>#NAME?</v>
      </c>
      <c r="Y623" s="687" t="e">
        <f t="shared" si="336"/>
        <v>#NAME?</v>
      </c>
      <c r="Z623" s="170" t="s">
        <v>714</v>
      </c>
      <c r="AD623" s="686">
        <f>20*LOG10((Q623/(O623*S623))*Aea)</f>
        <v>-1.1161223067980077</v>
      </c>
      <c r="AE623" s="687">
        <f>(R623-(P623+T623))*radconv</f>
        <v>-87.941885280057249</v>
      </c>
      <c r="AG623" s="686" t="e">
        <f t="shared" si="339"/>
        <v>#DIV/0!</v>
      </c>
      <c r="AH623" s="687" t="e">
        <f t="shared" si="340"/>
        <v>#NAME?</v>
      </c>
    </row>
    <row r="624" spans="7:44">
      <c r="G624" s="702">
        <f>Pole2</f>
        <v>5.3051647757918791E-2</v>
      </c>
      <c r="H624" s="703"/>
      <c r="I624" s="699">
        <f t="shared" si="326"/>
        <v>1.0000000383739074</v>
      </c>
      <c r="J624" s="689">
        <f t="shared" si="327"/>
        <v>2.7703395517690067E-4</v>
      </c>
      <c r="K624" s="689">
        <f t="shared" si="328"/>
        <v>1.0000000000000027</v>
      </c>
      <c r="L624" s="690">
        <f t="shared" si="329"/>
        <v>7.3333333333333183E-8</v>
      </c>
      <c r="M624" s="678">
        <v>1</v>
      </c>
      <c r="N624" s="679">
        <v>0</v>
      </c>
      <c r="O624" s="699">
        <f t="shared" si="330"/>
        <v>1.4142135623730951</v>
      </c>
      <c r="P624" s="700">
        <f t="shared" si="331"/>
        <v>0.78539816339744828</v>
      </c>
      <c r="Q624" s="689">
        <f t="shared" si="332"/>
        <v>1.0000000089779999</v>
      </c>
      <c r="R624" s="690">
        <f t="shared" si="333"/>
        <v>1.3399999919796535E-4</v>
      </c>
      <c r="S624" s="677">
        <f t="shared" si="334"/>
        <v>1.0000000000020202</v>
      </c>
      <c r="T624" s="680">
        <f t="shared" si="335"/>
        <v>2.0099999999972935E-6</v>
      </c>
      <c r="U624" s="699" t="e">
        <f>SQRT((1-(G624^2/(pole3^2)))^2+(G624/(Q*pole3))^2)</f>
        <v>#DIV/0!</v>
      </c>
      <c r="V624" s="682" t="e">
        <f>ATAN((G624/(Q*pole3))/(1-G624^2/pole3^2))</f>
        <v>#NAME?</v>
      </c>
      <c r="W624" s="683" t="e">
        <f t="shared" si="337"/>
        <v>#DIV/0!</v>
      </c>
      <c r="X624" s="684" t="e">
        <f t="shared" si="338"/>
        <v>#NAME?</v>
      </c>
      <c r="Y624" s="687" t="e">
        <f t="shared" si="336"/>
        <v>#NAME?</v>
      </c>
      <c r="Z624" s="170" t="s">
        <v>715</v>
      </c>
      <c r="AC624" s="170">
        <f>Pole2</f>
        <v>5.3051647757918791E-2</v>
      </c>
      <c r="AD624" s="686">
        <f>20*LOG10((Q624/(O624*S624))*Aea)</f>
        <v>102.09515022339068</v>
      </c>
      <c r="AE624" s="687">
        <f>(R624-(P624+T624))*radconv</f>
        <v>-44.992437581519376</v>
      </c>
      <c r="AG624" s="686" t="e">
        <f t="shared" si="339"/>
        <v>#DIV/0!</v>
      </c>
      <c r="AH624" s="687" t="e">
        <f t="shared" si="340"/>
        <v>#NAME?</v>
      </c>
    </row>
    <row r="625" spans="7:34">
      <c r="G625" s="702">
        <f>Zero2</f>
        <v>395.90781908894616</v>
      </c>
      <c r="H625" s="703"/>
      <c r="I625" s="699">
        <f t="shared" si="326"/>
        <v>2.2965660565343606</v>
      </c>
      <c r="J625" s="689">
        <f t="shared" si="327"/>
        <v>1.1202774263066093</v>
      </c>
      <c r="K625" s="689">
        <f t="shared" si="328"/>
        <v>1.0000001497487574</v>
      </c>
      <c r="L625" s="690">
        <f t="shared" si="329"/>
        <v>5.4726362695734117E-4</v>
      </c>
      <c r="M625" s="678">
        <v>1</v>
      </c>
      <c r="N625" s="679">
        <v>0</v>
      </c>
      <c r="O625" s="699">
        <f t="shared" si="330"/>
        <v>7462.686634164178</v>
      </c>
      <c r="P625" s="700">
        <f t="shared" si="331"/>
        <v>1.5706623267956987</v>
      </c>
      <c r="Q625" s="689">
        <f t="shared" si="332"/>
        <v>1.4142135623730951</v>
      </c>
      <c r="R625" s="690">
        <f t="shared" si="333"/>
        <v>0.78539816339744828</v>
      </c>
      <c r="S625" s="677">
        <f t="shared" si="334"/>
        <v>1.0001124936725867</v>
      </c>
      <c r="T625" s="680">
        <f t="shared" si="335"/>
        <v>1.4998875151850595E-2</v>
      </c>
      <c r="U625" s="699" t="e">
        <f>SQRT((1-(G625^2/(pole3^2)))^2+(G625/(Q*pole3))^2)</f>
        <v>#DIV/0!</v>
      </c>
      <c r="V625" s="682" t="e">
        <f>ATAN((G625/(Q*pole3))/(1-G625^2/pole3^2))</f>
        <v>#NAME?</v>
      </c>
      <c r="W625" s="683" t="e">
        <f t="shared" si="337"/>
        <v>#DIV/0!</v>
      </c>
      <c r="X625" s="684" t="e">
        <f t="shared" si="338"/>
        <v>#NAME?</v>
      </c>
      <c r="Y625" s="687" t="e">
        <f t="shared" si="336"/>
        <v>#NAME?</v>
      </c>
      <c r="Z625" s="170" t="s">
        <v>726</v>
      </c>
      <c r="AC625" s="170">
        <f>Zero2</f>
        <v>395.90781908894616</v>
      </c>
      <c r="AD625" s="686">
        <f>20*LOG10((Q625/(O625*S625))*Aea)</f>
        <v>30.656868895350193</v>
      </c>
      <c r="AE625" s="687">
        <f>(R625-(P625+T625))*radconv</f>
        <v>-45.851694661629082</v>
      </c>
      <c r="AG625" s="686" t="e">
        <f t="shared" si="339"/>
        <v>#DIV/0!</v>
      </c>
      <c r="AH625" s="687" t="e">
        <f t="shared" si="340"/>
        <v>#NAME?</v>
      </c>
    </row>
    <row r="626" spans="7:34">
      <c r="G626" s="702">
        <f>pole3</f>
        <v>0</v>
      </c>
      <c r="H626" s="703"/>
      <c r="I626" s="699">
        <f t="shared" si="326"/>
        <v>1</v>
      </c>
      <c r="J626" s="689">
        <f t="shared" si="327"/>
        <v>0</v>
      </c>
      <c r="K626" s="689">
        <f t="shared" si="328"/>
        <v>1</v>
      </c>
      <c r="L626" s="690">
        <f t="shared" si="329"/>
        <v>0</v>
      </c>
      <c r="M626" s="678">
        <v>1</v>
      </c>
      <c r="N626" s="679">
        <v>0</v>
      </c>
      <c r="O626" s="699">
        <f t="shared" si="330"/>
        <v>1</v>
      </c>
      <c r="P626" s="700">
        <f t="shared" si="331"/>
        <v>0</v>
      </c>
      <c r="Q626" s="689">
        <f t="shared" si="332"/>
        <v>1</v>
      </c>
      <c r="R626" s="690">
        <f t="shared" si="333"/>
        <v>0</v>
      </c>
      <c r="S626" s="677">
        <f t="shared" si="334"/>
        <v>1</v>
      </c>
      <c r="T626" s="680">
        <f t="shared" si="335"/>
        <v>0</v>
      </c>
      <c r="U626" s="699" t="e">
        <f>SQRT((1-(G626^2/(pole3^2)))^2+(G626/(Q*pole3))^2)</f>
        <v>#DIV/0!</v>
      </c>
      <c r="V626" s="682" t="e">
        <f>ATAN((G626/(Q*pole3))/(1-G626^2/pole3^2))</f>
        <v>#NAME?</v>
      </c>
      <c r="W626" s="683" t="e">
        <f t="shared" si="337"/>
        <v>#DIV/0!</v>
      </c>
      <c r="X626" s="684" t="e">
        <f t="shared" si="338"/>
        <v>#NAME?</v>
      </c>
      <c r="Y626" s="687" t="e">
        <f t="shared" si="336"/>
        <v>#NAME?</v>
      </c>
      <c r="Z626" s="170" t="s">
        <v>691</v>
      </c>
      <c r="AD626" s="686">
        <f>20*LOG10((Q626/(O626*S626))*Aea)</f>
        <v>105.10545010206611</v>
      </c>
      <c r="AE626" s="687">
        <f>(R626-(P626+T626))*radconv</f>
        <v>0</v>
      </c>
      <c r="AG626" s="686" t="e">
        <f t="shared" si="339"/>
        <v>#DIV/0!</v>
      </c>
      <c r="AH626" s="687" t="e">
        <f t="shared" si="340"/>
        <v>#NAME?</v>
      </c>
    </row>
    <row r="627" spans="7:34" ht="13" thickBot="1">
      <c r="G627" s="197">
        <v>195034.73926858415</v>
      </c>
      <c r="I627" s="699">
        <f>SQRT(1+(G627/pole1)^2)</f>
        <v>1018.4654940442408</v>
      </c>
      <c r="J627" s="689">
        <f>ATAN(G627/pole1)</f>
        <v>1.5698144573388122</v>
      </c>
      <c r="K627" s="689">
        <f>SQRT(1+(G627/Zero1)^2)</f>
        <v>1.0357038013828048</v>
      </c>
      <c r="L627" s="690">
        <f>ATAN(G627/Zero1)</f>
        <v>0.26333587077918175</v>
      </c>
      <c r="M627" s="678">
        <v>1</v>
      </c>
      <c r="N627" s="679">
        <v>0</v>
      </c>
      <c r="O627" s="699">
        <f>SQRT(1+(G627/Pole2)^2)</f>
        <v>3676318.2202852382</v>
      </c>
      <c r="P627" s="700">
        <f>ATAN(G627/Pole2)</f>
        <v>1.5707960547836233</v>
      </c>
      <c r="Q627" s="689">
        <f>SQRT(1+(G627/Zero2)^2)</f>
        <v>492.62765648459572</v>
      </c>
      <c r="R627" s="690">
        <f>ATAN(G627/Zero2)</f>
        <v>1.5687663947080401</v>
      </c>
      <c r="S627" s="677">
        <f>SQRT(1+(G627/pole4)^2)</f>
        <v>7.456757122572693</v>
      </c>
      <c r="T627" s="680">
        <f>ATAN(G627/pole4)</f>
        <v>1.4362845098303387</v>
      </c>
      <c r="U627" s="699" t="e">
        <v>#DIV/0!</v>
      </c>
      <c r="V627" s="682" t="e">
        <v>#DIV/0!</v>
      </c>
      <c r="W627" s="683" t="e">
        <f t="shared" si="337"/>
        <v>#DIV/0!</v>
      </c>
      <c r="X627" s="684" t="e">
        <f t="shared" si="338"/>
        <v>#DIV/0!</v>
      </c>
      <c r="Y627" s="687" t="e">
        <f>IF(X627&gt;0,X627,X627+180)</f>
        <v>#DIV/0!</v>
      </c>
      <c r="Z627" s="170" t="s">
        <v>727</v>
      </c>
      <c r="AD627" s="704"/>
      <c r="AE627" s="705"/>
      <c r="AG627" s="686" t="e">
        <f t="shared" si="339"/>
        <v>#DIV/0!</v>
      </c>
      <c r="AH627" s="687" t="e">
        <f t="shared" si="340"/>
        <v>#DIV/0!</v>
      </c>
    </row>
    <row r="628" spans="7:34">
      <c r="G628" s="197">
        <f>z_RHP</f>
        <v>188286.51807246869</v>
      </c>
      <c r="I628" s="699">
        <f>SQRT(1+(G628/pole1)^2)</f>
        <v>983.22652217908183</v>
      </c>
      <c r="J628" s="689">
        <f>ATAN(G628/pole1)</f>
        <v>1.569779266992456</v>
      </c>
      <c r="K628" s="689">
        <f>SQRT(1+(G628/Zero1)^2)</f>
        <v>1.0333149293355222</v>
      </c>
      <c r="L628" s="690">
        <f>ATAN(G628/Zero1)</f>
        <v>0.25461963272389765</v>
      </c>
      <c r="M628" s="678">
        <v>1</v>
      </c>
      <c r="N628" s="679">
        <v>0</v>
      </c>
      <c r="O628" s="699">
        <f>SQRT(1+(G628/Pole2)^2)</f>
        <v>3549117.2476234999</v>
      </c>
      <c r="P628" s="700">
        <f>ATAN(G628/Pole2)</f>
        <v>1.5707960450346925</v>
      </c>
      <c r="Q628" s="689">
        <f>SQRT(1+(G628/Zero2)^2)</f>
        <v>475.58276252441317</v>
      </c>
      <c r="R628" s="690">
        <f>ATAN(G628/Zero2)</f>
        <v>1.5686936418035966</v>
      </c>
      <c r="S628" s="677">
        <f>SQRT(1+(G628/pole4)^2)</f>
        <v>7.2034742938619063</v>
      </c>
      <c r="T628" s="680">
        <f>ATAN(G628/pole4)</f>
        <v>1.4315246285460701</v>
      </c>
      <c r="U628" s="699" t="e">
        <v>#DIV/0!</v>
      </c>
      <c r="V628" s="682" t="e">
        <v>#DIV/0!</v>
      </c>
      <c r="W628" s="683" t="e">
        <f t="shared" si="337"/>
        <v>#DIV/0!</v>
      </c>
      <c r="X628" s="684" t="e">
        <f t="shared" si="338"/>
        <v>#DIV/0!</v>
      </c>
      <c r="Y628" s="687" t="e">
        <f>IF(X628&gt;0,X628,X628+180)</f>
        <v>#DIV/0!</v>
      </c>
      <c r="Z628" s="170" t="s">
        <v>712</v>
      </c>
      <c r="AD628" s="696"/>
      <c r="AE628" s="696"/>
      <c r="AG628" s="686" t="e">
        <f t="shared" si="339"/>
        <v>#DIV/0!</v>
      </c>
      <c r="AH628" s="687" t="e">
        <f t="shared" si="340"/>
        <v>#DIV/0!</v>
      </c>
    </row>
    <row r="629" spans="7:34">
      <c r="G629" s="197">
        <v>195034.73926858415</v>
      </c>
      <c r="W629" s="683">
        <v>-25</v>
      </c>
    </row>
    <row r="631" spans="7:34">
      <c r="J631" s="170" t="s">
        <v>728</v>
      </c>
      <c r="K631" s="170" t="s">
        <v>729</v>
      </c>
    </row>
    <row r="632" spans="7:34">
      <c r="G632" s="170" t="s">
        <v>713</v>
      </c>
      <c r="H632" s="170" t="s">
        <v>730</v>
      </c>
      <c r="I632" s="172">
        <f>pole1</f>
        <v>191.49871490245025</v>
      </c>
      <c r="J632" s="172" t="e">
        <f>W622</f>
        <v>#DIV/0!</v>
      </c>
      <c r="K632" s="172" t="e">
        <f>AG622</f>
        <v>#DIV/0!</v>
      </c>
    </row>
    <row r="633" spans="7:34">
      <c r="G633" s="170" t="s">
        <v>714</v>
      </c>
      <c r="H633" s="170" t="s">
        <v>731</v>
      </c>
      <c r="I633" s="172">
        <f>Zero1</f>
        <v>723431.56033525639</v>
      </c>
      <c r="J633" s="172" t="e">
        <f>W623</f>
        <v>#DIV/0!</v>
      </c>
      <c r="K633" s="172" t="e">
        <f>AG623</f>
        <v>#DIV/0!</v>
      </c>
    </row>
    <row r="634" spans="7:34">
      <c r="G634" s="170" t="s">
        <v>715</v>
      </c>
      <c r="H634" s="170" t="s">
        <v>732</v>
      </c>
      <c r="I634" s="172">
        <f>Pole2</f>
        <v>5.3051647757918791E-2</v>
      </c>
      <c r="J634" s="172" t="e">
        <f>W624</f>
        <v>#DIV/0!</v>
      </c>
      <c r="K634" s="172" t="e">
        <f>AG624</f>
        <v>#DIV/0!</v>
      </c>
    </row>
    <row r="635" spans="7:34">
      <c r="G635" s="170" t="s">
        <v>726</v>
      </c>
      <c r="H635" s="170" t="s">
        <v>733</v>
      </c>
      <c r="I635" s="172">
        <f>Zero2</f>
        <v>395.90781908894616</v>
      </c>
      <c r="J635" s="172" t="e">
        <f>W625</f>
        <v>#DIV/0!</v>
      </c>
      <c r="K635" s="172" t="e">
        <f>AG625</f>
        <v>#DIV/0!</v>
      </c>
    </row>
    <row r="636" spans="7:34">
      <c r="G636" s="170" t="s">
        <v>691</v>
      </c>
      <c r="H636" s="170" t="s">
        <v>734</v>
      </c>
      <c r="I636" s="170">
        <f>pole3</f>
        <v>0</v>
      </c>
      <c r="J636" s="172" t="e">
        <f>W626</f>
        <v>#DIV/0!</v>
      </c>
      <c r="K636" s="172" t="e">
        <f>AG626</f>
        <v>#DIV/0!</v>
      </c>
    </row>
    <row r="637" spans="7:34">
      <c r="I637" s="197"/>
      <c r="J637" s="172"/>
      <c r="K637" s="172"/>
    </row>
    <row r="639" spans="7:34">
      <c r="G639" s="172">
        <f>W4*1000</f>
        <v>4786.3</v>
      </c>
    </row>
    <row r="640" spans="7:34">
      <c r="G640" s="172">
        <f>W4*1000</f>
        <v>4786.3</v>
      </c>
    </row>
    <row r="687" spans="36:37">
      <c r="AJ687" s="170" t="s">
        <v>705</v>
      </c>
      <c r="AK687" s="172">
        <f>SUM(AK689:AK1306)</f>
        <v>0</v>
      </c>
    </row>
  </sheetData>
  <sheetProtection algorithmName="SHA-512" hashValue="3wRbkLafQbWEivON440wq1tRtzjKSQuX0+eAYjdySUS0l8YP+HdKBoadk1H5JN48H/8nnVQKvlUIHNGXSS7ncQ==" saltValue="FWF0zQLVZY8DG1HaDs4a7Q==" spinCount="100000" sheet="1" selectLockedCells="1" selectUnlockedCells="1"/>
  <mergeCells count="20">
    <mergeCell ref="W10:Y10"/>
    <mergeCell ref="AD10:AE10"/>
    <mergeCell ref="AG10:AH10"/>
    <mergeCell ref="I11:J11"/>
    <mergeCell ref="K11:L11"/>
    <mergeCell ref="M11:N11"/>
    <mergeCell ref="O11:P11"/>
    <mergeCell ref="Q11:R11"/>
    <mergeCell ref="S11:T11"/>
    <mergeCell ref="U11:V11"/>
    <mergeCell ref="G2:J2"/>
    <mergeCell ref="K2:M2"/>
    <mergeCell ref="P2:R2"/>
    <mergeCell ref="S2:U2"/>
    <mergeCell ref="V2:X2"/>
    <mergeCell ref="G10:G12"/>
    <mergeCell ref="H10:H11"/>
    <mergeCell ref="I10:N10"/>
    <mergeCell ref="O10:T10"/>
    <mergeCell ref="U10:V10"/>
  </mergeCells>
  <phoneticPr fontId="83"/>
  <hyperlinks>
    <hyperlink ref="C50" r:id="rId1" display="Gpwr_@Fco" xr:uid="{4F4202D4-BC5C-4B6D-9289-7BEBC6947453}"/>
  </hyperlinks>
  <pageMargins left="0.75" right="0.75" top="1" bottom="1" header="0.5" footer="0.5"/>
  <pageSetup scale="48" orientation="portrait" horizontalDpi="300" verticalDpi="300" r:id="rId2"/>
  <headerFooter alignWithMargins="0"/>
  <colBreaks count="1" manualBreakCount="1">
    <brk id="25" max="1048575" man="1"/>
  </colBreaks>
  <drawing r:id="rId3"/>
  <legacyDrawing r:id="rId4"/>
  <mc:AlternateContent xmlns:mc="http://schemas.openxmlformats.org/markup-compatibility/2006">
    <mc:Choice Requires="x14">
      <controls>
        <mc:AlternateContent xmlns:mc="http://schemas.openxmlformats.org/markup-compatibility/2006">
          <mc:Choice Requires="x14">
            <control shapeId="740353" r:id="rId5" name="Drop Down 1">
              <controlPr locked="0" defaultSize="0" autoLine="0" autoPict="0">
                <anchor moveWithCells="1">
                  <from>
                    <xdr:col>0</xdr:col>
                    <xdr:colOff>38100</xdr:colOff>
                    <xdr:row>2</xdr:row>
                    <xdr:rowOff>127000</xdr:rowOff>
                  </from>
                  <to>
                    <xdr:col>1</xdr:col>
                    <xdr:colOff>107950</xdr:colOff>
                    <xdr:row>4</xdr:row>
                    <xdr:rowOff>38100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00FF"/>
  </sheetPr>
  <dimension ref="A1:Z299"/>
  <sheetViews>
    <sheetView zoomScale="70" zoomScaleNormal="70" workbookViewId="0">
      <pane ySplit="5" topLeftCell="A39" activePane="bottomLeft" state="frozenSplit"/>
      <selection pane="bottomLeft" activeCell="B72" sqref="B72"/>
    </sheetView>
  </sheetViews>
  <sheetFormatPr defaultRowHeight="13"/>
  <cols>
    <col min="1" max="1" width="40.453125" customWidth="1"/>
    <col min="2" max="2" width="11.81640625" customWidth="1"/>
    <col min="3" max="3" width="9.453125" style="3" customWidth="1"/>
    <col min="4" max="4" width="10.26953125" customWidth="1"/>
    <col min="5" max="5" width="11.54296875" customWidth="1"/>
    <col min="6" max="6" width="14.81640625" customWidth="1"/>
    <col min="7" max="7" width="12.453125" bestFit="1" customWidth="1"/>
    <col min="8" max="8" width="20.1796875" customWidth="1"/>
    <col min="9" max="9" width="14.453125" customWidth="1"/>
    <col min="10" max="10" width="12.453125" bestFit="1" customWidth="1"/>
    <col min="11" max="11" width="12" customWidth="1"/>
    <col min="12" max="12" width="8.81640625" customWidth="1"/>
    <col min="13" max="13" width="7" customWidth="1"/>
    <col min="14" max="14" width="9.26953125" customWidth="1"/>
    <col min="16" max="16" width="7.1796875" customWidth="1"/>
    <col min="17" max="17" width="11" customWidth="1"/>
    <col min="18" max="18" width="13.81640625" customWidth="1"/>
    <col min="19" max="19" width="5.453125" customWidth="1"/>
    <col min="20" max="20" width="16.26953125" customWidth="1"/>
    <col min="22" max="22" width="9.7265625" customWidth="1"/>
    <col min="23" max="23" width="11.26953125" customWidth="1"/>
    <col min="24" max="24" width="5.81640625" customWidth="1"/>
    <col min="25" max="25" width="12" bestFit="1" customWidth="1"/>
    <col min="26" max="26" width="7.81640625" customWidth="1"/>
  </cols>
  <sheetData>
    <row r="1" spans="1:26" ht="30.75" customHeight="1">
      <c r="A1" s="942" t="s">
        <v>171</v>
      </c>
      <c r="B1" s="942"/>
      <c r="C1" s="942"/>
      <c r="D1" s="942"/>
      <c r="E1" s="942"/>
      <c r="F1" s="942"/>
      <c r="G1" s="942"/>
      <c r="H1" s="942"/>
      <c r="I1" s="942"/>
    </row>
    <row r="2" spans="1:26" ht="12" customHeight="1">
      <c r="A2" s="19"/>
      <c r="B2" s="19" t="s">
        <v>81</v>
      </c>
      <c r="C2" s="20"/>
      <c r="E2" s="19"/>
      <c r="F2" s="19"/>
      <c r="G2" s="19"/>
      <c r="H2" s="19"/>
      <c r="I2" s="19"/>
    </row>
    <row r="3" spans="1:26" ht="11.25" customHeight="1">
      <c r="A3" s="19"/>
      <c r="B3" s="19" t="s">
        <v>100</v>
      </c>
      <c r="C3" s="21"/>
      <c r="E3" s="19"/>
      <c r="F3" s="19"/>
      <c r="G3" s="19"/>
      <c r="H3" s="19"/>
      <c r="I3" s="19"/>
    </row>
    <row r="4" spans="1:26" ht="11.25" customHeight="1">
      <c r="A4" s="19"/>
      <c r="B4" s="19" t="s">
        <v>82</v>
      </c>
      <c r="C4" s="22"/>
      <c r="E4" s="19"/>
      <c r="F4" s="19"/>
      <c r="G4" s="19"/>
      <c r="H4" s="19"/>
      <c r="I4" s="19"/>
    </row>
    <row r="5" spans="1:26">
      <c r="A5" s="3" t="s">
        <v>19</v>
      </c>
      <c r="B5" s="3" t="s">
        <v>6</v>
      </c>
      <c r="C5" s="3" t="s">
        <v>7</v>
      </c>
      <c r="E5" s="941" t="s">
        <v>9</v>
      </c>
      <c r="F5" s="941"/>
      <c r="G5" s="941"/>
      <c r="H5" s="941"/>
      <c r="I5" s="3" t="s">
        <v>173</v>
      </c>
    </row>
    <row r="6" spans="1:26" ht="16" thickBot="1">
      <c r="A6" s="50" t="s">
        <v>61</v>
      </c>
      <c r="B6" s="39"/>
      <c r="C6" s="39"/>
      <c r="D6" s="39"/>
      <c r="E6" s="51"/>
      <c r="F6" s="51"/>
      <c r="G6" s="51"/>
      <c r="H6" s="51"/>
      <c r="I6" s="39"/>
    </row>
    <row r="7" spans="1:26" ht="12.5">
      <c r="A7" s="109" t="s">
        <v>145</v>
      </c>
      <c r="B7" s="9">
        <f>'Design Converter'!E6</f>
        <v>19</v>
      </c>
      <c r="C7" s="31" t="s">
        <v>0</v>
      </c>
      <c r="D7" s="79" t="s">
        <v>146</v>
      </c>
      <c r="E7" s="31"/>
      <c r="F7" s="31"/>
      <c r="G7" s="31"/>
      <c r="H7" s="31"/>
      <c r="I7" s="32">
        <v>1</v>
      </c>
    </row>
    <row r="8" spans="1:26" ht="12.5">
      <c r="A8" s="110" t="s">
        <v>143</v>
      </c>
      <c r="B8" s="10">
        <f>'Design Converter'!E7</f>
        <v>28</v>
      </c>
      <c r="C8" s="7" t="s">
        <v>0</v>
      </c>
      <c r="D8" s="7" t="s">
        <v>10</v>
      </c>
      <c r="F8" s="7"/>
      <c r="G8" s="7"/>
      <c r="H8" s="7"/>
      <c r="I8" s="25"/>
    </row>
    <row r="9" spans="1:26" ht="12.5">
      <c r="A9" s="110" t="s">
        <v>144</v>
      </c>
      <c r="B9" s="10">
        <f>'Design Converter'!E8</f>
        <v>40</v>
      </c>
      <c r="C9" s="7" t="s">
        <v>0</v>
      </c>
      <c r="D9" s="77" t="s">
        <v>147</v>
      </c>
      <c r="F9" s="7"/>
      <c r="G9" s="7"/>
      <c r="H9" s="7"/>
      <c r="I9" s="25"/>
    </row>
    <row r="10" spans="1:26" thickBot="1">
      <c r="A10" s="110"/>
      <c r="B10" s="205"/>
      <c r="C10" s="60"/>
      <c r="D10" s="77"/>
      <c r="F10" s="7"/>
      <c r="G10" s="7"/>
      <c r="H10" s="7"/>
      <c r="I10" s="25"/>
    </row>
    <row r="11" spans="1:26">
      <c r="A11" s="24" t="s">
        <v>4</v>
      </c>
      <c r="B11" s="10">
        <f>'Design Converter'!E10</f>
        <v>28</v>
      </c>
      <c r="C11" s="7" t="s">
        <v>0</v>
      </c>
      <c r="D11" s="77" t="s">
        <v>563</v>
      </c>
      <c r="F11" s="7"/>
      <c r="G11" s="7">
        <f>(Vout+Vfwd2)*Nps</f>
        <v>28.7</v>
      </c>
      <c r="H11" s="7"/>
      <c r="I11" s="25">
        <v>1</v>
      </c>
      <c r="K11" t="str">
        <f>'Variable Mgmt'!B57&amp;" Output PSR Flyback Converter, "&amp;"VIN = "&amp;Vin&amp;" V, VOUT = "&amp;Vout&amp;" V, IOUT = "&amp;Iout&amp;" A"</f>
        <v>SINGLE Output PSR Flyback Converter, VIN = 28 V, VOUT = 28 V, IOUT = 2.5 A</v>
      </c>
      <c r="W11" s="751" t="s">
        <v>788</v>
      </c>
      <c r="X11" s="152"/>
      <c r="Y11" s="152"/>
      <c r="Z11" s="738"/>
    </row>
    <row r="12" spans="1:26" ht="12.5">
      <c r="A12" s="24" t="s">
        <v>5</v>
      </c>
      <c r="B12" s="572">
        <f>'Design Converter'!E11</f>
        <v>2.5</v>
      </c>
      <c r="C12" s="77" t="s">
        <v>1</v>
      </c>
      <c r="D12" s="77" t="s">
        <v>648</v>
      </c>
      <c r="F12" s="7"/>
      <c r="G12" s="7"/>
      <c r="H12" s="7"/>
      <c r="I12" s="25">
        <v>1</v>
      </c>
      <c r="K12" t="str">
        <f>'Variable Mgmt'!B57&amp;" Output PSR Flyback Converter, "&amp;"VIN = "&amp;Vin&amp;" V, VOUT1 = "&amp;Vout&amp;" V, IOUT1 = "&amp;Iout&amp;" A"&amp;", VOUT2 = "&amp;Vout2_actual&amp;" V, IOUT2 = "&amp;Iout2_actual&amp;" A"</f>
        <v>SINGLE Output PSR Flyback Converter, VIN = 28 V, VOUT1 = 28 V, IOUT1 = 2.5 A, VOUT2 = 30 V, IOUT2 = 0.25 A</v>
      </c>
      <c r="L12" s="76"/>
      <c r="W12" s="24"/>
      <c r="X12" s="7" t="s">
        <v>787</v>
      </c>
      <c r="Y12" s="7">
        <f>'Calculations - Single'!AQ105*1000</f>
        <v>279824.21381866798</v>
      </c>
      <c r="Z12" s="25" t="s">
        <v>8</v>
      </c>
    </row>
    <row r="13" spans="1:26" ht="12.5">
      <c r="A13" s="110" t="s">
        <v>168</v>
      </c>
      <c r="B13" s="153">
        <f>Vout/Iout</f>
        <v>11.2</v>
      </c>
      <c r="C13" s="113" t="s">
        <v>45</v>
      </c>
      <c r="D13" s="111" t="s">
        <v>169</v>
      </c>
      <c r="F13" s="7"/>
      <c r="G13" s="7"/>
      <c r="H13" s="7"/>
      <c r="I13" s="25"/>
      <c r="W13" s="24"/>
      <c r="X13" s="7" t="s">
        <v>789</v>
      </c>
      <c r="Y13" s="7">
        <f>Lmag</f>
        <v>4.6999999999999999E-6</v>
      </c>
      <c r="Z13" s="25" t="s">
        <v>11</v>
      </c>
    </row>
    <row r="14" spans="1:26" ht="12.5">
      <c r="A14" s="110" t="s">
        <v>152</v>
      </c>
      <c r="B14" s="571">
        <f>Vout*Iout</f>
        <v>70</v>
      </c>
      <c r="C14" s="60" t="s">
        <v>45</v>
      </c>
      <c r="D14" s="111" t="s">
        <v>158</v>
      </c>
      <c r="F14" s="7"/>
      <c r="G14" s="7"/>
      <c r="H14" s="7"/>
      <c r="I14" s="25"/>
      <c r="L14" s="76"/>
      <c r="W14" s="24"/>
      <c r="X14" s="7" t="s">
        <v>791</v>
      </c>
      <c r="Y14" s="7">
        <f>G11/(G11+VIN_nom/Npri_sec)</f>
        <v>0.50617283950617276</v>
      </c>
      <c r="Z14" s="25"/>
    </row>
    <row r="15" spans="1:26" ht="12.5">
      <c r="B15" s="372"/>
      <c r="C15" s="60"/>
      <c r="D15" s="111"/>
      <c r="F15" s="7"/>
      <c r="G15" s="7"/>
      <c r="H15" s="7"/>
      <c r="I15" s="25"/>
      <c r="L15" s="76"/>
      <c r="W15" s="24"/>
      <c r="X15" s="7" t="s">
        <v>790</v>
      </c>
      <c r="Y15" s="7">
        <f>VIN_nom/Lmag*Y14/Y12</f>
        <v>10.776400391228913</v>
      </c>
      <c r="Z15" s="25" t="s">
        <v>1</v>
      </c>
    </row>
    <row r="16" spans="1:26" ht="12.5">
      <c r="A16" s="110" t="s">
        <v>608</v>
      </c>
      <c r="B16" s="573">
        <f>ABS('Design Converter'!E12)</f>
        <v>30</v>
      </c>
      <c r="C16" s="7" t="s">
        <v>0</v>
      </c>
      <c r="D16" s="77" t="s">
        <v>565</v>
      </c>
      <c r="F16" s="7"/>
      <c r="G16" s="7"/>
      <c r="H16" s="7"/>
      <c r="I16" s="25"/>
      <c r="L16" s="76"/>
      <c r="W16" s="24"/>
      <c r="X16" s="7" t="s">
        <v>792</v>
      </c>
      <c r="Y16" s="7">
        <f>0.5*Y15^2*Y13*Y12</f>
        <v>76.366096599572771</v>
      </c>
      <c r="Z16" s="25"/>
    </row>
    <row r="17" spans="1:26">
      <c r="A17" s="110" t="s">
        <v>609</v>
      </c>
      <c r="B17" s="611">
        <f>'Design Converter'!E12</f>
        <v>30</v>
      </c>
      <c r="C17" s="60" t="s">
        <v>0</v>
      </c>
      <c r="D17" s="77"/>
      <c r="F17" s="7"/>
      <c r="G17" s="7"/>
      <c r="H17" s="7"/>
      <c r="I17" s="25"/>
      <c r="L17" s="76"/>
      <c r="P17" s="3" t="s">
        <v>769</v>
      </c>
      <c r="W17" s="24"/>
      <c r="X17" s="7" t="s">
        <v>769</v>
      </c>
      <c r="Y17" s="39" t="str">
        <f>IF((Y16/(G11*Iout))&lt;1.01, "BCM", "DCM")</f>
        <v>DCM</v>
      </c>
      <c r="Z17" s="25"/>
    </row>
    <row r="18" spans="1:26">
      <c r="A18" s="110" t="s">
        <v>498</v>
      </c>
      <c r="B18" s="573">
        <f>ABS('Design Converter'!E13)</f>
        <v>0.25</v>
      </c>
      <c r="C18" s="77" t="s">
        <v>1</v>
      </c>
      <c r="D18" s="77" t="s">
        <v>564</v>
      </c>
      <c r="F18" s="7"/>
      <c r="G18" s="7"/>
      <c r="H18" s="7"/>
      <c r="I18" s="25"/>
      <c r="L18" s="76"/>
      <c r="P18" s="3" t="s">
        <v>768</v>
      </c>
      <c r="Q18">
        <v>1</v>
      </c>
      <c r="W18" s="24"/>
      <c r="X18" s="7"/>
      <c r="Y18" s="7"/>
      <c r="Z18" s="25"/>
    </row>
    <row r="19" spans="1:26" ht="13.5" thickBot="1">
      <c r="A19" s="111" t="s">
        <v>647</v>
      </c>
      <c r="B19">
        <f>Iout2*SIGN(Vout2_actual)</f>
        <v>0.25</v>
      </c>
      <c r="C19" s="76" t="s">
        <v>1</v>
      </c>
      <c r="F19" s="7"/>
      <c r="G19" s="7"/>
      <c r="H19" s="7"/>
      <c r="I19" s="25"/>
      <c r="L19" s="76"/>
      <c r="P19" s="3" t="s">
        <v>767</v>
      </c>
      <c r="Q19">
        <v>2</v>
      </c>
      <c r="W19" s="748"/>
      <c r="X19" s="180" t="s">
        <v>793</v>
      </c>
      <c r="Y19" s="180">
        <f>Vout*Iout</f>
        <v>70</v>
      </c>
      <c r="Z19" s="750"/>
    </row>
    <row r="20" spans="1:26">
      <c r="A20" s="110" t="s">
        <v>499</v>
      </c>
      <c r="B20" s="571">
        <f>ABS(Vout2/Iout2)</f>
        <v>120</v>
      </c>
      <c r="C20" s="113" t="s">
        <v>45</v>
      </c>
      <c r="D20" s="111" t="s">
        <v>501</v>
      </c>
      <c r="F20" s="7"/>
      <c r="G20" s="7"/>
      <c r="H20" s="7"/>
      <c r="I20" s="25"/>
      <c r="K20" s="76" t="s">
        <v>530</v>
      </c>
      <c r="L20" s="76" t="s">
        <v>531</v>
      </c>
      <c r="Q20" s="3">
        <v>2</v>
      </c>
    </row>
    <row r="21" spans="1:26" ht="12.5">
      <c r="A21" s="110" t="s">
        <v>500</v>
      </c>
      <c r="B21" s="571">
        <f>ABS(Vout2*Iout2)</f>
        <v>7.5</v>
      </c>
      <c r="C21" s="60" t="s">
        <v>45</v>
      </c>
      <c r="D21" s="111" t="s">
        <v>502</v>
      </c>
      <c r="F21" s="7"/>
      <c r="G21" s="7"/>
      <c r="H21" s="7"/>
      <c r="I21" s="25"/>
      <c r="K21">
        <v>5</v>
      </c>
      <c r="L21" s="76">
        <v>-5</v>
      </c>
    </row>
    <row r="22" spans="1:26" ht="12.5">
      <c r="A22" s="110" t="s">
        <v>503</v>
      </c>
      <c r="B22" s="571">
        <f>CHOOSE(MODE, Pout, Pout + Pout2)</f>
        <v>70</v>
      </c>
      <c r="C22" s="60" t="s">
        <v>45</v>
      </c>
      <c r="D22" s="111" t="s">
        <v>504</v>
      </c>
      <c r="F22" s="7"/>
      <c r="G22" s="7"/>
      <c r="H22" s="7"/>
      <c r="I22" s="25"/>
      <c r="K22">
        <v>0.2</v>
      </c>
      <c r="L22" s="76">
        <v>0.2</v>
      </c>
    </row>
    <row r="23" spans="1:26" ht="12.5">
      <c r="A23" s="110"/>
      <c r="B23" s="372"/>
      <c r="C23" s="60"/>
      <c r="D23" s="111"/>
      <c r="F23" s="7"/>
      <c r="G23" s="7"/>
      <c r="H23" s="7"/>
      <c r="I23" s="25"/>
      <c r="L23" s="76"/>
    </row>
    <row r="24" spans="1:26">
      <c r="A24" s="34" t="str">
        <f>CHOOSE(MODE, "Turns Ratio, PRI : SEC", "Turns Ratio, PRI : SEC1")</f>
        <v>Turns Ratio, PRI : SEC</v>
      </c>
      <c r="B24" s="556" t="str">
        <f>Nps</f>
        <v>1</v>
      </c>
      <c r="C24" s="60"/>
      <c r="D24" s="111" t="str">
        <f>CHOOSE(MODE, "TR primary-secondary (single output) = Np/Ns", "TR primary-secondary1 (dual output) = Np/Nsec1")</f>
        <v>TR primary-secondary (single output) = Np/Ns</v>
      </c>
      <c r="F24" s="7"/>
      <c r="G24" s="7"/>
      <c r="H24" s="7"/>
      <c r="I24" s="25"/>
      <c r="L24" s="76"/>
    </row>
    <row r="25" spans="1:26">
      <c r="A25" s="34" t="s">
        <v>576</v>
      </c>
      <c r="B25" s="173">
        <f>Npri_sec2</f>
        <v>0.94098360655737712</v>
      </c>
      <c r="D25" s="111" t="s">
        <v>577</v>
      </c>
      <c r="F25" s="7"/>
      <c r="G25" s="7"/>
      <c r="H25" s="7"/>
      <c r="I25" s="25"/>
      <c r="L25" s="76"/>
    </row>
    <row r="26" spans="1:26" ht="13.5" thickBot="1">
      <c r="A26" s="34" t="s">
        <v>589</v>
      </c>
      <c r="B26" s="610">
        <f>Nsec1sec2</f>
        <v>1.0627177700348431</v>
      </c>
      <c r="D26" s="76" t="s">
        <v>578</v>
      </c>
      <c r="F26" s="7"/>
      <c r="G26" s="7"/>
      <c r="H26" s="7"/>
      <c r="I26" s="25"/>
      <c r="L26" s="76"/>
      <c r="R26" s="157" t="s">
        <v>389</v>
      </c>
      <c r="V26" s="157" t="s">
        <v>389</v>
      </c>
    </row>
    <row r="27" spans="1:26">
      <c r="H27" s="7"/>
      <c r="I27" s="25"/>
      <c r="K27" s="157" t="s">
        <v>529</v>
      </c>
      <c r="P27" s="737"/>
      <c r="Q27" s="152"/>
      <c r="R27" s="155" t="s">
        <v>571</v>
      </c>
      <c r="S27" s="152"/>
      <c r="T27" s="152"/>
      <c r="U27" s="152"/>
      <c r="V27" s="155" t="s">
        <v>572</v>
      </c>
      <c r="W27" s="738"/>
    </row>
    <row r="28" spans="1:26" ht="12.5">
      <c r="A28" s="76" t="s">
        <v>610</v>
      </c>
      <c r="B28" s="5">
        <f>Vout+VIN_max/Nps</f>
        <v>68</v>
      </c>
      <c r="C28" s="76" t="s">
        <v>0</v>
      </c>
      <c r="G28" s="7"/>
      <c r="H28" s="7"/>
      <c r="I28" s="25"/>
      <c r="K28" s="76" t="s">
        <v>526</v>
      </c>
      <c r="L28">
        <v>1</v>
      </c>
      <c r="P28" s="24"/>
      <c r="Q28" s="7"/>
      <c r="R28" s="7" t="str">
        <f>"5 : 1"</f>
        <v>5 : 1</v>
      </c>
      <c r="S28" s="7">
        <v>1</v>
      </c>
      <c r="T28" s="7">
        <f>5</f>
        <v>5</v>
      </c>
      <c r="U28" s="7"/>
      <c r="V28" s="7" t="str">
        <f>"5 : 1"</f>
        <v>5 : 1</v>
      </c>
      <c r="W28" s="25">
        <v>1</v>
      </c>
    </row>
    <row r="29" spans="1:26">
      <c r="F29" s="7"/>
      <c r="G29" s="7"/>
      <c r="H29" s="7"/>
      <c r="I29" s="25"/>
      <c r="K29" s="76" t="s">
        <v>527</v>
      </c>
      <c r="L29">
        <v>2</v>
      </c>
      <c r="P29" s="24"/>
      <c r="Q29" s="7"/>
      <c r="R29" s="7" t="str">
        <f>"4 : 1"</f>
        <v>4 : 1</v>
      </c>
      <c r="S29" s="7">
        <v>2</v>
      </c>
      <c r="T29" s="7">
        <v>4</v>
      </c>
      <c r="U29" s="7"/>
      <c r="V29" s="7" t="str">
        <f>"4 : 1"</f>
        <v>4 : 1</v>
      </c>
      <c r="W29" s="25">
        <v>2</v>
      </c>
    </row>
    <row r="30" spans="1:26" ht="12.5">
      <c r="A30" s="110" t="s">
        <v>436</v>
      </c>
      <c r="B30" s="371">
        <f>1%*Vout*1000</f>
        <v>280</v>
      </c>
      <c r="C30" s="60" t="s">
        <v>149</v>
      </c>
      <c r="D30" s="111" t="s">
        <v>454</v>
      </c>
      <c r="F30" s="7"/>
      <c r="G30" s="7"/>
      <c r="H30" s="7"/>
      <c r="I30" s="25"/>
      <c r="K30" s="76" t="s">
        <v>528</v>
      </c>
      <c r="L30">
        <v>3</v>
      </c>
      <c r="P30" s="24"/>
      <c r="Q30" s="7"/>
      <c r="R30" s="7" t="str">
        <f>"3 : 1"</f>
        <v>3 : 1</v>
      </c>
      <c r="S30" s="7">
        <v>3</v>
      </c>
      <c r="T30" s="7">
        <v>3</v>
      </c>
      <c r="U30" s="7"/>
      <c r="V30" s="7" t="str">
        <f>"3 : 1"</f>
        <v>3 : 1</v>
      </c>
      <c r="W30" s="25">
        <v>3</v>
      </c>
    </row>
    <row r="31" spans="1:26" ht="12.5">
      <c r="A31" s="110" t="s">
        <v>547</v>
      </c>
      <c r="B31" s="371">
        <f>1%*Vout2*1000</f>
        <v>300</v>
      </c>
      <c r="C31" s="60" t="s">
        <v>149</v>
      </c>
      <c r="D31" s="111" t="s">
        <v>546</v>
      </c>
      <c r="F31" s="7"/>
      <c r="G31" s="7"/>
      <c r="H31" s="7"/>
      <c r="I31" s="25"/>
      <c r="P31" s="24"/>
      <c r="Q31" s="7"/>
      <c r="R31" s="7" t="str">
        <f>"2.5 : 1"</f>
        <v>2.5 : 1</v>
      </c>
      <c r="S31" s="7">
        <v>4</v>
      </c>
      <c r="T31" s="7">
        <v>2.5</v>
      </c>
      <c r="U31" s="7"/>
      <c r="V31" s="7" t="str">
        <f>"2.5 : 1"</f>
        <v>2.5 : 1</v>
      </c>
      <c r="W31" s="25">
        <v>4</v>
      </c>
    </row>
    <row r="32" spans="1:26">
      <c r="F32" s="7"/>
      <c r="G32" s="7"/>
      <c r="H32" s="7"/>
      <c r="I32" s="25"/>
      <c r="P32" s="24"/>
      <c r="Q32" s="739"/>
      <c r="R32" s="7" t="str">
        <f>"2 : 1"</f>
        <v>2 : 1</v>
      </c>
      <c r="S32" s="7">
        <v>5</v>
      </c>
      <c r="T32" s="12">
        <v>2</v>
      </c>
      <c r="U32" s="7"/>
      <c r="V32" s="7" t="str">
        <f>"2 : 1"</f>
        <v>2 : 1</v>
      </c>
      <c r="W32" s="25">
        <v>5</v>
      </c>
    </row>
    <row r="33" spans="1:23">
      <c r="F33" s="7"/>
      <c r="G33" s="7"/>
      <c r="H33" s="7"/>
      <c r="I33" s="25"/>
      <c r="P33" s="24"/>
      <c r="Q33" s="739"/>
      <c r="R33" s="7" t="str">
        <f>"1.8 :1"</f>
        <v>1.8 :1</v>
      </c>
      <c r="S33" s="7">
        <v>6</v>
      </c>
      <c r="T33" s="12">
        <v>1.8</v>
      </c>
      <c r="U33" s="7"/>
      <c r="V33" s="7" t="str">
        <f>"1.8 : 1"</f>
        <v>1.8 : 1</v>
      </c>
      <c r="W33" s="25">
        <v>6</v>
      </c>
    </row>
    <row r="34" spans="1:23" ht="12.5">
      <c r="A34" s="110" t="s">
        <v>47</v>
      </c>
      <c r="B34" s="612">
        <v>1</v>
      </c>
      <c r="C34" s="60"/>
      <c r="D34" s="77" t="s">
        <v>175</v>
      </c>
      <c r="F34" s="7"/>
      <c r="G34" s="7"/>
      <c r="H34" s="7"/>
      <c r="I34" s="25"/>
      <c r="P34" s="24"/>
      <c r="Q34" s="7"/>
      <c r="R34" s="7" t="str">
        <f>"1.5 : 1"</f>
        <v>1.5 : 1</v>
      </c>
      <c r="S34" s="7">
        <v>7</v>
      </c>
      <c r="T34" s="12">
        <v>1.5</v>
      </c>
      <c r="U34" s="7"/>
      <c r="V34" s="7" t="str">
        <f>"1.5 : 1"</f>
        <v>1.5 : 1</v>
      </c>
      <c r="W34" s="25">
        <v>7</v>
      </c>
    </row>
    <row r="35" spans="1:23" ht="12.5">
      <c r="A35" s="110"/>
      <c r="B35" s="612"/>
      <c r="C35" s="60"/>
      <c r="D35" s="77"/>
      <c r="F35" s="7"/>
      <c r="G35" s="7"/>
      <c r="H35" s="7"/>
      <c r="I35" s="25"/>
      <c r="P35" s="24"/>
      <c r="Q35" s="7"/>
      <c r="R35" s="7" t="str">
        <f>"1.2 : 1"</f>
        <v>1.2 : 1</v>
      </c>
      <c r="S35" s="7">
        <v>8</v>
      </c>
      <c r="T35" s="12">
        <v>1.2</v>
      </c>
      <c r="U35" s="7"/>
      <c r="V35" s="740" t="s">
        <v>785</v>
      </c>
      <c r="W35" s="25">
        <v>8</v>
      </c>
    </row>
    <row r="36" spans="1:23" ht="12.5">
      <c r="A36" s="110" t="s">
        <v>156</v>
      </c>
      <c r="B36" s="420">
        <f>Pout_total/Efficiency</f>
        <v>70</v>
      </c>
      <c r="C36" s="60" t="s">
        <v>45</v>
      </c>
      <c r="D36" s="111" t="s">
        <v>455</v>
      </c>
      <c r="F36" s="7"/>
      <c r="G36" s="7"/>
      <c r="H36" s="7"/>
      <c r="I36" s="25"/>
      <c r="P36" s="24"/>
      <c r="Q36" s="7"/>
      <c r="R36" s="7" t="str">
        <f>"1 : 1"</f>
        <v>1 : 1</v>
      </c>
      <c r="S36" s="7">
        <v>9</v>
      </c>
      <c r="T36" s="12">
        <v>1</v>
      </c>
      <c r="U36" s="7"/>
      <c r="V36" s="7" t="str">
        <f>"1 : 1"</f>
        <v>1 : 1</v>
      </c>
      <c r="W36" s="25">
        <v>9</v>
      </c>
    </row>
    <row r="37" spans="1:23" ht="12.5">
      <c r="A37" s="110"/>
      <c r="B37" s="420"/>
      <c r="C37" s="60"/>
      <c r="D37" s="111"/>
      <c r="F37" s="7"/>
      <c r="G37" s="7"/>
      <c r="H37" s="7"/>
      <c r="I37" s="25"/>
      <c r="P37" s="24"/>
      <c r="Q37" s="7"/>
      <c r="R37" s="7" t="str">
        <f>"1 : 1.2"</f>
        <v>1 : 1.2</v>
      </c>
      <c r="S37" s="7">
        <v>10</v>
      </c>
      <c r="T37" s="7">
        <f>1/1.2</f>
        <v>0.83333333333333337</v>
      </c>
      <c r="U37" s="7"/>
      <c r="V37" s="740" t="s">
        <v>786</v>
      </c>
      <c r="W37" s="25">
        <v>10</v>
      </c>
    </row>
    <row r="38" spans="1:23" ht="12.5">
      <c r="A38" s="110" t="s">
        <v>153</v>
      </c>
      <c r="B38" s="162">
        <f>Pin/VIN_min</f>
        <v>3.6842105263157894</v>
      </c>
      <c r="C38" s="60" t="s">
        <v>1</v>
      </c>
      <c r="D38" s="77"/>
      <c r="F38" s="7"/>
      <c r="G38" s="7"/>
      <c r="H38" s="7"/>
      <c r="I38" s="25"/>
      <c r="P38" s="24"/>
      <c r="Q38" s="7"/>
      <c r="R38" s="7" t="str">
        <f>"1 : 1.5"</f>
        <v>1 : 1.5</v>
      </c>
      <c r="S38" s="7">
        <v>11</v>
      </c>
      <c r="T38" s="7">
        <f>1/1.5</f>
        <v>0.66666666666666663</v>
      </c>
      <c r="U38" s="7"/>
      <c r="V38" s="7" t="str">
        <f>"1 : 1.5"</f>
        <v>1 : 1.5</v>
      </c>
      <c r="W38" s="25">
        <v>11</v>
      </c>
    </row>
    <row r="39" spans="1:23" ht="12.5">
      <c r="A39" s="110"/>
      <c r="B39" s="162"/>
      <c r="C39" s="60"/>
      <c r="D39" s="77"/>
      <c r="F39" s="7"/>
      <c r="G39" s="7"/>
      <c r="H39" s="7"/>
      <c r="I39" s="25"/>
      <c r="P39" s="24"/>
      <c r="Q39" s="7"/>
      <c r="R39" s="7" t="str">
        <f>"1 : 1.8"</f>
        <v>1 : 1.8</v>
      </c>
      <c r="S39" s="7">
        <v>12</v>
      </c>
      <c r="T39" s="7">
        <f>1/1.8</f>
        <v>0.55555555555555558</v>
      </c>
      <c r="U39" s="7"/>
      <c r="V39" s="7" t="str">
        <f>"1 : 1.8"</f>
        <v>1 : 1.8</v>
      </c>
      <c r="W39" s="25">
        <v>12</v>
      </c>
    </row>
    <row r="40" spans="1:23" ht="12.5">
      <c r="A40" s="110" t="s">
        <v>154</v>
      </c>
      <c r="B40" s="162">
        <f>Pin/VIN_nom</f>
        <v>2.5</v>
      </c>
      <c r="C40" s="60" t="s">
        <v>1</v>
      </c>
      <c r="D40" s="111" t="s">
        <v>159</v>
      </c>
      <c r="F40" s="7"/>
      <c r="G40" s="7"/>
      <c r="H40" s="7"/>
      <c r="I40" s="25">
        <v>1</v>
      </c>
      <c r="K40" s="76"/>
      <c r="P40" s="24"/>
      <c r="Q40" s="7"/>
      <c r="R40" s="7" t="str">
        <f>"1 : 2"</f>
        <v>1 : 2</v>
      </c>
      <c r="S40" s="7">
        <v>13</v>
      </c>
      <c r="T40" s="7">
        <f>1/2</f>
        <v>0.5</v>
      </c>
      <c r="U40" s="7"/>
      <c r="V40" s="7" t="str">
        <f>"1 : 2"</f>
        <v>1 : 2</v>
      </c>
      <c r="W40" s="25">
        <v>13</v>
      </c>
    </row>
    <row r="41" spans="1:23" ht="12.5">
      <c r="A41" s="110"/>
      <c r="B41" s="162"/>
      <c r="C41" s="60"/>
      <c r="D41" s="111"/>
      <c r="F41" s="7"/>
      <c r="G41" s="7"/>
      <c r="H41" s="7"/>
      <c r="I41" s="25"/>
      <c r="K41" s="76"/>
      <c r="P41" s="24"/>
      <c r="Q41" s="7"/>
      <c r="R41" s="7" t="str">
        <f>"1 : 2.5"</f>
        <v>1 : 2.5</v>
      </c>
      <c r="S41" s="7">
        <v>14</v>
      </c>
      <c r="T41" s="7">
        <f>1/2.5</f>
        <v>0.4</v>
      </c>
      <c r="U41" s="7"/>
      <c r="V41" s="7" t="str">
        <f>"1 : 2.5"</f>
        <v>1 : 2.5</v>
      </c>
      <c r="W41" s="25">
        <v>14</v>
      </c>
    </row>
    <row r="42" spans="1:23" ht="12.5">
      <c r="A42" s="110" t="s">
        <v>155</v>
      </c>
      <c r="B42" s="162">
        <f>Pin/VIN_max</f>
        <v>1.75</v>
      </c>
      <c r="C42" s="60" t="s">
        <v>1</v>
      </c>
      <c r="D42" s="77"/>
      <c r="F42" s="7"/>
      <c r="G42" s="7"/>
      <c r="H42" s="7"/>
      <c r="I42" s="25"/>
      <c r="P42" s="24"/>
      <c r="Q42" s="7"/>
      <c r="R42" s="7" t="str">
        <f>"1 : 3"</f>
        <v>1 : 3</v>
      </c>
      <c r="S42" s="7">
        <v>15</v>
      </c>
      <c r="T42" s="7">
        <f>1/3</f>
        <v>0.33333333333333331</v>
      </c>
      <c r="U42" s="7"/>
      <c r="V42" s="7" t="str">
        <f>"1 : 3"</f>
        <v>1 : 3</v>
      </c>
      <c r="W42" s="25">
        <v>15</v>
      </c>
    </row>
    <row r="43" spans="1:23" ht="12.5">
      <c r="A43" s="110" t="s">
        <v>607</v>
      </c>
      <c r="B43" s="162">
        <f>CHOOSE(MODE,'Calculations - Single'!H212,'Calculations - Dual'!H212+'Calculations - Dual'!I212)*0+CHOOSE(MODE,'Calculations - Single'!H212,'Calculations - Dual'!O212+'Calculations - Dual'!P212)</f>
        <v>95.556660148986026</v>
      </c>
      <c r="C43" s="60" t="s">
        <v>45</v>
      </c>
      <c r="D43" s="77" t="b">
        <f>B43&lt;Pout_total</f>
        <v>0</v>
      </c>
      <c r="F43" s="7"/>
      <c r="G43" s="7"/>
      <c r="H43" s="7"/>
      <c r="I43" s="25"/>
      <c r="P43" s="24"/>
      <c r="Q43" s="7"/>
      <c r="R43" s="7" t="str">
        <f>"1 : 4"</f>
        <v>1 : 4</v>
      </c>
      <c r="S43" s="7">
        <v>16</v>
      </c>
      <c r="T43" s="7">
        <f>1/4</f>
        <v>0.25</v>
      </c>
      <c r="U43" s="7"/>
      <c r="V43" s="7" t="str">
        <f>R43</f>
        <v>1 : 4</v>
      </c>
      <c r="W43" s="25">
        <v>16</v>
      </c>
    </row>
    <row r="44" spans="1:23">
      <c r="A44" s="110"/>
      <c r="B44" s="518"/>
      <c r="C44" s="111"/>
      <c r="D44" s="77"/>
      <c r="F44" s="7"/>
      <c r="G44" s="7"/>
      <c r="H44" s="7"/>
      <c r="I44" s="25"/>
      <c r="P44" s="24"/>
      <c r="Q44" s="7"/>
      <c r="R44" s="7" t="str">
        <f>"1 : 5"</f>
        <v>1 : 5</v>
      </c>
      <c r="S44" s="7">
        <v>17</v>
      </c>
      <c r="T44" s="7">
        <f>1/5</f>
        <v>0.2</v>
      </c>
      <c r="U44" s="741"/>
      <c r="V44" s="7" t="str">
        <f>"1 : 5"</f>
        <v>1 : 5</v>
      </c>
      <c r="W44" s="25">
        <v>17</v>
      </c>
    </row>
    <row r="45" spans="1:23">
      <c r="A45" s="110" t="s">
        <v>428</v>
      </c>
      <c r="B45" s="132">
        <v>350000</v>
      </c>
      <c r="C45" s="111" t="s">
        <v>8</v>
      </c>
      <c r="D45" s="77" t="s">
        <v>566</v>
      </c>
      <c r="F45" s="7"/>
      <c r="G45" s="7"/>
      <c r="H45" s="7"/>
      <c r="I45" s="25"/>
      <c r="P45" s="24"/>
      <c r="Q45" s="741" t="s">
        <v>388</v>
      </c>
      <c r="R45" s="374" t="str">
        <f>CHOOSE(Turns_Ratio, "5 : 1", "4 : 1", "3 : 1", "2.5 : 1", "2 : 1", "1.8 : 1", "1.5 : 1", "1.2 : 1", "1 : 1", "1 : 1.2", "1 : 1.5", "1 : 1.8", "1 : 2",  "1 : 2.5","1 : 3", "1 : 4", "1 : 5")</f>
        <v>1 : 1</v>
      </c>
      <c r="S45" s="39">
        <v>9</v>
      </c>
      <c r="T45" s="7"/>
      <c r="U45" s="741" t="s">
        <v>570</v>
      </c>
      <c r="V45" s="596" t="str">
        <f>CHOOSE(Turns_Ratio2, "5 : 1", "4 : 1", "3 : 1", "2.5 : 1", "2 : 1", "1.8 : 1","1.5 : 1", "1.2 : 1", "1 : 1", "1 : 1.2", "1 : 1.5", "1 : 2",  "1 : 2.5","1 : 3", "1 : 4", "1 : 5")</f>
        <v>1 : 1</v>
      </c>
      <c r="W45" s="25">
        <v>9</v>
      </c>
    </row>
    <row r="46" spans="1:23">
      <c r="A46" s="26" t="s">
        <v>18</v>
      </c>
      <c r="B46" s="731">
        <v>1</v>
      </c>
      <c r="C46" s="7" t="s">
        <v>0</v>
      </c>
      <c r="D46" s="732" t="s">
        <v>782</v>
      </c>
      <c r="F46" s="7"/>
      <c r="G46" s="7"/>
      <c r="H46" s="7"/>
      <c r="I46" s="25"/>
      <c r="P46" s="24"/>
      <c r="Q46" s="7"/>
      <c r="R46" s="7"/>
      <c r="S46" s="7"/>
      <c r="T46" s="7"/>
      <c r="U46" s="7"/>
      <c r="V46" s="7"/>
      <c r="W46" s="25"/>
    </row>
    <row r="47" spans="1:23">
      <c r="A47" s="110" t="s">
        <v>386</v>
      </c>
      <c r="B47" s="163">
        <f>'Design Converter'!E40*1000</f>
        <v>284000</v>
      </c>
      <c r="C47" s="113" t="s">
        <v>45</v>
      </c>
      <c r="D47" s="111" t="s">
        <v>567</v>
      </c>
      <c r="F47" s="7"/>
      <c r="G47" s="7"/>
      <c r="H47" s="7"/>
      <c r="I47" s="25"/>
      <c r="P47" s="24"/>
      <c r="Q47" s="77" t="s">
        <v>447</v>
      </c>
      <c r="R47" s="374" t="str">
        <f>CHOOSE(Turns_Ratio, "5", "4 ", "3", "2.5", "2", "1.8", "1.5", "1.2", "1", "0.833",  "0.667", "0.556", "0.5", "0.4", "0.33", "0.25", "0.2")</f>
        <v>1</v>
      </c>
      <c r="S47" s="7"/>
      <c r="T47" s="7"/>
      <c r="U47" s="7"/>
      <c r="V47" s="77" t="s">
        <v>574</v>
      </c>
      <c r="W47" s="742" t="str">
        <f>CHOOSE(Turns_Ratio, "1", "1", "1", "1", "1", "1", "1", "1", "1", "1.2", "1.5", "1.8",  "2", "2.5", "3", "4", "5")</f>
        <v>1</v>
      </c>
    </row>
    <row r="48" spans="1:23">
      <c r="A48" s="110"/>
      <c r="B48" s="371"/>
      <c r="C48" s="113"/>
      <c r="D48" s="60"/>
      <c r="F48" s="7"/>
      <c r="G48" s="7"/>
      <c r="H48" s="7"/>
      <c r="I48" s="25"/>
      <c r="K48" s="76" t="s">
        <v>390</v>
      </c>
      <c r="P48" s="24"/>
      <c r="Q48" s="77" t="s">
        <v>494</v>
      </c>
      <c r="R48" s="374" t="str">
        <f>CHOOSE(Turns_Ratio, "5", "4 ", "3", "2.5", "2", "1.8", "1.5", "1.2", "1", "0.833",  "0.667","0.556", "0.5", "0.4", "0.333", "0.25", "0.2")</f>
        <v>1</v>
      </c>
      <c r="S48" s="7"/>
      <c r="T48" s="7"/>
      <c r="U48" s="7"/>
      <c r="V48" s="77" t="s">
        <v>573</v>
      </c>
      <c r="W48" s="743">
        <f>Nsec1sec2</f>
        <v>1.0627177700348431</v>
      </c>
    </row>
    <row r="49" spans="1:23" ht="15.5">
      <c r="A49" s="110" t="s">
        <v>387</v>
      </c>
      <c r="B49" s="518">
        <v>0.1</v>
      </c>
      <c r="C49" s="77" t="s">
        <v>45</v>
      </c>
      <c r="D49" s="111" t="s">
        <v>568</v>
      </c>
      <c r="F49" s="596" t="s">
        <v>569</v>
      </c>
      <c r="G49" s="7"/>
      <c r="H49" s="7"/>
      <c r="I49" s="25"/>
      <c r="P49" s="24"/>
      <c r="Q49" s="77" t="s">
        <v>573</v>
      </c>
      <c r="R49" s="744">
        <f>ABS((Vout2+Vfwd22)/(Vout+Vfwd2))</f>
        <v>1.0627177700348431</v>
      </c>
      <c r="S49" s="7"/>
      <c r="T49" s="7"/>
      <c r="U49" s="7"/>
      <c r="V49" s="39"/>
      <c r="W49" s="745">
        <f>W47*W48</f>
        <v>1.0627177700348431</v>
      </c>
    </row>
    <row r="50" spans="1:23" ht="13.5" thickBot="1">
      <c r="A50" s="28"/>
      <c r="B50" s="29"/>
      <c r="C50" s="80"/>
      <c r="D50" s="29"/>
      <c r="E50" s="29"/>
      <c r="F50" s="29"/>
      <c r="G50" s="29"/>
      <c r="H50" s="29"/>
      <c r="I50" s="30"/>
      <c r="K50" s="441" t="str">
        <f>"SCH_"&amp;B57&amp;"_"&amp;F62&amp;"_"&amp;I62&amp;"_"&amp;F56</f>
        <v>SCH_SINGLE_UVLOadj_SSint_TCno</v>
      </c>
      <c r="P50" s="24"/>
      <c r="Q50" s="386" t="s">
        <v>495</v>
      </c>
      <c r="R50" s="746">
        <f>Nps/Nsec1sec2</f>
        <v>0.94098360655737712</v>
      </c>
      <c r="S50" s="7"/>
      <c r="T50" s="7"/>
      <c r="U50" s="7"/>
      <c r="V50" s="377" t="s">
        <v>575</v>
      </c>
      <c r="W50" s="747" t="str">
        <f>CHOOSE(MODE, R45, R45&amp;" : "&amp;ROUND(W49,2))</f>
        <v>1 : 1</v>
      </c>
    </row>
    <row r="51" spans="1:23" ht="13.5" thickBot="1">
      <c r="A51" s="7"/>
      <c r="B51" s="7"/>
      <c r="C51" s="39"/>
      <c r="D51" s="7"/>
      <c r="E51" s="7"/>
      <c r="F51" s="7"/>
      <c r="G51" s="7"/>
      <c r="H51" s="7"/>
      <c r="I51" s="7"/>
      <c r="P51" s="748"/>
      <c r="Q51" s="180"/>
      <c r="R51" s="749">
        <f>ROUND(Nsec1sec2,1)</f>
        <v>1.1000000000000001</v>
      </c>
      <c r="S51" s="180"/>
      <c r="T51" s="180"/>
      <c r="U51" s="180"/>
      <c r="V51" s="180"/>
      <c r="W51" s="750"/>
    </row>
    <row r="52" spans="1:23" ht="16" thickBot="1">
      <c r="A52" s="50" t="s">
        <v>557</v>
      </c>
      <c r="B52" s="7"/>
      <c r="C52" s="39"/>
      <c r="D52" s="7"/>
      <c r="E52" s="7"/>
      <c r="F52" s="7"/>
      <c r="G52" s="7"/>
      <c r="H52" s="7"/>
      <c r="I52" s="7"/>
    </row>
    <row r="53" spans="1:23" ht="15.5">
      <c r="A53" s="380"/>
      <c r="B53" s="381"/>
      <c r="C53" s="382"/>
      <c r="D53" s="381"/>
      <c r="E53" s="381"/>
      <c r="F53" s="381"/>
      <c r="G53" s="381"/>
      <c r="H53" s="381"/>
      <c r="I53" s="433"/>
      <c r="J53" s="433"/>
      <c r="K53" s="433"/>
      <c r="L53" s="433"/>
      <c r="M53" s="433"/>
      <c r="N53" s="433"/>
      <c r="O53" s="24"/>
    </row>
    <row r="54" spans="1:23">
      <c r="A54" s="377" t="s">
        <v>361</v>
      </c>
      <c r="B54" s="77" t="s">
        <v>362</v>
      </c>
      <c r="C54" s="434">
        <v>1</v>
      </c>
      <c r="D54" s="7"/>
      <c r="E54" s="377" t="s">
        <v>375</v>
      </c>
      <c r="F54" s="77" t="s">
        <v>364</v>
      </c>
      <c r="G54" s="160" t="b">
        <v>1</v>
      </c>
      <c r="I54" s="154" t="s">
        <v>300</v>
      </c>
      <c r="J54" s="160">
        <v>1</v>
      </c>
      <c r="K54" t="str">
        <f>B57&amp;", "&amp;F56&amp;", "&amp;I56&amp;", "&amp;F62&amp;", "&amp;I62</f>
        <v>SINGLE, TCno, IlimRes, UVLOadj, SSint</v>
      </c>
      <c r="O54" s="24"/>
    </row>
    <row r="55" spans="1:23">
      <c r="A55" s="376"/>
      <c r="B55" s="77" t="s">
        <v>363</v>
      </c>
      <c r="C55" s="434">
        <v>2</v>
      </c>
      <c r="D55" s="7"/>
      <c r="E55" s="37"/>
      <c r="F55" s="77" t="s">
        <v>365</v>
      </c>
      <c r="G55" s="160" t="b">
        <v>0</v>
      </c>
      <c r="I55" s="154" t="s">
        <v>301</v>
      </c>
      <c r="J55" s="160">
        <v>2</v>
      </c>
      <c r="K55" t="str">
        <f>C57&amp;", "&amp;G56&amp;", "&amp;J56&amp;", "&amp;G62&amp;", "&amp;J62</f>
        <v>1, 2, 2, 1, 2</v>
      </c>
      <c r="O55" s="24"/>
      <c r="Q55" s="395" t="s">
        <v>333</v>
      </c>
      <c r="R55" s="3" t="s">
        <v>328</v>
      </c>
      <c r="S55" s="368">
        <v>1</v>
      </c>
    </row>
    <row r="56" spans="1:23">
      <c r="B56" s="76" t="s">
        <v>506</v>
      </c>
      <c r="C56" s="576">
        <v>3</v>
      </c>
      <c r="D56" s="7"/>
      <c r="E56" s="440" t="s">
        <v>376</v>
      </c>
      <c r="F56" s="379" t="str">
        <f>CHOOSE(G56, "TCyes", "TCno")</f>
        <v>TCno</v>
      </c>
      <c r="G56" s="374">
        <v>2</v>
      </c>
      <c r="H56" s="440" t="s">
        <v>299</v>
      </c>
      <c r="I56" s="436" t="str">
        <f>CHOOSE(J56, "IlimGND", "IlimRes")</f>
        <v>IlimRes</v>
      </c>
      <c r="J56" s="374">
        <f>IF(C62=4, 1, 2)</f>
        <v>2</v>
      </c>
      <c r="K56" t="str">
        <f>C57&amp;G56&amp;J56&amp;G62&amp;J62</f>
        <v>12212</v>
      </c>
      <c r="O56" s="24"/>
      <c r="Q56" s="395" t="s">
        <v>335</v>
      </c>
      <c r="R56" s="3" t="s">
        <v>329</v>
      </c>
      <c r="S56" s="368">
        <v>2</v>
      </c>
    </row>
    <row r="57" spans="1:23">
      <c r="A57" s="437" t="s">
        <v>286</v>
      </c>
      <c r="B57" s="435" t="str">
        <f>CHOOSE(C57,"SINGLE", IF(Vout2_actual&gt;0, "DUAL", "BIPOLAR"))</f>
        <v>SINGLE</v>
      </c>
      <c r="C57" s="378">
        <v>1</v>
      </c>
      <c r="D57" s="7"/>
      <c r="E57" s="7"/>
      <c r="G57" s="78">
        <f>TC</f>
        <v>2</v>
      </c>
      <c r="I57" s="374"/>
      <c r="J57" s="7"/>
      <c r="O57" s="24"/>
      <c r="Q57" s="395" t="s">
        <v>336</v>
      </c>
      <c r="R57" s="3" t="s">
        <v>330</v>
      </c>
      <c r="S57" s="368">
        <v>3</v>
      </c>
    </row>
    <row r="58" spans="1:23">
      <c r="A58" s="376"/>
      <c r="B58" s="3" t="b">
        <f>CHOOSE(C57, TRUE, FALSE)</f>
        <v>1</v>
      </c>
      <c r="C58" s="78" t="str">
        <f>CHOOSE(C57,"1", IF(Vout2&gt;0, "2", "3"))</f>
        <v>1</v>
      </c>
      <c r="O58" s="24"/>
      <c r="Q58" s="395" t="s">
        <v>334</v>
      </c>
      <c r="R58" s="3" t="s">
        <v>331</v>
      </c>
      <c r="S58" s="368">
        <v>4</v>
      </c>
    </row>
    <row r="59" spans="1:23">
      <c r="O59" s="24"/>
      <c r="Q59" s="395" t="s">
        <v>338</v>
      </c>
      <c r="R59" s="3" t="s">
        <v>337</v>
      </c>
      <c r="S59" s="368">
        <v>5</v>
      </c>
    </row>
    <row r="60" spans="1:23">
      <c r="A60" s="383" t="s">
        <v>188</v>
      </c>
      <c r="B60" s="111" t="s">
        <v>364</v>
      </c>
      <c r="C60" s="434">
        <v>1</v>
      </c>
      <c r="D60" s="7"/>
      <c r="E60" s="157" t="s">
        <v>318</v>
      </c>
      <c r="F60" s="474" t="s">
        <v>534</v>
      </c>
      <c r="G60" s="160">
        <v>1</v>
      </c>
      <c r="H60" s="377" t="s">
        <v>296</v>
      </c>
      <c r="I60" s="77" t="s">
        <v>534</v>
      </c>
      <c r="J60" s="160">
        <v>1</v>
      </c>
      <c r="L60" s="154" t="s">
        <v>316</v>
      </c>
      <c r="M60" s="160">
        <v>1</v>
      </c>
      <c r="O60" s="24"/>
      <c r="Q60" s="439" t="s">
        <v>332</v>
      </c>
      <c r="R60" s="445" t="str">
        <f>CHOOSE(S60,"6.3V","10V","16V","25V","50V")</f>
        <v>50V</v>
      </c>
      <c r="S60" s="458">
        <f>IF(Vout&lt;=5, 1, IF(Vout&lt;=8, 2, IF(Vout&lt;=12, 3, IF(Vout&lt;=20, 4, 5))))</f>
        <v>5</v>
      </c>
    </row>
    <row r="61" spans="1:23">
      <c r="A61" s="384"/>
      <c r="B61" s="111" t="s">
        <v>365</v>
      </c>
      <c r="C61" s="434">
        <v>2</v>
      </c>
      <c r="D61" s="7"/>
      <c r="F61" s="474" t="s">
        <v>535</v>
      </c>
      <c r="G61" s="160">
        <v>2</v>
      </c>
      <c r="H61" s="37"/>
      <c r="I61" s="77" t="s">
        <v>649</v>
      </c>
      <c r="J61" s="160">
        <v>2</v>
      </c>
      <c r="L61" s="154" t="s">
        <v>317</v>
      </c>
      <c r="M61" s="160">
        <v>2</v>
      </c>
      <c r="O61" s="24"/>
      <c r="T61" s="3" t="s">
        <v>116</v>
      </c>
      <c r="U61" s="3" t="s">
        <v>634</v>
      </c>
    </row>
    <row r="62" spans="1:23">
      <c r="A62" s="438" t="s">
        <v>287</v>
      </c>
      <c r="B62" s="435" t="str">
        <f>CHOOSE(C62, "YES", "NO")</f>
        <v>YES</v>
      </c>
      <c r="C62" s="378">
        <v>1</v>
      </c>
      <c r="D62" s="7"/>
      <c r="E62" s="439" t="s">
        <v>304</v>
      </c>
      <c r="F62" s="436" t="str">
        <f>CHOOSE(G62, "UVLOadj", "UVLOint")</f>
        <v>UVLOadj</v>
      </c>
      <c r="G62" s="374">
        <v>1</v>
      </c>
      <c r="H62" s="440" t="s">
        <v>288</v>
      </c>
      <c r="I62" s="379" t="str">
        <f>CHOOSE(J62, "SSadj", "SSint")</f>
        <v>SSint</v>
      </c>
      <c r="J62" s="374">
        <v>2</v>
      </c>
      <c r="L62" s="375" t="s">
        <v>297</v>
      </c>
      <c r="M62" s="374">
        <v>1</v>
      </c>
      <c r="O62" s="24"/>
      <c r="R62" s="3" t="s">
        <v>633</v>
      </c>
      <c r="S62" s="3"/>
      <c r="T62" s="76" t="s">
        <v>347</v>
      </c>
      <c r="U62" s="460">
        <v>0.5</v>
      </c>
    </row>
    <row r="63" spans="1:23" ht="13.5" thickBot="1">
      <c r="A63" s="28"/>
      <c r="B63" s="29"/>
      <c r="C63" s="159"/>
      <c r="D63" s="29"/>
      <c r="E63" s="29"/>
      <c r="F63" s="29"/>
      <c r="G63" s="29"/>
      <c r="H63" s="29"/>
      <c r="I63" s="29"/>
      <c r="J63" s="29"/>
      <c r="K63" s="29"/>
      <c r="L63" s="29"/>
      <c r="M63" s="29"/>
      <c r="N63" s="29"/>
      <c r="O63" s="24"/>
      <c r="R63" s="457" t="s">
        <v>341</v>
      </c>
      <c r="S63" s="368">
        <v>1</v>
      </c>
      <c r="T63" s="76" t="s">
        <v>351</v>
      </c>
      <c r="U63" s="460">
        <v>1.3</v>
      </c>
    </row>
    <row r="64" spans="1:23">
      <c r="A64" s="7"/>
      <c r="B64" s="7" t="b">
        <f>(CONFIG="2")</f>
        <v>0</v>
      </c>
      <c r="C64" s="39" t="str">
        <f>CONFIG</f>
        <v>1</v>
      </c>
      <c r="D64" s="7"/>
      <c r="E64" s="7"/>
      <c r="F64" s="7"/>
      <c r="G64" s="7"/>
      <c r="H64" s="7"/>
      <c r="I64" s="7"/>
      <c r="R64" s="457" t="s">
        <v>119</v>
      </c>
      <c r="S64" s="368">
        <v>2</v>
      </c>
      <c r="T64" s="76" t="s">
        <v>352</v>
      </c>
      <c r="U64" s="460">
        <v>2.5</v>
      </c>
    </row>
    <row r="65" spans="1:26" ht="16" thickBot="1">
      <c r="A65" s="50" t="s">
        <v>558</v>
      </c>
      <c r="B65" s="39"/>
      <c r="C65" s="39"/>
      <c r="E65" s="7"/>
      <c r="F65" s="7"/>
      <c r="G65" s="7"/>
      <c r="H65" s="7"/>
      <c r="I65" s="7"/>
      <c r="R65" s="457" t="s">
        <v>342</v>
      </c>
      <c r="S65" s="368">
        <v>3</v>
      </c>
      <c r="T65" s="76" t="s">
        <v>350</v>
      </c>
      <c r="U65" s="460">
        <v>5.0999999999999996</v>
      </c>
    </row>
    <row r="66" spans="1:26">
      <c r="A66" s="109"/>
      <c r="B66" s="594"/>
      <c r="C66" s="595"/>
      <c r="D66" s="152"/>
      <c r="E66" s="79"/>
      <c r="F66" s="31"/>
      <c r="G66" s="31"/>
      <c r="H66" s="31"/>
      <c r="I66" s="32">
        <v>1</v>
      </c>
      <c r="K66" s="76"/>
      <c r="R66" s="457" t="s">
        <v>343</v>
      </c>
      <c r="S66" s="368">
        <v>4</v>
      </c>
      <c r="T66" s="76" t="s">
        <v>353</v>
      </c>
      <c r="U66" s="460">
        <v>8</v>
      </c>
    </row>
    <row r="67" spans="1:26">
      <c r="A67" s="110" t="s">
        <v>150</v>
      </c>
      <c r="B67" s="161">
        <f>Nps*(Vout+Vfwd2)/(VIN_min+Nps*(Vout+Vfwd2))*0+IF(H67="BAD",'Calculations - Single'!CQ210,CHOOSE(MODE,'Calculations - Single'!M210,'Calculations - Dual'!N210))</f>
        <v>0.60200062060095361</v>
      </c>
      <c r="C67" s="7"/>
      <c r="D67" t="b">
        <f>B67&gt;0.75</f>
        <v>0</v>
      </c>
      <c r="E67" s="77"/>
      <c r="F67" s="7"/>
      <c r="G67" s="7">
        <f>Vfwd2</f>
        <v>0.7</v>
      </c>
      <c r="H67" s="7">
        <f>'Calculations - Single'!DT210</f>
        <v>2500</v>
      </c>
      <c r="I67" s="25">
        <v>1</v>
      </c>
      <c r="R67" s="457" t="s">
        <v>344</v>
      </c>
      <c r="S67" s="368">
        <v>5</v>
      </c>
      <c r="T67" s="445" t="str">
        <f>CHOOSE(S69,T62,T63, T64,T65,T66)</f>
        <v>3.2 x 2.5</v>
      </c>
      <c r="U67" s="460">
        <v>8</v>
      </c>
    </row>
    <row r="68" spans="1:26">
      <c r="A68" s="110"/>
      <c r="B68" s="161"/>
      <c r="C68" s="7"/>
      <c r="E68" s="77"/>
      <c r="F68" s="7"/>
      <c r="G68" s="7"/>
      <c r="H68" s="7"/>
      <c r="I68" s="848"/>
      <c r="R68" s="457" t="s">
        <v>943</v>
      </c>
      <c r="S68" s="368">
        <v>6</v>
      </c>
      <c r="T68" s="445" t="s">
        <v>944</v>
      </c>
      <c r="U68" s="460">
        <v>25.1</v>
      </c>
    </row>
    <row r="69" spans="1:26">
      <c r="A69" s="110" t="s">
        <v>157</v>
      </c>
      <c r="B69" s="161">
        <f>Nps*(Vout+Vfwd1)/(VIN_nom+Nps*(Vout+Vfwd1))</f>
        <v>0.50354609929078009</v>
      </c>
      <c r="C69" s="7"/>
      <c r="F69" s="7"/>
      <c r="G69" s="7"/>
      <c r="H69" s="7"/>
      <c r="I69" s="25"/>
      <c r="Q69" s="439" t="s">
        <v>345</v>
      </c>
      <c r="R69" s="445" t="str">
        <f>CHOOSE(S69,"0402","0603","0805","1206","1210")</f>
        <v>1210</v>
      </c>
      <c r="S69" s="458">
        <v>5</v>
      </c>
    </row>
    <row r="70" spans="1:26">
      <c r="A70" s="110" t="s">
        <v>151</v>
      </c>
      <c r="B70" s="161">
        <f>Nps*(Vout+Vfwd1)/(VIN_max+Nps*(Vout+Vfwd1))*0+CHOOSE(MODE, 'Calculations - Single'!M316, 'Calculations - Dual'!N316)</f>
        <v>0.41648974957342794</v>
      </c>
      <c r="C70" s="7"/>
      <c r="E70" s="77"/>
      <c r="F70" s="7"/>
      <c r="G70" s="7"/>
      <c r="H70" s="7"/>
      <c r="I70" s="25"/>
    </row>
    <row r="71" spans="1:26">
      <c r="A71" s="76"/>
      <c r="B71" s="7"/>
      <c r="C71" s="7"/>
      <c r="D71" s="7"/>
      <c r="E71" s="77"/>
      <c r="F71" s="7"/>
      <c r="G71" s="7"/>
      <c r="H71" s="7"/>
      <c r="I71" s="25"/>
      <c r="T71" s="3" t="s">
        <v>116</v>
      </c>
      <c r="U71" s="3" t="s">
        <v>634</v>
      </c>
      <c r="W71" s="3" t="s">
        <v>633</v>
      </c>
      <c r="X71" s="3"/>
      <c r="Y71" s="3" t="s">
        <v>116</v>
      </c>
      <c r="Z71" s="3" t="s">
        <v>634</v>
      </c>
    </row>
    <row r="72" spans="1:26">
      <c r="A72" s="110" t="s">
        <v>832</v>
      </c>
      <c r="B72" s="784">
        <f>MIN(0.667*VIN_nom/Vout, 1.857*VIN_min/Vout*1+0*3.33*VIN_min/Vout)</f>
        <v>0.66700000000000004</v>
      </c>
      <c r="C72" s="77"/>
      <c r="D72" s="77" t="s">
        <v>834</v>
      </c>
      <c r="F72" s="7"/>
      <c r="G72" s="7"/>
      <c r="H72" s="7"/>
      <c r="I72" s="25"/>
      <c r="R72" s="3" t="s">
        <v>633</v>
      </c>
      <c r="S72" s="3"/>
      <c r="T72" s="474" t="s">
        <v>621</v>
      </c>
      <c r="U72" s="460">
        <v>36</v>
      </c>
      <c r="W72" s="76" t="s">
        <v>639</v>
      </c>
      <c r="X72" s="368">
        <v>1</v>
      </c>
      <c r="Y72" s="76" t="s">
        <v>351</v>
      </c>
      <c r="Z72">
        <v>1.3</v>
      </c>
    </row>
    <row r="73" spans="1:26">
      <c r="A73" s="110"/>
      <c r="B73" s="629"/>
      <c r="C73" s="7"/>
      <c r="D73" s="77"/>
      <c r="F73" s="7"/>
      <c r="G73" s="7"/>
      <c r="H73" s="7"/>
      <c r="I73" s="25"/>
      <c r="R73" s="76" t="s">
        <v>348</v>
      </c>
      <c r="S73" s="368">
        <v>1</v>
      </c>
      <c r="T73" s="474" t="s">
        <v>620</v>
      </c>
      <c r="U73" s="460">
        <v>49</v>
      </c>
      <c r="W73" s="76" t="s">
        <v>630</v>
      </c>
      <c r="X73" s="368">
        <v>2</v>
      </c>
      <c r="Y73" s="76" t="s">
        <v>638</v>
      </c>
      <c r="Z73">
        <v>3.2</v>
      </c>
    </row>
    <row r="74" spans="1:26">
      <c r="A74" s="110"/>
      <c r="B74" s="629"/>
      <c r="C74" s="77"/>
      <c r="D74" s="77"/>
      <c r="F74" s="7"/>
      <c r="G74" s="7"/>
      <c r="H74" s="7"/>
      <c r="I74" s="25"/>
      <c r="R74" s="76" t="s">
        <v>349</v>
      </c>
      <c r="S74" s="368">
        <v>2</v>
      </c>
      <c r="T74" s="474" t="s">
        <v>619</v>
      </c>
      <c r="U74" s="460">
        <v>64</v>
      </c>
      <c r="W74" s="76" t="s">
        <v>631</v>
      </c>
      <c r="X74" s="368">
        <v>3</v>
      </c>
      <c r="Y74" s="76" t="s">
        <v>637</v>
      </c>
      <c r="Z74">
        <v>6.5</v>
      </c>
    </row>
    <row r="75" spans="1:26" ht="12.5">
      <c r="A75" s="76"/>
      <c r="B75" s="11"/>
      <c r="C75"/>
      <c r="I75" s="25">
        <v>1</v>
      </c>
      <c r="R75" s="76" t="s">
        <v>611</v>
      </c>
      <c r="S75" s="368">
        <v>3</v>
      </c>
      <c r="T75" s="474" t="s">
        <v>618</v>
      </c>
      <c r="U75" s="460">
        <v>81</v>
      </c>
      <c r="W75" s="76" t="s">
        <v>632</v>
      </c>
      <c r="X75" s="368">
        <v>4</v>
      </c>
      <c r="Y75" s="76" t="s">
        <v>636</v>
      </c>
      <c r="Z75">
        <v>12.5</v>
      </c>
    </row>
    <row r="76" spans="1:26">
      <c r="A76" s="111" t="s">
        <v>850</v>
      </c>
      <c r="B76" s="630">
        <f>VIN_max+Nps*(Vout+Vfwd2)*1.5</f>
        <v>83.05</v>
      </c>
      <c r="C76" s="77"/>
      <c r="D76" s="77"/>
      <c r="E76" s="77"/>
      <c r="F76" s="7"/>
      <c r="G76" s="7"/>
      <c r="H76" s="7"/>
      <c r="I76" s="25"/>
      <c r="R76" s="76" t="s">
        <v>612</v>
      </c>
      <c r="S76" s="368">
        <v>4</v>
      </c>
      <c r="T76" s="474" t="s">
        <v>617</v>
      </c>
      <c r="U76" s="460">
        <v>100</v>
      </c>
      <c r="W76" s="439" t="s">
        <v>635</v>
      </c>
    </row>
    <row r="77" spans="1:26">
      <c r="A77" s="111"/>
      <c r="B77" s="630"/>
      <c r="C77" s="7"/>
      <c r="D77" s="77">
        <f>Isw_min</f>
        <v>3.3333333333333335</v>
      </c>
      <c r="E77" s="77"/>
      <c r="F77" s="7"/>
      <c r="G77" s="7"/>
      <c r="H77" s="7"/>
      <c r="I77" s="25"/>
      <c r="R77" s="76" t="s">
        <v>613</v>
      </c>
      <c r="S77" s="368">
        <v>5</v>
      </c>
      <c r="T77" s="474" t="s">
        <v>616</v>
      </c>
      <c r="U77" s="460">
        <v>120</v>
      </c>
    </row>
    <row r="78" spans="1:26">
      <c r="A78" s="111"/>
      <c r="B78" s="630"/>
      <c r="C78" s="77"/>
      <c r="D78" s="77"/>
      <c r="E78" s="77"/>
      <c r="F78" s="7"/>
      <c r="G78" s="7"/>
      <c r="H78" s="7"/>
      <c r="I78" s="25"/>
      <c r="R78" s="76" t="s">
        <v>614</v>
      </c>
      <c r="S78" s="368">
        <v>6</v>
      </c>
      <c r="T78" s="474" t="s">
        <v>622</v>
      </c>
      <c r="U78" s="460">
        <v>143</v>
      </c>
    </row>
    <row r="79" spans="1:26" ht="15.5">
      <c r="A79" s="76"/>
      <c r="B79" s="7"/>
      <c r="C79" s="77"/>
      <c r="D79" s="7"/>
      <c r="E79" s="77"/>
      <c r="F79" s="7"/>
      <c r="G79" s="7"/>
      <c r="H79" s="7"/>
      <c r="I79" s="25"/>
      <c r="K79" s="76" t="s">
        <v>320</v>
      </c>
      <c r="R79" s="76" t="s">
        <v>615</v>
      </c>
      <c r="S79" s="368">
        <v>7</v>
      </c>
      <c r="T79" s="474" t="s">
        <v>955</v>
      </c>
      <c r="U79">
        <f>11*14</f>
        <v>154</v>
      </c>
    </row>
    <row r="80" spans="1:26">
      <c r="A80" s="110" t="s">
        <v>680</v>
      </c>
      <c r="B80" s="41">
        <f>'Design Converter'!L7/1000000</f>
        <v>4.6999999999999999E-6</v>
      </c>
      <c r="C80" s="7" t="s">
        <v>11</v>
      </c>
      <c r="D80" s="77" t="s">
        <v>452</v>
      </c>
      <c r="F80" s="7"/>
      <c r="G80" s="7"/>
      <c r="H80" s="7"/>
      <c r="I80" s="25"/>
      <c r="Q80" s="439" t="s">
        <v>453</v>
      </c>
      <c r="R80" s="76" t="s">
        <v>954</v>
      </c>
      <c r="S80" s="368">
        <v>8</v>
      </c>
      <c r="T80" s="474" t="s">
        <v>956</v>
      </c>
      <c r="U80">
        <f>23*17</f>
        <v>391</v>
      </c>
    </row>
    <row r="81" spans="1:17" ht="12.5">
      <c r="A81" s="110" t="s">
        <v>661</v>
      </c>
      <c r="B81" s="132">
        <f>'Design Converter'!L11</f>
        <v>200</v>
      </c>
      <c r="C81" s="7" t="s">
        <v>662</v>
      </c>
      <c r="D81" s="77"/>
      <c r="F81" s="7"/>
      <c r="G81" s="7"/>
      <c r="H81" s="7"/>
      <c r="I81" s="25"/>
    </row>
    <row r="82" spans="1:17" ht="12.5">
      <c r="A82" s="110" t="s">
        <v>826</v>
      </c>
      <c r="B82" s="41">
        <f>Lmag/(Nps)^2</f>
        <v>4.6999999999999999E-6</v>
      </c>
      <c r="C82" s="7" t="s">
        <v>11</v>
      </c>
      <c r="D82" s="77"/>
      <c r="F82" s="7"/>
      <c r="G82" s="7"/>
      <c r="H82" s="7"/>
      <c r="I82" s="25"/>
    </row>
    <row r="83" spans="1:17" ht="12.5">
      <c r="A83" s="110" t="s">
        <v>827</v>
      </c>
      <c r="B83" s="41">
        <f>Lmag/(Nps/Nsec1sec2)^2</f>
        <v>5.3080345761147991E-6</v>
      </c>
      <c r="C83" s="12" t="s">
        <v>11</v>
      </c>
      <c r="D83" s="77"/>
      <c r="F83" s="7"/>
      <c r="G83" s="7"/>
      <c r="H83" s="7"/>
      <c r="I83" s="25"/>
    </row>
    <row r="84" spans="1:17" ht="12.5">
      <c r="A84" s="110"/>
      <c r="B84" s="132"/>
      <c r="C84" s="7"/>
      <c r="D84" s="77"/>
      <c r="F84" s="7"/>
      <c r="G84" s="7"/>
      <c r="H84" s="7"/>
      <c r="I84" s="25"/>
    </row>
    <row r="85" spans="1:17" ht="12.5">
      <c r="A85" s="110" t="s">
        <v>385</v>
      </c>
      <c r="B85" s="10">
        <f>'Design Converter'!L8/1000</f>
        <v>1.4E-2</v>
      </c>
      <c r="C85" s="113" t="s">
        <v>45</v>
      </c>
      <c r="D85" s="77" t="s">
        <v>450</v>
      </c>
      <c r="F85" s="7"/>
      <c r="G85" s="7"/>
      <c r="H85" s="7"/>
      <c r="I85" s="25"/>
    </row>
    <row r="86" spans="1:17" thickBot="1">
      <c r="A86" s="110" t="s">
        <v>448</v>
      </c>
      <c r="B86" s="10">
        <f>'Design Converter'!L9/1000</f>
        <v>1.4E-2</v>
      </c>
      <c r="C86" s="113" t="s">
        <v>45</v>
      </c>
      <c r="D86" s="77" t="s">
        <v>451</v>
      </c>
      <c r="F86" s="7"/>
      <c r="G86" s="7"/>
      <c r="H86" s="7"/>
      <c r="I86" s="25">
        <v>2</v>
      </c>
    </row>
    <row r="87" spans="1:17" ht="12.5">
      <c r="A87" s="110" t="s">
        <v>449</v>
      </c>
      <c r="B87" s="10">
        <f>'Design Converter'!L10/1000</f>
        <v>5.0000000000000001E-3</v>
      </c>
      <c r="C87" s="113" t="s">
        <v>45</v>
      </c>
      <c r="D87" s="77" t="s">
        <v>540</v>
      </c>
      <c r="E87" s="77"/>
      <c r="F87" s="7"/>
      <c r="G87" s="7"/>
      <c r="H87" s="7"/>
      <c r="I87" s="25">
        <v>1</v>
      </c>
      <c r="K87" s="847" t="s">
        <v>880</v>
      </c>
      <c r="L87" s="738"/>
    </row>
    <row r="88" spans="1:17" ht="12.5">
      <c r="A88" s="110"/>
      <c r="B88" s="7"/>
      <c r="C88" s="7"/>
      <c r="D88" s="7"/>
      <c r="E88" s="7"/>
      <c r="F88" s="7"/>
      <c r="G88" s="7"/>
      <c r="H88" s="7"/>
      <c r="I88" s="25"/>
      <c r="K88" s="110" t="s">
        <v>644</v>
      </c>
      <c r="L88" s="848">
        <f>Vfwd1</f>
        <v>0.4</v>
      </c>
      <c r="Q88">
        <f>ktr_rcmd</f>
        <v>0.66700000000000004</v>
      </c>
    </row>
    <row r="89" spans="1:17" ht="15.75" customHeight="1">
      <c r="A89" s="77" t="s">
        <v>539</v>
      </c>
      <c r="B89" s="191">
        <v>100</v>
      </c>
      <c r="C89" s="111" t="s">
        <v>102</v>
      </c>
      <c r="D89" s="77"/>
      <c r="E89" s="7"/>
      <c r="F89" s="7"/>
      <c r="H89" s="7"/>
      <c r="I89" s="25"/>
      <c r="K89" s="110" t="s">
        <v>645</v>
      </c>
      <c r="L89" s="848">
        <f>Vfwd2</f>
        <v>0.7</v>
      </c>
      <c r="M89" s="76"/>
      <c r="Q89" t="str">
        <f>Nps</f>
        <v>1</v>
      </c>
    </row>
    <row r="90" spans="1:17" ht="13.5" thickBot="1">
      <c r="A90" s="110" t="s">
        <v>536</v>
      </c>
      <c r="B90" s="183">
        <f>Rdcr_pri*(1+0.0039*(B89-25))</f>
        <v>1.8095E-2</v>
      </c>
      <c r="C90" s="113" t="s">
        <v>45</v>
      </c>
      <c r="D90" s="7"/>
      <c r="H90" s="7"/>
      <c r="I90" s="25"/>
      <c r="K90" s="849" t="s">
        <v>881</v>
      </c>
      <c r="L90" s="750">
        <f>'Design Converter'!S31</f>
        <v>0.5</v>
      </c>
      <c r="M90" s="76"/>
    </row>
    <row r="91" spans="1:17">
      <c r="A91" s="110" t="s">
        <v>537</v>
      </c>
      <c r="B91" s="183">
        <f>Rdcr_sec*(1+0.0039*(B89-25))</f>
        <v>1.8095E-2</v>
      </c>
      <c r="C91" s="113" t="s">
        <v>45</v>
      </c>
      <c r="D91" s="7"/>
      <c r="H91" s="7"/>
      <c r="I91" s="25"/>
    </row>
    <row r="92" spans="1:17">
      <c r="A92" s="110" t="s">
        <v>538</v>
      </c>
      <c r="B92" s="183">
        <f>Rdcr_sec2*(1+0.0039*(B89-25))</f>
        <v>6.4625000000000004E-3</v>
      </c>
      <c r="C92" s="113" t="s">
        <v>45</v>
      </c>
      <c r="D92" s="7"/>
      <c r="H92" s="7"/>
      <c r="I92" s="25"/>
    </row>
    <row r="93" spans="1:17">
      <c r="A93" s="912" t="s">
        <v>957</v>
      </c>
      <c r="B93" s="911">
        <v>3.9999999999999998E-7</v>
      </c>
      <c r="C93" s="3" t="s">
        <v>51</v>
      </c>
      <c r="I93" s="25"/>
      <c r="K93" t="s">
        <v>883</v>
      </c>
    </row>
    <row r="94" spans="1:17">
      <c r="A94" s="441" t="s">
        <v>660</v>
      </c>
      <c r="B94" s="623">
        <f>(Vout+Vfwd1)*Nps*0.00000045/Isw_min*1000000*0+0.32*VIN_nom^2/Pin*0+MAX(2*(Vout+Vfwd2)^2*VIN_nom^2/(Pin*(Vout+Vfwd2+VIN_nom/ktr_rcmd)^2),B95)</f>
        <v>3.693438656205966</v>
      </c>
      <c r="C94" s="3" t="s">
        <v>833</v>
      </c>
      <c r="I94" s="25"/>
      <c r="K94" t="s">
        <v>884</v>
      </c>
      <c r="L94">
        <f>MAX('Calculations - Single'!BM316,'Calculations - Single'!BM210,'Calculations - Single'!BM105)</f>
        <v>5.1983912681878488</v>
      </c>
    </row>
    <row r="95" spans="1:17">
      <c r="A95" s="913" t="s">
        <v>846</v>
      </c>
      <c r="B95" s="623">
        <f>(Vout+Vfwd1)*Nps*toff_max/(0.02/RCS/1000)</f>
        <v>3.4079999999999995</v>
      </c>
      <c r="C95" s="3" t="s">
        <v>833</v>
      </c>
      <c r="I95" s="25"/>
      <c r="K95" t="s">
        <v>885</v>
      </c>
      <c r="L95">
        <f>MAX('Calculations - Dual'!BK316,'Calculations - Dual'!BK210,'Calculations - Dual'!BK105)</f>
        <v>5.4526163096205185</v>
      </c>
    </row>
    <row r="96" spans="1:17">
      <c r="A96" t="s">
        <v>837</v>
      </c>
      <c r="B96" s="623">
        <f>MIN(350000,('Calculations - Single'!CQ210*VIN_min)^2/(2*Pin*Lmag))</f>
        <v>196952.41255479495</v>
      </c>
      <c r="C96" s="3" t="s">
        <v>8</v>
      </c>
      <c r="D96" s="76" t="s">
        <v>845</v>
      </c>
      <c r="I96" s="25"/>
      <c r="K96" t="s">
        <v>886</v>
      </c>
      <c r="L96">
        <f>CHOOSE(MODE,L94,L95)</f>
        <v>5.1983912681878488</v>
      </c>
    </row>
    <row r="97" spans="1:12">
      <c r="A97" t="s">
        <v>838</v>
      </c>
      <c r="B97" s="623">
        <f>VIN_min/Lmag*'Calculations - Single'!CQ210/B96*1.2</f>
        <v>14.757598220904367</v>
      </c>
      <c r="C97" s="3" t="s">
        <v>1</v>
      </c>
      <c r="I97" s="25"/>
    </row>
    <row r="98" spans="1:12">
      <c r="A98" t="s">
        <v>839</v>
      </c>
      <c r="B98" s="183">
        <f>0.1/B97</f>
        <v>6.776170383765324E-3</v>
      </c>
      <c r="C98" s="113" t="s">
        <v>45</v>
      </c>
      <c r="D98" t="s">
        <v>841</v>
      </c>
      <c r="I98" s="25"/>
    </row>
    <row r="99" spans="1:12">
      <c r="A99" t="s">
        <v>840</v>
      </c>
      <c r="B99" s="183">
        <f>0.02*Lmag/((Vout+Vfwd1)*0.00000045*Nps)</f>
        <v>7.3552425665101718E-3</v>
      </c>
      <c r="C99" s="113"/>
      <c r="D99" t="s">
        <v>842</v>
      </c>
      <c r="I99" s="25"/>
    </row>
    <row r="100" spans="1:12">
      <c r="B100" s="183"/>
      <c r="C100" s="113"/>
      <c r="I100" s="25"/>
    </row>
    <row r="101" spans="1:12" ht="13.5" thickBot="1">
      <c r="A101" s="165" t="s">
        <v>773</v>
      </c>
      <c r="B101" s="166">
        <f>Iout*((Vout+Parameters!B49)/VIN_min+1/'Variable Mgmt'!B24)*0+CHOOSE(MODE, 'Calculations - Single'!U210,'Calculations - Dual'!T210)*1.1</f>
        <v>13.819117025520612</v>
      </c>
      <c r="C101" s="29" t="s">
        <v>1</v>
      </c>
      <c r="D101" s="29"/>
      <c r="E101" s="29"/>
      <c r="F101" s="29"/>
      <c r="G101" s="29"/>
      <c r="H101" s="29"/>
      <c r="I101" s="30"/>
    </row>
    <row r="102" spans="1:12">
      <c r="A102" s="39" t="s">
        <v>774</v>
      </c>
      <c r="B102" s="727">
        <f>MIN(B98,B99)</f>
        <v>6.776170383765324E-3</v>
      </c>
      <c r="C102" s="113" t="s">
        <v>45</v>
      </c>
      <c r="D102" s="7"/>
      <c r="E102" s="7"/>
      <c r="F102" s="7"/>
      <c r="G102" s="7"/>
      <c r="H102" s="7"/>
      <c r="I102" s="7"/>
    </row>
    <row r="104" spans="1:12" ht="16" thickBot="1">
      <c r="A104" s="50" t="s">
        <v>559</v>
      </c>
      <c r="B104" s="7"/>
      <c r="D104" s="39"/>
      <c r="E104" s="7"/>
      <c r="F104" s="7"/>
      <c r="G104" s="7"/>
      <c r="H104" s="7"/>
      <c r="I104" s="7"/>
    </row>
    <row r="105" spans="1:12" ht="12.5">
      <c r="A105" s="109" t="s">
        <v>164</v>
      </c>
      <c r="B105" s="419"/>
      <c r="C105" s="164" t="s">
        <v>1</v>
      </c>
      <c r="D105" s="79" t="s">
        <v>163</v>
      </c>
      <c r="E105" s="31"/>
      <c r="F105" s="31"/>
      <c r="G105" s="31"/>
      <c r="H105" s="31"/>
      <c r="I105" s="32"/>
      <c r="L105" s="5"/>
    </row>
    <row r="106" spans="1:12" ht="12.5">
      <c r="A106" s="110" t="s">
        <v>165</v>
      </c>
      <c r="B106" s="420"/>
      <c r="C106" s="111" t="s">
        <v>1</v>
      </c>
      <c r="D106" s="7"/>
      <c r="E106" s="77"/>
      <c r="F106" s="7"/>
      <c r="G106" s="7"/>
      <c r="H106" s="7"/>
      <c r="I106" s="25"/>
      <c r="L106" s="5"/>
    </row>
    <row r="107" spans="1:12" ht="12.5">
      <c r="A107" s="110" t="s">
        <v>166</v>
      </c>
      <c r="B107" s="420"/>
      <c r="C107" s="111" t="s">
        <v>1</v>
      </c>
      <c r="D107" s="7"/>
      <c r="E107" s="77"/>
      <c r="F107" s="7"/>
      <c r="G107" s="7"/>
      <c r="H107" s="7"/>
      <c r="I107" s="25"/>
      <c r="L107" s="5"/>
    </row>
    <row r="108" spans="1:12" ht="12.5">
      <c r="A108" s="110"/>
      <c r="B108" s="167"/>
      <c r="C108" s="111"/>
      <c r="D108" s="7"/>
      <c r="E108" s="77"/>
      <c r="F108" s="7"/>
      <c r="G108" s="7"/>
      <c r="H108" s="7"/>
      <c r="I108" s="25"/>
      <c r="L108" s="5"/>
    </row>
    <row r="109" spans="1:12" ht="12.5">
      <c r="A109" s="110" t="s">
        <v>174</v>
      </c>
      <c r="B109" s="549">
        <f>Vout_ripple</f>
        <v>280</v>
      </c>
      <c r="C109" s="111" t="s">
        <v>149</v>
      </c>
      <c r="D109" s="77" t="s">
        <v>594</v>
      </c>
      <c r="F109" s="7"/>
      <c r="G109" s="7"/>
      <c r="H109" s="7"/>
      <c r="I109" s="25"/>
      <c r="L109" s="5"/>
    </row>
    <row r="110" spans="1:12">
      <c r="A110" s="499" t="s">
        <v>12</v>
      </c>
      <c r="B110" s="192">
        <f>MAX(4.7, CHOOSE(MODE, 'Calculations - Single'!EE212, 'Calculations - Dual'!AW105))</f>
        <v>27.16193281573095</v>
      </c>
      <c r="C110" s="201" t="s">
        <v>97</v>
      </c>
      <c r="D110" s="77" t="s">
        <v>593</v>
      </c>
      <c r="E110" s="77"/>
      <c r="F110" s="7"/>
      <c r="G110" s="7"/>
      <c r="H110" s="7"/>
      <c r="I110" s="25"/>
    </row>
    <row r="111" spans="1:12" ht="12.5">
      <c r="A111" s="110" t="s">
        <v>14</v>
      </c>
      <c r="B111" s="591">
        <f>'Design Converter'!E34</f>
        <v>110</v>
      </c>
      <c r="C111" s="201" t="s">
        <v>97</v>
      </c>
      <c r="D111" s="77" t="s">
        <v>167</v>
      </c>
      <c r="F111" s="7"/>
      <c r="G111" s="7"/>
      <c r="H111" s="7"/>
      <c r="I111" s="25"/>
    </row>
    <row r="112" spans="1:12" ht="12.5">
      <c r="A112" s="200" t="s">
        <v>181</v>
      </c>
      <c r="B112" s="550">
        <f>(Vripple1_spec-Iout*B114/Cout*1000)/Iout</f>
        <v>96.499699704972116</v>
      </c>
      <c r="C112" s="113" t="s">
        <v>258</v>
      </c>
      <c r="D112" s="77" t="s">
        <v>107</v>
      </c>
      <c r="F112" s="7"/>
      <c r="G112" s="7"/>
      <c r="H112" s="7"/>
      <c r="I112" s="25"/>
    </row>
    <row r="113" spans="1:9" ht="12.5">
      <c r="A113" s="110" t="s">
        <v>54</v>
      </c>
      <c r="B113" s="193">
        <f>'Design Converter'!E35</f>
        <v>2</v>
      </c>
      <c r="C113" s="113" t="s">
        <v>258</v>
      </c>
      <c r="D113" s="77" t="s">
        <v>108</v>
      </c>
      <c r="F113" s="7"/>
      <c r="G113" s="7"/>
      <c r="H113" s="7"/>
      <c r="I113" s="25"/>
    </row>
    <row r="114" spans="1:9" ht="12.5">
      <c r="A114" s="110" t="s">
        <v>438</v>
      </c>
      <c r="B114" s="192">
        <f>CHOOSE(MODE, 'Calculations - Single'!AT105, 'Calculations - Dual'!AR105)</f>
        <v>1.7050330324530678</v>
      </c>
      <c r="C114" s="201" t="s">
        <v>247</v>
      </c>
      <c r="D114" s="77"/>
      <c r="F114" s="7"/>
      <c r="G114" s="7"/>
      <c r="H114" s="7"/>
      <c r="I114" s="25"/>
    </row>
    <row r="115" spans="1:9">
      <c r="A115" s="34" t="s">
        <v>437</v>
      </c>
      <c r="B115" s="588">
        <f>Iout*B114/Cout*1000+Iout*CoutEsr</f>
        <v>43.750750737569724</v>
      </c>
      <c r="C115" s="77" t="s">
        <v>443</v>
      </c>
      <c r="D115" s="77" t="s">
        <v>596</v>
      </c>
      <c r="F115" s="7"/>
      <c r="G115" s="7"/>
      <c r="H115" s="445" t="s">
        <v>562</v>
      </c>
      <c r="I115" s="25"/>
    </row>
    <row r="116" spans="1:9">
      <c r="A116" s="34"/>
      <c r="B116" s="192"/>
      <c r="C116" s="77"/>
      <c r="D116" s="77"/>
      <c r="F116" s="7"/>
      <c r="G116" s="7"/>
      <c r="H116" s="7"/>
      <c r="I116" s="25"/>
    </row>
    <row r="117" spans="1:9">
      <c r="A117" s="34"/>
      <c r="B117" s="192"/>
      <c r="C117" s="77"/>
      <c r="D117" s="77"/>
      <c r="F117" s="7"/>
      <c r="G117" s="7"/>
      <c r="H117" s="7"/>
      <c r="I117" s="25"/>
    </row>
    <row r="118" spans="1:9" ht="15.5">
      <c r="A118" s="634" t="s">
        <v>560</v>
      </c>
      <c r="B118" s="192"/>
      <c r="C118" s="201"/>
      <c r="D118" s="77"/>
      <c r="F118" s="7"/>
      <c r="G118" s="7"/>
      <c r="H118" s="7"/>
      <c r="I118" s="25"/>
    </row>
    <row r="119" spans="1:9" ht="12.5">
      <c r="A119" s="110" t="s">
        <v>541</v>
      </c>
      <c r="B119" s="549">
        <f>Vout_ripple2</f>
        <v>300</v>
      </c>
      <c r="C119" s="111" t="s">
        <v>149</v>
      </c>
      <c r="D119" s="77" t="s">
        <v>597</v>
      </c>
      <c r="F119" s="7"/>
      <c r="G119" s="7"/>
      <c r="H119" s="7"/>
      <c r="I119" s="25"/>
    </row>
    <row r="120" spans="1:9">
      <c r="A120" s="499" t="s">
        <v>543</v>
      </c>
      <c r="B120" s="192">
        <f>MAX(4.7, 'Calculations - Dual'!AX105)</f>
        <v>4.7</v>
      </c>
      <c r="C120" s="201" t="s">
        <v>97</v>
      </c>
      <c r="D120" s="77" t="s">
        <v>593</v>
      </c>
      <c r="F120" s="7"/>
      <c r="G120" s="7"/>
      <c r="H120" s="7"/>
      <c r="I120" s="25"/>
    </row>
    <row r="121" spans="1:9" ht="12.5">
      <c r="A121" s="110" t="s">
        <v>542</v>
      </c>
      <c r="B121" s="591">
        <f>MAX(4.7,'Design Converter'!L34)</f>
        <v>55</v>
      </c>
      <c r="C121" s="201" t="s">
        <v>97</v>
      </c>
      <c r="D121" s="77" t="s">
        <v>167</v>
      </c>
      <c r="F121" s="7"/>
      <c r="G121" s="7"/>
      <c r="H121" s="7"/>
      <c r="I121" s="25"/>
    </row>
    <row r="122" spans="1:9">
      <c r="A122" s="200" t="s">
        <v>544</v>
      </c>
      <c r="B122" s="550">
        <f>(Vout_ripple2-Iout2*B124/Cout2*1000)/Iout2</f>
        <v>1130.1543275310501</v>
      </c>
      <c r="C122" s="113" t="s">
        <v>258</v>
      </c>
      <c r="D122" s="77" t="s">
        <v>107</v>
      </c>
      <c r="F122" s="7"/>
      <c r="G122" s="7"/>
      <c r="H122" s="445" t="s">
        <v>561</v>
      </c>
      <c r="I122" s="25"/>
    </row>
    <row r="123" spans="1:9" ht="12.5">
      <c r="A123" s="110" t="s">
        <v>545</v>
      </c>
      <c r="B123" s="193">
        <f>'Design Converter'!L35</f>
        <v>8</v>
      </c>
      <c r="C123" s="113" t="s">
        <v>258</v>
      </c>
      <c r="D123" s="77" t="s">
        <v>108</v>
      </c>
      <c r="F123" s="7"/>
      <c r="G123" s="7"/>
      <c r="I123" s="25"/>
    </row>
    <row r="124" spans="1:9">
      <c r="A124" s="110" t="s">
        <v>438</v>
      </c>
      <c r="B124" s="192">
        <f>'Calculations - Dual'!AR105</f>
        <v>3.8415119857922511</v>
      </c>
      <c r="C124" s="201" t="s">
        <v>247</v>
      </c>
      <c r="D124" s="77"/>
      <c r="F124" s="7"/>
      <c r="G124" s="7"/>
      <c r="H124" s="445" t="s">
        <v>561</v>
      </c>
      <c r="I124" s="25"/>
    </row>
    <row r="125" spans="1:9">
      <c r="A125" s="34" t="s">
        <v>437</v>
      </c>
      <c r="B125" s="588">
        <f>Iout2*B124/Cout2*1000+Iout2*CoutEsr2</f>
        <v>19.461418117237503</v>
      </c>
      <c r="C125" s="77" t="s">
        <v>443</v>
      </c>
      <c r="D125" s="77" t="s">
        <v>595</v>
      </c>
      <c r="F125" s="7"/>
      <c r="G125" s="7"/>
      <c r="H125" s="7"/>
      <c r="I125" s="25"/>
    </row>
    <row r="126" spans="1:9">
      <c r="A126" s="39"/>
      <c r="B126" s="192"/>
      <c r="C126" s="77"/>
      <c r="D126" s="77"/>
      <c r="F126" s="7"/>
      <c r="G126" s="7"/>
      <c r="H126" s="7"/>
      <c r="I126" s="25"/>
    </row>
    <row r="127" spans="1:9" thickBot="1">
      <c r="A127" s="29"/>
      <c r="B127" s="29"/>
      <c r="C127" s="29"/>
      <c r="D127" s="29"/>
      <c r="E127" s="29"/>
      <c r="F127" s="29"/>
      <c r="G127" s="29"/>
      <c r="H127" s="29"/>
      <c r="I127" s="30"/>
    </row>
    <row r="129" spans="1:9" ht="13.5" thickBot="1">
      <c r="A129" s="7"/>
      <c r="B129" s="7"/>
      <c r="C129" s="39"/>
      <c r="D129" s="7"/>
      <c r="E129" s="7"/>
      <c r="F129" s="7"/>
      <c r="G129" s="7"/>
      <c r="H129" s="7"/>
      <c r="I129" s="7"/>
    </row>
    <row r="130" spans="1:9" ht="15.5">
      <c r="A130" s="61" t="s">
        <v>55</v>
      </c>
      <c r="B130" s="62"/>
      <c r="C130" s="168"/>
      <c r="D130" s="62"/>
      <c r="E130" s="62"/>
      <c r="F130" s="62"/>
      <c r="G130" s="62"/>
      <c r="H130" s="62"/>
      <c r="I130" s="63"/>
    </row>
    <row r="131" spans="1:9" ht="12.5">
      <c r="A131" s="552" t="s">
        <v>507</v>
      </c>
      <c r="B131" s="555">
        <f>0.05*VIN_nom</f>
        <v>1.4000000000000001</v>
      </c>
      <c r="C131" s="111" t="s">
        <v>444</v>
      </c>
      <c r="D131" s="76" t="s">
        <v>439</v>
      </c>
      <c r="E131" s="7"/>
      <c r="F131" s="7"/>
      <c r="G131" s="7"/>
      <c r="H131" s="7"/>
      <c r="I131" s="65"/>
    </row>
    <row r="132" spans="1:9" ht="12.5">
      <c r="A132" s="64"/>
      <c r="B132" s="12"/>
      <c r="C132" s="60"/>
      <c r="E132" s="7"/>
      <c r="F132" s="7"/>
      <c r="G132" s="7"/>
      <c r="H132" s="7"/>
      <c r="I132" s="65"/>
    </row>
    <row r="133" spans="1:9" ht="12.5">
      <c r="A133" s="66" t="s">
        <v>58</v>
      </c>
      <c r="B133" s="421"/>
      <c r="C133" s="201" t="s">
        <v>30</v>
      </c>
      <c r="E133" s="7"/>
      <c r="F133" s="7"/>
      <c r="G133" s="7"/>
      <c r="H133" s="7"/>
      <c r="I133" s="65"/>
    </row>
    <row r="134" spans="1:9" ht="12.5">
      <c r="A134" s="66" t="s">
        <v>98</v>
      </c>
      <c r="B134" s="185">
        <f>'Calculations - Single'!BB105</f>
        <v>3.3530264193144292</v>
      </c>
      <c r="C134" s="201" t="s">
        <v>97</v>
      </c>
      <c r="E134" s="7"/>
      <c r="F134" s="7"/>
      <c r="G134" s="7"/>
      <c r="H134" s="7"/>
      <c r="I134" s="65"/>
    </row>
    <row r="135" spans="1:9" ht="12.5">
      <c r="A135" s="200" t="s">
        <v>180</v>
      </c>
      <c r="B135" s="597">
        <f>MAX(2.2,Cinmin)</f>
        <v>3.3530264193144292</v>
      </c>
      <c r="C135" s="201" t="s">
        <v>97</v>
      </c>
      <c r="E135" s="7"/>
      <c r="F135" s="7"/>
      <c r="G135" s="7"/>
      <c r="H135" s="7"/>
      <c r="I135" s="65"/>
    </row>
    <row r="136" spans="1:9" ht="12.5">
      <c r="A136" s="66" t="s">
        <v>28</v>
      </c>
      <c r="B136" s="553">
        <f>'Design Converter'!E30</f>
        <v>100</v>
      </c>
      <c r="C136" s="201" t="s">
        <v>97</v>
      </c>
      <c r="D136" s="7" t="s">
        <v>60</v>
      </c>
      <c r="F136" s="7"/>
      <c r="G136" s="7"/>
      <c r="H136" s="7"/>
      <c r="I136" s="65"/>
    </row>
    <row r="137" spans="1:9" ht="12.5">
      <c r="A137" s="66"/>
      <c r="B137" s="551"/>
      <c r="C137" s="58"/>
      <c r="D137" s="7"/>
      <c r="F137" s="7"/>
      <c r="G137" s="7"/>
      <c r="H137" s="7"/>
      <c r="I137" s="65"/>
    </row>
    <row r="138" spans="1:9" ht="12.5">
      <c r="A138" s="67" t="s">
        <v>99</v>
      </c>
      <c r="B138" s="420">
        <f>(Vinripple1-B141*B143/Cin)/B142</f>
        <v>0.13387378730688926</v>
      </c>
      <c r="C138" s="113" t="s">
        <v>45</v>
      </c>
      <c r="D138" s="7"/>
      <c r="F138" s="7"/>
      <c r="G138" s="7"/>
      <c r="H138" s="7"/>
      <c r="I138" s="65"/>
    </row>
    <row r="139" spans="1:9" ht="12.5">
      <c r="A139" s="66" t="s">
        <v>37</v>
      </c>
      <c r="B139" s="59">
        <f>'Design Converter'!E31/1000</f>
        <v>3.0000000000000001E-3</v>
      </c>
      <c r="C139" s="113" t="s">
        <v>45</v>
      </c>
      <c r="D139" s="77" t="s">
        <v>109</v>
      </c>
      <c r="F139" s="7"/>
      <c r="G139" s="7"/>
      <c r="H139" s="7"/>
      <c r="I139" s="65"/>
    </row>
    <row r="140" spans="1:9">
      <c r="A140" s="200" t="s">
        <v>182</v>
      </c>
      <c r="B140" s="369">
        <f>'Design Converter'!E31</f>
        <v>3</v>
      </c>
      <c r="C140" s="17" t="s">
        <v>161</v>
      </c>
      <c r="D140" s="77"/>
      <c r="F140" s="7"/>
      <c r="G140" s="7"/>
      <c r="H140" s="7"/>
      <c r="I140" s="65"/>
    </row>
    <row r="141" spans="1:9" ht="12.5">
      <c r="A141" s="200" t="s">
        <v>441</v>
      </c>
      <c r="B141" s="426">
        <f>Vout*Iout/VIN_nom/Efficiency</f>
        <v>2.5</v>
      </c>
      <c r="C141" s="77" t="s">
        <v>1</v>
      </c>
      <c r="D141" s="77"/>
      <c r="F141" s="7"/>
      <c r="G141" s="7"/>
      <c r="H141" s="7"/>
      <c r="I141" s="65"/>
    </row>
    <row r="142" spans="1:9" ht="12.5">
      <c r="A142" s="200" t="s">
        <v>445</v>
      </c>
      <c r="B142" s="426">
        <f>CHOOSE(MODE, 'Calculations - Single'!AJ105, 'Calculations - Dual'!$AI$105)</f>
        <v>10.108655691819306</v>
      </c>
      <c r="C142" s="77" t="s">
        <v>1</v>
      </c>
      <c r="D142" s="77"/>
      <c r="F142" s="7"/>
      <c r="G142" s="7"/>
      <c r="H142" s="7"/>
      <c r="I142" s="65"/>
    </row>
    <row r="143" spans="1:9" ht="12.5">
      <c r="A143" s="200" t="s">
        <v>442</v>
      </c>
      <c r="B143" s="426">
        <f>CHOOSE(MODE, 'Calculations - Single'!AU105, 'Calculations - Dual'!$AT$105)</f>
        <v>1.8686391181922695</v>
      </c>
      <c r="C143" s="201" t="s">
        <v>247</v>
      </c>
      <c r="D143" s="77"/>
      <c r="F143" s="7"/>
      <c r="G143" s="7"/>
      <c r="H143" s="7"/>
      <c r="I143" s="65"/>
    </row>
    <row r="144" spans="1:9" ht="12.5">
      <c r="A144" s="200" t="s">
        <v>440</v>
      </c>
      <c r="B144" s="185">
        <f>B141*B143/Cin+B142*RCinEsr</f>
        <v>7.7041945030264652E-2</v>
      </c>
      <c r="C144" s="201" t="s">
        <v>444</v>
      </c>
      <c r="D144" s="76" t="s">
        <v>446</v>
      </c>
      <c r="E144" s="554"/>
      <c r="F144" s="201"/>
      <c r="G144" s="7"/>
      <c r="H144" s="7"/>
      <c r="I144" s="65"/>
    </row>
    <row r="145" spans="1:9" thickBot="1">
      <c r="A145" s="68"/>
      <c r="B145" s="69"/>
      <c r="C145" s="69"/>
      <c r="D145" s="69"/>
      <c r="E145" s="70"/>
      <c r="F145" s="70"/>
      <c r="G145" s="70"/>
      <c r="H145" s="70"/>
      <c r="I145" s="71"/>
    </row>
    <row r="146" spans="1:9">
      <c r="A146" s="7"/>
      <c r="B146" s="7"/>
      <c r="C146" s="39"/>
      <c r="D146" s="7"/>
      <c r="E146" s="7"/>
      <c r="F146" s="7"/>
      <c r="G146" s="7"/>
      <c r="H146" s="7"/>
      <c r="I146" s="7"/>
    </row>
    <row r="147" spans="1:9" ht="16" thickBot="1">
      <c r="A147" s="50" t="s">
        <v>62</v>
      </c>
      <c r="B147" s="7"/>
      <c r="C147" s="39"/>
      <c r="D147" s="7"/>
      <c r="E147" s="7"/>
      <c r="F147" s="7"/>
      <c r="G147" s="7"/>
      <c r="H147" s="7"/>
      <c r="I147" s="7"/>
    </row>
    <row r="148" spans="1:9" ht="12.5">
      <c r="A148" s="52" t="s">
        <v>64</v>
      </c>
      <c r="B148" s="9">
        <f>'Design Converter'!E42/1000</f>
        <v>3.3500000000000002E-2</v>
      </c>
      <c r="C148" s="31" t="s">
        <v>51</v>
      </c>
      <c r="D148" s="79" t="s">
        <v>176</v>
      </c>
      <c r="E148" s="31"/>
      <c r="F148" s="31"/>
      <c r="G148" s="31"/>
      <c r="H148" s="31"/>
      <c r="I148" s="32"/>
    </row>
    <row r="149" spans="1:9" ht="12.5">
      <c r="A149" s="24" t="s">
        <v>65</v>
      </c>
      <c r="B149" s="195">
        <v>5.0000000000000004E-6</v>
      </c>
      <c r="C149" s="7" t="s">
        <v>1</v>
      </c>
      <c r="D149" s="77" t="s">
        <v>306</v>
      </c>
      <c r="E149" s="7"/>
      <c r="F149" s="7"/>
      <c r="G149" s="7"/>
      <c r="H149" s="7"/>
      <c r="I149" s="25"/>
    </row>
    <row r="150" spans="1:9" ht="12.5">
      <c r="A150" s="24" t="s">
        <v>66</v>
      </c>
      <c r="B150" s="195">
        <f>0.000005*Tss/1</f>
        <v>1.6750000000000001E-7</v>
      </c>
      <c r="C150" s="7" t="s">
        <v>13</v>
      </c>
      <c r="D150" s="77" t="s">
        <v>308</v>
      </c>
      <c r="E150" s="7"/>
      <c r="F150" s="7"/>
      <c r="G150" s="7"/>
      <c r="H150" s="7"/>
      <c r="I150" s="25"/>
    </row>
    <row r="151" spans="1:9" thickBot="1">
      <c r="A151" s="28" t="s">
        <v>72</v>
      </c>
      <c r="B151" s="196">
        <f>'Standard Value Calculator'!B4</f>
        <v>1.8E-7</v>
      </c>
      <c r="C151" s="29" t="s">
        <v>13</v>
      </c>
      <c r="D151" s="80" t="s">
        <v>309</v>
      </c>
      <c r="E151" s="29"/>
      <c r="F151" s="29"/>
      <c r="G151" s="29"/>
      <c r="H151" s="29"/>
      <c r="I151" s="30"/>
    </row>
    <row r="153" spans="1:9" ht="16" thickBot="1">
      <c r="A153" s="50" t="s">
        <v>556</v>
      </c>
      <c r="B153" s="7"/>
      <c r="C153" s="39"/>
      <c r="D153" s="7"/>
      <c r="E153" s="7"/>
      <c r="F153" s="7"/>
      <c r="G153" s="7"/>
      <c r="H153" s="7"/>
      <c r="I153" s="7"/>
    </row>
    <row r="154" spans="1:9" ht="12.75" customHeight="1">
      <c r="A154" s="109"/>
      <c r="B154" s="53"/>
      <c r="C154" s="155"/>
      <c r="D154" s="79"/>
      <c r="E154" s="31"/>
      <c r="F154" s="31"/>
      <c r="G154" s="31"/>
      <c r="H154" s="31"/>
      <c r="I154" s="32"/>
    </row>
    <row r="155" spans="1:9" ht="12.75" customHeight="1">
      <c r="A155" s="110" t="s">
        <v>111</v>
      </c>
      <c r="B155" s="186">
        <v>1.5</v>
      </c>
      <c r="C155" s="77" t="s">
        <v>0</v>
      </c>
      <c r="D155" s="77"/>
      <c r="E155" s="7"/>
      <c r="F155" s="7"/>
      <c r="G155" s="7"/>
      <c r="H155" s="7"/>
      <c r="I155" s="25"/>
    </row>
    <row r="156" spans="1:9" ht="12.75" customHeight="1">
      <c r="A156" s="110" t="s">
        <v>112</v>
      </c>
      <c r="B156" s="186">
        <v>1.45</v>
      </c>
      <c r="C156" s="77" t="s">
        <v>0</v>
      </c>
      <c r="D156" s="77"/>
      <c r="E156" s="7"/>
      <c r="F156" s="7"/>
      <c r="G156" s="7"/>
      <c r="H156" s="7"/>
      <c r="I156" s="25"/>
    </row>
    <row r="157" spans="1:9" ht="12.75" customHeight="1">
      <c r="A157" s="110" t="s">
        <v>148</v>
      </c>
      <c r="B157" s="37">
        <f>B155-B156</f>
        <v>5.0000000000000044E-2</v>
      </c>
      <c r="C157" s="77" t="s">
        <v>0</v>
      </c>
      <c r="D157" s="77"/>
      <c r="E157" s="7"/>
      <c r="F157" s="7"/>
      <c r="G157" s="7"/>
      <c r="H157" s="7"/>
      <c r="I157" s="25"/>
    </row>
    <row r="158" spans="1:9" ht="12.75" customHeight="1">
      <c r="A158" s="110" t="s">
        <v>373</v>
      </c>
      <c r="B158" s="7">
        <v>0</v>
      </c>
      <c r="C158" s="111" t="s">
        <v>1</v>
      </c>
      <c r="D158" s="77"/>
      <c r="E158" s="7"/>
      <c r="F158" s="7"/>
      <c r="G158" s="7"/>
      <c r="H158" s="7"/>
      <c r="I158" s="25"/>
    </row>
    <row r="159" spans="1:9" ht="12.75" customHeight="1">
      <c r="A159" s="110" t="s">
        <v>372</v>
      </c>
      <c r="B159" s="519">
        <v>5.0000000000000001E-3</v>
      </c>
      <c r="C159" s="111" t="s">
        <v>30</v>
      </c>
      <c r="D159" s="77"/>
      <c r="E159" s="7"/>
      <c r="F159" s="7"/>
      <c r="G159" s="7"/>
      <c r="H159" s="7"/>
      <c r="I159" s="25"/>
    </row>
    <row r="160" spans="1:9" ht="12.75" customHeight="1">
      <c r="A160" s="110" t="s">
        <v>371</v>
      </c>
      <c r="B160" s="520">
        <f>Iuvlo2-Iuvlo1</f>
        <v>5.0000000000000001E-3</v>
      </c>
      <c r="C160" s="111" t="s">
        <v>30</v>
      </c>
      <c r="D160" s="77"/>
      <c r="F160" s="7"/>
      <c r="G160" s="7"/>
      <c r="H160" s="7"/>
      <c r="I160" s="25"/>
    </row>
    <row r="161" spans="1:9" ht="12.75" customHeight="1">
      <c r="A161" s="110"/>
      <c r="B161" s="37"/>
      <c r="C161" s="377"/>
      <c r="D161" s="77"/>
      <c r="E161" s="7"/>
      <c r="F161" s="7"/>
      <c r="G161" s="7"/>
      <c r="H161" s="7"/>
      <c r="I161" s="25"/>
    </row>
    <row r="162" spans="1:9" ht="12.75" customHeight="1">
      <c r="A162" s="110" t="s">
        <v>110</v>
      </c>
      <c r="B162" s="184">
        <f>'Design Converter'!E48</f>
        <v>18.5</v>
      </c>
      <c r="C162" s="111" t="s">
        <v>0</v>
      </c>
      <c r="E162" s="7"/>
      <c r="F162" s="7"/>
      <c r="G162" s="7"/>
      <c r="H162" s="7"/>
      <c r="I162" s="25"/>
    </row>
    <row r="163" spans="1:9" ht="12.75" customHeight="1">
      <c r="A163" s="110" t="s">
        <v>294</v>
      </c>
      <c r="B163" s="184">
        <f>'Design Converter'!E49</f>
        <v>17.5</v>
      </c>
      <c r="C163" s="111" t="s">
        <v>0</v>
      </c>
      <c r="E163" s="7"/>
      <c r="F163" s="7"/>
      <c r="G163" s="7"/>
      <c r="H163" s="7"/>
      <c r="I163" s="25"/>
    </row>
    <row r="164" spans="1:9" ht="12.75" customHeight="1">
      <c r="A164" s="110"/>
      <c r="B164" s="37"/>
      <c r="C164" s="111"/>
      <c r="E164" s="7"/>
      <c r="F164" s="7"/>
      <c r="G164" s="7"/>
      <c r="H164" s="7"/>
      <c r="I164" s="25"/>
    </row>
    <row r="165" spans="1:9" ht="12.75" customHeight="1">
      <c r="A165" s="110" t="s">
        <v>126</v>
      </c>
      <c r="B165" s="589">
        <f>(VINuvlo_off-VINuvlo_on*Vuvlo_off/Vuvlo_on)/(Iuvlo1*Vuvlo_off/Vuvlo_on-Iuvlo2)</f>
        <v>76.666666666666572</v>
      </c>
      <c r="C165" s="17" t="s">
        <v>113</v>
      </c>
      <c r="D165" s="7">
        <f>'Standard Value Calculator'!J16</f>
        <v>76.800000000000011</v>
      </c>
      <c r="E165" s="17" t="s">
        <v>113</v>
      </c>
      <c r="F165" s="37">
        <f>IF(Ruvlo1&lt;0,"N/A",D165)</f>
        <v>76.800000000000011</v>
      </c>
      <c r="G165" s="37" t="str">
        <f>IF(Ruvlo1&lt;0,"N/A",D165&amp;"kΩ")</f>
        <v>76.8kΩ</v>
      </c>
      <c r="I165" s="25"/>
    </row>
    <row r="166" spans="1:9" ht="12.75" customHeight="1">
      <c r="A166" s="110" t="s">
        <v>127</v>
      </c>
      <c r="B166" s="187">
        <f>D165*Vuvlo_on/(VINuvlo_on-Vuvlo_on+Ruvlo1*Iuvlo1)</f>
        <v>6.7764705882352949</v>
      </c>
      <c r="C166" s="17" t="s">
        <v>113</v>
      </c>
      <c r="D166" s="7">
        <f>'Standard Value Calculator'!J17</f>
        <v>6.8100000000000005</v>
      </c>
      <c r="E166" s="17" t="s">
        <v>113</v>
      </c>
      <c r="F166" s="37">
        <f>IF(F165="N/A","N/A",D166)</f>
        <v>6.8100000000000005</v>
      </c>
      <c r="G166" s="37" t="str">
        <f>IF(G165="N/A","N/A",D166&amp;"kΩ")</f>
        <v>6.81kΩ</v>
      </c>
      <c r="I166" s="25"/>
    </row>
    <row r="167" spans="1:9" ht="12.75" customHeight="1">
      <c r="A167" s="110"/>
      <c r="B167" s="112"/>
      <c r="C167" s="17"/>
      <c r="D167" s="37"/>
      <c r="E167" s="17"/>
      <c r="F167" s="37"/>
      <c r="G167" s="37"/>
      <c r="I167" s="25"/>
    </row>
    <row r="168" spans="1:9" ht="12.75" customHeight="1">
      <c r="A168" s="110" t="s">
        <v>114</v>
      </c>
      <c r="B168" s="590">
        <f>(D165+D166)/D166*Vuvlo_on</f>
        <v>18.416299559471366</v>
      </c>
      <c r="C168" s="3" t="s">
        <v>0</v>
      </c>
      <c r="E168" s="7"/>
      <c r="F168" s="17"/>
      <c r="G168" s="7"/>
      <c r="H168" s="7"/>
      <c r="I168" s="25"/>
    </row>
    <row r="169" spans="1:9" ht="12.75" customHeight="1">
      <c r="A169" s="110" t="s">
        <v>115</v>
      </c>
      <c r="B169" s="590">
        <f>(D165+D166)/D166*Vuvlo_off-Iuvlo2*D165</f>
        <v>17.418422907488988</v>
      </c>
      <c r="C169" s="3" t="s">
        <v>0</v>
      </c>
      <c r="E169" s="7"/>
      <c r="F169" s="17"/>
      <c r="G169" s="7"/>
      <c r="H169" s="7"/>
      <c r="I169" s="25"/>
    </row>
    <row r="170" spans="1:9" ht="12.75" customHeight="1" thickBot="1">
      <c r="A170" s="28"/>
      <c r="B170" s="38"/>
      <c r="C170" s="156"/>
      <c r="D170" s="29"/>
      <c r="E170" s="29"/>
      <c r="F170" s="29"/>
      <c r="G170" s="29"/>
      <c r="H170" s="29"/>
      <c r="I170" s="30"/>
    </row>
    <row r="171" spans="1:9">
      <c r="B171" s="16"/>
      <c r="C171" s="157"/>
    </row>
    <row r="172" spans="1:9" ht="16" thickBot="1">
      <c r="A172" s="50" t="s">
        <v>518</v>
      </c>
      <c r="B172" s="7"/>
      <c r="C172" s="39"/>
      <c r="D172" s="7"/>
      <c r="E172" s="7"/>
      <c r="F172" s="7"/>
      <c r="G172" s="7"/>
      <c r="H172" s="7"/>
      <c r="I172" s="7"/>
    </row>
    <row r="173" spans="1:9">
      <c r="A173" s="175" t="s">
        <v>16</v>
      </c>
      <c r="B173" s="176">
        <v>3.1415926500000002</v>
      </c>
      <c r="C173" s="177"/>
      <c r="D173" s="178" t="s">
        <v>170</v>
      </c>
      <c r="E173" s="31"/>
      <c r="F173" s="31"/>
      <c r="G173" s="31"/>
      <c r="H173" s="31"/>
      <c r="I173" s="32"/>
    </row>
    <row r="174" spans="1:9">
      <c r="A174" s="76" t="s">
        <v>185</v>
      </c>
      <c r="B174" s="204"/>
      <c r="C174" s="179" t="s">
        <v>184</v>
      </c>
      <c r="D174" s="181" t="s">
        <v>548</v>
      </c>
      <c r="I174" s="25"/>
    </row>
    <row r="175" spans="1:9">
      <c r="A175" s="76" t="s">
        <v>186</v>
      </c>
      <c r="B175" s="204"/>
      <c r="C175" s="179" t="s">
        <v>184</v>
      </c>
      <c r="D175" s="181"/>
      <c r="I175" s="25"/>
    </row>
    <row r="176" spans="1:9" ht="12.5">
      <c r="C176" s="7"/>
      <c r="D176" s="7"/>
      <c r="F176" s="7"/>
      <c r="G176" s="7"/>
      <c r="H176" s="7"/>
      <c r="I176" s="25"/>
    </row>
    <row r="177" spans="1:9">
      <c r="A177" s="110" t="s">
        <v>386</v>
      </c>
      <c r="B177" s="169">
        <f>(Vout+Vfwd1)*Nps*10</f>
        <v>284</v>
      </c>
      <c r="C177" s="17" t="s">
        <v>113</v>
      </c>
      <c r="D177" s="77" t="s">
        <v>520</v>
      </c>
      <c r="F177" s="7"/>
      <c r="G177" s="7"/>
      <c r="H177" s="7"/>
      <c r="I177" s="25">
        <v>1</v>
      </c>
    </row>
    <row r="178" spans="1:9">
      <c r="A178" s="34" t="s">
        <v>519</v>
      </c>
      <c r="B178" s="174">
        <f>Rfb/1000</f>
        <v>284</v>
      </c>
      <c r="C178" s="17" t="s">
        <v>113</v>
      </c>
      <c r="D178" s="77" t="s">
        <v>517</v>
      </c>
      <c r="F178" s="7"/>
      <c r="G178" s="7"/>
      <c r="H178" s="7"/>
      <c r="I178" s="25"/>
    </row>
    <row r="179" spans="1:9">
      <c r="A179" s="110" t="s">
        <v>53</v>
      </c>
      <c r="B179" s="36">
        <f>'Standard Value Calculator'!J10/1000</f>
        <v>287</v>
      </c>
      <c r="C179" s="17" t="s">
        <v>113</v>
      </c>
      <c r="D179" s="77" t="s">
        <v>359</v>
      </c>
      <c r="F179" s="7"/>
      <c r="G179" s="7"/>
      <c r="H179" s="7"/>
      <c r="I179" s="25"/>
    </row>
    <row r="180" spans="1:9">
      <c r="A180" s="77"/>
      <c r="B180" s="12"/>
      <c r="C180" s="17"/>
      <c r="D180" s="77"/>
      <c r="F180" s="7"/>
      <c r="G180" s="7"/>
      <c r="H180" s="7"/>
      <c r="I180" s="25"/>
    </row>
    <row r="181" spans="1:9">
      <c r="A181" s="111" t="s">
        <v>521</v>
      </c>
      <c r="B181" s="592">
        <f>'Design Converter'!E45</f>
        <v>-0.7</v>
      </c>
      <c r="C181" s="111" t="s">
        <v>380</v>
      </c>
      <c r="D181" s="77"/>
      <c r="F181" s="7"/>
      <c r="G181" s="7"/>
      <c r="H181" s="7"/>
      <c r="I181" s="25"/>
    </row>
    <row r="182" spans="1:9" ht="15.5">
      <c r="A182" s="24" t="s">
        <v>516</v>
      </c>
      <c r="B182" s="371">
        <f>4*B178/Nps/ABS(Diode_TC)*1000</f>
        <v>1622857.142857143</v>
      </c>
      <c r="C182" s="17" t="s">
        <v>136</v>
      </c>
      <c r="D182" s="77"/>
      <c r="F182" s="7"/>
      <c r="G182" s="7"/>
      <c r="H182" s="7"/>
      <c r="I182" s="25"/>
    </row>
    <row r="183" spans="1:9">
      <c r="A183" s="12" t="s">
        <v>522</v>
      </c>
      <c r="B183" s="167">
        <f>'Standard Value Calculator'!J9/1000</f>
        <v>1620</v>
      </c>
      <c r="C183" s="17" t="s">
        <v>113</v>
      </c>
      <c r="D183" s="77"/>
      <c r="F183" s="7"/>
      <c r="G183" s="7"/>
      <c r="H183" s="7"/>
      <c r="I183" s="25"/>
    </row>
    <row r="184" spans="1:9" ht="13.5" thickBot="1">
      <c r="A184" s="180"/>
      <c r="B184" s="180"/>
      <c r="C184" s="40"/>
      <c r="D184" s="29"/>
      <c r="E184" s="40"/>
      <c r="F184" s="29"/>
      <c r="G184" s="29"/>
      <c r="H184" s="29"/>
      <c r="I184" s="30"/>
    </row>
    <row r="185" spans="1:9">
      <c r="A185" s="2"/>
      <c r="B185" s="18"/>
      <c r="C185" s="18"/>
      <c r="E185" s="18"/>
    </row>
    <row r="186" spans="1:9">
      <c r="A186" s="2"/>
      <c r="B186" s="18"/>
      <c r="C186" s="18"/>
      <c r="E186" s="18"/>
    </row>
    <row r="187" spans="1:9" ht="16" thickBot="1">
      <c r="A187" s="54" t="s">
        <v>83</v>
      </c>
      <c r="B187" s="7"/>
      <c r="C187" s="39"/>
      <c r="D187" s="7"/>
      <c r="E187" s="7"/>
      <c r="F187" s="7"/>
      <c r="G187" s="7"/>
      <c r="H187" s="7"/>
      <c r="I187" s="7"/>
    </row>
    <row r="188" spans="1:9">
      <c r="A188" s="52"/>
      <c r="B188" s="31"/>
      <c r="C188" s="158"/>
      <c r="D188" s="31"/>
      <c r="E188" s="31"/>
      <c r="F188" s="31"/>
      <c r="G188" s="31"/>
      <c r="H188" s="31"/>
      <c r="I188" s="32"/>
    </row>
    <row r="189" spans="1:9">
      <c r="A189" s="34" t="s">
        <v>26</v>
      </c>
      <c r="B189" s="7"/>
      <c r="C189" s="39"/>
      <c r="D189" s="7"/>
      <c r="E189" s="7"/>
      <c r="F189" s="7"/>
      <c r="G189" s="7"/>
      <c r="H189" s="7"/>
      <c r="I189" s="25"/>
    </row>
    <row r="190" spans="1:9" ht="12.5">
      <c r="A190" s="24" t="s">
        <v>36</v>
      </c>
      <c r="B190" s="132">
        <f>'Design Converter'!E83</f>
        <v>85</v>
      </c>
      <c r="C190" s="77" t="s">
        <v>102</v>
      </c>
      <c r="D190" s="7" t="s">
        <v>40</v>
      </c>
      <c r="F190" s="7"/>
      <c r="G190" s="7"/>
      <c r="H190" s="7"/>
      <c r="I190" s="25"/>
    </row>
    <row r="191" spans="1:9">
      <c r="A191" s="34" t="s">
        <v>29</v>
      </c>
      <c r="B191" s="7"/>
      <c r="C191" s="7"/>
      <c r="D191" s="7"/>
      <c r="F191" s="7"/>
      <c r="G191" s="7"/>
      <c r="H191" s="7"/>
      <c r="I191" s="25"/>
    </row>
    <row r="192" spans="1:9" ht="12.5">
      <c r="A192" s="24" t="s">
        <v>35</v>
      </c>
      <c r="B192" s="27">
        <f>4000/1000000</f>
        <v>4.0000000000000001E-3</v>
      </c>
      <c r="C192" s="77" t="s">
        <v>138</v>
      </c>
      <c r="D192" s="77" t="s">
        <v>549</v>
      </c>
      <c r="F192" s="7"/>
      <c r="G192" s="7"/>
      <c r="H192" s="7"/>
      <c r="I192" s="25"/>
    </row>
    <row r="193" spans="1:9" ht="15.5">
      <c r="A193" s="110" t="s">
        <v>177</v>
      </c>
      <c r="B193" s="27">
        <v>20</v>
      </c>
      <c r="C193" s="111" t="s">
        <v>84</v>
      </c>
      <c r="D193" s="77" t="s">
        <v>550</v>
      </c>
      <c r="F193" s="7"/>
      <c r="G193" s="7"/>
      <c r="H193" s="7"/>
      <c r="I193" s="25"/>
    </row>
    <row r="194" spans="1:9" ht="12.5">
      <c r="A194" s="24" t="s">
        <v>37</v>
      </c>
      <c r="B194" s="10">
        <f>RCinEsr</f>
        <v>3.0000000000000001E-3</v>
      </c>
      <c r="C194" s="113" t="s">
        <v>45</v>
      </c>
      <c r="D194" s="77" t="s">
        <v>178</v>
      </c>
      <c r="F194" s="7"/>
      <c r="G194" s="7"/>
      <c r="H194" s="7"/>
      <c r="I194" s="25"/>
    </row>
    <row r="195" spans="1:9" ht="12.5">
      <c r="A195" s="24"/>
      <c r="B195" s="10"/>
      <c r="C195" s="113"/>
      <c r="D195" s="77"/>
      <c r="F195" s="7"/>
      <c r="G195" s="7"/>
      <c r="H195" s="7"/>
      <c r="I195" s="25"/>
    </row>
    <row r="196" spans="1:9">
      <c r="A196" s="33" t="s">
        <v>52</v>
      </c>
      <c r="B196" s="7"/>
      <c r="C196" s="7"/>
      <c r="D196" s="7"/>
      <c r="F196" s="7"/>
      <c r="G196" s="7"/>
      <c r="H196" s="7"/>
      <c r="I196" s="25"/>
    </row>
    <row r="197" spans="1:9">
      <c r="A197" s="110" t="s">
        <v>285</v>
      </c>
      <c r="B197" s="27">
        <f>Vdd</f>
        <v>5</v>
      </c>
      <c r="C197" s="60" t="s">
        <v>0</v>
      </c>
      <c r="D197" s="182"/>
      <c r="F197" s="7"/>
      <c r="G197" s="7"/>
      <c r="H197" s="7"/>
      <c r="I197" s="25"/>
    </row>
    <row r="198" spans="1:9" ht="12.5">
      <c r="A198" s="24" t="s">
        <v>49</v>
      </c>
      <c r="B198" s="35">
        <f>IQ</f>
        <v>4.4999999999999999E-4</v>
      </c>
      <c r="C198" s="7" t="s">
        <v>1</v>
      </c>
      <c r="D198" s="7" t="s">
        <v>50</v>
      </c>
      <c r="F198" s="7"/>
      <c r="G198" s="7"/>
      <c r="H198" s="7"/>
      <c r="I198" s="25"/>
    </row>
    <row r="199" spans="1:9" ht="12.5">
      <c r="A199" s="24"/>
      <c r="B199" s="7"/>
      <c r="C199" s="7"/>
      <c r="D199" s="7"/>
      <c r="F199" s="7"/>
      <c r="G199" s="7"/>
      <c r="H199" s="7"/>
      <c r="I199" s="25"/>
    </row>
    <row r="200" spans="1:9">
      <c r="A200" s="55" t="s">
        <v>172</v>
      </c>
      <c r="B200" s="42" t="s">
        <v>6</v>
      </c>
      <c r="C200" s="14" t="s">
        <v>33</v>
      </c>
      <c r="D200" s="7"/>
      <c r="F200" s="7"/>
      <c r="G200" s="7"/>
      <c r="H200" s="7"/>
      <c r="I200" s="25"/>
    </row>
    <row r="201" spans="1:9" ht="12.5">
      <c r="A201" s="56" t="s">
        <v>44</v>
      </c>
      <c r="B201" s="43"/>
      <c r="C201" s="44" t="s">
        <v>45</v>
      </c>
      <c r="D201" s="7"/>
      <c r="F201" s="7"/>
      <c r="G201" s="7"/>
      <c r="H201" s="7"/>
      <c r="I201" s="25"/>
    </row>
    <row r="202" spans="1:9" ht="12.5">
      <c r="A202" s="56" t="s">
        <v>46</v>
      </c>
      <c r="B202" s="13">
        <v>0</v>
      </c>
      <c r="C202" s="111" t="s">
        <v>102</v>
      </c>
      <c r="D202" s="7"/>
      <c r="F202" s="7"/>
      <c r="G202" s="7"/>
      <c r="H202" s="7"/>
      <c r="I202" s="25"/>
    </row>
    <row r="203" spans="1:9" ht="12.5">
      <c r="A203" s="56" t="s">
        <v>87</v>
      </c>
      <c r="B203" s="13" t="e">
        <v>#NAME?</v>
      </c>
      <c r="C203" s="12" t="s">
        <v>1</v>
      </c>
      <c r="D203" s="7"/>
      <c r="F203" s="7"/>
      <c r="G203" s="7"/>
      <c r="H203" s="7"/>
      <c r="I203" s="25"/>
    </row>
    <row r="204" spans="1:9" ht="12.5">
      <c r="A204" s="56" t="s">
        <v>88</v>
      </c>
      <c r="B204" s="12" t="e">
        <v>#NAME?</v>
      </c>
      <c r="C204" s="12" t="s">
        <v>1</v>
      </c>
      <c r="D204" s="7"/>
      <c r="F204" s="7"/>
      <c r="G204" s="7"/>
      <c r="H204" s="7"/>
      <c r="I204" s="25"/>
    </row>
    <row r="205" spans="1:9" ht="12.5">
      <c r="A205" s="56" t="s">
        <v>89</v>
      </c>
      <c r="B205" s="12" t="e">
        <f>C205/Vin</f>
        <v>#NAME?</v>
      </c>
      <c r="C205" s="12" t="e">
        <v>#NAME?</v>
      </c>
      <c r="D205" s="7"/>
      <c r="F205" s="7"/>
      <c r="G205" s="7"/>
      <c r="H205" s="7"/>
      <c r="I205" s="25"/>
    </row>
    <row r="206" spans="1:9" ht="12.5">
      <c r="A206" s="56" t="s">
        <v>91</v>
      </c>
      <c r="B206" s="12" t="e">
        <f>SUM(B203:B205)</f>
        <v>#NAME?</v>
      </c>
      <c r="C206" s="12" t="s">
        <v>1</v>
      </c>
      <c r="D206" s="7"/>
      <c r="F206" s="7"/>
      <c r="G206" s="7"/>
      <c r="H206" s="7"/>
      <c r="I206" s="25"/>
    </row>
    <row r="207" spans="1:9" ht="13.5" thickBot="1">
      <c r="A207" s="28"/>
      <c r="B207" s="29"/>
      <c r="C207" s="159"/>
      <c r="D207" s="29"/>
      <c r="E207" s="29"/>
      <c r="F207" s="29"/>
      <c r="G207" s="29"/>
      <c r="H207" s="29"/>
      <c r="I207" s="30"/>
    </row>
    <row r="208" spans="1:9">
      <c r="A208" s="2"/>
      <c r="B208" s="2"/>
      <c r="C208" s="2"/>
    </row>
    <row r="209" spans="1:9" ht="21.75" customHeight="1" thickBot="1">
      <c r="A209" s="50" t="s">
        <v>85</v>
      </c>
      <c r="B209" s="7"/>
      <c r="C209" s="39"/>
      <c r="D209" s="7"/>
      <c r="E209" s="7"/>
      <c r="F209" s="7"/>
      <c r="G209" s="7"/>
      <c r="H209" s="7"/>
      <c r="I209" s="7"/>
    </row>
    <row r="210" spans="1:9">
      <c r="A210" s="52"/>
      <c r="B210" s="31"/>
      <c r="C210" s="158"/>
      <c r="D210" s="31"/>
      <c r="E210" s="57"/>
      <c r="F210" s="57"/>
      <c r="G210" s="57"/>
      <c r="H210" s="57"/>
      <c r="I210" s="32"/>
    </row>
    <row r="211" spans="1:9">
      <c r="A211" s="24"/>
      <c r="B211" s="111"/>
      <c r="C211" s="39"/>
      <c r="D211" s="7"/>
      <c r="E211" s="199"/>
      <c r="F211" s="199"/>
      <c r="G211" s="199"/>
      <c r="H211" s="199"/>
      <c r="I211" s="25"/>
    </row>
    <row r="212" spans="1:9">
      <c r="A212" s="24" t="str">
        <f>"RUV1 = "&amp;'Design Converter'!E50&amp;"MΩ"</f>
        <v>RUV1 = 76.8MΩ</v>
      </c>
      <c r="B212" s="7" t="str">
        <f>C253</f>
        <v>76.8kΩ</v>
      </c>
      <c r="C212" s="39"/>
      <c r="D212" s="7"/>
      <c r="E212" s="199"/>
      <c r="F212" s="199"/>
      <c r="G212" s="199"/>
      <c r="H212" s="199"/>
      <c r="I212" s="25"/>
    </row>
    <row r="213" spans="1:9">
      <c r="A213" s="24" t="str">
        <f>"RUV2 = "&amp;'Design Converter'!E51&amp;"kΩ"</f>
        <v>RUV2 = 6.81kΩ</v>
      </c>
      <c r="B213" s="7" t="str">
        <f>C254</f>
        <v>6.81kΩ</v>
      </c>
      <c r="C213" s="39"/>
      <c r="D213" s="7"/>
      <c r="E213" s="199"/>
      <c r="F213" s="199"/>
      <c r="G213" s="199"/>
      <c r="H213" s="199"/>
      <c r="I213" s="25"/>
    </row>
    <row r="214" spans="1:9">
      <c r="A214" s="24"/>
      <c r="B214" s="7"/>
      <c r="C214" s="39"/>
      <c r="D214" s="7"/>
      <c r="E214" s="199"/>
      <c r="F214" s="199"/>
      <c r="G214" s="199"/>
      <c r="H214" s="199"/>
      <c r="I214" s="25"/>
    </row>
    <row r="215" spans="1:9">
      <c r="A215" s="24" t="str">
        <f>"Lmag = "&amp;'Design Converter'!L7&amp;"µH"</f>
        <v>Lmag = 4.7µH</v>
      </c>
      <c r="B215" s="7" t="str">
        <f>'Design Converter'!L7&amp;"µH"</f>
        <v>4.7µH</v>
      </c>
      <c r="C215" s="39"/>
      <c r="D215" s="7"/>
      <c r="E215" s="7"/>
      <c r="F215" s="7"/>
      <c r="G215" s="7"/>
      <c r="H215" s="7"/>
      <c r="I215" s="25"/>
    </row>
    <row r="216" spans="1:9">
      <c r="A216" s="24" t="str">
        <f>"Rdcr = "&amp;Rdcr_pri*1000&amp;"mΩ"</f>
        <v>Rdcr = 14mΩ</v>
      </c>
      <c r="B216" s="198" t="str">
        <f>Rdcr_pri*1000&amp;"mΩ"</f>
        <v>14mΩ</v>
      </c>
      <c r="C216" s="39"/>
      <c r="D216" s="7"/>
      <c r="E216" s="7"/>
      <c r="F216" s="7"/>
      <c r="G216" s="7"/>
      <c r="H216" s="7"/>
      <c r="I216" s="25"/>
    </row>
    <row r="217" spans="1:9">
      <c r="A217" s="110" t="s">
        <v>384</v>
      </c>
      <c r="B217" s="198" t="str">
        <f>W50</f>
        <v>1 : 1</v>
      </c>
      <c r="C217" s="39"/>
      <c r="D217" s="7"/>
      <c r="E217" s="7"/>
      <c r="F217" s="7"/>
      <c r="G217" s="7"/>
      <c r="H217" s="7"/>
      <c r="I217" s="25"/>
    </row>
    <row r="218" spans="1:9">
      <c r="A218" s="24"/>
      <c r="B218" s="198"/>
      <c r="C218" s="39"/>
      <c r="D218" s="7"/>
      <c r="E218" s="7"/>
      <c r="F218" s="7"/>
      <c r="G218" s="7"/>
      <c r="H218" s="7"/>
      <c r="I218" s="25"/>
    </row>
    <row r="219" spans="1:9">
      <c r="A219" s="24" t="str">
        <f>"Css = "&amp;ROUND(Css_u*1000000000,1)&amp;"nF"</f>
        <v>Css = 180nF</v>
      </c>
      <c r="B219" s="7" t="str">
        <f>ROUND(Css_u*1000000000,1)&amp;"nF"</f>
        <v>180nF</v>
      </c>
      <c r="C219" s="39"/>
      <c r="D219" s="7"/>
      <c r="E219" s="7"/>
      <c r="F219" s="7"/>
      <c r="G219" s="7"/>
      <c r="H219" s="7"/>
      <c r="I219" s="25"/>
    </row>
    <row r="220" spans="1:9">
      <c r="A220" s="24"/>
      <c r="B220" s="7"/>
      <c r="C220" s="39"/>
      <c r="D220" s="7"/>
      <c r="E220" s="7"/>
      <c r="F220" s="7"/>
      <c r="G220" s="7"/>
      <c r="H220" s="7"/>
      <c r="I220" s="25"/>
    </row>
    <row r="221" spans="1:9">
      <c r="A221" s="24" t="s">
        <v>57</v>
      </c>
      <c r="B221" s="7" t="str">
        <f>VIN_nom&amp;"V"</f>
        <v>28V</v>
      </c>
      <c r="C221" s="39"/>
      <c r="D221" s="7"/>
      <c r="E221" s="7"/>
      <c r="F221" s="7"/>
      <c r="G221" s="7"/>
      <c r="H221" s="7"/>
      <c r="I221" s="25"/>
    </row>
    <row r="222" spans="1:9">
      <c r="A222" s="110" t="s">
        <v>187</v>
      </c>
      <c r="B222" s="7" t="str">
        <f>VIN_min&amp;"V..."&amp;VIN_max&amp;"V"</f>
        <v>19V...40V</v>
      </c>
      <c r="C222" s="39"/>
      <c r="D222" s="7"/>
      <c r="E222" s="7"/>
      <c r="F222" s="7"/>
      <c r="G222" s="7"/>
      <c r="H222" s="7"/>
      <c r="I222" s="25"/>
    </row>
    <row r="223" spans="1:9">
      <c r="A223" s="110"/>
      <c r="B223" s="7"/>
      <c r="C223" s="39"/>
      <c r="D223" s="7"/>
      <c r="E223" s="7"/>
      <c r="F223" s="7"/>
      <c r="G223" s="7"/>
      <c r="H223" s="7"/>
      <c r="I223" s="25"/>
    </row>
    <row r="224" spans="1:9">
      <c r="A224" s="24" t="str">
        <f>"VOUT = "&amp;'Design Converter'!E10&amp;"V"</f>
        <v>VOUT = 28V</v>
      </c>
      <c r="B224" s="7" t="str">
        <f>'Design Converter'!E10&amp;"V"</f>
        <v>28V</v>
      </c>
      <c r="C224" s="39"/>
      <c r="D224" s="7">
        <f>MODE</f>
        <v>1</v>
      </c>
      <c r="E224" s="7"/>
      <c r="F224" s="7"/>
      <c r="G224" s="7"/>
      <c r="H224" s="7"/>
      <c r="I224" s="25"/>
    </row>
    <row r="225" spans="1:9">
      <c r="A225" s="24" t="str">
        <f>"VOUT2 = "&amp;'Design Converter'!E12&amp;"V"</f>
        <v>VOUT2 = 30V</v>
      </c>
      <c r="B225" s="7" t="str">
        <f>IF(MODE_TOP="DUAL", 'Design Converter'!E12&amp;"V", "")</f>
        <v/>
      </c>
      <c r="C225" s="39"/>
      <c r="D225" s="77" t="b">
        <f>MODE=2</f>
        <v>0</v>
      </c>
      <c r="E225" s="7"/>
      <c r="F225" s="7"/>
      <c r="G225" s="7"/>
      <c r="H225" s="7"/>
      <c r="I225" s="25"/>
    </row>
    <row r="226" spans="1:9">
      <c r="A226" s="24" t="str">
        <f>"VOUT2 = "&amp;'Design Converter'!E12&amp;"V"</f>
        <v>VOUT2 = 30V</v>
      </c>
      <c r="B226" s="7" t="str">
        <f>IF(MODE_TOP="BIPOLAR", 'Design Converter'!E12&amp;"V", "")</f>
        <v/>
      </c>
      <c r="C226" s="39"/>
      <c r="D226" s="7"/>
      <c r="E226" s="7"/>
      <c r="F226" s="7"/>
      <c r="G226" s="7"/>
      <c r="H226" s="7"/>
      <c r="I226" s="25"/>
    </row>
    <row r="227" spans="1:9">
      <c r="A227" s="24"/>
      <c r="B227" s="7"/>
      <c r="C227" s="39"/>
      <c r="D227" s="7"/>
      <c r="E227" s="7"/>
      <c r="F227" s="7"/>
      <c r="G227" s="7"/>
      <c r="H227" s="7"/>
      <c r="I227" s="25"/>
    </row>
    <row r="228" spans="1:9">
      <c r="A228" s="396" t="s">
        <v>510</v>
      </c>
      <c r="B228" s="77" t="str">
        <f>IF(MODE=1, "", "Co1")</f>
        <v/>
      </c>
      <c r="C228" s="77" t="str">
        <f>IF(MODE_TOP="DUAL", "Co2", "")</f>
        <v/>
      </c>
      <c r="D228" s="77" t="str">
        <f>IF(MODE_TOP="BIPOLAR", "Co2", "")</f>
        <v/>
      </c>
      <c r="E228" s="7"/>
      <c r="F228" s="77" t="str">
        <f>MODE_TOP</f>
        <v>SINGLE</v>
      </c>
      <c r="G228" s="7"/>
      <c r="H228" s="7"/>
      <c r="I228" s="25"/>
    </row>
    <row r="229" spans="1:9" ht="12.5">
      <c r="A229" s="24" t="str">
        <f>"COUT = "&amp;'Design Converter'!$E$34&amp;"µF"</f>
        <v>COUT = 110µF</v>
      </c>
      <c r="B229" s="7" t="str">
        <f>'Design Converter'!$E$34&amp;"µF"</f>
        <v>110µF</v>
      </c>
      <c r="C229" s="7" t="str">
        <f>IF(MODE_TOP="DUAL", 'Design Converter'!$L$34&amp;"µF", "")</f>
        <v/>
      </c>
      <c r="D229" s="7" t="str">
        <f>IF(MODE_TOP="BIPOLAR", 'Design Converter'!$L$34&amp;"µF", "")</f>
        <v/>
      </c>
      <c r="E229" s="7"/>
      <c r="F229" s="7" t="str">
        <f>'Design Converter'!$L$34&amp;"µF"</f>
        <v>55µF</v>
      </c>
      <c r="G229" s="7"/>
      <c r="H229" s="7"/>
      <c r="I229" s="25"/>
    </row>
    <row r="230" spans="1:9">
      <c r="A230" s="110" t="s">
        <v>134</v>
      </c>
      <c r="B230" s="7" t="str">
        <f>"22µF"</f>
        <v>22µF</v>
      </c>
      <c r="C230" s="39"/>
      <c r="D230" s="7"/>
      <c r="E230" s="7"/>
      <c r="F230" s="7"/>
      <c r="G230" s="7"/>
      <c r="H230" s="7"/>
      <c r="I230" s="25"/>
    </row>
    <row r="231" spans="1:9">
      <c r="A231" s="110" t="s">
        <v>135</v>
      </c>
      <c r="B231" s="78" t="str">
        <f>ROUNDUP(Cout/22,0)&amp;" x"</f>
        <v>5 x</v>
      </c>
      <c r="C231" s="160"/>
      <c r="D231" s="7"/>
      <c r="E231" s="7"/>
      <c r="F231" s="7"/>
      <c r="G231" s="7"/>
      <c r="H231" s="7"/>
      <c r="I231" s="25"/>
    </row>
    <row r="232" spans="1:9">
      <c r="A232" s="110"/>
      <c r="B232" s="78">
        <f>Cout</f>
        <v>110</v>
      </c>
      <c r="C232" s="160"/>
      <c r="D232" s="7"/>
      <c r="E232" s="7"/>
      <c r="F232" s="7"/>
      <c r="G232" s="7"/>
      <c r="H232" s="7"/>
      <c r="I232" s="25"/>
    </row>
    <row r="233" spans="1:9">
      <c r="A233" s="396" t="s">
        <v>511</v>
      </c>
      <c r="B233" s="7"/>
      <c r="C233" s="39"/>
      <c r="D233" s="7"/>
      <c r="E233" s="7"/>
      <c r="F233" s="7"/>
      <c r="G233" s="7"/>
      <c r="H233" s="7"/>
      <c r="I233" s="25"/>
    </row>
    <row r="234" spans="1:9">
      <c r="A234" s="24" t="s">
        <v>95</v>
      </c>
      <c r="B234" s="7" t="str">
        <f>Cin&amp;"µF"</f>
        <v>100µF</v>
      </c>
      <c r="E234" s="7"/>
      <c r="F234" s="7"/>
      <c r="G234" s="7"/>
      <c r="H234" s="7"/>
      <c r="I234" s="25"/>
    </row>
    <row r="235" spans="1:9">
      <c r="A235" s="110" t="s">
        <v>133</v>
      </c>
      <c r="B235" s="7" t="str">
        <f>"4.7µF"</f>
        <v>4.7µF</v>
      </c>
      <c r="C235" s="39"/>
      <c r="D235" s="7"/>
      <c r="E235" s="7"/>
      <c r="F235" s="7"/>
      <c r="G235" s="7"/>
      <c r="H235" s="7"/>
      <c r="I235" s="25"/>
    </row>
    <row r="236" spans="1:9">
      <c r="A236" s="110" t="s">
        <v>132</v>
      </c>
      <c r="B236" s="78" t="str">
        <f>ROUNDUP(Cin/4.7,0)&amp;" x"</f>
        <v>22 x</v>
      </c>
      <c r="C236" s="160"/>
      <c r="D236" s="7"/>
      <c r="E236" s="7"/>
      <c r="F236" s="7"/>
      <c r="G236" s="7"/>
      <c r="H236" s="7"/>
      <c r="I236" s="25"/>
    </row>
    <row r="237" spans="1:9">
      <c r="A237" s="110"/>
      <c r="B237" s="78"/>
      <c r="D237" s="7"/>
      <c r="E237" s="7"/>
      <c r="F237" s="7"/>
      <c r="G237" s="7"/>
      <c r="H237" s="7"/>
      <c r="I237" s="25"/>
    </row>
    <row r="238" spans="1:9" ht="15.5">
      <c r="A238" s="110" t="s">
        <v>512</v>
      </c>
      <c r="B238" s="577" t="s">
        <v>513</v>
      </c>
      <c r="C238" s="577" t="s">
        <v>551</v>
      </c>
      <c r="D238" s="7"/>
      <c r="E238" s="7"/>
      <c r="F238" s="7"/>
      <c r="G238" s="7"/>
      <c r="H238" s="7"/>
      <c r="I238" s="25"/>
    </row>
    <row r="239" spans="1:9">
      <c r="A239" s="110"/>
      <c r="B239" s="78"/>
      <c r="D239" s="7"/>
      <c r="E239" s="7"/>
      <c r="F239" s="7"/>
      <c r="G239" s="7"/>
      <c r="H239" s="7"/>
      <c r="I239" s="25"/>
    </row>
    <row r="240" spans="1:9">
      <c r="A240" s="396" t="s">
        <v>383</v>
      </c>
      <c r="B240" s="160" t="str">
        <f>IF(MODE_TC=1, "YES", "NO")</f>
        <v>NO</v>
      </c>
      <c r="D240" s="7"/>
      <c r="E240" s="7"/>
      <c r="F240" s="7"/>
      <c r="G240" s="7"/>
      <c r="H240" s="7"/>
      <c r="I240" s="25"/>
    </row>
    <row r="241" spans="1:9">
      <c r="A241" s="110" t="s">
        <v>298</v>
      </c>
      <c r="B241" s="160" t="str">
        <f>IF(MODE_TC=2, "YES", "NO")</f>
        <v>YES</v>
      </c>
      <c r="C241" s="386" t="str">
        <f>IF(MODE_TC=2, "R1", "")</f>
        <v>R1</v>
      </c>
      <c r="D241" s="386" t="str">
        <f>IF(MODE_TC=2, "R2", "")</f>
        <v>R2</v>
      </c>
      <c r="E241" s="386"/>
      <c r="F241" s="7"/>
      <c r="G241" s="7"/>
      <c r="H241" s="7"/>
      <c r="I241" s="25"/>
    </row>
    <row r="242" spans="1:9" ht="12.5">
      <c r="A242" s="24" t="str">
        <f>"RFB = "&amp;'Design Converter'!E39&amp;"kΩ"</f>
        <v>RFB = 284kΩ</v>
      </c>
      <c r="B242" s="7" t="str">
        <f>IF(MODE_TC=1, "", 'Design Converter'!E39&amp;"kΩ")</f>
        <v>284kΩ</v>
      </c>
      <c r="C242" s="77" t="str">
        <f>'Design Converter'!E39&amp;"kΩ"</f>
        <v>284kΩ</v>
      </c>
      <c r="D242" s="7"/>
      <c r="E242" s="7"/>
      <c r="F242" s="7"/>
      <c r="G242" s="7"/>
      <c r="H242" s="7"/>
      <c r="I242" s="25"/>
    </row>
    <row r="243" spans="1:9" ht="12.5">
      <c r="A243" s="24" t="str">
        <f>"RFB2 = "&amp;IF(Vout=Vref,"OPEN",'Design Converter'!E40&amp;"kΩ")</f>
        <v>RFB2 = 284kΩ</v>
      </c>
      <c r="B243" s="7" t="str">
        <f>IF(MODE_TC=1, "", IF(Vout=Vref,"OPEN",Rfb2_u/1000&amp;"kΩ"))</f>
        <v>0.287kΩ</v>
      </c>
      <c r="C243" s="77" t="str">
        <f>'Design Converter'!E40&amp;"kΩ"</f>
        <v>284kΩ</v>
      </c>
      <c r="D243" s="7"/>
      <c r="E243" s="7"/>
      <c r="F243" s="7"/>
      <c r="G243" s="7"/>
      <c r="H243" s="7"/>
      <c r="I243" s="25"/>
    </row>
    <row r="244" spans="1:9" ht="12.5">
      <c r="A244" s="24"/>
      <c r="B244" s="7"/>
      <c r="C244" s="77"/>
      <c r="D244" s="7"/>
      <c r="E244" s="7"/>
      <c r="F244" s="7"/>
      <c r="G244" s="7"/>
      <c r="H244" s="7"/>
      <c r="I244" s="25"/>
    </row>
    <row r="245" spans="1:9">
      <c r="A245" s="110" t="s">
        <v>302</v>
      </c>
      <c r="B245" s="39" t="str">
        <f>IF(MODE=1, "YES", "NO")</f>
        <v>YES</v>
      </c>
      <c r="C245" s="7" t="str">
        <f>IF(MODE=1,"Rt", "")</f>
        <v>Rt</v>
      </c>
      <c r="D245" s="7"/>
      <c r="E245" s="7"/>
      <c r="F245" s="7"/>
      <c r="G245" s="7"/>
      <c r="H245" s="7"/>
      <c r="I245" s="25"/>
    </row>
    <row r="246" spans="1:9">
      <c r="A246" s="110" t="s">
        <v>139</v>
      </c>
      <c r="B246" s="7" t="e">
        <f>IF(MODE=2, "", 'Standard Value Calculator'!J4/1000&amp;"kΩ")</f>
        <v>#NAME?</v>
      </c>
      <c r="C246" s="39"/>
      <c r="D246" s="7"/>
      <c r="E246" s="7"/>
      <c r="F246" s="7"/>
      <c r="G246" s="7"/>
      <c r="H246" s="7"/>
      <c r="I246" s="25"/>
    </row>
    <row r="247" spans="1:9">
      <c r="A247" s="110"/>
      <c r="B247" s="7"/>
      <c r="C247" s="39"/>
      <c r="D247" s="7"/>
      <c r="E247" s="7"/>
      <c r="F247" s="7"/>
      <c r="G247" s="7"/>
      <c r="H247" s="7"/>
      <c r="I247" s="25"/>
    </row>
    <row r="248" spans="1:9">
      <c r="A248" s="396" t="s">
        <v>374</v>
      </c>
      <c r="B248" s="160" t="str">
        <f>IF(MODE=1, "YES", "NO")</f>
        <v>YES</v>
      </c>
      <c r="C248" s="77" t="str">
        <f>IF(TC=1,"Rtc", "")</f>
        <v/>
      </c>
      <c r="D248" s="7"/>
      <c r="E248" s="7"/>
      <c r="F248" s="7"/>
      <c r="G248" s="7"/>
      <c r="H248" s="7"/>
      <c r="I248" s="25"/>
    </row>
    <row r="249" spans="1:9" ht="12.5">
      <c r="A249" s="521" t="str">
        <f>"RTC = "&amp;RTC&amp;"kΩ"</f>
        <v>RTC = 1620kΩ</v>
      </c>
      <c r="B249" s="7" t="str">
        <f>IF(TC=1, RTC&amp;"kΩ", "")</f>
        <v/>
      </c>
      <c r="C249" s="77" t="str">
        <f>CHOOSE(TC,"Rtc","")</f>
        <v/>
      </c>
      <c r="D249" s="7"/>
      <c r="E249" s="7"/>
      <c r="F249" s="8"/>
      <c r="G249" s="7"/>
      <c r="H249" s="7"/>
      <c r="I249" s="25"/>
    </row>
    <row r="250" spans="1:9" ht="12.5">
      <c r="A250" s="110" t="s">
        <v>377</v>
      </c>
      <c r="B250" s="368"/>
      <c r="C250" s="7"/>
      <c r="D250" s="7"/>
      <c r="E250" s="7"/>
      <c r="F250" s="8"/>
      <c r="G250" s="7"/>
      <c r="H250" s="7"/>
      <c r="I250" s="25"/>
    </row>
    <row r="251" spans="1:9">
      <c r="A251" s="24"/>
      <c r="B251" s="78"/>
      <c r="C251" s="160"/>
      <c r="D251" s="7"/>
      <c r="E251" s="113"/>
      <c r="F251" s="7"/>
      <c r="G251" s="7"/>
      <c r="H251" s="7"/>
      <c r="I251" s="25"/>
    </row>
    <row r="252" spans="1:9">
      <c r="A252" s="396" t="s">
        <v>305</v>
      </c>
      <c r="B252" s="160" t="str">
        <f>IF(MODE_UVLO=1, "YES", "NO")</f>
        <v>YES</v>
      </c>
      <c r="C252" s="386" t="str">
        <f>IF(MODE_UVLO=1, "Ruv1", "")</f>
        <v>Ruv1</v>
      </c>
      <c r="D252" s="386" t="str">
        <f>IF(MODE_UVLO=1, "Ruv2", "")</f>
        <v>Ruv2</v>
      </c>
      <c r="E252" s="386"/>
      <c r="F252" s="386" t="s">
        <v>6</v>
      </c>
      <c r="G252" s="386" t="s">
        <v>33</v>
      </c>
      <c r="H252" s="77" t="s">
        <v>339</v>
      </c>
      <c r="I252" s="25"/>
    </row>
    <row r="253" spans="1:9" ht="12.5">
      <c r="A253" s="24" t="str">
        <f>"RUV1 = "&amp;C253</f>
        <v>RUV1 = 76.8kΩ</v>
      </c>
      <c r="B253" s="7" t="str">
        <f>'Design Converter'!E50&amp;" kΩ"</f>
        <v>76.8 kΩ</v>
      </c>
      <c r="C253" s="386" t="str">
        <f>IF(MODE_UVLO=1,'Design Converter'!E50&amp;"kΩ", "")</f>
        <v>76.8kΩ</v>
      </c>
      <c r="F253" s="7">
        <f>IF(MODE_UVLO=1,'Design Converter'!E50, "")</f>
        <v>76.800000000000011</v>
      </c>
      <c r="G253" s="77" t="str">
        <f>IF(MODE_UVLO=1,"kΩ", "")</f>
        <v>kΩ</v>
      </c>
      <c r="H253" s="386" t="str">
        <f>IF(MODE_UVLO=1,'Design Converter'!E50&amp;"k", "")</f>
        <v>76.8k</v>
      </c>
      <c r="I253" s="25"/>
    </row>
    <row r="254" spans="1:9" ht="12.5">
      <c r="A254" s="24" t="str">
        <f>"RUV2 = "&amp;C254</f>
        <v>RUV2 = 6.81kΩ</v>
      </c>
      <c r="B254" s="7" t="str">
        <f>IF(D166&gt;=1000, D166/1000&amp;" MΩ", D166&amp;" kΩ")</f>
        <v>6.81 kΩ</v>
      </c>
      <c r="C254" s="386" t="str">
        <f>IF(MODE_UVLO=1, IF(D166&lt;1, D166*1000&amp;"Ω", IF(D166&lt;1000, D166&amp;"kΩ", D166/1000&amp;"MΩ")), "")</f>
        <v>6.81kΩ</v>
      </c>
      <c r="F254" s="7">
        <f>IF(MODE_UVLO=1, IF(D166&lt;1, D166*1000, IF(D166&lt;1000, D166, D166/1000)), "")</f>
        <v>6.8100000000000005</v>
      </c>
      <c r="G254" s="77" t="str">
        <f>IF(MODE_UVLO=1, IF(D166&lt;1, "Ω", IF(D166&lt;1000,"kΩ", "MΩ")), "")</f>
        <v>kΩ</v>
      </c>
      <c r="H254" s="386" t="str">
        <f>IF(MODE_UVLO=1, IF(D166&lt;1, D166*1000, IF(D166&lt;1000, D166&amp;"k", D166/1000&amp;"M")), "")</f>
        <v>6.81k</v>
      </c>
      <c r="I254" s="25"/>
    </row>
    <row r="255" spans="1:9" ht="12.5">
      <c r="A255" s="24"/>
      <c r="B255" s="7"/>
      <c r="C255" s="386"/>
      <c r="F255" s="7"/>
      <c r="G255" s="77"/>
      <c r="H255" s="386"/>
      <c r="I255" s="25"/>
    </row>
    <row r="256" spans="1:9">
      <c r="A256" s="396" t="s">
        <v>378</v>
      </c>
      <c r="B256" s="7"/>
      <c r="C256" s="386"/>
      <c r="F256" s="7"/>
      <c r="G256" s="77"/>
      <c r="H256" s="386"/>
      <c r="I256" s="25"/>
    </row>
    <row r="257" spans="1:9" ht="12.5">
      <c r="A257" s="24" t="str">
        <f>"RSET = "&amp;C257</f>
        <v>RSET = 10kΩ</v>
      </c>
      <c r="B257" s="77" t="s">
        <v>783</v>
      </c>
      <c r="C257" s="77" t="s">
        <v>784</v>
      </c>
      <c r="F257" s="7">
        <f>IF(MODE_UVLO=1, IF(D167&lt;1, D167*1000, IF(D167&lt;1000, D167, D167/1000)), "")</f>
        <v>0</v>
      </c>
      <c r="G257" s="77" t="str">
        <f>IF(MODE_UVLO=1, IF(D167&lt;1, "Ω", IF(D167&lt;1000,"kΩ", "MΩ")), "")</f>
        <v>Ω</v>
      </c>
      <c r="H257" s="386">
        <f>IF(MODE_UVLO=1, IF(D167&lt;1, D167*1000, IF(D167&lt;1000, D167&amp;"k", D167&amp;"M")), "")</f>
        <v>0</v>
      </c>
      <c r="I257" s="25"/>
    </row>
    <row r="258" spans="1:9" ht="12.5">
      <c r="A258" s="24"/>
      <c r="B258" s="77"/>
      <c r="C258" s="77"/>
      <c r="F258" s="7"/>
      <c r="G258" s="77"/>
      <c r="H258" s="386"/>
      <c r="I258" s="25"/>
    </row>
    <row r="259" spans="1:9">
      <c r="A259" s="396" t="s">
        <v>379</v>
      </c>
      <c r="B259" s="78"/>
      <c r="C259" s="160"/>
      <c r="D259" s="7"/>
      <c r="E259" s="113"/>
      <c r="F259" s="7"/>
      <c r="G259" s="7"/>
      <c r="H259" s="7"/>
      <c r="I259" s="25"/>
    </row>
    <row r="260" spans="1:9">
      <c r="A260" s="24" t="str">
        <f>"Css = "&amp;Css*1000000000&amp;"nF"</f>
        <v>Css = 167.5nF</v>
      </c>
      <c r="B260" s="7" t="str">
        <f>Css*1000000000&amp;"nF"</f>
        <v>167.5nF</v>
      </c>
      <c r="D260" s="7"/>
      <c r="E260" s="7"/>
      <c r="F260" s="7"/>
      <c r="G260" s="7"/>
      <c r="H260" s="7"/>
      <c r="I260" s="25"/>
    </row>
    <row r="261" spans="1:9" ht="12.5">
      <c r="A261" s="24" t="s">
        <v>66</v>
      </c>
      <c r="B261" s="7" t="str">
        <f>CHOOSE(MODE_SS,'Standard Value Calculator'!B4*1000000000&amp;"nF","")</f>
        <v/>
      </c>
      <c r="C261" s="7" t="str">
        <f>CHOOSE(MODE_SS,"Css","")</f>
        <v/>
      </c>
      <c r="D261" s="397" t="str">
        <f>B261</f>
        <v/>
      </c>
      <c r="E261" s="7"/>
      <c r="F261" s="7"/>
      <c r="G261" s="7"/>
      <c r="H261" s="7"/>
      <c r="I261" s="25"/>
    </row>
    <row r="262" spans="1:9">
      <c r="A262" s="24"/>
      <c r="B262" s="7"/>
      <c r="C262" s="77" t="str">
        <f>C261</f>
        <v/>
      </c>
      <c r="D262" s="39"/>
      <c r="E262" s="7"/>
      <c r="F262" s="7"/>
      <c r="G262" s="7"/>
      <c r="H262" s="7"/>
      <c r="I262" s="25"/>
    </row>
    <row r="263" spans="1:9">
      <c r="A263" s="24"/>
      <c r="B263" s="7"/>
      <c r="C263" s="77"/>
      <c r="D263" s="39"/>
      <c r="E263" s="7"/>
      <c r="F263" s="7"/>
      <c r="G263" s="7"/>
      <c r="H263" s="7"/>
      <c r="I263" s="25"/>
    </row>
    <row r="264" spans="1:9" ht="12.5">
      <c r="A264" s="110" t="s">
        <v>640</v>
      </c>
      <c r="B264" s="77">
        <f>ROUND(Iout*2,1)</f>
        <v>5</v>
      </c>
      <c r="C264" s="77" t="s">
        <v>1</v>
      </c>
      <c r="D264" s="7"/>
      <c r="E264" s="7"/>
      <c r="F264" s="7"/>
      <c r="G264" s="7"/>
      <c r="H264" s="7"/>
      <c r="I264" s="25"/>
    </row>
    <row r="265" spans="1:9" ht="12.5">
      <c r="A265" s="110" t="s">
        <v>641</v>
      </c>
      <c r="B265">
        <f>ROUND(VRRM_DIODE,0)</f>
        <v>68</v>
      </c>
      <c r="C265" s="77" t="s">
        <v>0</v>
      </c>
      <c r="D265" s="7"/>
      <c r="E265" s="7"/>
      <c r="F265" s="7"/>
      <c r="G265" s="7"/>
      <c r="H265" s="7"/>
      <c r="I265" s="25"/>
    </row>
    <row r="266" spans="1:9">
      <c r="F266" s="7"/>
      <c r="G266" s="7"/>
      <c r="H266" s="7"/>
      <c r="I266" s="25"/>
    </row>
    <row r="267" spans="1:9" ht="12.5">
      <c r="A267" s="110"/>
      <c r="B267" s="368"/>
      <c r="C267" s="7"/>
      <c r="D267" s="7"/>
      <c r="E267" s="7"/>
      <c r="F267" s="7"/>
      <c r="G267" s="7"/>
      <c r="H267" s="7"/>
      <c r="I267" s="25"/>
    </row>
    <row r="268" spans="1:9" ht="12.5">
      <c r="A268" s="110" t="s">
        <v>129</v>
      </c>
      <c r="B268" s="77" t="s">
        <v>310</v>
      </c>
      <c r="C268" s="7"/>
      <c r="D268" s="7"/>
      <c r="E268" s="7"/>
      <c r="F268" s="7"/>
      <c r="G268" s="7"/>
      <c r="H268" s="7"/>
      <c r="I268" s="25"/>
    </row>
    <row r="269" spans="1:9" ht="12.5">
      <c r="A269" s="110"/>
      <c r="B269" s="77"/>
      <c r="C269" s="7"/>
      <c r="D269" s="7"/>
      <c r="E269" s="7"/>
      <c r="F269" s="7"/>
      <c r="G269" s="7"/>
      <c r="H269" s="7"/>
      <c r="I269" s="25"/>
    </row>
    <row r="270" spans="1:9" ht="12.5">
      <c r="A270" s="110" t="s">
        <v>183</v>
      </c>
      <c r="B270" s="353" t="str">
        <f>CHOOSE(MODE, ROUND('Calculations - Single'!$CB$105,1)&amp;"%", ROUND('Calculations - Dual'!CB105,1)&amp;"%")</f>
        <v>69.2%</v>
      </c>
      <c r="C270" s="7"/>
      <c r="D270" s="7"/>
      <c r="E270" s="7"/>
      <c r="F270" s="7"/>
      <c r="G270" s="7"/>
      <c r="H270" s="7"/>
      <c r="I270" s="25"/>
    </row>
    <row r="271" spans="1:9" ht="12.5">
      <c r="A271" s="110" t="s">
        <v>492</v>
      </c>
      <c r="B271" s="353" t="str">
        <f>ROUND('Calculations - Single'!$CB$55,1)&amp;"%"</f>
        <v>65.3%</v>
      </c>
      <c r="C271" s="7"/>
      <c r="D271" s="7"/>
      <c r="E271" s="7"/>
      <c r="F271" s="7"/>
      <c r="G271" s="7"/>
      <c r="H271" s="7"/>
      <c r="I271" s="25"/>
    </row>
    <row r="272" spans="1:9" ht="12.5">
      <c r="A272" s="110" t="s">
        <v>307</v>
      </c>
      <c r="B272" s="353" t="str">
        <f>ROUND('Calculations - Single'!$CB$15,1)&amp;"%"</f>
        <v>68.7%</v>
      </c>
      <c r="C272" s="77" t="s">
        <v>312</v>
      </c>
      <c r="D272" s="7"/>
      <c r="E272" s="7"/>
      <c r="F272" s="7"/>
      <c r="G272" s="7"/>
      <c r="H272" s="7"/>
      <c r="I272" s="25"/>
    </row>
    <row r="273" spans="1:9" ht="12.5">
      <c r="A273" s="110" t="s">
        <v>311</v>
      </c>
      <c r="B273" s="353" t="str">
        <f>ROUND(Parameters!BZ56,1)&amp;"%"</f>
        <v>0%</v>
      </c>
      <c r="C273" s="77" t="s">
        <v>313</v>
      </c>
      <c r="D273" s="7"/>
      <c r="E273" s="7"/>
      <c r="F273" s="7"/>
      <c r="G273" s="7"/>
      <c r="H273" s="7"/>
      <c r="I273" s="25"/>
    </row>
    <row r="274" spans="1:9">
      <c r="A274" s="24"/>
      <c r="B274" s="7"/>
      <c r="C274" s="39"/>
      <c r="D274" s="7"/>
      <c r="E274" s="7"/>
      <c r="F274" s="7"/>
      <c r="G274" s="7"/>
      <c r="H274" s="7"/>
      <c r="I274" s="25"/>
    </row>
    <row r="275" spans="1:9">
      <c r="A275" s="24"/>
      <c r="B275" s="7"/>
      <c r="C275" s="39"/>
      <c r="D275" s="7"/>
      <c r="E275" s="7"/>
      <c r="F275" s="7"/>
      <c r="G275" s="7"/>
      <c r="H275" s="7"/>
      <c r="I275" s="25"/>
    </row>
    <row r="276" spans="1:9">
      <c r="A276" s="24"/>
      <c r="B276" s="7"/>
      <c r="C276" s="39"/>
      <c r="D276" s="7"/>
      <c r="E276" s="7"/>
      <c r="F276" s="7"/>
      <c r="G276" s="7"/>
      <c r="H276" s="7"/>
      <c r="I276" s="25"/>
    </row>
    <row r="277" spans="1:9">
      <c r="A277" s="24" t="s">
        <v>80</v>
      </c>
      <c r="B277" s="7" t="str">
        <f>IF(C277="y","","|")</f>
        <v>|</v>
      </c>
      <c r="C277" s="39" t="s">
        <v>319</v>
      </c>
      <c r="D277" s="7"/>
      <c r="E277" s="7"/>
      <c r="F277" s="7"/>
      <c r="G277" s="7"/>
      <c r="H277" s="7"/>
      <c r="I277" s="25"/>
    </row>
    <row r="278" spans="1:9">
      <c r="A278" s="24"/>
      <c r="B278" s="7"/>
      <c r="C278" s="39"/>
      <c r="D278" s="7"/>
      <c r="E278" s="7"/>
      <c r="F278" s="7"/>
      <c r="G278" s="7"/>
      <c r="H278" s="7"/>
      <c r="I278" s="25"/>
    </row>
    <row r="279" spans="1:9">
      <c r="A279" s="499" t="s">
        <v>86</v>
      </c>
      <c r="B279" s="7" t="str">
        <f>'Design Converter'!$E$11&amp;"A"</f>
        <v>2.5A</v>
      </c>
      <c r="C279" s="39"/>
      <c r="D279" s="7"/>
      <c r="E279" s="7"/>
      <c r="F279" s="7"/>
      <c r="G279" s="7"/>
      <c r="H279" s="7"/>
      <c r="I279" s="25"/>
    </row>
    <row r="280" spans="1:9">
      <c r="A280" s="499" t="s">
        <v>509</v>
      </c>
      <c r="B280" s="7" t="str">
        <f>IF(MODE_TOP="DUAL", 'Design Converter'!$E$13&amp;"A", "")</f>
        <v/>
      </c>
      <c r="C280" s="39"/>
      <c r="D280" s="77">
        <f>MODE</f>
        <v>1</v>
      </c>
      <c r="E280" s="7"/>
      <c r="F280" s="7"/>
      <c r="G280" s="7"/>
      <c r="H280" s="7"/>
      <c r="I280" s="25"/>
    </row>
    <row r="281" spans="1:9">
      <c r="A281" s="499" t="s">
        <v>508</v>
      </c>
      <c r="B281" s="7" t="str">
        <f>IF(MODE_TOP="BIPOLAR", Iout2_actual&amp;"A", "")</f>
        <v/>
      </c>
      <c r="C281" s="39"/>
      <c r="D281" s="7"/>
      <c r="E281" s="7"/>
      <c r="F281" s="7"/>
      <c r="G281" s="7"/>
      <c r="H281" s="7"/>
      <c r="I281" s="25"/>
    </row>
    <row r="282" spans="1:9">
      <c r="A282" s="24"/>
      <c r="B282" s="7"/>
      <c r="C282" s="39"/>
      <c r="D282" s="7"/>
      <c r="E282" s="7"/>
      <c r="F282" s="7"/>
      <c r="G282" s="7"/>
      <c r="H282" s="7"/>
      <c r="I282" s="25"/>
    </row>
    <row r="283" spans="1:9">
      <c r="A283" s="110" t="s">
        <v>94</v>
      </c>
      <c r="B283" s="7">
        <v>1</v>
      </c>
      <c r="C283" s="39"/>
      <c r="D283" s="7"/>
      <c r="E283" s="7"/>
      <c r="F283" s="7"/>
      <c r="G283" s="7"/>
      <c r="H283" s="7"/>
      <c r="I283" s="25"/>
    </row>
    <row r="284" spans="1:9">
      <c r="A284" s="110" t="s">
        <v>93</v>
      </c>
      <c r="B284" s="7">
        <v>2</v>
      </c>
      <c r="C284" s="39"/>
      <c r="D284" s="7"/>
      <c r="E284" s="7"/>
      <c r="F284" s="7"/>
      <c r="G284" s="7"/>
      <c r="H284" s="7"/>
      <c r="I284" s="25"/>
    </row>
    <row r="285" spans="1:9">
      <c r="A285" s="593" t="s">
        <v>57</v>
      </c>
      <c r="B285" s="7">
        <v>3</v>
      </c>
      <c r="C285" s="39"/>
      <c r="D285" s="7"/>
      <c r="E285" s="7"/>
      <c r="F285" s="7"/>
      <c r="G285" s="7"/>
      <c r="H285" s="7"/>
      <c r="I285" s="25"/>
    </row>
    <row r="286" spans="1:9">
      <c r="A286" s="110" t="s">
        <v>552</v>
      </c>
      <c r="B286" s="7">
        <v>4</v>
      </c>
      <c r="C286" s="39"/>
      <c r="D286" s="7"/>
      <c r="E286" s="7"/>
      <c r="F286" s="7"/>
      <c r="G286" s="7"/>
      <c r="H286" s="7"/>
      <c r="I286" s="25"/>
    </row>
    <row r="287" spans="1:9">
      <c r="A287" s="110" t="s">
        <v>553</v>
      </c>
      <c r="B287" s="7">
        <v>5</v>
      </c>
      <c r="C287" s="39"/>
      <c r="D287" s="7"/>
      <c r="E287" s="7"/>
      <c r="F287" s="7"/>
      <c r="G287" s="7"/>
      <c r="H287" s="7"/>
      <c r="I287" s="25"/>
    </row>
    <row r="288" spans="1:9">
      <c r="A288" s="110" t="s">
        <v>554</v>
      </c>
      <c r="B288" s="7">
        <v>6</v>
      </c>
      <c r="C288" s="39"/>
      <c r="D288" s="7"/>
      <c r="E288" s="7"/>
      <c r="F288" s="7"/>
      <c r="G288" s="7"/>
      <c r="H288" s="7"/>
      <c r="I288" s="25"/>
    </row>
    <row r="289" spans="1:9">
      <c r="A289" s="110" t="s">
        <v>555</v>
      </c>
      <c r="B289" s="7">
        <v>7</v>
      </c>
      <c r="C289" s="39"/>
      <c r="D289" s="7"/>
      <c r="E289" s="7"/>
      <c r="F289" s="7"/>
      <c r="G289" s="7"/>
      <c r="H289" s="7"/>
      <c r="I289" s="25"/>
    </row>
    <row r="290" spans="1:9">
      <c r="A290" s="593" t="s">
        <v>92</v>
      </c>
      <c r="B290" s="7">
        <v>8</v>
      </c>
      <c r="C290" s="39"/>
      <c r="D290" s="7"/>
      <c r="E290" s="7"/>
      <c r="F290" s="7"/>
      <c r="G290" s="7"/>
      <c r="H290" s="7"/>
      <c r="I290" s="25"/>
    </row>
    <row r="291" spans="1:9" ht="13.5" thickBot="1">
      <c r="A291" s="207"/>
      <c r="B291" s="29"/>
      <c r="C291" s="159"/>
      <c r="D291" s="29"/>
      <c r="E291" s="29"/>
      <c r="F291" s="29"/>
      <c r="G291" s="29"/>
      <c r="H291" s="29"/>
      <c r="I291" s="30"/>
    </row>
    <row r="293" spans="1:9">
      <c r="A293" t="s">
        <v>743</v>
      </c>
      <c r="B293">
        <f>'Design Converter'!$E$60</f>
        <v>40.200000000000003</v>
      </c>
      <c r="C293" s="3" t="s">
        <v>866</v>
      </c>
      <c r="D293" t="str">
        <f>B293&amp;"kΩ"</f>
        <v>40.2kΩ</v>
      </c>
    </row>
    <row r="294" spans="1:9">
      <c r="A294" t="s">
        <v>865</v>
      </c>
      <c r="B294">
        <f>'Design Converter'!$E$62</f>
        <v>10</v>
      </c>
      <c r="C294" s="3" t="s">
        <v>319</v>
      </c>
      <c r="D294" t="str">
        <f>B294&amp;"nF"</f>
        <v>10nF</v>
      </c>
    </row>
    <row r="295" spans="1:9">
      <c r="A295" t="s">
        <v>750</v>
      </c>
      <c r="B295">
        <f>'Design Converter'!$E$64</f>
        <v>150</v>
      </c>
      <c r="C295" s="3" t="s">
        <v>170</v>
      </c>
      <c r="D295" t="str">
        <f>B295&amp;"pF"</f>
        <v>150pF</v>
      </c>
    </row>
    <row r="297" spans="1:9">
      <c r="A297" t="s">
        <v>771</v>
      </c>
      <c r="B297">
        <f>RCS</f>
        <v>6</v>
      </c>
      <c r="C297" s="3" t="s">
        <v>867</v>
      </c>
      <c r="D297" t="str">
        <f>B297&amp;"mΩ"</f>
        <v>6mΩ</v>
      </c>
    </row>
    <row r="298" spans="1:9">
      <c r="A298" t="s">
        <v>868</v>
      </c>
      <c r="B298">
        <v>100</v>
      </c>
      <c r="D298" t="s">
        <v>869</v>
      </c>
    </row>
    <row r="299" spans="1:9">
      <c r="A299" t="s">
        <v>870</v>
      </c>
      <c r="B299">
        <v>100</v>
      </c>
      <c r="D299" t="str">
        <f>100&amp;"Ω"</f>
        <v>100Ω</v>
      </c>
    </row>
  </sheetData>
  <sheetProtection selectLockedCells="1" selectUnlockedCells="1"/>
  <mergeCells count="2">
    <mergeCell ref="E5:H5"/>
    <mergeCell ref="A1:I1"/>
  </mergeCells>
  <phoneticPr fontId="6" type="noConversion"/>
  <pageMargins left="0.75" right="0.75" top="1" bottom="1" header="0.5" footer="0.5"/>
  <pageSetup orientation="portrait" r:id="rId1"/>
  <headerFooter alignWithMargins="0"/>
  <ignoredErrors>
    <ignoredError sqref="R63:R67" numberStoredAsText="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dimension ref="A1:CC133"/>
  <sheetViews>
    <sheetView showWhiteSpace="0" zoomScale="70" zoomScaleNormal="70" workbookViewId="0">
      <pane ySplit="5" topLeftCell="A6" activePane="bottomLeft" state="frozen"/>
      <selection pane="bottomLeft" activeCell="F12" sqref="F12"/>
    </sheetView>
  </sheetViews>
  <sheetFormatPr defaultColWidth="9.1796875" defaultRowHeight="12.5"/>
  <cols>
    <col min="1" max="1" width="15.7265625" style="170" customWidth="1"/>
    <col min="2" max="2" width="11.54296875" style="170" customWidth="1"/>
    <col min="3" max="3" width="9.1796875" style="170"/>
    <col min="4" max="4" width="12.453125" style="170" bestFit="1" customWidth="1"/>
    <col min="5" max="5" width="51.453125" style="170" customWidth="1"/>
    <col min="6" max="6" width="13.453125" style="170" customWidth="1"/>
    <col min="7" max="7" width="10" style="170" customWidth="1"/>
    <col min="8" max="8" width="6.81640625" style="170" customWidth="1"/>
    <col min="9" max="9" width="12.453125" style="170" bestFit="1" customWidth="1"/>
    <col min="10" max="10" width="9.1796875" style="216" customWidth="1"/>
    <col min="11" max="11" width="8.81640625"/>
    <col min="13" max="13" width="10.81640625" customWidth="1"/>
    <col min="14" max="14" width="12" style="170" customWidth="1"/>
    <col min="15" max="15" width="12.7265625" style="216" customWidth="1"/>
    <col min="16" max="16" width="11.453125" style="216" customWidth="1"/>
    <col min="17" max="17" width="12.453125" style="216" customWidth="1"/>
    <col min="18" max="19" width="10.54296875" style="197" customWidth="1"/>
    <col min="20" max="20" width="10" style="197" customWidth="1"/>
    <col min="21" max="21" width="10.54296875" style="197" customWidth="1"/>
    <col min="22" max="22" width="8.453125" style="216" customWidth="1"/>
    <col min="23" max="23" width="9.26953125" style="216" customWidth="1"/>
    <col min="24" max="24" width="9.453125" style="170" customWidth="1"/>
    <col min="25" max="25" width="9.453125" style="216" customWidth="1"/>
    <col min="26" max="26" width="8.26953125" style="217" customWidth="1"/>
    <col min="27" max="27" width="9.54296875" style="216" customWidth="1"/>
    <col min="28" max="28" width="9.453125" style="216" bestFit="1" customWidth="1"/>
    <col min="29" max="29" width="8.54296875" style="216" customWidth="1"/>
    <col min="30" max="30" width="9.7265625" style="218" customWidth="1"/>
    <col min="31" max="31" width="9.1796875" style="218" customWidth="1"/>
    <col min="32" max="32" width="8.1796875" style="216" customWidth="1"/>
    <col min="33" max="33" width="10.26953125" style="216" customWidth="1"/>
    <col min="34" max="34" width="9.453125" style="216" customWidth="1"/>
    <col min="35" max="35" width="8.81640625"/>
    <col min="36" max="36" width="9.7265625" style="216" customWidth="1"/>
    <col min="37" max="37" width="11.54296875" style="216" customWidth="1"/>
    <col min="38" max="38" width="10.1796875" style="216" customWidth="1"/>
    <col min="39" max="39" width="11.1796875" style="216" customWidth="1"/>
    <col min="40" max="40" width="9.1796875" style="216"/>
    <col min="41" max="41" width="10.26953125" style="216" customWidth="1"/>
    <col min="42" max="42" width="9.81640625" style="216" customWidth="1"/>
    <col min="43" max="43" width="9.7265625" style="216" customWidth="1"/>
    <col min="44" max="44" width="10.26953125" style="216" customWidth="1"/>
    <col min="45" max="45" width="10.1796875" style="216" customWidth="1"/>
    <col min="46" max="46" width="10.453125" style="216" customWidth="1"/>
    <col min="47" max="47" width="11.26953125" style="216" customWidth="1"/>
    <col min="48" max="48" width="11.7265625" style="216" customWidth="1"/>
    <col min="49" max="49" width="10.453125" style="216" customWidth="1"/>
    <col min="50" max="50" width="11.453125" style="216" customWidth="1"/>
    <col min="51" max="51" width="10.1796875" style="216" customWidth="1"/>
    <col min="52" max="52" width="10" style="172" bestFit="1" customWidth="1"/>
    <col min="53" max="55" width="12.7265625" style="345" customWidth="1"/>
    <col min="56" max="56" width="14" style="345" customWidth="1"/>
    <col min="57" max="57" width="12.81640625" style="345" customWidth="1"/>
    <col min="58" max="58" width="10.453125" style="345" customWidth="1"/>
    <col min="59" max="59" width="9" style="345" customWidth="1"/>
    <col min="60" max="60" width="8.81640625" style="345" customWidth="1"/>
    <col min="61" max="61" width="10.81640625" style="345" customWidth="1"/>
    <col min="62" max="62" width="11.1796875" style="345" customWidth="1"/>
    <col min="63" max="64" width="9.1796875" style="345"/>
    <col min="65" max="65" width="8.81640625" style="172" customWidth="1"/>
    <col min="66" max="66" width="9.1796875" style="217"/>
    <col min="67" max="67" width="12.54296875" style="170" customWidth="1"/>
    <col min="68" max="68" width="13.54296875" style="172" customWidth="1"/>
    <col min="69" max="69" width="12.7265625" style="197" customWidth="1"/>
    <col min="70" max="70" width="3.7265625" style="170" customWidth="1"/>
    <col min="71" max="71" width="12.453125" style="170" bestFit="1" customWidth="1"/>
    <col min="72" max="72" width="3.54296875" style="170" customWidth="1"/>
    <col min="73" max="73" width="9.1796875" style="172"/>
    <col min="74" max="74" width="11.1796875" style="172" customWidth="1"/>
    <col min="75" max="75" width="9.1796875" style="172"/>
    <col min="76" max="76" width="4.7265625" style="170" customWidth="1"/>
    <col min="77" max="77" width="3.7265625" style="170" customWidth="1"/>
    <col min="78" max="78" width="12.453125" style="170" customWidth="1"/>
    <col min="79" max="79" width="11.81640625" style="170" customWidth="1"/>
    <col min="80" max="80" width="11.54296875" style="170" customWidth="1"/>
    <col min="81" max="81" width="11.7265625" style="170" customWidth="1"/>
    <col min="82" max="82" width="9.1796875" style="170"/>
    <col min="83" max="83" width="9.1796875" style="170" customWidth="1"/>
    <col min="84" max="16384" width="9.1796875" style="170"/>
  </cols>
  <sheetData>
    <row r="1" spans="1:81">
      <c r="A1" s="943" t="s">
        <v>794</v>
      </c>
      <c r="B1" s="943"/>
      <c r="C1" s="943"/>
      <c r="D1" s="943"/>
      <c r="E1" s="943"/>
    </row>
    <row r="2" spans="1:81" ht="15.5">
      <c r="A2" s="943"/>
      <c r="B2" s="943"/>
      <c r="C2" s="943"/>
      <c r="D2" s="943"/>
      <c r="E2" s="943"/>
      <c r="G2" s="944" t="s">
        <v>22</v>
      </c>
      <c r="H2" s="944"/>
      <c r="AF2" s="216">
        <v>1.9257738538542499E-2</v>
      </c>
      <c r="AG2" s="216">
        <v>7.417209872377299E-4</v>
      </c>
      <c r="AH2" s="216">
        <v>1.2403450565440797E-3</v>
      </c>
      <c r="AI2">
        <v>20</v>
      </c>
      <c r="AJ2" s="216">
        <v>7.1523178807947021</v>
      </c>
      <c r="AK2" s="216">
        <v>0</v>
      </c>
      <c r="AL2" s="216">
        <v>8.3629954314142624E-4</v>
      </c>
      <c r="AM2" s="216">
        <v>1.5780205303791562E-3</v>
      </c>
      <c r="AO2" s="268" t="e">
        <f>Ifb</f>
        <v>#NAME?</v>
      </c>
    </row>
    <row r="3" spans="1:81" ht="13" thickBot="1">
      <c r="A3" s="943"/>
      <c r="B3" s="943"/>
      <c r="C3" s="943"/>
      <c r="D3" s="943"/>
      <c r="E3" s="943"/>
    </row>
    <row r="4" spans="1:81" ht="13.5" thickBot="1">
      <c r="A4" s="945"/>
      <c r="B4" s="945"/>
      <c r="C4" s="945"/>
      <c r="D4" s="945"/>
      <c r="E4" s="945"/>
      <c r="H4" s="220" t="s">
        <v>23</v>
      </c>
      <c r="I4" s="221"/>
      <c r="J4" s="222"/>
      <c r="K4" s="946" t="s">
        <v>189</v>
      </c>
      <c r="L4" s="947"/>
      <c r="M4" s="948"/>
      <c r="N4" s="948"/>
      <c r="O4" s="948"/>
      <c r="P4" s="947"/>
      <c r="Q4" s="947"/>
      <c r="R4" s="948"/>
      <c r="S4" s="948"/>
      <c r="T4" s="948"/>
      <c r="U4" s="949"/>
      <c r="V4" s="223" t="s">
        <v>190</v>
      </c>
      <c r="W4" s="224"/>
      <c r="X4" s="225"/>
      <c r="Y4" s="226"/>
      <c r="Z4" s="227" t="s">
        <v>14</v>
      </c>
      <c r="AA4" s="228"/>
      <c r="AB4" s="222"/>
      <c r="AC4" s="229" t="s">
        <v>28</v>
      </c>
      <c r="AD4" s="230"/>
      <c r="AE4" s="231"/>
      <c r="AF4" s="223" t="s">
        <v>191</v>
      </c>
      <c r="AG4" s="224"/>
      <c r="AH4" s="224"/>
      <c r="AI4" s="442"/>
      <c r="AJ4" s="442"/>
      <c r="AK4" s="224"/>
      <c r="AL4" s="224"/>
      <c r="AM4" s="222"/>
      <c r="AN4" s="232" t="s">
        <v>192</v>
      </c>
      <c r="AO4" s="233"/>
      <c r="AP4" s="233"/>
      <c r="AQ4" s="451" t="s">
        <v>193</v>
      </c>
      <c r="AR4" s="452"/>
      <c r="AS4" s="452"/>
      <c r="AT4" s="233"/>
      <c r="AU4" s="234"/>
      <c r="AV4" s="235"/>
      <c r="AW4" s="236"/>
      <c r="AX4" s="223" t="s">
        <v>179</v>
      </c>
      <c r="AY4" s="224"/>
      <c r="AZ4" s="225"/>
      <c r="BA4" s="346"/>
      <c r="BB4" s="346"/>
      <c r="BC4" s="346"/>
      <c r="BD4" s="346"/>
      <c r="BE4" s="346"/>
      <c r="BF4" s="346"/>
      <c r="BG4" s="346"/>
      <c r="BH4" s="346"/>
      <c r="BI4" s="346"/>
      <c r="BJ4" s="346"/>
      <c r="BK4" s="346"/>
      <c r="BL4" s="346"/>
      <c r="BM4" s="339"/>
      <c r="BN4" s="343"/>
      <c r="BO4" s="225"/>
      <c r="BP4" s="341"/>
      <c r="BQ4" s="448"/>
      <c r="BR4" s="449"/>
      <c r="BS4" s="449"/>
      <c r="BT4" s="449"/>
      <c r="BU4" s="449"/>
      <c r="BV4" s="449"/>
      <c r="BW4" s="449"/>
      <c r="BX4" s="449"/>
      <c r="BY4" s="449"/>
      <c r="BZ4" s="449"/>
      <c r="CA4" s="449"/>
      <c r="CB4" s="449"/>
      <c r="CC4" s="450"/>
    </row>
    <row r="5" spans="1:81" ht="78" customHeight="1" thickBot="1">
      <c r="A5" s="237" t="s">
        <v>42</v>
      </c>
      <c r="B5" s="238"/>
      <c r="C5" s="238"/>
      <c r="D5" s="239"/>
      <c r="E5" s="240"/>
      <c r="F5" s="189"/>
      <c r="G5" s="189"/>
      <c r="H5" s="241" t="s">
        <v>25</v>
      </c>
      <c r="I5" s="242" t="s">
        <v>194</v>
      </c>
      <c r="J5" s="243" t="s">
        <v>195</v>
      </c>
      <c r="K5" s="251" t="s">
        <v>322</v>
      </c>
      <c r="L5" s="244" t="s">
        <v>48</v>
      </c>
      <c r="M5" s="244" t="s">
        <v>323</v>
      </c>
      <c r="N5" s="444" t="s">
        <v>196</v>
      </c>
      <c r="O5" s="525" t="s">
        <v>404</v>
      </c>
      <c r="P5" s="525" t="s">
        <v>405</v>
      </c>
      <c r="Q5" s="525" t="s">
        <v>406</v>
      </c>
      <c r="R5" s="245" t="s">
        <v>197</v>
      </c>
      <c r="S5" s="246" t="s">
        <v>198</v>
      </c>
      <c r="T5" s="246" t="s">
        <v>199</v>
      </c>
      <c r="U5" s="245" t="s">
        <v>327</v>
      </c>
      <c r="V5" s="247" t="s">
        <v>200</v>
      </c>
      <c r="W5" s="244" t="s">
        <v>201</v>
      </c>
      <c r="X5" s="242" t="s">
        <v>202</v>
      </c>
      <c r="Y5" s="243" t="s">
        <v>203</v>
      </c>
      <c r="Z5" s="248" t="s">
        <v>200</v>
      </c>
      <c r="AA5" s="244" t="s">
        <v>204</v>
      </c>
      <c r="AB5" s="243" t="s">
        <v>205</v>
      </c>
      <c r="AC5" s="247" t="s">
        <v>200</v>
      </c>
      <c r="AD5" s="249" t="s">
        <v>206</v>
      </c>
      <c r="AE5" s="250" t="s">
        <v>207</v>
      </c>
      <c r="AF5" s="247" t="s">
        <v>200</v>
      </c>
      <c r="AG5" s="244" t="s">
        <v>208</v>
      </c>
      <c r="AH5" s="244" t="s">
        <v>209</v>
      </c>
      <c r="AI5" s="244" t="s">
        <v>324</v>
      </c>
      <c r="AJ5" s="244" t="s">
        <v>321</v>
      </c>
      <c r="AK5" s="244" t="s">
        <v>210</v>
      </c>
      <c r="AL5" s="251" t="s">
        <v>211</v>
      </c>
      <c r="AM5" s="243" t="s">
        <v>212</v>
      </c>
      <c r="AN5" s="252" t="s">
        <v>200</v>
      </c>
      <c r="AO5" s="253" t="s">
        <v>213</v>
      </c>
      <c r="AP5" s="253" t="s">
        <v>214</v>
      </c>
      <c r="AQ5" s="253" t="s">
        <v>215</v>
      </c>
      <c r="AR5" s="253" t="s">
        <v>216</v>
      </c>
      <c r="AS5" s="254" t="s">
        <v>217</v>
      </c>
      <c r="AT5" s="252" t="s">
        <v>218</v>
      </c>
      <c r="AU5" s="252" t="s">
        <v>219</v>
      </c>
      <c r="AV5" s="252" t="s">
        <v>220</v>
      </c>
      <c r="AW5" s="255" t="s">
        <v>221</v>
      </c>
      <c r="AX5" s="247" t="s">
        <v>222</v>
      </c>
      <c r="AY5" s="244" t="s">
        <v>223</v>
      </c>
      <c r="AZ5" s="256" t="s">
        <v>224</v>
      </c>
      <c r="BA5" s="347" t="s">
        <v>225</v>
      </c>
      <c r="BB5" s="347" t="s">
        <v>226</v>
      </c>
      <c r="BC5" s="347" t="s">
        <v>227</v>
      </c>
      <c r="BD5" s="347" t="s">
        <v>228</v>
      </c>
      <c r="BE5" s="347" t="s">
        <v>229</v>
      </c>
      <c r="BF5" s="347" t="s">
        <v>230</v>
      </c>
      <c r="BG5" s="347" t="s">
        <v>231</v>
      </c>
      <c r="BH5" s="348" t="s">
        <v>232</v>
      </c>
      <c r="BI5" s="349" t="s">
        <v>233</v>
      </c>
      <c r="BJ5" s="350" t="s">
        <v>234</v>
      </c>
      <c r="BK5" s="351" t="s">
        <v>235</v>
      </c>
      <c r="BL5" s="350" t="s">
        <v>281</v>
      </c>
      <c r="BM5" s="340" t="s">
        <v>236</v>
      </c>
      <c r="BN5" s="344" t="s">
        <v>237</v>
      </c>
      <c r="BO5" s="257" t="s">
        <v>238</v>
      </c>
      <c r="BP5" s="342" t="s">
        <v>238</v>
      </c>
      <c r="BQ5" s="258" t="s">
        <v>239</v>
      </c>
      <c r="BR5" s="259"/>
      <c r="BS5" s="260" t="s">
        <v>240</v>
      </c>
      <c r="BT5" s="259"/>
      <c r="BU5" s="354" t="s">
        <v>283</v>
      </c>
      <c r="BV5" s="355" t="s">
        <v>284</v>
      </c>
      <c r="BW5" s="447" t="s">
        <v>282</v>
      </c>
      <c r="BX5" s="259"/>
      <c r="BY5" s="259"/>
      <c r="BZ5" s="446" t="s">
        <v>289</v>
      </c>
      <c r="CA5" s="255" t="s">
        <v>340</v>
      </c>
      <c r="CB5" s="355" t="s">
        <v>291</v>
      </c>
      <c r="CC5" s="447" t="s">
        <v>290</v>
      </c>
    </row>
    <row r="6" spans="1:81" ht="13">
      <c r="A6" s="261" t="s">
        <v>26</v>
      </c>
      <c r="B6" s="262" t="s">
        <v>43</v>
      </c>
      <c r="C6" s="263" t="s">
        <v>33</v>
      </c>
      <c r="D6" s="264" t="s">
        <v>90</v>
      </c>
      <c r="E6" s="265" t="s">
        <v>41</v>
      </c>
      <c r="F6" s="266"/>
      <c r="G6" s="266"/>
      <c r="H6" s="170">
        <v>0.1</v>
      </c>
      <c r="I6" s="456">
        <f t="shared" ref="I6:I37" si="0">IF(PLOT_TYPE=1, H6/100*Iout_max, min_I*EXP(H6*rr/100))</f>
        <v>2.5000000000000001E-3</v>
      </c>
      <c r="J6" s="217"/>
      <c r="K6" s="217"/>
      <c r="L6" s="217"/>
      <c r="M6" s="217"/>
      <c r="N6" s="267"/>
      <c r="O6" s="172"/>
      <c r="P6" s="217"/>
      <c r="Q6" s="443"/>
      <c r="S6" s="268"/>
      <c r="T6" s="268"/>
      <c r="U6" s="268"/>
      <c r="AJ6" s="443"/>
      <c r="AY6" s="216">
        <f>Vout*I6</f>
        <v>7.0000000000000007E-2</v>
      </c>
      <c r="AZ6" s="269">
        <f>AY6/(AY6+AX6)</f>
        <v>1</v>
      </c>
      <c r="BA6" s="345">
        <f>AG6/($AY6+$AX6)</f>
        <v>0</v>
      </c>
      <c r="BB6" s="345">
        <f>AO6/($AY6+$AX6)</f>
        <v>0</v>
      </c>
      <c r="BC6" s="345" t="e">
        <f>Vin*R6*(QgBot+Qg)/($AY6+$AX6)</f>
        <v>#NAME?</v>
      </c>
      <c r="BD6" s="345">
        <f>AK6/($AY6+$AX6)</f>
        <v>0</v>
      </c>
      <c r="BE6" s="345">
        <f>AQ6/(AX6+AY6)</f>
        <v>0</v>
      </c>
      <c r="BF6" s="345">
        <f>AR6/($AY6+$AX6)</f>
        <v>0</v>
      </c>
      <c r="BG6" s="345">
        <f t="shared" ref="BG6:BH9" si="1">W6/($AY6+$AX6)</f>
        <v>0</v>
      </c>
      <c r="BH6" s="345">
        <f t="shared" si="1"/>
        <v>0</v>
      </c>
      <c r="BI6" s="345">
        <f>(AB6+AE6)/($AY6+$AX6)</f>
        <v>0</v>
      </c>
      <c r="BJ6" s="219">
        <f>AT6/($AY6+$AX6)</f>
        <v>0</v>
      </c>
      <c r="BK6" s="219">
        <f>AX6/($AY6+$AX6)</f>
        <v>0</v>
      </c>
      <c r="BL6" s="219">
        <f>AZ6</f>
        <v>1</v>
      </c>
      <c r="BM6" s="172">
        <f>100*BL6</f>
        <v>100</v>
      </c>
      <c r="BN6" s="217">
        <f xml:space="preserve"> CHOOSE(MODE, I6*1000,#REF!)</f>
        <v>2.5</v>
      </c>
      <c r="BO6" s="172">
        <v>59.702372085750142</v>
      </c>
      <c r="BP6" s="219">
        <f>BO6/100</f>
        <v>0.59702372085750144</v>
      </c>
      <c r="BQ6" s="270">
        <f>R6/1000</f>
        <v>0</v>
      </c>
      <c r="BR6" s="271"/>
      <c r="BS6" s="219">
        <f>AL6/($AY6+$AX6)</f>
        <v>0</v>
      </c>
      <c r="BT6" s="272"/>
      <c r="BU6" s="172">
        <f>1000*AW6</f>
        <v>0</v>
      </c>
      <c r="BV6" s="172">
        <f>1000*AU6</f>
        <v>0</v>
      </c>
      <c r="BW6" s="172">
        <f>1000*Y6</f>
        <v>0</v>
      </c>
      <c r="BX6" s="219"/>
      <c r="BY6" s="219"/>
      <c r="BZ6" s="172">
        <f xml:space="preserve"> IF(MODE=1, BM6,#REF!)</f>
        <v>100</v>
      </c>
      <c r="CA6" s="172">
        <f xml:space="preserve"> IF(MODE=1, BU6,#REF!)</f>
        <v>0</v>
      </c>
      <c r="CB6" s="172">
        <f xml:space="preserve"> IF(MODE=1, BV6,#REF!)</f>
        <v>0</v>
      </c>
      <c r="CC6" s="172">
        <f xml:space="preserve"> IF(MODE=1, BW6,#REF!)</f>
        <v>0</v>
      </c>
    </row>
    <row r="7" spans="1:81" ht="13">
      <c r="A7" s="418"/>
      <c r="B7" s="262"/>
      <c r="C7" s="263"/>
      <c r="D7" s="264"/>
      <c r="E7" s="265"/>
      <c r="F7" s="266"/>
      <c r="G7" s="266"/>
      <c r="H7" s="170">
        <v>1</v>
      </c>
      <c r="I7" s="456">
        <f t="shared" si="0"/>
        <v>2.5000000000000001E-2</v>
      </c>
      <c r="J7" s="217"/>
      <c r="K7" s="217"/>
      <c r="L7" s="217"/>
      <c r="M7" s="217"/>
      <c r="N7" s="267"/>
      <c r="O7" s="172"/>
      <c r="P7" s="217"/>
      <c r="Q7" s="443"/>
      <c r="S7" s="268"/>
      <c r="T7" s="268"/>
      <c r="U7" s="268"/>
      <c r="AJ7" s="443"/>
      <c r="AY7" s="216">
        <f>Vout*I7</f>
        <v>0.70000000000000007</v>
      </c>
      <c r="AZ7" s="269">
        <f>AY7/(AY7+AX7)</f>
        <v>1</v>
      </c>
      <c r="BA7" s="345">
        <f>AG7/($AY7+$AX7)</f>
        <v>0</v>
      </c>
      <c r="BB7" s="345">
        <f>AO7/($AY7+$AX7)</f>
        <v>0</v>
      </c>
      <c r="BC7" s="345" t="e">
        <f>Vin*R7*(QgBot+Qg)/($AY7+$AX7)</f>
        <v>#NAME?</v>
      </c>
      <c r="BD7" s="345">
        <f>AK7/($AY7+$AX7)</f>
        <v>0</v>
      </c>
      <c r="BE7" s="345">
        <f>AQ7/(AX7+AY7)</f>
        <v>0</v>
      </c>
      <c r="BF7" s="345">
        <f>AR7/($AY7+$AX7)</f>
        <v>0</v>
      </c>
      <c r="BG7" s="345">
        <f t="shared" si="1"/>
        <v>0</v>
      </c>
      <c r="BH7" s="345">
        <f t="shared" si="1"/>
        <v>0</v>
      </c>
      <c r="BI7" s="345">
        <f>(AB7+AE7)/($AY7+$AX7)</f>
        <v>0</v>
      </c>
      <c r="BJ7" s="219">
        <f>AT7/($AY7+$AX7)</f>
        <v>0</v>
      </c>
      <c r="BK7" s="219">
        <f>AX7/($AY7+$AX7)</f>
        <v>0</v>
      </c>
      <c r="BL7" s="219">
        <f>AZ7</f>
        <v>1</v>
      </c>
      <c r="BM7" s="172">
        <f>100*BL7</f>
        <v>100</v>
      </c>
      <c r="BN7" s="217">
        <f xml:space="preserve"> CHOOSE(MODE, I7*1000,#REF!)</f>
        <v>25</v>
      </c>
      <c r="BO7" s="172">
        <v>83.682599061581868</v>
      </c>
      <c r="BP7" s="219">
        <f>BO7/100</f>
        <v>0.83682599061581864</v>
      </c>
      <c r="BQ7" s="270">
        <f>R7/1000</f>
        <v>0</v>
      </c>
      <c r="BR7" s="271"/>
      <c r="BS7" s="219">
        <f>AL7/($AY7+$AX7)</f>
        <v>0</v>
      </c>
      <c r="BT7" s="272"/>
      <c r="BU7" s="172">
        <f>1000*AW7</f>
        <v>0</v>
      </c>
      <c r="BV7" s="172">
        <f>1000*AU7</f>
        <v>0</v>
      </c>
      <c r="BW7" s="172">
        <f>1000*Y7</f>
        <v>0</v>
      </c>
      <c r="BX7" s="219"/>
      <c r="BY7" s="219"/>
      <c r="BZ7" s="172">
        <f xml:space="preserve"> IF(MODE=1, BM7,#REF!)</f>
        <v>100</v>
      </c>
      <c r="CA7" s="172">
        <f xml:space="preserve"> IF(MODE=1, BU7,#REF!)</f>
        <v>0</v>
      </c>
      <c r="CB7" s="172">
        <f xml:space="preserve"> IF(MODE=1, BV7,#REF!)</f>
        <v>0</v>
      </c>
      <c r="CC7" s="172">
        <f xml:space="preserve"> IF(MODE=1, BW7,#REF!)</f>
        <v>0</v>
      </c>
    </row>
    <row r="8" spans="1:81" ht="13">
      <c r="A8" s="273" t="s">
        <v>3</v>
      </c>
      <c r="B8" s="274">
        <f>Vin</f>
        <v>28</v>
      </c>
      <c r="C8" s="275" t="s">
        <v>0</v>
      </c>
      <c r="D8" s="194">
        <f>B8</f>
        <v>28</v>
      </c>
      <c r="E8" s="188" t="s">
        <v>3</v>
      </c>
      <c r="F8" s="266"/>
      <c r="G8" s="266"/>
      <c r="H8" s="170">
        <v>2</v>
      </c>
      <c r="I8" s="456">
        <f t="shared" si="0"/>
        <v>0.05</v>
      </c>
      <c r="J8" s="217"/>
      <c r="K8" s="217"/>
      <c r="L8" s="217"/>
      <c r="M8" s="217"/>
      <c r="N8" s="267"/>
      <c r="O8" s="172"/>
      <c r="P8" s="217"/>
      <c r="Q8" s="443"/>
      <c r="S8" s="268"/>
      <c r="T8" s="268"/>
      <c r="U8" s="268"/>
      <c r="AJ8" s="443"/>
      <c r="AY8" s="216">
        <f>Vout*I8</f>
        <v>1.4000000000000001</v>
      </c>
      <c r="AZ8" s="269">
        <f>AY8/(AY8+AX8)</f>
        <v>1</v>
      </c>
      <c r="BA8" s="345">
        <f>AG8/($AY8+$AX8)</f>
        <v>0</v>
      </c>
      <c r="BB8" s="345">
        <f>AO8/($AY8+$AX8)</f>
        <v>0</v>
      </c>
      <c r="BC8" s="345" t="e">
        <f>Vin*R8*(QgBot+Qg)/($AY8+$AX8)</f>
        <v>#NAME?</v>
      </c>
      <c r="BD8" s="345">
        <f>AK8/($AY8+$AX8)</f>
        <v>0</v>
      </c>
      <c r="BE8" s="345">
        <f>AQ8/(AX8+AY8)</f>
        <v>0</v>
      </c>
      <c r="BF8" s="345">
        <f>AR8/($AY8+$AX8)</f>
        <v>0</v>
      </c>
      <c r="BG8" s="345">
        <f t="shared" si="1"/>
        <v>0</v>
      </c>
      <c r="BH8" s="345">
        <f t="shared" si="1"/>
        <v>0</v>
      </c>
      <c r="BI8" s="345">
        <f>(AB8+AE8)/($AY8+$AX8)</f>
        <v>0</v>
      </c>
      <c r="BJ8" s="219">
        <f>AT8/($AY8+$AX8)</f>
        <v>0</v>
      </c>
      <c r="BK8" s="219">
        <f>AX8/($AY8+$AX8)</f>
        <v>0</v>
      </c>
      <c r="BL8" s="219">
        <f>AZ8</f>
        <v>1</v>
      </c>
      <c r="BM8" s="172">
        <f>100*BL8</f>
        <v>100</v>
      </c>
      <c r="BN8" s="217">
        <f xml:space="preserve"> CHOOSE(MODE, I8*1000,#REF!)</f>
        <v>50</v>
      </c>
      <c r="BO8" s="172">
        <v>85.591306536493136</v>
      </c>
      <c r="BP8" s="219">
        <f>BO8/100</f>
        <v>0.85591306536493139</v>
      </c>
      <c r="BQ8" s="270">
        <f>R8/1000</f>
        <v>0</v>
      </c>
      <c r="BR8" s="271"/>
      <c r="BS8" s="219">
        <f>AL8/($AY8+$AX8)</f>
        <v>0</v>
      </c>
      <c r="BT8" s="272"/>
      <c r="BU8" s="172">
        <f>1000*AW8</f>
        <v>0</v>
      </c>
      <c r="BV8" s="172">
        <f>1000*AU8</f>
        <v>0</v>
      </c>
      <c r="BW8" s="172">
        <f>1000*Y8</f>
        <v>0</v>
      </c>
      <c r="BX8" s="219"/>
      <c r="BY8" s="219"/>
      <c r="BZ8" s="172">
        <f xml:space="preserve"> IF(MODE=1, BM8,#REF!)</f>
        <v>100</v>
      </c>
      <c r="CA8" s="172">
        <f xml:space="preserve"> IF(MODE=1, BU8,#REF!)</f>
        <v>0</v>
      </c>
      <c r="CB8" s="172">
        <f xml:space="preserve"> IF(MODE=1, BV8,#REF!)</f>
        <v>0</v>
      </c>
      <c r="CC8" s="172">
        <f xml:space="preserve"> IF(MODE=1, BW8,#REF!)</f>
        <v>0</v>
      </c>
    </row>
    <row r="9" spans="1:81" ht="13">
      <c r="A9" s="276" t="s">
        <v>4</v>
      </c>
      <c r="B9" s="274">
        <f>Vout</f>
        <v>28</v>
      </c>
      <c r="C9" s="275" t="s">
        <v>0</v>
      </c>
      <c r="D9" s="194">
        <f>B9</f>
        <v>28</v>
      </c>
      <c r="E9" s="188" t="s">
        <v>4</v>
      </c>
      <c r="F9" s="266"/>
      <c r="G9" s="266"/>
      <c r="H9" s="170">
        <v>3</v>
      </c>
      <c r="I9" s="456">
        <f t="shared" si="0"/>
        <v>7.4999999999999997E-2</v>
      </c>
      <c r="J9" s="217"/>
      <c r="K9" s="217"/>
      <c r="L9" s="217"/>
      <c r="M9" s="217"/>
      <c r="N9" s="267"/>
      <c r="O9" s="172"/>
      <c r="P9" s="217"/>
      <c r="Q9" s="443"/>
      <c r="S9" s="268"/>
      <c r="T9" s="268"/>
      <c r="U9" s="268"/>
      <c r="AJ9" s="443"/>
      <c r="AY9" s="216">
        <f>Vout*I9</f>
        <v>2.1</v>
      </c>
      <c r="AZ9" s="269">
        <f>AY9/(AY9+AX9)</f>
        <v>1</v>
      </c>
      <c r="BA9" s="345">
        <f>AG9/($AY9+$AX9)</f>
        <v>0</v>
      </c>
      <c r="BB9" s="345">
        <f>AO9/($AY9+$AX9)</f>
        <v>0</v>
      </c>
      <c r="BC9" s="345" t="e">
        <f>Vin*R9*(QgBot+Qg)/($AY9+$AX9)</f>
        <v>#NAME?</v>
      </c>
      <c r="BD9" s="345">
        <f>AK9/($AY9+$AX9)</f>
        <v>0</v>
      </c>
      <c r="BE9" s="345">
        <f>AQ9/(AX9+AY9)</f>
        <v>0</v>
      </c>
      <c r="BF9" s="345">
        <f>AR9/($AY9+$AX9)</f>
        <v>0</v>
      </c>
      <c r="BG9" s="345">
        <f t="shared" si="1"/>
        <v>0</v>
      </c>
      <c r="BH9" s="345">
        <f t="shared" si="1"/>
        <v>0</v>
      </c>
      <c r="BI9" s="345">
        <f>(AB9+AE9)/($AY9+$AX9)</f>
        <v>0</v>
      </c>
      <c r="BJ9" s="219">
        <f>AT9/($AY9+$AX9)</f>
        <v>0</v>
      </c>
      <c r="BK9" s="219">
        <f>AX9/($AY9+$AX9)</f>
        <v>0</v>
      </c>
      <c r="BL9" s="219">
        <f>AZ9</f>
        <v>1</v>
      </c>
      <c r="BM9" s="172">
        <f>100*BL9</f>
        <v>100</v>
      </c>
      <c r="BN9" s="217">
        <f xml:space="preserve"> CHOOSE(MODE, I9*1000,#REF!)</f>
        <v>75</v>
      </c>
      <c r="BO9" s="172">
        <v>86.246143423411425</v>
      </c>
      <c r="BP9" s="219">
        <f>BO9/100</f>
        <v>0.86246143423411425</v>
      </c>
      <c r="BQ9" s="270">
        <f>R9/1000</f>
        <v>0</v>
      </c>
      <c r="BR9" s="271"/>
      <c r="BS9" s="219">
        <f>AL9/($AY9+$AX9)</f>
        <v>0</v>
      </c>
      <c r="BT9" s="272"/>
      <c r="BU9" s="172">
        <f>1000*AW9</f>
        <v>0</v>
      </c>
      <c r="BV9" s="172">
        <f>1000*AU9</f>
        <v>0</v>
      </c>
      <c r="BW9" s="172">
        <f>1000*Y9</f>
        <v>0</v>
      </c>
      <c r="BX9" s="219"/>
      <c r="BY9" s="219"/>
      <c r="BZ9" s="172">
        <f xml:space="preserve"> IF(MODE=1, BM9,#REF!)</f>
        <v>100</v>
      </c>
      <c r="CA9" s="172">
        <f xml:space="preserve"> IF(MODE=1, BU9,#REF!)</f>
        <v>0</v>
      </c>
      <c r="CB9" s="172">
        <f xml:space="preserve"> IF(MODE=1, BV9,#REF!)</f>
        <v>0</v>
      </c>
      <c r="CC9" s="172">
        <f xml:space="preserve"> IF(MODE=1, BW9,#REF!)</f>
        <v>0</v>
      </c>
    </row>
    <row r="10" spans="1:81" ht="13">
      <c r="A10" s="276" t="s">
        <v>5</v>
      </c>
      <c r="B10" s="274">
        <f>Iout</f>
        <v>2.5</v>
      </c>
      <c r="C10" s="275" t="s">
        <v>1</v>
      </c>
      <c r="D10" s="194">
        <f>B10</f>
        <v>2.5</v>
      </c>
      <c r="E10" s="277" t="s">
        <v>241</v>
      </c>
      <c r="F10" s="266"/>
      <c r="G10" s="266"/>
      <c r="H10" s="170">
        <v>4</v>
      </c>
      <c r="I10" s="456">
        <f t="shared" si="0"/>
        <v>0.1</v>
      </c>
      <c r="J10" s="217"/>
      <c r="K10" s="217"/>
      <c r="L10" s="217"/>
      <c r="M10" s="217"/>
      <c r="N10" s="267"/>
      <c r="O10" s="172"/>
      <c r="P10" s="217"/>
      <c r="Q10" s="443"/>
      <c r="S10" s="268"/>
      <c r="T10" s="268"/>
      <c r="U10" s="268"/>
      <c r="AJ10" s="443"/>
      <c r="AZ10" s="269"/>
      <c r="BJ10" s="219"/>
      <c r="BK10" s="219"/>
      <c r="BL10" s="219"/>
      <c r="BO10" s="172"/>
      <c r="BP10" s="219"/>
      <c r="BQ10" s="270"/>
      <c r="BR10" s="271"/>
      <c r="BS10" s="219"/>
      <c r="BT10" s="272"/>
      <c r="BX10" s="219"/>
      <c r="BY10" s="219"/>
      <c r="BZ10" s="172"/>
      <c r="CA10" s="172"/>
      <c r="CB10" s="172"/>
      <c r="CC10" s="172"/>
    </row>
    <row r="11" spans="1:81" ht="13">
      <c r="A11" s="276" t="s">
        <v>139</v>
      </c>
      <c r="B11" s="357">
        <f>Vout/(Fsw/1000)*100000/16</f>
        <v>14583.333333333334</v>
      </c>
      <c r="C11" s="278" t="s">
        <v>242</v>
      </c>
      <c r="D11" s="292">
        <f>B11*1000</f>
        <v>14583333.333333334</v>
      </c>
      <c r="E11" s="277"/>
      <c r="F11" s="266"/>
      <c r="G11" s="266"/>
      <c r="H11" s="170">
        <v>5</v>
      </c>
      <c r="I11" s="456">
        <f t="shared" si="0"/>
        <v>0.125</v>
      </c>
      <c r="J11" s="217"/>
      <c r="K11" s="217"/>
      <c r="L11" s="217"/>
      <c r="M11" s="217"/>
      <c r="N11" s="267"/>
      <c r="O11" s="172"/>
      <c r="P11" s="217"/>
      <c r="Q11" s="443"/>
      <c r="S11" s="268"/>
      <c r="T11" s="268"/>
      <c r="U11" s="268"/>
      <c r="AJ11" s="443"/>
      <c r="AZ11" s="269"/>
      <c r="BJ11" s="219"/>
      <c r="BK11" s="219"/>
      <c r="BL11" s="219"/>
      <c r="BO11" s="172"/>
      <c r="BP11" s="219"/>
      <c r="BQ11" s="270"/>
      <c r="BR11" s="271"/>
      <c r="BS11" s="219"/>
      <c r="BT11" s="272"/>
      <c r="BX11" s="219"/>
      <c r="BY11" s="219"/>
      <c r="BZ11" s="172"/>
      <c r="CA11" s="172"/>
      <c r="CB11" s="172"/>
      <c r="CC11" s="172"/>
    </row>
    <row r="12" spans="1:81" ht="13">
      <c r="A12" s="276" t="s">
        <v>243</v>
      </c>
      <c r="B12" s="274">
        <v>25</v>
      </c>
      <c r="C12" s="275" t="s">
        <v>102</v>
      </c>
      <c r="D12" s="194">
        <f>B12</f>
        <v>25</v>
      </c>
      <c r="E12" s="277" t="s">
        <v>244</v>
      </c>
      <c r="F12" s="266">
        <f>Turns_Ratio</f>
        <v>9</v>
      </c>
      <c r="H12" s="170">
        <v>6</v>
      </c>
      <c r="I12" s="456">
        <f t="shared" si="0"/>
        <v>0.15</v>
      </c>
      <c r="J12" s="217"/>
      <c r="K12" s="217"/>
      <c r="L12" s="217"/>
      <c r="M12" s="217"/>
      <c r="N12" s="267"/>
      <c r="O12" s="172"/>
      <c r="P12" s="217"/>
      <c r="Q12" s="443"/>
      <c r="S12" s="268"/>
      <c r="T12" s="268"/>
      <c r="U12" s="268"/>
      <c r="AJ12" s="443"/>
      <c r="AZ12" s="269"/>
      <c r="BJ12" s="219"/>
      <c r="BK12" s="219"/>
      <c r="BL12" s="219"/>
      <c r="BO12" s="172"/>
      <c r="BP12" s="219"/>
      <c r="BQ12" s="270"/>
      <c r="BR12" s="271"/>
      <c r="BS12" s="219"/>
      <c r="BT12" s="272"/>
      <c r="BX12" s="219"/>
      <c r="BY12" s="219"/>
      <c r="BZ12" s="172"/>
      <c r="CA12" s="172"/>
      <c r="CB12" s="172"/>
      <c r="CC12" s="172"/>
    </row>
    <row r="13" spans="1:81" ht="13">
      <c r="A13" s="279" t="s">
        <v>245</v>
      </c>
      <c r="B13" s="280">
        <v>5</v>
      </c>
      <c r="C13" s="275" t="s">
        <v>0</v>
      </c>
      <c r="D13" s="194">
        <f>B13</f>
        <v>5</v>
      </c>
      <c r="E13" s="277"/>
      <c r="F13" s="266"/>
      <c r="G13" s="266"/>
      <c r="H13" s="170">
        <v>7</v>
      </c>
      <c r="I13" s="456">
        <f t="shared" si="0"/>
        <v>0.17500000000000002</v>
      </c>
      <c r="J13" s="217"/>
      <c r="K13" s="217"/>
      <c r="L13" s="217"/>
      <c r="M13" s="217"/>
      <c r="N13" s="267"/>
      <c r="O13" s="172"/>
      <c r="P13" s="217"/>
      <c r="Q13" s="443"/>
      <c r="S13" s="268"/>
      <c r="T13" s="268"/>
      <c r="U13" s="268"/>
      <c r="AJ13" s="443"/>
      <c r="AZ13" s="269"/>
      <c r="BJ13" s="219"/>
      <c r="BK13" s="219"/>
      <c r="BL13" s="219"/>
      <c r="BO13" s="172"/>
      <c r="BP13" s="219"/>
      <c r="BQ13" s="270"/>
      <c r="BR13" s="271"/>
      <c r="BS13" s="219"/>
      <c r="BT13" s="272"/>
      <c r="BX13" s="219"/>
      <c r="BY13" s="219"/>
      <c r="BZ13" s="172"/>
      <c r="CA13" s="172"/>
      <c r="CB13" s="172"/>
      <c r="CC13" s="172"/>
    </row>
    <row r="14" spans="1:81" ht="13">
      <c r="F14" s="266"/>
      <c r="G14" s="266"/>
      <c r="H14" s="170">
        <v>8</v>
      </c>
      <c r="I14" s="456">
        <f t="shared" si="0"/>
        <v>0.2</v>
      </c>
      <c r="J14" s="217"/>
      <c r="K14" s="217"/>
      <c r="L14" s="217"/>
      <c r="M14" s="217"/>
      <c r="N14" s="267"/>
      <c r="O14" s="172"/>
      <c r="P14" s="217"/>
      <c r="Q14" s="443"/>
      <c r="S14" s="268"/>
      <c r="T14" s="268"/>
      <c r="U14" s="268"/>
      <c r="AJ14" s="443"/>
      <c r="AZ14" s="269"/>
      <c r="BJ14" s="219"/>
      <c r="BK14" s="219"/>
      <c r="BL14" s="219"/>
      <c r="BO14" s="172"/>
      <c r="BP14" s="219"/>
      <c r="BQ14" s="270"/>
      <c r="BR14" s="271"/>
      <c r="BS14" s="219"/>
      <c r="BT14" s="272"/>
      <c r="BX14" s="219"/>
      <c r="BY14" s="219"/>
      <c r="BZ14" s="172"/>
      <c r="CA14" s="172"/>
      <c r="CB14" s="172"/>
      <c r="CC14" s="172"/>
    </row>
    <row r="15" spans="1:81" ht="13">
      <c r="A15" s="281" t="s">
        <v>34</v>
      </c>
      <c r="B15" s="239"/>
      <c r="C15" s="239"/>
      <c r="D15" s="239"/>
      <c r="E15" s="240"/>
      <c r="F15" s="266"/>
      <c r="G15" s="266"/>
      <c r="H15" s="170">
        <v>9</v>
      </c>
      <c r="I15" s="456">
        <f t="shared" si="0"/>
        <v>0.22499999999999998</v>
      </c>
      <c r="J15" s="217"/>
      <c r="K15" s="217"/>
      <c r="L15" s="217"/>
      <c r="M15" s="217"/>
      <c r="N15" s="267"/>
      <c r="O15" s="172"/>
      <c r="P15" s="217"/>
      <c r="Q15" s="443"/>
      <c r="S15" s="268"/>
      <c r="T15" s="268"/>
      <c r="U15" s="268"/>
      <c r="AJ15" s="443"/>
      <c r="AZ15" s="269"/>
      <c r="BJ15" s="219"/>
      <c r="BK15" s="219"/>
      <c r="BL15" s="219"/>
      <c r="BO15" s="172"/>
      <c r="BP15" s="219"/>
      <c r="BQ15" s="270"/>
      <c r="BR15" s="271"/>
      <c r="BS15" s="219"/>
      <c r="BT15" s="272"/>
      <c r="BX15" s="219"/>
      <c r="BY15" s="219"/>
      <c r="BZ15" s="172"/>
      <c r="CA15" s="172"/>
      <c r="CB15" s="172"/>
      <c r="CC15" s="172"/>
    </row>
    <row r="16" spans="1:81" ht="13">
      <c r="A16" s="282" t="s">
        <v>26</v>
      </c>
      <c r="B16" s="262" t="s">
        <v>6</v>
      </c>
      <c r="C16" s="283" t="s">
        <v>33</v>
      </c>
      <c r="D16" s="284" t="s">
        <v>90</v>
      </c>
      <c r="E16" s="265" t="s">
        <v>41</v>
      </c>
      <c r="F16" s="266"/>
      <c r="G16" s="266"/>
      <c r="H16" s="170">
        <v>10</v>
      </c>
      <c r="I16" s="456">
        <f t="shared" si="0"/>
        <v>0.25</v>
      </c>
      <c r="J16" s="217"/>
      <c r="K16" s="217"/>
      <c r="L16" s="217"/>
      <c r="M16" s="217"/>
      <c r="N16" s="267"/>
      <c r="O16" s="172"/>
      <c r="P16" s="217"/>
      <c r="Q16" s="443"/>
      <c r="S16" s="268"/>
      <c r="T16" s="268"/>
      <c r="U16" s="268"/>
      <c r="AJ16" s="443"/>
      <c r="AZ16" s="269"/>
      <c r="BJ16" s="219"/>
      <c r="BK16" s="219"/>
      <c r="BL16" s="219"/>
      <c r="BO16" s="172"/>
      <c r="BP16" s="219"/>
      <c r="BQ16" s="270"/>
      <c r="BR16" s="271"/>
      <c r="BS16" s="219"/>
      <c r="BT16" s="272"/>
      <c r="BX16" s="219"/>
      <c r="BY16" s="219"/>
      <c r="BZ16" s="172"/>
      <c r="CA16" s="172"/>
      <c r="CB16" s="172"/>
      <c r="CC16" s="172"/>
    </row>
    <row r="17" spans="1:81" ht="13">
      <c r="A17" s="285" t="s">
        <v>246</v>
      </c>
      <c r="B17" s="286">
        <f>Vout/Vin/Fsw*1000000</f>
        <v>83.333333333333329</v>
      </c>
      <c r="C17" s="287" t="s">
        <v>247</v>
      </c>
      <c r="D17" s="288">
        <f>B17/1000000</f>
        <v>8.3333333333333331E-5</v>
      </c>
      <c r="E17" s="277" t="s">
        <v>248</v>
      </c>
      <c r="F17" s="266"/>
      <c r="G17" s="266"/>
      <c r="H17" s="170">
        <v>11</v>
      </c>
      <c r="I17" s="456">
        <f t="shared" si="0"/>
        <v>0.27500000000000002</v>
      </c>
      <c r="J17" s="217"/>
      <c r="K17" s="217"/>
      <c r="L17" s="217"/>
      <c r="M17" s="217"/>
      <c r="N17" s="267"/>
      <c r="O17" s="172"/>
      <c r="P17" s="217"/>
      <c r="Q17" s="443"/>
      <c r="S17" s="268"/>
      <c r="T17" s="268"/>
      <c r="U17" s="268"/>
      <c r="AJ17" s="443"/>
      <c r="AZ17" s="269"/>
      <c r="BJ17" s="219"/>
      <c r="BK17" s="219"/>
      <c r="BL17" s="219"/>
      <c r="BO17" s="172"/>
      <c r="BP17" s="219"/>
      <c r="BQ17" s="270"/>
      <c r="BR17" s="271"/>
      <c r="BS17" s="219"/>
      <c r="BT17" s="272"/>
      <c r="BX17" s="219"/>
      <c r="BY17" s="219"/>
      <c r="BZ17" s="172"/>
      <c r="CA17" s="172"/>
      <c r="CB17" s="172"/>
      <c r="CC17" s="172"/>
    </row>
    <row r="18" spans="1:81" ht="13">
      <c r="A18" s="285" t="s">
        <v>249</v>
      </c>
      <c r="B18" s="286"/>
      <c r="C18" s="287" t="s">
        <v>247</v>
      </c>
      <c r="D18" s="289">
        <f>B18/1000000</f>
        <v>0</v>
      </c>
      <c r="E18" s="275" t="s">
        <v>250</v>
      </c>
      <c r="F18" s="266"/>
      <c r="G18" s="266"/>
      <c r="H18" s="170">
        <v>12</v>
      </c>
      <c r="I18" s="456">
        <f t="shared" si="0"/>
        <v>0.3</v>
      </c>
      <c r="J18" s="217"/>
      <c r="K18" s="217"/>
      <c r="L18" s="217"/>
      <c r="M18" s="217"/>
      <c r="N18" s="267"/>
      <c r="O18" s="172"/>
      <c r="P18" s="217"/>
      <c r="Q18" s="443"/>
      <c r="S18" s="268"/>
      <c r="T18" s="268"/>
      <c r="U18" s="268"/>
      <c r="AJ18" s="443"/>
      <c r="AZ18" s="269"/>
      <c r="BJ18" s="219"/>
      <c r="BK18" s="219"/>
      <c r="BL18" s="219"/>
      <c r="BO18" s="172"/>
      <c r="BP18" s="219"/>
      <c r="BQ18" s="270"/>
      <c r="BR18" s="271"/>
      <c r="BS18" s="219"/>
      <c r="BT18" s="272"/>
      <c r="BX18" s="219"/>
      <c r="BY18" s="219"/>
      <c r="BZ18" s="172"/>
      <c r="CA18" s="172"/>
      <c r="CB18" s="172"/>
      <c r="CC18" s="172"/>
    </row>
    <row r="19" spans="1:81" ht="15.5">
      <c r="A19" s="279" t="s">
        <v>251</v>
      </c>
      <c r="B19" s="290">
        <f>(Vin-Vout-(Rdcr_pri+Rdson)*Iout)/L*OnTime*1000</f>
        <v>-1152.4822695035461</v>
      </c>
      <c r="C19" s="277" t="s">
        <v>30</v>
      </c>
      <c r="D19" s="190">
        <f>B19/1000</f>
        <v>-1.1524822695035462</v>
      </c>
      <c r="E19" s="275" t="s">
        <v>252</v>
      </c>
      <c r="F19" s="266"/>
      <c r="G19" s="266"/>
      <c r="H19" s="170">
        <v>13</v>
      </c>
      <c r="I19" s="456">
        <f t="shared" si="0"/>
        <v>0.32500000000000001</v>
      </c>
      <c r="J19" s="217"/>
      <c r="K19" s="217"/>
      <c r="L19" s="217"/>
      <c r="M19" s="217"/>
      <c r="N19" s="267"/>
      <c r="O19" s="172"/>
      <c r="P19" s="217"/>
      <c r="Q19" s="443"/>
      <c r="S19" s="268"/>
      <c r="T19" s="268"/>
      <c r="U19" s="268"/>
      <c r="AJ19" s="443"/>
      <c r="AZ19" s="269"/>
      <c r="BJ19" s="219"/>
      <c r="BK19" s="219"/>
      <c r="BL19" s="219"/>
      <c r="BO19" s="172"/>
      <c r="BP19" s="219"/>
      <c r="BQ19" s="270"/>
      <c r="BR19" s="271"/>
      <c r="BS19" s="219"/>
      <c r="BT19" s="272"/>
      <c r="BX19" s="219"/>
      <c r="BY19" s="219"/>
      <c r="BZ19" s="172"/>
      <c r="CA19" s="172"/>
      <c r="CB19" s="172"/>
      <c r="CC19" s="172"/>
    </row>
    <row r="20" spans="1:81" ht="13">
      <c r="A20" s="285" t="s">
        <v>253</v>
      </c>
      <c r="B20" s="291">
        <v>12</v>
      </c>
      <c r="C20" s="275" t="s">
        <v>2</v>
      </c>
      <c r="D20" s="292">
        <f>B20*1000</f>
        <v>12000</v>
      </c>
      <c r="E20" s="277" t="s">
        <v>254</v>
      </c>
      <c r="F20" s="359"/>
      <c r="G20" s="266"/>
      <c r="H20" s="170">
        <v>14</v>
      </c>
      <c r="I20" s="456">
        <f t="shared" si="0"/>
        <v>0.35000000000000003</v>
      </c>
      <c r="J20" s="217"/>
      <c r="K20" s="217"/>
      <c r="L20" s="217"/>
      <c r="M20" s="217"/>
      <c r="N20" s="267"/>
      <c r="O20" s="172"/>
      <c r="P20" s="217"/>
      <c r="Q20" s="443"/>
      <c r="S20" s="268"/>
      <c r="T20" s="268"/>
      <c r="U20" s="268"/>
      <c r="AJ20" s="443"/>
      <c r="AZ20" s="269"/>
      <c r="BJ20" s="219"/>
      <c r="BK20" s="219"/>
      <c r="BL20" s="219"/>
      <c r="BO20" s="172"/>
      <c r="BP20" s="219"/>
      <c r="BQ20" s="270"/>
      <c r="BR20" s="271"/>
      <c r="BS20" s="219"/>
      <c r="BT20" s="272"/>
      <c r="BX20" s="219"/>
      <c r="BY20" s="219"/>
      <c r="BZ20" s="172"/>
      <c r="CA20" s="172"/>
      <c r="CB20" s="172"/>
      <c r="CC20" s="172"/>
    </row>
    <row r="21" spans="1:81" ht="13">
      <c r="A21" s="285" t="s">
        <v>410</v>
      </c>
      <c r="B21" s="290">
        <v>350</v>
      </c>
      <c r="C21" s="277" t="s">
        <v>2</v>
      </c>
      <c r="D21" s="292">
        <f>B21*1000</f>
        <v>350000</v>
      </c>
      <c r="E21" s="277" t="s">
        <v>411</v>
      </c>
      <c r="F21" s="266"/>
      <c r="G21" s="266"/>
      <c r="H21" s="170">
        <v>15</v>
      </c>
      <c r="I21" s="456">
        <f t="shared" si="0"/>
        <v>0.375</v>
      </c>
      <c r="J21" s="217"/>
      <c r="K21" s="217"/>
      <c r="L21" s="217"/>
      <c r="M21" s="217"/>
      <c r="N21" s="267"/>
      <c r="O21" s="172"/>
      <c r="P21" s="217"/>
      <c r="Q21" s="443"/>
      <c r="S21" s="268"/>
      <c r="T21" s="268"/>
      <c r="U21" s="268"/>
      <c r="AJ21" s="443"/>
      <c r="AZ21" s="269"/>
      <c r="BJ21" s="219"/>
      <c r="BK21" s="219"/>
      <c r="BL21" s="219"/>
      <c r="BO21" s="172"/>
      <c r="BP21" s="219"/>
      <c r="BQ21" s="270"/>
      <c r="BR21" s="271"/>
      <c r="BS21" s="219"/>
      <c r="BT21" s="272"/>
      <c r="BX21" s="219"/>
      <c r="BY21" s="219"/>
      <c r="BZ21" s="172"/>
      <c r="CA21" s="172"/>
      <c r="CB21" s="172"/>
      <c r="CC21" s="172"/>
    </row>
    <row r="22" spans="1:81" ht="13">
      <c r="A22" s="293" t="s">
        <v>38</v>
      </c>
      <c r="B22" s="294">
        <f>B44+15</f>
        <v>38</v>
      </c>
      <c r="C22" s="275" t="s">
        <v>32</v>
      </c>
      <c r="D22" s="295">
        <f>B22/1000000000</f>
        <v>3.8000000000000003E-8</v>
      </c>
      <c r="E22" s="188" t="s">
        <v>255</v>
      </c>
      <c r="F22" s="266"/>
      <c r="G22" s="266"/>
      <c r="H22" s="170">
        <v>16</v>
      </c>
      <c r="I22" s="456">
        <f t="shared" si="0"/>
        <v>0.4</v>
      </c>
      <c r="J22" s="217"/>
      <c r="K22" s="217"/>
      <c r="L22" s="217"/>
      <c r="M22" s="217"/>
      <c r="N22" s="267"/>
      <c r="O22" s="172"/>
      <c r="P22" s="217"/>
      <c r="Q22" s="443"/>
      <c r="S22" s="268"/>
      <c r="T22" s="268"/>
      <c r="U22" s="268"/>
      <c r="AJ22" s="443"/>
      <c r="AZ22" s="269"/>
      <c r="BJ22" s="219"/>
      <c r="BK22" s="219"/>
      <c r="BL22" s="219"/>
      <c r="BO22" s="172"/>
      <c r="BP22" s="219"/>
      <c r="BQ22" s="270"/>
      <c r="BR22" s="271"/>
      <c r="BS22" s="219"/>
      <c r="BT22" s="272"/>
      <c r="BX22" s="219"/>
      <c r="BY22" s="219"/>
      <c r="BZ22" s="172"/>
      <c r="CA22" s="172"/>
      <c r="CB22" s="172"/>
      <c r="CC22" s="172"/>
    </row>
    <row r="23" spans="1:81" ht="13">
      <c r="A23" s="293" t="s">
        <v>39</v>
      </c>
      <c r="B23" s="294">
        <f>B44/2+25</f>
        <v>36.5</v>
      </c>
      <c r="C23" s="275" t="s">
        <v>32</v>
      </c>
      <c r="D23" s="295">
        <f>B23/1000000000</f>
        <v>3.6500000000000003E-8</v>
      </c>
      <c r="E23" s="188" t="s">
        <v>256</v>
      </c>
      <c r="F23" s="266"/>
      <c r="G23" s="266"/>
      <c r="H23" s="170">
        <v>17</v>
      </c>
      <c r="I23" s="456">
        <f t="shared" si="0"/>
        <v>0.42500000000000004</v>
      </c>
      <c r="J23" s="217"/>
      <c r="K23" s="217"/>
      <c r="L23" s="217"/>
      <c r="M23" s="217"/>
      <c r="N23" s="267"/>
      <c r="O23" s="172"/>
      <c r="P23" s="217"/>
      <c r="Q23" s="443"/>
      <c r="S23" s="268"/>
      <c r="T23" s="268"/>
      <c r="U23" s="268"/>
      <c r="AJ23" s="443"/>
      <c r="AZ23" s="269"/>
      <c r="BJ23" s="219"/>
      <c r="BK23" s="219"/>
      <c r="BL23" s="219"/>
      <c r="BO23" s="172"/>
      <c r="BP23" s="219"/>
      <c r="BQ23" s="270"/>
      <c r="BR23" s="271"/>
      <c r="BS23" s="219"/>
      <c r="BT23" s="272"/>
      <c r="BX23" s="219"/>
      <c r="BY23" s="219"/>
      <c r="BZ23" s="172"/>
      <c r="CA23" s="172"/>
      <c r="CB23" s="172"/>
      <c r="CC23" s="172"/>
    </row>
    <row r="24" spans="1:81" ht="13">
      <c r="A24" s="240"/>
      <c r="B24" s="240"/>
      <c r="C24" s="240"/>
      <c r="D24" s="240"/>
      <c r="E24" s="240"/>
      <c r="F24" s="266"/>
      <c r="G24" s="266"/>
      <c r="H24" s="170">
        <v>18</v>
      </c>
      <c r="I24" s="456">
        <f t="shared" si="0"/>
        <v>0.44999999999999996</v>
      </c>
      <c r="J24" s="217"/>
      <c r="K24" s="217"/>
      <c r="L24" s="217"/>
      <c r="M24" s="217"/>
      <c r="N24" s="267"/>
      <c r="O24" s="172"/>
      <c r="P24" s="217"/>
      <c r="Q24" s="443"/>
      <c r="S24" s="268"/>
      <c r="T24" s="268"/>
      <c r="U24" s="268"/>
      <c r="AJ24" s="443"/>
      <c r="AZ24" s="269"/>
      <c r="BJ24" s="219"/>
      <c r="BK24" s="219"/>
      <c r="BL24" s="219"/>
      <c r="BO24" s="172"/>
      <c r="BP24" s="219"/>
      <c r="BQ24" s="270"/>
      <c r="BR24" s="271"/>
      <c r="BS24" s="219"/>
      <c r="BT24" s="272"/>
      <c r="BX24" s="219"/>
      <c r="BY24" s="219"/>
      <c r="BZ24" s="172"/>
      <c r="CA24" s="172"/>
      <c r="CB24" s="172"/>
      <c r="CC24" s="172"/>
    </row>
    <row r="25" spans="1:81" ht="13">
      <c r="A25" s="282" t="s">
        <v>29</v>
      </c>
      <c r="B25" s="263" t="s">
        <v>43</v>
      </c>
      <c r="C25" s="283" t="s">
        <v>33</v>
      </c>
      <c r="D25" s="284" t="s">
        <v>90</v>
      </c>
      <c r="E25" s="265" t="s">
        <v>41</v>
      </c>
      <c r="F25" s="266"/>
      <c r="G25" s="266"/>
      <c r="H25" s="170">
        <v>19</v>
      </c>
      <c r="I25" s="456">
        <f t="shared" si="0"/>
        <v>0.47499999999999998</v>
      </c>
      <c r="J25" s="217"/>
      <c r="K25" s="217"/>
      <c r="L25" s="217"/>
      <c r="M25" s="217"/>
      <c r="N25" s="267"/>
      <c r="O25" s="172"/>
      <c r="P25" s="217"/>
      <c r="Q25" s="443"/>
      <c r="S25" s="268"/>
      <c r="T25" s="268"/>
      <c r="U25" s="268"/>
      <c r="AJ25" s="443"/>
      <c r="AZ25" s="269"/>
      <c r="BJ25" s="219"/>
      <c r="BK25" s="219"/>
      <c r="BL25" s="219"/>
      <c r="BO25" s="172"/>
      <c r="BP25" s="219"/>
      <c r="BQ25" s="270"/>
      <c r="BR25" s="271"/>
      <c r="BS25" s="219"/>
      <c r="BT25" s="272"/>
      <c r="BX25" s="219"/>
      <c r="BY25" s="219"/>
      <c r="BZ25" s="172"/>
      <c r="CA25" s="172"/>
      <c r="CB25" s="172"/>
      <c r="CC25" s="172"/>
    </row>
    <row r="26" spans="1:81" ht="13.5" thickBot="1">
      <c r="A26" s="296" t="s">
        <v>27</v>
      </c>
      <c r="B26" s="277">
        <f>'Design Converter'!L7</f>
        <v>4.7</v>
      </c>
      <c r="C26" s="287" t="s">
        <v>96</v>
      </c>
      <c r="D26" s="194">
        <f>B26/1000000</f>
        <v>4.6999999999999999E-6</v>
      </c>
      <c r="E26" s="277" t="s">
        <v>257</v>
      </c>
      <c r="F26" s="297"/>
      <c r="G26" s="266"/>
      <c r="H26" s="170">
        <v>20</v>
      </c>
      <c r="I26" s="456">
        <f t="shared" si="0"/>
        <v>0.5</v>
      </c>
      <c r="J26" s="217"/>
      <c r="K26" s="217"/>
      <c r="L26" s="217"/>
      <c r="M26" s="217"/>
      <c r="N26" s="267"/>
      <c r="O26" s="172"/>
      <c r="P26" s="217"/>
      <c r="Q26" s="443"/>
      <c r="S26" s="268"/>
      <c r="T26" s="268"/>
      <c r="U26" s="268"/>
      <c r="AJ26" s="443"/>
      <c r="AZ26" s="269"/>
      <c r="BJ26" s="219"/>
      <c r="BK26" s="219"/>
      <c r="BL26" s="219"/>
      <c r="BO26" s="172"/>
      <c r="BP26" s="219"/>
      <c r="BQ26" s="270"/>
      <c r="BR26" s="271"/>
      <c r="BS26" s="219"/>
      <c r="BT26" s="272"/>
      <c r="BX26" s="219"/>
      <c r="BY26" s="219"/>
      <c r="BZ26" s="172"/>
      <c r="CA26" s="172"/>
      <c r="CB26" s="172"/>
      <c r="CC26" s="172"/>
    </row>
    <row r="27" spans="1:81" ht="13.5" thickBot="1">
      <c r="A27" s="298" t="s">
        <v>385</v>
      </c>
      <c r="B27" s="299">
        <f>'Design Converter'!L8</f>
        <v>14</v>
      </c>
      <c r="C27" s="300" t="s">
        <v>258</v>
      </c>
      <c r="D27" s="194">
        <f>B27/1000</f>
        <v>1.4E-2</v>
      </c>
      <c r="E27" s="277" t="s">
        <v>480</v>
      </c>
      <c r="F27" s="266"/>
      <c r="G27" s="266"/>
      <c r="H27" s="170">
        <v>21</v>
      </c>
      <c r="I27" s="456">
        <f t="shared" si="0"/>
        <v>0.52500000000000002</v>
      </c>
      <c r="J27" s="217"/>
      <c r="K27" s="217"/>
      <c r="L27" s="217"/>
      <c r="M27" s="217"/>
      <c r="N27" s="267"/>
      <c r="O27" s="172"/>
      <c r="P27" s="217"/>
      <c r="Q27" s="443"/>
      <c r="S27" s="268"/>
      <c r="T27" s="268"/>
      <c r="U27" s="268"/>
      <c r="AJ27" s="443"/>
      <c r="AZ27" s="269"/>
      <c r="BJ27" s="219"/>
      <c r="BK27" s="219"/>
      <c r="BL27" s="219"/>
      <c r="BO27" s="172"/>
      <c r="BP27" s="219"/>
      <c r="BQ27" s="270"/>
      <c r="BR27" s="271"/>
      <c r="BS27" s="219"/>
      <c r="BT27" s="272"/>
      <c r="BX27" s="219"/>
      <c r="BY27" s="219"/>
      <c r="BZ27" s="172"/>
      <c r="CA27" s="172"/>
      <c r="CB27" s="172"/>
      <c r="CC27" s="172"/>
    </row>
    <row r="28" spans="1:81" ht="13.5" thickBot="1">
      <c r="A28" s="298" t="s">
        <v>448</v>
      </c>
      <c r="B28" s="299">
        <f>'Design Converter'!L9</f>
        <v>14</v>
      </c>
      <c r="C28" s="300" t="s">
        <v>258</v>
      </c>
      <c r="D28" s="194">
        <f>B28/1000</f>
        <v>1.4E-2</v>
      </c>
      <c r="E28" s="277" t="s">
        <v>646</v>
      </c>
      <c r="F28" s="266"/>
      <c r="G28" s="266"/>
      <c r="H28" s="170">
        <v>22</v>
      </c>
      <c r="I28" s="456">
        <f t="shared" si="0"/>
        <v>0.55000000000000004</v>
      </c>
      <c r="J28" s="217"/>
      <c r="K28" s="217"/>
      <c r="L28" s="217"/>
      <c r="M28" s="217"/>
      <c r="N28" s="267"/>
      <c r="O28" s="172"/>
      <c r="P28" s="217"/>
      <c r="Q28" s="443"/>
      <c r="S28" s="268"/>
      <c r="T28" s="268"/>
      <c r="U28" s="268"/>
      <c r="AJ28" s="443"/>
      <c r="AZ28" s="269"/>
      <c r="BJ28" s="219"/>
      <c r="BK28" s="219"/>
      <c r="BL28" s="219"/>
      <c r="BO28" s="172"/>
      <c r="BP28" s="219"/>
      <c r="BQ28" s="270"/>
      <c r="BR28" s="271"/>
      <c r="BS28" s="219"/>
      <c r="BT28" s="272"/>
      <c r="BX28" s="219"/>
      <c r="BY28" s="219"/>
      <c r="BZ28" s="172"/>
      <c r="CA28" s="172"/>
      <c r="CB28" s="172"/>
      <c r="CC28" s="172"/>
    </row>
    <row r="29" spans="1:81" ht="13.5" thickBot="1">
      <c r="A29" s="301" t="s">
        <v>259</v>
      </c>
      <c r="B29" s="302">
        <f>0.00000005</f>
        <v>4.9999999999999998E-8</v>
      </c>
      <c r="C29" s="300"/>
      <c r="D29" s="303">
        <f>B29</f>
        <v>4.9999999999999998E-8</v>
      </c>
      <c r="E29" s="304" t="s">
        <v>479</v>
      </c>
      <c r="F29" s="266"/>
      <c r="G29" s="266"/>
      <c r="H29" s="170">
        <v>23</v>
      </c>
      <c r="I29" s="456">
        <f t="shared" si="0"/>
        <v>0.57500000000000007</v>
      </c>
      <c r="J29" s="217"/>
      <c r="K29" s="217"/>
      <c r="L29" s="217"/>
      <c r="M29" s="217"/>
      <c r="N29" s="267"/>
      <c r="O29" s="172"/>
      <c r="P29" s="217"/>
      <c r="Q29" s="443"/>
      <c r="S29" s="268"/>
      <c r="T29" s="268"/>
      <c r="U29" s="268"/>
      <c r="AJ29" s="443"/>
      <c r="AZ29" s="269"/>
      <c r="BJ29" s="219"/>
      <c r="BK29" s="219"/>
      <c r="BL29" s="219"/>
      <c r="BO29" s="172"/>
      <c r="BP29" s="219"/>
      <c r="BQ29" s="270"/>
      <c r="BR29" s="271"/>
      <c r="BS29" s="219"/>
      <c r="BT29" s="272"/>
      <c r="BX29" s="219"/>
      <c r="BY29" s="219"/>
      <c r="BZ29" s="172"/>
      <c r="CA29" s="172"/>
      <c r="CB29" s="172"/>
      <c r="CC29" s="172"/>
    </row>
    <row r="30" spans="1:81" ht="13.5" thickBot="1">
      <c r="A30" s="305" t="s">
        <v>28</v>
      </c>
      <c r="B30" s="299">
        <f>'Design Converter'!E30</f>
        <v>100</v>
      </c>
      <c r="C30" s="306" t="s">
        <v>97</v>
      </c>
      <c r="D30" s="307">
        <f>B30/1000000</f>
        <v>1E-4</v>
      </c>
      <c r="E30" s="308" t="s">
        <v>60</v>
      </c>
      <c r="F30" s="266"/>
      <c r="G30" s="266"/>
      <c r="H30" s="170">
        <v>24</v>
      </c>
      <c r="I30" s="456">
        <f t="shared" si="0"/>
        <v>0.6</v>
      </c>
      <c r="J30" s="217"/>
      <c r="K30" s="217"/>
      <c r="L30" s="217"/>
      <c r="M30" s="217"/>
      <c r="N30" s="267"/>
      <c r="O30" s="172"/>
      <c r="P30" s="217"/>
      <c r="Q30" s="443"/>
      <c r="S30" s="268"/>
      <c r="T30" s="268"/>
      <c r="U30" s="268"/>
      <c r="AJ30" s="443"/>
      <c r="AZ30" s="269"/>
      <c r="BJ30" s="219"/>
      <c r="BK30" s="219"/>
      <c r="BL30" s="219"/>
      <c r="BO30" s="172"/>
      <c r="BP30" s="219"/>
      <c r="BQ30" s="270"/>
      <c r="BR30" s="271"/>
      <c r="BS30" s="219"/>
      <c r="BT30" s="272"/>
      <c r="BX30" s="219"/>
      <c r="BY30" s="219"/>
      <c r="BZ30" s="172"/>
      <c r="CA30" s="172"/>
      <c r="CB30" s="172"/>
      <c r="CC30" s="172"/>
    </row>
    <row r="31" spans="1:81" ht="13.5" thickBot="1">
      <c r="A31" s="301" t="s">
        <v>260</v>
      </c>
      <c r="B31" s="299">
        <f>'Design Converter'!E31</f>
        <v>3</v>
      </c>
      <c r="C31" s="300" t="s">
        <v>258</v>
      </c>
      <c r="D31" s="194">
        <f>B31/1000</f>
        <v>3.0000000000000001E-3</v>
      </c>
      <c r="E31" s="277" t="s">
        <v>261</v>
      </c>
      <c r="F31" s="266"/>
      <c r="G31" s="266"/>
      <c r="H31" s="170">
        <v>25</v>
      </c>
      <c r="I31" s="456">
        <f t="shared" si="0"/>
        <v>0.625</v>
      </c>
      <c r="J31" s="217"/>
      <c r="K31" s="217"/>
      <c r="L31" s="217"/>
      <c r="M31" s="217"/>
      <c r="N31" s="267"/>
      <c r="O31" s="172"/>
      <c r="P31" s="217"/>
      <c r="Q31" s="443"/>
      <c r="S31" s="268"/>
      <c r="T31" s="268"/>
      <c r="U31" s="268"/>
      <c r="AJ31" s="443"/>
      <c r="AZ31" s="269"/>
      <c r="BJ31" s="219"/>
      <c r="BK31" s="219"/>
      <c r="BL31" s="219"/>
      <c r="BO31" s="172"/>
      <c r="BP31" s="219"/>
      <c r="BQ31" s="270"/>
      <c r="BR31" s="271"/>
      <c r="BS31" s="219"/>
      <c r="BT31" s="272"/>
      <c r="BX31" s="219"/>
      <c r="BY31" s="219"/>
      <c r="BZ31" s="172"/>
      <c r="CA31" s="172"/>
      <c r="CB31" s="172"/>
      <c r="CC31" s="172"/>
    </row>
    <row r="32" spans="1:81" ht="13.5" thickBot="1">
      <c r="A32" s="296" t="s">
        <v>14</v>
      </c>
      <c r="B32" s="358">
        <f>'Design Converter'!E34</f>
        <v>110</v>
      </c>
      <c r="C32" s="287" t="s">
        <v>97</v>
      </c>
      <c r="D32" s="288">
        <f>B32/1000000</f>
        <v>1.1E-4</v>
      </c>
      <c r="E32" s="277" t="s">
        <v>262</v>
      </c>
      <c r="F32" s="266"/>
      <c r="G32" s="266"/>
      <c r="H32" s="170">
        <v>26</v>
      </c>
      <c r="I32" s="456">
        <f t="shared" si="0"/>
        <v>0.65</v>
      </c>
      <c r="J32" s="217"/>
      <c r="K32" s="217"/>
      <c r="L32" s="217"/>
      <c r="M32" s="217"/>
      <c r="N32" s="267"/>
      <c r="O32" s="172"/>
      <c r="P32" s="217"/>
      <c r="Q32" s="443"/>
      <c r="S32" s="268"/>
      <c r="T32" s="268"/>
      <c r="U32" s="268"/>
      <c r="AJ32" s="443"/>
      <c r="AZ32" s="269"/>
      <c r="BJ32" s="219"/>
      <c r="BK32" s="219"/>
      <c r="BL32" s="219"/>
      <c r="BO32" s="172"/>
      <c r="BP32" s="219"/>
      <c r="BQ32" s="270"/>
      <c r="BR32" s="271"/>
      <c r="BS32" s="219"/>
      <c r="BT32" s="272"/>
      <c r="BX32" s="219"/>
      <c r="BY32" s="219"/>
      <c r="BZ32" s="172"/>
      <c r="CA32" s="172"/>
      <c r="CB32" s="172"/>
      <c r="CC32" s="172"/>
    </row>
    <row r="33" spans="1:81" ht="13">
      <c r="A33" s="301" t="s">
        <v>263</v>
      </c>
      <c r="B33" s="358">
        <f>'Design Converter'!E35</f>
        <v>2</v>
      </c>
      <c r="C33" s="300" t="s">
        <v>258</v>
      </c>
      <c r="D33" s="194">
        <f>B33/1000</f>
        <v>2E-3</v>
      </c>
      <c r="E33" s="277" t="s">
        <v>264</v>
      </c>
      <c r="F33" s="266"/>
      <c r="G33" s="266"/>
      <c r="H33" s="170">
        <v>27</v>
      </c>
      <c r="I33" s="456">
        <f t="shared" si="0"/>
        <v>0.67500000000000004</v>
      </c>
      <c r="J33" s="217"/>
      <c r="K33" s="217"/>
      <c r="L33" s="217"/>
      <c r="M33" s="217"/>
      <c r="N33" s="267"/>
      <c r="O33" s="172"/>
      <c r="P33" s="217"/>
      <c r="Q33" s="443"/>
      <c r="S33" s="268"/>
      <c r="T33" s="268"/>
      <c r="U33" s="268"/>
      <c r="AJ33" s="443"/>
      <c r="AZ33" s="269"/>
      <c r="BJ33" s="219"/>
      <c r="BK33" s="219"/>
      <c r="BL33" s="219"/>
      <c r="BO33" s="172"/>
      <c r="BP33" s="219"/>
      <c r="BQ33" s="270"/>
      <c r="BR33" s="271"/>
      <c r="BS33" s="219"/>
      <c r="BT33" s="272"/>
      <c r="BX33" s="219"/>
      <c r="BY33" s="219"/>
      <c r="BZ33" s="172"/>
      <c r="CA33" s="172"/>
      <c r="CB33" s="172"/>
      <c r="CC33" s="172"/>
    </row>
    <row r="34" spans="1:81" ht="13">
      <c r="A34" s="309" t="s">
        <v>394</v>
      </c>
      <c r="B34" s="263"/>
      <c r="C34" s="309" t="s">
        <v>33</v>
      </c>
      <c r="D34" s="310" t="s">
        <v>90</v>
      </c>
      <c r="E34" s="311" t="s">
        <v>41</v>
      </c>
      <c r="F34" s="266"/>
      <c r="G34" s="266"/>
      <c r="H34" s="170">
        <v>28</v>
      </c>
      <c r="I34" s="456">
        <f t="shared" si="0"/>
        <v>0.70000000000000007</v>
      </c>
      <c r="J34" s="217"/>
      <c r="K34" s="217"/>
      <c r="L34" s="217"/>
      <c r="M34" s="217"/>
      <c r="N34" s="267"/>
      <c r="O34" s="172"/>
      <c r="P34" s="217"/>
      <c r="Q34" s="443"/>
      <c r="S34" s="268"/>
      <c r="T34" s="268"/>
      <c r="U34" s="268"/>
      <c r="AJ34" s="443"/>
      <c r="AZ34" s="269"/>
      <c r="BJ34" s="219"/>
      <c r="BK34" s="219"/>
      <c r="BL34" s="219"/>
      <c r="BO34" s="172"/>
      <c r="BP34" s="219"/>
      <c r="BQ34" s="270"/>
      <c r="BR34" s="271"/>
      <c r="BS34" s="219"/>
      <c r="BT34" s="272"/>
      <c r="BX34" s="219"/>
      <c r="BY34" s="219"/>
      <c r="BZ34" s="172"/>
      <c r="CA34" s="172"/>
      <c r="CB34" s="172"/>
      <c r="CC34" s="172"/>
    </row>
    <row r="35" spans="1:81" ht="13">
      <c r="A35" s="298" t="s">
        <v>399</v>
      </c>
      <c r="B35" s="312">
        <f>100/RCS</f>
        <v>16.666666666666668</v>
      </c>
      <c r="C35" s="287" t="s">
        <v>1</v>
      </c>
      <c r="D35" s="269">
        <f>B35</f>
        <v>16.666666666666668</v>
      </c>
      <c r="E35" s="188" t="s">
        <v>398</v>
      </c>
      <c r="F35" s="266"/>
      <c r="G35" s="266"/>
      <c r="H35" s="170">
        <v>29</v>
      </c>
      <c r="I35" s="456">
        <f t="shared" si="0"/>
        <v>0.72499999999999998</v>
      </c>
      <c r="J35" s="217"/>
      <c r="K35" s="217"/>
      <c r="L35" s="217"/>
      <c r="M35" s="217"/>
      <c r="N35" s="267"/>
      <c r="O35" s="172"/>
      <c r="P35" s="217"/>
      <c r="Q35" s="443"/>
      <c r="S35" s="268"/>
      <c r="T35" s="268"/>
      <c r="U35" s="268"/>
      <c r="AJ35" s="443"/>
      <c r="AZ35" s="269"/>
      <c r="BJ35" s="219"/>
      <c r="BK35" s="219"/>
      <c r="BL35" s="219"/>
      <c r="BO35" s="172"/>
      <c r="BP35" s="219"/>
      <c r="BQ35" s="270"/>
      <c r="BR35" s="271"/>
      <c r="BS35" s="219"/>
      <c r="BT35" s="272"/>
      <c r="BX35" s="219"/>
      <c r="BY35" s="219"/>
      <c r="BZ35" s="172"/>
      <c r="CA35" s="172"/>
      <c r="CB35" s="172"/>
      <c r="CC35" s="172"/>
    </row>
    <row r="36" spans="1:81" ht="13">
      <c r="A36" s="298" t="s">
        <v>407</v>
      </c>
      <c r="B36" s="312">
        <f>B35/5</f>
        <v>3.3333333333333335</v>
      </c>
      <c r="C36" s="287" t="s">
        <v>1</v>
      </c>
      <c r="D36" s="269">
        <f>B36</f>
        <v>3.3333333333333335</v>
      </c>
      <c r="E36" s="188" t="s">
        <v>408</v>
      </c>
      <c r="F36" s="266"/>
      <c r="G36" s="266"/>
      <c r="H36" s="170">
        <v>30</v>
      </c>
      <c r="I36" s="456">
        <f t="shared" si="0"/>
        <v>0.75</v>
      </c>
      <c r="J36" s="217"/>
      <c r="K36" s="217"/>
      <c r="L36" s="217"/>
      <c r="M36" s="217"/>
      <c r="N36" s="267"/>
      <c r="O36" s="172"/>
      <c r="P36" s="217"/>
      <c r="Q36" s="443"/>
      <c r="S36" s="268"/>
      <c r="T36" s="268"/>
      <c r="U36" s="268"/>
      <c r="AJ36" s="443"/>
      <c r="AZ36" s="269"/>
      <c r="BJ36" s="219"/>
      <c r="BK36" s="219"/>
      <c r="BL36" s="219"/>
      <c r="BO36" s="172"/>
      <c r="BP36" s="219"/>
      <c r="BQ36" s="270"/>
      <c r="BR36" s="271"/>
      <c r="BS36" s="219"/>
      <c r="BT36" s="272"/>
      <c r="BX36" s="219"/>
      <c r="BY36" s="219"/>
      <c r="BZ36" s="172"/>
      <c r="CA36" s="172"/>
      <c r="CB36" s="172"/>
      <c r="CC36" s="172"/>
    </row>
    <row r="37" spans="1:81" ht="13.5" thickBot="1">
      <c r="A37" s="298" t="s">
        <v>678</v>
      </c>
      <c r="B37" s="635">
        <v>30</v>
      </c>
      <c r="C37" s="170" t="s">
        <v>32</v>
      </c>
      <c r="D37" s="170">
        <f>B37*0.000000001</f>
        <v>3.0000000000000004E-8</v>
      </c>
      <c r="E37" s="170" t="s">
        <v>679</v>
      </c>
      <c r="F37" s="266"/>
      <c r="G37" s="266"/>
      <c r="H37" s="170">
        <v>31</v>
      </c>
      <c r="I37" s="456">
        <f t="shared" si="0"/>
        <v>0.77500000000000002</v>
      </c>
      <c r="J37" s="217"/>
      <c r="K37" s="217"/>
      <c r="L37" s="217"/>
      <c r="M37" s="217"/>
      <c r="N37" s="267"/>
      <c r="O37" s="172"/>
      <c r="P37" s="217"/>
      <c r="Q37" s="443"/>
      <c r="S37" s="268"/>
      <c r="T37" s="268"/>
      <c r="U37" s="268"/>
      <c r="AJ37" s="443"/>
      <c r="AZ37" s="269"/>
      <c r="BJ37" s="219"/>
      <c r="BK37" s="219"/>
      <c r="BL37" s="219"/>
      <c r="BO37" s="172"/>
      <c r="BP37" s="219"/>
      <c r="BQ37" s="270"/>
      <c r="BR37" s="271"/>
      <c r="BS37" s="219"/>
      <c r="BT37" s="272"/>
      <c r="BX37" s="219"/>
      <c r="BY37" s="219"/>
      <c r="BZ37" s="172"/>
      <c r="CA37" s="172"/>
      <c r="CB37" s="172"/>
      <c r="CC37" s="172"/>
    </row>
    <row r="38" spans="1:81" ht="13" thickBot="1">
      <c r="A38" s="313" t="s">
        <v>47</v>
      </c>
      <c r="B38" s="526">
        <v>1</v>
      </c>
      <c r="C38" s="287"/>
      <c r="D38" s="269">
        <f>B38</f>
        <v>1</v>
      </c>
      <c r="E38" s="188" t="s">
        <v>409</v>
      </c>
      <c r="H38" s="170">
        <v>32</v>
      </c>
      <c r="I38" s="456">
        <f t="shared" ref="I38:I69" si="2">IF(PLOT_TYPE=1, H38/100*Iout_max, min_I*EXP(H38*rr/100))</f>
        <v>0.8</v>
      </c>
      <c r="J38" s="217"/>
      <c r="K38" s="217"/>
      <c r="L38" s="217"/>
      <c r="M38" s="217"/>
      <c r="N38" s="267"/>
      <c r="O38" s="172"/>
      <c r="P38" s="217"/>
      <c r="Q38" s="443"/>
      <c r="S38" s="268"/>
      <c r="T38" s="268"/>
      <c r="U38" s="268"/>
      <c r="AJ38" s="443"/>
      <c r="AZ38" s="269"/>
      <c r="BJ38" s="219"/>
      <c r="BK38" s="219"/>
      <c r="BL38" s="219"/>
      <c r="BO38" s="172"/>
      <c r="BP38" s="219"/>
      <c r="BQ38" s="270"/>
      <c r="BR38" s="271"/>
      <c r="BS38" s="219"/>
      <c r="BT38" s="272"/>
      <c r="BX38" s="219"/>
      <c r="BY38" s="219"/>
      <c r="BZ38" s="172"/>
      <c r="CA38" s="172"/>
      <c r="CB38" s="172"/>
      <c r="CC38" s="172"/>
    </row>
    <row r="39" spans="1:81">
      <c r="A39" s="298" t="s">
        <v>24</v>
      </c>
      <c r="B39" s="314">
        <v>450</v>
      </c>
      <c r="C39" s="287" t="s">
        <v>265</v>
      </c>
      <c r="D39" s="289">
        <f>B39/1000000</f>
        <v>4.4999999999999999E-4</v>
      </c>
      <c r="E39" s="277" t="s">
        <v>775</v>
      </c>
      <c r="H39" s="170">
        <v>33</v>
      </c>
      <c r="I39" s="456">
        <f t="shared" si="2"/>
        <v>0.82500000000000007</v>
      </c>
      <c r="J39" s="217"/>
      <c r="K39" s="217"/>
      <c r="L39" s="217"/>
      <c r="M39" s="217"/>
      <c r="N39" s="267"/>
      <c r="O39" s="172"/>
      <c r="P39" s="217"/>
      <c r="Q39" s="443"/>
      <c r="S39" s="268"/>
      <c r="T39" s="268"/>
      <c r="U39" s="268"/>
      <c r="AJ39" s="443"/>
      <c r="AZ39" s="269"/>
      <c r="BJ39" s="219"/>
      <c r="BK39" s="219"/>
      <c r="BL39" s="219"/>
      <c r="BO39" s="172"/>
      <c r="BP39" s="219"/>
      <c r="BQ39" s="270"/>
      <c r="BR39" s="271"/>
      <c r="BS39" s="219"/>
      <c r="BT39" s="272"/>
      <c r="BX39" s="219"/>
      <c r="BY39" s="219"/>
      <c r="BZ39" s="172"/>
      <c r="CA39" s="172"/>
      <c r="CB39" s="172"/>
      <c r="CC39" s="172"/>
    </row>
    <row r="40" spans="1:81" ht="13.5" thickBot="1">
      <c r="A40" s="309" t="s">
        <v>391</v>
      </c>
      <c r="B40" s="315"/>
      <c r="C40" s="309" t="s">
        <v>33</v>
      </c>
      <c r="D40" s="310" t="s">
        <v>90</v>
      </c>
      <c r="E40" s="316" t="s">
        <v>41</v>
      </c>
      <c r="H40" s="170">
        <v>34</v>
      </c>
      <c r="I40" s="456">
        <f t="shared" si="2"/>
        <v>0.85000000000000009</v>
      </c>
      <c r="J40" s="217"/>
      <c r="K40" s="217"/>
      <c r="L40" s="217"/>
      <c r="M40" s="217"/>
      <c r="N40" s="267"/>
      <c r="O40" s="172"/>
      <c r="P40" s="217"/>
      <c r="Q40" s="443"/>
      <c r="S40" s="268"/>
      <c r="T40" s="268"/>
      <c r="U40" s="268"/>
      <c r="AJ40" s="443"/>
      <c r="AZ40" s="269"/>
      <c r="BJ40" s="219"/>
      <c r="BK40" s="219"/>
      <c r="BL40" s="219"/>
      <c r="BO40" s="172"/>
      <c r="BP40" s="219"/>
      <c r="BQ40" s="270"/>
      <c r="BR40" s="271"/>
      <c r="BS40" s="219"/>
      <c r="BT40" s="272"/>
      <c r="BX40" s="219"/>
      <c r="BY40" s="219"/>
      <c r="BZ40" s="172"/>
      <c r="CA40" s="172"/>
      <c r="CB40" s="172"/>
      <c r="CC40" s="172"/>
    </row>
    <row r="41" spans="1:81">
      <c r="A41" s="317" t="s">
        <v>392</v>
      </c>
      <c r="B41" s="318">
        <f>RON</f>
        <v>12</v>
      </c>
      <c r="C41" s="278" t="s">
        <v>258</v>
      </c>
      <c r="D41" s="171">
        <f>B41/1000</f>
        <v>1.2E-2</v>
      </c>
      <c r="E41" s="277" t="s">
        <v>396</v>
      </c>
      <c r="H41" s="170">
        <v>35</v>
      </c>
      <c r="I41" s="456">
        <f t="shared" si="2"/>
        <v>0.875</v>
      </c>
      <c r="J41" s="217"/>
      <c r="K41" s="217"/>
      <c r="L41" s="217"/>
      <c r="M41" s="217"/>
      <c r="N41" s="267"/>
      <c r="O41" s="172"/>
      <c r="P41" s="217"/>
      <c r="Q41" s="443"/>
      <c r="S41" s="268"/>
      <c r="T41" s="268"/>
      <c r="U41" s="268"/>
      <c r="AJ41" s="443"/>
      <c r="AZ41" s="269"/>
      <c r="BJ41" s="219"/>
      <c r="BK41" s="219"/>
      <c r="BL41" s="219"/>
      <c r="BO41" s="172"/>
      <c r="BP41" s="219"/>
      <c r="BQ41" s="270"/>
      <c r="BR41" s="271"/>
      <c r="BS41" s="219"/>
      <c r="BT41" s="272"/>
      <c r="BX41" s="219"/>
      <c r="BY41" s="219"/>
      <c r="BZ41" s="172"/>
      <c r="CA41" s="172"/>
      <c r="CB41" s="172"/>
      <c r="CC41" s="172"/>
    </row>
    <row r="42" spans="1:81" ht="13" thickBot="1">
      <c r="A42" s="170" t="s">
        <v>668</v>
      </c>
      <c r="B42" s="170">
        <v>4500</v>
      </c>
      <c r="C42" s="631" t="s">
        <v>669</v>
      </c>
      <c r="D42" s="171">
        <f>B42/1000000</f>
        <v>4.4999999999999997E-3</v>
      </c>
      <c r="E42" s="632" t="s">
        <v>670</v>
      </c>
      <c r="H42" s="170">
        <v>36</v>
      </c>
      <c r="I42" s="456">
        <f t="shared" si="2"/>
        <v>0.89999999999999991</v>
      </c>
      <c r="J42" s="217"/>
      <c r="K42" s="217"/>
      <c r="L42" s="217"/>
      <c r="M42" s="217"/>
      <c r="N42" s="267"/>
      <c r="O42" s="172"/>
      <c r="P42" s="217"/>
      <c r="Q42" s="443"/>
      <c r="S42" s="268"/>
      <c r="T42" s="268"/>
      <c r="U42" s="268"/>
      <c r="AJ42" s="443"/>
      <c r="AZ42" s="269"/>
      <c r="BJ42" s="219"/>
      <c r="BK42" s="219"/>
      <c r="BL42" s="219"/>
      <c r="BO42" s="172"/>
      <c r="BP42" s="219"/>
      <c r="BQ42" s="270"/>
      <c r="BR42" s="271"/>
      <c r="BS42" s="219"/>
      <c r="BT42" s="272"/>
      <c r="BX42" s="219"/>
      <c r="BY42" s="219"/>
      <c r="BZ42" s="172"/>
      <c r="CA42" s="172"/>
      <c r="CB42" s="172"/>
      <c r="CC42" s="172"/>
    </row>
    <row r="43" spans="1:81" ht="13.5" thickBot="1">
      <c r="A43" s="298" t="s">
        <v>266</v>
      </c>
      <c r="B43" s="319"/>
      <c r="C43" s="320" t="s">
        <v>267</v>
      </c>
      <c r="D43" s="171"/>
      <c r="E43" s="277" t="s">
        <v>266</v>
      </c>
      <c r="H43" s="170">
        <v>37</v>
      </c>
      <c r="I43" s="456">
        <f t="shared" si="2"/>
        <v>0.92500000000000004</v>
      </c>
      <c r="J43" s="217"/>
      <c r="K43" s="217"/>
      <c r="L43" s="217"/>
      <c r="M43" s="217"/>
      <c r="N43" s="267"/>
      <c r="O43" s="172"/>
      <c r="P43" s="217"/>
      <c r="Q43" s="443"/>
      <c r="S43" s="268"/>
      <c r="T43" s="268"/>
      <c r="U43" s="268"/>
      <c r="AJ43" s="443"/>
      <c r="AZ43" s="269"/>
      <c r="BJ43" s="219"/>
      <c r="BK43" s="219"/>
      <c r="BL43" s="219"/>
      <c r="BO43" s="172"/>
      <c r="BP43" s="219"/>
      <c r="BQ43" s="270"/>
      <c r="BR43" s="271"/>
      <c r="BS43" s="219"/>
      <c r="BT43" s="272"/>
      <c r="BX43" s="219"/>
      <c r="BY43" s="219"/>
      <c r="BZ43" s="172"/>
      <c r="CA43" s="172"/>
      <c r="CB43" s="172"/>
      <c r="CC43" s="172"/>
    </row>
    <row r="44" spans="1:81" ht="13" thickBot="1">
      <c r="A44" s="298" t="s">
        <v>393</v>
      </c>
      <c r="B44" s="318">
        <f>'Design Converter'!L24</f>
        <v>23</v>
      </c>
      <c r="C44" s="287" t="s">
        <v>31</v>
      </c>
      <c r="D44" s="171">
        <f>B44/1000000000</f>
        <v>2.3000000000000001E-8</v>
      </c>
      <c r="E44" s="277" t="s">
        <v>395</v>
      </c>
      <c r="H44" s="170">
        <v>38</v>
      </c>
      <c r="I44" s="456">
        <f t="shared" si="2"/>
        <v>0.95</v>
      </c>
      <c r="J44" s="217"/>
      <c r="K44" s="217"/>
      <c r="L44" s="217"/>
      <c r="M44" s="217"/>
      <c r="N44" s="267"/>
      <c r="O44" s="172"/>
      <c r="P44" s="217"/>
      <c r="Q44" s="443"/>
      <c r="S44" s="268"/>
      <c r="T44" s="268"/>
      <c r="U44" s="268"/>
      <c r="AJ44" s="443"/>
      <c r="AZ44" s="269"/>
      <c r="BJ44" s="219"/>
      <c r="BK44" s="219"/>
      <c r="BL44" s="219"/>
      <c r="BO44" s="172"/>
      <c r="BP44" s="219"/>
      <c r="BQ44" s="270"/>
      <c r="BR44" s="271"/>
      <c r="BS44" s="219"/>
      <c r="BT44" s="272"/>
      <c r="BX44" s="219"/>
      <c r="BY44" s="219"/>
      <c r="BZ44" s="172"/>
      <c r="CA44" s="172"/>
      <c r="CB44" s="172"/>
      <c r="CC44" s="172"/>
    </row>
    <row r="45" spans="1:81" ht="13" thickBot="1">
      <c r="A45" s="301" t="s">
        <v>240</v>
      </c>
      <c r="B45" s="318">
        <f>'Design Converter'!L25</f>
        <v>935</v>
      </c>
      <c r="C45" s="287" t="s">
        <v>15</v>
      </c>
      <c r="D45" s="321">
        <f>B45/1000000000000</f>
        <v>9.3499999999999998E-10</v>
      </c>
      <c r="E45" s="277" t="s">
        <v>326</v>
      </c>
      <c r="H45" s="170">
        <v>39</v>
      </c>
      <c r="I45" s="456">
        <f t="shared" si="2"/>
        <v>0.97500000000000009</v>
      </c>
      <c r="J45" s="217"/>
      <c r="K45" s="217"/>
      <c r="L45" s="217"/>
      <c r="M45" s="217"/>
      <c r="N45" s="267"/>
      <c r="O45" s="172"/>
      <c r="P45" s="217"/>
      <c r="Q45" s="443"/>
      <c r="S45" s="268"/>
      <c r="T45" s="268"/>
      <c r="U45" s="268"/>
      <c r="AJ45" s="443"/>
      <c r="AZ45" s="269"/>
      <c r="BJ45" s="219"/>
      <c r="BK45" s="219"/>
      <c r="BL45" s="219"/>
      <c r="BO45" s="172"/>
      <c r="BP45" s="219"/>
      <c r="BQ45" s="270"/>
      <c r="BR45" s="271"/>
      <c r="BS45" s="219"/>
      <c r="BT45" s="272"/>
      <c r="BX45" s="219"/>
      <c r="BY45" s="219"/>
      <c r="BZ45" s="172"/>
      <c r="CA45" s="172"/>
      <c r="CB45" s="172"/>
      <c r="CC45" s="172"/>
    </row>
    <row r="46" spans="1:81">
      <c r="A46" s="324" t="s">
        <v>325</v>
      </c>
      <c r="B46" s="318">
        <f>CHOOSE(MODE, 50, 100)</f>
        <v>50</v>
      </c>
      <c r="C46" s="287" t="s">
        <v>15</v>
      </c>
      <c r="D46" s="289">
        <f>B46/1000000000000</f>
        <v>5.0000000000000002E-11</v>
      </c>
      <c r="E46" s="277" t="s">
        <v>472</v>
      </c>
      <c r="H46" s="170">
        <v>40</v>
      </c>
      <c r="I46" s="456">
        <f t="shared" si="2"/>
        <v>1</v>
      </c>
      <c r="J46" s="217"/>
      <c r="K46" s="217"/>
      <c r="L46" s="217"/>
      <c r="M46" s="217"/>
      <c r="N46" s="267"/>
      <c r="O46" s="172"/>
      <c r="P46" s="217"/>
      <c r="Q46" s="443"/>
      <c r="S46" s="268"/>
      <c r="T46" s="268"/>
      <c r="U46" s="268"/>
      <c r="AJ46" s="443"/>
      <c r="AZ46" s="269"/>
      <c r="BJ46" s="219"/>
      <c r="BK46" s="219"/>
      <c r="BL46" s="219"/>
      <c r="BO46" s="172"/>
      <c r="BP46" s="219"/>
      <c r="BQ46" s="270"/>
      <c r="BR46" s="271"/>
      <c r="BS46" s="219"/>
      <c r="BT46" s="272"/>
      <c r="BX46" s="219"/>
      <c r="BY46" s="219"/>
      <c r="BZ46" s="172"/>
      <c r="CA46" s="172"/>
      <c r="CB46" s="172"/>
      <c r="CC46" s="172"/>
    </row>
    <row r="47" spans="1:81" ht="13.5" thickBot="1">
      <c r="A47" s="309" t="s">
        <v>397</v>
      </c>
      <c r="B47" s="322"/>
      <c r="C47" s="309" t="s">
        <v>33</v>
      </c>
      <c r="D47" s="310" t="s">
        <v>90</v>
      </c>
      <c r="E47" s="323" t="s">
        <v>41</v>
      </c>
      <c r="H47" s="170">
        <v>41</v>
      </c>
      <c r="I47" s="456">
        <f t="shared" si="2"/>
        <v>1.0249999999999999</v>
      </c>
      <c r="J47" s="217"/>
      <c r="K47" s="217"/>
      <c r="L47" s="217"/>
      <c r="M47" s="217"/>
      <c r="N47" s="267"/>
      <c r="O47" s="172"/>
      <c r="P47" s="217"/>
      <c r="Q47" s="443"/>
      <c r="S47" s="268"/>
      <c r="T47" s="268"/>
      <c r="U47" s="268"/>
      <c r="AJ47" s="443"/>
      <c r="AZ47" s="269"/>
      <c r="BJ47" s="219"/>
      <c r="BK47" s="219"/>
      <c r="BL47" s="219"/>
      <c r="BO47" s="172"/>
      <c r="BP47" s="219"/>
      <c r="BQ47" s="270"/>
      <c r="BR47" s="271"/>
      <c r="BS47" s="219"/>
      <c r="BT47" s="272"/>
      <c r="BX47" s="219"/>
      <c r="BY47" s="219"/>
      <c r="BZ47" s="172"/>
      <c r="CA47" s="172"/>
      <c r="CB47" s="172"/>
      <c r="CC47" s="172"/>
    </row>
    <row r="48" spans="1:81" ht="13" thickBot="1">
      <c r="A48" s="317" t="s">
        <v>644</v>
      </c>
      <c r="B48" s="318">
        <f>'Design Converter'!E80</f>
        <v>0.4</v>
      </c>
      <c r="C48" s="275" t="s">
        <v>0</v>
      </c>
      <c r="D48" s="171">
        <f>B48</f>
        <v>0.4</v>
      </c>
      <c r="E48" s="277" t="s">
        <v>643</v>
      </c>
      <c r="H48" s="170">
        <v>42</v>
      </c>
      <c r="I48" s="456">
        <f t="shared" si="2"/>
        <v>1.05</v>
      </c>
      <c r="J48" s="217"/>
      <c r="K48" s="217"/>
      <c r="L48" s="217"/>
      <c r="M48" s="217"/>
      <c r="N48" s="267"/>
      <c r="O48" s="172"/>
      <c r="P48" s="217"/>
      <c r="Q48" s="443"/>
      <c r="S48" s="268"/>
      <c r="T48" s="268"/>
      <c r="U48" s="268"/>
      <c r="AJ48" s="443"/>
      <c r="AZ48" s="269"/>
      <c r="BJ48" s="219"/>
      <c r="BK48" s="219"/>
      <c r="BL48" s="219"/>
      <c r="BO48" s="172"/>
      <c r="BP48" s="219"/>
      <c r="BQ48" s="270"/>
      <c r="BR48" s="271"/>
      <c r="BS48" s="219"/>
      <c r="BT48" s="272"/>
      <c r="BX48" s="219"/>
      <c r="BY48" s="219"/>
      <c r="BZ48" s="172"/>
      <c r="CA48" s="172"/>
      <c r="CB48" s="172"/>
      <c r="CC48" s="172"/>
    </row>
    <row r="49" spans="1:81" ht="13" thickBot="1">
      <c r="A49" s="317" t="s">
        <v>645</v>
      </c>
      <c r="B49" s="318">
        <f>'Design Converter'!E81</f>
        <v>0.7</v>
      </c>
      <c r="C49" s="275" t="s">
        <v>0</v>
      </c>
      <c r="D49" s="171">
        <f>B49</f>
        <v>0.7</v>
      </c>
      <c r="E49" s="277" t="s">
        <v>642</v>
      </c>
      <c r="H49" s="170">
        <v>43</v>
      </c>
      <c r="I49" s="456">
        <f t="shared" si="2"/>
        <v>1.075</v>
      </c>
      <c r="J49" s="217"/>
      <c r="K49" s="217"/>
      <c r="L49" s="217"/>
      <c r="M49" s="217"/>
      <c r="N49" s="267"/>
      <c r="O49" s="172"/>
      <c r="P49" s="217"/>
      <c r="Q49" s="443"/>
      <c r="S49" s="268"/>
      <c r="T49" s="268"/>
      <c r="U49" s="268"/>
      <c r="AJ49" s="443"/>
      <c r="AZ49" s="269"/>
      <c r="BJ49" s="219"/>
      <c r="BK49" s="219"/>
      <c r="BL49" s="219"/>
      <c r="BO49" s="172"/>
      <c r="BP49" s="219"/>
      <c r="BQ49" s="270"/>
      <c r="BR49" s="271"/>
      <c r="BS49" s="219"/>
      <c r="BT49" s="272"/>
      <c r="BX49" s="219"/>
      <c r="BY49" s="219"/>
      <c r="BZ49" s="172"/>
      <c r="CA49" s="172"/>
      <c r="CB49" s="172"/>
      <c r="CC49" s="172"/>
    </row>
    <row r="50" spans="1:81" ht="13" thickBot="1">
      <c r="A50" s="317" t="s">
        <v>268</v>
      </c>
      <c r="B50" s="318">
        <v>100</v>
      </c>
      <c r="C50" s="278" t="s">
        <v>258</v>
      </c>
      <c r="D50" s="171">
        <f>B50*0.001</f>
        <v>0.1</v>
      </c>
      <c r="E50" s="277" t="s">
        <v>269</v>
      </c>
      <c r="H50" s="170">
        <v>44</v>
      </c>
      <c r="I50" s="456">
        <f t="shared" si="2"/>
        <v>1.1000000000000001</v>
      </c>
      <c r="J50" s="217"/>
      <c r="K50" s="217"/>
      <c r="L50" s="217"/>
      <c r="M50" s="217"/>
      <c r="N50" s="267"/>
      <c r="O50" s="172"/>
      <c r="P50" s="217"/>
      <c r="Q50" s="443"/>
      <c r="S50" s="268"/>
      <c r="T50" s="268"/>
      <c r="U50" s="268"/>
      <c r="AJ50" s="443"/>
      <c r="AZ50" s="269"/>
      <c r="BJ50" s="219"/>
      <c r="BK50" s="219"/>
      <c r="BL50" s="219"/>
      <c r="BO50" s="172"/>
      <c r="BP50" s="219"/>
      <c r="BQ50" s="270"/>
      <c r="BR50" s="271"/>
      <c r="BS50" s="219"/>
      <c r="BT50" s="272"/>
      <c r="BX50" s="219"/>
      <c r="BY50" s="219"/>
      <c r="BZ50" s="172"/>
      <c r="CA50" s="172"/>
      <c r="CB50" s="172"/>
      <c r="CC50" s="172"/>
    </row>
    <row r="51" spans="1:81" ht="13" thickBot="1">
      <c r="A51" s="298" t="s">
        <v>400</v>
      </c>
      <c r="B51" s="318">
        <v>2</v>
      </c>
      <c r="C51" s="287" t="s">
        <v>31</v>
      </c>
      <c r="D51" s="289">
        <f>B51*0.000000001</f>
        <v>2.0000000000000001E-9</v>
      </c>
      <c r="E51" s="277" t="s">
        <v>270</v>
      </c>
      <c r="H51" s="170">
        <v>45</v>
      </c>
      <c r="I51" s="456">
        <f t="shared" si="2"/>
        <v>1.125</v>
      </c>
      <c r="J51" s="217"/>
      <c r="K51" s="217"/>
      <c r="L51" s="217"/>
      <c r="M51" s="217"/>
      <c r="N51" s="267"/>
      <c r="O51" s="172"/>
      <c r="P51" s="217"/>
      <c r="Q51" s="443"/>
      <c r="S51" s="268"/>
      <c r="T51" s="268"/>
      <c r="U51" s="268"/>
      <c r="AJ51" s="443"/>
      <c r="AZ51" s="269"/>
      <c r="BJ51" s="219"/>
      <c r="BK51" s="219"/>
      <c r="BL51" s="219"/>
      <c r="BO51" s="172"/>
      <c r="BP51" s="219"/>
      <c r="BQ51" s="270"/>
      <c r="BR51" s="271"/>
      <c r="BS51" s="219"/>
      <c r="BT51" s="272"/>
      <c r="BX51" s="219"/>
      <c r="BY51" s="219"/>
      <c r="BZ51" s="172"/>
      <c r="CA51" s="172"/>
      <c r="CB51" s="172"/>
      <c r="CC51" s="172"/>
    </row>
    <row r="52" spans="1:81" ht="13" thickBot="1">
      <c r="A52" s="298" t="s">
        <v>401</v>
      </c>
      <c r="B52" s="318">
        <v>10</v>
      </c>
      <c r="C52" s="287" t="s">
        <v>32</v>
      </c>
      <c r="D52" s="289">
        <f>B52*0.000000001</f>
        <v>1E-8</v>
      </c>
      <c r="E52" s="277" t="s">
        <v>271</v>
      </c>
      <c r="H52" s="170">
        <v>46</v>
      </c>
      <c r="I52" s="456">
        <f t="shared" si="2"/>
        <v>1.1500000000000001</v>
      </c>
      <c r="J52" s="217"/>
      <c r="K52" s="217"/>
      <c r="L52" s="217"/>
      <c r="M52" s="217"/>
      <c r="N52" s="267"/>
      <c r="O52" s="172"/>
      <c r="P52" s="217"/>
      <c r="Q52" s="443"/>
      <c r="S52" s="268"/>
      <c r="T52" s="268"/>
      <c r="U52" s="268"/>
      <c r="AJ52" s="443"/>
      <c r="AZ52" s="269"/>
      <c r="BJ52" s="219"/>
      <c r="BK52" s="219"/>
      <c r="BL52" s="219"/>
      <c r="BO52" s="172"/>
      <c r="BP52" s="219"/>
      <c r="BQ52" s="270"/>
      <c r="BR52" s="271"/>
      <c r="BS52" s="219"/>
      <c r="BT52" s="272"/>
      <c r="BX52" s="219"/>
      <c r="BY52" s="219"/>
      <c r="BZ52" s="172"/>
      <c r="CA52" s="172"/>
      <c r="CB52" s="172"/>
      <c r="CC52" s="172"/>
    </row>
    <row r="53" spans="1:81">
      <c r="A53" s="324" t="s">
        <v>488</v>
      </c>
      <c r="B53" s="318">
        <v>0</v>
      </c>
      <c r="C53" s="275" t="s">
        <v>272</v>
      </c>
      <c r="D53" s="289">
        <f>B53/1000000</f>
        <v>0</v>
      </c>
      <c r="E53" s="277" t="s">
        <v>273</v>
      </c>
      <c r="H53" s="170">
        <v>47</v>
      </c>
      <c r="I53" s="456">
        <f t="shared" si="2"/>
        <v>1.1749999999999998</v>
      </c>
      <c r="J53" s="217"/>
      <c r="K53" s="217"/>
      <c r="L53" s="217"/>
      <c r="M53" s="217"/>
      <c r="N53" s="267"/>
      <c r="O53" s="172"/>
      <c r="P53" s="217"/>
      <c r="Q53" s="443"/>
      <c r="S53" s="268"/>
      <c r="T53" s="268"/>
      <c r="U53" s="268"/>
      <c r="AJ53" s="443"/>
      <c r="AZ53" s="269"/>
      <c r="BJ53" s="219"/>
      <c r="BK53" s="219"/>
      <c r="BL53" s="219"/>
      <c r="BO53" s="172"/>
      <c r="BP53" s="219"/>
      <c r="BQ53" s="270"/>
      <c r="BR53" s="271"/>
      <c r="BS53" s="219"/>
      <c r="BT53" s="272"/>
      <c r="BX53" s="219"/>
      <c r="BY53" s="219"/>
      <c r="BZ53" s="172"/>
      <c r="CA53" s="172"/>
      <c r="CB53" s="172"/>
      <c r="CC53" s="172"/>
    </row>
    <row r="54" spans="1:81">
      <c r="A54" s="170" t="s">
        <v>672</v>
      </c>
      <c r="B54" s="197">
        <f>'Design Converter'!E82</f>
        <v>52.8</v>
      </c>
      <c r="C54" s="631" t="s">
        <v>84</v>
      </c>
      <c r="D54" s="197">
        <f>B54</f>
        <v>52.8</v>
      </c>
      <c r="E54" s="170" t="s">
        <v>671</v>
      </c>
      <c r="H54" s="170">
        <v>48</v>
      </c>
      <c r="I54" s="456">
        <f t="shared" si="2"/>
        <v>1.2</v>
      </c>
      <c r="J54" s="217"/>
      <c r="K54" s="217"/>
      <c r="L54" s="217"/>
      <c r="M54" s="217"/>
      <c r="N54" s="267"/>
      <c r="O54" s="172"/>
      <c r="P54" s="217"/>
      <c r="Q54" s="443"/>
      <c r="S54" s="268"/>
      <c r="T54" s="268"/>
      <c r="U54" s="268"/>
      <c r="AJ54" s="443"/>
      <c r="AZ54" s="269"/>
      <c r="BJ54" s="219"/>
      <c r="BK54" s="219"/>
      <c r="BL54" s="219"/>
      <c r="BO54" s="172"/>
      <c r="BP54" s="219"/>
      <c r="BQ54" s="270"/>
      <c r="BR54" s="271"/>
      <c r="BS54" s="219"/>
      <c r="BT54" s="272"/>
      <c r="BX54" s="219"/>
      <c r="BY54" s="219"/>
      <c r="BZ54" s="172"/>
      <c r="CA54" s="172"/>
      <c r="CB54" s="172"/>
      <c r="CC54" s="172"/>
    </row>
    <row r="55" spans="1:81">
      <c r="H55" s="170">
        <v>49</v>
      </c>
      <c r="I55" s="456">
        <f t="shared" si="2"/>
        <v>1.2250000000000001</v>
      </c>
      <c r="J55" s="217"/>
      <c r="K55" s="217"/>
      <c r="L55" s="217"/>
      <c r="M55" s="217"/>
      <c r="N55" s="267"/>
      <c r="O55" s="172"/>
      <c r="P55" s="217"/>
      <c r="Q55" s="443"/>
      <c r="S55" s="268"/>
      <c r="T55" s="268"/>
      <c r="U55" s="268"/>
      <c r="AJ55" s="443"/>
      <c r="AZ55" s="269"/>
      <c r="BJ55" s="219"/>
      <c r="BK55" s="219"/>
      <c r="BL55" s="219"/>
      <c r="BO55" s="172"/>
      <c r="BP55" s="219"/>
      <c r="BQ55" s="270"/>
      <c r="BR55" s="271"/>
      <c r="BS55" s="219"/>
      <c r="BT55" s="272"/>
      <c r="BX55" s="219"/>
      <c r="BY55" s="219"/>
      <c r="BZ55" s="172"/>
      <c r="CA55" s="172"/>
      <c r="CB55" s="172"/>
      <c r="CC55" s="172"/>
    </row>
    <row r="56" spans="1:81">
      <c r="H56" s="170">
        <v>50</v>
      </c>
      <c r="I56" s="456">
        <f t="shared" si="2"/>
        <v>1.25</v>
      </c>
      <c r="J56" s="217"/>
      <c r="K56" s="217"/>
      <c r="L56" s="217"/>
      <c r="M56" s="217"/>
      <c r="N56" s="267"/>
      <c r="O56" s="172"/>
      <c r="P56" s="217"/>
      <c r="Q56" s="443"/>
      <c r="S56" s="268"/>
      <c r="T56" s="268"/>
      <c r="U56" s="268"/>
      <c r="AJ56" s="443"/>
      <c r="AZ56" s="269"/>
      <c r="BJ56" s="219"/>
      <c r="BK56" s="219"/>
      <c r="BL56" s="219"/>
      <c r="BO56" s="172"/>
      <c r="BP56" s="219"/>
      <c r="BQ56" s="270"/>
      <c r="BR56" s="271"/>
      <c r="BS56" s="219"/>
      <c r="BT56" s="272"/>
      <c r="BX56" s="219"/>
      <c r="BY56" s="219"/>
      <c r="BZ56" s="172"/>
      <c r="CA56" s="172"/>
      <c r="CB56" s="172"/>
      <c r="CC56" s="172"/>
    </row>
    <row r="57" spans="1:81">
      <c r="H57" s="170">
        <v>51</v>
      </c>
      <c r="I57" s="456">
        <f t="shared" si="2"/>
        <v>1.2749999999999999</v>
      </c>
      <c r="J57" s="217"/>
      <c r="K57" s="217"/>
      <c r="L57" s="217"/>
      <c r="M57" s="217"/>
      <c r="N57" s="267"/>
      <c r="O57" s="172"/>
      <c r="P57" s="217"/>
      <c r="Q57" s="443"/>
      <c r="S57" s="268"/>
      <c r="T57" s="268"/>
      <c r="U57" s="268"/>
      <c r="AJ57" s="443"/>
      <c r="AZ57" s="269"/>
      <c r="BJ57" s="219"/>
      <c r="BK57" s="219"/>
      <c r="BL57" s="219"/>
      <c r="BO57" s="172"/>
      <c r="BP57" s="219"/>
      <c r="BQ57" s="270"/>
      <c r="BR57" s="271"/>
      <c r="BS57" s="219"/>
      <c r="BT57" s="272"/>
      <c r="BX57" s="219"/>
      <c r="BY57" s="219"/>
      <c r="BZ57" s="172"/>
      <c r="CA57" s="172"/>
      <c r="CB57" s="172"/>
      <c r="CC57" s="172"/>
    </row>
    <row r="58" spans="1:81">
      <c r="H58" s="170">
        <v>52</v>
      </c>
      <c r="I58" s="456">
        <f t="shared" si="2"/>
        <v>1.3</v>
      </c>
      <c r="J58" s="217"/>
      <c r="K58" s="217"/>
      <c r="L58" s="217"/>
      <c r="M58" s="217"/>
      <c r="N58" s="267"/>
      <c r="O58" s="172"/>
      <c r="P58" s="217"/>
      <c r="Q58" s="443"/>
      <c r="S58" s="268"/>
      <c r="T58" s="268"/>
      <c r="U58" s="268"/>
      <c r="AJ58" s="443"/>
      <c r="AZ58" s="269"/>
      <c r="BJ58" s="219"/>
      <c r="BK58" s="219"/>
      <c r="BL58" s="219"/>
      <c r="BO58" s="172"/>
      <c r="BP58" s="219"/>
      <c r="BQ58" s="270"/>
      <c r="BR58" s="271"/>
      <c r="BS58" s="219"/>
      <c r="BT58" s="272"/>
      <c r="BX58" s="219"/>
      <c r="BY58" s="219"/>
      <c r="BZ58" s="172"/>
      <c r="CA58" s="172"/>
      <c r="CB58" s="172"/>
      <c r="CC58" s="172"/>
    </row>
    <row r="59" spans="1:81">
      <c r="H59" s="170">
        <v>53</v>
      </c>
      <c r="I59" s="456">
        <f t="shared" si="2"/>
        <v>1.3250000000000002</v>
      </c>
      <c r="J59" s="217"/>
      <c r="K59" s="217"/>
      <c r="L59" s="217"/>
      <c r="M59" s="217"/>
      <c r="N59" s="267"/>
      <c r="O59" s="172"/>
      <c r="P59" s="217"/>
      <c r="Q59" s="443"/>
      <c r="S59" s="268"/>
      <c r="T59" s="268"/>
      <c r="U59" s="268"/>
      <c r="AJ59" s="443"/>
      <c r="AZ59" s="269"/>
      <c r="BJ59" s="219"/>
      <c r="BK59" s="219"/>
      <c r="BL59" s="219"/>
      <c r="BO59" s="172"/>
      <c r="BP59" s="219"/>
      <c r="BQ59" s="270"/>
      <c r="BR59" s="271"/>
      <c r="BS59" s="219"/>
      <c r="BT59" s="272"/>
      <c r="BX59" s="219"/>
      <c r="BY59" s="219"/>
      <c r="BZ59" s="172"/>
      <c r="CA59" s="172"/>
      <c r="CB59" s="172"/>
      <c r="CC59" s="172"/>
    </row>
    <row r="60" spans="1:81">
      <c r="H60" s="170">
        <v>54</v>
      </c>
      <c r="I60" s="456">
        <f t="shared" si="2"/>
        <v>1.35</v>
      </c>
      <c r="J60" s="217"/>
      <c r="K60" s="217"/>
      <c r="L60" s="217"/>
      <c r="M60" s="217"/>
      <c r="N60" s="267"/>
      <c r="O60" s="172"/>
      <c r="P60" s="217"/>
      <c r="Q60" s="443"/>
      <c r="S60" s="268"/>
      <c r="T60" s="268"/>
      <c r="U60" s="268"/>
      <c r="AJ60" s="443"/>
      <c r="AZ60" s="269"/>
      <c r="BJ60" s="219"/>
      <c r="BK60" s="219"/>
      <c r="BL60" s="219"/>
      <c r="BO60" s="172"/>
      <c r="BP60" s="219"/>
      <c r="BQ60" s="270"/>
      <c r="BR60" s="271"/>
      <c r="BS60" s="219"/>
      <c r="BT60" s="272"/>
      <c r="BX60" s="219"/>
      <c r="BY60" s="219"/>
      <c r="BZ60" s="172"/>
      <c r="CA60" s="172"/>
      <c r="CB60" s="172"/>
      <c r="CC60" s="172"/>
    </row>
    <row r="61" spans="1:81">
      <c r="H61" s="170">
        <v>55</v>
      </c>
      <c r="I61" s="456">
        <f t="shared" si="2"/>
        <v>1.375</v>
      </c>
      <c r="J61" s="217"/>
      <c r="K61" s="217"/>
      <c r="L61" s="217"/>
      <c r="M61" s="217"/>
      <c r="N61" s="267"/>
      <c r="O61" s="172"/>
      <c r="P61" s="217"/>
      <c r="Q61" s="443"/>
      <c r="S61" s="268"/>
      <c r="T61" s="268"/>
      <c r="U61" s="268"/>
      <c r="AJ61" s="443"/>
      <c r="AZ61" s="269"/>
      <c r="BJ61" s="219"/>
      <c r="BK61" s="219"/>
      <c r="BL61" s="219"/>
      <c r="BO61" s="172"/>
      <c r="BP61" s="219"/>
      <c r="BQ61" s="270"/>
      <c r="BR61" s="271"/>
      <c r="BS61" s="219"/>
      <c r="BT61" s="272"/>
      <c r="BX61" s="219"/>
      <c r="BY61" s="219"/>
      <c r="BZ61" s="172"/>
      <c r="CA61" s="172"/>
      <c r="CB61" s="172"/>
      <c r="CC61" s="172"/>
    </row>
    <row r="62" spans="1:81">
      <c r="H62" s="170">
        <v>56</v>
      </c>
      <c r="I62" s="456">
        <f t="shared" si="2"/>
        <v>1.4000000000000001</v>
      </c>
      <c r="J62" s="217"/>
      <c r="K62" s="217"/>
      <c r="L62" s="217"/>
      <c r="M62" s="217"/>
      <c r="N62" s="267"/>
      <c r="O62" s="172"/>
      <c r="P62" s="217"/>
      <c r="Q62" s="443"/>
      <c r="S62" s="268"/>
      <c r="T62" s="268"/>
      <c r="U62" s="268"/>
      <c r="AJ62" s="443"/>
      <c r="AZ62" s="269"/>
      <c r="BJ62" s="219"/>
      <c r="BK62" s="219"/>
      <c r="BL62" s="219"/>
      <c r="BO62" s="172"/>
      <c r="BP62" s="219"/>
      <c r="BQ62" s="270"/>
      <c r="BR62" s="271"/>
      <c r="BS62" s="219"/>
      <c r="BT62" s="272"/>
      <c r="BX62" s="219"/>
      <c r="BY62" s="219"/>
      <c r="BZ62" s="172"/>
      <c r="CA62" s="172"/>
      <c r="CB62" s="172"/>
      <c r="CC62" s="172"/>
    </row>
    <row r="63" spans="1:81" ht="13">
      <c r="F63" s="325" t="s">
        <v>274</v>
      </c>
      <c r="G63" s="325" t="s">
        <v>275</v>
      </c>
      <c r="H63" s="170">
        <v>57</v>
      </c>
      <c r="I63" s="456">
        <f t="shared" si="2"/>
        <v>1.4249999999999998</v>
      </c>
      <c r="J63" s="217"/>
      <c r="K63" s="217"/>
      <c r="L63" s="217"/>
      <c r="M63" s="217"/>
      <c r="N63" s="267"/>
      <c r="O63" s="172"/>
      <c r="P63" s="217"/>
      <c r="Q63" s="443"/>
      <c r="S63" s="268"/>
      <c r="T63" s="268"/>
      <c r="U63" s="268"/>
      <c r="AJ63" s="443"/>
      <c r="AZ63" s="269"/>
      <c r="BJ63" s="219"/>
      <c r="BK63" s="219"/>
      <c r="BL63" s="219"/>
      <c r="BO63" s="172"/>
      <c r="BP63" s="219"/>
      <c r="BQ63" s="270"/>
      <c r="BR63" s="271"/>
      <c r="BS63" s="219"/>
      <c r="BT63" s="272"/>
      <c r="BX63" s="219"/>
      <c r="BY63" s="219"/>
      <c r="BZ63" s="172"/>
      <c r="CA63" s="172"/>
      <c r="CB63" s="172"/>
      <c r="CC63" s="172"/>
    </row>
    <row r="64" spans="1:81">
      <c r="F64" s="326">
        <f>BM56</f>
        <v>0</v>
      </c>
      <c r="G64" s="327">
        <f>I56*1000</f>
        <v>1250</v>
      </c>
      <c r="H64" s="170">
        <v>58</v>
      </c>
      <c r="I64" s="456">
        <f t="shared" si="2"/>
        <v>1.45</v>
      </c>
      <c r="J64" s="217"/>
      <c r="K64" s="217"/>
      <c r="L64" s="217"/>
      <c r="M64" s="217"/>
      <c r="N64" s="267"/>
      <c r="O64" s="172"/>
      <c r="P64" s="217"/>
      <c r="Q64" s="443"/>
      <c r="S64" s="268"/>
      <c r="T64" s="268"/>
      <c r="U64" s="268"/>
      <c r="AJ64" s="443"/>
      <c r="AZ64" s="269"/>
      <c r="BJ64" s="219"/>
      <c r="BK64" s="219"/>
      <c r="BL64" s="219"/>
      <c r="BO64" s="172"/>
      <c r="BP64" s="219"/>
      <c r="BQ64" s="270"/>
      <c r="BR64" s="271"/>
      <c r="BS64" s="219"/>
      <c r="BT64" s="272"/>
      <c r="BX64" s="219"/>
      <c r="BY64" s="219"/>
      <c r="BZ64" s="172"/>
      <c r="CA64" s="172"/>
      <c r="CB64" s="172"/>
      <c r="CC64" s="172"/>
    </row>
    <row r="65" spans="6:81">
      <c r="F65" s="326">
        <f>BM81</f>
        <v>0</v>
      </c>
      <c r="G65" s="327">
        <f>I81*1000</f>
        <v>1875</v>
      </c>
      <c r="H65" s="170">
        <v>59</v>
      </c>
      <c r="I65" s="456">
        <f t="shared" si="2"/>
        <v>1.4749999999999999</v>
      </c>
      <c r="J65" s="217"/>
      <c r="K65" s="217"/>
      <c r="L65" s="217"/>
      <c r="M65" s="217"/>
      <c r="N65" s="267"/>
      <c r="O65" s="172"/>
      <c r="P65" s="217"/>
      <c r="Q65" s="443"/>
      <c r="S65" s="268"/>
      <c r="T65" s="268"/>
      <c r="U65" s="268"/>
      <c r="AJ65" s="443"/>
      <c r="AZ65" s="269"/>
      <c r="BJ65" s="219"/>
      <c r="BK65" s="219"/>
      <c r="BL65" s="219"/>
      <c r="BO65" s="172"/>
      <c r="BP65" s="219"/>
      <c r="BQ65" s="270"/>
      <c r="BR65" s="271"/>
      <c r="BS65" s="219"/>
      <c r="BT65" s="272"/>
      <c r="BX65" s="219"/>
      <c r="BY65" s="219"/>
      <c r="BZ65" s="172"/>
      <c r="CA65" s="172"/>
      <c r="CB65" s="172"/>
      <c r="CC65" s="172"/>
    </row>
    <row r="66" spans="6:81">
      <c r="F66" s="326">
        <f>BM106</f>
        <v>100</v>
      </c>
      <c r="G66" s="327">
        <f>I106*1000</f>
        <v>2500</v>
      </c>
      <c r="H66" s="170">
        <v>60</v>
      </c>
      <c r="I66" s="456">
        <f t="shared" si="2"/>
        <v>1.5</v>
      </c>
      <c r="J66" s="217"/>
      <c r="K66" s="217"/>
      <c r="L66" s="217"/>
      <c r="M66" s="217"/>
      <c r="N66" s="267"/>
      <c r="O66" s="172"/>
      <c r="P66" s="217"/>
      <c r="Q66" s="443"/>
      <c r="S66" s="268"/>
      <c r="T66" s="268"/>
      <c r="U66" s="268"/>
      <c r="AJ66" s="443"/>
      <c r="AZ66" s="269"/>
      <c r="BJ66" s="219"/>
      <c r="BK66" s="219"/>
      <c r="BL66" s="219"/>
      <c r="BO66" s="172"/>
      <c r="BP66" s="219"/>
      <c r="BQ66" s="270"/>
      <c r="BR66" s="271"/>
      <c r="BS66" s="219"/>
      <c r="BT66" s="272"/>
      <c r="BX66" s="219"/>
      <c r="BY66" s="219"/>
      <c r="BZ66" s="172"/>
      <c r="CA66" s="172"/>
      <c r="CB66" s="172"/>
      <c r="CC66" s="172"/>
    </row>
    <row r="67" spans="6:81">
      <c r="H67" s="170">
        <v>61</v>
      </c>
      <c r="I67" s="456">
        <f t="shared" si="2"/>
        <v>1.5249999999999999</v>
      </c>
      <c r="J67" s="217"/>
      <c r="K67" s="217"/>
      <c r="L67" s="217"/>
      <c r="M67" s="217"/>
      <c r="N67" s="267"/>
      <c r="O67" s="172"/>
      <c r="P67" s="217"/>
      <c r="Q67" s="443"/>
      <c r="S67" s="268"/>
      <c r="T67" s="268"/>
      <c r="U67" s="268"/>
      <c r="AJ67" s="443"/>
      <c r="AZ67" s="269"/>
      <c r="BJ67" s="219"/>
      <c r="BK67" s="219"/>
      <c r="BL67" s="219"/>
      <c r="BO67" s="172"/>
      <c r="BP67" s="219"/>
      <c r="BQ67" s="270"/>
      <c r="BR67" s="271"/>
      <c r="BS67" s="219"/>
      <c r="BT67" s="272"/>
      <c r="BX67" s="219"/>
      <c r="BY67" s="219"/>
      <c r="BZ67" s="172"/>
      <c r="CA67" s="172"/>
      <c r="CB67" s="172"/>
      <c r="CC67" s="172"/>
    </row>
    <row r="68" spans="6:81">
      <c r="H68" s="170">
        <v>62</v>
      </c>
      <c r="I68" s="456">
        <f t="shared" si="2"/>
        <v>1.55</v>
      </c>
      <c r="J68" s="217"/>
      <c r="K68" s="217"/>
      <c r="L68" s="217"/>
      <c r="M68" s="217"/>
      <c r="N68" s="267"/>
      <c r="O68" s="172"/>
      <c r="P68" s="217"/>
      <c r="Q68" s="443"/>
      <c r="S68" s="268"/>
      <c r="T68" s="268"/>
      <c r="U68" s="268"/>
      <c r="AJ68" s="443"/>
      <c r="AZ68" s="269"/>
      <c r="BJ68" s="219"/>
      <c r="BK68" s="219"/>
      <c r="BL68" s="219"/>
      <c r="BO68" s="172"/>
      <c r="BP68" s="219"/>
      <c r="BQ68" s="270"/>
      <c r="BR68" s="271"/>
      <c r="BS68" s="219"/>
      <c r="BT68" s="272"/>
      <c r="BX68" s="219"/>
      <c r="BY68" s="219"/>
      <c r="BZ68" s="172"/>
      <c r="CA68" s="172"/>
      <c r="CB68" s="172"/>
      <c r="CC68" s="172"/>
    </row>
    <row r="69" spans="6:81">
      <c r="H69" s="170">
        <v>63</v>
      </c>
      <c r="I69" s="456">
        <f t="shared" si="2"/>
        <v>1.575</v>
      </c>
      <c r="J69" s="217"/>
      <c r="K69" s="217"/>
      <c r="L69" s="217"/>
      <c r="M69" s="217"/>
      <c r="N69" s="267"/>
      <c r="O69" s="172"/>
      <c r="P69" s="217"/>
      <c r="Q69" s="443"/>
      <c r="S69" s="268"/>
      <c r="T69" s="268"/>
      <c r="U69" s="268"/>
      <c r="AJ69" s="443"/>
      <c r="AZ69" s="269"/>
      <c r="BJ69" s="219"/>
      <c r="BK69" s="219"/>
      <c r="BL69" s="219"/>
      <c r="BO69" s="172"/>
      <c r="BP69" s="219"/>
      <c r="BQ69" s="270"/>
      <c r="BR69" s="271"/>
      <c r="BS69" s="219"/>
      <c r="BT69" s="272"/>
      <c r="BX69" s="219"/>
      <c r="BY69" s="219"/>
      <c r="BZ69" s="172"/>
      <c r="CA69" s="172"/>
      <c r="CB69" s="172"/>
      <c r="CC69" s="172"/>
    </row>
    <row r="70" spans="6:81">
      <c r="H70" s="170">
        <v>64</v>
      </c>
      <c r="I70" s="456">
        <f t="shared" ref="I70:I101" si="3">IF(PLOT_TYPE=1, H70/100*Iout_max, min_I*EXP(H70*rr/100))</f>
        <v>1.6</v>
      </c>
      <c r="J70" s="217"/>
      <c r="K70" s="217"/>
      <c r="L70" s="217"/>
      <c r="M70" s="217"/>
      <c r="N70" s="267"/>
      <c r="O70" s="172"/>
      <c r="P70" s="217"/>
      <c r="Q70" s="443"/>
      <c r="S70" s="268"/>
      <c r="T70" s="268"/>
      <c r="U70" s="268"/>
      <c r="AJ70" s="443"/>
      <c r="AZ70" s="269"/>
      <c r="BJ70" s="219"/>
      <c r="BK70" s="219"/>
      <c r="BL70" s="219"/>
      <c r="BO70" s="172"/>
      <c r="BP70" s="219"/>
      <c r="BQ70" s="270"/>
      <c r="BR70" s="271"/>
      <c r="BS70" s="219"/>
      <c r="BT70" s="272"/>
      <c r="BX70" s="219"/>
      <c r="BY70" s="219"/>
      <c r="BZ70" s="172"/>
      <c r="CA70" s="172"/>
      <c r="CB70" s="172"/>
      <c r="CC70" s="172"/>
    </row>
    <row r="71" spans="6:81">
      <c r="H71" s="170">
        <v>65</v>
      </c>
      <c r="I71" s="456">
        <f t="shared" si="3"/>
        <v>1.625</v>
      </c>
      <c r="J71" s="217"/>
      <c r="K71" s="217"/>
      <c r="L71" s="217"/>
      <c r="M71" s="217"/>
      <c r="N71" s="267"/>
      <c r="O71" s="172"/>
      <c r="P71" s="217"/>
      <c r="Q71" s="443"/>
      <c r="S71" s="268"/>
      <c r="T71" s="268"/>
      <c r="U71" s="268"/>
      <c r="AJ71" s="443"/>
      <c r="AZ71" s="269"/>
      <c r="BJ71" s="219"/>
      <c r="BK71" s="219"/>
      <c r="BL71" s="219"/>
      <c r="BO71" s="172"/>
      <c r="BP71" s="219"/>
      <c r="BQ71" s="270"/>
      <c r="BR71" s="271"/>
      <c r="BS71" s="219"/>
      <c r="BT71" s="272"/>
      <c r="BX71" s="219"/>
      <c r="BY71" s="219"/>
      <c r="BZ71" s="172"/>
      <c r="CA71" s="172"/>
      <c r="CB71" s="172"/>
      <c r="CC71" s="172"/>
    </row>
    <row r="72" spans="6:81">
      <c r="H72" s="170">
        <v>66</v>
      </c>
      <c r="I72" s="456">
        <f t="shared" si="3"/>
        <v>1.6500000000000001</v>
      </c>
      <c r="J72" s="217"/>
      <c r="K72" s="217"/>
      <c r="L72" s="217"/>
      <c r="M72" s="217"/>
      <c r="N72" s="267"/>
      <c r="O72" s="172"/>
      <c r="P72" s="217"/>
      <c r="Q72" s="443"/>
      <c r="S72" s="268"/>
      <c r="T72" s="268"/>
      <c r="U72" s="268"/>
      <c r="AJ72" s="443"/>
      <c r="AZ72" s="269"/>
      <c r="BJ72" s="219"/>
      <c r="BK72" s="219"/>
      <c r="BL72" s="219"/>
      <c r="BO72" s="172"/>
      <c r="BP72" s="219"/>
      <c r="BQ72" s="270"/>
      <c r="BR72" s="271"/>
      <c r="BS72" s="219"/>
      <c r="BT72" s="272"/>
      <c r="BX72" s="219"/>
      <c r="BY72" s="219"/>
      <c r="BZ72" s="172"/>
      <c r="CA72" s="172"/>
      <c r="CB72" s="172"/>
      <c r="CC72" s="172"/>
    </row>
    <row r="73" spans="6:81">
      <c r="H73" s="170">
        <v>67</v>
      </c>
      <c r="I73" s="456">
        <f t="shared" si="3"/>
        <v>1.675</v>
      </c>
      <c r="J73" s="217"/>
      <c r="K73" s="217"/>
      <c r="L73" s="217"/>
      <c r="M73" s="217"/>
      <c r="N73" s="267"/>
      <c r="O73" s="172"/>
      <c r="P73" s="217"/>
      <c r="Q73" s="443"/>
      <c r="S73" s="268"/>
      <c r="T73" s="268"/>
      <c r="U73" s="268"/>
      <c r="AJ73" s="443"/>
      <c r="AZ73" s="269"/>
      <c r="BJ73" s="219"/>
      <c r="BK73" s="219"/>
      <c r="BL73" s="219"/>
      <c r="BO73" s="172"/>
      <c r="BP73" s="219"/>
      <c r="BQ73" s="270"/>
      <c r="BR73" s="271"/>
      <c r="BS73" s="219"/>
      <c r="BT73" s="272"/>
      <c r="BX73" s="219"/>
      <c r="BY73" s="219"/>
      <c r="BZ73" s="172"/>
      <c r="CA73" s="172"/>
      <c r="CB73" s="172"/>
      <c r="CC73" s="172"/>
    </row>
    <row r="74" spans="6:81">
      <c r="H74" s="170">
        <v>68</v>
      </c>
      <c r="I74" s="456">
        <f t="shared" si="3"/>
        <v>1.7000000000000002</v>
      </c>
      <c r="J74" s="217"/>
      <c r="K74" s="217"/>
      <c r="L74" s="217"/>
      <c r="M74" s="217"/>
      <c r="N74" s="267"/>
      <c r="O74" s="172"/>
      <c r="P74" s="217"/>
      <c r="Q74" s="443"/>
      <c r="S74" s="268"/>
      <c r="T74" s="268"/>
      <c r="U74" s="268"/>
      <c r="AJ74" s="443"/>
      <c r="AZ74" s="269"/>
      <c r="BJ74" s="219"/>
      <c r="BK74" s="219"/>
      <c r="BL74" s="219"/>
      <c r="BO74" s="172"/>
      <c r="BP74" s="219"/>
      <c r="BQ74" s="270"/>
      <c r="BR74" s="271"/>
      <c r="BS74" s="219"/>
      <c r="BT74" s="272"/>
      <c r="BX74" s="219"/>
      <c r="BY74" s="219"/>
      <c r="BZ74" s="172"/>
      <c r="CA74" s="172"/>
      <c r="CB74" s="172"/>
      <c r="CC74" s="172"/>
    </row>
    <row r="75" spans="6:81">
      <c r="H75" s="170">
        <v>69</v>
      </c>
      <c r="I75" s="456">
        <f t="shared" si="3"/>
        <v>1.7249999999999999</v>
      </c>
      <c r="J75" s="217"/>
      <c r="K75" s="217"/>
      <c r="L75" s="217"/>
      <c r="M75" s="217"/>
      <c r="N75" s="267"/>
      <c r="O75" s="172"/>
      <c r="P75" s="217"/>
      <c r="Q75" s="443"/>
      <c r="S75" s="268"/>
      <c r="T75" s="268"/>
      <c r="U75" s="268"/>
      <c r="AJ75" s="443"/>
      <c r="AZ75" s="269"/>
      <c r="BJ75" s="219"/>
      <c r="BK75" s="219"/>
      <c r="BL75" s="219"/>
      <c r="BO75" s="172"/>
      <c r="BP75" s="219"/>
      <c r="BQ75" s="270"/>
      <c r="BR75" s="271"/>
      <c r="BS75" s="219"/>
      <c r="BT75" s="272"/>
      <c r="BX75" s="219"/>
      <c r="BY75" s="219"/>
      <c r="BZ75" s="172"/>
      <c r="CA75" s="172"/>
      <c r="CB75" s="172"/>
      <c r="CC75" s="172"/>
    </row>
    <row r="76" spans="6:81">
      <c r="H76" s="170">
        <v>70</v>
      </c>
      <c r="I76" s="456">
        <f t="shared" si="3"/>
        <v>1.75</v>
      </c>
      <c r="J76" s="217"/>
      <c r="K76" s="217"/>
      <c r="L76" s="217"/>
      <c r="M76" s="217"/>
      <c r="N76" s="267"/>
      <c r="O76" s="172"/>
      <c r="P76" s="217"/>
      <c r="Q76" s="443"/>
      <c r="S76" s="268"/>
      <c r="T76" s="268"/>
      <c r="U76" s="268"/>
      <c r="AJ76" s="443"/>
      <c r="AZ76" s="269"/>
      <c r="BJ76" s="219"/>
      <c r="BK76" s="219"/>
      <c r="BL76" s="219"/>
      <c r="BO76" s="172"/>
      <c r="BP76" s="219"/>
      <c r="BQ76" s="270"/>
      <c r="BR76" s="271"/>
      <c r="BS76" s="219"/>
      <c r="BT76" s="272"/>
      <c r="BX76" s="219"/>
      <c r="BY76" s="219"/>
      <c r="BZ76" s="172"/>
      <c r="CA76" s="172"/>
      <c r="CB76" s="172"/>
      <c r="CC76" s="172"/>
    </row>
    <row r="77" spans="6:81">
      <c r="H77" s="170">
        <v>71</v>
      </c>
      <c r="I77" s="456">
        <f t="shared" si="3"/>
        <v>1.7749999999999999</v>
      </c>
      <c r="J77" s="217"/>
      <c r="K77" s="217"/>
      <c r="L77" s="217"/>
      <c r="M77" s="217"/>
      <c r="N77" s="267"/>
      <c r="O77" s="172"/>
      <c r="P77" s="217"/>
      <c r="Q77" s="443"/>
      <c r="S77" s="268"/>
      <c r="T77" s="268"/>
      <c r="U77" s="268"/>
      <c r="AJ77" s="443"/>
      <c r="AZ77" s="269"/>
      <c r="BJ77" s="219"/>
      <c r="BK77" s="219"/>
      <c r="BL77" s="219"/>
      <c r="BO77" s="172"/>
      <c r="BP77" s="219"/>
      <c r="BQ77" s="270"/>
      <c r="BR77" s="271"/>
      <c r="BS77" s="219"/>
      <c r="BT77" s="272"/>
      <c r="BX77" s="219"/>
      <c r="BY77" s="219"/>
      <c r="BZ77" s="172"/>
      <c r="CA77" s="172"/>
      <c r="CB77" s="172"/>
      <c r="CC77" s="172"/>
    </row>
    <row r="78" spans="6:81">
      <c r="H78" s="170">
        <v>72</v>
      </c>
      <c r="I78" s="456">
        <f t="shared" si="3"/>
        <v>1.7999999999999998</v>
      </c>
      <c r="J78" s="217"/>
      <c r="K78" s="217"/>
      <c r="L78" s="217"/>
      <c r="M78" s="217"/>
      <c r="N78" s="267"/>
      <c r="O78" s="172"/>
      <c r="P78" s="217"/>
      <c r="Q78" s="443"/>
      <c r="S78" s="268"/>
      <c r="T78" s="268"/>
      <c r="U78" s="268"/>
      <c r="AJ78" s="443"/>
      <c r="AZ78" s="269"/>
      <c r="BJ78" s="219"/>
      <c r="BK78" s="219"/>
      <c r="BL78" s="219"/>
      <c r="BO78" s="172"/>
      <c r="BP78" s="219"/>
      <c r="BQ78" s="270"/>
      <c r="BR78" s="271"/>
      <c r="BS78" s="219"/>
      <c r="BT78" s="272"/>
      <c r="BX78" s="219"/>
      <c r="BY78" s="219"/>
      <c r="BZ78" s="172"/>
      <c r="CA78" s="172"/>
      <c r="CB78" s="172"/>
      <c r="CC78" s="172"/>
    </row>
    <row r="79" spans="6:81">
      <c r="H79" s="170">
        <v>73</v>
      </c>
      <c r="I79" s="456">
        <f t="shared" si="3"/>
        <v>1.825</v>
      </c>
      <c r="J79" s="217"/>
      <c r="K79" s="217"/>
      <c r="L79" s="217"/>
      <c r="M79" s="217"/>
      <c r="N79" s="267"/>
      <c r="O79" s="172"/>
      <c r="P79" s="217"/>
      <c r="Q79" s="443"/>
      <c r="S79" s="268"/>
      <c r="T79" s="268"/>
      <c r="U79" s="268"/>
      <c r="AJ79" s="443"/>
      <c r="AZ79" s="269"/>
      <c r="BJ79" s="219"/>
      <c r="BK79" s="219"/>
      <c r="BL79" s="219"/>
      <c r="BO79" s="172"/>
      <c r="BP79" s="219"/>
      <c r="BQ79" s="270"/>
      <c r="BR79" s="271"/>
      <c r="BS79" s="219"/>
      <c r="BT79" s="272"/>
      <c r="BX79" s="219"/>
      <c r="BY79" s="219"/>
      <c r="BZ79" s="172"/>
      <c r="CA79" s="172"/>
      <c r="CB79" s="172"/>
      <c r="CC79" s="172"/>
    </row>
    <row r="80" spans="6:81">
      <c r="H80" s="170">
        <v>74</v>
      </c>
      <c r="I80" s="456">
        <f t="shared" si="3"/>
        <v>1.85</v>
      </c>
      <c r="J80" s="217"/>
      <c r="K80" s="217"/>
      <c r="L80" s="217"/>
      <c r="M80" s="217"/>
      <c r="N80" s="267"/>
      <c r="O80" s="172"/>
      <c r="P80" s="217"/>
      <c r="Q80" s="443"/>
      <c r="S80" s="268"/>
      <c r="T80" s="268"/>
      <c r="U80" s="268"/>
      <c r="AJ80" s="443"/>
      <c r="AZ80" s="269"/>
      <c r="BJ80" s="219"/>
      <c r="BK80" s="219"/>
      <c r="BL80" s="219"/>
      <c r="BO80" s="172"/>
      <c r="BP80" s="219"/>
      <c r="BQ80" s="270"/>
      <c r="BR80" s="271"/>
      <c r="BS80" s="219"/>
      <c r="BT80" s="272"/>
      <c r="BX80" s="219"/>
      <c r="BY80" s="219"/>
      <c r="BZ80" s="172"/>
      <c r="CA80" s="172"/>
      <c r="CB80" s="172"/>
      <c r="CC80" s="172"/>
    </row>
    <row r="81" spans="6:81">
      <c r="H81" s="170">
        <v>75</v>
      </c>
      <c r="I81" s="456">
        <f t="shared" si="3"/>
        <v>1.875</v>
      </c>
      <c r="J81" s="217"/>
      <c r="K81" s="217"/>
      <c r="L81" s="217"/>
      <c r="M81" s="217"/>
      <c r="N81" s="267"/>
      <c r="O81" s="172"/>
      <c r="P81" s="217"/>
      <c r="Q81" s="443"/>
      <c r="S81" s="268"/>
      <c r="T81" s="268"/>
      <c r="U81" s="268"/>
      <c r="AJ81" s="443"/>
      <c r="AZ81" s="269"/>
      <c r="BJ81" s="219"/>
      <c r="BK81" s="219"/>
      <c r="BL81" s="219"/>
      <c r="BO81" s="172"/>
      <c r="BP81" s="219"/>
      <c r="BQ81" s="270"/>
      <c r="BR81" s="271"/>
      <c r="BS81" s="219"/>
      <c r="BT81" s="272"/>
      <c r="BX81" s="219"/>
      <c r="BY81" s="219"/>
      <c r="BZ81" s="172"/>
      <c r="CA81" s="172"/>
      <c r="CB81" s="172"/>
      <c r="CC81" s="172"/>
    </row>
    <row r="82" spans="6:81">
      <c r="H82" s="170">
        <v>76</v>
      </c>
      <c r="I82" s="456">
        <f t="shared" si="3"/>
        <v>1.9</v>
      </c>
      <c r="J82" s="217"/>
      <c r="K82" s="217"/>
      <c r="L82" s="217"/>
      <c r="M82" s="217"/>
      <c r="N82" s="267"/>
      <c r="O82" s="172"/>
      <c r="P82" s="217"/>
      <c r="Q82" s="443"/>
      <c r="S82" s="268"/>
      <c r="T82" s="268"/>
      <c r="U82" s="268"/>
      <c r="AJ82" s="443"/>
      <c r="AZ82" s="269"/>
      <c r="BJ82" s="219"/>
      <c r="BK82" s="219"/>
      <c r="BL82" s="219"/>
      <c r="BO82" s="172"/>
      <c r="BP82" s="219"/>
      <c r="BQ82" s="270"/>
      <c r="BR82" s="271"/>
      <c r="BS82" s="219"/>
      <c r="BT82" s="272"/>
      <c r="BX82" s="219"/>
      <c r="BY82" s="219"/>
      <c r="BZ82" s="172"/>
      <c r="CA82" s="172"/>
      <c r="CB82" s="172"/>
      <c r="CC82" s="172"/>
    </row>
    <row r="83" spans="6:81">
      <c r="H83" s="170">
        <v>77</v>
      </c>
      <c r="I83" s="456">
        <f t="shared" si="3"/>
        <v>1.925</v>
      </c>
      <c r="J83" s="217"/>
      <c r="K83" s="217"/>
      <c r="L83" s="217"/>
      <c r="M83" s="217"/>
      <c r="N83" s="267"/>
      <c r="O83" s="172"/>
      <c r="P83" s="217"/>
      <c r="Q83" s="443"/>
      <c r="S83" s="268"/>
      <c r="T83" s="268"/>
      <c r="U83" s="268"/>
      <c r="AJ83" s="443"/>
      <c r="AZ83" s="269"/>
      <c r="BJ83" s="219"/>
      <c r="BK83" s="219"/>
      <c r="BL83" s="219"/>
      <c r="BO83" s="172"/>
      <c r="BP83" s="219"/>
      <c r="BQ83" s="270"/>
      <c r="BR83" s="271"/>
      <c r="BS83" s="219"/>
      <c r="BT83" s="272"/>
      <c r="BX83" s="219"/>
      <c r="BY83" s="219"/>
      <c r="BZ83" s="172"/>
      <c r="CA83" s="172"/>
      <c r="CB83" s="172"/>
      <c r="CC83" s="172"/>
    </row>
    <row r="84" spans="6:81">
      <c r="H84" s="170">
        <v>78</v>
      </c>
      <c r="I84" s="456">
        <f t="shared" si="3"/>
        <v>1.9500000000000002</v>
      </c>
      <c r="J84" s="217"/>
      <c r="K84" s="217"/>
      <c r="L84" s="217"/>
      <c r="M84" s="217"/>
      <c r="N84" s="267"/>
      <c r="O84" s="172"/>
      <c r="P84" s="217"/>
      <c r="Q84" s="443"/>
      <c r="S84" s="268"/>
      <c r="T84" s="268"/>
      <c r="U84" s="268"/>
      <c r="AJ84" s="443"/>
      <c r="AZ84" s="269"/>
      <c r="BJ84" s="219"/>
      <c r="BK84" s="219"/>
      <c r="BL84" s="219"/>
      <c r="BO84" s="172"/>
      <c r="BP84" s="219"/>
      <c r="BQ84" s="270"/>
      <c r="BR84" s="271"/>
      <c r="BS84" s="219"/>
      <c r="BT84" s="272"/>
      <c r="BX84" s="219"/>
      <c r="BY84" s="219"/>
      <c r="BZ84" s="172"/>
      <c r="CA84" s="172"/>
      <c r="CB84" s="172"/>
      <c r="CC84" s="172"/>
    </row>
    <row r="85" spans="6:81">
      <c r="H85" s="170">
        <v>79</v>
      </c>
      <c r="I85" s="456">
        <f t="shared" si="3"/>
        <v>1.9750000000000001</v>
      </c>
      <c r="J85" s="217"/>
      <c r="K85" s="217"/>
      <c r="L85" s="217"/>
      <c r="M85" s="217"/>
      <c r="N85" s="267"/>
      <c r="O85" s="172"/>
      <c r="P85" s="217"/>
      <c r="Q85" s="443"/>
      <c r="S85" s="268"/>
      <c r="T85" s="268"/>
      <c r="U85" s="268"/>
      <c r="AJ85" s="443"/>
      <c r="AZ85" s="269"/>
      <c r="BJ85" s="219"/>
      <c r="BK85" s="219"/>
      <c r="BL85" s="219"/>
      <c r="BO85" s="172"/>
      <c r="BP85" s="219"/>
      <c r="BQ85" s="270"/>
      <c r="BR85" s="271"/>
      <c r="BS85" s="219"/>
      <c r="BT85" s="272"/>
      <c r="BX85" s="219"/>
      <c r="BY85" s="219"/>
      <c r="BZ85" s="172"/>
      <c r="CA85" s="172"/>
      <c r="CB85" s="172"/>
      <c r="CC85" s="172"/>
    </row>
    <row r="86" spans="6:81">
      <c r="H86" s="170">
        <v>80</v>
      </c>
      <c r="I86" s="456">
        <f t="shared" si="3"/>
        <v>2</v>
      </c>
      <c r="J86" s="217"/>
      <c r="K86" s="217"/>
      <c r="L86" s="217"/>
      <c r="M86" s="217"/>
      <c r="N86" s="267"/>
      <c r="O86" s="172"/>
      <c r="P86" s="217"/>
      <c r="Q86" s="443"/>
      <c r="S86" s="268"/>
      <c r="T86" s="268"/>
      <c r="U86" s="268"/>
      <c r="AJ86" s="443"/>
      <c r="AZ86" s="269"/>
      <c r="BJ86" s="219"/>
      <c r="BK86" s="219"/>
      <c r="BL86" s="219"/>
      <c r="BO86" s="172"/>
      <c r="BP86" s="219"/>
      <c r="BQ86" s="270"/>
      <c r="BR86" s="271"/>
      <c r="BS86" s="219"/>
      <c r="BT86" s="272"/>
      <c r="BX86" s="219"/>
      <c r="BY86" s="219"/>
      <c r="BZ86" s="172"/>
      <c r="CA86" s="172"/>
      <c r="CB86" s="172"/>
      <c r="CC86" s="172"/>
    </row>
    <row r="87" spans="6:81">
      <c r="H87" s="170">
        <v>81</v>
      </c>
      <c r="I87" s="456">
        <f t="shared" si="3"/>
        <v>2.0250000000000004</v>
      </c>
      <c r="J87" s="217"/>
      <c r="K87" s="217"/>
      <c r="L87" s="217"/>
      <c r="M87" s="217"/>
      <c r="N87" s="267"/>
      <c r="O87" s="172"/>
      <c r="P87" s="217"/>
      <c r="Q87" s="443"/>
      <c r="S87" s="268"/>
      <c r="T87" s="268"/>
      <c r="U87" s="268"/>
      <c r="AJ87" s="443"/>
      <c r="AZ87" s="269"/>
      <c r="BJ87" s="219"/>
      <c r="BK87" s="219"/>
      <c r="BL87" s="219"/>
      <c r="BO87" s="172"/>
      <c r="BP87" s="219"/>
      <c r="BQ87" s="270"/>
      <c r="BR87" s="271"/>
      <c r="BS87" s="219"/>
      <c r="BT87" s="272"/>
      <c r="BX87" s="219"/>
      <c r="BY87" s="219"/>
      <c r="BZ87" s="172"/>
      <c r="CA87" s="172"/>
      <c r="CB87" s="172"/>
      <c r="CC87" s="172"/>
    </row>
    <row r="88" spans="6:81" ht="13">
      <c r="F88" s="325" t="s">
        <v>274</v>
      </c>
      <c r="G88" s="325" t="s">
        <v>275</v>
      </c>
      <c r="H88" s="170">
        <v>82</v>
      </c>
      <c r="I88" s="456">
        <f t="shared" si="3"/>
        <v>2.0499999999999998</v>
      </c>
      <c r="J88" s="217"/>
      <c r="K88" s="217"/>
      <c r="L88" s="217"/>
      <c r="M88" s="217"/>
      <c r="N88" s="267"/>
      <c r="O88" s="172"/>
      <c r="P88" s="217"/>
      <c r="Q88" s="443"/>
      <c r="S88" s="268"/>
      <c r="T88" s="268"/>
      <c r="U88" s="268"/>
      <c r="AJ88" s="443"/>
      <c r="AZ88" s="269"/>
      <c r="BJ88" s="219"/>
      <c r="BK88" s="219"/>
      <c r="BL88" s="219"/>
      <c r="BO88" s="172"/>
      <c r="BP88" s="219"/>
      <c r="BQ88" s="270"/>
      <c r="BR88" s="271"/>
      <c r="BS88" s="219"/>
      <c r="BT88" s="272"/>
      <c r="BX88" s="219"/>
      <c r="BY88" s="219"/>
      <c r="BZ88" s="172"/>
      <c r="CA88" s="172"/>
      <c r="CB88" s="172"/>
      <c r="CC88" s="172"/>
    </row>
    <row r="89" spans="6:81">
      <c r="F89" s="326">
        <f>BO51</f>
        <v>0</v>
      </c>
      <c r="G89" s="327">
        <f>I56*1000</f>
        <v>1250</v>
      </c>
      <c r="H89" s="170">
        <v>83</v>
      </c>
      <c r="I89" s="456">
        <f t="shared" si="3"/>
        <v>2.0749999999999997</v>
      </c>
      <c r="J89" s="217"/>
      <c r="K89" s="217"/>
      <c r="L89" s="217"/>
      <c r="M89" s="217"/>
      <c r="N89" s="267"/>
      <c r="O89" s="172"/>
      <c r="P89" s="217"/>
      <c r="Q89" s="443"/>
      <c r="S89" s="268"/>
      <c r="T89" s="268"/>
      <c r="U89" s="268"/>
      <c r="AJ89" s="443"/>
      <c r="AZ89" s="269"/>
      <c r="BJ89" s="219"/>
      <c r="BK89" s="219"/>
      <c r="BL89" s="219"/>
      <c r="BO89" s="172"/>
      <c r="BP89" s="219"/>
      <c r="BQ89" s="270"/>
      <c r="BR89" s="271"/>
      <c r="BS89" s="219"/>
      <c r="BT89" s="272"/>
      <c r="BX89" s="219"/>
      <c r="BY89" s="219"/>
      <c r="BZ89" s="172"/>
      <c r="CA89" s="172"/>
      <c r="CB89" s="172"/>
      <c r="CC89" s="172"/>
    </row>
    <row r="90" spans="6:81">
      <c r="F90" s="326">
        <f>BO81</f>
        <v>0</v>
      </c>
      <c r="G90" s="327">
        <f>I81*1000</f>
        <v>1875</v>
      </c>
      <c r="H90" s="170">
        <v>84</v>
      </c>
      <c r="I90" s="456">
        <f t="shared" si="3"/>
        <v>2.1</v>
      </c>
      <c r="J90" s="217"/>
      <c r="K90" s="217"/>
      <c r="L90" s="217"/>
      <c r="M90" s="217"/>
      <c r="N90" s="267"/>
      <c r="O90" s="172"/>
      <c r="P90" s="217"/>
      <c r="Q90" s="443"/>
      <c r="S90" s="268"/>
      <c r="T90" s="268"/>
      <c r="U90" s="268"/>
      <c r="AJ90" s="443"/>
      <c r="AZ90" s="269"/>
      <c r="BJ90" s="219"/>
      <c r="BK90" s="219"/>
      <c r="BL90" s="219"/>
      <c r="BO90" s="172"/>
      <c r="BP90" s="219"/>
      <c r="BQ90" s="270"/>
      <c r="BR90" s="271"/>
      <c r="BS90" s="219"/>
      <c r="BT90" s="272"/>
      <c r="BX90" s="219"/>
      <c r="BY90" s="219"/>
      <c r="BZ90" s="172"/>
      <c r="CA90" s="172"/>
      <c r="CB90" s="172"/>
      <c r="CC90" s="172"/>
    </row>
    <row r="91" spans="6:81">
      <c r="F91" s="326">
        <f>BO106</f>
        <v>88.698181382326453</v>
      </c>
      <c r="G91" s="327">
        <f>I106*1000</f>
        <v>2500</v>
      </c>
      <c r="H91" s="170">
        <v>85</v>
      </c>
      <c r="I91" s="456">
        <f t="shared" si="3"/>
        <v>2.125</v>
      </c>
      <c r="J91" s="217"/>
      <c r="K91" s="217"/>
      <c r="L91" s="217"/>
      <c r="M91" s="217"/>
      <c r="N91" s="267"/>
      <c r="O91" s="172"/>
      <c r="P91" s="217"/>
      <c r="Q91" s="443"/>
      <c r="S91" s="268"/>
      <c r="T91" s="268"/>
      <c r="U91" s="268"/>
      <c r="AJ91" s="443"/>
      <c r="AZ91" s="269"/>
      <c r="BJ91" s="219"/>
      <c r="BK91" s="219"/>
      <c r="BL91" s="219"/>
      <c r="BO91" s="172"/>
      <c r="BP91" s="219"/>
      <c r="BQ91" s="270"/>
      <c r="BR91" s="271"/>
      <c r="BS91" s="219"/>
      <c r="BT91" s="272"/>
      <c r="BX91" s="219"/>
      <c r="BY91" s="219"/>
      <c r="BZ91" s="172"/>
      <c r="CA91" s="172"/>
      <c r="CB91" s="172"/>
      <c r="CC91" s="172"/>
    </row>
    <row r="92" spans="6:81">
      <c r="H92" s="170">
        <v>86</v>
      </c>
      <c r="I92" s="456">
        <f t="shared" si="3"/>
        <v>2.15</v>
      </c>
      <c r="J92" s="217"/>
      <c r="K92" s="217"/>
      <c r="L92" s="217"/>
      <c r="M92" s="217"/>
      <c r="N92" s="267"/>
      <c r="O92" s="172"/>
      <c r="P92" s="217"/>
      <c r="Q92" s="443"/>
      <c r="S92" s="268"/>
      <c r="T92" s="268"/>
      <c r="U92" s="268"/>
      <c r="AJ92" s="443"/>
      <c r="AZ92" s="269"/>
      <c r="BJ92" s="219"/>
      <c r="BK92" s="219"/>
      <c r="BL92" s="219"/>
      <c r="BO92" s="172"/>
      <c r="BP92" s="219"/>
      <c r="BQ92" s="270"/>
      <c r="BR92" s="271"/>
      <c r="BS92" s="219"/>
      <c r="BT92" s="272"/>
      <c r="BX92" s="219"/>
      <c r="BY92" s="219"/>
      <c r="BZ92" s="172"/>
      <c r="CA92" s="172"/>
      <c r="CB92" s="172"/>
      <c r="CC92" s="172"/>
    </row>
    <row r="93" spans="6:81">
      <c r="H93" s="170">
        <v>87</v>
      </c>
      <c r="I93" s="456">
        <f t="shared" si="3"/>
        <v>2.1749999999999998</v>
      </c>
      <c r="J93" s="217"/>
      <c r="K93" s="217"/>
      <c r="L93" s="217"/>
      <c r="M93" s="217"/>
      <c r="N93" s="267"/>
      <c r="O93" s="172"/>
      <c r="P93" s="217"/>
      <c r="Q93" s="443"/>
      <c r="S93" s="268"/>
      <c r="T93" s="268"/>
      <c r="U93" s="268"/>
      <c r="AJ93" s="443"/>
      <c r="AZ93" s="269"/>
      <c r="BJ93" s="219"/>
      <c r="BK93" s="219"/>
      <c r="BL93" s="219"/>
      <c r="BO93" s="172"/>
      <c r="BP93" s="219"/>
      <c r="BQ93" s="270"/>
      <c r="BR93" s="271"/>
      <c r="BS93" s="219"/>
      <c r="BT93" s="272"/>
      <c r="BX93" s="219"/>
      <c r="BY93" s="219"/>
      <c r="BZ93" s="172"/>
      <c r="CA93" s="172"/>
      <c r="CB93" s="172"/>
      <c r="CC93" s="172"/>
    </row>
    <row r="94" spans="6:81">
      <c r="H94" s="170">
        <v>88</v>
      </c>
      <c r="I94" s="456">
        <f t="shared" si="3"/>
        <v>2.2000000000000002</v>
      </c>
      <c r="J94" s="217"/>
      <c r="K94" s="217"/>
      <c r="L94" s="217"/>
      <c r="M94" s="217"/>
      <c r="N94" s="267"/>
      <c r="O94" s="172"/>
      <c r="P94" s="217"/>
      <c r="Q94" s="443"/>
      <c r="S94" s="268"/>
      <c r="T94" s="268"/>
      <c r="U94" s="268"/>
      <c r="AJ94" s="443"/>
      <c r="AZ94" s="269"/>
      <c r="BJ94" s="219"/>
      <c r="BK94" s="219"/>
      <c r="BL94" s="219"/>
      <c r="BO94" s="172"/>
      <c r="BP94" s="219"/>
      <c r="BQ94" s="270"/>
      <c r="BR94" s="271"/>
      <c r="BS94" s="219"/>
      <c r="BT94" s="272"/>
      <c r="BX94" s="219"/>
      <c r="BY94" s="219"/>
      <c r="BZ94" s="172"/>
      <c r="CA94" s="172"/>
      <c r="CB94" s="172"/>
      <c r="CC94" s="172"/>
    </row>
    <row r="95" spans="6:81">
      <c r="H95" s="170">
        <v>89</v>
      </c>
      <c r="I95" s="456">
        <f t="shared" si="3"/>
        <v>2.2250000000000001</v>
      </c>
      <c r="J95" s="217"/>
      <c r="K95" s="217"/>
      <c r="L95" s="217"/>
      <c r="M95" s="217"/>
      <c r="N95" s="267"/>
      <c r="O95" s="172"/>
      <c r="P95" s="217"/>
      <c r="Q95" s="443"/>
      <c r="S95" s="268"/>
      <c r="T95" s="268"/>
      <c r="U95" s="268"/>
      <c r="AJ95" s="443"/>
      <c r="AZ95" s="269"/>
      <c r="BJ95" s="219"/>
      <c r="BK95" s="219"/>
      <c r="BL95" s="219"/>
      <c r="BO95" s="172"/>
      <c r="BP95" s="219"/>
      <c r="BQ95" s="270"/>
      <c r="BR95" s="271"/>
      <c r="BS95" s="219"/>
      <c r="BT95" s="272"/>
      <c r="BX95" s="219"/>
      <c r="BY95" s="219"/>
      <c r="BZ95" s="172"/>
      <c r="CA95" s="172"/>
      <c r="CB95" s="172"/>
      <c r="CC95" s="172"/>
    </row>
    <row r="96" spans="6:81">
      <c r="H96" s="170">
        <v>90</v>
      </c>
      <c r="I96" s="456">
        <f t="shared" si="3"/>
        <v>2.25</v>
      </c>
      <c r="J96" s="217"/>
      <c r="K96" s="217"/>
      <c r="L96" s="217"/>
      <c r="M96" s="217"/>
      <c r="N96" s="267"/>
      <c r="O96" s="172"/>
      <c r="P96" s="217"/>
      <c r="Q96" s="443"/>
      <c r="S96" s="268"/>
      <c r="T96" s="268"/>
      <c r="U96" s="268"/>
      <c r="AJ96" s="443"/>
      <c r="AZ96" s="269"/>
      <c r="BJ96" s="219"/>
      <c r="BK96" s="219"/>
      <c r="BL96" s="219"/>
      <c r="BO96" s="172"/>
      <c r="BP96" s="219"/>
      <c r="BQ96" s="270"/>
      <c r="BR96" s="271"/>
      <c r="BS96" s="219"/>
      <c r="BT96" s="272"/>
      <c r="BX96" s="219"/>
      <c r="BY96" s="219"/>
      <c r="BZ96" s="172"/>
      <c r="CA96" s="172"/>
      <c r="CB96" s="172"/>
      <c r="CC96" s="172"/>
    </row>
    <row r="97" spans="8:81">
      <c r="H97" s="170">
        <v>91</v>
      </c>
      <c r="I97" s="456">
        <f t="shared" si="3"/>
        <v>2.2749999999999999</v>
      </c>
      <c r="J97" s="217"/>
      <c r="K97" s="217"/>
      <c r="L97" s="217"/>
      <c r="M97" s="217"/>
      <c r="N97" s="267"/>
      <c r="O97" s="172"/>
      <c r="P97" s="217"/>
      <c r="Q97" s="443"/>
      <c r="S97" s="268"/>
      <c r="T97" s="268"/>
      <c r="U97" s="268"/>
      <c r="AJ97" s="443"/>
      <c r="AZ97" s="269"/>
      <c r="BJ97" s="219"/>
      <c r="BK97" s="219"/>
      <c r="BL97" s="219"/>
      <c r="BO97" s="172"/>
      <c r="BP97" s="219"/>
      <c r="BQ97" s="270"/>
      <c r="BR97" s="271"/>
      <c r="BS97" s="219"/>
      <c r="BT97" s="272"/>
      <c r="BX97" s="219"/>
      <c r="BY97" s="219"/>
      <c r="BZ97" s="172"/>
      <c r="CA97" s="172"/>
      <c r="CB97" s="172"/>
      <c r="CC97" s="172"/>
    </row>
    <row r="98" spans="8:81">
      <c r="H98" s="170">
        <v>92</v>
      </c>
      <c r="I98" s="456">
        <f t="shared" si="3"/>
        <v>2.3000000000000003</v>
      </c>
      <c r="J98" s="217"/>
      <c r="K98" s="217"/>
      <c r="L98" s="217"/>
      <c r="M98" s="217"/>
      <c r="N98" s="267"/>
      <c r="O98" s="172"/>
      <c r="P98" s="217"/>
      <c r="Q98" s="443"/>
      <c r="S98" s="268"/>
      <c r="T98" s="268"/>
      <c r="U98" s="268"/>
      <c r="AJ98" s="443"/>
      <c r="AZ98" s="269"/>
      <c r="BJ98" s="219"/>
      <c r="BK98" s="219"/>
      <c r="BL98" s="219"/>
      <c r="BO98" s="172"/>
      <c r="BP98" s="219"/>
      <c r="BQ98" s="270"/>
      <c r="BR98" s="271"/>
      <c r="BS98" s="219"/>
      <c r="BT98" s="272"/>
      <c r="BX98" s="219"/>
      <c r="BY98" s="219"/>
      <c r="BZ98" s="172"/>
      <c r="CA98" s="172"/>
      <c r="CB98" s="172"/>
      <c r="CC98" s="172"/>
    </row>
    <row r="99" spans="8:81">
      <c r="H99" s="170">
        <v>93</v>
      </c>
      <c r="I99" s="456">
        <f t="shared" si="3"/>
        <v>2.3250000000000002</v>
      </c>
      <c r="J99" s="217"/>
      <c r="K99" s="217"/>
      <c r="L99" s="217"/>
      <c r="M99" s="217"/>
      <c r="N99" s="267"/>
      <c r="O99" s="172"/>
      <c r="P99" s="217"/>
      <c r="Q99" s="443"/>
      <c r="S99" s="268"/>
      <c r="T99" s="268"/>
      <c r="U99" s="268"/>
      <c r="AJ99" s="443"/>
      <c r="AZ99" s="269"/>
      <c r="BJ99" s="219"/>
      <c r="BK99" s="219"/>
      <c r="BL99" s="219"/>
      <c r="BO99" s="172"/>
      <c r="BP99" s="219"/>
      <c r="BQ99" s="270"/>
      <c r="BR99" s="271"/>
      <c r="BS99" s="219"/>
      <c r="BT99" s="272"/>
      <c r="BX99" s="219"/>
      <c r="BY99" s="219"/>
      <c r="BZ99" s="172"/>
      <c r="CA99" s="172"/>
      <c r="CB99" s="172"/>
      <c r="CC99" s="172"/>
    </row>
    <row r="100" spans="8:81">
      <c r="H100" s="170">
        <v>94</v>
      </c>
      <c r="I100" s="456">
        <f t="shared" si="3"/>
        <v>2.3499999999999996</v>
      </c>
      <c r="J100" s="217"/>
      <c r="K100" s="217"/>
      <c r="L100" s="217"/>
      <c r="M100" s="217"/>
      <c r="N100" s="267"/>
      <c r="O100" s="172"/>
      <c r="P100" s="217"/>
      <c r="Q100" s="443"/>
      <c r="S100" s="268"/>
      <c r="T100" s="268"/>
      <c r="U100" s="268"/>
      <c r="AJ100" s="443"/>
      <c r="AZ100" s="269"/>
      <c r="BJ100" s="219"/>
      <c r="BK100" s="219"/>
      <c r="BL100" s="219"/>
      <c r="BO100" s="172"/>
      <c r="BP100" s="219"/>
      <c r="BQ100" s="270"/>
      <c r="BR100" s="271"/>
      <c r="BS100" s="219"/>
      <c r="BT100" s="272"/>
      <c r="BX100" s="219"/>
      <c r="BY100" s="219"/>
      <c r="BZ100" s="172"/>
      <c r="CA100" s="172"/>
      <c r="CB100" s="172"/>
      <c r="CC100" s="172"/>
    </row>
    <row r="101" spans="8:81">
      <c r="H101" s="170">
        <v>95</v>
      </c>
      <c r="I101" s="456">
        <f t="shared" si="3"/>
        <v>2.375</v>
      </c>
      <c r="J101" s="217"/>
      <c r="K101" s="217"/>
      <c r="L101" s="217"/>
      <c r="M101" s="217"/>
      <c r="N101" s="267"/>
      <c r="O101" s="172"/>
      <c r="P101" s="217"/>
      <c r="Q101" s="443"/>
      <c r="S101" s="268"/>
      <c r="T101" s="268"/>
      <c r="U101" s="268"/>
      <c r="AJ101" s="443"/>
      <c r="AZ101" s="269"/>
      <c r="BJ101" s="219"/>
      <c r="BK101" s="219"/>
      <c r="BL101" s="219"/>
      <c r="BO101" s="172"/>
      <c r="BP101" s="219"/>
      <c r="BQ101" s="270"/>
      <c r="BR101" s="271"/>
      <c r="BS101" s="219"/>
      <c r="BT101" s="272"/>
      <c r="BX101" s="219"/>
      <c r="BY101" s="219"/>
      <c r="BZ101" s="172"/>
      <c r="CA101" s="172"/>
      <c r="CB101" s="172"/>
      <c r="CC101" s="172"/>
    </row>
    <row r="102" spans="8:81">
      <c r="H102" s="170">
        <v>96</v>
      </c>
      <c r="I102" s="456">
        <f>IF(PLOT_TYPE=1, H102/100*Iout_max, min_I*EXP(H102*rr/100))</f>
        <v>2.4</v>
      </c>
      <c r="J102" s="217"/>
      <c r="K102" s="217"/>
      <c r="L102" s="217"/>
      <c r="M102" s="217"/>
      <c r="N102" s="267"/>
      <c r="O102" s="172"/>
      <c r="P102" s="217"/>
      <c r="Q102" s="443"/>
      <c r="S102" s="268"/>
      <c r="T102" s="268"/>
      <c r="U102" s="268"/>
      <c r="AJ102" s="443"/>
      <c r="AZ102" s="269"/>
      <c r="BJ102" s="219"/>
      <c r="BK102" s="219"/>
      <c r="BL102" s="219"/>
      <c r="BO102" s="172"/>
      <c r="BP102" s="219"/>
      <c r="BQ102" s="270"/>
      <c r="BR102" s="271"/>
      <c r="BS102" s="219"/>
      <c r="BT102" s="272"/>
      <c r="BX102" s="219"/>
      <c r="BY102" s="219"/>
      <c r="BZ102" s="172"/>
      <c r="CA102" s="172"/>
      <c r="CB102" s="172"/>
      <c r="CC102" s="172"/>
    </row>
    <row r="103" spans="8:81">
      <c r="H103" s="170">
        <v>97</v>
      </c>
      <c r="I103" s="456">
        <f>IF(PLOT_TYPE=1, H103/100*Iout_max, min_I*EXP(H103*rr/100))</f>
        <v>2.4249999999999998</v>
      </c>
      <c r="J103" s="217"/>
      <c r="K103" s="217"/>
      <c r="L103" s="217"/>
      <c r="M103" s="217"/>
      <c r="N103" s="267"/>
      <c r="O103" s="172"/>
      <c r="P103" s="217"/>
      <c r="Q103" s="443"/>
      <c r="S103" s="268"/>
      <c r="T103" s="268"/>
      <c r="U103" s="268"/>
      <c r="AJ103" s="443"/>
      <c r="AZ103" s="269"/>
      <c r="BJ103" s="219"/>
      <c r="BK103" s="219"/>
      <c r="BL103" s="219"/>
      <c r="BO103" s="172"/>
      <c r="BP103" s="219"/>
      <c r="BQ103" s="270"/>
      <c r="BR103" s="271"/>
      <c r="BS103" s="219"/>
      <c r="BT103" s="272"/>
      <c r="BX103" s="219"/>
      <c r="BY103" s="219"/>
      <c r="BZ103" s="172"/>
      <c r="CA103" s="172"/>
      <c r="CB103" s="172"/>
      <c r="CC103" s="172"/>
    </row>
    <row r="104" spans="8:81">
      <c r="H104" s="170">
        <v>98</v>
      </c>
      <c r="I104" s="456">
        <f>IF(PLOT_TYPE=1, H104/100*Iout_max, min_I*EXP(H104*rr/100))</f>
        <v>2.4500000000000002</v>
      </c>
      <c r="J104" s="217"/>
      <c r="K104" s="217"/>
      <c r="L104" s="217"/>
      <c r="M104" s="217"/>
      <c r="N104" s="267"/>
      <c r="O104" s="172"/>
      <c r="P104" s="217"/>
      <c r="Q104" s="443"/>
      <c r="S104" s="268"/>
      <c r="T104" s="268"/>
      <c r="U104" s="268"/>
      <c r="AJ104" s="443"/>
      <c r="AZ104" s="269"/>
      <c r="BJ104" s="219"/>
      <c r="BK104" s="219"/>
      <c r="BL104" s="219"/>
      <c r="BO104" s="172"/>
      <c r="BP104" s="219"/>
      <c r="BQ104" s="270"/>
      <c r="BR104" s="271"/>
      <c r="BS104" s="219"/>
      <c r="BT104" s="272"/>
      <c r="BX104" s="219"/>
      <c r="BY104" s="219"/>
      <c r="BZ104" s="172"/>
      <c r="CA104" s="172"/>
      <c r="CB104" s="172"/>
      <c r="CC104" s="172"/>
    </row>
    <row r="105" spans="8:81">
      <c r="H105" s="170">
        <v>99</v>
      </c>
      <c r="I105" s="456">
        <f>IF(PLOT_TYPE=1, H105/100*Iout_max, min_I*EXP(H105*rr/100))</f>
        <v>2.4750000000000001</v>
      </c>
      <c r="J105" s="217"/>
      <c r="K105" s="217"/>
      <c r="L105" s="217"/>
      <c r="M105" s="217"/>
      <c r="N105" s="267"/>
      <c r="O105" s="172"/>
      <c r="P105" s="217"/>
      <c r="Q105" s="443"/>
      <c r="S105" s="268"/>
      <c r="T105" s="268"/>
      <c r="U105" s="268"/>
      <c r="AJ105" s="443"/>
      <c r="AZ105" s="269"/>
      <c r="BJ105" s="219"/>
      <c r="BK105" s="219"/>
      <c r="BL105" s="219"/>
      <c r="BO105" s="172"/>
      <c r="BP105" s="219"/>
      <c r="BQ105" s="270"/>
      <c r="BR105" s="271"/>
      <c r="BS105" s="219"/>
      <c r="BT105" s="272"/>
      <c r="BX105" s="219"/>
      <c r="BY105" s="219"/>
      <c r="BZ105" s="172"/>
      <c r="CA105" s="172"/>
      <c r="CB105" s="172"/>
      <c r="CC105" s="172"/>
    </row>
    <row r="106" spans="8:81">
      <c r="H106" s="170">
        <v>100</v>
      </c>
      <c r="I106" s="456">
        <f>IF(PLOT_TYPE=1, H106/100*Iout_max, min_I*EXP(H106*rr/100))</f>
        <v>2.5</v>
      </c>
      <c r="J106" s="217"/>
      <c r="K106" s="217"/>
      <c r="L106" s="217"/>
      <c r="M106" s="217"/>
      <c r="N106" s="267"/>
      <c r="O106" s="172"/>
      <c r="P106" s="217"/>
      <c r="Q106" s="443"/>
      <c r="S106" s="268"/>
      <c r="T106" s="268"/>
      <c r="U106" s="268"/>
      <c r="AJ106" s="443"/>
      <c r="AY106" s="216">
        <f>Vout*I106</f>
        <v>70</v>
      </c>
      <c r="AZ106" s="269">
        <f>AY106/(AY106+AX106)</f>
        <v>1</v>
      </c>
      <c r="BA106" s="345">
        <f>AG106/($AY106+$AX106)</f>
        <v>0</v>
      </c>
      <c r="BB106" s="345">
        <f>AO106/($AY106+$AX106)</f>
        <v>0</v>
      </c>
      <c r="BC106" s="345" t="e">
        <f>Vin*R106*(QgBot+Qg)/($AY106+$AX106)</f>
        <v>#NAME?</v>
      </c>
      <c r="BD106" s="345">
        <f>AK106/($AY106+$AX106)</f>
        <v>0</v>
      </c>
      <c r="BE106" s="345">
        <f>AQ106/(AX106+AY106)</f>
        <v>0</v>
      </c>
      <c r="BF106" s="345">
        <f>AR106/($AY106+$AX106)</f>
        <v>0</v>
      </c>
      <c r="BG106" s="345">
        <f>W106/($AY106+$AX106)</f>
        <v>0</v>
      </c>
      <c r="BH106" s="345">
        <f>X106/($AY106+$AX106)</f>
        <v>0</v>
      </c>
      <c r="BI106" s="345">
        <f>(AB106+AE106)/($AY106+$AX106)</f>
        <v>0</v>
      </c>
      <c r="BJ106" s="219">
        <f>AT106/($AY106+$AX106)</f>
        <v>0</v>
      </c>
      <c r="BK106" s="219">
        <f>AX106/($AY106+$AX106)</f>
        <v>0</v>
      </c>
      <c r="BL106" s="219">
        <f>AZ106</f>
        <v>1</v>
      </c>
      <c r="BM106" s="172">
        <f>100*BL106</f>
        <v>100</v>
      </c>
      <c r="BN106" s="217">
        <f xml:space="preserve"> CHOOSE(MODE, I106*1000,#REF!)</f>
        <v>2500</v>
      </c>
      <c r="BO106" s="172">
        <v>88.698181382326453</v>
      </c>
      <c r="BP106" s="219">
        <f>BO106/100</f>
        <v>0.88698181382326458</v>
      </c>
      <c r="BQ106" s="270">
        <f>R106/1000</f>
        <v>0</v>
      </c>
      <c r="BR106" s="271"/>
      <c r="BS106" s="219">
        <f>AL106/($AY106+$AX106)</f>
        <v>0</v>
      </c>
      <c r="BT106" s="272"/>
      <c r="BU106" s="172">
        <f>1000*AW106</f>
        <v>0</v>
      </c>
      <c r="BV106" s="172">
        <f>1000*AU106</f>
        <v>0</v>
      </c>
      <c r="BW106" s="172">
        <f>1000*Y106</f>
        <v>0</v>
      </c>
      <c r="BX106" s="219"/>
      <c r="BY106" s="219"/>
      <c r="BZ106" s="172">
        <f xml:space="preserve"> IF(MODE=1, BM106,#REF!)</f>
        <v>100</v>
      </c>
      <c r="CA106" s="172">
        <f xml:space="preserve"> IF(MODE=1, BU106,#REF!)</f>
        <v>0</v>
      </c>
      <c r="CB106" s="172">
        <f xml:space="preserve"> IF(MODE=1, BV106,#REF!)</f>
        <v>0</v>
      </c>
      <c r="CC106" s="172">
        <f xml:space="preserve"> IF(MODE=1, BW106,#REF!)</f>
        <v>0</v>
      </c>
    </row>
    <row r="107" spans="8:81">
      <c r="BQ107" s="270"/>
      <c r="BR107" s="271"/>
      <c r="BS107" s="271"/>
      <c r="BT107" s="272"/>
      <c r="BX107" s="219"/>
      <c r="BY107" s="219"/>
    </row>
    <row r="108" spans="8:81" ht="13">
      <c r="H108" s="328">
        <v>1.0000000000000001E-5</v>
      </c>
      <c r="I108" s="329" t="s">
        <v>1</v>
      </c>
      <c r="J108" s="330" t="s">
        <v>276</v>
      </c>
      <c r="AG108" s="216">
        <v>4.9516878778202269E-3</v>
      </c>
      <c r="AH108" s="216">
        <v>3.7188236700537959E-3</v>
      </c>
      <c r="AI108">
        <v>20</v>
      </c>
      <c r="AJ108" s="216">
        <v>18.943591787921068</v>
      </c>
      <c r="AK108" s="216">
        <v>4.1453367485397245E-3</v>
      </c>
      <c r="AL108" s="216">
        <v>7.1640215182307235E-3</v>
      </c>
      <c r="AN108" s="216">
        <v>9.1940431932401354E-2</v>
      </c>
      <c r="AO108" s="216">
        <v>8.4530430239165271E-3</v>
      </c>
      <c r="AP108" s="216">
        <v>9.3281530185295868E-4</v>
      </c>
      <c r="AQ108" s="216">
        <v>9.1178757202630047E-3</v>
      </c>
      <c r="AR108" s="216">
        <v>1.2140752334887425E-3</v>
      </c>
      <c r="AS108" s="216">
        <v>1.8784993977668273E-2</v>
      </c>
      <c r="AZ108" s="332" t="s">
        <v>280</v>
      </c>
      <c r="BA108" s="352">
        <v>3.6409104085968987E-3</v>
      </c>
      <c r="BB108" s="352">
        <v>6.5692245841190103E-3</v>
      </c>
      <c r="BC108" s="352">
        <v>5.4394694205683519E-2</v>
      </c>
      <c r="BD108" s="352">
        <v>4.5907837520612008E-3</v>
      </c>
      <c r="BE108" s="352">
        <v>0</v>
      </c>
      <c r="BF108" s="352">
        <v>7.3751579484765363E-4</v>
      </c>
      <c r="BG108" s="352">
        <v>7.2151246180390156E-3</v>
      </c>
      <c r="BH108" s="352">
        <v>1.4929120352630757E-2</v>
      </c>
      <c r="BI108" s="352">
        <v>5.5024434421027814E-6</v>
      </c>
      <c r="BJ108" s="352">
        <v>8.2551506228875166E-2</v>
      </c>
    </row>
    <row r="109" spans="8:81" ht="13">
      <c r="H109" s="331">
        <f>Iout_max</f>
        <v>2.5</v>
      </c>
      <c r="I109" s="329" t="s">
        <v>1</v>
      </c>
      <c r="J109" s="330" t="s">
        <v>277</v>
      </c>
      <c r="AZ109" s="332" t="s">
        <v>278</v>
      </c>
      <c r="BA109" s="352">
        <v>8.1000709018000279E-3</v>
      </c>
      <c r="BB109" s="352">
        <v>1.4614802049391215E-2</v>
      </c>
      <c r="BC109" s="352">
        <v>2.4831534664325892E-2</v>
      </c>
      <c r="BD109" s="352">
        <v>9.9057039827182662E-3</v>
      </c>
      <c r="BE109" s="352">
        <v>1.1631608311305648E-2</v>
      </c>
      <c r="BF109" s="352">
        <v>1.6465542803473395E-3</v>
      </c>
      <c r="BG109" s="352">
        <v>1.6051760250250457E-2</v>
      </c>
      <c r="BH109" s="352">
        <v>6.8152413568584669E-3</v>
      </c>
      <c r="BI109" s="352">
        <v>1.7517781122613987E-5</v>
      </c>
      <c r="BJ109" s="352">
        <v>1.2837829865088564E-2</v>
      </c>
    </row>
    <row r="110" spans="8:81" ht="13">
      <c r="H110" s="331">
        <f>LOG(max_I/min_I,EXP(1))</f>
        <v>12.429216196844383</v>
      </c>
      <c r="I110" s="217"/>
      <c r="J110" s="330" t="s">
        <v>279</v>
      </c>
    </row>
    <row r="111" spans="8:81" ht="13">
      <c r="AZ111" s="332"/>
      <c r="BA111" s="352"/>
      <c r="BB111" s="352"/>
      <c r="BC111" s="352"/>
      <c r="BD111" s="352"/>
      <c r="BE111" s="352"/>
      <c r="BF111" s="352"/>
      <c r="BG111" s="352"/>
      <c r="BH111" s="352"/>
      <c r="BI111" s="352"/>
      <c r="BJ111" s="352"/>
    </row>
    <row r="112" spans="8:81" ht="13">
      <c r="J112" s="334"/>
      <c r="R112" s="335"/>
      <c r="S112" s="335"/>
      <c r="T112" s="335"/>
      <c r="U112" s="335"/>
      <c r="V112" s="336"/>
    </row>
    <row r="113" spans="10:22" ht="13">
      <c r="J113" s="334"/>
      <c r="R113" s="335"/>
      <c r="S113" s="335"/>
      <c r="T113" s="335"/>
      <c r="U113" s="335"/>
      <c r="V113" s="336"/>
    </row>
    <row r="114" spans="10:22" ht="13">
      <c r="R114" s="337"/>
      <c r="S114" s="337"/>
      <c r="T114" s="337"/>
      <c r="U114" s="337"/>
      <c r="V114" s="336"/>
    </row>
    <row r="116" spans="10:22" ht="13">
      <c r="R116" s="337"/>
      <c r="S116" s="337"/>
      <c r="T116" s="337"/>
      <c r="U116" s="337"/>
      <c r="V116" s="336"/>
    </row>
    <row r="121" spans="10:22">
      <c r="V121" s="330"/>
    </row>
    <row r="122" spans="10:22">
      <c r="O122" s="330"/>
      <c r="P122" s="330"/>
      <c r="Q122" s="330"/>
    </row>
    <row r="123" spans="10:22">
      <c r="O123" s="330"/>
      <c r="P123" s="330"/>
      <c r="Q123" s="330"/>
    </row>
    <row r="124" spans="10:22">
      <c r="O124" s="330"/>
      <c r="P124" s="330"/>
      <c r="Q124" s="330"/>
    </row>
    <row r="125" spans="10:22">
      <c r="O125" s="330"/>
      <c r="P125" s="330"/>
      <c r="Q125" s="330"/>
    </row>
    <row r="126" spans="10:22">
      <c r="J126" s="338"/>
      <c r="O126" s="330"/>
      <c r="P126" s="330"/>
      <c r="Q126" s="330"/>
    </row>
    <row r="127" spans="10:22">
      <c r="J127" s="338"/>
      <c r="O127" s="330"/>
      <c r="P127" s="330"/>
      <c r="Q127" s="330"/>
    </row>
    <row r="128" spans="10:22">
      <c r="J128" s="338"/>
      <c r="O128" s="330"/>
      <c r="P128" s="330"/>
      <c r="Q128" s="330"/>
    </row>
    <row r="129" spans="10:17">
      <c r="J129" s="329"/>
      <c r="O129" s="330"/>
      <c r="P129" s="330"/>
      <c r="Q129" s="330"/>
    </row>
    <row r="130" spans="10:17">
      <c r="J130" s="329"/>
    </row>
    <row r="131" spans="10:17">
      <c r="J131" s="329"/>
    </row>
    <row r="132" spans="10:17">
      <c r="J132" s="329"/>
    </row>
    <row r="133" spans="10:17">
      <c r="J133" s="329"/>
    </row>
  </sheetData>
  <sheetProtection algorithmName="SHA-512" hashValue="0cUnFa7ufQE2QFQ9eSByCEfmn6EpWCL2i4IB/IyFIfGoQvvqfVNOyvPgZhiw12bINkeNpez8XmCsyRLDVC5XpQ==" saltValue="Wk0yaZAbwsKsRJCgaB8scA==" spinCount="100000" sheet="1" selectLockedCells="1" selectUnlockedCells="1"/>
  <mergeCells count="4">
    <mergeCell ref="A1:E3"/>
    <mergeCell ref="G2:H2"/>
    <mergeCell ref="A4:E4"/>
    <mergeCell ref="K4:U4"/>
  </mergeCells>
  <phoneticPr fontId="83"/>
  <conditionalFormatting sqref="B26:B28">
    <cfRule type="cellIs" dxfId="12" priority="8" stopIfTrue="1" operator="notEqual">
      <formula>G28</formula>
    </cfRule>
  </conditionalFormatting>
  <conditionalFormatting sqref="B30:B33">
    <cfRule type="cellIs" dxfId="11" priority="6" stopIfTrue="1" operator="notEqual">
      <formula>G36</formula>
    </cfRule>
  </conditionalFormatting>
  <conditionalFormatting sqref="B35:B36">
    <cfRule type="cellIs" dxfId="10" priority="5" stopIfTrue="1" operator="notEqual">
      <formula>G42</formula>
    </cfRule>
  </conditionalFormatting>
  <conditionalFormatting sqref="B41">
    <cfRule type="cellIs" dxfId="9" priority="4" stopIfTrue="1" operator="notEqual">
      <formula>G53</formula>
    </cfRule>
  </conditionalFormatting>
  <conditionalFormatting sqref="B50:B53">
    <cfRule type="cellIs" dxfId="8" priority="9" stopIfTrue="1" operator="notEqual">
      <formula>G70</formula>
    </cfRule>
  </conditionalFormatting>
  <conditionalFormatting sqref="B48:B49">
    <cfRule type="cellIs" dxfId="7" priority="12" stopIfTrue="1" operator="notEqual">
      <formula>G68</formula>
    </cfRule>
  </conditionalFormatting>
  <conditionalFormatting sqref="B43:B45">
    <cfRule type="cellIs" dxfId="6" priority="13" stopIfTrue="1" operator="notEqual">
      <formula>G54</formula>
    </cfRule>
  </conditionalFormatting>
  <conditionalFormatting sqref="B46">
    <cfRule type="cellIs" dxfId="5" priority="2" stopIfTrue="1" operator="notEqual">
      <formula>G66</formula>
    </cfRule>
  </conditionalFormatting>
  <conditionalFormatting sqref="B29">
    <cfRule type="cellIs" dxfId="4" priority="145" stopIfTrue="1" operator="notEqual">
      <formula>G30</formula>
    </cfRule>
  </conditionalFormatting>
  <conditionalFormatting sqref="B38:B39">
    <cfRule type="cellIs" dxfId="3" priority="147" stopIfTrue="1" operator="notEqual">
      <formula>G43</formula>
    </cfRule>
  </conditionalFormatting>
  <pageMargins left="0.75" right="0.75" top="1" bottom="1" header="0.5" footer="0.5"/>
  <pageSetup scale="79" orientation="portrait" r:id="rId1"/>
  <headerFooter alignWithMargins="0"/>
  <colBreaks count="1" manualBreakCount="1">
    <brk id="7" max="1048575" man="1"/>
  </colBreaks>
  <ignoredErrors>
    <ignoredError sqref="B8:B9 BQ6:BQ7" unlockedFormula="1"/>
    <ignoredError sqref="D11 D37" formula="1"/>
  </ignoredErrors>
  <drawing r:id="rId2"/>
  <legacyDrawing r:id="rId3"/>
  <oleObjects>
    <mc:AlternateContent xmlns:mc="http://schemas.openxmlformats.org/markup-compatibility/2006">
      <mc:Choice Requires="x14">
        <oleObject progId="Visio.Drawing.11" shapeId="683009" r:id="rId4">
          <objectPr defaultSize="0" autoPict="0" r:id="rId5">
            <anchor moveWithCells="1">
              <from>
                <xdr:col>22</xdr:col>
                <xdr:colOff>184150</xdr:colOff>
                <xdr:row>111</xdr:row>
                <xdr:rowOff>146050</xdr:rowOff>
              </from>
              <to>
                <xdr:col>36</xdr:col>
                <xdr:colOff>12700</xdr:colOff>
                <xdr:row>125</xdr:row>
                <xdr:rowOff>146050</xdr:rowOff>
              </to>
            </anchor>
          </objectPr>
        </oleObject>
      </mc:Choice>
      <mc:Fallback>
        <oleObject progId="Visio.Drawing.11" shapeId="683009"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1">
    <tabColor rgb="FF7030A0"/>
  </sheetPr>
  <dimension ref="B1:FL329"/>
  <sheetViews>
    <sheetView topLeftCell="CG1" zoomScale="70" zoomScaleNormal="70" workbookViewId="0">
      <pane ySplit="3" topLeftCell="A124" activePane="bottomLeft" state="frozen"/>
      <selection pane="bottomLeft" activeCell="AQ210" sqref="AQ210"/>
    </sheetView>
  </sheetViews>
  <sheetFormatPr defaultRowHeight="12.5"/>
  <cols>
    <col min="1" max="1" width="2.81640625" customWidth="1"/>
    <col min="2" max="2" width="3.54296875" customWidth="1"/>
    <col min="3" max="3" width="2.81640625" customWidth="1"/>
    <col min="4" max="4" width="3.7265625" customWidth="1"/>
    <col min="5" max="5" width="6.1796875" customWidth="1"/>
    <col min="6" max="7" width="7.7265625" customWidth="1"/>
    <col min="8" max="8" width="7.81640625" customWidth="1"/>
    <col min="9" max="9" width="6.26953125" customWidth="1"/>
    <col min="10" max="10" width="9.54296875" customWidth="1"/>
    <col min="11" max="11" width="9.26953125" customWidth="1"/>
    <col min="12" max="12" width="1.81640625" customWidth="1"/>
    <col min="13" max="13" width="8.453125" customWidth="1"/>
    <col min="14" max="15" width="9.54296875" customWidth="1"/>
    <col min="16" max="16" width="8.81640625" customWidth="1"/>
    <col min="17" max="18" width="8.54296875" customWidth="1"/>
    <col min="19" max="19" width="15.453125" customWidth="1"/>
    <col min="20" max="20" width="10.453125" customWidth="1"/>
    <col min="21" max="21" width="7.54296875" customWidth="1"/>
    <col min="22" max="22" width="9" customWidth="1"/>
    <col min="23" max="23" width="8.81640625" customWidth="1"/>
    <col min="24" max="24" width="10" customWidth="1"/>
    <col min="25" max="25" width="9.54296875" customWidth="1"/>
    <col min="26" max="26" width="1.81640625" customWidth="1"/>
    <col min="27" max="27" width="9.81640625" customWidth="1"/>
    <col min="28" max="28" width="10.453125" customWidth="1"/>
    <col min="29" max="29" width="10.1796875" customWidth="1"/>
    <col min="30" max="30" width="2" customWidth="1"/>
    <col min="31" max="31" width="9.1796875" customWidth="1"/>
    <col min="32" max="32" width="9.453125" customWidth="1"/>
    <col min="33" max="33" width="10.453125" customWidth="1"/>
    <col min="34" max="34" width="2.1796875" customWidth="1"/>
    <col min="36" max="36" width="8" customWidth="1"/>
    <col min="38" max="38" width="2.26953125" customWidth="1"/>
    <col min="39" max="39" width="6.54296875" customWidth="1"/>
    <col min="40" max="40" width="7.54296875" customWidth="1"/>
    <col min="41" max="41" width="2" customWidth="1"/>
    <col min="42" max="42" width="6.453125" customWidth="1"/>
    <col min="43" max="43" width="7.54296875" customWidth="1"/>
    <col min="44" max="44" width="2.1796875" customWidth="1"/>
    <col min="45" max="48" width="7" customWidth="1"/>
    <col min="49" max="50" width="8.453125" customWidth="1"/>
    <col min="51" max="52" width="11" customWidth="1"/>
    <col min="53" max="53" width="9.453125" customWidth="1"/>
    <col min="54" max="54" width="9.81640625" customWidth="1"/>
    <col min="55" max="55" width="2" customWidth="1"/>
    <col min="58" max="58" width="2.1796875" customWidth="1"/>
    <col min="59" max="59" width="9" customWidth="1"/>
    <col min="60" max="61" width="8.1796875" customWidth="1"/>
    <col min="62" max="62" width="8.7265625" customWidth="1"/>
    <col min="63" max="64" width="7.54296875" customWidth="1"/>
    <col min="65" max="65" width="10.54296875" customWidth="1"/>
    <col min="66" max="66" width="8.7265625" customWidth="1"/>
    <col min="67" max="68" width="10.26953125" customWidth="1"/>
    <col min="69" max="70" width="10.54296875" customWidth="1"/>
    <col min="71" max="71" width="8.7265625" customWidth="1"/>
    <col min="73" max="73" width="9.81640625" customWidth="1"/>
    <col min="74" max="74" width="11.54296875" customWidth="1"/>
    <col min="75" max="75" width="12.1796875" customWidth="1"/>
    <col min="76" max="76" width="9.1796875" customWidth="1"/>
    <col min="78" max="78" width="7.7265625" customWidth="1"/>
    <col min="79" max="79" width="10.453125" customWidth="1"/>
    <col min="80" max="80" width="12.453125" bestFit="1" customWidth="1"/>
    <col min="81" max="81" width="4.54296875" customWidth="1"/>
    <col min="82" max="82" width="5" customWidth="1"/>
    <col min="83" max="83" width="9.54296875" customWidth="1"/>
    <col min="85" max="85" width="12.54296875" customWidth="1"/>
    <col min="86" max="86" width="11.54296875" customWidth="1"/>
    <col min="87" max="87" width="6.1796875" customWidth="1"/>
    <col min="88" max="89" width="7.7265625" customWidth="1"/>
    <col min="90" max="90" width="7.81640625" customWidth="1"/>
    <col min="91" max="91" width="6.26953125" customWidth="1"/>
    <col min="92" max="92" width="9.54296875" customWidth="1"/>
    <col min="93" max="93" width="9.26953125" customWidth="1"/>
    <col min="94" max="94" width="1.81640625" customWidth="1"/>
    <col min="95" max="95" width="8.453125" customWidth="1"/>
    <col min="96" max="97" width="9.54296875" customWidth="1"/>
    <col min="98" max="98" width="8.81640625" customWidth="1"/>
    <col min="99" max="100" width="8.54296875" customWidth="1"/>
    <col min="101" max="101" width="15.453125" customWidth="1"/>
    <col min="102" max="102" width="10.453125" customWidth="1"/>
    <col min="103" max="103" width="7.54296875" customWidth="1"/>
    <col min="104" max="104" width="9" customWidth="1"/>
    <col min="105" max="105" width="8.81640625" customWidth="1"/>
    <col min="106" max="106" width="10" customWidth="1"/>
    <col min="107" max="107" width="9.54296875" customWidth="1"/>
    <col min="108" max="108" width="1.81640625" customWidth="1"/>
    <col min="109" max="109" width="9.81640625" customWidth="1"/>
    <col min="110" max="110" width="10.453125" customWidth="1"/>
    <col min="111" max="111" width="10.1796875" customWidth="1"/>
    <col min="112" max="112" width="2" customWidth="1"/>
    <col min="113" max="113" width="9.1796875" customWidth="1"/>
    <col min="114" max="114" width="9.453125" customWidth="1"/>
    <col min="115" max="115" width="10.453125" customWidth="1"/>
    <col min="116" max="116" width="2.1796875" customWidth="1"/>
    <col min="118" max="118" width="8" customWidth="1"/>
    <col min="120" max="120" width="2.26953125" customWidth="1"/>
    <col min="121" max="121" width="6.54296875" customWidth="1"/>
    <col min="122" max="122" width="7.54296875" customWidth="1"/>
    <col min="123" max="123" width="2" customWidth="1"/>
    <col min="124" max="124" width="6.453125" customWidth="1"/>
    <col min="125" max="125" width="7.54296875" customWidth="1"/>
    <col min="126" max="126" width="2.1796875" customWidth="1"/>
    <col min="127" max="130" width="7" customWidth="1"/>
    <col min="131" max="132" width="8.453125" customWidth="1"/>
    <col min="133" max="134" width="11" customWidth="1"/>
    <col min="135" max="135" width="9.453125" customWidth="1"/>
    <col min="136" max="136" width="9.81640625" customWidth="1"/>
    <col min="137" max="137" width="2" customWidth="1"/>
    <col min="140" max="140" width="2.1796875" customWidth="1"/>
    <col min="141" max="141" width="9" customWidth="1"/>
    <col min="142" max="143" width="8.1796875" customWidth="1"/>
    <col min="145" max="146" width="7.54296875" customWidth="1"/>
    <col min="147" max="147" width="10.54296875" customWidth="1"/>
    <col min="149" max="150" width="10.26953125" customWidth="1"/>
    <col min="151" max="152" width="10.54296875" customWidth="1"/>
    <col min="155" max="155" width="9.81640625" customWidth="1"/>
    <col min="156" max="156" width="11.54296875" customWidth="1"/>
    <col min="157" max="157" width="12.1796875" customWidth="1"/>
    <col min="158" max="158" width="9.1796875" customWidth="1"/>
    <col min="160" max="160" width="7.7265625" customWidth="1"/>
    <col min="161" max="161" width="10.453125" customWidth="1"/>
    <col min="162" max="162" width="12.453125" bestFit="1" customWidth="1"/>
    <col min="163" max="163" width="4.54296875" customWidth="1"/>
    <col min="164" max="164" width="5" customWidth="1"/>
    <col min="165" max="165" width="9.54296875" customWidth="1"/>
    <col min="168" max="168" width="12.1796875" bestFit="1" customWidth="1"/>
  </cols>
  <sheetData>
    <row r="1" spans="2:168" ht="25">
      <c r="B1" s="445" t="s">
        <v>824</v>
      </c>
      <c r="M1">
        <f>Vfwd2</f>
        <v>0.7</v>
      </c>
      <c r="BB1">
        <f>Ltc</f>
        <v>4.0000000000000001E-3</v>
      </c>
      <c r="BT1">
        <f>Ta</f>
        <v>85</v>
      </c>
      <c r="CI1" s="779" t="s">
        <v>823</v>
      </c>
      <c r="CQ1">
        <f>Vfwd2</f>
        <v>0.7</v>
      </c>
      <c r="EF1">
        <f>Ltc</f>
        <v>4.0000000000000001E-3</v>
      </c>
      <c r="EX1">
        <f>Ta</f>
        <v>85</v>
      </c>
    </row>
    <row r="2" spans="2:168" ht="13" thickBot="1">
      <c r="M2">
        <f>Vfwd1</f>
        <v>0.4</v>
      </c>
      <c r="U2">
        <f>Isw_max</f>
        <v>16.666666666666668</v>
      </c>
      <c r="CQ2">
        <f>Vfwd1</f>
        <v>0.4</v>
      </c>
      <c r="CY2">
        <f>Isw_max</f>
        <v>16.666666666666668</v>
      </c>
    </row>
    <row r="3" spans="2:168" ht="13">
      <c r="E3" s="220" t="s">
        <v>421</v>
      </c>
      <c r="F3" s="540"/>
      <c r="G3" s="540"/>
      <c r="H3" s="540"/>
      <c r="I3" s="221"/>
      <c r="J3" s="222"/>
      <c r="K3" s="524"/>
      <c r="L3" s="524"/>
      <c r="M3" s="947" t="s">
        <v>189</v>
      </c>
      <c r="N3" s="948"/>
      <c r="O3" s="950"/>
      <c r="P3" s="947"/>
      <c r="Q3" s="947"/>
      <c r="R3" s="950"/>
      <c r="S3" s="950"/>
      <c r="T3" s="950"/>
      <c r="U3" s="947"/>
      <c r="V3" s="948"/>
      <c r="W3" s="948"/>
      <c r="X3" s="947"/>
      <c r="Y3" s="948"/>
      <c r="Z3" s="947"/>
      <c r="AA3" s="949"/>
      <c r="AB3" s="533"/>
      <c r="AC3" s="533"/>
      <c r="AD3" s="533"/>
      <c r="AE3" s="533"/>
      <c r="AF3" s="533"/>
      <c r="AG3" s="533"/>
      <c r="AH3" s="533"/>
      <c r="AI3" s="533"/>
      <c r="AJ3" s="533"/>
      <c r="AK3" s="533"/>
      <c r="AL3" s="533"/>
      <c r="AM3" s="533"/>
      <c r="AN3" s="533"/>
      <c r="AO3" s="533"/>
      <c r="AP3" s="533"/>
      <c r="AQ3" s="533"/>
      <c r="AR3" s="533"/>
      <c r="AS3" s="533" t="s">
        <v>460</v>
      </c>
      <c r="AT3" s="533"/>
      <c r="AU3" s="533"/>
      <c r="AV3" s="533"/>
      <c r="AW3" s="533"/>
      <c r="AX3" s="533"/>
      <c r="AY3" s="533"/>
      <c r="AZ3" s="533"/>
      <c r="BA3" s="533" t="s">
        <v>470</v>
      </c>
      <c r="BB3" s="533"/>
      <c r="BC3" s="533"/>
      <c r="BD3" s="558" t="s">
        <v>471</v>
      </c>
      <c r="BE3" s="533"/>
      <c r="BF3" s="533"/>
      <c r="BG3" s="558" t="s">
        <v>888</v>
      </c>
      <c r="BH3" s="533"/>
      <c r="BI3" s="533"/>
      <c r="BJ3" s="533"/>
      <c r="BK3" s="533"/>
      <c r="BL3" s="533"/>
      <c r="BM3" s="533"/>
      <c r="BN3" s="533"/>
      <c r="BO3" s="558" t="s">
        <v>489</v>
      </c>
      <c r="BP3" s="533"/>
      <c r="BQ3" s="533"/>
      <c r="BR3" s="533"/>
      <c r="BS3" s="559" t="s">
        <v>490</v>
      </c>
      <c r="BT3" s="533"/>
      <c r="BU3" s="533"/>
      <c r="BV3" s="533"/>
      <c r="BW3" s="533"/>
      <c r="BX3" s="533"/>
      <c r="BY3" s="558"/>
      <c r="BZ3" s="533"/>
      <c r="CA3" s="533"/>
      <c r="CB3" s="533"/>
      <c r="CC3" s="533"/>
      <c r="CI3" s="220" t="s">
        <v>421</v>
      </c>
      <c r="CJ3" s="540"/>
      <c r="CK3" s="540"/>
      <c r="CL3" s="540"/>
      <c r="CM3" s="221"/>
      <c r="CN3" s="222"/>
      <c r="CO3" s="524"/>
      <c r="CP3" s="524"/>
      <c r="CQ3" s="947" t="s">
        <v>189</v>
      </c>
      <c r="CR3" s="948"/>
      <c r="CS3" s="950"/>
      <c r="CT3" s="947"/>
      <c r="CU3" s="947"/>
      <c r="CV3" s="950"/>
      <c r="CW3" s="950"/>
      <c r="CX3" s="950"/>
      <c r="CY3" s="947"/>
      <c r="CZ3" s="948"/>
      <c r="DA3" s="948"/>
      <c r="DB3" s="947"/>
      <c r="DC3" s="948"/>
      <c r="DD3" s="947"/>
      <c r="DE3" s="949"/>
      <c r="DF3" s="533"/>
      <c r="DG3" s="533"/>
      <c r="DH3" s="533"/>
      <c r="DI3" s="533"/>
      <c r="DJ3" s="533"/>
      <c r="DK3" s="533"/>
      <c r="DL3" s="533"/>
      <c r="DM3" s="533"/>
      <c r="DN3" s="533"/>
      <c r="DO3" s="533"/>
      <c r="DP3" s="533"/>
      <c r="DQ3" s="533"/>
      <c r="DR3" s="533"/>
      <c r="DS3" s="533"/>
      <c r="DT3" s="533"/>
      <c r="DU3" s="533"/>
      <c r="DV3" s="533"/>
      <c r="DW3" s="533" t="s">
        <v>460</v>
      </c>
      <c r="DX3" s="533"/>
      <c r="DY3" s="533"/>
      <c r="DZ3" s="533"/>
      <c r="EA3" s="533"/>
      <c r="EB3" s="533"/>
      <c r="EC3" s="533"/>
      <c r="ED3" s="533"/>
      <c r="EE3" s="533" t="s">
        <v>470</v>
      </c>
      <c r="EF3" s="533"/>
      <c r="EG3" s="533"/>
      <c r="EH3" s="558" t="s">
        <v>471</v>
      </c>
      <c r="EI3" s="533"/>
      <c r="EJ3" s="533"/>
      <c r="EK3" s="558" t="s">
        <v>493</v>
      </c>
      <c r="EL3" s="533"/>
      <c r="EM3" s="533"/>
      <c r="EN3" s="533"/>
      <c r="EO3" s="533"/>
      <c r="EP3" s="533"/>
      <c r="EQ3" s="533"/>
      <c r="ER3" s="533"/>
      <c r="ES3" s="558" t="s">
        <v>489</v>
      </c>
      <c r="ET3" s="533"/>
      <c r="EU3" s="533"/>
      <c r="EV3" s="533"/>
      <c r="EW3" s="559" t="s">
        <v>490</v>
      </c>
      <c r="EX3" s="533"/>
      <c r="EY3" s="533"/>
      <c r="EZ3" s="533"/>
      <c r="FA3" s="533"/>
      <c r="FB3" s="533"/>
      <c r="FC3" s="558"/>
      <c r="FD3" s="533"/>
      <c r="FE3" s="533"/>
      <c r="FF3" s="533"/>
      <c r="FG3" s="533"/>
    </row>
    <row r="4" spans="2:168" ht="45" customHeight="1" thickBot="1">
      <c r="E4" s="241" t="s">
        <v>25</v>
      </c>
      <c r="F4" s="444" t="s">
        <v>194</v>
      </c>
      <c r="G4" s="260"/>
      <c r="H4" s="527" t="s">
        <v>223</v>
      </c>
      <c r="I4" s="242" t="s">
        <v>412</v>
      </c>
      <c r="J4" s="243" t="s">
        <v>418</v>
      </c>
      <c r="K4" s="527" t="s">
        <v>413</v>
      </c>
      <c r="L4" s="527"/>
      <c r="M4" s="244" t="s">
        <v>48</v>
      </c>
      <c r="N4" s="527" t="s">
        <v>402</v>
      </c>
      <c r="O4" s="527" t="s">
        <v>656</v>
      </c>
      <c r="P4" s="527" t="s">
        <v>403</v>
      </c>
      <c r="Q4" s="527" t="s">
        <v>433</v>
      </c>
      <c r="R4" s="527" t="s">
        <v>654</v>
      </c>
      <c r="S4" s="527" t="s">
        <v>657</v>
      </c>
      <c r="T4" s="527" t="s">
        <v>655</v>
      </c>
      <c r="U4" s="527" t="s">
        <v>414</v>
      </c>
      <c r="V4" s="527" t="s">
        <v>466</v>
      </c>
      <c r="W4" s="527" t="s">
        <v>465</v>
      </c>
      <c r="X4" s="546" t="s">
        <v>420</v>
      </c>
      <c r="Y4" s="542" t="s">
        <v>425</v>
      </c>
      <c r="AA4" s="245" t="s">
        <v>417</v>
      </c>
      <c r="AB4" s="245" t="s">
        <v>464</v>
      </c>
      <c r="AC4" s="245" t="s">
        <v>423</v>
      </c>
      <c r="AD4" s="544"/>
      <c r="AE4" s="245" t="s">
        <v>463</v>
      </c>
      <c r="AF4" s="245" t="s">
        <v>681</v>
      </c>
      <c r="AG4" s="245" t="s">
        <v>427</v>
      </c>
      <c r="AH4" s="544"/>
      <c r="AI4" s="245" t="s">
        <v>429</v>
      </c>
      <c r="AJ4" s="547" t="s">
        <v>430</v>
      </c>
      <c r="AK4" s="547" t="s">
        <v>431</v>
      </c>
      <c r="AM4" s="543" t="s">
        <v>275</v>
      </c>
      <c r="AN4" s="543" t="s">
        <v>432</v>
      </c>
      <c r="AP4" s="245" t="s">
        <v>275</v>
      </c>
      <c r="AQ4" s="245" t="s">
        <v>432</v>
      </c>
      <c r="AR4" s="548"/>
      <c r="AS4" s="245" t="s">
        <v>467</v>
      </c>
      <c r="AT4" s="245" t="s">
        <v>461</v>
      </c>
      <c r="AU4" s="245" t="s">
        <v>462</v>
      </c>
      <c r="AV4" s="245" t="s">
        <v>653</v>
      </c>
      <c r="AW4" s="245" t="s">
        <v>48</v>
      </c>
      <c r="AX4" s="548" t="s">
        <v>651</v>
      </c>
      <c r="AY4" s="544" t="s">
        <v>650</v>
      </c>
      <c r="AZ4" s="544" t="s">
        <v>652</v>
      </c>
      <c r="BA4" s="245" t="s">
        <v>481</v>
      </c>
      <c r="BB4" s="245" t="s">
        <v>514</v>
      </c>
      <c r="BC4" s="544"/>
      <c r="BD4" s="557" t="s">
        <v>456</v>
      </c>
      <c r="BE4" s="245" t="s">
        <v>457</v>
      </c>
      <c r="BF4" s="544"/>
      <c r="BG4" s="557" t="s">
        <v>474</v>
      </c>
      <c r="BH4" s="245" t="s">
        <v>475</v>
      </c>
      <c r="BI4" s="245" t="s">
        <v>473</v>
      </c>
      <c r="BJ4" s="245" t="s">
        <v>469</v>
      </c>
      <c r="BK4" s="245" t="s">
        <v>478</v>
      </c>
      <c r="BL4" s="245" t="s">
        <v>777</v>
      </c>
      <c r="BM4" s="245" t="s">
        <v>776</v>
      </c>
      <c r="BN4" s="245" t="s">
        <v>491</v>
      </c>
      <c r="BO4" s="557" t="s">
        <v>476</v>
      </c>
      <c r="BP4" s="245" t="s">
        <v>477</v>
      </c>
      <c r="BQ4" s="245" t="s">
        <v>483</v>
      </c>
      <c r="BR4" s="245" t="s">
        <v>487</v>
      </c>
      <c r="BS4" s="557" t="s">
        <v>458</v>
      </c>
      <c r="BT4" s="245" t="s">
        <v>459</v>
      </c>
      <c r="BU4" s="245" t="s">
        <v>468</v>
      </c>
      <c r="BV4" s="245" t="s">
        <v>666</v>
      </c>
      <c r="BW4" s="245" t="s">
        <v>484</v>
      </c>
      <c r="BX4" s="245" t="s">
        <v>667</v>
      </c>
      <c r="BY4" s="557" t="s">
        <v>482</v>
      </c>
      <c r="BZ4" s="245" t="s">
        <v>223</v>
      </c>
      <c r="CA4" s="245" t="s">
        <v>47</v>
      </c>
      <c r="CB4" s="245" t="s">
        <v>485</v>
      </c>
      <c r="CC4" s="245"/>
      <c r="CE4" s="569" t="s">
        <v>664</v>
      </c>
      <c r="CF4" s="569" t="s">
        <v>665</v>
      </c>
      <c r="CG4" s="781" t="s">
        <v>828</v>
      </c>
      <c r="CI4" s="241" t="s">
        <v>25</v>
      </c>
      <c r="CJ4" s="444" t="s">
        <v>194</v>
      </c>
      <c r="CK4" s="260"/>
      <c r="CL4" s="527" t="s">
        <v>223</v>
      </c>
      <c r="CM4" s="242" t="s">
        <v>412</v>
      </c>
      <c r="CN4" s="243" t="s">
        <v>418</v>
      </c>
      <c r="CO4" s="527" t="s">
        <v>413</v>
      </c>
      <c r="CP4" s="527"/>
      <c r="CQ4" s="244" t="s">
        <v>48</v>
      </c>
      <c r="CR4" s="527" t="s">
        <v>402</v>
      </c>
      <c r="CS4" s="527" t="s">
        <v>656</v>
      </c>
      <c r="CT4" s="527" t="s">
        <v>403</v>
      </c>
      <c r="CU4" s="527" t="s">
        <v>433</v>
      </c>
      <c r="CV4" s="527" t="s">
        <v>654</v>
      </c>
      <c r="CW4" s="527" t="s">
        <v>657</v>
      </c>
      <c r="CX4" s="527" t="s">
        <v>655</v>
      </c>
      <c r="CY4" s="527" t="s">
        <v>414</v>
      </c>
      <c r="CZ4" s="527" t="s">
        <v>466</v>
      </c>
      <c r="DA4" s="527" t="s">
        <v>465</v>
      </c>
      <c r="DB4" s="546" t="s">
        <v>420</v>
      </c>
      <c r="DC4" s="542" t="s">
        <v>425</v>
      </c>
      <c r="DE4" s="245" t="s">
        <v>417</v>
      </c>
      <c r="DF4" s="245" t="s">
        <v>464</v>
      </c>
      <c r="DG4" s="245" t="s">
        <v>423</v>
      </c>
      <c r="DH4" s="544"/>
      <c r="DI4" s="245" t="s">
        <v>463</v>
      </c>
      <c r="DJ4" s="245" t="s">
        <v>681</v>
      </c>
      <c r="DK4" s="245" t="s">
        <v>427</v>
      </c>
      <c r="DL4" s="544"/>
      <c r="DM4" s="245" t="s">
        <v>429</v>
      </c>
      <c r="DN4" s="547" t="s">
        <v>430</v>
      </c>
      <c r="DO4" s="547" t="s">
        <v>431</v>
      </c>
      <c r="DQ4" s="543" t="s">
        <v>275</v>
      </c>
      <c r="DR4" s="543" t="s">
        <v>432</v>
      </c>
      <c r="DT4" s="245" t="s">
        <v>275</v>
      </c>
      <c r="DU4" s="245" t="s">
        <v>432</v>
      </c>
      <c r="DV4" s="548"/>
      <c r="DW4" s="245" t="s">
        <v>467</v>
      </c>
      <c r="DX4" s="245" t="s">
        <v>461</v>
      </c>
      <c r="DY4" s="245" t="s">
        <v>462</v>
      </c>
      <c r="DZ4" s="245" t="s">
        <v>653</v>
      </c>
      <c r="EA4" s="245" t="s">
        <v>48</v>
      </c>
      <c r="EB4" s="548" t="s">
        <v>651</v>
      </c>
      <c r="EC4" s="544" t="s">
        <v>650</v>
      </c>
      <c r="ED4" s="544" t="s">
        <v>652</v>
      </c>
      <c r="EE4" s="245" t="s">
        <v>481</v>
      </c>
      <c r="EF4" s="245" t="s">
        <v>514</v>
      </c>
      <c r="EG4" s="544"/>
      <c r="EH4" s="557" t="s">
        <v>456</v>
      </c>
      <c r="EI4" s="245" t="s">
        <v>457</v>
      </c>
      <c r="EJ4" s="544"/>
      <c r="EK4" s="557" t="s">
        <v>474</v>
      </c>
      <c r="EL4" s="245" t="s">
        <v>475</v>
      </c>
      <c r="EM4" s="245" t="s">
        <v>473</v>
      </c>
      <c r="EN4" s="245" t="s">
        <v>469</v>
      </c>
      <c r="EO4" s="245" t="s">
        <v>478</v>
      </c>
      <c r="EP4" s="245" t="s">
        <v>777</v>
      </c>
      <c r="EQ4" s="245" t="s">
        <v>776</v>
      </c>
      <c r="ER4" s="245" t="s">
        <v>491</v>
      </c>
      <c r="ES4" s="557" t="s">
        <v>476</v>
      </c>
      <c r="ET4" s="245" t="s">
        <v>477</v>
      </c>
      <c r="EU4" s="245" t="s">
        <v>483</v>
      </c>
      <c r="EV4" s="245" t="s">
        <v>487</v>
      </c>
      <c r="EW4" s="557" t="s">
        <v>458</v>
      </c>
      <c r="EX4" s="245" t="s">
        <v>459</v>
      </c>
      <c r="EY4" s="245" t="s">
        <v>468</v>
      </c>
      <c r="EZ4" s="245" t="s">
        <v>666</v>
      </c>
      <c r="FA4" s="245" t="s">
        <v>484</v>
      </c>
      <c r="FB4" s="245" t="s">
        <v>667</v>
      </c>
      <c r="FC4" s="557" t="s">
        <v>482</v>
      </c>
      <c r="FD4" s="245" t="s">
        <v>223</v>
      </c>
      <c r="FE4" s="245" t="s">
        <v>47</v>
      </c>
      <c r="FF4" s="245" t="s">
        <v>485</v>
      </c>
      <c r="FG4" s="245"/>
      <c r="FI4" s="569" t="s">
        <v>664</v>
      </c>
      <c r="FJ4" s="569" t="s">
        <v>665</v>
      </c>
      <c r="FL4" t="s">
        <v>825</v>
      </c>
    </row>
    <row r="5" spans="2:168">
      <c r="E5" s="170">
        <v>0.1</v>
      </c>
      <c r="F5" s="217">
        <v>1.0000000000000001E-9</v>
      </c>
      <c r="G5" s="217"/>
      <c r="H5" s="217">
        <f t="shared" ref="H5:H36" si="0">F5*Vout</f>
        <v>2.8000000000000003E-8</v>
      </c>
      <c r="I5" s="541">
        <f t="shared" ref="I5:I36" si="1">Vin-F5*(Rdcr_pri+RON/1000)/CG5/Nps</f>
        <v>27.999987046181317</v>
      </c>
      <c r="J5" s="172">
        <f t="shared" ref="J5:J36" si="2">(T5+Vfwd1+F5/CG5*Rdcr_sec)*Nps</f>
        <v>28.400006975133135</v>
      </c>
      <c r="K5" s="172">
        <f t="shared" ref="K5:K36" si="3">(Vout+Vfwd1+F5/CG5*Rdcr_sec)*Nps+VIN_nom</f>
        <v>56.400006975133138</v>
      </c>
      <c r="L5" s="443"/>
      <c r="M5" s="217">
        <f t="shared" ref="M5:M36" si="4">(Vout+Vfwd1+F5/FL5*Rdcr_sec)*Nps/((Vout+Vfwd1+F5/FL5*Rdcr_sec)*Nps+I5)</f>
        <v>0.50354627677880814</v>
      </c>
      <c r="N5" s="172">
        <f t="shared" ref="N5:N36" si="5">M5*I5*(Isw_max+VIN_nom/Lmag*ILIM_delay)*0.5*Efficiency</f>
        <v>118.75401337544011</v>
      </c>
      <c r="O5" s="172">
        <f>T5*F5</f>
        <v>2.8000000000000003E-8</v>
      </c>
      <c r="P5" s="217">
        <f t="shared" ref="P5:P36" si="6">N5/Vout</f>
        <v>4.2412147634085757</v>
      </c>
      <c r="Q5" s="217">
        <f t="shared" ref="Q5:Q36" si="7">MIN(Vout,N5/F5)</f>
        <v>28</v>
      </c>
      <c r="R5" s="217">
        <f t="shared" ref="R5:R36" si="8">Isw_max/2*I5*Nps*(Q5+Vfwd1+F5/FL5*Rdcr_sec)/Q5/(I5+Nps*(Q5+Vfwd1+F5/FL5*Rdcr_sec))</f>
        <v>4.1962170318331724</v>
      </c>
      <c r="S5" s="172">
        <f t="shared" ref="S5:S36" si="9">(SQRT(Isw_max^2*Nps^2*I5^2+4*Isw_max*F5/Efficiency*(Nps^2*Vfwd1*I5-Nps*I5^2)+4*(F5/Efficiency)^2*Nps^2*Vfwd1^2+8*(F5/Efficiency)^2*Nps*Vfwd1*I5+4*(F5/Efficiency)^2*I5^2)-2*F5/Efficiency*I5-2*F5/Efficiency*Nps*Vfwd1+Isw_max*Nps*I5)/(4*F5/Efficiency*Nps)</f>
        <v>233333225356.84433</v>
      </c>
      <c r="T5" s="172">
        <f t="shared" ref="T5:T36" si="10">MIN(Vout, S5)</f>
        <v>28</v>
      </c>
      <c r="U5" s="217">
        <f>MIN(2*(Vout+Vfwd1+F5/FL5*Rdcr_sec)*F5/(I5*M5), Isw_max)</f>
        <v>4.0285728688329574E-9</v>
      </c>
      <c r="V5" s="217">
        <f t="shared" ref="V5:V68" si="11">L*U5/I5*1000000</f>
        <v>6.7622504440041121E-10</v>
      </c>
      <c r="W5" s="217">
        <f t="shared" ref="W5:W36" si="12">L*U5/J5*1000000</f>
        <v>6.6670027581660973E-10</v>
      </c>
      <c r="X5" s="197">
        <f t="shared" ref="X5:X36" si="13">IF(1/((350000*L)*(1/I5+1/J5))&gt;Isw_min, 350, 0.001/((Isw_min*L)*(1/I5+1/J5)))</f>
        <v>350</v>
      </c>
      <c r="Y5" s="443">
        <f t="shared" ref="Y5:Y68" si="14">MIN(1/(V5+W5+0.2)*1000, 350)</f>
        <v>350</v>
      </c>
      <c r="AA5" s="217">
        <f t="shared" ref="AA5:AA36" si="15">1/((X5*1000*L)*(1/I5+1/J5))</f>
        <v>8.5709964831145697</v>
      </c>
      <c r="AB5" s="173">
        <f t="shared" ref="AB5:AB36" si="16">L*AA5/J5*1000000</f>
        <v>1.4184392104519767</v>
      </c>
      <c r="AC5" s="173">
        <f t="shared" ref="AC5:AC36" si="17">0.5*AB5*AA5*Nps*X5/1000</f>
        <v>2.1275515597517476</v>
      </c>
      <c r="AD5" s="173"/>
      <c r="AE5" s="173">
        <f t="shared" ref="AE5:AE36" si="18">L*Isw_min/J5*1000000</f>
        <v>0.55164305700291905</v>
      </c>
      <c r="AF5" s="545">
        <f>MAX(12, F5/(0.5*AE5/1000000*Isw_min*Nps)/1000)</f>
        <v>12</v>
      </c>
      <c r="AG5" s="528">
        <f t="shared" ref="AG5:AG36" si="19">0.5*AE5/1000000*Isw_min*Nps*X5*1000</f>
        <v>0.32179178325170277</v>
      </c>
      <c r="AI5" s="173">
        <f t="shared" ref="AI5:AI36" si="20">SQRT(F5/Efficiency/(0.5*L/J5*Fsw_DCM*Nps))</f>
        <v>1.8581949268132298E-4</v>
      </c>
      <c r="AJ5" s="173">
        <f t="shared" ref="AJ5:AJ36" si="21">MAX(IF(F5&gt;AC5,U5,AI5),Isw_min)</f>
        <v>3.3333333333333335</v>
      </c>
      <c r="AK5" s="173">
        <f t="shared" ref="AK5:AK36" si="22">IF(F5&gt;AG5, (AJ5-Isw_min)/1.08*0.8+1.2, AF5*0.2/350+1)</f>
        <v>1.0068571428571429</v>
      </c>
      <c r="AM5" s="545">
        <f t="shared" ref="AM5:AM36" si="23">F5*1000</f>
        <v>1.0000000000000002E-6</v>
      </c>
      <c r="AN5" s="460">
        <f t="shared" ref="AN5:AN36" si="24">IF(F5&gt;AG5, Y5, AF5)</f>
        <v>12</v>
      </c>
      <c r="AP5">
        <f t="shared" ref="AP5:AP36" si="25">IF(H5&gt;N5, "",AM5)</f>
        <v>1.0000000000000002E-6</v>
      </c>
      <c r="AQ5" s="460">
        <f t="shared" ref="AQ5:AQ36" si="26">IF(H5&gt;N5, "",AN5)</f>
        <v>12</v>
      </c>
      <c r="AR5" s="460"/>
      <c r="AS5" s="5">
        <f>1/AN5*1000</f>
        <v>83.333333333333329</v>
      </c>
      <c r="AT5" s="5">
        <f t="shared" ref="AT5:AT36" si="27">L*AJ5/I5*1000000</f>
        <v>0.55952406837999991</v>
      </c>
      <c r="AU5" s="5">
        <f>AS5-AT5</f>
        <v>82.773809264953329</v>
      </c>
      <c r="AV5" s="5">
        <f t="shared" ref="AV5:AV36" si="28">L*AJ5/J5*1000000</f>
        <v>0.55164305700291905</v>
      </c>
      <c r="AW5" s="173">
        <f>AT5/AS5</f>
        <v>6.714288820559999E-3</v>
      </c>
      <c r="AX5" s="173">
        <f t="shared" ref="AX5:AX36" si="29">0.5*L*AJ5^2*AN5*1000</f>
        <v>0.31333333333333335</v>
      </c>
      <c r="AY5" s="173">
        <f t="shared" ref="AY5:AY36" si="30">AJ5*Nps/2*(1-AW5)</f>
        <v>1.6554761852990667</v>
      </c>
      <c r="AZ5" s="173">
        <f>AX5/AY5</f>
        <v>0.18927081894369188</v>
      </c>
      <c r="BA5" s="460">
        <f t="shared" ref="BA5:BA36" si="31">F5*AT5/Vout_ripple*1000</f>
        <v>1.9983002442142853E-9</v>
      </c>
      <c r="BB5" s="5">
        <f t="shared" ref="BB5:BB36" si="32">H5/Efficiency/I5*AU5/Vinripple1</f>
        <v>5.9124176827961892E-8</v>
      </c>
      <c r="BC5" s="5"/>
      <c r="BD5" s="173">
        <f>AJ5*SQRT(AW5/3)</f>
        <v>0.15769507402720112</v>
      </c>
      <c r="BE5" s="173">
        <f t="shared" ref="BE5:BE36" si="33">AJ5*Nps*SQRT((1-AW5)/3)</f>
        <v>1.9180291883418403</v>
      </c>
      <c r="BF5" s="173"/>
      <c r="BG5" s="528">
        <f t="shared" ref="BG5:BG36" si="34">Rdson*BD5^2</f>
        <v>2.9841283646933332E-4</v>
      </c>
      <c r="BH5" s="528">
        <f t="shared" ref="BH5:BH36" si="35">0.5*K5*AJ5*AN5*1000*Tfall</f>
        <v>4.1172005091847201E-2</v>
      </c>
      <c r="BI5" s="528">
        <f t="shared" ref="BI5:BI36" si="36">Qg*Vdd*AN5*1000</f>
        <v>1.3800000000000002E-3</v>
      </c>
      <c r="BJ5" s="528">
        <f t="shared" ref="BJ5:BJ36" si="37">0.5*(Coss+Csw)*K5^2*AN5*1000</f>
        <v>1.8799478249958847E-2</v>
      </c>
      <c r="BK5">
        <f t="shared" ref="BK5:BK36" si="38">I5*IQ</f>
        <v>1.2599994170781592E-2</v>
      </c>
      <c r="BL5" s="460">
        <f>(BK5+BI5)*1000</f>
        <v>13.979994170781593</v>
      </c>
      <c r="BM5" s="528">
        <f t="shared" ref="BM5:BM36" si="39">(BH5+BI5*0+BJ5+BK5*0+BG5*(1+RdsonTC*(Ta-25)))/(1-BG5*RdsonTC*ThetaJA)</f>
        <v>6.0354746970104192E-2</v>
      </c>
      <c r="BN5" s="460">
        <f>BM5*1000</f>
        <v>60.354746970104195</v>
      </c>
      <c r="BO5" s="528">
        <f>Vfwd2*F5*(1+Diode_TC/1000*(Ta-25))</f>
        <v>6.7059999999999994E-10</v>
      </c>
      <c r="BP5" s="528"/>
      <c r="BR5" s="460">
        <f>SUM(BO5:BQ5)*1000</f>
        <v>6.7059999999999998E-7</v>
      </c>
      <c r="BS5" s="528">
        <f t="shared" ref="BS5:BS36" si="40">Rdcr_pri*BD5^2</f>
        <v>3.4814830921422221E-4</v>
      </c>
      <c r="BT5" s="528">
        <f t="shared" ref="BT5:BT36" si="41">Rdcr_sec*BE5^2</f>
        <v>5.1503703542637627E-2</v>
      </c>
      <c r="BU5" s="528">
        <f t="shared" ref="BU5:BU36" si="42">AJ5^2.5*AN5^2.5*k_core</f>
        <v>5.0596442562694083E-4</v>
      </c>
      <c r="BV5" s="528">
        <f t="shared" ref="BV5:BV36" si="43">(BU5+(BS5+BT5)*(1+Ltc*(Ta-25)))/(1-(BS5+BT5)*Ltc*ThetaCa)</f>
        <v>6.5072189805561106E-2</v>
      </c>
      <c r="BW5" s="528">
        <f t="shared" ref="BW5:BW36" si="44">0.5*Lleak*0.000000001*AJ5^2*AN5*1000</f>
        <v>1.3333333333333334E-2</v>
      </c>
      <c r="BX5" s="460">
        <f>1000*(BV5+BW5)</f>
        <v>78.405523138894438</v>
      </c>
      <c r="BY5" s="173">
        <f t="shared" ref="BY5:BY68" si="45">SUM(BM5,BO5:BQ5,BV5, BW5)+BK5+BI5</f>
        <v>0.15274026495038021</v>
      </c>
      <c r="BZ5" s="5">
        <f>MIN(H5,O5)</f>
        <v>2.8000000000000003E-8</v>
      </c>
      <c r="CA5" s="173">
        <f>BZ5/(BZ5+BY5)</f>
        <v>1.833177052311677E-7</v>
      </c>
      <c r="CB5" s="5">
        <f>CA5*100</f>
        <v>1.8331770523116768E-5</v>
      </c>
      <c r="CE5" s="562">
        <f t="shared" ref="CE5:CE36" si="46">IF(ABS(F5-Ioutmax_Vinnom)&lt;Iout/200, AN5, -50)</f>
        <v>-50</v>
      </c>
      <c r="CF5">
        <f t="shared" ref="CF5:CF36" si="47">IF(ABS(F5-Ioutmax_Vinnom)&lt;Iout/200, N5*CA5, -50)</f>
        <v>-50</v>
      </c>
      <c r="CG5" s="173">
        <f t="shared" ref="CG5:CG36" si="48">MIN(SQRT(2*DU5*1000*Ls1_*CL5)/CU5,1-EA5-0.00000005*DU5*1000)</f>
        <v>2.0071301473923978E-6</v>
      </c>
      <c r="CI5" s="170">
        <v>0.1</v>
      </c>
      <c r="CJ5" s="217">
        <v>1.0000000000000001E-9</v>
      </c>
      <c r="CK5" s="217"/>
      <c r="CL5" s="217">
        <f t="shared" ref="CL5:CL68" si="49">CJ5*Vout</f>
        <v>2.8000000000000003E-8</v>
      </c>
      <c r="CM5" s="541">
        <f t="shared" ref="CM5:CM68" si="50">Vin</f>
        <v>28</v>
      </c>
      <c r="CN5" s="172">
        <f t="shared" ref="CN5:CN68" si="51">(CX5+Vfwd1)*Nps</f>
        <v>28.4</v>
      </c>
      <c r="CO5" s="443">
        <f t="shared" ref="CO5:CO68" si="52">(Vout+Vfwd1)*Nps+CM5</f>
        <v>56.4</v>
      </c>
      <c r="CP5" s="443"/>
      <c r="CQ5" s="217">
        <f t="shared" ref="CQ5:CQ68" si="53">(Vout+Vfwd1)*Nps/((Vout+Vfwd1)*Nps+CM5)</f>
        <v>0.50354609929078009</v>
      </c>
      <c r="CR5" s="172">
        <f t="shared" ref="CR5:CR68" si="54">CQ5*CM5*(Isw_max+VIN_nom/Lmag*ILIM_delay)*0.5*Efficiency</f>
        <v>118.75402645742166</v>
      </c>
      <c r="CS5" s="172">
        <f>CX5*CJ5</f>
        <v>2.8000000000000003E-8</v>
      </c>
      <c r="CT5" s="217">
        <f t="shared" ref="CT5:CT68" si="55">CR5/Vout</f>
        <v>4.2412152306222017</v>
      </c>
      <c r="CU5" s="217">
        <f t="shared" ref="CU5:CU68" si="56">MIN(Vout,CR5/CJ5)</f>
        <v>28</v>
      </c>
      <c r="CV5" s="217">
        <f t="shared" ref="CV5:CV68" si="57">Isw_max/2*CM5*Nps*(CU5+Vfwd1)/CU5/(CM5+Nps*(CU5+Vfwd1))</f>
        <v>4.1962174940898347</v>
      </c>
      <c r="CW5" s="172">
        <f t="shared" ref="CW5:CW68" si="58">(SQRT(Isw_max^2*Nps^2*CM5^2+4*Isw_max*CJ5/Efficiency*(Nps^2*Vfwd1*CM5-Nps*CM5^2)+4*(CJ5/Efficiency)^2*Nps^2*Vfwd1^2+8*(CJ5/Efficiency)^2*Nps*Vfwd1*CM5+4*(CJ5/Efficiency)^2*CM5^2)-2*CJ5/Efficiency*CM5-2*CJ5/Efficiency*Nps*Vfwd1+Isw_max*Nps*CM5)/(4*CJ5/Efficiency*Nps)</f>
        <v>233333333305.33331</v>
      </c>
      <c r="CX5" s="172">
        <f t="shared" ref="CX5:CX68" si="59">MIN(Vout, CW5)</f>
        <v>28</v>
      </c>
      <c r="CY5" s="217">
        <f t="shared" ref="CY5:CY68" si="60">MIN(2*Vout*CJ5/(CM5*CQ5), Isw_max)</f>
        <v>3.9718309859154938E-9</v>
      </c>
      <c r="CZ5" s="217">
        <f t="shared" ref="CZ5:CZ68" si="61">L*CY5/CM5*1000000</f>
        <v>6.6670020120724368E-10</v>
      </c>
      <c r="DA5" s="217">
        <f t="shared" ref="DA5:DA68" si="62">L*CY5/CN5*1000000</f>
        <v>6.5731005752826846E-10</v>
      </c>
      <c r="DB5" s="197">
        <f t="shared" ref="DB5:DB68" si="63">IF(1/((350000*L)*(1/CM5+1/CN5))&gt;Isw_min, 350, 0.001/((Isw_min*L)*(1/CM5+1/CN5)))</f>
        <v>350</v>
      </c>
      <c r="DC5" s="443">
        <f>MIN(1/(CZ5+DA5)*1000, 350)</f>
        <v>350</v>
      </c>
      <c r="DE5" s="217">
        <f t="shared" ref="DE5:DE68" si="64">1/((DB5*1000*L)*(1/CM5+1/CN5))</f>
        <v>8.5709974347366842</v>
      </c>
      <c r="DF5" s="173">
        <f t="shared" ref="DF5:DF68" si="65">L*DE5/CN5*1000000</f>
        <v>1.418439716312057</v>
      </c>
      <c r="DG5" s="173">
        <f t="shared" ref="DG5:DG68" si="66">0.5*DF5*DE5*Nps*DB5/1000</f>
        <v>2.1275525547218721</v>
      </c>
      <c r="DH5" s="173"/>
      <c r="DI5" s="173">
        <f t="shared" ref="DI5:DI68" si="67">L*Isw_min/CN5*1000000</f>
        <v>0.55164319248826299</v>
      </c>
      <c r="DJ5" s="545">
        <f>MAX(12, CJ5/(0.5*DI5/1000000*Isw_min*Nps)/1000)</f>
        <v>12</v>
      </c>
      <c r="DK5" s="528">
        <f t="shared" ref="DK5:DK68" si="68">0.5*DI5/1000000*Isw_min*Nps*DB5*1000</f>
        <v>0.3217918622848201</v>
      </c>
      <c r="DM5" s="173">
        <f t="shared" ref="DM5:DM68" si="69">SQRT(CJ5/Efficiency/(0.5*L/CN5*Fsw_DCM*Nps))</f>
        <v>1.8581946986238879E-4</v>
      </c>
      <c r="DN5" s="173">
        <f t="shared" ref="DN5:DN68" si="70">MAX(IF(CJ5&gt;DG5,CY5,DM5),Isw_min)</f>
        <v>3.3333333333333335</v>
      </c>
      <c r="DO5" s="173">
        <f t="shared" ref="DO5:DO68" si="71">IF(CJ5&gt;DK5, (DN5-Isw_min)/1.08*0.8+1.2, DJ5*0.2/350+1)</f>
        <v>1.0068571428571429</v>
      </c>
      <c r="DQ5" s="545">
        <f t="shared" ref="DQ5:DQ68" si="72">CJ5*1000</f>
        <v>1.0000000000000002E-6</v>
      </c>
      <c r="DR5" s="460">
        <f t="shared" ref="DR5:DR68" si="73">IF(CJ5&gt;DK5, DC5, DJ5)</f>
        <v>12</v>
      </c>
      <c r="DT5">
        <f t="shared" ref="DT5:DT68" si="74">IF(CL5&gt;CR5, "",DQ5)</f>
        <v>1.0000000000000002E-6</v>
      </c>
      <c r="DU5" s="460">
        <f t="shared" ref="DU5:DU68" si="75">IF(CL5&gt;CR5, "",DR5)</f>
        <v>12</v>
      </c>
      <c r="DV5" s="460"/>
      <c r="DW5" s="5">
        <f>1/DR5*1000</f>
        <v>83.333333333333329</v>
      </c>
      <c r="DX5" s="5">
        <f t="shared" ref="DX5:DX68" si="76">L*DN5/CM5*1000000</f>
        <v>0.55952380952380953</v>
      </c>
      <c r="DY5" s="5">
        <f>DW5-DX5</f>
        <v>82.773809523809518</v>
      </c>
      <c r="DZ5" s="5">
        <f t="shared" ref="DZ5:DZ68" si="77">L*DN5/CN5*1000000</f>
        <v>0.55164319248826299</v>
      </c>
      <c r="EA5" s="173">
        <f>DX5/DW5</f>
        <v>6.7142857142857152E-3</v>
      </c>
      <c r="EB5" s="173">
        <f t="shared" ref="EB5:EB68" si="78">0.5*L*DN5^2*DR5*1000</f>
        <v>0.31333333333333335</v>
      </c>
      <c r="EC5" s="173">
        <f t="shared" ref="EC5:EC68" si="79">DN5*Nps/2*(1-EA5)</f>
        <v>1.6554761904761905</v>
      </c>
      <c r="ED5" s="173">
        <f>EB5/EC5</f>
        <v>0.1892708183517906</v>
      </c>
      <c r="EE5" s="460">
        <f t="shared" ref="EE5:EE68" si="80">CJ5*DX5/Vout_ripple*1000</f>
        <v>1.9982993197278914E-9</v>
      </c>
      <c r="EF5" s="5">
        <f t="shared" ref="EF5:EF68" si="81">CL5/Efficiency/CM5*DY5/Vinripple1</f>
        <v>5.9124149659863936E-8</v>
      </c>
      <c r="EG5" s="5"/>
      <c r="EH5" s="173">
        <f>DN5*SQRT(EA5/3)</f>
        <v>0.15769503754945768</v>
      </c>
      <c r="EI5" s="173">
        <f t="shared" ref="EI5:EI68" si="82">DN5*Nps*SQRT((1-EA5)/3)</f>
        <v>1.9180291913409397</v>
      </c>
      <c r="EJ5" s="173"/>
      <c r="EK5" s="528">
        <f t="shared" ref="EK5:EK68" si="83">Rdson*EH5^2</f>
        <v>2.984126984126984E-4</v>
      </c>
      <c r="EL5" s="528">
        <f t="shared" ref="EL5:EL68" si="84">0.5*CO5*DN5*DR5*1000*Trise</f>
        <v>4.2864000000000006E-2</v>
      </c>
      <c r="EM5" s="528">
        <f t="shared" ref="EM5:EM68" si="85">Qg*Vdd*DR5*1000</f>
        <v>1.3800000000000002E-3</v>
      </c>
      <c r="EN5" s="528">
        <f t="shared" ref="EN5:EN68" si="86">0.5*(Coss+Csw)*CO5^2*DR5*1000</f>
        <v>1.8799473600000002E-2</v>
      </c>
      <c r="EO5">
        <f t="shared" ref="EO5:EO68" si="87">CM5*IQ</f>
        <v>1.26E-2</v>
      </c>
      <c r="EP5" s="460">
        <f>(EO5+EM5)*1000</f>
        <v>13.979999999999999</v>
      </c>
      <c r="EQ5" s="528">
        <f t="shared" ref="EQ5:EQ68" si="88">(EL5+EM5+EN5+EO5+EK5*(1+RdsonTC*(Ta-25)))/(1-EK5*RdsonTC*ThetaJA)</f>
        <v>7.602784831865235E-2</v>
      </c>
      <c r="ER5" s="460">
        <f>EQ5*1000</f>
        <v>76.027848318652346</v>
      </c>
      <c r="ES5" s="528">
        <f>Vfwd2*CJ5*(1+Diode_TC/1000*(Ta-25))</f>
        <v>6.7059999999999994E-10</v>
      </c>
      <c r="ET5" s="528"/>
      <c r="EV5" s="460">
        <f>SUM(ES5:EU5)*1000</f>
        <v>6.7059999999999998E-7</v>
      </c>
      <c r="EW5" s="528">
        <f t="shared" ref="EW5:EW68" si="89">Rdcr_pri*EH5^2</f>
        <v>3.4814814814814816E-4</v>
      </c>
      <c r="EX5" s="528">
        <f t="shared" ref="EX5:EX68" si="90">Rdcr_sec*EI5^2</f>
        <v>5.1503703703703711E-2</v>
      </c>
      <c r="EY5" s="528">
        <f t="shared" ref="EY5:EY68" si="91">DN5^2.5*DR5^2.5*k_core</f>
        <v>5.0596442562694083E-4</v>
      </c>
      <c r="EZ5" s="528">
        <f t="shared" ref="EZ5:EZ68" si="92">(EY5+(EW5+EX5)*(1+Ltc*(Ta-25)))/(1-(EW5+EX5)*Ltc*ThetaCa)</f>
        <v>6.5072189805561106E-2</v>
      </c>
      <c r="FA5" s="528">
        <f t="shared" ref="FA5:FA68" si="93">0.5*Lleak*0.000000001*DN5^2*DR5*1000</f>
        <v>1.3333333333333334E-2</v>
      </c>
      <c r="FB5" s="460">
        <f>1000*(EZ5+FA5)</f>
        <v>78.405523138894438</v>
      </c>
      <c r="FC5" s="173">
        <f>SUM(EQ5,ES5:EU5,EZ5, FA5)</f>
        <v>0.15443337212814681</v>
      </c>
      <c r="FD5" s="5">
        <f>MIN(CL5,CS5)</f>
        <v>2.8000000000000003E-8</v>
      </c>
      <c r="FE5" s="173">
        <f>FD5/(FD5+FC5)</f>
        <v>1.8130792935184984E-7</v>
      </c>
      <c r="FF5" s="5">
        <f>FE5*100</f>
        <v>1.8130792935184985E-5</v>
      </c>
      <c r="FI5" s="562">
        <f t="shared" ref="FI5:FI68" si="94">IF(ABS(CJ5-Ioutmax_Vinnom)&lt;Iout/200, DR5, -50)</f>
        <v>-50</v>
      </c>
      <c r="FJ5">
        <f t="shared" ref="FJ5:FJ68" si="95">IF(ABS(CJ5-Ioutmax_Vinnom)&lt;Iout/200, CR5*FE5, -50)</f>
        <v>-50</v>
      </c>
      <c r="FL5">
        <f t="shared" ref="FL5:FL36" si="96">MIN(SQRT(2*L*DR5*1000*CJ5*(CX5+Vfwd1))/(Nps*(CX5+Vfwd1)), 1-EA5)</f>
        <v>1.9929453042960042E-6</v>
      </c>
    </row>
    <row r="6" spans="2:168">
      <c r="E6" s="170">
        <v>1</v>
      </c>
      <c r="F6" s="217">
        <f t="shared" ref="F6:F37" si="97">IF(PLOT_TYPE=1, E6/100*Iout_max, min_I*EXP(N6*rr/100))</f>
        <v>2.5000000000000001E-2</v>
      </c>
      <c r="G6" s="217"/>
      <c r="H6" s="217">
        <f t="shared" si="0"/>
        <v>0.70000000000000007</v>
      </c>
      <c r="I6" s="541">
        <f t="shared" si="1"/>
        <v>27.956972913142501</v>
      </c>
      <c r="J6" s="172">
        <f t="shared" si="2"/>
        <v>28.423168431384806</v>
      </c>
      <c r="K6" s="172">
        <f t="shared" si="3"/>
        <v>56.423168431384809</v>
      </c>
      <c r="L6" s="443"/>
      <c r="M6" s="217">
        <f t="shared" si="4"/>
        <v>0.50413584504270037</v>
      </c>
      <c r="N6" s="172">
        <f t="shared" si="5"/>
        <v>118.71040855634737</v>
      </c>
      <c r="O6" s="172">
        <f t="shared" ref="O6:O69" si="98">T6*F6</f>
        <v>0.70000000000000007</v>
      </c>
      <c r="P6" s="217">
        <f t="shared" si="6"/>
        <v>4.2396574484409779</v>
      </c>
      <c r="Q6" s="217">
        <f t="shared" si="7"/>
        <v>28</v>
      </c>
      <c r="R6" s="217">
        <f t="shared" si="8"/>
        <v>4.1946762394056494</v>
      </c>
      <c r="S6" s="172">
        <f t="shared" si="9"/>
        <v>9291.0352016932175</v>
      </c>
      <c r="T6" s="172">
        <f t="shared" si="10"/>
        <v>28</v>
      </c>
      <c r="U6" s="217">
        <f t="shared" ref="U6:U36" si="99">MIN(2*(Vout+Vfwd1+F6/FL6*Rdcr_sec)*F6/(I6*M6), Isw_max)</f>
        <v>0.1008340681618853</v>
      </c>
      <c r="V6" s="217">
        <f t="shared" si="11"/>
        <v>1.6951768055620649E-2</v>
      </c>
      <c r="W6" s="217">
        <f t="shared" si="12"/>
        <v>1.6673725925557239E-2</v>
      </c>
      <c r="X6" s="197">
        <f t="shared" si="13"/>
        <v>350</v>
      </c>
      <c r="Y6" s="443">
        <f t="shared" si="14"/>
        <v>350</v>
      </c>
      <c r="AA6" s="217">
        <f t="shared" si="15"/>
        <v>8.5678246917844856</v>
      </c>
      <c r="AB6" s="173">
        <f t="shared" si="16"/>
        <v>1.4167588722066038</v>
      </c>
      <c r="AC6" s="173">
        <f t="shared" si="17"/>
        <v>2.1242447883293845</v>
      </c>
      <c r="AD6" s="173"/>
      <c r="AE6" s="173">
        <f t="shared" si="18"/>
        <v>0.55119353440440388</v>
      </c>
      <c r="AF6" s="545">
        <f t="shared" ref="AF6:AF36" si="100">MAX(12, F6/(0.5*AE6/1000000*Isw_min*Nps)/1000)</f>
        <v>27.213671902389706</v>
      </c>
      <c r="AG6" s="528">
        <f t="shared" si="19"/>
        <v>0.3215295617359023</v>
      </c>
      <c r="AI6" s="173">
        <f t="shared" si="20"/>
        <v>0.92947624614045721</v>
      </c>
      <c r="AJ6" s="173">
        <f t="shared" si="21"/>
        <v>3.3333333333333335</v>
      </c>
      <c r="AK6" s="173">
        <f t="shared" si="22"/>
        <v>1.0155506696585084</v>
      </c>
      <c r="AM6" s="545">
        <f t="shared" si="23"/>
        <v>25</v>
      </c>
      <c r="AN6" s="460">
        <f t="shared" si="24"/>
        <v>27.213671902389706</v>
      </c>
      <c r="AP6">
        <f t="shared" si="25"/>
        <v>25</v>
      </c>
      <c r="AQ6" s="460">
        <f t="shared" si="26"/>
        <v>27.213671902389706</v>
      </c>
      <c r="AR6" s="460"/>
      <c r="AS6" s="5">
        <f t="shared" ref="AS6:AS69" si="101">1/AN6*1000</f>
        <v>36.746235626960257</v>
      </c>
      <c r="AT6" s="5">
        <f t="shared" si="27"/>
        <v>0.56038494279549866</v>
      </c>
      <c r="AU6" s="5">
        <f t="shared" ref="AU6:AU69" si="102">AS6-AT6</f>
        <v>36.185850684164755</v>
      </c>
      <c r="AV6" s="5">
        <f t="shared" si="28"/>
        <v>0.55119353440440388</v>
      </c>
      <c r="AW6" s="173">
        <f t="shared" ref="AW6:AW69" si="103">AT6/AS6</f>
        <v>1.5250131972276126E-2</v>
      </c>
      <c r="AX6" s="173">
        <f t="shared" si="29"/>
        <v>0.71057921078462016</v>
      </c>
      <c r="AY6" s="173">
        <f t="shared" si="30"/>
        <v>1.6412497800462065</v>
      </c>
      <c r="AZ6" s="173">
        <f t="shared" ref="AZ6:AZ69" si="104">AX6/AY6</f>
        <v>0.43295007220937148</v>
      </c>
      <c r="BA6" s="460">
        <f t="shared" si="31"/>
        <v>5.0034369892455244E-2</v>
      </c>
      <c r="BB6" s="5">
        <f t="shared" si="32"/>
        <v>0.64717039996762094</v>
      </c>
      <c r="BC6" s="5"/>
      <c r="BD6" s="173">
        <f t="shared" ref="BD6:BD69" si="105">AJ6*SQRT(AW6/3)</f>
        <v>0.23765935762702331</v>
      </c>
      <c r="BE6" s="173">
        <f t="shared" si="33"/>
        <v>1.9097700734475902</v>
      </c>
      <c r="BF6" s="173"/>
      <c r="BG6" s="528">
        <f t="shared" si="34"/>
        <v>6.7778364321227234E-4</v>
      </c>
      <c r="BH6" s="528">
        <f t="shared" si="35"/>
        <v>9.3408463597586214E-2</v>
      </c>
      <c r="BI6" s="528">
        <f t="shared" si="36"/>
        <v>3.1295722687748164E-3</v>
      </c>
      <c r="BJ6" s="528">
        <f t="shared" si="37"/>
        <v>4.2668592759174499E-2</v>
      </c>
      <c r="BK6">
        <f t="shared" si="38"/>
        <v>1.2580637810914124E-2</v>
      </c>
      <c r="BL6" s="460">
        <f t="shared" ref="BL6:BL69" si="106">(BK6+BI6)*1000</f>
        <v>15.710210079688942</v>
      </c>
      <c r="BM6" s="528">
        <f t="shared" si="39"/>
        <v>0.13695989779645246</v>
      </c>
      <c r="BN6" s="460">
        <f t="shared" ref="BN6:BN69" si="107">BM6*1000</f>
        <v>136.95989779645245</v>
      </c>
      <c r="BO6" s="528">
        <f t="shared" ref="BO6:BO36" si="108">Vfwd2*F6*(1+Diode_TC/1000*(Ta-25))</f>
        <v>1.6764999999999999E-2</v>
      </c>
      <c r="BP6" s="528"/>
      <c r="BR6" s="460">
        <f t="shared" ref="BR6:BR69" si="109">SUM(BO6:BQ6)*1000</f>
        <v>16.764999999999997</v>
      </c>
      <c r="BS6" s="528">
        <f t="shared" si="40"/>
        <v>7.9074758374765108E-4</v>
      </c>
      <c r="BT6" s="528">
        <f t="shared" si="41"/>
        <v>5.1061104268104202E-2</v>
      </c>
      <c r="BU6" s="528">
        <f t="shared" si="42"/>
        <v>3.9186342383187092E-3</v>
      </c>
      <c r="BV6" s="528">
        <f t="shared" si="43"/>
        <v>6.8499074845083496E-2</v>
      </c>
      <c r="BW6" s="528">
        <f t="shared" si="44"/>
        <v>3.0237413224877455E-2</v>
      </c>
      <c r="BX6" s="460">
        <f t="shared" ref="BX6:BX69" si="110">1000*(BV6+BW6)</f>
        <v>98.736488069960956</v>
      </c>
      <c r="BY6" s="173">
        <f t="shared" si="45"/>
        <v>0.26817159594610235</v>
      </c>
      <c r="BZ6" s="5">
        <f t="shared" ref="BZ6:BZ69" si="111">MIN(H6,O6)</f>
        <v>0.70000000000000007</v>
      </c>
      <c r="CA6" s="173">
        <f t="shared" ref="CA6:CA69" si="112">BZ6/(BZ6+BY6)</f>
        <v>0.72301232852834973</v>
      </c>
      <c r="CB6" s="5">
        <f t="shared" ref="CB6:CB69" si="113">CA6*100</f>
        <v>72.301232852834971</v>
      </c>
      <c r="CE6" s="562">
        <f t="shared" si="46"/>
        <v>-50</v>
      </c>
      <c r="CF6">
        <f t="shared" si="47"/>
        <v>-50</v>
      </c>
      <c r="CG6" s="173">
        <f t="shared" si="48"/>
        <v>1.5106762913155344E-2</v>
      </c>
      <c r="CI6" s="170">
        <v>1</v>
      </c>
      <c r="CJ6" s="217">
        <f t="shared" ref="CJ6:CJ69" si="114">IF(PLOT_TYPE=1, CI6/100*Iout_max, min_I*EXP(CR6*rr/100))</f>
        <v>2.5000000000000001E-2</v>
      </c>
      <c r="CK6" s="217"/>
      <c r="CL6" s="217">
        <f t="shared" si="49"/>
        <v>0.70000000000000007</v>
      </c>
      <c r="CM6" s="541">
        <f t="shared" si="50"/>
        <v>28</v>
      </c>
      <c r="CN6" s="172">
        <f t="shared" si="51"/>
        <v>28.4</v>
      </c>
      <c r="CO6" s="443">
        <f t="shared" si="52"/>
        <v>56.4</v>
      </c>
      <c r="CP6" s="443"/>
      <c r="CQ6" s="217">
        <f t="shared" si="53"/>
        <v>0.50354609929078009</v>
      </c>
      <c r="CR6" s="172">
        <f t="shared" si="54"/>
        <v>118.75402645742166</v>
      </c>
      <c r="CS6" s="172">
        <f t="shared" ref="CS6:CS69" si="115">CX6*CJ6</f>
        <v>0.70000000000000007</v>
      </c>
      <c r="CT6" s="217">
        <f t="shared" si="55"/>
        <v>4.2412152306222017</v>
      </c>
      <c r="CU6" s="217">
        <f t="shared" si="56"/>
        <v>28</v>
      </c>
      <c r="CV6" s="217">
        <f t="shared" si="57"/>
        <v>4.1962174940898347</v>
      </c>
      <c r="CW6" s="172">
        <f t="shared" si="58"/>
        <v>9305.3345368922746</v>
      </c>
      <c r="CX6" s="172">
        <f t="shared" si="59"/>
        <v>28</v>
      </c>
      <c r="CY6" s="217">
        <f t="shared" si="60"/>
        <v>9.9295774647887344E-2</v>
      </c>
      <c r="CZ6" s="217">
        <f t="shared" si="61"/>
        <v>1.6667505030181089E-2</v>
      </c>
      <c r="DA6" s="217">
        <f t="shared" si="62"/>
        <v>1.6432751438206709E-2</v>
      </c>
      <c r="DB6" s="197">
        <f t="shared" si="63"/>
        <v>350</v>
      </c>
      <c r="DC6" s="443">
        <f t="shared" ref="DC6:DC69" si="116">MIN(1/(CZ6+DA6)*1000, 350)</f>
        <v>350</v>
      </c>
      <c r="DE6" s="217">
        <f t="shared" si="64"/>
        <v>8.5709974347366842</v>
      </c>
      <c r="DF6" s="173">
        <f t="shared" si="65"/>
        <v>1.418439716312057</v>
      </c>
      <c r="DG6" s="173">
        <f t="shared" si="66"/>
        <v>2.1275525547218721</v>
      </c>
      <c r="DH6" s="173"/>
      <c r="DI6" s="173">
        <f t="shared" si="67"/>
        <v>0.55164319248826299</v>
      </c>
      <c r="DJ6" s="545">
        <f t="shared" ref="DJ6:DJ69" si="117">MAX(12, CJ6/(0.5*DI6/1000000*Isw_min*Nps)/1000)</f>
        <v>27.191489361702125</v>
      </c>
      <c r="DK6" s="528">
        <f t="shared" si="68"/>
        <v>0.3217918622848201</v>
      </c>
      <c r="DM6" s="173">
        <f t="shared" si="69"/>
        <v>0.92909734931194388</v>
      </c>
      <c r="DN6" s="173">
        <f t="shared" si="70"/>
        <v>3.3333333333333335</v>
      </c>
      <c r="DO6" s="173">
        <f t="shared" si="71"/>
        <v>1.0155379939209725</v>
      </c>
      <c r="DQ6" s="545">
        <f t="shared" si="72"/>
        <v>25</v>
      </c>
      <c r="DR6" s="460">
        <f t="shared" si="73"/>
        <v>27.191489361702125</v>
      </c>
      <c r="DT6">
        <f t="shared" si="74"/>
        <v>25</v>
      </c>
      <c r="DU6" s="460">
        <f t="shared" si="75"/>
        <v>27.191489361702125</v>
      </c>
      <c r="DV6" s="460"/>
      <c r="DW6" s="5">
        <f t="shared" ref="DW6:DW69" si="118">1/DR6*1000</f>
        <v>36.776212832550861</v>
      </c>
      <c r="DX6" s="5">
        <f t="shared" si="76"/>
        <v>0.55952380952380953</v>
      </c>
      <c r="DY6" s="5">
        <f t="shared" ref="DY6:DY69" si="119">DW6-DX6</f>
        <v>36.216689023027051</v>
      </c>
      <c r="DZ6" s="5">
        <f t="shared" si="77"/>
        <v>0.55164319248826299</v>
      </c>
      <c r="EA6" s="173">
        <f t="shared" ref="EA6:EA69" si="120">DX6/DW6</f>
        <v>1.5214285714285715E-2</v>
      </c>
      <c r="EB6" s="173">
        <f t="shared" si="78"/>
        <v>0.71</v>
      </c>
      <c r="EC6" s="173">
        <f t="shared" si="79"/>
        <v>1.6413095238095239</v>
      </c>
      <c r="ED6" s="173">
        <f t="shared" ref="ED6:ED69" si="121">EB6/EC6</f>
        <v>0.43258141727714511</v>
      </c>
      <c r="EE6" s="460">
        <f t="shared" si="80"/>
        <v>4.9957482993197279E-2</v>
      </c>
      <c r="EF6" s="5">
        <f t="shared" si="81"/>
        <v>0.64672658969691155</v>
      </c>
      <c r="EG6" s="5"/>
      <c r="EH6" s="173">
        <f t="shared" ref="EH6:EH69" si="122">DN6*SQRT(EA6/3)</f>
        <v>0.23737987772599081</v>
      </c>
      <c r="EI6" s="173">
        <f t="shared" si="82"/>
        <v>1.909804832268077</v>
      </c>
      <c r="EJ6" s="173"/>
      <c r="EK6" s="528">
        <f t="shared" si="83"/>
        <v>6.7619047619047617E-4</v>
      </c>
      <c r="EL6" s="528">
        <f t="shared" si="84"/>
        <v>9.7127999999999992E-2</v>
      </c>
      <c r="EM6" s="528">
        <f t="shared" si="85"/>
        <v>3.1270212765957444E-3</v>
      </c>
      <c r="EN6" s="528">
        <f t="shared" si="86"/>
        <v>4.2598807199999998E-2</v>
      </c>
      <c r="EO6">
        <f t="shared" si="87"/>
        <v>1.26E-2</v>
      </c>
      <c r="EP6" s="460">
        <f t="shared" ref="EP6:EP69" si="123">(EO6+EM6)*1000</f>
        <v>15.727021276595744</v>
      </c>
      <c r="EQ6" s="528">
        <f t="shared" si="88"/>
        <v>0.15633770804421118</v>
      </c>
      <c r="ER6" s="460">
        <f t="shared" ref="ER6:ER69" si="124">EQ6*1000</f>
        <v>156.33770804421118</v>
      </c>
      <c r="ES6" s="528">
        <f t="shared" ref="ES6:ES69" si="125">Vfwd2*CJ6*(1+Diode_TC/1000*(Ta-25))</f>
        <v>1.6764999999999999E-2</v>
      </c>
      <c r="ET6" s="528"/>
      <c r="EV6" s="460">
        <f t="shared" ref="EV6:EV69" si="126">SUM(ES6:EU6)*1000</f>
        <v>16.764999999999997</v>
      </c>
      <c r="EW6" s="528">
        <f t="shared" si="89"/>
        <v>7.8888888888888889E-4</v>
      </c>
      <c r="EX6" s="528">
        <f t="shared" si="90"/>
        <v>5.106296296296297E-2</v>
      </c>
      <c r="EY6" s="528">
        <f t="shared" si="91"/>
        <v>3.9106536789738338E-3</v>
      </c>
      <c r="EZ6" s="528">
        <f t="shared" si="92"/>
        <v>6.8491061043301604E-2</v>
      </c>
      <c r="FA6" s="528">
        <f t="shared" si="93"/>
        <v>3.0212765957446808E-2</v>
      </c>
      <c r="FB6" s="460">
        <f t="shared" ref="FB6:FB69" si="127">1000*(EZ6+FA6)</f>
        <v>98.703827000748404</v>
      </c>
      <c r="FC6" s="173">
        <f t="shared" ref="FC6:FC69" si="128">SUM(EQ6,ES6:EU6,EZ6, FA6)</f>
        <v>0.27180653504495961</v>
      </c>
      <c r="FD6" s="5">
        <f t="shared" ref="FD6:FD69" si="129">MIN(CL6,CS6)</f>
        <v>0.70000000000000007</v>
      </c>
      <c r="FE6" s="173">
        <f t="shared" ref="FE6:FE69" si="130">FD6/(FD6+FC6)</f>
        <v>0.72030797772687882</v>
      </c>
      <c r="FF6" s="5">
        <f t="shared" ref="FF6:FF69" si="131">FE6*100</f>
        <v>72.030797772687876</v>
      </c>
      <c r="FI6" s="562">
        <f t="shared" si="94"/>
        <v>-50</v>
      </c>
      <c r="FJ6">
        <f t="shared" si="95"/>
        <v>-50</v>
      </c>
      <c r="FL6">
        <f t="shared" si="96"/>
        <v>1.5000000000000001E-2</v>
      </c>
    </row>
    <row r="7" spans="2:168">
      <c r="E7" s="170">
        <v>2</v>
      </c>
      <c r="F7" s="217">
        <f t="shared" si="97"/>
        <v>0.05</v>
      </c>
      <c r="G7" s="217"/>
      <c r="H7" s="217">
        <f t="shared" si="0"/>
        <v>1.4000000000000001</v>
      </c>
      <c r="I7" s="541">
        <f t="shared" si="1"/>
        <v>27.956972913142501</v>
      </c>
      <c r="J7" s="172">
        <f t="shared" si="2"/>
        <v>28.423168431384806</v>
      </c>
      <c r="K7" s="172">
        <f t="shared" si="3"/>
        <v>56.423168431384809</v>
      </c>
      <c r="L7" s="443"/>
      <c r="M7" s="217">
        <f t="shared" si="4"/>
        <v>0.50413584504270037</v>
      </c>
      <c r="N7" s="172">
        <f t="shared" si="5"/>
        <v>118.71040855634737</v>
      </c>
      <c r="O7" s="172">
        <f t="shared" si="98"/>
        <v>1.4000000000000001</v>
      </c>
      <c r="P7" s="217">
        <f t="shared" si="6"/>
        <v>4.2396574484409779</v>
      </c>
      <c r="Q7" s="217">
        <f t="shared" si="7"/>
        <v>28</v>
      </c>
      <c r="R7" s="217">
        <f t="shared" si="8"/>
        <v>4.1946762394056494</v>
      </c>
      <c r="S7" s="172">
        <f t="shared" si="9"/>
        <v>4631.5409268877629</v>
      </c>
      <c r="T7" s="172">
        <f t="shared" si="10"/>
        <v>28</v>
      </c>
      <c r="U7" s="217">
        <f t="shared" si="99"/>
        <v>0.20166813632377059</v>
      </c>
      <c r="V7" s="217">
        <f t="shared" si="11"/>
        <v>3.3903536111241299E-2</v>
      </c>
      <c r="W7" s="217">
        <f t="shared" si="12"/>
        <v>3.3347451851114478E-2</v>
      </c>
      <c r="X7" s="197">
        <f t="shared" si="13"/>
        <v>350</v>
      </c>
      <c r="Y7" s="443">
        <f t="shared" si="14"/>
        <v>350</v>
      </c>
      <c r="AA7" s="217">
        <f t="shared" si="15"/>
        <v>8.5678246917844856</v>
      </c>
      <c r="AB7" s="173">
        <f t="shared" si="16"/>
        <v>1.4167588722066038</v>
      </c>
      <c r="AC7" s="173">
        <f t="shared" si="17"/>
        <v>2.1242447883293845</v>
      </c>
      <c r="AD7" s="173"/>
      <c r="AE7" s="173">
        <f t="shared" si="18"/>
        <v>0.55119353440440388</v>
      </c>
      <c r="AF7" s="545">
        <f t="shared" si="100"/>
        <v>54.427343804779412</v>
      </c>
      <c r="AG7" s="528">
        <f t="shared" si="19"/>
        <v>0.3215295617359023</v>
      </c>
      <c r="AI7" s="173">
        <f t="shared" si="20"/>
        <v>1.3144779131954678</v>
      </c>
      <c r="AJ7" s="173">
        <f t="shared" si="21"/>
        <v>3.3333333333333335</v>
      </c>
      <c r="AK7" s="173">
        <f t="shared" si="22"/>
        <v>1.0311013393170168</v>
      </c>
      <c r="AM7" s="545">
        <f t="shared" si="23"/>
        <v>50</v>
      </c>
      <c r="AN7" s="460">
        <f t="shared" si="24"/>
        <v>54.427343804779412</v>
      </c>
      <c r="AP7">
        <f t="shared" si="25"/>
        <v>50</v>
      </c>
      <c r="AQ7" s="460">
        <f t="shared" si="26"/>
        <v>54.427343804779412</v>
      </c>
      <c r="AR7" s="460"/>
      <c r="AS7" s="5">
        <f t="shared" si="101"/>
        <v>18.373117813480128</v>
      </c>
      <c r="AT7" s="5">
        <f t="shared" si="27"/>
        <v>0.56038494279549866</v>
      </c>
      <c r="AU7" s="5">
        <f t="shared" si="102"/>
        <v>17.812732870684631</v>
      </c>
      <c r="AV7" s="5">
        <f t="shared" si="28"/>
        <v>0.55119353440440388</v>
      </c>
      <c r="AW7" s="173">
        <f t="shared" si="103"/>
        <v>3.0500263944552252E-2</v>
      </c>
      <c r="AX7" s="173">
        <f t="shared" si="29"/>
        <v>1.4211584215692403</v>
      </c>
      <c r="AY7" s="173">
        <f t="shared" si="30"/>
        <v>1.6158328934257462</v>
      </c>
      <c r="AZ7" s="173">
        <f t="shared" si="104"/>
        <v>0.87952066538033258</v>
      </c>
      <c r="BA7" s="460">
        <f t="shared" si="31"/>
        <v>0.10006873978491049</v>
      </c>
      <c r="BB7" s="5">
        <f t="shared" si="32"/>
        <v>0.63714812494277273</v>
      </c>
      <c r="BC7" s="5"/>
      <c r="BD7" s="173">
        <f t="shared" si="105"/>
        <v>0.33610108678101402</v>
      </c>
      <c r="BE7" s="173">
        <f t="shared" si="33"/>
        <v>1.8949247381276979</v>
      </c>
      <c r="BF7" s="173"/>
      <c r="BG7" s="528">
        <f t="shared" si="34"/>
        <v>1.3555672864245447E-3</v>
      </c>
      <c r="BH7" s="528">
        <f t="shared" si="35"/>
        <v>0.18681692719517243</v>
      </c>
      <c r="BI7" s="528">
        <f t="shared" si="36"/>
        <v>6.2591445375496328E-3</v>
      </c>
      <c r="BJ7" s="528">
        <f t="shared" si="37"/>
        <v>8.5337185518348999E-2</v>
      </c>
      <c r="BK7">
        <f t="shared" si="38"/>
        <v>1.2580637810914124E-2</v>
      </c>
      <c r="BL7" s="460">
        <f t="shared" si="106"/>
        <v>18.839782348463757</v>
      </c>
      <c r="BM7" s="528">
        <f t="shared" si="39"/>
        <v>0.27396392223095989</v>
      </c>
      <c r="BN7" s="460">
        <f t="shared" si="107"/>
        <v>273.96392223095989</v>
      </c>
      <c r="BO7" s="528">
        <f t="shared" si="108"/>
        <v>3.3529999999999997E-2</v>
      </c>
      <c r="BP7" s="528"/>
      <c r="BR7" s="460">
        <f t="shared" si="109"/>
        <v>33.529999999999994</v>
      </c>
      <c r="BS7" s="528">
        <f t="shared" si="40"/>
        <v>1.5814951674953022E-3</v>
      </c>
      <c r="BT7" s="528">
        <f t="shared" si="41"/>
        <v>5.0270356684356546E-2</v>
      </c>
      <c r="BU7" s="528">
        <f t="shared" si="42"/>
        <v>2.2167142743239557E-2</v>
      </c>
      <c r="BV7" s="528">
        <f t="shared" si="43"/>
        <v>8.6823596179242332E-2</v>
      </c>
      <c r="BW7" s="528">
        <f t="shared" si="44"/>
        <v>6.0474826449754909E-2</v>
      </c>
      <c r="BX7" s="460">
        <f t="shared" si="110"/>
        <v>147.29842262899723</v>
      </c>
      <c r="BY7" s="173">
        <f t="shared" si="45"/>
        <v>0.47363212720842085</v>
      </c>
      <c r="BZ7" s="5">
        <f t="shared" si="111"/>
        <v>1.4000000000000001</v>
      </c>
      <c r="CA7" s="173">
        <f t="shared" si="112"/>
        <v>0.74721178168838354</v>
      </c>
      <c r="CB7" s="5">
        <f t="shared" si="113"/>
        <v>74.72117816883835</v>
      </c>
      <c r="CE7" s="562">
        <f t="shared" si="46"/>
        <v>-50</v>
      </c>
      <c r="CF7">
        <f t="shared" si="47"/>
        <v>-50</v>
      </c>
      <c r="CG7" s="173">
        <f t="shared" si="48"/>
        <v>3.0213525826310688E-2</v>
      </c>
      <c r="CI7" s="170">
        <v>2</v>
      </c>
      <c r="CJ7" s="217">
        <f t="shared" si="114"/>
        <v>0.05</v>
      </c>
      <c r="CK7" s="217"/>
      <c r="CL7" s="217">
        <f t="shared" si="49"/>
        <v>1.4000000000000001</v>
      </c>
      <c r="CM7" s="541">
        <f t="shared" si="50"/>
        <v>28</v>
      </c>
      <c r="CN7" s="172">
        <f t="shared" si="51"/>
        <v>28.4</v>
      </c>
      <c r="CO7" s="443">
        <f t="shared" si="52"/>
        <v>56.4</v>
      </c>
      <c r="CP7" s="443"/>
      <c r="CQ7" s="217">
        <f t="shared" si="53"/>
        <v>0.50354609929078009</v>
      </c>
      <c r="CR7" s="172">
        <f t="shared" si="54"/>
        <v>118.75402645742166</v>
      </c>
      <c r="CS7" s="172">
        <f t="shared" si="115"/>
        <v>1.4000000000000001</v>
      </c>
      <c r="CT7" s="217">
        <f t="shared" si="55"/>
        <v>4.2412152306222017</v>
      </c>
      <c r="CU7" s="217">
        <f t="shared" si="56"/>
        <v>28</v>
      </c>
      <c r="CV7" s="217">
        <f t="shared" si="57"/>
        <v>4.1962174940898347</v>
      </c>
      <c r="CW7" s="172">
        <f t="shared" si="58"/>
        <v>4638.6690809441443</v>
      </c>
      <c r="CX7" s="172">
        <f t="shared" si="59"/>
        <v>28</v>
      </c>
      <c r="CY7" s="217">
        <f t="shared" si="60"/>
        <v>0.19859154929577469</v>
      </c>
      <c r="CZ7" s="217">
        <f t="shared" si="61"/>
        <v>3.3335010060362179E-2</v>
      </c>
      <c r="DA7" s="217">
        <f t="shared" si="62"/>
        <v>3.2865502876413419E-2</v>
      </c>
      <c r="DB7" s="197">
        <f t="shared" si="63"/>
        <v>350</v>
      </c>
      <c r="DC7" s="443">
        <f t="shared" si="116"/>
        <v>350</v>
      </c>
      <c r="DE7" s="217">
        <f t="shared" si="64"/>
        <v>8.5709974347366842</v>
      </c>
      <c r="DF7" s="173">
        <f t="shared" si="65"/>
        <v>1.418439716312057</v>
      </c>
      <c r="DG7" s="173">
        <f t="shared" si="66"/>
        <v>2.1275525547218721</v>
      </c>
      <c r="DH7" s="173"/>
      <c r="DI7" s="173">
        <f t="shared" si="67"/>
        <v>0.55164319248826299</v>
      </c>
      <c r="DJ7" s="545">
        <f t="shared" si="117"/>
        <v>54.38297872340425</v>
      </c>
      <c r="DK7" s="528">
        <f t="shared" si="68"/>
        <v>0.3217918622848201</v>
      </c>
      <c r="DM7" s="173">
        <f t="shared" si="69"/>
        <v>1.313942072161844</v>
      </c>
      <c r="DN7" s="173">
        <f t="shared" si="70"/>
        <v>3.3333333333333335</v>
      </c>
      <c r="DO7" s="173">
        <f t="shared" si="71"/>
        <v>1.0310759878419453</v>
      </c>
      <c r="DQ7" s="545">
        <f t="shared" si="72"/>
        <v>50</v>
      </c>
      <c r="DR7" s="460">
        <f t="shared" si="73"/>
        <v>54.38297872340425</v>
      </c>
      <c r="DT7">
        <f t="shared" si="74"/>
        <v>50</v>
      </c>
      <c r="DU7" s="460">
        <f t="shared" si="75"/>
        <v>54.38297872340425</v>
      </c>
      <c r="DV7" s="460"/>
      <c r="DW7" s="5">
        <f t="shared" si="118"/>
        <v>18.388106416275431</v>
      </c>
      <c r="DX7" s="5">
        <f t="shared" si="76"/>
        <v>0.55952380952380953</v>
      </c>
      <c r="DY7" s="5">
        <f t="shared" si="119"/>
        <v>17.82858260675162</v>
      </c>
      <c r="DZ7" s="5">
        <f t="shared" si="77"/>
        <v>0.55164319248826299</v>
      </c>
      <c r="EA7" s="173">
        <f t="shared" si="120"/>
        <v>3.042857142857143E-2</v>
      </c>
      <c r="EB7" s="173">
        <f t="shared" si="78"/>
        <v>1.42</v>
      </c>
      <c r="EC7" s="173">
        <f t="shared" si="79"/>
        <v>1.615952380952381</v>
      </c>
      <c r="ED7" s="173">
        <f t="shared" si="121"/>
        <v>0.87873876528657724</v>
      </c>
      <c r="EE7" s="460">
        <f t="shared" si="80"/>
        <v>9.9914965986394558E-2</v>
      </c>
      <c r="EF7" s="5">
        <f t="shared" si="81"/>
        <v>0.63673509309827214</v>
      </c>
      <c r="EG7" s="5"/>
      <c r="EH7" s="173">
        <f t="shared" si="122"/>
        <v>0.3357058425145632</v>
      </c>
      <c r="EI7" s="173">
        <f t="shared" si="82"/>
        <v>1.8949947997304084</v>
      </c>
      <c r="EJ7" s="173"/>
      <c r="EK7" s="528">
        <f t="shared" si="83"/>
        <v>1.3523809523809526E-3</v>
      </c>
      <c r="EL7" s="528">
        <f t="shared" si="84"/>
        <v>0.19425599999999998</v>
      </c>
      <c r="EM7" s="528">
        <f t="shared" si="85"/>
        <v>6.2540425531914887E-3</v>
      </c>
      <c r="EN7" s="528">
        <f t="shared" si="86"/>
        <v>8.5197614399999996E-2</v>
      </c>
      <c r="EO7">
        <f t="shared" si="87"/>
        <v>1.26E-2</v>
      </c>
      <c r="EP7" s="460">
        <f t="shared" si="123"/>
        <v>18.854042553191487</v>
      </c>
      <c r="EQ7" s="528">
        <f t="shared" si="88"/>
        <v>0.30012161755584899</v>
      </c>
      <c r="ER7" s="460">
        <f t="shared" si="124"/>
        <v>300.12161755584896</v>
      </c>
      <c r="ES7" s="528">
        <f t="shared" si="125"/>
        <v>3.3529999999999997E-2</v>
      </c>
      <c r="ET7" s="528"/>
      <c r="EV7" s="460">
        <f t="shared" si="126"/>
        <v>33.529999999999994</v>
      </c>
      <c r="EW7" s="528">
        <f t="shared" si="89"/>
        <v>1.577777777777778E-3</v>
      </c>
      <c r="EX7" s="528">
        <f t="shared" si="90"/>
        <v>5.0274074074074068E-2</v>
      </c>
      <c r="EY7" s="528">
        <f t="shared" si="91"/>
        <v>2.2121997882196168E-2</v>
      </c>
      <c r="EZ7" s="528">
        <f t="shared" si="92"/>
        <v>8.6778263270577805E-2</v>
      </c>
      <c r="FA7" s="528">
        <f t="shared" si="93"/>
        <v>6.0425531914893617E-2</v>
      </c>
      <c r="FB7" s="460">
        <f t="shared" si="127"/>
        <v>147.20379518547142</v>
      </c>
      <c r="FC7" s="173">
        <f t="shared" si="128"/>
        <v>0.48085541274132043</v>
      </c>
      <c r="FD7" s="5">
        <f t="shared" si="129"/>
        <v>1.4000000000000001</v>
      </c>
      <c r="FE7" s="173">
        <f t="shared" si="130"/>
        <v>0.74434217033170014</v>
      </c>
      <c r="FF7" s="5">
        <f t="shared" si="131"/>
        <v>74.434217033170015</v>
      </c>
      <c r="FI7" s="562">
        <f t="shared" si="94"/>
        <v>-50</v>
      </c>
      <c r="FJ7">
        <f t="shared" si="95"/>
        <v>-50</v>
      </c>
      <c r="FL7">
        <f t="shared" si="96"/>
        <v>3.0000000000000002E-2</v>
      </c>
    </row>
    <row r="8" spans="2:168">
      <c r="E8" s="170">
        <v>3</v>
      </c>
      <c r="F8" s="217">
        <f t="shared" si="97"/>
        <v>7.4999999999999997E-2</v>
      </c>
      <c r="G8" s="217"/>
      <c r="H8" s="217">
        <f t="shared" si="0"/>
        <v>2.1</v>
      </c>
      <c r="I8" s="541">
        <f t="shared" si="1"/>
        <v>27.956972913142501</v>
      </c>
      <c r="J8" s="172">
        <f t="shared" si="2"/>
        <v>28.423168431384806</v>
      </c>
      <c r="K8" s="172">
        <f t="shared" si="3"/>
        <v>56.423168431384809</v>
      </c>
      <c r="L8" s="443"/>
      <c r="M8" s="217">
        <f t="shared" si="4"/>
        <v>0.50413584504270037</v>
      </c>
      <c r="N8" s="172">
        <f t="shared" si="5"/>
        <v>118.71040855634737</v>
      </c>
      <c r="O8" s="172">
        <f t="shared" si="98"/>
        <v>2.1</v>
      </c>
      <c r="P8" s="217">
        <f t="shared" si="6"/>
        <v>4.2396574484409779</v>
      </c>
      <c r="Q8" s="217">
        <f t="shared" si="7"/>
        <v>28</v>
      </c>
      <c r="R8" s="217">
        <f t="shared" si="8"/>
        <v>4.1946762394056494</v>
      </c>
      <c r="S8" s="172">
        <f t="shared" si="9"/>
        <v>3078.3769829873549</v>
      </c>
      <c r="T8" s="172">
        <f t="shared" si="10"/>
        <v>28</v>
      </c>
      <c r="U8" s="217">
        <f t="shared" si="99"/>
        <v>0.30250220448565585</v>
      </c>
      <c r="V8" s="217">
        <f t="shared" si="11"/>
        <v>5.0855304166861952E-2</v>
      </c>
      <c r="W8" s="217">
        <f t="shared" si="12"/>
        <v>5.0021177776671706E-2</v>
      </c>
      <c r="X8" s="197">
        <f t="shared" si="13"/>
        <v>350</v>
      </c>
      <c r="Y8" s="443">
        <f t="shared" si="14"/>
        <v>350</v>
      </c>
      <c r="AA8" s="217">
        <f t="shared" si="15"/>
        <v>8.5678246917844856</v>
      </c>
      <c r="AB8" s="173">
        <f t="shared" si="16"/>
        <v>1.4167588722066038</v>
      </c>
      <c r="AC8" s="173">
        <f t="shared" si="17"/>
        <v>2.1242447883293845</v>
      </c>
      <c r="AD8" s="173"/>
      <c r="AE8" s="173">
        <f t="shared" si="18"/>
        <v>0.55119353440440388</v>
      </c>
      <c r="AF8" s="545">
        <f t="shared" si="100"/>
        <v>81.641015707169103</v>
      </c>
      <c r="AG8" s="528">
        <f t="shared" si="19"/>
        <v>0.3215295617359023</v>
      </c>
      <c r="AI8" s="173">
        <f t="shared" si="20"/>
        <v>1.6099000827436676</v>
      </c>
      <c r="AJ8" s="173">
        <f t="shared" si="21"/>
        <v>3.3333333333333335</v>
      </c>
      <c r="AK8" s="173">
        <f t="shared" si="22"/>
        <v>1.0466520089755251</v>
      </c>
      <c r="AM8" s="545">
        <f t="shared" si="23"/>
        <v>75</v>
      </c>
      <c r="AN8" s="460">
        <f t="shared" si="24"/>
        <v>81.641015707169103</v>
      </c>
      <c r="AP8">
        <f t="shared" si="25"/>
        <v>75</v>
      </c>
      <c r="AQ8" s="460">
        <f t="shared" si="26"/>
        <v>81.641015707169103</v>
      </c>
      <c r="AR8" s="460"/>
      <c r="AS8" s="5">
        <f t="shared" si="101"/>
        <v>12.248745208986755</v>
      </c>
      <c r="AT8" s="5">
        <f t="shared" si="27"/>
        <v>0.56038494279549866</v>
      </c>
      <c r="AU8" s="5">
        <f t="shared" si="102"/>
        <v>11.688360266191255</v>
      </c>
      <c r="AV8" s="5">
        <f t="shared" si="28"/>
        <v>0.55119353440440388</v>
      </c>
      <c r="AW8" s="173">
        <f t="shared" si="103"/>
        <v>4.5750395916828369E-2</v>
      </c>
      <c r="AX8" s="173">
        <f t="shared" si="29"/>
        <v>2.1317376323538602</v>
      </c>
      <c r="AY8" s="173">
        <f t="shared" si="30"/>
        <v>1.5904160068052862</v>
      </c>
      <c r="AZ8" s="173">
        <f t="shared" si="104"/>
        <v>1.3403647996702084</v>
      </c>
      <c r="BA8" s="460">
        <f t="shared" si="31"/>
        <v>0.15010310967736573</v>
      </c>
      <c r="BB8" s="5">
        <f t="shared" si="32"/>
        <v>0.62712584991792442</v>
      </c>
      <c r="BC8" s="5"/>
      <c r="BD8" s="173">
        <f t="shared" si="105"/>
        <v>0.41163808230418625</v>
      </c>
      <c r="BE8" s="173">
        <f t="shared" si="33"/>
        <v>1.8799621785824938</v>
      </c>
      <c r="BF8" s="173"/>
      <c r="BG8" s="528">
        <f t="shared" si="34"/>
        <v>2.0333509296368161E-3</v>
      </c>
      <c r="BH8" s="528">
        <f t="shared" si="35"/>
        <v>0.28022539079275854</v>
      </c>
      <c r="BI8" s="528">
        <f t="shared" si="36"/>
        <v>9.3887168063244483E-3</v>
      </c>
      <c r="BJ8" s="528">
        <f t="shared" si="37"/>
        <v>0.12800577827752346</v>
      </c>
      <c r="BK8">
        <f t="shared" si="38"/>
        <v>1.2580637810914124E-2</v>
      </c>
      <c r="BL8" s="460">
        <f t="shared" si="106"/>
        <v>21.969354617238572</v>
      </c>
      <c r="BM8" s="528">
        <f t="shared" si="39"/>
        <v>0.41101209463247251</v>
      </c>
      <c r="BN8" s="460">
        <f t="shared" si="107"/>
        <v>411.0120946324725</v>
      </c>
      <c r="BO8" s="528">
        <f t="shared" si="108"/>
        <v>5.0294999999999999E-2</v>
      </c>
      <c r="BP8" s="528"/>
      <c r="BR8" s="460">
        <f t="shared" si="109"/>
        <v>50.295000000000002</v>
      </c>
      <c r="BS8" s="528">
        <f t="shared" si="40"/>
        <v>2.3722427512429521E-3</v>
      </c>
      <c r="BT8" s="528">
        <f t="shared" si="41"/>
        <v>4.9479609100608911E-2</v>
      </c>
      <c r="BU8" s="528">
        <f t="shared" si="42"/>
        <v>6.1085462373422723E-2</v>
      </c>
      <c r="BV8" s="528">
        <f t="shared" si="43"/>
        <v>0.12590402722710556</v>
      </c>
      <c r="BW8" s="528">
        <f t="shared" si="44"/>
        <v>9.071223967463235E-2</v>
      </c>
      <c r="BX8" s="460">
        <f t="shared" si="110"/>
        <v>216.6162669017379</v>
      </c>
      <c r="BY8" s="173">
        <f t="shared" si="45"/>
        <v>0.69989271615144899</v>
      </c>
      <c r="BZ8" s="5">
        <f t="shared" si="111"/>
        <v>2.1</v>
      </c>
      <c r="CA8" s="173">
        <f t="shared" si="112"/>
        <v>0.75002873784625712</v>
      </c>
      <c r="CB8" s="5">
        <f t="shared" si="113"/>
        <v>75.002873784625706</v>
      </c>
      <c r="CE8" s="562">
        <f t="shared" si="46"/>
        <v>-50</v>
      </c>
      <c r="CF8">
        <f t="shared" si="47"/>
        <v>-50</v>
      </c>
      <c r="CG8" s="173">
        <f t="shared" si="48"/>
        <v>4.532028873946603E-2</v>
      </c>
      <c r="CI8" s="170">
        <v>3</v>
      </c>
      <c r="CJ8" s="217">
        <f t="shared" si="114"/>
        <v>7.4999999999999997E-2</v>
      </c>
      <c r="CK8" s="217"/>
      <c r="CL8" s="217">
        <f t="shared" si="49"/>
        <v>2.1</v>
      </c>
      <c r="CM8" s="541">
        <f t="shared" si="50"/>
        <v>28</v>
      </c>
      <c r="CN8" s="172">
        <f t="shared" si="51"/>
        <v>28.4</v>
      </c>
      <c r="CO8" s="443">
        <f t="shared" si="52"/>
        <v>56.4</v>
      </c>
      <c r="CP8" s="443"/>
      <c r="CQ8" s="217">
        <f t="shared" si="53"/>
        <v>0.50354609929078009</v>
      </c>
      <c r="CR8" s="172">
        <f t="shared" si="54"/>
        <v>118.75402645742166</v>
      </c>
      <c r="CS8" s="172">
        <f t="shared" si="115"/>
        <v>2.1</v>
      </c>
      <c r="CT8" s="217">
        <f t="shared" si="55"/>
        <v>4.2412152306222017</v>
      </c>
      <c r="CU8" s="217">
        <f t="shared" si="56"/>
        <v>28</v>
      </c>
      <c r="CV8" s="217">
        <f t="shared" si="57"/>
        <v>4.1962174940898347</v>
      </c>
      <c r="CW8" s="172">
        <f t="shared" si="58"/>
        <v>3083.1147433298402</v>
      </c>
      <c r="CX8" s="172">
        <f t="shared" si="59"/>
        <v>28</v>
      </c>
      <c r="CY8" s="217">
        <f t="shared" si="60"/>
        <v>0.29788732394366202</v>
      </c>
      <c r="CZ8" s="217">
        <f t="shared" si="61"/>
        <v>5.0002515090543272E-2</v>
      </c>
      <c r="DA8" s="217">
        <f t="shared" si="62"/>
        <v>4.9298254314620128E-2</v>
      </c>
      <c r="DB8" s="197">
        <f t="shared" si="63"/>
        <v>350</v>
      </c>
      <c r="DC8" s="443">
        <f t="shared" si="116"/>
        <v>350</v>
      </c>
      <c r="DE8" s="217">
        <f t="shared" si="64"/>
        <v>8.5709974347366842</v>
      </c>
      <c r="DF8" s="173">
        <f t="shared" si="65"/>
        <v>1.418439716312057</v>
      </c>
      <c r="DG8" s="173">
        <f t="shared" si="66"/>
        <v>2.1275525547218721</v>
      </c>
      <c r="DH8" s="173"/>
      <c r="DI8" s="173">
        <f t="shared" si="67"/>
        <v>0.55164319248826299</v>
      </c>
      <c r="DJ8" s="545">
        <f t="shared" si="117"/>
        <v>81.574468085106375</v>
      </c>
      <c r="DK8" s="528">
        <f t="shared" si="68"/>
        <v>0.3217918622848201</v>
      </c>
      <c r="DM8" s="173">
        <f t="shared" si="69"/>
        <v>1.6092438141858556</v>
      </c>
      <c r="DN8" s="173">
        <f t="shared" si="70"/>
        <v>3.3333333333333335</v>
      </c>
      <c r="DO8" s="173">
        <f t="shared" si="71"/>
        <v>1.0466139817629179</v>
      </c>
      <c r="DQ8" s="545">
        <f t="shared" si="72"/>
        <v>75</v>
      </c>
      <c r="DR8" s="460">
        <f t="shared" si="73"/>
        <v>81.574468085106375</v>
      </c>
      <c r="DT8">
        <f t="shared" si="74"/>
        <v>75</v>
      </c>
      <c r="DU8" s="460">
        <f t="shared" si="75"/>
        <v>81.574468085106375</v>
      </c>
      <c r="DV8" s="460"/>
      <c r="DW8" s="5">
        <f t="shared" si="118"/>
        <v>12.258737610850288</v>
      </c>
      <c r="DX8" s="5">
        <f t="shared" si="76"/>
        <v>0.55952380952380953</v>
      </c>
      <c r="DY8" s="5">
        <f t="shared" si="119"/>
        <v>11.699213801326477</v>
      </c>
      <c r="DZ8" s="5">
        <f t="shared" si="77"/>
        <v>0.55164319248826299</v>
      </c>
      <c r="EA8" s="173">
        <f t="shared" si="120"/>
        <v>4.5642857142857138E-2</v>
      </c>
      <c r="EB8" s="173">
        <f t="shared" si="78"/>
        <v>2.13</v>
      </c>
      <c r="EC8" s="173">
        <f t="shared" si="79"/>
        <v>1.5905952380952382</v>
      </c>
      <c r="ED8" s="173">
        <f t="shared" si="121"/>
        <v>1.3391213232542474</v>
      </c>
      <c r="EE8" s="460">
        <f t="shared" si="80"/>
        <v>0.14987244897959182</v>
      </c>
      <c r="EF8" s="5">
        <f t="shared" si="81"/>
        <v>0.62674359649963263</v>
      </c>
      <c r="EG8" s="5"/>
      <c r="EH8" s="173">
        <f t="shared" si="122"/>
        <v>0.41115400891590376</v>
      </c>
      <c r="EI8" s="173">
        <f t="shared" si="82"/>
        <v>1.880068106387661</v>
      </c>
      <c r="EJ8" s="173"/>
      <c r="EK8" s="528">
        <f t="shared" si="83"/>
        <v>2.0285714285714286E-3</v>
      </c>
      <c r="EL8" s="528">
        <f t="shared" si="84"/>
        <v>0.29138399999999998</v>
      </c>
      <c r="EM8" s="528">
        <f t="shared" si="85"/>
        <v>9.381063829787234E-3</v>
      </c>
      <c r="EN8" s="528">
        <f t="shared" si="86"/>
        <v>0.12779642159999999</v>
      </c>
      <c r="EO8">
        <f t="shared" si="87"/>
        <v>1.26E-2</v>
      </c>
      <c r="EP8" s="460">
        <f t="shared" si="123"/>
        <v>21.981063829787235</v>
      </c>
      <c r="EQ8" s="528">
        <f t="shared" si="88"/>
        <v>0.44395175081423105</v>
      </c>
      <c r="ER8" s="460">
        <f t="shared" si="124"/>
        <v>443.95175081423105</v>
      </c>
      <c r="ES8" s="528">
        <f t="shared" si="125"/>
        <v>5.0294999999999999E-2</v>
      </c>
      <c r="ET8" s="528"/>
      <c r="EV8" s="460">
        <f t="shared" si="126"/>
        <v>50.295000000000002</v>
      </c>
      <c r="EW8" s="528">
        <f t="shared" si="89"/>
        <v>2.3666666666666667E-3</v>
      </c>
      <c r="EX8" s="528">
        <f t="shared" si="90"/>
        <v>4.9485185185185195E-2</v>
      </c>
      <c r="EY8" s="528">
        <f t="shared" si="91"/>
        <v>6.0961057765099545E-2</v>
      </c>
      <c r="EZ8" s="528">
        <f t="shared" si="92"/>
        <v>0.12577910442047335</v>
      </c>
      <c r="FA8" s="528">
        <f t="shared" si="93"/>
        <v>9.0638297872340429E-2</v>
      </c>
      <c r="FB8" s="460">
        <f t="shared" si="127"/>
        <v>216.41740229281379</v>
      </c>
      <c r="FC8" s="173">
        <f t="shared" si="128"/>
        <v>0.71066415310704489</v>
      </c>
      <c r="FD8" s="5">
        <f t="shared" si="129"/>
        <v>2.1</v>
      </c>
      <c r="FE8" s="173">
        <f t="shared" si="130"/>
        <v>0.74715436836470051</v>
      </c>
      <c r="FF8" s="5">
        <f t="shared" si="131"/>
        <v>74.715436836470047</v>
      </c>
      <c r="FI8" s="562">
        <f t="shared" si="94"/>
        <v>-50</v>
      </c>
      <c r="FJ8">
        <f t="shared" si="95"/>
        <v>-50</v>
      </c>
      <c r="FL8">
        <f t="shared" si="96"/>
        <v>4.4999999999999998E-2</v>
      </c>
    </row>
    <row r="9" spans="2:168">
      <c r="E9" s="170">
        <v>4</v>
      </c>
      <c r="F9" s="217">
        <f t="shared" si="97"/>
        <v>0.1</v>
      </c>
      <c r="G9" s="217"/>
      <c r="H9" s="217">
        <f t="shared" si="0"/>
        <v>2.8000000000000003</v>
      </c>
      <c r="I9" s="541">
        <f t="shared" si="1"/>
        <v>27.956972913142501</v>
      </c>
      <c r="J9" s="172">
        <f t="shared" si="2"/>
        <v>28.423168431384806</v>
      </c>
      <c r="K9" s="172">
        <f t="shared" si="3"/>
        <v>56.423168431384809</v>
      </c>
      <c r="L9" s="443"/>
      <c r="M9" s="217">
        <f t="shared" si="4"/>
        <v>0.50413584504270037</v>
      </c>
      <c r="N9" s="172">
        <f t="shared" si="5"/>
        <v>118.71040855634737</v>
      </c>
      <c r="O9" s="172">
        <f t="shared" si="98"/>
        <v>2.8000000000000003</v>
      </c>
      <c r="P9" s="217">
        <f t="shared" si="6"/>
        <v>4.2396574484409779</v>
      </c>
      <c r="Q9" s="217">
        <f t="shared" si="7"/>
        <v>28</v>
      </c>
      <c r="R9" s="217">
        <f t="shared" si="8"/>
        <v>4.1946762394056494</v>
      </c>
      <c r="S9" s="172">
        <f t="shared" si="9"/>
        <v>2301.7956272939614</v>
      </c>
      <c r="T9" s="172">
        <f t="shared" si="10"/>
        <v>28</v>
      </c>
      <c r="U9" s="217">
        <f t="shared" si="99"/>
        <v>0.40333627264754118</v>
      </c>
      <c r="V9" s="217">
        <f t="shared" si="11"/>
        <v>6.7807072222482598E-2</v>
      </c>
      <c r="W9" s="217">
        <f t="shared" si="12"/>
        <v>6.6694903702228955E-2</v>
      </c>
      <c r="X9" s="197">
        <f t="shared" si="13"/>
        <v>350</v>
      </c>
      <c r="Y9" s="443">
        <f t="shared" si="14"/>
        <v>350</v>
      </c>
      <c r="AA9" s="217">
        <f t="shared" si="15"/>
        <v>8.5678246917844856</v>
      </c>
      <c r="AB9" s="173">
        <f t="shared" si="16"/>
        <v>1.4167588722066038</v>
      </c>
      <c r="AC9" s="173">
        <f t="shared" si="17"/>
        <v>2.1242447883293845</v>
      </c>
      <c r="AD9" s="173"/>
      <c r="AE9" s="173">
        <f t="shared" si="18"/>
        <v>0.55119353440440388</v>
      </c>
      <c r="AF9" s="545">
        <f t="shared" si="100"/>
        <v>108.85468760955882</v>
      </c>
      <c r="AG9" s="528">
        <f t="shared" si="19"/>
        <v>0.3215295617359023</v>
      </c>
      <c r="AI9" s="173">
        <f t="shared" si="20"/>
        <v>1.8589524922809144</v>
      </c>
      <c r="AJ9" s="173">
        <f t="shared" si="21"/>
        <v>3.3333333333333335</v>
      </c>
      <c r="AK9" s="173">
        <f t="shared" si="22"/>
        <v>1.0622026786340335</v>
      </c>
      <c r="AM9" s="545">
        <f t="shared" si="23"/>
        <v>100</v>
      </c>
      <c r="AN9" s="460">
        <f t="shared" si="24"/>
        <v>108.85468760955882</v>
      </c>
      <c r="AP9">
        <f t="shared" si="25"/>
        <v>100</v>
      </c>
      <c r="AQ9" s="460">
        <f t="shared" si="26"/>
        <v>108.85468760955882</v>
      </c>
      <c r="AR9" s="460"/>
      <c r="AS9" s="5">
        <f t="shared" si="101"/>
        <v>9.1865589067400641</v>
      </c>
      <c r="AT9" s="5">
        <f t="shared" si="27"/>
        <v>0.56038494279549866</v>
      </c>
      <c r="AU9" s="5">
        <f t="shared" si="102"/>
        <v>8.6261739639445647</v>
      </c>
      <c r="AV9" s="5">
        <f t="shared" si="28"/>
        <v>0.55119353440440388</v>
      </c>
      <c r="AW9" s="173">
        <f t="shared" si="103"/>
        <v>6.1000527889104504E-2</v>
      </c>
      <c r="AX9" s="173">
        <f t="shared" si="29"/>
        <v>2.8423168431384807</v>
      </c>
      <c r="AY9" s="173">
        <f t="shared" si="30"/>
        <v>1.5649991201848259</v>
      </c>
      <c r="AZ9" s="173">
        <f t="shared" si="104"/>
        <v>1.8161779175970425</v>
      </c>
      <c r="BA9" s="460">
        <f t="shared" si="31"/>
        <v>0.20013747956982098</v>
      </c>
      <c r="BB9" s="5">
        <f t="shared" si="32"/>
        <v>0.61710357489307599</v>
      </c>
      <c r="BC9" s="5"/>
      <c r="BD9" s="173">
        <f t="shared" si="105"/>
        <v>0.47531871525404662</v>
      </c>
      <c r="BE9" s="173">
        <f t="shared" si="33"/>
        <v>1.8648795732252919</v>
      </c>
      <c r="BF9" s="173"/>
      <c r="BG9" s="528">
        <f t="shared" si="34"/>
        <v>2.7111345728490894E-3</v>
      </c>
      <c r="BH9" s="528">
        <f t="shared" si="35"/>
        <v>0.37363385439034486</v>
      </c>
      <c r="BI9" s="528">
        <f t="shared" si="36"/>
        <v>1.2518289075099266E-2</v>
      </c>
      <c r="BJ9" s="528">
        <f t="shared" si="37"/>
        <v>0.170674371036698</v>
      </c>
      <c r="BK9">
        <f t="shared" si="38"/>
        <v>1.2580637810914124E-2</v>
      </c>
      <c r="BL9" s="460">
        <f t="shared" si="106"/>
        <v>25.098926886013388</v>
      </c>
      <c r="BM9" s="528">
        <f t="shared" si="39"/>
        <v>0.54810443634368933</v>
      </c>
      <c r="BN9" s="460">
        <f t="shared" si="107"/>
        <v>548.10443634368937</v>
      </c>
      <c r="BO9" s="528">
        <f t="shared" si="108"/>
        <v>6.7059999999999995E-2</v>
      </c>
      <c r="BP9" s="528"/>
      <c r="BR9" s="460">
        <f t="shared" si="109"/>
        <v>67.059999999999988</v>
      </c>
      <c r="BS9" s="528">
        <f t="shared" si="40"/>
        <v>3.1629903349906043E-3</v>
      </c>
      <c r="BT9" s="528">
        <f t="shared" si="41"/>
        <v>4.8688861516861255E-2</v>
      </c>
      <c r="BU9" s="528">
        <f t="shared" si="42"/>
        <v>0.12539629562619878</v>
      </c>
      <c r="BV9" s="528">
        <f t="shared" si="43"/>
        <v>0.19048274255829242</v>
      </c>
      <c r="BW9" s="528">
        <f t="shared" si="44"/>
        <v>0.12094965289950982</v>
      </c>
      <c r="BX9" s="460">
        <f t="shared" si="110"/>
        <v>311.43239545780222</v>
      </c>
      <c r="BY9" s="173">
        <f t="shared" si="45"/>
        <v>0.951695758687505</v>
      </c>
      <c r="BZ9" s="5">
        <f t="shared" si="111"/>
        <v>2.8000000000000003</v>
      </c>
      <c r="CA9" s="173">
        <f t="shared" si="112"/>
        <v>0.74632917488478678</v>
      </c>
      <c r="CB9" s="5">
        <f t="shared" si="113"/>
        <v>74.632917488478682</v>
      </c>
      <c r="CE9" s="562">
        <f t="shared" si="46"/>
        <v>-50</v>
      </c>
      <c r="CF9">
        <f t="shared" si="47"/>
        <v>-50</v>
      </c>
      <c r="CG9" s="173">
        <f t="shared" si="48"/>
        <v>6.0427051652621376E-2</v>
      </c>
      <c r="CI9" s="170">
        <v>4</v>
      </c>
      <c r="CJ9" s="217">
        <f t="shared" si="114"/>
        <v>0.1</v>
      </c>
      <c r="CK9" s="217"/>
      <c r="CL9" s="217">
        <f t="shared" si="49"/>
        <v>2.8000000000000003</v>
      </c>
      <c r="CM9" s="541">
        <f t="shared" si="50"/>
        <v>28</v>
      </c>
      <c r="CN9" s="172">
        <f t="shared" si="51"/>
        <v>28.4</v>
      </c>
      <c r="CO9" s="443">
        <f t="shared" si="52"/>
        <v>56.4</v>
      </c>
      <c r="CP9" s="443"/>
      <c r="CQ9" s="217">
        <f t="shared" si="53"/>
        <v>0.50354609929078009</v>
      </c>
      <c r="CR9" s="172">
        <f t="shared" si="54"/>
        <v>118.75402645742166</v>
      </c>
      <c r="CS9" s="172">
        <f t="shared" si="115"/>
        <v>2.8000000000000003</v>
      </c>
      <c r="CT9" s="217">
        <f t="shared" si="55"/>
        <v>4.2412152306222017</v>
      </c>
      <c r="CU9" s="217">
        <f t="shared" si="56"/>
        <v>28</v>
      </c>
      <c r="CV9" s="217">
        <f t="shared" si="57"/>
        <v>4.1962174940898347</v>
      </c>
      <c r="CW9" s="172">
        <f t="shared" si="58"/>
        <v>2305.3381907798744</v>
      </c>
      <c r="CX9" s="172">
        <f t="shared" si="59"/>
        <v>28</v>
      </c>
      <c r="CY9" s="217">
        <f t="shared" si="60"/>
        <v>0.39718309859154938</v>
      </c>
      <c r="CZ9" s="217">
        <f t="shared" si="61"/>
        <v>6.6670020120724358E-2</v>
      </c>
      <c r="DA9" s="217">
        <f t="shared" si="62"/>
        <v>6.5731005752826838E-2</v>
      </c>
      <c r="DB9" s="197">
        <f t="shared" si="63"/>
        <v>350</v>
      </c>
      <c r="DC9" s="443">
        <f t="shared" si="116"/>
        <v>350</v>
      </c>
      <c r="DE9" s="217">
        <f t="shared" si="64"/>
        <v>8.5709974347366842</v>
      </c>
      <c r="DF9" s="173">
        <f t="shared" si="65"/>
        <v>1.418439716312057</v>
      </c>
      <c r="DG9" s="173">
        <f t="shared" si="66"/>
        <v>2.1275525547218721</v>
      </c>
      <c r="DH9" s="173"/>
      <c r="DI9" s="173">
        <f t="shared" si="67"/>
        <v>0.55164319248826299</v>
      </c>
      <c r="DJ9" s="545">
        <f t="shared" si="117"/>
        <v>108.7659574468085</v>
      </c>
      <c r="DK9" s="528">
        <f t="shared" si="68"/>
        <v>0.3217918622848201</v>
      </c>
      <c r="DM9" s="173">
        <f t="shared" si="69"/>
        <v>1.8581946986238878</v>
      </c>
      <c r="DN9" s="173">
        <f t="shared" si="70"/>
        <v>3.3333333333333335</v>
      </c>
      <c r="DO9" s="173">
        <f t="shared" si="71"/>
        <v>1.0621519756838906</v>
      </c>
      <c r="DQ9" s="545">
        <f t="shared" si="72"/>
        <v>100</v>
      </c>
      <c r="DR9" s="460">
        <f t="shared" si="73"/>
        <v>108.7659574468085</v>
      </c>
      <c r="DT9">
        <f t="shared" si="74"/>
        <v>100</v>
      </c>
      <c r="DU9" s="460">
        <f t="shared" si="75"/>
        <v>108.7659574468085</v>
      </c>
      <c r="DV9" s="460"/>
      <c r="DW9" s="5">
        <f t="shared" si="118"/>
        <v>9.1940532081377153</v>
      </c>
      <c r="DX9" s="5">
        <f t="shared" si="76"/>
        <v>0.55952380952380953</v>
      </c>
      <c r="DY9" s="5">
        <f t="shared" si="119"/>
        <v>8.6345293986139051</v>
      </c>
      <c r="DZ9" s="5">
        <f t="shared" si="77"/>
        <v>0.55164319248826299</v>
      </c>
      <c r="EA9" s="173">
        <f t="shared" si="120"/>
        <v>6.085714285714286E-2</v>
      </c>
      <c r="EB9" s="173">
        <f t="shared" si="78"/>
        <v>2.84</v>
      </c>
      <c r="EC9" s="173">
        <f t="shared" si="79"/>
        <v>1.5652380952380953</v>
      </c>
      <c r="ED9" s="173">
        <f t="shared" si="121"/>
        <v>1.8144204441740186</v>
      </c>
      <c r="EE9" s="460">
        <f t="shared" si="80"/>
        <v>0.19982993197278912</v>
      </c>
      <c r="EF9" s="5">
        <f t="shared" si="81"/>
        <v>0.61675209990099322</v>
      </c>
      <c r="EG9" s="5"/>
      <c r="EH9" s="173">
        <f t="shared" si="122"/>
        <v>0.47475975545198162</v>
      </c>
      <c r="EI9" s="173">
        <f t="shared" si="82"/>
        <v>1.8650219511595243</v>
      </c>
      <c r="EJ9" s="173"/>
      <c r="EK9" s="528">
        <f t="shared" si="83"/>
        <v>2.7047619047619047E-3</v>
      </c>
      <c r="EL9" s="528">
        <f t="shared" si="84"/>
        <v>0.38851199999999997</v>
      </c>
      <c r="EM9" s="528">
        <f t="shared" si="85"/>
        <v>1.2508085106382977E-2</v>
      </c>
      <c r="EN9" s="528">
        <f t="shared" si="86"/>
        <v>0.17039522879999999</v>
      </c>
      <c r="EO9">
        <f t="shared" si="87"/>
        <v>1.26E-2</v>
      </c>
      <c r="EP9" s="460">
        <f t="shared" si="123"/>
        <v>25.108085106382976</v>
      </c>
      <c r="EQ9" s="528">
        <f t="shared" si="88"/>
        <v>0.58782813011300217</v>
      </c>
      <c r="ER9" s="460">
        <f t="shared" si="124"/>
        <v>587.8281301130022</v>
      </c>
      <c r="ES9" s="528">
        <f t="shared" si="125"/>
        <v>6.7059999999999995E-2</v>
      </c>
      <c r="ET9" s="528"/>
      <c r="EV9" s="460">
        <f t="shared" si="126"/>
        <v>67.059999999999988</v>
      </c>
      <c r="EW9" s="528">
        <f t="shared" si="89"/>
        <v>3.1555555555555555E-3</v>
      </c>
      <c r="EX9" s="528">
        <f t="shared" si="90"/>
        <v>4.8696296296296307E-2</v>
      </c>
      <c r="EY9" s="528">
        <f t="shared" si="91"/>
        <v>0.12514091772716276</v>
      </c>
      <c r="EZ9" s="528">
        <f t="shared" si="92"/>
        <v>0.19022630090127177</v>
      </c>
      <c r="FA9" s="528">
        <f t="shared" si="93"/>
        <v>0.12085106382978723</v>
      </c>
      <c r="FB9" s="460">
        <f t="shared" si="127"/>
        <v>311.07736473105899</v>
      </c>
      <c r="FC9" s="173">
        <f t="shared" si="128"/>
        <v>0.96596549484406125</v>
      </c>
      <c r="FD9" s="5">
        <f t="shared" si="129"/>
        <v>2.8000000000000003</v>
      </c>
      <c r="FE9" s="173">
        <f t="shared" si="130"/>
        <v>0.74350123596019324</v>
      </c>
      <c r="FF9" s="5">
        <f t="shared" si="131"/>
        <v>74.35012359601933</v>
      </c>
      <c r="FI9" s="562">
        <f t="shared" si="94"/>
        <v>-50</v>
      </c>
      <c r="FJ9">
        <f t="shared" si="95"/>
        <v>-50</v>
      </c>
      <c r="FL9">
        <f t="shared" si="96"/>
        <v>6.0000000000000005E-2</v>
      </c>
    </row>
    <row r="10" spans="2:168">
      <c r="E10" s="170">
        <v>5</v>
      </c>
      <c r="F10" s="217">
        <f t="shared" si="97"/>
        <v>0.125</v>
      </c>
      <c r="G10" s="217"/>
      <c r="H10" s="217">
        <f t="shared" si="0"/>
        <v>3.5</v>
      </c>
      <c r="I10" s="541">
        <f t="shared" si="1"/>
        <v>27.956972913142501</v>
      </c>
      <c r="J10" s="172">
        <f t="shared" si="2"/>
        <v>28.423168431384806</v>
      </c>
      <c r="K10" s="172">
        <f t="shared" si="3"/>
        <v>56.423168431384809</v>
      </c>
      <c r="L10" s="443"/>
      <c r="M10" s="217">
        <f t="shared" si="4"/>
        <v>0.50413584504270037</v>
      </c>
      <c r="N10" s="172">
        <f t="shared" si="5"/>
        <v>118.71040855634737</v>
      </c>
      <c r="O10" s="172">
        <f t="shared" si="98"/>
        <v>3.5</v>
      </c>
      <c r="P10" s="217">
        <f t="shared" si="6"/>
        <v>4.2396574484409779</v>
      </c>
      <c r="Q10" s="217">
        <f t="shared" si="7"/>
        <v>28</v>
      </c>
      <c r="R10" s="217">
        <f t="shared" si="8"/>
        <v>4.1946762394056494</v>
      </c>
      <c r="S10" s="172">
        <f t="shared" si="9"/>
        <v>1835.8473113197965</v>
      </c>
      <c r="T10" s="172">
        <f t="shared" si="10"/>
        <v>28</v>
      </c>
      <c r="U10" s="217">
        <f t="shared" si="99"/>
        <v>0.50417034080942646</v>
      </c>
      <c r="V10" s="217">
        <f t="shared" si="11"/>
        <v>8.4758840278103251E-2</v>
      </c>
      <c r="W10" s="217">
        <f t="shared" si="12"/>
        <v>8.3368629627786184E-2</v>
      </c>
      <c r="X10" s="197">
        <f t="shared" si="13"/>
        <v>350</v>
      </c>
      <c r="Y10" s="443">
        <f t="shared" si="14"/>
        <v>350</v>
      </c>
      <c r="AA10" s="217">
        <f t="shared" si="15"/>
        <v>8.5678246917844856</v>
      </c>
      <c r="AB10" s="173">
        <f t="shared" si="16"/>
        <v>1.4167588722066038</v>
      </c>
      <c r="AC10" s="173">
        <f t="shared" si="17"/>
        <v>2.1242447883293845</v>
      </c>
      <c r="AD10" s="173"/>
      <c r="AE10" s="173">
        <f t="shared" si="18"/>
        <v>0.55119353440440388</v>
      </c>
      <c r="AF10" s="545">
        <f t="shared" si="100"/>
        <v>136.0683595119485</v>
      </c>
      <c r="AG10" s="528">
        <f t="shared" si="19"/>
        <v>0.3215295617359023</v>
      </c>
      <c r="AI10" s="173">
        <f t="shared" si="20"/>
        <v>2.078372069841389</v>
      </c>
      <c r="AJ10" s="173">
        <f t="shared" si="21"/>
        <v>3.3333333333333335</v>
      </c>
      <c r="AK10" s="173">
        <f t="shared" si="22"/>
        <v>1.0777533482925421</v>
      </c>
      <c r="AM10" s="545">
        <f t="shared" si="23"/>
        <v>125</v>
      </c>
      <c r="AN10" s="460">
        <f t="shared" si="24"/>
        <v>136.0683595119485</v>
      </c>
      <c r="AP10">
        <f t="shared" si="25"/>
        <v>125</v>
      </c>
      <c r="AQ10" s="460">
        <f t="shared" si="26"/>
        <v>136.0683595119485</v>
      </c>
      <c r="AR10" s="460"/>
      <c r="AS10" s="5">
        <f t="shared" si="101"/>
        <v>7.3492471253920533</v>
      </c>
      <c r="AT10" s="5">
        <f t="shared" si="27"/>
        <v>0.56038494279549866</v>
      </c>
      <c r="AU10" s="5">
        <f t="shared" si="102"/>
        <v>6.7888621825965547</v>
      </c>
      <c r="AV10" s="5">
        <f t="shared" si="28"/>
        <v>0.55119353440440388</v>
      </c>
      <c r="AW10" s="173">
        <f t="shared" si="103"/>
        <v>7.6250659861380604E-2</v>
      </c>
      <c r="AX10" s="173">
        <f t="shared" si="29"/>
        <v>3.5528960539231003</v>
      </c>
      <c r="AY10" s="173">
        <f t="shared" si="30"/>
        <v>1.5395822335643659</v>
      </c>
      <c r="AZ10" s="173">
        <f t="shared" si="104"/>
        <v>2.3077013857828224</v>
      </c>
      <c r="BA10" s="460">
        <f t="shared" si="31"/>
        <v>0.25017184946227616</v>
      </c>
      <c r="BB10" s="5">
        <f t="shared" si="32"/>
        <v>0.60708129986822779</v>
      </c>
      <c r="BC10" s="5"/>
      <c r="BD10" s="173">
        <f t="shared" si="105"/>
        <v>0.53142247914295715</v>
      </c>
      <c r="BE10" s="173">
        <f t="shared" si="33"/>
        <v>1.849673985426961</v>
      </c>
      <c r="BF10" s="173"/>
      <c r="BG10" s="528">
        <f t="shared" si="34"/>
        <v>3.3889182160613605E-3</v>
      </c>
      <c r="BH10" s="528">
        <f t="shared" si="35"/>
        <v>0.467042317987931</v>
      </c>
      <c r="BI10" s="528">
        <f t="shared" si="36"/>
        <v>1.5647861343874078E-2</v>
      </c>
      <c r="BJ10" s="528">
        <f t="shared" si="37"/>
        <v>0.21334296379587245</v>
      </c>
      <c r="BK10">
        <f t="shared" si="38"/>
        <v>1.2580637810914124E-2</v>
      </c>
      <c r="BL10" s="460">
        <f t="shared" si="106"/>
        <v>28.228499154788199</v>
      </c>
      <c r="BM10" s="528">
        <f t="shared" si="39"/>
        <v>0.68524096872106788</v>
      </c>
      <c r="BN10" s="460">
        <f t="shared" si="107"/>
        <v>685.24096872106793</v>
      </c>
      <c r="BO10" s="528">
        <f t="shared" si="108"/>
        <v>8.3824999999999997E-2</v>
      </c>
      <c r="BP10" s="528"/>
      <c r="BR10" s="460">
        <f t="shared" si="109"/>
        <v>83.825000000000003</v>
      </c>
      <c r="BS10" s="528">
        <f t="shared" si="40"/>
        <v>3.9537379187382536E-3</v>
      </c>
      <c r="BT10" s="528">
        <f t="shared" si="41"/>
        <v>4.7898113933113613E-2</v>
      </c>
      <c r="BU10" s="528">
        <f t="shared" si="42"/>
        <v>0.21905831339596862</v>
      </c>
      <c r="BV10" s="528">
        <f t="shared" si="43"/>
        <v>0.28453490262165848</v>
      </c>
      <c r="BW10" s="528">
        <f t="shared" si="44"/>
        <v>0.15118706612438723</v>
      </c>
      <c r="BX10" s="460">
        <f t="shared" si="110"/>
        <v>435.72196874604572</v>
      </c>
      <c r="BY10" s="173">
        <f t="shared" si="45"/>
        <v>1.2330164366219016</v>
      </c>
      <c r="BZ10" s="5">
        <f t="shared" si="111"/>
        <v>3.5</v>
      </c>
      <c r="CA10" s="173">
        <f t="shared" si="112"/>
        <v>0.73948612832159466</v>
      </c>
      <c r="CB10" s="5">
        <f t="shared" si="113"/>
        <v>73.948612832159469</v>
      </c>
      <c r="CE10" s="562">
        <f t="shared" si="46"/>
        <v>-50</v>
      </c>
      <c r="CF10">
        <f t="shared" si="47"/>
        <v>-50</v>
      </c>
      <c r="CG10" s="173">
        <f t="shared" si="48"/>
        <v>7.5533814565776708E-2</v>
      </c>
      <c r="CI10" s="170">
        <v>5</v>
      </c>
      <c r="CJ10" s="217">
        <f t="shared" si="114"/>
        <v>0.125</v>
      </c>
      <c r="CK10" s="217"/>
      <c r="CL10" s="217">
        <f t="shared" si="49"/>
        <v>3.5</v>
      </c>
      <c r="CM10" s="541">
        <f t="shared" si="50"/>
        <v>28</v>
      </c>
      <c r="CN10" s="172">
        <f t="shared" si="51"/>
        <v>28.4</v>
      </c>
      <c r="CO10" s="443">
        <f t="shared" si="52"/>
        <v>56.4</v>
      </c>
      <c r="CP10" s="443"/>
      <c r="CQ10" s="217">
        <f t="shared" si="53"/>
        <v>0.50354609929078009</v>
      </c>
      <c r="CR10" s="172">
        <f t="shared" si="54"/>
        <v>118.75402645742166</v>
      </c>
      <c r="CS10" s="172">
        <f t="shared" si="115"/>
        <v>3.5</v>
      </c>
      <c r="CT10" s="217">
        <f t="shared" si="55"/>
        <v>4.2412152306222017</v>
      </c>
      <c r="CU10" s="217">
        <f t="shared" si="56"/>
        <v>28</v>
      </c>
      <c r="CV10" s="217">
        <f t="shared" si="57"/>
        <v>4.1962174940898347</v>
      </c>
      <c r="CW10" s="172">
        <f t="shared" si="58"/>
        <v>1838.672756692175</v>
      </c>
      <c r="CX10" s="172">
        <f t="shared" si="59"/>
        <v>28</v>
      </c>
      <c r="CY10" s="217">
        <f t="shared" si="60"/>
        <v>0.49647887323943668</v>
      </c>
      <c r="CZ10" s="217">
        <f t="shared" si="61"/>
        <v>8.3337525150905437E-2</v>
      </c>
      <c r="DA10" s="217">
        <f t="shared" si="62"/>
        <v>8.216375719103354E-2</v>
      </c>
      <c r="DB10" s="197">
        <f t="shared" si="63"/>
        <v>350</v>
      </c>
      <c r="DC10" s="443">
        <f t="shared" si="116"/>
        <v>350</v>
      </c>
      <c r="DE10" s="217">
        <f t="shared" si="64"/>
        <v>8.5709974347366842</v>
      </c>
      <c r="DF10" s="173">
        <f t="shared" si="65"/>
        <v>1.418439716312057</v>
      </c>
      <c r="DG10" s="173">
        <f t="shared" si="66"/>
        <v>2.1275525547218721</v>
      </c>
      <c r="DH10" s="173"/>
      <c r="DI10" s="173">
        <f t="shared" si="67"/>
        <v>0.55164319248826299</v>
      </c>
      <c r="DJ10" s="545">
        <f t="shared" si="117"/>
        <v>135.95744680851064</v>
      </c>
      <c r="DK10" s="528">
        <f t="shared" si="68"/>
        <v>0.3217918622848201</v>
      </c>
      <c r="DM10" s="173">
        <f t="shared" si="69"/>
        <v>2.0775248307763738</v>
      </c>
      <c r="DN10" s="173">
        <f t="shared" si="70"/>
        <v>3.3333333333333335</v>
      </c>
      <c r="DO10" s="173">
        <f t="shared" si="71"/>
        <v>1.0776899696048632</v>
      </c>
      <c r="DQ10" s="545">
        <f t="shared" si="72"/>
        <v>125</v>
      </c>
      <c r="DR10" s="460">
        <f t="shared" si="73"/>
        <v>135.95744680851064</v>
      </c>
      <c r="DT10">
        <f t="shared" si="74"/>
        <v>125</v>
      </c>
      <c r="DU10" s="460">
        <f t="shared" si="75"/>
        <v>135.95744680851064</v>
      </c>
      <c r="DV10" s="460"/>
      <c r="DW10" s="5">
        <f t="shared" si="118"/>
        <v>7.3552425665101717</v>
      </c>
      <c r="DX10" s="5">
        <f t="shared" si="76"/>
        <v>0.55952380952380953</v>
      </c>
      <c r="DY10" s="5">
        <f t="shared" si="119"/>
        <v>6.7957187569863624</v>
      </c>
      <c r="DZ10" s="5">
        <f t="shared" si="77"/>
        <v>0.55164319248826299</v>
      </c>
      <c r="EA10" s="173">
        <f t="shared" si="120"/>
        <v>7.6071428571428581E-2</v>
      </c>
      <c r="EB10" s="173">
        <f t="shared" si="78"/>
        <v>3.5500000000000003</v>
      </c>
      <c r="EC10" s="173">
        <f t="shared" si="79"/>
        <v>1.5398809523809525</v>
      </c>
      <c r="ED10" s="173">
        <f t="shared" si="121"/>
        <v>2.3053730189408581</v>
      </c>
      <c r="EE10" s="460">
        <f t="shared" si="80"/>
        <v>0.24978741496598639</v>
      </c>
      <c r="EF10" s="5">
        <f t="shared" si="81"/>
        <v>0.60676060330235371</v>
      </c>
      <c r="EG10" s="5"/>
      <c r="EH10" s="173">
        <f t="shared" si="122"/>
        <v>0.53079754308590366</v>
      </c>
      <c r="EI10" s="173">
        <f t="shared" si="82"/>
        <v>1.8498534190464044</v>
      </c>
      <c r="EJ10" s="173"/>
      <c r="EK10" s="528">
        <f t="shared" si="83"/>
        <v>3.3809523809523812E-3</v>
      </c>
      <c r="EL10" s="528">
        <f t="shared" si="84"/>
        <v>0.48564000000000002</v>
      </c>
      <c r="EM10" s="528">
        <f t="shared" si="85"/>
        <v>1.5635106382978724E-2</v>
      </c>
      <c r="EN10" s="528">
        <f t="shared" si="86"/>
        <v>0.212994036</v>
      </c>
      <c r="EO10">
        <f t="shared" si="87"/>
        <v>1.26E-2</v>
      </c>
      <c r="EP10" s="460">
        <f t="shared" si="123"/>
        <v>28.235106382978724</v>
      </c>
      <c r="EQ10" s="528">
        <f t="shared" si="88"/>
        <v>0.73175077776014552</v>
      </c>
      <c r="ER10" s="460">
        <f t="shared" si="124"/>
        <v>731.75077776014552</v>
      </c>
      <c r="ES10" s="528">
        <f t="shared" si="125"/>
        <v>8.3824999999999997E-2</v>
      </c>
      <c r="ET10" s="528"/>
      <c r="EV10" s="460">
        <f t="shared" si="126"/>
        <v>83.825000000000003</v>
      </c>
      <c r="EW10" s="528">
        <f t="shared" si="89"/>
        <v>3.9444444444444449E-3</v>
      </c>
      <c r="EX10" s="528">
        <f t="shared" si="90"/>
        <v>4.7907407407407419E-2</v>
      </c>
      <c r="EY10" s="528">
        <f t="shared" si="91"/>
        <v>0.21861218656612871</v>
      </c>
      <c r="EZ10" s="528">
        <f t="shared" si="92"/>
        <v>0.28408691748309567</v>
      </c>
      <c r="FA10" s="528">
        <f t="shared" si="93"/>
        <v>0.15106382978723407</v>
      </c>
      <c r="FB10" s="460">
        <f t="shared" si="127"/>
        <v>435.15074727032976</v>
      </c>
      <c r="FC10" s="173">
        <f t="shared" si="128"/>
        <v>1.2507265250304751</v>
      </c>
      <c r="FD10" s="5">
        <f t="shared" si="129"/>
        <v>3.5</v>
      </c>
      <c r="FE10" s="173">
        <f t="shared" si="130"/>
        <v>0.73672942055479562</v>
      </c>
      <c r="FF10" s="5">
        <f t="shared" si="131"/>
        <v>73.672942055479567</v>
      </c>
      <c r="FI10" s="562">
        <f t="shared" si="94"/>
        <v>-50</v>
      </c>
      <c r="FJ10">
        <f t="shared" si="95"/>
        <v>-50</v>
      </c>
      <c r="FL10">
        <f t="shared" si="96"/>
        <v>7.4999999999999997E-2</v>
      </c>
    </row>
    <row r="11" spans="2:168">
      <c r="E11" s="170">
        <v>6</v>
      </c>
      <c r="F11" s="217">
        <f t="shared" si="97"/>
        <v>0.15</v>
      </c>
      <c r="G11" s="217"/>
      <c r="H11" s="217">
        <f t="shared" si="0"/>
        <v>4.2</v>
      </c>
      <c r="I11" s="541">
        <f t="shared" si="1"/>
        <v>27.956972913142501</v>
      </c>
      <c r="J11" s="172">
        <f t="shared" si="2"/>
        <v>28.423168431384806</v>
      </c>
      <c r="K11" s="172">
        <f t="shared" si="3"/>
        <v>56.423168431384809</v>
      </c>
      <c r="L11" s="443"/>
      <c r="M11" s="217">
        <f t="shared" si="4"/>
        <v>0.50413584504270037</v>
      </c>
      <c r="N11" s="172">
        <f t="shared" si="5"/>
        <v>118.71040855634737</v>
      </c>
      <c r="O11" s="172">
        <f t="shared" si="98"/>
        <v>4.2</v>
      </c>
      <c r="P11" s="217">
        <f t="shared" si="6"/>
        <v>4.2396574484409779</v>
      </c>
      <c r="Q11" s="217">
        <f t="shared" si="7"/>
        <v>28</v>
      </c>
      <c r="R11" s="217">
        <f t="shared" si="8"/>
        <v>4.1946762394056494</v>
      </c>
      <c r="S11" s="172">
        <f t="shared" si="9"/>
        <v>1525.2155189460752</v>
      </c>
      <c r="T11" s="172">
        <f t="shared" si="10"/>
        <v>28</v>
      </c>
      <c r="U11" s="217">
        <f t="shared" si="99"/>
        <v>0.60500440897131169</v>
      </c>
      <c r="V11" s="217">
        <f t="shared" si="11"/>
        <v>0.1017106083337239</v>
      </c>
      <c r="W11" s="217">
        <f t="shared" si="12"/>
        <v>0.10004235555334341</v>
      </c>
      <c r="X11" s="197">
        <f t="shared" si="13"/>
        <v>350</v>
      </c>
      <c r="Y11" s="443">
        <f t="shared" si="14"/>
        <v>350</v>
      </c>
      <c r="AA11" s="217">
        <f t="shared" si="15"/>
        <v>8.5678246917844856</v>
      </c>
      <c r="AB11" s="173">
        <f t="shared" si="16"/>
        <v>1.4167588722066038</v>
      </c>
      <c r="AC11" s="173">
        <f t="shared" si="17"/>
        <v>2.1242447883293845</v>
      </c>
      <c r="AD11" s="173"/>
      <c r="AE11" s="173">
        <f t="shared" si="18"/>
        <v>0.55119353440440388</v>
      </c>
      <c r="AF11" s="545">
        <f t="shared" si="100"/>
        <v>163.28203141433821</v>
      </c>
      <c r="AG11" s="528">
        <f t="shared" si="19"/>
        <v>0.3215295617359023</v>
      </c>
      <c r="AI11" s="173">
        <f t="shared" si="20"/>
        <v>2.2767425310816627</v>
      </c>
      <c r="AJ11" s="173">
        <f t="shared" si="21"/>
        <v>3.3333333333333335</v>
      </c>
      <c r="AK11" s="173">
        <f t="shared" si="22"/>
        <v>1.0933040179510505</v>
      </c>
      <c r="AM11" s="545">
        <f t="shared" si="23"/>
        <v>150</v>
      </c>
      <c r="AN11" s="460">
        <f t="shared" si="24"/>
        <v>163.28203141433821</v>
      </c>
      <c r="AP11">
        <f t="shared" si="25"/>
        <v>150</v>
      </c>
      <c r="AQ11" s="460">
        <f t="shared" si="26"/>
        <v>163.28203141433821</v>
      </c>
      <c r="AR11" s="460"/>
      <c r="AS11" s="5">
        <f t="shared" si="101"/>
        <v>6.1243726044933773</v>
      </c>
      <c r="AT11" s="5">
        <f t="shared" si="27"/>
        <v>0.56038494279549866</v>
      </c>
      <c r="AU11" s="5">
        <f t="shared" si="102"/>
        <v>5.5639876616978787</v>
      </c>
      <c r="AV11" s="5">
        <f t="shared" si="28"/>
        <v>0.55119353440440388</v>
      </c>
      <c r="AW11" s="173">
        <f t="shared" si="103"/>
        <v>9.1500791833656739E-2</v>
      </c>
      <c r="AX11" s="173">
        <f t="shared" si="29"/>
        <v>4.2634752647077203</v>
      </c>
      <c r="AY11" s="173">
        <f t="shared" si="30"/>
        <v>1.5141653469439054</v>
      </c>
      <c r="AZ11" s="173">
        <f t="shared" si="104"/>
        <v>2.8157263493797733</v>
      </c>
      <c r="BA11" s="460">
        <f t="shared" si="31"/>
        <v>0.30020621935473146</v>
      </c>
      <c r="BB11" s="5">
        <f t="shared" si="32"/>
        <v>0.59705902484337947</v>
      </c>
      <c r="BC11" s="5"/>
      <c r="BD11" s="173">
        <f t="shared" si="105"/>
        <v>0.58214415878383263</v>
      </c>
      <c r="BE11" s="173">
        <f t="shared" si="33"/>
        <v>1.8343423568400661</v>
      </c>
      <c r="BF11" s="173"/>
      <c r="BG11" s="528">
        <f t="shared" si="34"/>
        <v>4.0667018592736338E-3</v>
      </c>
      <c r="BH11" s="528">
        <f t="shared" si="35"/>
        <v>0.56045078158551709</v>
      </c>
      <c r="BI11" s="528">
        <f t="shared" si="36"/>
        <v>1.8777433612648897E-2</v>
      </c>
      <c r="BJ11" s="528">
        <f t="shared" si="37"/>
        <v>0.25601155655504693</v>
      </c>
      <c r="BK11">
        <f t="shared" si="38"/>
        <v>1.2580637810914124E-2</v>
      </c>
      <c r="BL11" s="460">
        <f t="shared" si="106"/>
        <v>31.358071423563018</v>
      </c>
      <c r="BM11" s="528">
        <f t="shared" si="39"/>
        <v>0.8224217131348367</v>
      </c>
      <c r="BN11" s="460">
        <f t="shared" si="107"/>
        <v>822.42171313483675</v>
      </c>
      <c r="BO11" s="528">
        <f t="shared" si="108"/>
        <v>0.10059</v>
      </c>
      <c r="BP11" s="528"/>
      <c r="BR11" s="460">
        <f t="shared" si="109"/>
        <v>100.59</v>
      </c>
      <c r="BS11" s="528">
        <f t="shared" si="40"/>
        <v>4.7444855024859059E-3</v>
      </c>
      <c r="BT11" s="528">
        <f t="shared" si="41"/>
        <v>4.7107366349365958E-2</v>
      </c>
      <c r="BU11" s="528">
        <f t="shared" si="42"/>
        <v>0.34555155740930299</v>
      </c>
      <c r="BV11" s="528">
        <f t="shared" si="43"/>
        <v>0.41155504500339113</v>
      </c>
      <c r="BW11" s="528">
        <f t="shared" si="44"/>
        <v>0.1814244793492647</v>
      </c>
      <c r="BX11" s="460">
        <f t="shared" si="110"/>
        <v>592.97952435265586</v>
      </c>
      <c r="BY11" s="173">
        <f t="shared" si="45"/>
        <v>1.5473493089110557</v>
      </c>
      <c r="BZ11" s="5">
        <f t="shared" si="111"/>
        <v>4.2</v>
      </c>
      <c r="CA11" s="173">
        <f t="shared" si="112"/>
        <v>0.73077166085730216</v>
      </c>
      <c r="CB11" s="5">
        <f t="shared" si="113"/>
        <v>73.077166085730212</v>
      </c>
      <c r="CE11" s="562">
        <f t="shared" si="46"/>
        <v>-50</v>
      </c>
      <c r="CF11">
        <f t="shared" si="47"/>
        <v>-50</v>
      </c>
      <c r="CG11" s="173">
        <f t="shared" si="48"/>
        <v>9.0640577478932061E-2</v>
      </c>
      <c r="CI11" s="170">
        <v>6</v>
      </c>
      <c r="CJ11" s="217">
        <f t="shared" si="114"/>
        <v>0.15</v>
      </c>
      <c r="CK11" s="217"/>
      <c r="CL11" s="217">
        <f t="shared" si="49"/>
        <v>4.2</v>
      </c>
      <c r="CM11" s="541">
        <f t="shared" si="50"/>
        <v>28</v>
      </c>
      <c r="CN11" s="172">
        <f t="shared" si="51"/>
        <v>28.4</v>
      </c>
      <c r="CO11" s="443">
        <f t="shared" si="52"/>
        <v>56.4</v>
      </c>
      <c r="CP11" s="443"/>
      <c r="CQ11" s="217">
        <f t="shared" si="53"/>
        <v>0.50354609929078009</v>
      </c>
      <c r="CR11" s="172">
        <f t="shared" si="54"/>
        <v>118.75402645742166</v>
      </c>
      <c r="CS11" s="172">
        <f t="shared" si="115"/>
        <v>4.2</v>
      </c>
      <c r="CT11" s="217">
        <f t="shared" si="55"/>
        <v>4.2412152306222017</v>
      </c>
      <c r="CU11" s="217">
        <f t="shared" si="56"/>
        <v>28</v>
      </c>
      <c r="CV11" s="217">
        <f t="shared" si="57"/>
        <v>4.1962174940898347</v>
      </c>
      <c r="CW11" s="172">
        <f t="shared" si="58"/>
        <v>1527.5628855765306</v>
      </c>
      <c r="CX11" s="172">
        <f t="shared" si="59"/>
        <v>28</v>
      </c>
      <c r="CY11" s="217">
        <f t="shared" si="60"/>
        <v>0.59577464788732404</v>
      </c>
      <c r="CZ11" s="217">
        <f t="shared" si="61"/>
        <v>0.10000503018108654</v>
      </c>
      <c r="DA11" s="217">
        <f t="shared" si="62"/>
        <v>9.8596508629240256E-2</v>
      </c>
      <c r="DB11" s="197">
        <f t="shared" si="63"/>
        <v>350</v>
      </c>
      <c r="DC11" s="443">
        <f t="shared" si="116"/>
        <v>350</v>
      </c>
      <c r="DE11" s="217">
        <f t="shared" si="64"/>
        <v>8.5709974347366842</v>
      </c>
      <c r="DF11" s="173">
        <f t="shared" si="65"/>
        <v>1.418439716312057</v>
      </c>
      <c r="DG11" s="173">
        <f t="shared" si="66"/>
        <v>2.1275525547218721</v>
      </c>
      <c r="DH11" s="173"/>
      <c r="DI11" s="173">
        <f t="shared" si="67"/>
        <v>0.55164319248826299</v>
      </c>
      <c r="DJ11" s="545">
        <f t="shared" si="117"/>
        <v>163.14893617021275</v>
      </c>
      <c r="DK11" s="528">
        <f t="shared" si="68"/>
        <v>0.3217918622848201</v>
      </c>
      <c r="DM11" s="173">
        <f t="shared" si="69"/>
        <v>2.2758144271866461</v>
      </c>
      <c r="DN11" s="173">
        <f t="shared" si="70"/>
        <v>3.3333333333333335</v>
      </c>
      <c r="DO11" s="173">
        <f t="shared" si="71"/>
        <v>1.093227963525836</v>
      </c>
      <c r="DQ11" s="545">
        <f t="shared" si="72"/>
        <v>150</v>
      </c>
      <c r="DR11" s="460">
        <f t="shared" si="73"/>
        <v>163.14893617021275</v>
      </c>
      <c r="DT11">
        <f t="shared" si="74"/>
        <v>150</v>
      </c>
      <c r="DU11" s="460">
        <f t="shared" si="75"/>
        <v>163.14893617021275</v>
      </c>
      <c r="DV11" s="460"/>
      <c r="DW11" s="5">
        <f t="shared" si="118"/>
        <v>6.1293688054251438</v>
      </c>
      <c r="DX11" s="5">
        <f t="shared" si="76"/>
        <v>0.55952380952380953</v>
      </c>
      <c r="DY11" s="5">
        <f t="shared" si="119"/>
        <v>5.5698449959013345</v>
      </c>
      <c r="DZ11" s="5">
        <f t="shared" si="77"/>
        <v>0.55164319248826299</v>
      </c>
      <c r="EA11" s="173">
        <f t="shared" si="120"/>
        <v>9.1285714285714276E-2</v>
      </c>
      <c r="EB11" s="173">
        <f t="shared" si="78"/>
        <v>4.26</v>
      </c>
      <c r="EC11" s="173">
        <f t="shared" si="79"/>
        <v>1.5145238095238096</v>
      </c>
      <c r="ED11" s="173">
        <f t="shared" si="121"/>
        <v>2.8127652884766543</v>
      </c>
      <c r="EE11" s="460">
        <f t="shared" si="80"/>
        <v>0.29974489795918363</v>
      </c>
      <c r="EF11" s="5">
        <f t="shared" si="81"/>
        <v>0.5967691067037143</v>
      </c>
      <c r="EG11" s="5"/>
      <c r="EH11" s="173">
        <f t="shared" si="122"/>
        <v>0.58145957563293948</v>
      </c>
      <c r="EI11" s="173">
        <f t="shared" si="82"/>
        <v>1.8345594745356351</v>
      </c>
      <c r="EJ11" s="173"/>
      <c r="EK11" s="528">
        <f t="shared" si="83"/>
        <v>4.0571428571428564E-3</v>
      </c>
      <c r="EL11" s="528">
        <f t="shared" si="84"/>
        <v>0.58276799999999995</v>
      </c>
      <c r="EM11" s="528">
        <f t="shared" si="85"/>
        <v>1.8762127659574468E-2</v>
      </c>
      <c r="EN11" s="528">
        <f t="shared" si="86"/>
        <v>0.25559284319999998</v>
      </c>
      <c r="EO11">
        <f t="shared" si="87"/>
        <v>1.26E-2</v>
      </c>
      <c r="EP11" s="460">
        <f t="shared" si="123"/>
        <v>31.362127659574469</v>
      </c>
      <c r="EQ11" s="528">
        <f t="shared" si="88"/>
        <v>0.87571971607799426</v>
      </c>
      <c r="ER11" s="460">
        <f t="shared" si="124"/>
        <v>875.71971607799424</v>
      </c>
      <c r="ES11" s="528">
        <f t="shared" si="125"/>
        <v>0.10059</v>
      </c>
      <c r="ET11" s="528"/>
      <c r="EV11" s="460">
        <f t="shared" si="126"/>
        <v>100.59</v>
      </c>
      <c r="EW11" s="528">
        <f t="shared" si="89"/>
        <v>4.7333333333333333E-3</v>
      </c>
      <c r="EX11" s="528">
        <f t="shared" si="90"/>
        <v>4.7118518518518518E-2</v>
      </c>
      <c r="EY11" s="528">
        <f t="shared" si="91"/>
        <v>0.344847818672053</v>
      </c>
      <c r="EZ11" s="528">
        <f t="shared" si="92"/>
        <v>0.4108483748938348</v>
      </c>
      <c r="FA11" s="528">
        <f t="shared" si="93"/>
        <v>0.18127659574468086</v>
      </c>
      <c r="FB11" s="460">
        <f t="shared" si="127"/>
        <v>592.12497063851561</v>
      </c>
      <c r="FC11" s="173">
        <f t="shared" si="128"/>
        <v>1.56843468671651</v>
      </c>
      <c r="FD11" s="5">
        <f t="shared" si="129"/>
        <v>4.2</v>
      </c>
      <c r="FE11" s="173">
        <f t="shared" si="130"/>
        <v>0.72810046886232671</v>
      </c>
      <c r="FF11" s="5">
        <f t="shared" si="131"/>
        <v>72.810046886232669</v>
      </c>
      <c r="FI11" s="562">
        <f t="shared" si="94"/>
        <v>-50</v>
      </c>
      <c r="FJ11">
        <f t="shared" si="95"/>
        <v>-50</v>
      </c>
      <c r="FL11">
        <f t="shared" si="96"/>
        <v>0.09</v>
      </c>
    </row>
    <row r="12" spans="2:168">
      <c r="E12" s="170">
        <v>7</v>
      </c>
      <c r="F12" s="217">
        <f t="shared" si="97"/>
        <v>0.17500000000000002</v>
      </c>
      <c r="G12" s="217"/>
      <c r="H12" s="217">
        <f t="shared" si="0"/>
        <v>4.9000000000000004</v>
      </c>
      <c r="I12" s="541">
        <f t="shared" si="1"/>
        <v>27.956972913142501</v>
      </c>
      <c r="J12" s="172">
        <f t="shared" si="2"/>
        <v>28.423168431384806</v>
      </c>
      <c r="K12" s="172">
        <f t="shared" si="3"/>
        <v>56.423168431384809</v>
      </c>
      <c r="L12" s="443"/>
      <c r="M12" s="217">
        <f t="shared" si="4"/>
        <v>0.50413584504270037</v>
      </c>
      <c r="N12" s="172">
        <f t="shared" si="5"/>
        <v>118.71040855634737</v>
      </c>
      <c r="O12" s="172">
        <f t="shared" si="98"/>
        <v>4.9000000000000004</v>
      </c>
      <c r="P12" s="217">
        <f t="shared" si="6"/>
        <v>4.2396574484409779</v>
      </c>
      <c r="Q12" s="217">
        <f t="shared" si="7"/>
        <v>28</v>
      </c>
      <c r="R12" s="217">
        <f t="shared" si="8"/>
        <v>4.1946762394056494</v>
      </c>
      <c r="S12" s="172">
        <f t="shared" si="9"/>
        <v>1303.3360290171343</v>
      </c>
      <c r="T12" s="172">
        <f t="shared" si="10"/>
        <v>28</v>
      </c>
      <c r="U12" s="217">
        <f t="shared" si="99"/>
        <v>0.70583847713319714</v>
      </c>
      <c r="V12" s="217">
        <f t="shared" si="11"/>
        <v>0.11866237638934458</v>
      </c>
      <c r="W12" s="217">
        <f t="shared" si="12"/>
        <v>0.11671608147890068</v>
      </c>
      <c r="X12" s="197">
        <f t="shared" si="13"/>
        <v>350</v>
      </c>
      <c r="Y12" s="443">
        <f t="shared" si="14"/>
        <v>350</v>
      </c>
      <c r="AA12" s="217">
        <f t="shared" si="15"/>
        <v>8.5678246917844856</v>
      </c>
      <c r="AB12" s="173">
        <f t="shared" si="16"/>
        <v>1.4167588722066038</v>
      </c>
      <c r="AC12" s="173">
        <f t="shared" si="17"/>
        <v>2.1242447883293845</v>
      </c>
      <c r="AD12" s="173"/>
      <c r="AE12" s="173">
        <f t="shared" si="18"/>
        <v>0.55119353440440388</v>
      </c>
      <c r="AF12" s="545">
        <f t="shared" si="100"/>
        <v>190.49570331672794</v>
      </c>
      <c r="AG12" s="528">
        <f t="shared" si="19"/>
        <v>0.3215295617359023</v>
      </c>
      <c r="AI12" s="173">
        <f t="shared" si="20"/>
        <v>2.4591629968295088</v>
      </c>
      <c r="AJ12" s="173">
        <f t="shared" si="21"/>
        <v>3.3333333333333335</v>
      </c>
      <c r="AK12" s="173">
        <f t="shared" si="22"/>
        <v>1.1088546876095589</v>
      </c>
      <c r="AM12" s="545">
        <f t="shared" si="23"/>
        <v>175.00000000000003</v>
      </c>
      <c r="AN12" s="460">
        <f t="shared" si="24"/>
        <v>190.49570331672794</v>
      </c>
      <c r="AP12">
        <f t="shared" si="25"/>
        <v>175.00000000000003</v>
      </c>
      <c r="AQ12" s="460">
        <f t="shared" si="26"/>
        <v>190.49570331672794</v>
      </c>
      <c r="AR12" s="460"/>
      <c r="AS12" s="5">
        <f t="shared" si="101"/>
        <v>5.2494622324228946</v>
      </c>
      <c r="AT12" s="5">
        <f t="shared" si="27"/>
        <v>0.56038494279549866</v>
      </c>
      <c r="AU12" s="5">
        <f t="shared" si="102"/>
        <v>4.689077289627396</v>
      </c>
      <c r="AV12" s="5">
        <f t="shared" si="28"/>
        <v>0.55119353440440388</v>
      </c>
      <c r="AW12" s="173">
        <f t="shared" si="103"/>
        <v>0.10675092380593286</v>
      </c>
      <c r="AX12" s="173">
        <f t="shared" si="29"/>
        <v>4.9740544754923413</v>
      </c>
      <c r="AY12" s="173">
        <f t="shared" si="30"/>
        <v>1.4887484603234453</v>
      </c>
      <c r="AZ12" s="173">
        <f t="shared" si="104"/>
        <v>3.3410979813283426</v>
      </c>
      <c r="BA12" s="460">
        <f t="shared" si="31"/>
        <v>0.35024058924718665</v>
      </c>
      <c r="BB12" s="5">
        <f t="shared" si="32"/>
        <v>0.58703674981853116</v>
      </c>
      <c r="BC12" s="5"/>
      <c r="BD12" s="173">
        <f t="shared" si="105"/>
        <v>0.62878755702846523</v>
      </c>
      <c r="BE12" s="173">
        <f t="shared" si="33"/>
        <v>1.8188815002165146</v>
      </c>
      <c r="BF12" s="173"/>
      <c r="BG12" s="528">
        <f t="shared" si="34"/>
        <v>4.744485502485905E-3</v>
      </c>
      <c r="BH12" s="528">
        <f t="shared" si="35"/>
        <v>0.65385924518310345</v>
      </c>
      <c r="BI12" s="528">
        <f t="shared" si="36"/>
        <v>2.1907005881423715E-2</v>
      </c>
      <c r="BJ12" s="528">
        <f t="shared" si="37"/>
        <v>0.29868014931422149</v>
      </c>
      <c r="BK12">
        <f t="shared" si="38"/>
        <v>1.2580637810914124E-2</v>
      </c>
      <c r="BL12" s="460">
        <f t="shared" si="106"/>
        <v>34.487643692337841</v>
      </c>
      <c r="BM12" s="528">
        <f t="shared" si="39"/>
        <v>0.95964669096900601</v>
      </c>
      <c r="BN12" s="460">
        <f t="shared" si="107"/>
        <v>959.64669096900604</v>
      </c>
      <c r="BO12" s="528">
        <f t="shared" si="108"/>
        <v>0.11735499999999999</v>
      </c>
      <c r="BP12" s="528"/>
      <c r="BR12" s="460">
        <f t="shared" si="109"/>
        <v>117.35499999999999</v>
      </c>
      <c r="BS12" s="528">
        <f t="shared" si="40"/>
        <v>5.5352330862335564E-3</v>
      </c>
      <c r="BT12" s="528">
        <f t="shared" si="41"/>
        <v>4.6316618765618302E-2</v>
      </c>
      <c r="BU12" s="528">
        <f t="shared" si="42"/>
        <v>0.50801885200710228</v>
      </c>
      <c r="BV12" s="528">
        <f t="shared" si="43"/>
        <v>0.57469908524961921</v>
      </c>
      <c r="BW12" s="528">
        <f t="shared" si="44"/>
        <v>0.21166189257414217</v>
      </c>
      <c r="BX12" s="460">
        <f t="shared" si="110"/>
        <v>786.36097782376135</v>
      </c>
      <c r="BY12" s="173">
        <f t="shared" si="45"/>
        <v>1.8978503124851054</v>
      </c>
      <c r="BZ12" s="5">
        <f t="shared" si="111"/>
        <v>4.9000000000000004</v>
      </c>
      <c r="CA12" s="173">
        <f t="shared" si="112"/>
        <v>0.72081610726269374</v>
      </c>
      <c r="CB12" s="5">
        <f t="shared" si="113"/>
        <v>72.081610726269375</v>
      </c>
      <c r="CE12" s="562">
        <f t="shared" si="46"/>
        <v>-50</v>
      </c>
      <c r="CF12">
        <f t="shared" si="47"/>
        <v>-50</v>
      </c>
      <c r="CG12" s="173">
        <f t="shared" si="48"/>
        <v>0.10574734039208741</v>
      </c>
      <c r="CI12" s="170">
        <v>7</v>
      </c>
      <c r="CJ12" s="217">
        <f t="shared" si="114"/>
        <v>0.17500000000000002</v>
      </c>
      <c r="CK12" s="217"/>
      <c r="CL12" s="217">
        <f t="shared" si="49"/>
        <v>4.9000000000000004</v>
      </c>
      <c r="CM12" s="541">
        <f t="shared" si="50"/>
        <v>28</v>
      </c>
      <c r="CN12" s="172">
        <f t="shared" si="51"/>
        <v>28.4</v>
      </c>
      <c r="CO12" s="443">
        <f t="shared" si="52"/>
        <v>56.4</v>
      </c>
      <c r="CP12" s="443"/>
      <c r="CQ12" s="217">
        <f t="shared" si="53"/>
        <v>0.50354609929078009</v>
      </c>
      <c r="CR12" s="172">
        <f t="shared" si="54"/>
        <v>118.75402645742166</v>
      </c>
      <c r="CS12" s="172">
        <f t="shared" si="115"/>
        <v>4.9000000000000004</v>
      </c>
      <c r="CT12" s="217">
        <f t="shared" si="55"/>
        <v>4.2412152306222017</v>
      </c>
      <c r="CU12" s="217">
        <f t="shared" si="56"/>
        <v>28</v>
      </c>
      <c r="CV12" s="217">
        <f t="shared" si="57"/>
        <v>4.1962174940898347</v>
      </c>
      <c r="CW12" s="172">
        <f t="shared" si="58"/>
        <v>1305.3419108323835</v>
      </c>
      <c r="CX12" s="172">
        <f t="shared" si="59"/>
        <v>28</v>
      </c>
      <c r="CY12" s="217">
        <f t="shared" si="60"/>
        <v>0.69507042253521134</v>
      </c>
      <c r="CZ12" s="217">
        <f t="shared" si="61"/>
        <v>0.11667253521126762</v>
      </c>
      <c r="DA12" s="217">
        <f t="shared" si="62"/>
        <v>0.11502926006744695</v>
      </c>
      <c r="DB12" s="197">
        <f t="shared" si="63"/>
        <v>350</v>
      </c>
      <c r="DC12" s="443">
        <f t="shared" si="116"/>
        <v>350</v>
      </c>
      <c r="DE12" s="217">
        <f t="shared" si="64"/>
        <v>8.5709974347366842</v>
      </c>
      <c r="DF12" s="173">
        <f t="shared" si="65"/>
        <v>1.418439716312057</v>
      </c>
      <c r="DG12" s="173">
        <f t="shared" si="66"/>
        <v>2.1275525547218721</v>
      </c>
      <c r="DH12" s="173"/>
      <c r="DI12" s="173">
        <f t="shared" si="67"/>
        <v>0.55164319248826299</v>
      </c>
      <c r="DJ12" s="545">
        <f t="shared" si="117"/>
        <v>190.34042553191489</v>
      </c>
      <c r="DK12" s="528">
        <f t="shared" si="68"/>
        <v>0.3217918622848201</v>
      </c>
      <c r="DM12" s="173">
        <f t="shared" si="69"/>
        <v>2.4581605300487115</v>
      </c>
      <c r="DN12" s="173">
        <f t="shared" si="70"/>
        <v>3.3333333333333335</v>
      </c>
      <c r="DO12" s="173">
        <f t="shared" si="71"/>
        <v>1.1087659574468085</v>
      </c>
      <c r="DQ12" s="545">
        <f t="shared" si="72"/>
        <v>175.00000000000003</v>
      </c>
      <c r="DR12" s="460">
        <f t="shared" si="73"/>
        <v>190.34042553191489</v>
      </c>
      <c r="DT12">
        <f t="shared" si="74"/>
        <v>175.00000000000003</v>
      </c>
      <c r="DU12" s="460">
        <f t="shared" si="75"/>
        <v>190.34042553191489</v>
      </c>
      <c r="DV12" s="460"/>
      <c r="DW12" s="5">
        <f t="shared" si="118"/>
        <v>5.2537446903644094</v>
      </c>
      <c r="DX12" s="5">
        <f t="shared" si="76"/>
        <v>0.55952380952380953</v>
      </c>
      <c r="DY12" s="5">
        <f t="shared" si="119"/>
        <v>4.6942208808406001</v>
      </c>
      <c r="DZ12" s="5">
        <f t="shared" si="77"/>
        <v>0.55164319248826299</v>
      </c>
      <c r="EA12" s="173">
        <f t="shared" si="120"/>
        <v>0.10649999999999998</v>
      </c>
      <c r="EB12" s="173">
        <f t="shared" si="78"/>
        <v>4.9700000000000006</v>
      </c>
      <c r="EC12" s="173">
        <f t="shared" si="79"/>
        <v>1.4891666666666667</v>
      </c>
      <c r="ED12" s="173">
        <f t="shared" si="121"/>
        <v>3.3374370453273645</v>
      </c>
      <c r="EE12" s="460">
        <f t="shared" si="80"/>
        <v>0.34970238095238099</v>
      </c>
      <c r="EF12" s="5">
        <f t="shared" si="81"/>
        <v>0.58677761010507501</v>
      </c>
      <c r="EG12" s="5"/>
      <c r="EH12" s="173">
        <f t="shared" si="122"/>
        <v>0.62804812271389243</v>
      </c>
      <c r="EI12" s="173">
        <f t="shared" si="82"/>
        <v>1.8191369545087197</v>
      </c>
      <c r="EJ12" s="173"/>
      <c r="EK12" s="528">
        <f t="shared" si="83"/>
        <v>4.7333333333333342E-3</v>
      </c>
      <c r="EL12" s="528">
        <f t="shared" si="84"/>
        <v>0.67989600000000006</v>
      </c>
      <c r="EM12" s="528">
        <f t="shared" si="85"/>
        <v>2.1889148936170215E-2</v>
      </c>
      <c r="EN12" s="528">
        <f t="shared" si="86"/>
        <v>0.29819165040000001</v>
      </c>
      <c r="EO12">
        <f t="shared" si="87"/>
        <v>1.26E-2</v>
      </c>
      <c r="EP12" s="460">
        <f t="shared" si="123"/>
        <v>34.489148936170217</v>
      </c>
      <c r="EQ12" s="528">
        <f t="shared" si="88"/>
        <v>1.0197349674032441</v>
      </c>
      <c r="ER12" s="460">
        <f t="shared" si="124"/>
        <v>1019.7349674032441</v>
      </c>
      <c r="ES12" s="528">
        <f t="shared" si="125"/>
        <v>0.11735499999999999</v>
      </c>
      <c r="ET12" s="528"/>
      <c r="EV12" s="460">
        <f t="shared" si="126"/>
        <v>117.35499999999999</v>
      </c>
      <c r="EW12" s="528">
        <f t="shared" si="89"/>
        <v>5.5222222222222226E-3</v>
      </c>
      <c r="EX12" s="528">
        <f t="shared" si="90"/>
        <v>4.6329629629629637E-2</v>
      </c>
      <c r="EY12" s="528">
        <f t="shared" si="91"/>
        <v>0.50698423781496538</v>
      </c>
      <c r="EZ12" s="528">
        <f t="shared" si="92"/>
        <v>0.5736601614476371</v>
      </c>
      <c r="FA12" s="528">
        <f t="shared" si="93"/>
        <v>0.21148936170212768</v>
      </c>
      <c r="FB12" s="460">
        <f t="shared" si="127"/>
        <v>785.14952314976472</v>
      </c>
      <c r="FC12" s="173">
        <f t="shared" si="128"/>
        <v>1.9222394905530089</v>
      </c>
      <c r="FD12" s="5">
        <f t="shared" si="129"/>
        <v>4.9000000000000004</v>
      </c>
      <c r="FE12" s="173">
        <f t="shared" si="130"/>
        <v>0.71823922434637477</v>
      </c>
      <c r="FF12" s="5">
        <f t="shared" si="131"/>
        <v>71.823922434637481</v>
      </c>
      <c r="FI12" s="562">
        <f t="shared" si="94"/>
        <v>-50</v>
      </c>
      <c r="FJ12">
        <f t="shared" si="95"/>
        <v>-50</v>
      </c>
      <c r="FL12">
        <f t="shared" si="96"/>
        <v>0.10500000000000001</v>
      </c>
    </row>
    <row r="13" spans="2:168" s="76" customFormat="1">
      <c r="E13" s="189">
        <v>8</v>
      </c>
      <c r="F13" s="217">
        <f t="shared" si="97"/>
        <v>0.2</v>
      </c>
      <c r="G13" s="217"/>
      <c r="H13" s="217">
        <f t="shared" si="0"/>
        <v>5.6000000000000005</v>
      </c>
      <c r="I13" s="541">
        <f t="shared" si="1"/>
        <v>27.956972913142501</v>
      </c>
      <c r="J13" s="172">
        <f t="shared" si="2"/>
        <v>28.423168431384806</v>
      </c>
      <c r="K13" s="172">
        <f t="shared" si="3"/>
        <v>56.423168431384809</v>
      </c>
      <c r="L13" s="535"/>
      <c r="M13" s="217">
        <f t="shared" si="4"/>
        <v>0.50413584504270037</v>
      </c>
      <c r="N13" s="172">
        <f t="shared" si="5"/>
        <v>118.71040855634737</v>
      </c>
      <c r="O13" s="172">
        <f t="shared" si="98"/>
        <v>5.6000000000000005</v>
      </c>
      <c r="P13" s="329">
        <f t="shared" si="6"/>
        <v>4.2396574484409779</v>
      </c>
      <c r="Q13" s="217">
        <f t="shared" si="7"/>
        <v>28</v>
      </c>
      <c r="R13" s="217">
        <f t="shared" si="8"/>
        <v>4.1946762394056494</v>
      </c>
      <c r="S13" s="172">
        <f t="shared" si="9"/>
        <v>1136.9267309889699</v>
      </c>
      <c r="T13" s="172">
        <f t="shared" si="10"/>
        <v>28</v>
      </c>
      <c r="U13" s="217">
        <f t="shared" si="99"/>
        <v>0.80667254529508237</v>
      </c>
      <c r="V13" s="217">
        <f t="shared" si="11"/>
        <v>0.1356141444449652</v>
      </c>
      <c r="W13" s="217">
        <f t="shared" si="12"/>
        <v>0.13338980740445791</v>
      </c>
      <c r="X13" s="537">
        <f t="shared" si="13"/>
        <v>350</v>
      </c>
      <c r="Y13" s="443">
        <f t="shared" si="14"/>
        <v>350</v>
      </c>
      <c r="AA13" s="329">
        <f t="shared" si="15"/>
        <v>8.5678246917844856</v>
      </c>
      <c r="AB13" s="173">
        <f t="shared" si="16"/>
        <v>1.4167588722066038</v>
      </c>
      <c r="AC13" s="538">
        <f t="shared" si="17"/>
        <v>2.1242447883293845</v>
      </c>
      <c r="AD13" s="538"/>
      <c r="AE13" s="173">
        <f t="shared" si="18"/>
        <v>0.55119353440440388</v>
      </c>
      <c r="AF13" s="545">
        <f t="shared" si="100"/>
        <v>217.70937521911765</v>
      </c>
      <c r="AG13" s="528">
        <f t="shared" si="19"/>
        <v>0.3215295617359023</v>
      </c>
      <c r="AH13"/>
      <c r="AI13" s="173">
        <f t="shared" si="20"/>
        <v>2.6289558263909356</v>
      </c>
      <c r="AJ13" s="173">
        <f t="shared" si="21"/>
        <v>3.3333333333333335</v>
      </c>
      <c r="AK13" s="173">
        <f t="shared" si="22"/>
        <v>1.1244053572680672</v>
      </c>
      <c r="AM13" s="545">
        <f t="shared" si="23"/>
        <v>200</v>
      </c>
      <c r="AN13" s="460">
        <f t="shared" si="24"/>
        <v>217.70937521911765</v>
      </c>
      <c r="AP13">
        <f t="shared" si="25"/>
        <v>200</v>
      </c>
      <c r="AQ13" s="460">
        <f t="shared" si="26"/>
        <v>217.70937521911765</v>
      </c>
      <c r="AR13" s="460"/>
      <c r="AS13" s="5">
        <f t="shared" si="101"/>
        <v>4.5932794533700321</v>
      </c>
      <c r="AT13" s="5">
        <f t="shared" si="27"/>
        <v>0.56038494279549866</v>
      </c>
      <c r="AU13" s="5">
        <f t="shared" si="102"/>
        <v>4.0328945105745335</v>
      </c>
      <c r="AV13" s="5">
        <f t="shared" si="28"/>
        <v>0.55119353440440388</v>
      </c>
      <c r="AW13" s="173">
        <f t="shared" si="103"/>
        <v>0.12200105577820901</v>
      </c>
      <c r="AX13" s="173">
        <f t="shared" si="29"/>
        <v>5.6846336862769613</v>
      </c>
      <c r="AY13" s="173">
        <f t="shared" si="30"/>
        <v>1.4633315737029851</v>
      </c>
      <c r="AZ13" s="173">
        <f t="shared" si="104"/>
        <v>3.8847201744522608</v>
      </c>
      <c r="BA13" s="460">
        <f t="shared" si="31"/>
        <v>0.40027495913964195</v>
      </c>
      <c r="BB13" s="5">
        <f t="shared" si="32"/>
        <v>0.57701447479368273</v>
      </c>
      <c r="BC13" s="5"/>
      <c r="BD13" s="173">
        <f t="shared" si="105"/>
        <v>0.67220217356202805</v>
      </c>
      <c r="BE13" s="173">
        <f t="shared" si="33"/>
        <v>1.8032880916709313</v>
      </c>
      <c r="BF13" s="173"/>
      <c r="BG13" s="528">
        <f t="shared" si="34"/>
        <v>5.4222691456981787E-3</v>
      </c>
      <c r="BH13" s="528">
        <f t="shared" si="35"/>
        <v>0.74726770878068971</v>
      </c>
      <c r="BI13" s="528">
        <f t="shared" si="36"/>
        <v>2.5036578150198531E-2</v>
      </c>
      <c r="BJ13" s="528">
        <f t="shared" si="37"/>
        <v>0.34134874207339599</v>
      </c>
      <c r="BK13">
        <f t="shared" si="38"/>
        <v>1.2580637810914124E-2</v>
      </c>
      <c r="BL13" s="460">
        <f t="shared" si="106"/>
        <v>37.617215961112656</v>
      </c>
      <c r="BM13" s="528">
        <f t="shared" si="39"/>
        <v>1.0969159236213775</v>
      </c>
      <c r="BN13" s="460">
        <f t="shared" si="107"/>
        <v>1096.9159236213775</v>
      </c>
      <c r="BO13" s="528">
        <f t="shared" si="108"/>
        <v>0.13411999999999999</v>
      </c>
      <c r="BP13" s="528"/>
      <c r="BR13" s="460">
        <f t="shared" si="109"/>
        <v>134.11999999999998</v>
      </c>
      <c r="BS13" s="528">
        <f t="shared" si="40"/>
        <v>6.3259806699812087E-3</v>
      </c>
      <c r="BT13" s="528">
        <f t="shared" si="41"/>
        <v>4.5525871181870653E-2</v>
      </c>
      <c r="BU13" s="528">
        <f t="shared" si="42"/>
        <v>0.70934856778366606</v>
      </c>
      <c r="BV13" s="528">
        <f t="shared" si="43"/>
        <v>0.77686742525137542</v>
      </c>
      <c r="BW13" s="528">
        <f t="shared" si="44"/>
        <v>0.24189930579901964</v>
      </c>
      <c r="BX13" s="460">
        <f t="shared" si="110"/>
        <v>1018.7667310503952</v>
      </c>
      <c r="BY13" s="173">
        <f t="shared" si="45"/>
        <v>2.2874198706328848</v>
      </c>
      <c r="BZ13" s="5">
        <f t="shared" si="111"/>
        <v>5.6000000000000005</v>
      </c>
      <c r="CA13" s="173">
        <f t="shared" si="112"/>
        <v>0.70999136496465698</v>
      </c>
      <c r="CB13" s="5">
        <f t="shared" si="113"/>
        <v>70.999136496465695</v>
      </c>
      <c r="CE13" s="562">
        <f t="shared" si="46"/>
        <v>-50</v>
      </c>
      <c r="CF13">
        <f t="shared" si="47"/>
        <v>-50</v>
      </c>
      <c r="CG13" s="173">
        <f t="shared" si="48"/>
        <v>0.12085410330524275</v>
      </c>
      <c r="CH13"/>
      <c r="CI13" s="189">
        <v>8</v>
      </c>
      <c r="CJ13" s="217">
        <f t="shared" si="114"/>
        <v>0.2</v>
      </c>
      <c r="CK13" s="217"/>
      <c r="CL13" s="217">
        <f t="shared" si="49"/>
        <v>5.6000000000000005</v>
      </c>
      <c r="CM13" s="541">
        <f t="shared" si="50"/>
        <v>28</v>
      </c>
      <c r="CN13" s="172">
        <f t="shared" si="51"/>
        <v>28.4</v>
      </c>
      <c r="CO13" s="535">
        <f t="shared" si="52"/>
        <v>56.4</v>
      </c>
      <c r="CP13" s="535"/>
      <c r="CQ13" s="329">
        <f t="shared" si="53"/>
        <v>0.50354609929078009</v>
      </c>
      <c r="CR13" s="172">
        <f t="shared" si="54"/>
        <v>118.75402645742166</v>
      </c>
      <c r="CS13" s="172">
        <f t="shared" si="115"/>
        <v>5.6000000000000005</v>
      </c>
      <c r="CT13" s="329">
        <f t="shared" si="55"/>
        <v>4.2412152306222017</v>
      </c>
      <c r="CU13" s="217">
        <f t="shared" si="56"/>
        <v>28</v>
      </c>
      <c r="CV13" s="217">
        <f t="shared" si="57"/>
        <v>4.1962174940898347</v>
      </c>
      <c r="CW13" s="172">
        <f t="shared" si="58"/>
        <v>1138.6764991932862</v>
      </c>
      <c r="CX13" s="172">
        <f t="shared" si="59"/>
        <v>28</v>
      </c>
      <c r="CY13" s="217">
        <f t="shared" si="60"/>
        <v>0.79436619718309875</v>
      </c>
      <c r="CZ13" s="329">
        <f t="shared" si="61"/>
        <v>0.13334004024144872</v>
      </c>
      <c r="DA13" s="217">
        <f t="shared" si="62"/>
        <v>0.13146201150565368</v>
      </c>
      <c r="DB13" s="537">
        <f t="shared" si="63"/>
        <v>350</v>
      </c>
      <c r="DC13" s="535">
        <f t="shared" si="116"/>
        <v>350</v>
      </c>
      <c r="DE13" s="329">
        <f t="shared" si="64"/>
        <v>8.5709974347366842</v>
      </c>
      <c r="DF13" s="173">
        <f t="shared" si="65"/>
        <v>1.418439716312057</v>
      </c>
      <c r="DG13" s="538">
        <f t="shared" si="66"/>
        <v>2.1275525547218721</v>
      </c>
      <c r="DH13" s="538"/>
      <c r="DI13" s="173">
        <f t="shared" si="67"/>
        <v>0.55164319248826299</v>
      </c>
      <c r="DJ13" s="545">
        <f t="shared" si="117"/>
        <v>217.531914893617</v>
      </c>
      <c r="DK13" s="528">
        <f t="shared" si="68"/>
        <v>0.3217918622848201</v>
      </c>
      <c r="DL13"/>
      <c r="DM13" s="173">
        <f t="shared" si="69"/>
        <v>2.627884144323688</v>
      </c>
      <c r="DN13" s="173">
        <f t="shared" si="70"/>
        <v>3.3333333333333335</v>
      </c>
      <c r="DO13" s="173">
        <f t="shared" si="71"/>
        <v>1.1243039513677811</v>
      </c>
      <c r="DQ13" s="545">
        <f t="shared" si="72"/>
        <v>200</v>
      </c>
      <c r="DR13" s="460">
        <f t="shared" si="73"/>
        <v>217.531914893617</v>
      </c>
      <c r="DT13">
        <f t="shared" si="74"/>
        <v>200</v>
      </c>
      <c r="DU13" s="460">
        <f t="shared" si="75"/>
        <v>217.531914893617</v>
      </c>
      <c r="DV13" s="460"/>
      <c r="DW13" s="5">
        <f t="shared" si="118"/>
        <v>4.5970266040688577</v>
      </c>
      <c r="DX13" s="5">
        <f t="shared" si="76"/>
        <v>0.55952380952380953</v>
      </c>
      <c r="DY13" s="5">
        <f t="shared" si="119"/>
        <v>4.0375027945450483</v>
      </c>
      <c r="DZ13" s="5">
        <f t="shared" si="77"/>
        <v>0.55164319248826299</v>
      </c>
      <c r="EA13" s="173">
        <f t="shared" si="120"/>
        <v>0.12171428571428572</v>
      </c>
      <c r="EB13" s="173">
        <f t="shared" si="78"/>
        <v>5.68</v>
      </c>
      <c r="EC13" s="173">
        <f t="shared" si="79"/>
        <v>1.4638095238095239</v>
      </c>
      <c r="ED13" s="173">
        <f t="shared" si="121"/>
        <v>3.8802862719583602</v>
      </c>
      <c r="EE13" s="460">
        <f t="shared" si="80"/>
        <v>0.39965986394557823</v>
      </c>
      <c r="EF13" s="5">
        <f t="shared" si="81"/>
        <v>0.57678611350643549</v>
      </c>
      <c r="EG13" s="5"/>
      <c r="EH13" s="173">
        <f t="shared" si="122"/>
        <v>0.6714116850291264</v>
      </c>
      <c r="EI13" s="173">
        <f t="shared" si="82"/>
        <v>1.8035825606026616</v>
      </c>
      <c r="EJ13" s="173"/>
      <c r="EK13" s="528">
        <f t="shared" si="83"/>
        <v>5.4095238095238102E-3</v>
      </c>
      <c r="EL13" s="528">
        <f t="shared" si="84"/>
        <v>0.77702399999999994</v>
      </c>
      <c r="EM13" s="528">
        <f t="shared" si="85"/>
        <v>2.5016170212765955E-2</v>
      </c>
      <c r="EN13" s="528">
        <f t="shared" si="86"/>
        <v>0.34079045759999999</v>
      </c>
      <c r="EO13">
        <f t="shared" si="87"/>
        <v>1.26E-2</v>
      </c>
      <c r="EP13" s="460">
        <f t="shared" si="123"/>
        <v>37.616170212765958</v>
      </c>
      <c r="EQ13" s="528">
        <f t="shared" si="88"/>
        <v>1.1637965540869621</v>
      </c>
      <c r="ER13" s="460">
        <f t="shared" si="124"/>
        <v>1163.796554086962</v>
      </c>
      <c r="ES13" s="528">
        <f t="shared" si="125"/>
        <v>0.13411999999999999</v>
      </c>
      <c r="ET13" s="528"/>
      <c r="EV13" s="460">
        <f t="shared" si="126"/>
        <v>134.11999999999998</v>
      </c>
      <c r="EW13" s="528">
        <f t="shared" si="89"/>
        <v>6.311111111111112E-3</v>
      </c>
      <c r="EX13" s="528">
        <f t="shared" si="90"/>
        <v>4.554074074074075E-2</v>
      </c>
      <c r="EY13" s="528">
        <f t="shared" si="91"/>
        <v>0.7079039322302777</v>
      </c>
      <c r="EZ13" s="528">
        <f t="shared" si="92"/>
        <v>0.77541677217411098</v>
      </c>
      <c r="FA13" s="528">
        <f t="shared" si="93"/>
        <v>0.24170212765957447</v>
      </c>
      <c r="FB13" s="460">
        <f t="shared" si="127"/>
        <v>1017.1188998336855</v>
      </c>
      <c r="FC13" s="173">
        <f t="shared" si="128"/>
        <v>2.3150354539206477</v>
      </c>
      <c r="FD13" s="5">
        <f t="shared" si="129"/>
        <v>5.6000000000000005</v>
      </c>
      <c r="FE13" s="173">
        <f t="shared" si="130"/>
        <v>0.70751420288661959</v>
      </c>
      <c r="FF13" s="5">
        <f t="shared" si="131"/>
        <v>70.751420288661961</v>
      </c>
      <c r="FI13" s="562">
        <f t="shared" si="94"/>
        <v>-50</v>
      </c>
      <c r="FJ13">
        <f t="shared" si="95"/>
        <v>-50</v>
      </c>
      <c r="FL13">
        <f t="shared" si="96"/>
        <v>0.12000000000000001</v>
      </c>
    </row>
    <row r="14" spans="2:168">
      <c r="E14" s="170">
        <v>9</v>
      </c>
      <c r="F14" s="217">
        <f t="shared" si="97"/>
        <v>0.22499999999999998</v>
      </c>
      <c r="G14" s="217"/>
      <c r="H14" s="217">
        <f t="shared" si="0"/>
        <v>6.2999999999999989</v>
      </c>
      <c r="I14" s="541">
        <f t="shared" si="1"/>
        <v>27.956972913142501</v>
      </c>
      <c r="J14" s="172">
        <f t="shared" si="2"/>
        <v>28.423168431384806</v>
      </c>
      <c r="K14" s="172">
        <f t="shared" si="3"/>
        <v>56.423168431384809</v>
      </c>
      <c r="L14" s="443"/>
      <c r="M14" s="217">
        <f t="shared" si="4"/>
        <v>0.50413584504270037</v>
      </c>
      <c r="N14" s="172">
        <f t="shared" si="5"/>
        <v>118.71040855634737</v>
      </c>
      <c r="O14" s="172">
        <f t="shared" si="98"/>
        <v>6.2999999999999989</v>
      </c>
      <c r="P14" s="217">
        <f t="shared" si="6"/>
        <v>4.2396574484409779</v>
      </c>
      <c r="Q14" s="217">
        <f t="shared" si="7"/>
        <v>28</v>
      </c>
      <c r="R14" s="217">
        <f t="shared" si="8"/>
        <v>4.1946762394056494</v>
      </c>
      <c r="S14" s="172">
        <f t="shared" si="9"/>
        <v>1007.4975634787578</v>
      </c>
      <c r="T14" s="172">
        <f t="shared" si="10"/>
        <v>28</v>
      </c>
      <c r="U14" s="217">
        <f t="shared" si="99"/>
        <v>0.90750661345696748</v>
      </c>
      <c r="V14" s="217">
        <f t="shared" si="11"/>
        <v>0.15256591250058582</v>
      </c>
      <c r="W14" s="217">
        <f t="shared" si="12"/>
        <v>0.1500635333300151</v>
      </c>
      <c r="X14" s="197">
        <f t="shared" si="13"/>
        <v>350</v>
      </c>
      <c r="Y14" s="443">
        <f t="shared" si="14"/>
        <v>350</v>
      </c>
      <c r="AA14" s="217">
        <f t="shared" si="15"/>
        <v>8.5678246917844856</v>
      </c>
      <c r="AB14" s="173">
        <f t="shared" si="16"/>
        <v>1.4167588722066038</v>
      </c>
      <c r="AC14" s="173">
        <f t="shared" si="17"/>
        <v>2.1242447883293845</v>
      </c>
      <c r="AD14" s="173"/>
      <c r="AE14" s="173">
        <f t="shared" si="18"/>
        <v>0.55119353440440388</v>
      </c>
      <c r="AF14" s="545">
        <f t="shared" si="100"/>
        <v>244.92304712150732</v>
      </c>
      <c r="AG14" s="528">
        <f t="shared" si="19"/>
        <v>0.3215295617359023</v>
      </c>
      <c r="AI14" s="173">
        <f t="shared" si="20"/>
        <v>2.7884287384213717</v>
      </c>
      <c r="AJ14" s="173">
        <f t="shared" si="21"/>
        <v>3.3333333333333335</v>
      </c>
      <c r="AK14" s="173">
        <f t="shared" si="22"/>
        <v>1.1399560269265756</v>
      </c>
      <c r="AM14" s="545">
        <f t="shared" si="23"/>
        <v>224.99999999999997</v>
      </c>
      <c r="AN14" s="460">
        <f t="shared" si="24"/>
        <v>244.92304712150732</v>
      </c>
      <c r="AP14">
        <f t="shared" si="25"/>
        <v>224.99999999999997</v>
      </c>
      <c r="AQ14" s="460">
        <f t="shared" si="26"/>
        <v>244.92304712150732</v>
      </c>
      <c r="AR14" s="460"/>
      <c r="AS14" s="5">
        <f t="shared" si="101"/>
        <v>4.0829150696622518</v>
      </c>
      <c r="AT14" s="5">
        <f t="shared" si="27"/>
        <v>0.56038494279549866</v>
      </c>
      <c r="AU14" s="5">
        <f t="shared" si="102"/>
        <v>3.5225301268667533</v>
      </c>
      <c r="AV14" s="5">
        <f t="shared" si="28"/>
        <v>0.55119353440440388</v>
      </c>
      <c r="AW14" s="173">
        <f t="shared" si="103"/>
        <v>0.13725118775048509</v>
      </c>
      <c r="AX14" s="173">
        <f t="shared" si="29"/>
        <v>6.3952128970615805</v>
      </c>
      <c r="AY14" s="173">
        <f t="shared" si="30"/>
        <v>1.437914687082525</v>
      </c>
      <c r="AZ14" s="173">
        <f t="shared" si="104"/>
        <v>4.4475607311844261</v>
      </c>
      <c r="BA14" s="460">
        <f t="shared" si="31"/>
        <v>0.45030932903209714</v>
      </c>
      <c r="BB14" s="5">
        <f t="shared" si="32"/>
        <v>0.56699219976883442</v>
      </c>
      <c r="BC14" s="5"/>
      <c r="BD14" s="173">
        <f t="shared" si="105"/>
        <v>0.71297807288106974</v>
      </c>
      <c r="BE14" s="173">
        <f t="shared" si="33"/>
        <v>1.787558662336568</v>
      </c>
      <c r="BF14" s="173"/>
      <c r="BG14" s="528">
        <f t="shared" si="34"/>
        <v>6.1000527889104482E-3</v>
      </c>
      <c r="BH14" s="528">
        <f t="shared" si="35"/>
        <v>0.84067617237827585</v>
      </c>
      <c r="BI14" s="528">
        <f t="shared" si="36"/>
        <v>2.8166150418973347E-2</v>
      </c>
      <c r="BJ14" s="528">
        <f t="shared" si="37"/>
        <v>0.3840173348325705</v>
      </c>
      <c r="BK14">
        <f t="shared" si="38"/>
        <v>1.2580637810914124E-2</v>
      </c>
      <c r="BL14" s="460">
        <f t="shared" si="106"/>
        <v>40.746788229887471</v>
      </c>
      <c r="BM14" s="528">
        <f t="shared" si="39"/>
        <v>1.2342294325035577</v>
      </c>
      <c r="BN14" s="460">
        <f t="shared" si="107"/>
        <v>1234.2294325035577</v>
      </c>
      <c r="BO14" s="528">
        <f t="shared" si="108"/>
        <v>0.15088499999999996</v>
      </c>
      <c r="BP14" s="528"/>
      <c r="BR14" s="460">
        <f t="shared" si="109"/>
        <v>150.88499999999996</v>
      </c>
      <c r="BS14" s="528">
        <f t="shared" si="40"/>
        <v>7.1167282537288558E-3</v>
      </c>
      <c r="BT14" s="528">
        <f t="shared" si="41"/>
        <v>4.4735123598123004E-2</v>
      </c>
      <c r="BU14" s="528">
        <f t="shared" si="42"/>
        <v>0.9522281199114454</v>
      </c>
      <c r="BV14" s="528">
        <f t="shared" si="43"/>
        <v>1.0207586744127128</v>
      </c>
      <c r="BW14" s="528">
        <f t="shared" si="44"/>
        <v>0.27213671902389702</v>
      </c>
      <c r="BX14" s="460">
        <f t="shared" si="110"/>
        <v>1292.8953934366098</v>
      </c>
      <c r="BY14" s="173">
        <f t="shared" si="45"/>
        <v>2.7187566141700548</v>
      </c>
      <c r="BZ14" s="5">
        <f t="shared" si="111"/>
        <v>6.2999999999999989</v>
      </c>
      <c r="CA14" s="173">
        <f t="shared" si="112"/>
        <v>0.69854418624642678</v>
      </c>
      <c r="CB14" s="5">
        <f t="shared" si="113"/>
        <v>69.854418624642676</v>
      </c>
      <c r="CE14" s="562">
        <f t="shared" si="46"/>
        <v>-50</v>
      </c>
      <c r="CF14">
        <f t="shared" si="47"/>
        <v>-50</v>
      </c>
      <c r="CG14" s="173">
        <f t="shared" si="48"/>
        <v>0.13596086621839806</v>
      </c>
      <c r="CI14" s="170">
        <v>9</v>
      </c>
      <c r="CJ14" s="217">
        <f t="shared" si="114"/>
        <v>0.22499999999999998</v>
      </c>
      <c r="CK14" s="217"/>
      <c r="CL14" s="217">
        <f t="shared" si="49"/>
        <v>6.2999999999999989</v>
      </c>
      <c r="CM14" s="541">
        <f t="shared" si="50"/>
        <v>28</v>
      </c>
      <c r="CN14" s="172">
        <f t="shared" si="51"/>
        <v>28.4</v>
      </c>
      <c r="CO14" s="443">
        <f t="shared" si="52"/>
        <v>56.4</v>
      </c>
      <c r="CP14" s="443"/>
      <c r="CQ14" s="217">
        <f t="shared" si="53"/>
        <v>0.50354609929078009</v>
      </c>
      <c r="CR14" s="172">
        <f t="shared" si="54"/>
        <v>118.75402645742166</v>
      </c>
      <c r="CS14" s="172">
        <f t="shared" si="115"/>
        <v>6.2999999999999989</v>
      </c>
      <c r="CT14" s="217">
        <f t="shared" si="55"/>
        <v>4.2412152306222017</v>
      </c>
      <c r="CU14" s="217">
        <f t="shared" si="56"/>
        <v>28</v>
      </c>
      <c r="CV14" s="217">
        <f t="shared" si="57"/>
        <v>4.1962174940898347</v>
      </c>
      <c r="CW14" s="172">
        <f t="shared" si="58"/>
        <v>1009.0481322083913</v>
      </c>
      <c r="CX14" s="172">
        <f t="shared" si="59"/>
        <v>28</v>
      </c>
      <c r="CY14" s="217">
        <f t="shared" si="60"/>
        <v>0.89366197183098584</v>
      </c>
      <c r="CZ14" s="217">
        <f t="shared" si="61"/>
        <v>0.15000754527162974</v>
      </c>
      <c r="DA14" s="217">
        <f t="shared" si="62"/>
        <v>0.14789476294386034</v>
      </c>
      <c r="DB14" s="197">
        <f t="shared" si="63"/>
        <v>350</v>
      </c>
      <c r="DC14" s="443">
        <f t="shared" si="116"/>
        <v>350</v>
      </c>
      <c r="DE14" s="217">
        <f t="shared" si="64"/>
        <v>8.5709974347366842</v>
      </c>
      <c r="DF14" s="173">
        <f t="shared" si="65"/>
        <v>1.418439716312057</v>
      </c>
      <c r="DG14" s="173">
        <f t="shared" si="66"/>
        <v>2.1275525547218721</v>
      </c>
      <c r="DH14" s="173"/>
      <c r="DI14" s="173">
        <f t="shared" si="67"/>
        <v>0.55164319248826299</v>
      </c>
      <c r="DJ14" s="545">
        <f t="shared" si="117"/>
        <v>244.72340425531908</v>
      </c>
      <c r="DK14" s="528">
        <f t="shared" si="68"/>
        <v>0.3217918622848201</v>
      </c>
      <c r="DM14" s="173">
        <f t="shared" si="69"/>
        <v>2.7872920479358316</v>
      </c>
      <c r="DN14" s="173">
        <f t="shared" si="70"/>
        <v>3.3333333333333335</v>
      </c>
      <c r="DO14" s="173">
        <f t="shared" si="71"/>
        <v>1.1398419452887538</v>
      </c>
      <c r="DQ14" s="545">
        <f t="shared" si="72"/>
        <v>224.99999999999997</v>
      </c>
      <c r="DR14" s="460">
        <f t="shared" si="73"/>
        <v>244.72340425531908</v>
      </c>
      <c r="DT14">
        <f t="shared" si="74"/>
        <v>224.99999999999997</v>
      </c>
      <c r="DU14" s="460">
        <f t="shared" si="75"/>
        <v>244.72340425531908</v>
      </c>
      <c r="DV14" s="460"/>
      <c r="DW14" s="5">
        <f t="shared" si="118"/>
        <v>4.0862458702834301</v>
      </c>
      <c r="DX14" s="5">
        <f t="shared" si="76"/>
        <v>0.55952380952380953</v>
      </c>
      <c r="DY14" s="5">
        <f t="shared" si="119"/>
        <v>3.5267220607596208</v>
      </c>
      <c r="DZ14" s="5">
        <f t="shared" si="77"/>
        <v>0.55164319248826299</v>
      </c>
      <c r="EA14" s="173">
        <f t="shared" si="120"/>
        <v>0.1369285714285714</v>
      </c>
      <c r="EB14" s="173">
        <f t="shared" si="78"/>
        <v>6.3899999999999988</v>
      </c>
      <c r="EC14" s="173">
        <f t="shared" si="79"/>
        <v>1.438452380952381</v>
      </c>
      <c r="ED14" s="173">
        <f t="shared" si="121"/>
        <v>4.442274269635023</v>
      </c>
      <c r="EE14" s="460">
        <f t="shared" si="80"/>
        <v>0.44961734693877548</v>
      </c>
      <c r="EF14" s="5">
        <f t="shared" si="81"/>
        <v>0.56679461690779609</v>
      </c>
      <c r="EG14" s="5"/>
      <c r="EH14" s="173">
        <f t="shared" si="122"/>
        <v>0.71213963317797235</v>
      </c>
      <c r="EI14" s="173">
        <f t="shared" si="82"/>
        <v>1.7878928509731356</v>
      </c>
      <c r="EJ14" s="173"/>
      <c r="EK14" s="528">
        <f t="shared" si="83"/>
        <v>6.0857142857142846E-3</v>
      </c>
      <c r="EL14" s="528">
        <f t="shared" si="84"/>
        <v>0.87415199999999982</v>
      </c>
      <c r="EM14" s="528">
        <f t="shared" si="85"/>
        <v>2.8143191489361698E-2</v>
      </c>
      <c r="EN14" s="528">
        <f t="shared" si="86"/>
        <v>0.38338926479999991</v>
      </c>
      <c r="EO14">
        <f t="shared" si="87"/>
        <v>1.26E-2</v>
      </c>
      <c r="EP14" s="460">
        <f t="shared" si="123"/>
        <v>40.743191489361699</v>
      </c>
      <c r="EQ14" s="528">
        <f t="shared" si="88"/>
        <v>1.3079044984946018</v>
      </c>
      <c r="ER14" s="460">
        <f t="shared" si="124"/>
        <v>1307.9044984946017</v>
      </c>
      <c r="ES14" s="528">
        <f t="shared" si="125"/>
        <v>0.15088499999999996</v>
      </c>
      <c r="ET14" s="528"/>
      <c r="EV14" s="460">
        <f t="shared" si="126"/>
        <v>150.88499999999996</v>
      </c>
      <c r="EW14" s="528">
        <f t="shared" si="89"/>
        <v>7.0999999999999978E-3</v>
      </c>
      <c r="EX14" s="528">
        <f t="shared" si="90"/>
        <v>4.4751851851851855E-2</v>
      </c>
      <c r="EY14" s="528">
        <f t="shared" si="91"/>
        <v>0.9502888439906424</v>
      </c>
      <c r="EZ14" s="528">
        <f t="shared" si="92"/>
        <v>1.0188113205797138</v>
      </c>
      <c r="FA14" s="528">
        <f t="shared" si="93"/>
        <v>0.27191489361702126</v>
      </c>
      <c r="FB14" s="460">
        <f t="shared" si="127"/>
        <v>1290.7262141967351</v>
      </c>
      <c r="FC14" s="173">
        <f t="shared" si="128"/>
        <v>2.7495157126913368</v>
      </c>
      <c r="FD14" s="5">
        <f t="shared" si="129"/>
        <v>6.2999999999999989</v>
      </c>
      <c r="FE14" s="173">
        <f t="shared" si="130"/>
        <v>0.69616985041140644</v>
      </c>
      <c r="FF14" s="5">
        <f t="shared" si="131"/>
        <v>69.616985041140651</v>
      </c>
      <c r="FI14" s="562">
        <f t="shared" si="94"/>
        <v>-50</v>
      </c>
      <c r="FJ14">
        <f t="shared" si="95"/>
        <v>-50</v>
      </c>
      <c r="FL14">
        <f t="shared" si="96"/>
        <v>0.13499999999999998</v>
      </c>
    </row>
    <row r="15" spans="2:168">
      <c r="E15" s="170">
        <v>10</v>
      </c>
      <c r="F15" s="217">
        <f t="shared" si="97"/>
        <v>0.25</v>
      </c>
      <c r="G15" s="217"/>
      <c r="H15" s="217">
        <f t="shared" si="0"/>
        <v>7</v>
      </c>
      <c r="I15" s="541">
        <f t="shared" si="1"/>
        <v>27.956972913142501</v>
      </c>
      <c r="J15" s="172">
        <f t="shared" si="2"/>
        <v>28.423168431384806</v>
      </c>
      <c r="K15" s="172">
        <f t="shared" si="3"/>
        <v>56.423168431384809</v>
      </c>
      <c r="L15" s="443"/>
      <c r="M15" s="217">
        <f t="shared" si="4"/>
        <v>0.50413584504270037</v>
      </c>
      <c r="N15" s="172">
        <f t="shared" si="5"/>
        <v>118.71040855634737</v>
      </c>
      <c r="O15" s="172">
        <f t="shared" si="98"/>
        <v>7</v>
      </c>
      <c r="P15" s="217">
        <f t="shared" si="6"/>
        <v>4.2396574484409779</v>
      </c>
      <c r="Q15" s="217">
        <f t="shared" si="7"/>
        <v>28</v>
      </c>
      <c r="R15" s="217">
        <f t="shared" si="8"/>
        <v>4.1946762394056494</v>
      </c>
      <c r="S15" s="172">
        <f t="shared" si="9"/>
        <v>903.9544896846669</v>
      </c>
      <c r="T15" s="172">
        <f t="shared" si="10"/>
        <v>28</v>
      </c>
      <c r="U15" s="217">
        <f t="shared" si="99"/>
        <v>1.0083406816188529</v>
      </c>
      <c r="V15" s="217">
        <f t="shared" si="11"/>
        <v>0.1695176805562065</v>
      </c>
      <c r="W15" s="217">
        <f t="shared" si="12"/>
        <v>0.16673725925557237</v>
      </c>
      <c r="X15" s="197">
        <f t="shared" si="13"/>
        <v>350</v>
      </c>
      <c r="Y15" s="443">
        <f t="shared" si="14"/>
        <v>350</v>
      </c>
      <c r="AA15" s="217">
        <f t="shared" si="15"/>
        <v>8.5678246917844856</v>
      </c>
      <c r="AB15" s="173">
        <f t="shared" si="16"/>
        <v>1.4167588722066038</v>
      </c>
      <c r="AC15" s="173">
        <f t="shared" si="17"/>
        <v>2.1242447883293845</v>
      </c>
      <c r="AD15" s="173"/>
      <c r="AE15" s="173">
        <f t="shared" si="18"/>
        <v>0.55119353440440388</v>
      </c>
      <c r="AF15" s="545">
        <f t="shared" si="100"/>
        <v>272.136719023897</v>
      </c>
      <c r="AG15" s="528">
        <f t="shared" si="19"/>
        <v>0.3215295617359023</v>
      </c>
      <c r="AI15" s="173">
        <f t="shared" si="20"/>
        <v>2.9392619688271338</v>
      </c>
      <c r="AJ15" s="173">
        <f t="shared" si="21"/>
        <v>3.3333333333333335</v>
      </c>
      <c r="AK15" s="173">
        <f t="shared" si="22"/>
        <v>1.155506696585084</v>
      </c>
      <c r="AM15" s="545">
        <f t="shared" si="23"/>
        <v>250</v>
      </c>
      <c r="AN15" s="460">
        <f t="shared" si="24"/>
        <v>272.136719023897</v>
      </c>
      <c r="AP15">
        <f t="shared" si="25"/>
        <v>250</v>
      </c>
      <c r="AQ15" s="460">
        <f t="shared" si="26"/>
        <v>272.136719023897</v>
      </c>
      <c r="AR15" s="460"/>
      <c r="AS15" s="5">
        <f t="shared" si="101"/>
        <v>3.6746235626960266</v>
      </c>
      <c r="AT15" s="5">
        <f t="shared" si="27"/>
        <v>0.56038494279549866</v>
      </c>
      <c r="AU15" s="5">
        <f t="shared" si="102"/>
        <v>3.1142386199005281</v>
      </c>
      <c r="AV15" s="5">
        <f t="shared" si="28"/>
        <v>0.55119353440440388</v>
      </c>
      <c r="AW15" s="173">
        <f t="shared" si="103"/>
        <v>0.15250131972276121</v>
      </c>
      <c r="AX15" s="173">
        <f t="shared" si="29"/>
        <v>7.1057921078462005</v>
      </c>
      <c r="AY15" s="173">
        <f t="shared" si="30"/>
        <v>1.4124978004620647</v>
      </c>
      <c r="AZ15" s="173">
        <f t="shared" si="104"/>
        <v>5.0306571136052112</v>
      </c>
      <c r="BA15" s="460">
        <f t="shared" si="31"/>
        <v>0.50034369892455233</v>
      </c>
      <c r="BB15" s="5">
        <f t="shared" si="32"/>
        <v>0.55696992474398621</v>
      </c>
      <c r="BC15" s="5"/>
      <c r="BD15" s="173">
        <f t="shared" si="105"/>
        <v>0.75154487735390318</v>
      </c>
      <c r="BE15" s="173">
        <f t="shared" si="33"/>
        <v>1.7716895893544136</v>
      </c>
      <c r="BF15" s="173"/>
      <c r="BG15" s="528">
        <f t="shared" si="34"/>
        <v>6.777836432122721E-3</v>
      </c>
      <c r="BH15" s="528">
        <f t="shared" si="35"/>
        <v>0.934084635975862</v>
      </c>
      <c r="BI15" s="528">
        <f t="shared" si="36"/>
        <v>3.1295722687748155E-2</v>
      </c>
      <c r="BJ15" s="528">
        <f t="shared" si="37"/>
        <v>0.4266859275917449</v>
      </c>
      <c r="BK15">
        <f t="shared" si="38"/>
        <v>1.2580637810914124E-2</v>
      </c>
      <c r="BL15" s="460">
        <f t="shared" si="106"/>
        <v>43.876360498662279</v>
      </c>
      <c r="BM15" s="528">
        <f t="shared" si="39"/>
        <v>1.3715872390409676</v>
      </c>
      <c r="BN15" s="460">
        <f t="shared" si="107"/>
        <v>1371.5872390409677</v>
      </c>
      <c r="BO15" s="528">
        <f t="shared" si="108"/>
        <v>0.16764999999999999</v>
      </c>
      <c r="BP15" s="528"/>
      <c r="BR15" s="460">
        <f t="shared" si="109"/>
        <v>167.65</v>
      </c>
      <c r="BS15" s="528">
        <f t="shared" si="40"/>
        <v>7.9074758374765072E-3</v>
      </c>
      <c r="BT15" s="528">
        <f t="shared" si="41"/>
        <v>4.3944376014375348E-2</v>
      </c>
      <c r="BU15" s="528">
        <f t="shared" si="42"/>
        <v>1.239180951020618</v>
      </c>
      <c r="BV15" s="528">
        <f t="shared" si="43"/>
        <v>1.3089067865797637</v>
      </c>
      <c r="BW15" s="528">
        <f t="shared" si="44"/>
        <v>0.30237413224877446</v>
      </c>
      <c r="BX15" s="460">
        <f t="shared" si="110"/>
        <v>1611.2809188285382</v>
      </c>
      <c r="BY15" s="173">
        <f t="shared" si="45"/>
        <v>3.1943945183681679</v>
      </c>
      <c r="BZ15" s="5">
        <f t="shared" si="111"/>
        <v>7</v>
      </c>
      <c r="CA15" s="173">
        <f t="shared" si="112"/>
        <v>0.68665186415803936</v>
      </c>
      <c r="CB15" s="5">
        <f t="shared" si="113"/>
        <v>68.66518641580393</v>
      </c>
      <c r="CE15" s="562">
        <f t="shared" si="46"/>
        <v>-50</v>
      </c>
      <c r="CF15">
        <f t="shared" si="47"/>
        <v>-50</v>
      </c>
      <c r="CG15" s="173">
        <f t="shared" si="48"/>
        <v>0.15106762913155342</v>
      </c>
      <c r="CI15" s="170">
        <v>10</v>
      </c>
      <c r="CJ15" s="217">
        <f t="shared" si="114"/>
        <v>0.25</v>
      </c>
      <c r="CK15" s="217"/>
      <c r="CL15" s="217">
        <f t="shared" si="49"/>
        <v>7</v>
      </c>
      <c r="CM15" s="541">
        <f t="shared" si="50"/>
        <v>28</v>
      </c>
      <c r="CN15" s="172">
        <f t="shared" si="51"/>
        <v>28.4</v>
      </c>
      <c r="CO15" s="443">
        <f t="shared" si="52"/>
        <v>56.4</v>
      </c>
      <c r="CP15" s="443"/>
      <c r="CQ15" s="217">
        <f t="shared" si="53"/>
        <v>0.50354609929078009</v>
      </c>
      <c r="CR15" s="172">
        <f t="shared" si="54"/>
        <v>118.75402645742166</v>
      </c>
      <c r="CS15" s="172">
        <f t="shared" si="115"/>
        <v>7</v>
      </c>
      <c r="CT15" s="217">
        <f t="shared" si="55"/>
        <v>4.2412152306222017</v>
      </c>
      <c r="CU15" s="217">
        <f t="shared" si="56"/>
        <v>28</v>
      </c>
      <c r="CV15" s="217">
        <f t="shared" si="57"/>
        <v>4.1962174940898347</v>
      </c>
      <c r="CW15" s="172">
        <f t="shared" si="58"/>
        <v>905.34569883505696</v>
      </c>
      <c r="CX15" s="172">
        <f t="shared" si="59"/>
        <v>28</v>
      </c>
      <c r="CY15" s="217">
        <f t="shared" si="60"/>
        <v>0.99295774647887336</v>
      </c>
      <c r="CZ15" s="217">
        <f t="shared" si="61"/>
        <v>0.16667505030181087</v>
      </c>
      <c r="DA15" s="217">
        <f t="shared" si="62"/>
        <v>0.16432751438206708</v>
      </c>
      <c r="DB15" s="197">
        <f t="shared" si="63"/>
        <v>350</v>
      </c>
      <c r="DC15" s="443">
        <f t="shared" si="116"/>
        <v>350</v>
      </c>
      <c r="DE15" s="217">
        <f t="shared" si="64"/>
        <v>8.5709974347366842</v>
      </c>
      <c r="DF15" s="173">
        <f t="shared" si="65"/>
        <v>1.418439716312057</v>
      </c>
      <c r="DG15" s="173">
        <f t="shared" si="66"/>
        <v>2.1275525547218721</v>
      </c>
      <c r="DH15" s="173"/>
      <c r="DI15" s="173">
        <f t="shared" si="67"/>
        <v>0.55164319248826299</v>
      </c>
      <c r="DJ15" s="545">
        <f t="shared" si="117"/>
        <v>271.91489361702128</v>
      </c>
      <c r="DK15" s="528">
        <f t="shared" si="68"/>
        <v>0.3217918622848201</v>
      </c>
      <c r="DM15" s="173">
        <f t="shared" si="69"/>
        <v>2.938063791850817</v>
      </c>
      <c r="DN15" s="173">
        <f t="shared" si="70"/>
        <v>3.3333333333333335</v>
      </c>
      <c r="DO15" s="173">
        <f t="shared" si="71"/>
        <v>1.1553799392097264</v>
      </c>
      <c r="DQ15" s="545">
        <f t="shared" si="72"/>
        <v>250</v>
      </c>
      <c r="DR15" s="460">
        <f t="shared" si="73"/>
        <v>271.91489361702128</v>
      </c>
      <c r="DT15">
        <f t="shared" si="74"/>
        <v>250</v>
      </c>
      <c r="DU15" s="460">
        <f t="shared" si="75"/>
        <v>271.91489361702128</v>
      </c>
      <c r="DV15" s="460"/>
      <c r="DW15" s="5">
        <f t="shared" si="118"/>
        <v>3.6776212832550859</v>
      </c>
      <c r="DX15" s="5">
        <f t="shared" si="76"/>
        <v>0.55952380952380953</v>
      </c>
      <c r="DY15" s="5">
        <f t="shared" si="119"/>
        <v>3.1180974737312761</v>
      </c>
      <c r="DZ15" s="5">
        <f t="shared" si="77"/>
        <v>0.55164319248826299</v>
      </c>
      <c r="EA15" s="173">
        <f t="shared" si="120"/>
        <v>0.15214285714285716</v>
      </c>
      <c r="EB15" s="173">
        <f t="shared" si="78"/>
        <v>7.1000000000000005</v>
      </c>
      <c r="EC15" s="173">
        <f t="shared" si="79"/>
        <v>1.4130952380952382</v>
      </c>
      <c r="ED15" s="173">
        <f t="shared" si="121"/>
        <v>5.0244313395113736</v>
      </c>
      <c r="EE15" s="460">
        <f t="shared" si="80"/>
        <v>0.49957482993197277</v>
      </c>
      <c r="EF15" s="5">
        <f t="shared" si="81"/>
        <v>0.55680312030915635</v>
      </c>
      <c r="EG15" s="5"/>
      <c r="EH15" s="173">
        <f t="shared" si="122"/>
        <v>0.75066108430640233</v>
      </c>
      <c r="EI15" s="173">
        <f t="shared" si="82"/>
        <v>1.7720642314012323</v>
      </c>
      <c r="EJ15" s="173"/>
      <c r="EK15" s="528">
        <f t="shared" si="83"/>
        <v>6.761904761904765E-3</v>
      </c>
      <c r="EL15" s="528">
        <f t="shared" si="84"/>
        <v>0.97128000000000003</v>
      </c>
      <c r="EM15" s="528">
        <f t="shared" si="85"/>
        <v>3.1270212765957449E-2</v>
      </c>
      <c r="EN15" s="528">
        <f t="shared" si="86"/>
        <v>0.425988072</v>
      </c>
      <c r="EO15">
        <f t="shared" si="87"/>
        <v>1.26E-2</v>
      </c>
      <c r="EP15" s="460">
        <f t="shared" si="123"/>
        <v>43.870212765957447</v>
      </c>
      <c r="EQ15" s="528">
        <f t="shared" si="88"/>
        <v>1.452058823006013</v>
      </c>
      <c r="ER15" s="460">
        <f t="shared" si="124"/>
        <v>1452.058823006013</v>
      </c>
      <c r="ES15" s="528">
        <f t="shared" si="125"/>
        <v>0.16764999999999999</v>
      </c>
      <c r="ET15" s="528"/>
      <c r="EV15" s="460">
        <f t="shared" si="126"/>
        <v>167.65</v>
      </c>
      <c r="EW15" s="528">
        <f t="shared" si="89"/>
        <v>7.8888888888888915E-3</v>
      </c>
      <c r="EX15" s="528">
        <f t="shared" si="90"/>
        <v>4.3962962962962961E-2</v>
      </c>
      <c r="EY15" s="528">
        <f t="shared" si="91"/>
        <v>1.2366572765674253</v>
      </c>
      <c r="EZ15" s="528">
        <f t="shared" si="92"/>
        <v>1.3063725999449749</v>
      </c>
      <c r="FA15" s="528">
        <f t="shared" si="93"/>
        <v>0.30212765957446813</v>
      </c>
      <c r="FB15" s="460">
        <f t="shared" si="127"/>
        <v>1608.500259519443</v>
      </c>
      <c r="FC15" s="173">
        <f t="shared" si="128"/>
        <v>3.2282090825254559</v>
      </c>
      <c r="FD15" s="5">
        <f t="shared" si="129"/>
        <v>7</v>
      </c>
      <c r="FE15" s="173">
        <f t="shared" si="130"/>
        <v>0.6843817860508209</v>
      </c>
      <c r="FF15" s="5">
        <f t="shared" si="131"/>
        <v>68.438178605082086</v>
      </c>
      <c r="FI15" s="562">
        <f t="shared" si="94"/>
        <v>-50</v>
      </c>
      <c r="FJ15">
        <f t="shared" si="95"/>
        <v>-50</v>
      </c>
      <c r="FL15">
        <f t="shared" si="96"/>
        <v>0.15</v>
      </c>
    </row>
    <row r="16" spans="2:168">
      <c r="E16" s="170">
        <v>11</v>
      </c>
      <c r="F16" s="217">
        <f t="shared" si="97"/>
        <v>0.27500000000000002</v>
      </c>
      <c r="G16" s="217"/>
      <c r="H16" s="217">
        <f t="shared" si="0"/>
        <v>7.7000000000000011</v>
      </c>
      <c r="I16" s="541">
        <f t="shared" si="1"/>
        <v>27.956972913142501</v>
      </c>
      <c r="J16" s="172">
        <f t="shared" si="2"/>
        <v>28.423168431384806</v>
      </c>
      <c r="K16" s="172">
        <f t="shared" si="3"/>
        <v>56.423168431384809</v>
      </c>
      <c r="L16" s="443"/>
      <c r="M16" s="217">
        <f t="shared" si="4"/>
        <v>0.50413584504270037</v>
      </c>
      <c r="N16" s="172">
        <f t="shared" si="5"/>
        <v>118.71040855634737</v>
      </c>
      <c r="O16" s="172">
        <f t="shared" si="98"/>
        <v>7.7000000000000011</v>
      </c>
      <c r="P16" s="217">
        <f t="shared" si="6"/>
        <v>4.2396574484409779</v>
      </c>
      <c r="Q16" s="217">
        <f t="shared" si="7"/>
        <v>28</v>
      </c>
      <c r="R16" s="217">
        <f t="shared" si="8"/>
        <v>4.1946762394056494</v>
      </c>
      <c r="S16" s="172">
        <f t="shared" si="9"/>
        <v>819.23766803123783</v>
      </c>
      <c r="T16" s="172">
        <f t="shared" si="10"/>
        <v>28</v>
      </c>
      <c r="U16" s="217">
        <f t="shared" si="99"/>
        <v>1.1091747497807383</v>
      </c>
      <c r="V16" s="217">
        <f t="shared" si="11"/>
        <v>0.18646944861182715</v>
      </c>
      <c r="W16" s="217">
        <f t="shared" si="12"/>
        <v>0.18341098518112961</v>
      </c>
      <c r="X16" s="197">
        <f t="shared" si="13"/>
        <v>350</v>
      </c>
      <c r="Y16" s="443">
        <f t="shared" si="14"/>
        <v>350</v>
      </c>
      <c r="AA16" s="217">
        <f t="shared" si="15"/>
        <v>8.5678246917844856</v>
      </c>
      <c r="AB16" s="173">
        <f t="shared" si="16"/>
        <v>1.4167588722066038</v>
      </c>
      <c r="AC16" s="173">
        <f t="shared" si="17"/>
        <v>2.1242447883293845</v>
      </c>
      <c r="AD16" s="173"/>
      <c r="AE16" s="173">
        <f t="shared" si="18"/>
        <v>0.55119353440440388</v>
      </c>
      <c r="AF16" s="545">
        <f t="shared" si="100"/>
        <v>299.35039092628676</v>
      </c>
      <c r="AG16" s="528">
        <f t="shared" si="19"/>
        <v>0.3215295617359023</v>
      </c>
      <c r="AI16" s="173">
        <f t="shared" si="20"/>
        <v>3.0827239599959184</v>
      </c>
      <c r="AJ16" s="173">
        <f t="shared" si="21"/>
        <v>3.3333333333333335</v>
      </c>
      <c r="AK16" s="173">
        <f t="shared" si="22"/>
        <v>1.1710573662435924</v>
      </c>
      <c r="AM16" s="545">
        <f t="shared" si="23"/>
        <v>275</v>
      </c>
      <c r="AN16" s="460">
        <f t="shared" si="24"/>
        <v>299.35039092628676</v>
      </c>
      <c r="AP16">
        <f t="shared" si="25"/>
        <v>275</v>
      </c>
      <c r="AQ16" s="460">
        <f t="shared" si="26"/>
        <v>299.35039092628676</v>
      </c>
      <c r="AR16" s="460"/>
      <c r="AS16" s="5">
        <f t="shared" si="101"/>
        <v>3.3405668751782058</v>
      </c>
      <c r="AT16" s="5">
        <f t="shared" si="27"/>
        <v>0.56038494279549866</v>
      </c>
      <c r="AU16" s="5">
        <f t="shared" si="102"/>
        <v>2.7801819323827073</v>
      </c>
      <c r="AV16" s="5">
        <f t="shared" si="28"/>
        <v>0.55119353440440388</v>
      </c>
      <c r="AW16" s="173">
        <f t="shared" si="103"/>
        <v>0.16775145169503736</v>
      </c>
      <c r="AX16" s="173">
        <f t="shared" si="29"/>
        <v>7.8163713186308224</v>
      </c>
      <c r="AY16" s="173">
        <f t="shared" si="30"/>
        <v>1.3870809138416045</v>
      </c>
      <c r="AZ16" s="173">
        <f t="shared" si="104"/>
        <v>5.6351228256633634</v>
      </c>
      <c r="BA16" s="460">
        <f t="shared" si="31"/>
        <v>0.55037806881700768</v>
      </c>
      <c r="BB16" s="5">
        <f t="shared" si="32"/>
        <v>0.54694764971913801</v>
      </c>
      <c r="BC16" s="5"/>
      <c r="BD16" s="173">
        <f t="shared" si="105"/>
        <v>0.78822691716572513</v>
      </c>
      <c r="BE16" s="173">
        <f t="shared" si="33"/>
        <v>1.7556770861292008</v>
      </c>
      <c r="BF16" s="173"/>
      <c r="BG16" s="528">
        <f t="shared" si="34"/>
        <v>7.4556200753349957E-3</v>
      </c>
      <c r="BH16" s="528">
        <f t="shared" si="35"/>
        <v>1.0274930995734484</v>
      </c>
      <c r="BI16" s="528">
        <f t="shared" si="36"/>
        <v>3.4425294956522981E-2</v>
      </c>
      <c r="BJ16" s="528">
        <f t="shared" si="37"/>
        <v>0.46935452035091946</v>
      </c>
      <c r="BK16">
        <f t="shared" si="38"/>
        <v>1.2580637810914124E-2</v>
      </c>
      <c r="BL16" s="460">
        <f t="shared" si="106"/>
        <v>47.005932767437109</v>
      </c>
      <c r="BM16" s="528">
        <f t="shared" si="39"/>
        <v>1.5089893646728549</v>
      </c>
      <c r="BN16" s="460">
        <f t="shared" si="107"/>
        <v>1508.9893646728549</v>
      </c>
      <c r="BO16" s="528">
        <f t="shared" si="108"/>
        <v>0.184415</v>
      </c>
      <c r="BP16" s="528"/>
      <c r="BR16" s="460">
        <f t="shared" si="109"/>
        <v>184.41499999999999</v>
      </c>
      <c r="BS16" s="528">
        <f t="shared" si="40"/>
        <v>8.6982234212241612E-3</v>
      </c>
      <c r="BT16" s="528">
        <f t="shared" si="41"/>
        <v>4.31536284306277E-2</v>
      </c>
      <c r="BU16" s="528">
        <f t="shared" si="42"/>
        <v>1.5725933745563392</v>
      </c>
      <c r="BV16" s="528">
        <f t="shared" si="43"/>
        <v>1.6437080152120336</v>
      </c>
      <c r="BW16" s="528">
        <f t="shared" si="44"/>
        <v>0.33261154547365201</v>
      </c>
      <c r="BX16" s="460">
        <f t="shared" si="110"/>
        <v>1976.3195606856857</v>
      </c>
      <c r="BY16" s="173">
        <f t="shared" si="45"/>
        <v>3.7167298581259773</v>
      </c>
      <c r="BZ16" s="5">
        <f t="shared" si="111"/>
        <v>7.7000000000000011</v>
      </c>
      <c r="CA16" s="173">
        <f t="shared" si="112"/>
        <v>0.67444882165793241</v>
      </c>
      <c r="CB16" s="5">
        <f t="shared" si="113"/>
        <v>67.444882165793246</v>
      </c>
      <c r="CE16" s="562">
        <f t="shared" si="46"/>
        <v>-50</v>
      </c>
      <c r="CF16">
        <f t="shared" si="47"/>
        <v>-50</v>
      </c>
      <c r="CG16" s="173">
        <f t="shared" si="48"/>
        <v>0.16617439204470877</v>
      </c>
      <c r="CI16" s="170">
        <v>11</v>
      </c>
      <c r="CJ16" s="217">
        <f t="shared" si="114"/>
        <v>0.27500000000000002</v>
      </c>
      <c r="CK16" s="217"/>
      <c r="CL16" s="217">
        <f t="shared" si="49"/>
        <v>7.7000000000000011</v>
      </c>
      <c r="CM16" s="541">
        <f t="shared" si="50"/>
        <v>28</v>
      </c>
      <c r="CN16" s="172">
        <f t="shared" si="51"/>
        <v>28.4</v>
      </c>
      <c r="CO16" s="443">
        <f t="shared" si="52"/>
        <v>56.4</v>
      </c>
      <c r="CP16" s="443"/>
      <c r="CQ16" s="217">
        <f t="shared" si="53"/>
        <v>0.50354609929078009</v>
      </c>
      <c r="CR16" s="172">
        <f t="shared" si="54"/>
        <v>118.75402645742166</v>
      </c>
      <c r="CS16" s="172">
        <f t="shared" si="115"/>
        <v>7.7000000000000011</v>
      </c>
      <c r="CT16" s="217">
        <f t="shared" si="55"/>
        <v>4.2412152306222017</v>
      </c>
      <c r="CU16" s="217">
        <f t="shared" si="56"/>
        <v>28</v>
      </c>
      <c r="CV16" s="217">
        <f t="shared" si="57"/>
        <v>4.1962174940898347</v>
      </c>
      <c r="CW16" s="172">
        <f t="shared" si="58"/>
        <v>820.49849207185491</v>
      </c>
      <c r="CX16" s="172">
        <f t="shared" si="59"/>
        <v>28</v>
      </c>
      <c r="CY16" s="217">
        <f t="shared" si="60"/>
        <v>1.0922535211267608</v>
      </c>
      <c r="CZ16" s="217">
        <f t="shared" si="61"/>
        <v>0.18334255533199198</v>
      </c>
      <c r="DA16" s="217">
        <f t="shared" si="62"/>
        <v>0.1807602658202738</v>
      </c>
      <c r="DB16" s="197">
        <f t="shared" si="63"/>
        <v>350</v>
      </c>
      <c r="DC16" s="443">
        <f t="shared" si="116"/>
        <v>350</v>
      </c>
      <c r="DE16" s="217">
        <f t="shared" si="64"/>
        <v>8.5709974347366842</v>
      </c>
      <c r="DF16" s="173">
        <f t="shared" si="65"/>
        <v>1.418439716312057</v>
      </c>
      <c r="DG16" s="173">
        <f t="shared" si="66"/>
        <v>2.1275525547218721</v>
      </c>
      <c r="DH16" s="173"/>
      <c r="DI16" s="173">
        <f t="shared" si="67"/>
        <v>0.55164319248826299</v>
      </c>
      <c r="DJ16" s="545">
        <f t="shared" si="117"/>
        <v>299.10638297872339</v>
      </c>
      <c r="DK16" s="528">
        <f t="shared" si="68"/>
        <v>0.3217918622848201</v>
      </c>
      <c r="DM16" s="173">
        <f t="shared" si="69"/>
        <v>3.0814673013814837</v>
      </c>
      <c r="DN16" s="173">
        <f t="shared" si="70"/>
        <v>3.3333333333333335</v>
      </c>
      <c r="DO16" s="173">
        <f t="shared" si="71"/>
        <v>1.1709179331306991</v>
      </c>
      <c r="DQ16" s="545">
        <f t="shared" si="72"/>
        <v>275</v>
      </c>
      <c r="DR16" s="460">
        <f t="shared" si="73"/>
        <v>299.10638297872339</v>
      </c>
      <c r="DT16">
        <f t="shared" si="74"/>
        <v>275</v>
      </c>
      <c r="DU16" s="460">
        <f t="shared" si="75"/>
        <v>299.10638297872339</v>
      </c>
      <c r="DV16" s="460"/>
      <c r="DW16" s="5">
        <f t="shared" si="118"/>
        <v>3.3432920756864424</v>
      </c>
      <c r="DX16" s="5">
        <f t="shared" si="76"/>
        <v>0.55952380952380953</v>
      </c>
      <c r="DY16" s="5">
        <f t="shared" si="119"/>
        <v>2.7837682661626326</v>
      </c>
      <c r="DZ16" s="5">
        <f t="shared" si="77"/>
        <v>0.55164319248826299</v>
      </c>
      <c r="EA16" s="173">
        <f t="shared" si="120"/>
        <v>0.16735714285714284</v>
      </c>
      <c r="EB16" s="173">
        <f t="shared" si="78"/>
        <v>7.8100000000000005</v>
      </c>
      <c r="EC16" s="173">
        <f t="shared" si="79"/>
        <v>1.3877380952380953</v>
      </c>
      <c r="ED16" s="173">
        <f t="shared" si="121"/>
        <v>5.6278630865574337</v>
      </c>
      <c r="EE16" s="460">
        <f t="shared" si="80"/>
        <v>0.54953231292517013</v>
      </c>
      <c r="EF16" s="5">
        <f t="shared" si="81"/>
        <v>0.54681162371051717</v>
      </c>
      <c r="EG16" s="5"/>
      <c r="EH16" s="173">
        <f t="shared" si="122"/>
        <v>0.78729998719755467</v>
      </c>
      <c r="EI16" s="173">
        <f t="shared" si="82"/>
        <v>1.7560929456786831</v>
      </c>
      <c r="EJ16" s="173"/>
      <c r="EK16" s="528">
        <f t="shared" si="83"/>
        <v>7.4380952380952367E-3</v>
      </c>
      <c r="EL16" s="528">
        <f t="shared" si="84"/>
        <v>1.068408</v>
      </c>
      <c r="EM16" s="528">
        <f t="shared" si="85"/>
        <v>3.4397234042553189E-2</v>
      </c>
      <c r="EN16" s="528">
        <f t="shared" si="86"/>
        <v>0.46858687920000003</v>
      </c>
      <c r="EO16">
        <f t="shared" si="87"/>
        <v>1.26E-2</v>
      </c>
      <c r="EP16" s="460">
        <f t="shared" si="123"/>
        <v>46.997234042553188</v>
      </c>
      <c r="EQ16" s="528">
        <f t="shared" si="88"/>
        <v>1.5962595500154519</v>
      </c>
      <c r="ER16" s="460">
        <f t="shared" si="124"/>
        <v>1596.2595500154519</v>
      </c>
      <c r="ES16" s="528">
        <f t="shared" si="125"/>
        <v>0.184415</v>
      </c>
      <c r="ET16" s="528"/>
      <c r="EV16" s="460">
        <f t="shared" si="126"/>
        <v>184.41499999999999</v>
      </c>
      <c r="EW16" s="528">
        <f t="shared" si="89"/>
        <v>8.6777777777777773E-3</v>
      </c>
      <c r="EX16" s="528">
        <f t="shared" si="90"/>
        <v>4.317407407407408E-2</v>
      </c>
      <c r="EY16" s="528">
        <f t="shared" si="91"/>
        <v>1.5693906835196809</v>
      </c>
      <c r="EZ16" s="528">
        <f t="shared" si="92"/>
        <v>1.6404919835997986</v>
      </c>
      <c r="FA16" s="528">
        <f t="shared" si="93"/>
        <v>0.3323404255319149</v>
      </c>
      <c r="FB16" s="460">
        <f t="shared" si="127"/>
        <v>1972.8324091317136</v>
      </c>
      <c r="FC16" s="173">
        <f t="shared" si="128"/>
        <v>3.7535069591471655</v>
      </c>
      <c r="FD16" s="5">
        <f t="shared" si="129"/>
        <v>7.7000000000000011</v>
      </c>
      <c r="FE16" s="173">
        <f t="shared" si="130"/>
        <v>0.67228317295869933</v>
      </c>
      <c r="FF16" s="5">
        <f t="shared" si="131"/>
        <v>67.228317295869928</v>
      </c>
      <c r="FI16" s="562">
        <f t="shared" si="94"/>
        <v>-50</v>
      </c>
      <c r="FJ16">
        <f t="shared" si="95"/>
        <v>-50</v>
      </c>
      <c r="FL16">
        <f t="shared" si="96"/>
        <v>0.16500000000000001</v>
      </c>
    </row>
    <row r="17" spans="5:168">
      <c r="E17" s="170">
        <v>12</v>
      </c>
      <c r="F17" s="217">
        <f t="shared" si="97"/>
        <v>0.3</v>
      </c>
      <c r="G17" s="217"/>
      <c r="H17" s="217">
        <f t="shared" si="0"/>
        <v>8.4</v>
      </c>
      <c r="I17" s="541">
        <f t="shared" si="1"/>
        <v>27.956972913142501</v>
      </c>
      <c r="J17" s="172">
        <f t="shared" si="2"/>
        <v>28.423168431384806</v>
      </c>
      <c r="K17" s="172">
        <f t="shared" si="3"/>
        <v>56.423168431384809</v>
      </c>
      <c r="L17" s="443"/>
      <c r="M17" s="217">
        <f t="shared" si="4"/>
        <v>0.50413584504270037</v>
      </c>
      <c r="N17" s="172">
        <f t="shared" si="5"/>
        <v>118.71040855634737</v>
      </c>
      <c r="O17" s="172">
        <f t="shared" si="98"/>
        <v>8.4</v>
      </c>
      <c r="P17" s="217">
        <f t="shared" si="6"/>
        <v>4.2396574484409779</v>
      </c>
      <c r="Q17" s="217">
        <f t="shared" si="7"/>
        <v>28</v>
      </c>
      <c r="R17" s="217">
        <f t="shared" si="8"/>
        <v>4.1946762394056494</v>
      </c>
      <c r="S17" s="172">
        <f t="shared" si="9"/>
        <v>748.64053749207721</v>
      </c>
      <c r="T17" s="172">
        <f t="shared" si="10"/>
        <v>28</v>
      </c>
      <c r="U17" s="217">
        <f t="shared" si="99"/>
        <v>1.2100088179426234</v>
      </c>
      <c r="V17" s="217">
        <f t="shared" si="11"/>
        <v>0.20342121666744781</v>
      </c>
      <c r="W17" s="217">
        <f t="shared" si="12"/>
        <v>0.20008471110668682</v>
      </c>
      <c r="X17" s="197">
        <f t="shared" si="13"/>
        <v>350</v>
      </c>
      <c r="Y17" s="443">
        <f t="shared" si="14"/>
        <v>350</v>
      </c>
      <c r="AA17" s="217">
        <f t="shared" si="15"/>
        <v>8.5678246917844856</v>
      </c>
      <c r="AB17" s="173">
        <f t="shared" si="16"/>
        <v>1.4167588722066038</v>
      </c>
      <c r="AC17" s="173">
        <f t="shared" si="17"/>
        <v>2.1242447883293845</v>
      </c>
      <c r="AD17" s="173"/>
      <c r="AE17" s="173">
        <f t="shared" si="18"/>
        <v>0.55119353440440388</v>
      </c>
      <c r="AF17" s="545">
        <f t="shared" si="100"/>
        <v>326.56406282867641</v>
      </c>
      <c r="AG17" s="528">
        <f t="shared" si="19"/>
        <v>0.3215295617359023</v>
      </c>
      <c r="AI17" s="173">
        <f t="shared" si="20"/>
        <v>3.2198001654873352</v>
      </c>
      <c r="AJ17" s="173">
        <f t="shared" si="21"/>
        <v>3.3333333333333335</v>
      </c>
      <c r="AK17" s="173">
        <f t="shared" si="22"/>
        <v>1.1866080359021007</v>
      </c>
      <c r="AM17" s="545">
        <f t="shared" si="23"/>
        <v>300</v>
      </c>
      <c r="AN17" s="460">
        <f t="shared" si="24"/>
        <v>326.56406282867641</v>
      </c>
      <c r="AP17">
        <f t="shared" si="25"/>
        <v>300</v>
      </c>
      <c r="AQ17" s="460">
        <f t="shared" si="26"/>
        <v>326.56406282867641</v>
      </c>
      <c r="AR17" s="460"/>
      <c r="AS17" s="5">
        <f t="shared" si="101"/>
        <v>3.0621863022466886</v>
      </c>
      <c r="AT17" s="5">
        <f t="shared" si="27"/>
        <v>0.56038494279549866</v>
      </c>
      <c r="AU17" s="5">
        <f t="shared" si="102"/>
        <v>2.5018013594511901</v>
      </c>
      <c r="AV17" s="5">
        <f t="shared" si="28"/>
        <v>0.55119353440440388</v>
      </c>
      <c r="AW17" s="173">
        <f t="shared" si="103"/>
        <v>0.18300158366731348</v>
      </c>
      <c r="AX17" s="173">
        <f t="shared" si="29"/>
        <v>8.5269505294154406</v>
      </c>
      <c r="AY17" s="173">
        <f t="shared" si="30"/>
        <v>1.3616640272211442</v>
      </c>
      <c r="AZ17" s="173">
        <f t="shared" si="104"/>
        <v>6.2621545101819756</v>
      </c>
      <c r="BA17" s="460">
        <f t="shared" si="31"/>
        <v>0.60041243870946293</v>
      </c>
      <c r="BB17" s="5">
        <f t="shared" si="32"/>
        <v>0.53692537469428947</v>
      </c>
      <c r="BC17" s="5"/>
      <c r="BD17" s="173">
        <f t="shared" si="105"/>
        <v>0.8232761646083725</v>
      </c>
      <c r="BE17" s="173">
        <f t="shared" si="33"/>
        <v>1.739517191778061</v>
      </c>
      <c r="BF17" s="173"/>
      <c r="BG17" s="528">
        <f t="shared" si="34"/>
        <v>8.1334037185472642E-3</v>
      </c>
      <c r="BH17" s="528">
        <f t="shared" si="35"/>
        <v>1.1209015631710342</v>
      </c>
      <c r="BI17" s="528">
        <f t="shared" si="36"/>
        <v>3.7554867225297793E-2</v>
      </c>
      <c r="BJ17" s="528">
        <f t="shared" si="37"/>
        <v>0.51202311311009385</v>
      </c>
      <c r="BK17">
        <f t="shared" si="38"/>
        <v>1.2580637810914124E-2</v>
      </c>
      <c r="BL17" s="460">
        <f t="shared" si="106"/>
        <v>50.135505036211917</v>
      </c>
      <c r="BM17" s="528">
        <f t="shared" si="39"/>
        <v>1.6464358308523022</v>
      </c>
      <c r="BN17" s="460">
        <f t="shared" si="107"/>
        <v>1646.4358308523022</v>
      </c>
      <c r="BO17" s="528">
        <f t="shared" si="108"/>
        <v>0.20118</v>
      </c>
      <c r="BP17" s="528"/>
      <c r="BR17" s="460">
        <f t="shared" si="109"/>
        <v>201.18</v>
      </c>
      <c r="BS17" s="528">
        <f t="shared" si="40"/>
        <v>9.4889710049718082E-3</v>
      </c>
      <c r="BT17" s="528">
        <f t="shared" si="41"/>
        <v>4.2362880846880037E-2</v>
      </c>
      <c r="BU17" s="528">
        <f t="shared" si="42"/>
        <v>1.9547347959495283</v>
      </c>
      <c r="BV17" s="528">
        <f t="shared" si="43"/>
        <v>2.027441218782998</v>
      </c>
      <c r="BW17" s="528">
        <f t="shared" si="44"/>
        <v>0.3628489586985294</v>
      </c>
      <c r="BX17" s="460">
        <f t="shared" si="110"/>
        <v>2390.2901774815273</v>
      </c>
      <c r="BY17" s="173">
        <f t="shared" si="45"/>
        <v>4.2880415133700414</v>
      </c>
      <c r="BZ17" s="5">
        <f t="shared" si="111"/>
        <v>8.4</v>
      </c>
      <c r="CA17" s="173">
        <f t="shared" si="112"/>
        <v>0.66204070905257428</v>
      </c>
      <c r="CB17" s="5">
        <f t="shared" si="113"/>
        <v>66.204070905257424</v>
      </c>
      <c r="CE17" s="562">
        <f t="shared" si="46"/>
        <v>-50</v>
      </c>
      <c r="CF17">
        <f t="shared" si="47"/>
        <v>-50</v>
      </c>
      <c r="CG17" s="173">
        <f t="shared" si="48"/>
        <v>0.18128115495786412</v>
      </c>
      <c r="CI17" s="170">
        <v>12</v>
      </c>
      <c r="CJ17" s="217">
        <f t="shared" si="114"/>
        <v>0.3</v>
      </c>
      <c r="CK17" s="217"/>
      <c r="CL17" s="217">
        <f t="shared" si="49"/>
        <v>8.4</v>
      </c>
      <c r="CM17" s="541">
        <f t="shared" si="50"/>
        <v>28</v>
      </c>
      <c r="CN17" s="172">
        <f t="shared" si="51"/>
        <v>28.4</v>
      </c>
      <c r="CO17" s="443">
        <f t="shared" si="52"/>
        <v>56.4</v>
      </c>
      <c r="CP17" s="443"/>
      <c r="CQ17" s="217">
        <f t="shared" si="53"/>
        <v>0.50354609929078009</v>
      </c>
      <c r="CR17" s="172">
        <f t="shared" si="54"/>
        <v>118.75402645742166</v>
      </c>
      <c r="CS17" s="172">
        <f t="shared" si="115"/>
        <v>8.4</v>
      </c>
      <c r="CT17" s="217">
        <f t="shared" si="55"/>
        <v>4.2412152306222017</v>
      </c>
      <c r="CU17" s="217">
        <f t="shared" si="56"/>
        <v>28</v>
      </c>
      <c r="CV17" s="217">
        <f t="shared" si="57"/>
        <v>4.1962174940898347</v>
      </c>
      <c r="CW17" s="172">
        <f t="shared" si="58"/>
        <v>749.79270727508083</v>
      </c>
      <c r="CX17" s="172">
        <f t="shared" si="59"/>
        <v>28</v>
      </c>
      <c r="CY17" s="217">
        <f t="shared" si="60"/>
        <v>1.1915492957746481</v>
      </c>
      <c r="CZ17" s="217">
        <f t="shared" si="61"/>
        <v>0.20001006036217309</v>
      </c>
      <c r="DA17" s="217">
        <f t="shared" si="62"/>
        <v>0.19719301725848051</v>
      </c>
      <c r="DB17" s="197">
        <f t="shared" si="63"/>
        <v>350</v>
      </c>
      <c r="DC17" s="443">
        <f t="shared" si="116"/>
        <v>350</v>
      </c>
      <c r="DE17" s="217">
        <f t="shared" si="64"/>
        <v>8.5709974347366842</v>
      </c>
      <c r="DF17" s="173">
        <f t="shared" si="65"/>
        <v>1.418439716312057</v>
      </c>
      <c r="DG17" s="173">
        <f t="shared" si="66"/>
        <v>2.1275525547218721</v>
      </c>
      <c r="DH17" s="173"/>
      <c r="DI17" s="173">
        <f t="shared" si="67"/>
        <v>0.55164319248826299</v>
      </c>
      <c r="DJ17" s="545">
        <f t="shared" si="117"/>
        <v>326.2978723404255</v>
      </c>
      <c r="DK17" s="528">
        <f t="shared" si="68"/>
        <v>0.3217918622848201</v>
      </c>
      <c r="DM17" s="173">
        <f t="shared" si="69"/>
        <v>3.2184876283717112</v>
      </c>
      <c r="DN17" s="173">
        <f t="shared" si="70"/>
        <v>3.3333333333333335</v>
      </c>
      <c r="DO17" s="173">
        <f t="shared" si="71"/>
        <v>1.1864559270516717</v>
      </c>
      <c r="DQ17" s="545">
        <f t="shared" si="72"/>
        <v>300</v>
      </c>
      <c r="DR17" s="460">
        <f t="shared" si="73"/>
        <v>326.2978723404255</v>
      </c>
      <c r="DT17">
        <f t="shared" si="74"/>
        <v>300</v>
      </c>
      <c r="DU17" s="460">
        <f t="shared" si="75"/>
        <v>326.2978723404255</v>
      </c>
      <c r="DV17" s="460"/>
      <c r="DW17" s="5">
        <f t="shared" si="118"/>
        <v>3.0646844027125719</v>
      </c>
      <c r="DX17" s="5">
        <f t="shared" si="76"/>
        <v>0.55952380952380953</v>
      </c>
      <c r="DY17" s="5">
        <f t="shared" si="119"/>
        <v>2.5051605931887622</v>
      </c>
      <c r="DZ17" s="5">
        <f t="shared" si="77"/>
        <v>0.55164319248826299</v>
      </c>
      <c r="EA17" s="173">
        <f t="shared" si="120"/>
        <v>0.18257142857142855</v>
      </c>
      <c r="EB17" s="173">
        <f t="shared" si="78"/>
        <v>8.52</v>
      </c>
      <c r="EC17" s="173">
        <f t="shared" si="79"/>
        <v>1.3623809523809525</v>
      </c>
      <c r="ED17" s="173">
        <f t="shared" si="121"/>
        <v>6.2537574274729106</v>
      </c>
      <c r="EE17" s="460">
        <f t="shared" si="80"/>
        <v>0.59948979591836726</v>
      </c>
      <c r="EF17" s="5">
        <f t="shared" si="81"/>
        <v>0.53682012711187754</v>
      </c>
      <c r="EG17" s="5"/>
      <c r="EH17" s="173">
        <f t="shared" si="122"/>
        <v>0.82230801783180751</v>
      </c>
      <c r="EI17" s="173">
        <f t="shared" si="82"/>
        <v>1.7399750651987023</v>
      </c>
      <c r="EJ17" s="173"/>
      <c r="EK17" s="528">
        <f t="shared" si="83"/>
        <v>8.1142857142857145E-3</v>
      </c>
      <c r="EL17" s="528">
        <f t="shared" si="84"/>
        <v>1.1655359999999999</v>
      </c>
      <c r="EM17" s="528">
        <f t="shared" si="85"/>
        <v>3.7524255319148936E-2</v>
      </c>
      <c r="EN17" s="528">
        <f t="shared" si="86"/>
        <v>0.51118568639999995</v>
      </c>
      <c r="EO17">
        <f t="shared" si="87"/>
        <v>1.26E-2</v>
      </c>
      <c r="EP17" s="460">
        <f t="shared" si="123"/>
        <v>50.124255319148936</v>
      </c>
      <c r="EQ17" s="528">
        <f t="shared" si="88"/>
        <v>1.7405067019315947</v>
      </c>
      <c r="ER17" s="460">
        <f t="shared" si="124"/>
        <v>1740.5067019315948</v>
      </c>
      <c r="ES17" s="528">
        <f t="shared" si="125"/>
        <v>0.20118</v>
      </c>
      <c r="ET17" s="528"/>
      <c r="EV17" s="460">
        <f t="shared" si="126"/>
        <v>201.18</v>
      </c>
      <c r="EW17" s="528">
        <f t="shared" si="89"/>
        <v>9.4666666666666666E-3</v>
      </c>
      <c r="EX17" s="528">
        <f t="shared" si="90"/>
        <v>4.2385185185185192E-2</v>
      </c>
      <c r="EY17" s="528">
        <f t="shared" si="91"/>
        <v>1.9507538484831828</v>
      </c>
      <c r="EZ17" s="528">
        <f t="shared" si="92"/>
        <v>2.0234436889707652</v>
      </c>
      <c r="FA17" s="528">
        <f t="shared" si="93"/>
        <v>0.36255319148936171</v>
      </c>
      <c r="FB17" s="460">
        <f t="shared" si="127"/>
        <v>2385.9968804601272</v>
      </c>
      <c r="FC17" s="173">
        <f t="shared" si="128"/>
        <v>4.327683582391721</v>
      </c>
      <c r="FD17" s="5">
        <f t="shared" si="129"/>
        <v>8.4</v>
      </c>
      <c r="FE17" s="173">
        <f t="shared" si="130"/>
        <v>0.65997869491516026</v>
      </c>
      <c r="FF17" s="5">
        <f t="shared" si="131"/>
        <v>65.997869491516028</v>
      </c>
      <c r="FI17" s="562">
        <f t="shared" si="94"/>
        <v>-50</v>
      </c>
      <c r="FJ17">
        <f t="shared" si="95"/>
        <v>-50</v>
      </c>
      <c r="FL17">
        <f t="shared" si="96"/>
        <v>0.18</v>
      </c>
    </row>
    <row r="18" spans="5:168">
      <c r="E18" s="170">
        <v>13</v>
      </c>
      <c r="F18" s="217">
        <f t="shared" si="97"/>
        <v>0.32500000000000001</v>
      </c>
      <c r="G18" s="217"/>
      <c r="H18" s="217">
        <f t="shared" si="0"/>
        <v>9.1</v>
      </c>
      <c r="I18" s="541">
        <f t="shared" si="1"/>
        <v>27.95675896354107</v>
      </c>
      <c r="J18" s="172">
        <f t="shared" si="2"/>
        <v>28.423283635016347</v>
      </c>
      <c r="K18" s="172">
        <f t="shared" si="3"/>
        <v>56.423283635016347</v>
      </c>
      <c r="L18" s="443"/>
      <c r="M18" s="217">
        <f t="shared" si="4"/>
        <v>0.50413877854739475</v>
      </c>
      <c r="N18" s="172">
        <f t="shared" si="5"/>
        <v>118.71019084333005</v>
      </c>
      <c r="O18" s="172">
        <f t="shared" si="98"/>
        <v>9.1</v>
      </c>
      <c r="P18" s="217">
        <f t="shared" si="6"/>
        <v>4.2396496729760731</v>
      </c>
      <c r="Q18" s="217">
        <f t="shared" si="7"/>
        <v>28</v>
      </c>
      <c r="R18" s="217">
        <f t="shared" si="8"/>
        <v>4.1946685464355724</v>
      </c>
      <c r="S18" s="172">
        <f t="shared" si="9"/>
        <v>688.89943774900769</v>
      </c>
      <c r="T18" s="172">
        <f t="shared" si="10"/>
        <v>28</v>
      </c>
      <c r="U18" s="217">
        <f t="shared" si="99"/>
        <v>1.3108506410238161</v>
      </c>
      <c r="V18" s="217">
        <f t="shared" si="11"/>
        <v>0.22037597494210998</v>
      </c>
      <c r="W18" s="217">
        <f t="shared" si="12"/>
        <v>0.21675884081253133</v>
      </c>
      <c r="X18" s="197">
        <f t="shared" si="13"/>
        <v>350</v>
      </c>
      <c r="Y18" s="443">
        <f t="shared" si="14"/>
        <v>350</v>
      </c>
      <c r="AA18" s="217">
        <f t="shared" si="15"/>
        <v>8.5678088562145494</v>
      </c>
      <c r="AB18" s="173">
        <f t="shared" si="16"/>
        <v>1.4167505113518606</v>
      </c>
      <c r="AC18" s="173">
        <f t="shared" si="17"/>
        <v>2.1242283261862185</v>
      </c>
      <c r="AD18" s="173"/>
      <c r="AE18" s="173">
        <f t="shared" si="18"/>
        <v>0.55119130033821861</v>
      </c>
      <c r="AF18" s="545">
        <f t="shared" si="100"/>
        <v>353.77916864860765</v>
      </c>
      <c r="AG18" s="528">
        <f t="shared" si="19"/>
        <v>0.3215282585306275</v>
      </c>
      <c r="AI18" s="173">
        <f t="shared" si="20"/>
        <v>3.3512810564026738</v>
      </c>
      <c r="AJ18" s="173">
        <f t="shared" si="21"/>
        <v>3.3512810564026738</v>
      </c>
      <c r="AK18" s="173">
        <f t="shared" si="22"/>
        <v>1.2132946096809929</v>
      </c>
      <c r="AM18" s="545">
        <f t="shared" si="23"/>
        <v>325</v>
      </c>
      <c r="AN18" s="460">
        <f t="shared" si="24"/>
        <v>350</v>
      </c>
      <c r="AP18">
        <f t="shared" si="25"/>
        <v>325</v>
      </c>
      <c r="AQ18" s="460">
        <f t="shared" si="26"/>
        <v>350</v>
      </c>
      <c r="AR18" s="460"/>
      <c r="AS18" s="5">
        <f t="shared" si="101"/>
        <v>2.8571428571428572</v>
      </c>
      <c r="AT18" s="5">
        <f t="shared" si="27"/>
        <v>0.56340654457241501</v>
      </c>
      <c r="AU18" s="5">
        <f t="shared" si="102"/>
        <v>2.2937363125704424</v>
      </c>
      <c r="AV18" s="5">
        <f t="shared" si="28"/>
        <v>0.55415908898322852</v>
      </c>
      <c r="AW18" s="173">
        <f t="shared" si="103"/>
        <v>0.19719229060034524</v>
      </c>
      <c r="AX18" s="173">
        <f t="shared" si="29"/>
        <v>9.2375671813803137</v>
      </c>
      <c r="AY18" s="173">
        <f t="shared" si="30"/>
        <v>1.3452171342225427</v>
      </c>
      <c r="AZ18" s="173">
        <f t="shared" si="104"/>
        <v>6.8669710981038685</v>
      </c>
      <c r="BA18" s="460">
        <f t="shared" si="31"/>
        <v>0.65395402495012456</v>
      </c>
      <c r="BB18" s="5">
        <f t="shared" si="32"/>
        <v>0.53329808548806923</v>
      </c>
      <c r="BC18" s="5"/>
      <c r="BD18" s="173">
        <f t="shared" si="105"/>
        <v>0.85920182372300613</v>
      </c>
      <c r="BE18" s="173">
        <f t="shared" si="33"/>
        <v>1.7336283143873525</v>
      </c>
      <c r="BF18" s="173"/>
      <c r="BG18" s="528">
        <f t="shared" si="34"/>
        <v>8.8587332866672756E-3</v>
      </c>
      <c r="BH18" s="528">
        <f t="shared" si="35"/>
        <v>1.2078141736309922</v>
      </c>
      <c r="BI18" s="528">
        <f t="shared" si="36"/>
        <v>4.0250000000000001E-2</v>
      </c>
      <c r="BJ18" s="528">
        <f t="shared" si="37"/>
        <v>0.54877079812014962</v>
      </c>
      <c r="BK18">
        <f t="shared" si="38"/>
        <v>1.2580541533593481E-2</v>
      </c>
      <c r="BL18" s="460">
        <f t="shared" si="106"/>
        <v>52.830541533593482</v>
      </c>
      <c r="BM18" s="528">
        <f t="shared" si="39"/>
        <v>1.7715644138594751</v>
      </c>
      <c r="BN18" s="460">
        <f t="shared" si="107"/>
        <v>1771.5644138594751</v>
      </c>
      <c r="BO18" s="528">
        <f t="shared" si="108"/>
        <v>0.21794499999999997</v>
      </c>
      <c r="BP18" s="528"/>
      <c r="BR18" s="460">
        <f t="shared" si="109"/>
        <v>217.94499999999996</v>
      </c>
      <c r="BS18" s="528">
        <f t="shared" si="40"/>
        <v>1.0335188834445156E-2</v>
      </c>
      <c r="BT18" s="528">
        <f t="shared" si="41"/>
        <v>4.2076539854237462E-2</v>
      </c>
      <c r="BU18" s="528">
        <f t="shared" si="42"/>
        <v>2.3559563743259622</v>
      </c>
      <c r="BV18" s="528">
        <f t="shared" si="43"/>
        <v>2.4311405401715711</v>
      </c>
      <c r="BW18" s="528">
        <f t="shared" si="44"/>
        <v>0.39308796516511979</v>
      </c>
      <c r="BX18" s="460">
        <f t="shared" si="110"/>
        <v>2824.2285053366909</v>
      </c>
      <c r="BY18" s="173">
        <f t="shared" si="45"/>
        <v>4.8665684607297601</v>
      </c>
      <c r="BZ18" s="5">
        <f t="shared" si="111"/>
        <v>9.1</v>
      </c>
      <c r="CA18" s="173">
        <f t="shared" si="112"/>
        <v>0.65155589403272218</v>
      </c>
      <c r="CB18" s="5">
        <f t="shared" si="113"/>
        <v>65.155589403272216</v>
      </c>
      <c r="CE18" s="562">
        <f t="shared" si="46"/>
        <v>-50</v>
      </c>
      <c r="CF18">
        <f t="shared" si="47"/>
        <v>-50</v>
      </c>
      <c r="CG18" s="173">
        <f t="shared" si="48"/>
        <v>0.19541622245862802</v>
      </c>
      <c r="CI18" s="170">
        <v>13</v>
      </c>
      <c r="CJ18" s="217">
        <f t="shared" si="114"/>
        <v>0.32500000000000001</v>
      </c>
      <c r="CK18" s="217"/>
      <c r="CL18" s="217">
        <f t="shared" si="49"/>
        <v>9.1</v>
      </c>
      <c r="CM18" s="541">
        <f t="shared" si="50"/>
        <v>28</v>
      </c>
      <c r="CN18" s="172">
        <f t="shared" si="51"/>
        <v>28.4</v>
      </c>
      <c r="CO18" s="443">
        <f t="shared" si="52"/>
        <v>56.4</v>
      </c>
      <c r="CP18" s="443"/>
      <c r="CQ18" s="217">
        <f t="shared" si="53"/>
        <v>0.50354609929078009</v>
      </c>
      <c r="CR18" s="172">
        <f t="shared" si="54"/>
        <v>118.75402645742166</v>
      </c>
      <c r="CS18" s="172">
        <f t="shared" si="115"/>
        <v>9.1</v>
      </c>
      <c r="CT18" s="217">
        <f t="shared" si="55"/>
        <v>4.2412152306222017</v>
      </c>
      <c r="CU18" s="217">
        <f t="shared" si="56"/>
        <v>28</v>
      </c>
      <c r="CV18" s="217">
        <f t="shared" si="57"/>
        <v>4.1962174940898347</v>
      </c>
      <c r="CW18" s="172">
        <f t="shared" si="58"/>
        <v>689.96494125226479</v>
      </c>
      <c r="CX18" s="172">
        <f t="shared" si="59"/>
        <v>28</v>
      </c>
      <c r="CY18" s="217">
        <f t="shared" si="60"/>
        <v>1.2908450704225354</v>
      </c>
      <c r="CZ18" s="217">
        <f t="shared" si="61"/>
        <v>0.21667756539235414</v>
      </c>
      <c r="DA18" s="217">
        <f t="shared" si="62"/>
        <v>0.2136257686966872</v>
      </c>
      <c r="DB18" s="197">
        <f t="shared" si="63"/>
        <v>350</v>
      </c>
      <c r="DC18" s="443">
        <f t="shared" si="116"/>
        <v>350</v>
      </c>
      <c r="DE18" s="217">
        <f t="shared" si="64"/>
        <v>8.5709974347366842</v>
      </c>
      <c r="DF18" s="173">
        <f t="shared" si="65"/>
        <v>1.418439716312057</v>
      </c>
      <c r="DG18" s="173">
        <f t="shared" si="66"/>
        <v>2.1275525547218721</v>
      </c>
      <c r="DH18" s="173"/>
      <c r="DI18" s="173">
        <f t="shared" si="67"/>
        <v>0.55164319248826299</v>
      </c>
      <c r="DJ18" s="545">
        <f t="shared" si="117"/>
        <v>353.48936170212761</v>
      </c>
      <c r="DK18" s="528">
        <f t="shared" si="68"/>
        <v>0.3217918622848201</v>
      </c>
      <c r="DM18" s="173">
        <f t="shared" si="69"/>
        <v>3.3499081328418909</v>
      </c>
      <c r="DN18" s="173">
        <f t="shared" si="70"/>
        <v>3.3499081328418909</v>
      </c>
      <c r="DO18" s="173">
        <f t="shared" si="71"/>
        <v>1.2122776292655981</v>
      </c>
      <c r="DQ18" s="545">
        <f t="shared" si="72"/>
        <v>325</v>
      </c>
      <c r="DR18" s="460">
        <f t="shared" si="73"/>
        <v>350</v>
      </c>
      <c r="DT18">
        <f t="shared" si="74"/>
        <v>325</v>
      </c>
      <c r="DU18" s="460">
        <f t="shared" si="75"/>
        <v>350</v>
      </c>
      <c r="DV18" s="460"/>
      <c r="DW18" s="5">
        <f t="shared" si="118"/>
        <v>2.8571428571428572</v>
      </c>
      <c r="DX18" s="5">
        <f t="shared" si="76"/>
        <v>0.56230600801274588</v>
      </c>
      <c r="DY18" s="5">
        <f t="shared" si="119"/>
        <v>2.2948368491301112</v>
      </c>
      <c r="DZ18" s="5">
        <f t="shared" si="77"/>
        <v>0.55438620508298897</v>
      </c>
      <c r="EA18" s="173">
        <f t="shared" si="120"/>
        <v>0.19680710280446106</v>
      </c>
      <c r="EB18" s="173">
        <f t="shared" si="78"/>
        <v>9.2300000000000022</v>
      </c>
      <c r="EC18" s="173">
        <f t="shared" si="79"/>
        <v>1.3453112092780883</v>
      </c>
      <c r="ED18" s="173">
        <f t="shared" si="121"/>
        <v>6.8608660482008039</v>
      </c>
      <c r="EE18" s="460">
        <f t="shared" si="80"/>
        <v>0.65267661644336583</v>
      </c>
      <c r="EF18" s="5">
        <f t="shared" si="81"/>
        <v>0.53272998283377582</v>
      </c>
      <c r="EG18" s="5"/>
      <c r="EH18" s="173">
        <f t="shared" si="122"/>
        <v>0.8580106013626696</v>
      </c>
      <c r="EI18" s="173">
        <f t="shared" si="82"/>
        <v>1.7333337745827695</v>
      </c>
      <c r="EJ18" s="173"/>
      <c r="EK18" s="528">
        <f t="shared" si="83"/>
        <v>8.8341863046087592E-3</v>
      </c>
      <c r="EL18" s="528">
        <f t="shared" si="84"/>
        <v>1.2564165443036797</v>
      </c>
      <c r="EM18" s="528">
        <f t="shared" si="85"/>
        <v>4.0250000000000001E-2</v>
      </c>
      <c r="EN18" s="528">
        <f t="shared" si="86"/>
        <v>0.54831797999999998</v>
      </c>
      <c r="EO18">
        <f t="shared" si="87"/>
        <v>1.26E-2</v>
      </c>
      <c r="EP18" s="460">
        <f t="shared" si="123"/>
        <v>52.85</v>
      </c>
      <c r="EQ18" s="528">
        <f t="shared" si="88"/>
        <v>1.8727348162825741</v>
      </c>
      <c r="ER18" s="460">
        <f t="shared" si="124"/>
        <v>1872.734816282574</v>
      </c>
      <c r="ES18" s="528">
        <f t="shared" si="125"/>
        <v>0.21794499999999997</v>
      </c>
      <c r="ET18" s="528"/>
      <c r="EV18" s="460">
        <f t="shared" si="126"/>
        <v>217.94499999999996</v>
      </c>
      <c r="EW18" s="528">
        <f t="shared" si="89"/>
        <v>1.0306550688710218E-2</v>
      </c>
      <c r="EX18" s="528">
        <f t="shared" si="90"/>
        <v>4.2062243637530916E-2</v>
      </c>
      <c r="EY18" s="528">
        <f t="shared" si="91"/>
        <v>2.3535441965632744</v>
      </c>
      <c r="EZ18" s="528">
        <f t="shared" si="92"/>
        <v>2.4286563659853657</v>
      </c>
      <c r="FA18" s="528">
        <f t="shared" si="93"/>
        <v>0.39276595744680859</v>
      </c>
      <c r="FB18" s="460">
        <f t="shared" si="127"/>
        <v>2821.4223234321744</v>
      </c>
      <c r="FC18" s="173">
        <f t="shared" si="128"/>
        <v>4.9121021397147491</v>
      </c>
      <c r="FD18" s="5">
        <f t="shared" si="129"/>
        <v>9.1</v>
      </c>
      <c r="FE18" s="173">
        <f t="shared" si="130"/>
        <v>0.64943860023741251</v>
      </c>
      <c r="FF18" s="5">
        <f t="shared" si="131"/>
        <v>64.943860023741252</v>
      </c>
      <c r="FI18" s="562">
        <f t="shared" si="94"/>
        <v>-50</v>
      </c>
      <c r="FJ18">
        <f t="shared" si="95"/>
        <v>-50</v>
      </c>
      <c r="FL18">
        <f t="shared" si="96"/>
        <v>0.19403517177904617</v>
      </c>
    </row>
    <row r="19" spans="5:168">
      <c r="E19" s="170">
        <v>14</v>
      </c>
      <c r="F19" s="217">
        <f t="shared" si="97"/>
        <v>0.35000000000000003</v>
      </c>
      <c r="G19" s="217"/>
      <c r="H19" s="217">
        <f t="shared" si="0"/>
        <v>9.8000000000000007</v>
      </c>
      <c r="I19" s="541">
        <f t="shared" si="1"/>
        <v>27.95512665578234</v>
      </c>
      <c r="J19" s="172">
        <f t="shared" si="2"/>
        <v>28.424162569963354</v>
      </c>
      <c r="K19" s="172">
        <f t="shared" si="3"/>
        <v>56.424162569963357</v>
      </c>
      <c r="L19" s="443"/>
      <c r="M19" s="217">
        <f t="shared" si="4"/>
        <v>0.50416115977274634</v>
      </c>
      <c r="N19" s="172">
        <f t="shared" si="5"/>
        <v>118.70852955390681</v>
      </c>
      <c r="O19" s="172">
        <f t="shared" si="98"/>
        <v>9.8000000000000007</v>
      </c>
      <c r="P19" s="217">
        <f t="shared" si="6"/>
        <v>4.2395903412109579</v>
      </c>
      <c r="Q19" s="217">
        <f t="shared" si="7"/>
        <v>28</v>
      </c>
      <c r="R19" s="217">
        <f t="shared" si="8"/>
        <v>4.1946098441587019</v>
      </c>
      <c r="S19" s="172">
        <f t="shared" si="9"/>
        <v>637.66065211245962</v>
      </c>
      <c r="T19" s="172">
        <f t="shared" si="10"/>
        <v>28</v>
      </c>
      <c r="U19" s="217">
        <f t="shared" si="99"/>
        <v>1.4117490265167101</v>
      </c>
      <c r="V19" s="217">
        <f t="shared" si="11"/>
        <v>0.23735254382244353</v>
      </c>
      <c r="W19" s="217">
        <f t="shared" si="12"/>
        <v>0.23343591594990978</v>
      </c>
      <c r="X19" s="197">
        <f t="shared" si="13"/>
        <v>350</v>
      </c>
      <c r="Y19" s="443">
        <f t="shared" si="14"/>
        <v>350</v>
      </c>
      <c r="AA19" s="217">
        <f t="shared" si="15"/>
        <v>8.5676880209447059</v>
      </c>
      <c r="AB19" s="173">
        <f t="shared" si="16"/>
        <v>1.4166867220564181</v>
      </c>
      <c r="AC19" s="173">
        <f t="shared" si="17"/>
        <v>2.1241027251489841</v>
      </c>
      <c r="AD19" s="173"/>
      <c r="AE19" s="173">
        <f t="shared" si="18"/>
        <v>0.55117425634280925</v>
      </c>
      <c r="AF19" s="545">
        <f t="shared" si="100"/>
        <v>381.00473232078542</v>
      </c>
      <c r="AG19" s="528">
        <f t="shared" si="19"/>
        <v>0.32151831619997212</v>
      </c>
      <c r="AI19" s="173">
        <f t="shared" si="20"/>
        <v>3.4778424817182247</v>
      </c>
      <c r="AJ19" s="173">
        <f t="shared" si="21"/>
        <v>3.4778424817182247</v>
      </c>
      <c r="AK19" s="173">
        <f t="shared" si="22"/>
        <v>1.3070438136184379</v>
      </c>
      <c r="AM19" s="545">
        <f t="shared" si="23"/>
        <v>350.00000000000006</v>
      </c>
      <c r="AN19" s="460">
        <f t="shared" si="24"/>
        <v>350</v>
      </c>
      <c r="AP19">
        <f t="shared" si="25"/>
        <v>350.00000000000006</v>
      </c>
      <c r="AQ19" s="460">
        <f t="shared" si="26"/>
        <v>350</v>
      </c>
      <c r="AR19" s="460"/>
      <c r="AS19" s="5">
        <f t="shared" si="101"/>
        <v>2.8571428571428572</v>
      </c>
      <c r="AT19" s="5">
        <f t="shared" si="27"/>
        <v>0.58471778237122096</v>
      </c>
      <c r="AU19" s="5">
        <f t="shared" si="102"/>
        <v>2.2724250747716361</v>
      </c>
      <c r="AV19" s="5">
        <f t="shared" si="28"/>
        <v>0.57506917306154193</v>
      </c>
      <c r="AW19" s="173">
        <f t="shared" si="103"/>
        <v>0.20465122382992734</v>
      </c>
      <c r="AX19" s="173">
        <f t="shared" si="29"/>
        <v>9.9484568994871729</v>
      </c>
      <c r="AY19" s="173">
        <f t="shared" si="30"/>
        <v>1.3830488807734391</v>
      </c>
      <c r="AZ19" s="173">
        <f t="shared" si="104"/>
        <v>7.1931347024580372</v>
      </c>
      <c r="BA19" s="460">
        <f t="shared" si="31"/>
        <v>0.73089722796402634</v>
      </c>
      <c r="BB19" s="5">
        <f t="shared" si="32"/>
        <v>0.56901818830111417</v>
      </c>
      <c r="BC19" s="5"/>
      <c r="BD19" s="173">
        <f t="shared" si="105"/>
        <v>0.90835676250222275</v>
      </c>
      <c r="BE19" s="173">
        <f t="shared" si="33"/>
        <v>1.7907216705091666</v>
      </c>
      <c r="BF19" s="173"/>
      <c r="BG19" s="528">
        <f t="shared" si="34"/>
        <v>9.9013440958022336E-3</v>
      </c>
      <c r="BH19" s="528">
        <f t="shared" si="35"/>
        <v>1.2534469079498762</v>
      </c>
      <c r="BI19" s="528">
        <f t="shared" si="36"/>
        <v>4.0250000000000001E-2</v>
      </c>
      <c r="BJ19" s="528">
        <f t="shared" si="37"/>
        <v>0.54878789523177018</v>
      </c>
      <c r="BK19">
        <f t="shared" si="38"/>
        <v>1.2579806995102054E-2</v>
      </c>
      <c r="BL19" s="460">
        <f t="shared" si="106"/>
        <v>52.829806995102054</v>
      </c>
      <c r="BM19" s="528">
        <f t="shared" si="39"/>
        <v>1.8190890250908045</v>
      </c>
      <c r="BN19" s="460">
        <f t="shared" si="107"/>
        <v>1819.0890250908044</v>
      </c>
      <c r="BO19" s="528">
        <f t="shared" si="108"/>
        <v>0.23470999999999997</v>
      </c>
      <c r="BP19" s="528"/>
      <c r="BR19" s="460">
        <f t="shared" si="109"/>
        <v>234.70999999999998</v>
      </c>
      <c r="BS19" s="528">
        <f t="shared" si="40"/>
        <v>1.1551568111769273E-2</v>
      </c>
      <c r="BT19" s="528">
        <f t="shared" si="41"/>
        <v>4.4893577417235965E-2</v>
      </c>
      <c r="BU19" s="528">
        <f t="shared" si="42"/>
        <v>2.5847282254211041</v>
      </c>
      <c r="BV19" s="528">
        <f t="shared" si="43"/>
        <v>2.6667622686245727</v>
      </c>
      <c r="BW19" s="528">
        <f t="shared" si="44"/>
        <v>0.42333859146753938</v>
      </c>
      <c r="BX19" s="460">
        <f t="shared" si="110"/>
        <v>3090.1008600921118</v>
      </c>
      <c r="BY19" s="173">
        <f t="shared" si="45"/>
        <v>5.1967296921780193</v>
      </c>
      <c r="BZ19" s="5">
        <f t="shared" si="111"/>
        <v>9.8000000000000007</v>
      </c>
      <c r="CA19" s="173">
        <f t="shared" si="112"/>
        <v>0.65347580446898867</v>
      </c>
      <c r="CB19" s="5">
        <f t="shared" si="113"/>
        <v>65.347580446898874</v>
      </c>
      <c r="CE19" s="562">
        <f t="shared" si="46"/>
        <v>-50</v>
      </c>
      <c r="CF19">
        <f t="shared" si="47"/>
        <v>-50</v>
      </c>
      <c r="CG19" s="173">
        <f t="shared" si="48"/>
        <v>0.20279299790673247</v>
      </c>
      <c r="CI19" s="170">
        <v>14</v>
      </c>
      <c r="CJ19" s="217">
        <f t="shared" si="114"/>
        <v>0.35000000000000003</v>
      </c>
      <c r="CK19" s="217"/>
      <c r="CL19" s="217">
        <f t="shared" si="49"/>
        <v>9.8000000000000007</v>
      </c>
      <c r="CM19" s="541">
        <f t="shared" si="50"/>
        <v>28</v>
      </c>
      <c r="CN19" s="172">
        <f t="shared" si="51"/>
        <v>28.4</v>
      </c>
      <c r="CO19" s="443">
        <f t="shared" si="52"/>
        <v>56.4</v>
      </c>
      <c r="CP19" s="443"/>
      <c r="CQ19" s="217">
        <f t="shared" si="53"/>
        <v>0.50354609929078009</v>
      </c>
      <c r="CR19" s="172">
        <f t="shared" si="54"/>
        <v>118.75402645742166</v>
      </c>
      <c r="CS19" s="172">
        <f t="shared" si="115"/>
        <v>9.8000000000000007</v>
      </c>
      <c r="CT19" s="217">
        <f t="shared" si="55"/>
        <v>4.2412152306222017</v>
      </c>
      <c r="CU19" s="217">
        <f t="shared" si="56"/>
        <v>28</v>
      </c>
      <c r="CV19" s="217">
        <f t="shared" si="57"/>
        <v>4.1962174940898347</v>
      </c>
      <c r="CW19" s="172">
        <f t="shared" si="58"/>
        <v>638.68419174418329</v>
      </c>
      <c r="CX19" s="172">
        <f t="shared" si="59"/>
        <v>28</v>
      </c>
      <c r="CY19" s="217">
        <f t="shared" si="60"/>
        <v>1.3901408450704227</v>
      </c>
      <c r="CZ19" s="217">
        <f t="shared" si="61"/>
        <v>0.23334507042253524</v>
      </c>
      <c r="DA19" s="217">
        <f t="shared" si="62"/>
        <v>0.23005852013489389</v>
      </c>
      <c r="DB19" s="197">
        <f t="shared" si="63"/>
        <v>350</v>
      </c>
      <c r="DC19" s="443">
        <f t="shared" si="116"/>
        <v>350</v>
      </c>
      <c r="DE19" s="217">
        <f t="shared" si="64"/>
        <v>8.5709974347366842</v>
      </c>
      <c r="DF19" s="173">
        <f t="shared" si="65"/>
        <v>1.418439716312057</v>
      </c>
      <c r="DG19" s="173">
        <f t="shared" si="66"/>
        <v>2.1275525547218721</v>
      </c>
      <c r="DH19" s="173"/>
      <c r="DI19" s="173">
        <f t="shared" si="67"/>
        <v>0.55164319248826299</v>
      </c>
      <c r="DJ19" s="545">
        <f t="shared" si="117"/>
        <v>380.68085106382978</v>
      </c>
      <c r="DK19" s="528">
        <f t="shared" si="68"/>
        <v>0.3217918622848201</v>
      </c>
      <c r="DM19" s="173">
        <f t="shared" si="69"/>
        <v>3.4763639600851239</v>
      </c>
      <c r="DN19" s="173">
        <f t="shared" si="70"/>
        <v>3.4763639600851239</v>
      </c>
      <c r="DO19" s="173">
        <f t="shared" si="71"/>
        <v>1.3059486124087336</v>
      </c>
      <c r="DQ19" s="545">
        <f t="shared" si="72"/>
        <v>350.00000000000006</v>
      </c>
      <c r="DR19" s="460">
        <f t="shared" si="73"/>
        <v>350</v>
      </c>
      <c r="DT19">
        <f t="shared" si="74"/>
        <v>350.00000000000006</v>
      </c>
      <c r="DU19" s="460">
        <f t="shared" si="75"/>
        <v>350</v>
      </c>
      <c r="DV19" s="460"/>
      <c r="DW19" s="5">
        <f t="shared" si="118"/>
        <v>2.8571428571428572</v>
      </c>
      <c r="DX19" s="5">
        <f t="shared" si="76"/>
        <v>0.58353252187143156</v>
      </c>
      <c r="DY19" s="5">
        <f t="shared" si="119"/>
        <v>2.2736103352714254</v>
      </c>
      <c r="DZ19" s="5">
        <f t="shared" si="77"/>
        <v>0.57531375395774942</v>
      </c>
      <c r="EA19" s="173">
        <f t="shared" si="120"/>
        <v>0.20423638265500105</v>
      </c>
      <c r="EB19" s="173">
        <f t="shared" si="78"/>
        <v>9.9400000000000031</v>
      </c>
      <c r="EC19" s="173">
        <f t="shared" si="79"/>
        <v>1.3831819800425618</v>
      </c>
      <c r="ED19" s="173">
        <f t="shared" si="121"/>
        <v>7.1863284393671325</v>
      </c>
      <c r="EE19" s="460">
        <f t="shared" si="80"/>
        <v>0.72941565233928951</v>
      </c>
      <c r="EF19" s="5">
        <f t="shared" si="81"/>
        <v>0.56840258381785635</v>
      </c>
      <c r="EG19" s="5"/>
      <c r="EH19" s="173">
        <f t="shared" si="122"/>
        <v>0.90704987214236432</v>
      </c>
      <c r="EI19" s="173">
        <f t="shared" si="82"/>
        <v>1.79042713444942</v>
      </c>
      <c r="EJ19" s="173"/>
      <c r="EK19" s="528">
        <f t="shared" si="83"/>
        <v>9.8728736466417548E-3</v>
      </c>
      <c r="EL19" s="528">
        <f t="shared" si="84"/>
        <v>1.3038450668695267</v>
      </c>
      <c r="EM19" s="528">
        <f t="shared" si="85"/>
        <v>4.0250000000000001E-2</v>
      </c>
      <c r="EN19" s="528">
        <f t="shared" si="86"/>
        <v>0.54831797999999998</v>
      </c>
      <c r="EO19">
        <f t="shared" si="87"/>
        <v>1.26E-2</v>
      </c>
      <c r="EP19" s="460">
        <f t="shared" si="123"/>
        <v>52.85</v>
      </c>
      <c r="EQ19" s="528">
        <f t="shared" si="88"/>
        <v>1.9220603555466536</v>
      </c>
      <c r="ER19" s="460">
        <f t="shared" si="124"/>
        <v>1922.0603555466535</v>
      </c>
      <c r="ES19" s="528">
        <f t="shared" si="125"/>
        <v>0.23470999999999997</v>
      </c>
      <c r="ET19" s="528"/>
      <c r="EV19" s="460">
        <f t="shared" si="126"/>
        <v>234.70999999999998</v>
      </c>
      <c r="EW19" s="528">
        <f t="shared" si="89"/>
        <v>1.1518352587748713E-2</v>
      </c>
      <c r="EX19" s="528">
        <f t="shared" si="90"/>
        <v>4.4878810532818662E-2</v>
      </c>
      <c r="EY19" s="528">
        <f t="shared" si="91"/>
        <v>2.5819820126365904</v>
      </c>
      <c r="EZ19" s="528">
        <f t="shared" si="92"/>
        <v>2.6639335585415678</v>
      </c>
      <c r="FA19" s="528">
        <f t="shared" si="93"/>
        <v>0.42297872340425546</v>
      </c>
      <c r="FB19" s="460">
        <f t="shared" si="127"/>
        <v>3086.912281945823</v>
      </c>
      <c r="FC19" s="173">
        <f t="shared" si="128"/>
        <v>5.2436826374924763</v>
      </c>
      <c r="FD19" s="5">
        <f t="shared" si="129"/>
        <v>9.8000000000000007</v>
      </c>
      <c r="FE19" s="173">
        <f t="shared" si="130"/>
        <v>0.65143623646885784</v>
      </c>
      <c r="FF19" s="5">
        <f t="shared" si="131"/>
        <v>65.143623646885786</v>
      </c>
      <c r="FI19" s="562">
        <f t="shared" si="94"/>
        <v>-50</v>
      </c>
      <c r="FJ19">
        <f t="shared" si="95"/>
        <v>-50</v>
      </c>
      <c r="FL19">
        <f t="shared" si="96"/>
        <v>0.20135981388521229</v>
      </c>
    </row>
    <row r="20" spans="5:168">
      <c r="E20" s="170">
        <v>15</v>
      </c>
      <c r="F20" s="217">
        <f t="shared" si="97"/>
        <v>0.375</v>
      </c>
      <c r="G20" s="217"/>
      <c r="H20" s="217">
        <f t="shared" si="0"/>
        <v>10.5</v>
      </c>
      <c r="I20" s="541">
        <f t="shared" si="1"/>
        <v>27.953551675934317</v>
      </c>
      <c r="J20" s="172">
        <f t="shared" si="2"/>
        <v>28.425010636035367</v>
      </c>
      <c r="K20" s="172">
        <f t="shared" si="3"/>
        <v>56.425010636035367</v>
      </c>
      <c r="L20" s="443"/>
      <c r="M20" s="217">
        <f t="shared" si="4"/>
        <v>0.50418275551445391</v>
      </c>
      <c r="N20" s="172">
        <f t="shared" si="5"/>
        <v>118.70692615927008</v>
      </c>
      <c r="O20" s="172">
        <f t="shared" si="98"/>
        <v>10.5</v>
      </c>
      <c r="P20" s="217">
        <f t="shared" si="6"/>
        <v>4.2395330771167883</v>
      </c>
      <c r="Q20" s="217">
        <f t="shared" si="7"/>
        <v>28</v>
      </c>
      <c r="R20" s="217">
        <f t="shared" si="8"/>
        <v>4.1945531876155497</v>
      </c>
      <c r="S20" s="172">
        <f t="shared" si="9"/>
        <v>593.25532043685701</v>
      </c>
      <c r="T20" s="172">
        <f t="shared" si="10"/>
        <v>28</v>
      </c>
      <c r="U20" s="217">
        <f t="shared" si="99"/>
        <v>1.5126541247636329</v>
      </c>
      <c r="V20" s="217">
        <f t="shared" si="11"/>
        <v>0.25433170241868552</v>
      </c>
      <c r="W20" s="217">
        <f t="shared" si="12"/>
        <v>0.250113341290228</v>
      </c>
      <c r="X20" s="197">
        <f t="shared" si="13"/>
        <v>350</v>
      </c>
      <c r="Y20" s="443">
        <f t="shared" si="14"/>
        <v>350</v>
      </c>
      <c r="AA20" s="217">
        <f t="shared" si="15"/>
        <v>8.567571397113376</v>
      </c>
      <c r="AB20" s="173">
        <f t="shared" si="16"/>
        <v>1.4166251714743163</v>
      </c>
      <c r="AC20" s="173">
        <f t="shared" si="17"/>
        <v>2.1239815274219822</v>
      </c>
      <c r="AD20" s="173"/>
      <c r="AE20" s="173">
        <f t="shared" si="18"/>
        <v>0.55115781194486135</v>
      </c>
      <c r="AF20" s="545">
        <f t="shared" si="100"/>
        <v>408.23153573029521</v>
      </c>
      <c r="AG20" s="528">
        <f t="shared" si="19"/>
        <v>0.32150872363450245</v>
      </c>
      <c r="AI20" s="173">
        <f t="shared" si="20"/>
        <v>3.599962679393391</v>
      </c>
      <c r="AJ20" s="173">
        <f t="shared" si="21"/>
        <v>3.599962679393391</v>
      </c>
      <c r="AK20" s="173">
        <f t="shared" si="22"/>
        <v>1.3975032193037462</v>
      </c>
      <c r="AM20" s="545">
        <f t="shared" si="23"/>
        <v>375</v>
      </c>
      <c r="AN20" s="460">
        <f t="shared" si="24"/>
        <v>350</v>
      </c>
      <c r="AP20">
        <f t="shared" si="25"/>
        <v>375</v>
      </c>
      <c r="AQ20" s="460">
        <f t="shared" si="26"/>
        <v>350</v>
      </c>
      <c r="AR20" s="460"/>
      <c r="AS20" s="5">
        <f t="shared" si="101"/>
        <v>2.8571428571428572</v>
      </c>
      <c r="AT20" s="5">
        <f t="shared" si="27"/>
        <v>0.60528353567734661</v>
      </c>
      <c r="AU20" s="5">
        <f t="shared" si="102"/>
        <v>2.2518593214655107</v>
      </c>
      <c r="AV20" s="5">
        <f t="shared" si="28"/>
        <v>0.59524426603728675</v>
      </c>
      <c r="AW20" s="173">
        <f t="shared" si="103"/>
        <v>0.2118492374870713</v>
      </c>
      <c r="AX20" s="173">
        <f t="shared" si="29"/>
        <v>10.659378988513261</v>
      </c>
      <c r="AY20" s="173">
        <f t="shared" si="30"/>
        <v>1.4186566653909936</v>
      </c>
      <c r="AZ20" s="173">
        <f t="shared" si="104"/>
        <v>7.5137129712603485</v>
      </c>
      <c r="BA20" s="460">
        <f t="shared" si="31"/>
        <v>0.81064759242501783</v>
      </c>
      <c r="BB20" s="5">
        <f t="shared" si="32"/>
        <v>0.60417885736971677</v>
      </c>
      <c r="BC20" s="5"/>
      <c r="BD20" s="173">
        <f t="shared" si="105"/>
        <v>0.95664503909317267</v>
      </c>
      <c r="BE20" s="173">
        <f t="shared" si="33"/>
        <v>1.8451939464963667</v>
      </c>
      <c r="BF20" s="173"/>
      <c r="BG20" s="528">
        <f t="shared" si="34"/>
        <v>1.0982036769858934E-2</v>
      </c>
      <c r="BH20" s="528">
        <f t="shared" si="35"/>
        <v>1.2974796686783296</v>
      </c>
      <c r="BI20" s="528">
        <f t="shared" si="36"/>
        <v>4.0250000000000001E-2</v>
      </c>
      <c r="BJ20" s="528">
        <f t="shared" si="37"/>
        <v>0.54880439213207188</v>
      </c>
      <c r="BK20">
        <f t="shared" si="38"/>
        <v>1.2579098254170442E-2</v>
      </c>
      <c r="BL20" s="460">
        <f t="shared" si="106"/>
        <v>52.829098254170439</v>
      </c>
      <c r="BM20" s="528">
        <f t="shared" si="39"/>
        <v>1.8650979070416998</v>
      </c>
      <c r="BN20" s="460">
        <f t="shared" si="107"/>
        <v>1865.0979070416997</v>
      </c>
      <c r="BO20" s="528">
        <f t="shared" si="108"/>
        <v>0.25147499999999995</v>
      </c>
      <c r="BP20" s="528"/>
      <c r="BR20" s="460">
        <f t="shared" si="109"/>
        <v>251.47499999999994</v>
      </c>
      <c r="BS20" s="528">
        <f t="shared" si="40"/>
        <v>1.281237623150209E-2</v>
      </c>
      <c r="BT20" s="528">
        <f t="shared" si="41"/>
        <v>4.766636980261571E-2</v>
      </c>
      <c r="BU20" s="528">
        <f t="shared" si="42"/>
        <v>2.817637452812245</v>
      </c>
      <c r="BV20" s="528">
        <f t="shared" si="43"/>
        <v>2.9066945572486786</v>
      </c>
      <c r="BW20" s="528">
        <f t="shared" si="44"/>
        <v>0.45359059525588352</v>
      </c>
      <c r="BX20" s="460">
        <f t="shared" si="110"/>
        <v>3360.2851525045621</v>
      </c>
      <c r="BY20" s="173">
        <f t="shared" si="45"/>
        <v>5.5296871578004332</v>
      </c>
      <c r="BZ20" s="5">
        <f t="shared" si="111"/>
        <v>10.5</v>
      </c>
      <c r="CA20" s="173">
        <f t="shared" si="112"/>
        <v>0.65503461774613903</v>
      </c>
      <c r="CB20" s="5">
        <f t="shared" si="113"/>
        <v>65.503461774613896</v>
      </c>
      <c r="CE20" s="562">
        <f t="shared" si="46"/>
        <v>-50</v>
      </c>
      <c r="CF20">
        <f t="shared" si="47"/>
        <v>-50</v>
      </c>
      <c r="CG20" s="173">
        <f t="shared" si="48"/>
        <v>0.20991069529683332</v>
      </c>
      <c r="CI20" s="170">
        <v>15</v>
      </c>
      <c r="CJ20" s="217">
        <f t="shared" si="114"/>
        <v>0.375</v>
      </c>
      <c r="CK20" s="217"/>
      <c r="CL20" s="217">
        <f t="shared" si="49"/>
        <v>10.5</v>
      </c>
      <c r="CM20" s="541">
        <f t="shared" si="50"/>
        <v>28</v>
      </c>
      <c r="CN20" s="172">
        <f t="shared" si="51"/>
        <v>28.4</v>
      </c>
      <c r="CO20" s="443">
        <f t="shared" si="52"/>
        <v>56.4</v>
      </c>
      <c r="CP20" s="443"/>
      <c r="CQ20" s="217">
        <f t="shared" si="53"/>
        <v>0.50354609929078009</v>
      </c>
      <c r="CR20" s="172">
        <f t="shared" si="54"/>
        <v>118.75402645742166</v>
      </c>
      <c r="CS20" s="172">
        <f t="shared" si="115"/>
        <v>10.5</v>
      </c>
      <c r="CT20" s="217">
        <f t="shared" si="55"/>
        <v>4.2412152306222017</v>
      </c>
      <c r="CU20" s="217">
        <f t="shared" si="56"/>
        <v>28</v>
      </c>
      <c r="CV20" s="217">
        <f t="shared" si="57"/>
        <v>4.1962174940898347</v>
      </c>
      <c r="CW20" s="172">
        <f t="shared" si="58"/>
        <v>594.24105711407174</v>
      </c>
      <c r="CX20" s="172">
        <f t="shared" si="59"/>
        <v>28</v>
      </c>
      <c r="CY20" s="217">
        <f t="shared" si="60"/>
        <v>1.48943661971831</v>
      </c>
      <c r="CZ20" s="217">
        <f t="shared" si="61"/>
        <v>0.25001257545271632</v>
      </c>
      <c r="DA20" s="217">
        <f t="shared" si="62"/>
        <v>0.24649127157310063</v>
      </c>
      <c r="DB20" s="197">
        <f t="shared" si="63"/>
        <v>350</v>
      </c>
      <c r="DC20" s="443">
        <f t="shared" si="116"/>
        <v>350</v>
      </c>
      <c r="DE20" s="217">
        <f t="shared" si="64"/>
        <v>8.5709974347366842</v>
      </c>
      <c r="DF20" s="173">
        <f t="shared" si="65"/>
        <v>1.418439716312057</v>
      </c>
      <c r="DG20" s="173">
        <f t="shared" si="66"/>
        <v>2.1275525547218721</v>
      </c>
      <c r="DH20" s="173"/>
      <c r="DI20" s="173">
        <f t="shared" si="67"/>
        <v>0.55164319248826299</v>
      </c>
      <c r="DJ20" s="545">
        <f t="shared" si="117"/>
        <v>407.87234042553183</v>
      </c>
      <c r="DK20" s="528">
        <f t="shared" si="68"/>
        <v>0.3217918622848201</v>
      </c>
      <c r="DM20" s="173">
        <f t="shared" si="69"/>
        <v>3.5983785608906134</v>
      </c>
      <c r="DN20" s="173">
        <f t="shared" si="70"/>
        <v>3.5983785608906134</v>
      </c>
      <c r="DO20" s="173">
        <f t="shared" si="71"/>
        <v>1.3963297981905776</v>
      </c>
      <c r="DQ20" s="545">
        <f t="shared" si="72"/>
        <v>375</v>
      </c>
      <c r="DR20" s="460">
        <f t="shared" si="73"/>
        <v>350</v>
      </c>
      <c r="DT20">
        <f t="shared" si="74"/>
        <v>375</v>
      </c>
      <c r="DU20" s="460">
        <f t="shared" si="75"/>
        <v>350</v>
      </c>
      <c r="DV20" s="460"/>
      <c r="DW20" s="5">
        <f t="shared" si="118"/>
        <v>2.8571428571428572</v>
      </c>
      <c r="DX20" s="5">
        <f t="shared" si="76"/>
        <v>0.60401354414949582</v>
      </c>
      <c r="DY20" s="5">
        <f t="shared" si="119"/>
        <v>2.2531293129933614</v>
      </c>
      <c r="DZ20" s="5">
        <f t="shared" si="77"/>
        <v>0.59550631113330565</v>
      </c>
      <c r="EA20" s="173">
        <f t="shared" si="120"/>
        <v>0.21140474045232352</v>
      </c>
      <c r="EB20" s="173">
        <f t="shared" si="78"/>
        <v>10.649999999999999</v>
      </c>
      <c r="EC20" s="173">
        <f t="shared" si="79"/>
        <v>1.4188321375881641</v>
      </c>
      <c r="ED20" s="173">
        <f t="shared" si="121"/>
        <v>7.5061733645980544</v>
      </c>
      <c r="EE20" s="460">
        <f t="shared" si="80"/>
        <v>0.80894671091450332</v>
      </c>
      <c r="EF20" s="5">
        <f t="shared" si="81"/>
        <v>0.60351678026607891</v>
      </c>
      <c r="EG20" s="5"/>
      <c r="EH20" s="173">
        <f t="shared" si="122"/>
        <v>0.95522038934783726</v>
      </c>
      <c r="EI20" s="173">
        <f t="shared" si="82"/>
        <v>1.8449020110202512</v>
      </c>
      <c r="EJ20" s="173"/>
      <c r="EK20" s="528">
        <f t="shared" si="83"/>
        <v>1.0949351906710005E-2</v>
      </c>
      <c r="EL20" s="528">
        <f t="shared" si="84"/>
        <v>1.3496078630476336</v>
      </c>
      <c r="EM20" s="528">
        <f t="shared" si="85"/>
        <v>4.0250000000000001E-2</v>
      </c>
      <c r="EN20" s="528">
        <f t="shared" si="86"/>
        <v>0.54831797999999998</v>
      </c>
      <c r="EO20">
        <f t="shared" si="87"/>
        <v>1.26E-2</v>
      </c>
      <c r="EP20" s="460">
        <f t="shared" si="123"/>
        <v>52.85</v>
      </c>
      <c r="EQ20" s="528">
        <f t="shared" si="88"/>
        <v>1.9698061005726726</v>
      </c>
      <c r="ER20" s="460">
        <f t="shared" si="124"/>
        <v>1969.8061005726727</v>
      </c>
      <c r="ES20" s="528">
        <f t="shared" si="125"/>
        <v>0.25147499999999995</v>
      </c>
      <c r="ET20" s="528"/>
      <c r="EV20" s="460">
        <f t="shared" si="126"/>
        <v>251.47499999999994</v>
      </c>
      <c r="EW20" s="528">
        <f t="shared" si="89"/>
        <v>1.2774243891161673E-2</v>
      </c>
      <c r="EX20" s="528">
        <f t="shared" si="90"/>
        <v>4.765128802373194E-2</v>
      </c>
      <c r="EY20" s="528">
        <f t="shared" si="91"/>
        <v>2.8145388105085347</v>
      </c>
      <c r="EZ20" s="528">
        <f t="shared" si="92"/>
        <v>2.9035021228983755</v>
      </c>
      <c r="FA20" s="528">
        <f t="shared" si="93"/>
        <v>0.45319148936170206</v>
      </c>
      <c r="FB20" s="460">
        <f t="shared" si="127"/>
        <v>3356.6936122600778</v>
      </c>
      <c r="FC20" s="173">
        <f t="shared" si="128"/>
        <v>5.5779747128327504</v>
      </c>
      <c r="FD20" s="5">
        <f t="shared" si="129"/>
        <v>10.5</v>
      </c>
      <c r="FE20" s="173">
        <f t="shared" si="130"/>
        <v>0.65306732891048469</v>
      </c>
      <c r="FF20" s="5">
        <f t="shared" si="131"/>
        <v>65.306732891048469</v>
      </c>
      <c r="FI20" s="562">
        <f t="shared" si="94"/>
        <v>-50</v>
      </c>
      <c r="FJ20">
        <f t="shared" si="95"/>
        <v>-50</v>
      </c>
      <c r="FL20">
        <f t="shared" si="96"/>
        <v>0.20842720889665703</v>
      </c>
    </row>
    <row r="21" spans="5:168" s="76" customFormat="1">
      <c r="E21" s="189">
        <v>16</v>
      </c>
      <c r="F21" s="329">
        <f t="shared" si="97"/>
        <v>0.4</v>
      </c>
      <c r="G21" s="217"/>
      <c r="H21" s="217">
        <f t="shared" si="0"/>
        <v>11.200000000000001</v>
      </c>
      <c r="I21" s="541">
        <f t="shared" si="1"/>
        <v>27.952028377182497</v>
      </c>
      <c r="J21" s="172">
        <f t="shared" si="2"/>
        <v>28.425830873824808</v>
      </c>
      <c r="K21" s="172">
        <f t="shared" si="3"/>
        <v>56.425830873824808</v>
      </c>
      <c r="L21" s="535"/>
      <c r="M21" s="217">
        <f t="shared" si="4"/>
        <v>0.50420364314288624</v>
      </c>
      <c r="N21" s="172">
        <f t="shared" si="5"/>
        <v>118.70537495675174</v>
      </c>
      <c r="O21" s="172">
        <f t="shared" si="98"/>
        <v>11.200000000000001</v>
      </c>
      <c r="P21" s="329">
        <f t="shared" si="6"/>
        <v>4.2394776770268479</v>
      </c>
      <c r="Q21" s="217">
        <f t="shared" si="7"/>
        <v>28</v>
      </c>
      <c r="R21" s="217">
        <f t="shared" si="8"/>
        <v>4.194498375300225</v>
      </c>
      <c r="S21" s="172">
        <f t="shared" si="9"/>
        <v>554.40204894135866</v>
      </c>
      <c r="T21" s="172">
        <f t="shared" si="10"/>
        <v>28</v>
      </c>
      <c r="U21" s="217">
        <f t="shared" si="99"/>
        <v>1.6135657088552517</v>
      </c>
      <c r="V21" s="217">
        <f t="shared" si="11"/>
        <v>0.27131336335542566</v>
      </c>
      <c r="W21" s="217">
        <f t="shared" si="12"/>
        <v>0.2667911050791128</v>
      </c>
      <c r="X21" s="537">
        <f t="shared" si="13"/>
        <v>350</v>
      </c>
      <c r="Y21" s="443">
        <f t="shared" si="14"/>
        <v>350</v>
      </c>
      <c r="AA21" s="329">
        <f t="shared" si="15"/>
        <v>8.5674585698915688</v>
      </c>
      <c r="AB21" s="173">
        <f t="shared" si="16"/>
        <v>1.4165656390916352</v>
      </c>
      <c r="AC21" s="538">
        <f t="shared" si="17"/>
        <v>2.1238642992786727</v>
      </c>
      <c r="AD21" s="538"/>
      <c r="AE21" s="173">
        <f t="shared" si="18"/>
        <v>0.55114190808378138</v>
      </c>
      <c r="AF21" s="545">
        <f t="shared" si="100"/>
        <v>435.45953679050768</v>
      </c>
      <c r="AG21" s="528">
        <f t="shared" si="19"/>
        <v>0.32149944638220584</v>
      </c>
      <c r="AH21"/>
      <c r="AI21" s="173">
        <f t="shared" si="20"/>
        <v>3.7180791114584606</v>
      </c>
      <c r="AJ21" s="173">
        <f t="shared" si="21"/>
        <v>3.7180791114584606</v>
      </c>
      <c r="AK21" s="173">
        <f t="shared" si="22"/>
        <v>1.4849968726852794</v>
      </c>
      <c r="AM21" s="545">
        <f t="shared" si="23"/>
        <v>400</v>
      </c>
      <c r="AN21" s="460">
        <f t="shared" si="24"/>
        <v>350</v>
      </c>
      <c r="AP21">
        <f t="shared" si="25"/>
        <v>400</v>
      </c>
      <c r="AQ21" s="460">
        <f t="shared" si="26"/>
        <v>350</v>
      </c>
      <c r="AR21" s="460"/>
      <c r="AS21" s="5">
        <f t="shared" si="101"/>
        <v>2.8571428571428572</v>
      </c>
      <c r="AT21" s="5">
        <f t="shared" si="27"/>
        <v>0.62517723537085934</v>
      </c>
      <c r="AU21" s="5">
        <f t="shared" si="102"/>
        <v>2.2319656217719981</v>
      </c>
      <c r="AV21" s="5">
        <f t="shared" si="28"/>
        <v>0.61475676476869989</v>
      </c>
      <c r="AW21" s="173">
        <f t="shared" si="103"/>
        <v>0.21881203237980076</v>
      </c>
      <c r="AX21" s="173">
        <f t="shared" si="29"/>
        <v>11.370332349529923</v>
      </c>
      <c r="AY21" s="173">
        <f t="shared" si="30"/>
        <v>1.4522593322656756</v>
      </c>
      <c r="AZ21" s="173">
        <f t="shared" si="104"/>
        <v>7.8294090434874475</v>
      </c>
      <c r="BA21" s="460">
        <f t="shared" si="31"/>
        <v>0.89311033624408487</v>
      </c>
      <c r="BB21" s="5">
        <f t="shared" si="32"/>
        <v>0.63879889978760118</v>
      </c>
      <c r="BC21" s="5"/>
      <c r="BD21" s="173">
        <f t="shared" si="105"/>
        <v>1.0041384538711939</v>
      </c>
      <c r="BE21" s="173">
        <f t="shared" si="33"/>
        <v>1.8972989727008622</v>
      </c>
      <c r="BF21" s="173"/>
      <c r="BG21" s="528">
        <f t="shared" si="34"/>
        <v>1.2099528414513984E-2</v>
      </c>
      <c r="BH21" s="528">
        <f t="shared" si="35"/>
        <v>1.3400700536704147</v>
      </c>
      <c r="BI21" s="528">
        <f t="shared" si="36"/>
        <v>4.0250000000000001E-2</v>
      </c>
      <c r="BJ21" s="528">
        <f t="shared" si="37"/>
        <v>0.54882034794203027</v>
      </c>
      <c r="BK21">
        <f t="shared" si="38"/>
        <v>1.2578412769732124E-2</v>
      </c>
      <c r="BL21" s="460">
        <f t="shared" si="106"/>
        <v>52.828412769732125</v>
      </c>
      <c r="BM21" s="528">
        <f t="shared" si="39"/>
        <v>1.9097470350500709</v>
      </c>
      <c r="BN21" s="460">
        <f t="shared" si="107"/>
        <v>1909.747035050071</v>
      </c>
      <c r="BO21" s="528">
        <f t="shared" si="108"/>
        <v>0.26823999999999998</v>
      </c>
      <c r="BP21" s="528"/>
      <c r="BR21" s="460">
        <f t="shared" si="109"/>
        <v>268.23999999999995</v>
      </c>
      <c r="BS21" s="528">
        <f t="shared" si="40"/>
        <v>1.4116116483599648E-2</v>
      </c>
      <c r="BT21" s="528">
        <f t="shared" si="41"/>
        <v>5.0396407485364461E-2</v>
      </c>
      <c r="BU21" s="528">
        <f t="shared" si="42"/>
        <v>3.0544757448220108</v>
      </c>
      <c r="BV21" s="528">
        <f t="shared" si="43"/>
        <v>3.1507322095184338</v>
      </c>
      <c r="BW21" s="528">
        <f t="shared" si="44"/>
        <v>0.48384392976723073</v>
      </c>
      <c r="BX21" s="460">
        <f t="shared" si="110"/>
        <v>3634.5761392856643</v>
      </c>
      <c r="BY21" s="173">
        <f t="shared" si="45"/>
        <v>5.8653915871054672</v>
      </c>
      <c r="BZ21" s="5">
        <f t="shared" si="111"/>
        <v>11.200000000000001</v>
      </c>
      <c r="CA21" s="173">
        <f t="shared" si="112"/>
        <v>0.65629903321191119</v>
      </c>
      <c r="CB21" s="5">
        <f t="shared" si="113"/>
        <v>65.629903321191122</v>
      </c>
      <c r="CE21" s="562">
        <f t="shared" si="46"/>
        <v>-50</v>
      </c>
      <c r="CF21">
        <f t="shared" si="47"/>
        <v>-50</v>
      </c>
      <c r="CG21" s="173">
        <f t="shared" si="48"/>
        <v>0.216794833886788</v>
      </c>
      <c r="CH21"/>
      <c r="CI21" s="189">
        <v>16</v>
      </c>
      <c r="CJ21" s="329">
        <f t="shared" si="114"/>
        <v>0.4</v>
      </c>
      <c r="CK21" s="217"/>
      <c r="CL21" s="217">
        <f t="shared" si="49"/>
        <v>11.200000000000001</v>
      </c>
      <c r="CM21" s="541">
        <f t="shared" si="50"/>
        <v>28</v>
      </c>
      <c r="CN21" s="172">
        <f t="shared" si="51"/>
        <v>28.4</v>
      </c>
      <c r="CO21" s="535">
        <f t="shared" si="52"/>
        <v>56.4</v>
      </c>
      <c r="CP21" s="535"/>
      <c r="CQ21" s="329">
        <f t="shared" si="53"/>
        <v>0.50354609929078009</v>
      </c>
      <c r="CR21" s="172">
        <f t="shared" si="54"/>
        <v>118.75402645742166</v>
      </c>
      <c r="CS21" s="172">
        <f t="shared" si="115"/>
        <v>11.200000000000001</v>
      </c>
      <c r="CT21" s="329">
        <f t="shared" si="55"/>
        <v>4.2412152306222017</v>
      </c>
      <c r="CU21" s="217">
        <f t="shared" si="56"/>
        <v>28</v>
      </c>
      <c r="CV21" s="217">
        <f t="shared" si="57"/>
        <v>4.1962174940898347</v>
      </c>
      <c r="CW21" s="172">
        <f t="shared" si="58"/>
        <v>555.35348615338592</v>
      </c>
      <c r="CX21" s="172">
        <f t="shared" si="59"/>
        <v>28</v>
      </c>
      <c r="CY21" s="217">
        <f t="shared" si="60"/>
        <v>1.5887323943661975</v>
      </c>
      <c r="CZ21" s="329">
        <f t="shared" si="61"/>
        <v>0.26668008048289743</v>
      </c>
      <c r="DA21" s="217">
        <f t="shared" si="62"/>
        <v>0.26292402301130735</v>
      </c>
      <c r="DB21" s="537">
        <f t="shared" si="63"/>
        <v>350</v>
      </c>
      <c r="DC21" s="535">
        <f t="shared" si="116"/>
        <v>350</v>
      </c>
      <c r="DE21" s="329">
        <f t="shared" si="64"/>
        <v>8.5709974347366842</v>
      </c>
      <c r="DF21" s="173">
        <f t="shared" si="65"/>
        <v>1.418439716312057</v>
      </c>
      <c r="DG21" s="538">
        <f t="shared" si="66"/>
        <v>2.1275525547218721</v>
      </c>
      <c r="DH21" s="538"/>
      <c r="DI21" s="173">
        <f t="shared" si="67"/>
        <v>0.55164319248826299</v>
      </c>
      <c r="DJ21" s="545">
        <f t="shared" si="117"/>
        <v>435.063829787234</v>
      </c>
      <c r="DK21" s="528">
        <f t="shared" si="68"/>
        <v>0.3217918622848201</v>
      </c>
      <c r="DL21"/>
      <c r="DM21" s="173">
        <f t="shared" si="69"/>
        <v>3.7163893972477755</v>
      </c>
      <c r="DN21" s="173">
        <f t="shared" si="70"/>
        <v>3.7163893972477755</v>
      </c>
      <c r="DO21" s="173">
        <f t="shared" si="71"/>
        <v>1.4837452325292162</v>
      </c>
      <c r="DQ21" s="545">
        <f t="shared" si="72"/>
        <v>400</v>
      </c>
      <c r="DR21" s="460">
        <f t="shared" si="73"/>
        <v>350</v>
      </c>
      <c r="DT21">
        <f t="shared" si="74"/>
        <v>400</v>
      </c>
      <c r="DU21" s="460">
        <f t="shared" si="75"/>
        <v>350</v>
      </c>
      <c r="DV21" s="460"/>
      <c r="DW21" s="5">
        <f t="shared" si="118"/>
        <v>2.8571428571428572</v>
      </c>
      <c r="DX21" s="5">
        <f t="shared" si="76"/>
        <v>0.62382250596659095</v>
      </c>
      <c r="DY21" s="5">
        <f t="shared" si="119"/>
        <v>2.2333203511762663</v>
      </c>
      <c r="DZ21" s="5">
        <f t="shared" si="77"/>
        <v>0.61503627348818835</v>
      </c>
      <c r="EA21" s="173">
        <f t="shared" si="120"/>
        <v>0.21833787708830682</v>
      </c>
      <c r="EB21" s="173">
        <f t="shared" si="78"/>
        <v>11.36</v>
      </c>
      <c r="EC21" s="173">
        <f t="shared" si="79"/>
        <v>1.4524804129096018</v>
      </c>
      <c r="ED21" s="173">
        <f t="shared" si="121"/>
        <v>7.8211037471023115</v>
      </c>
      <c r="EE21" s="460">
        <f t="shared" si="80"/>
        <v>0.89117500852370135</v>
      </c>
      <c r="EF21" s="5">
        <f t="shared" si="81"/>
        <v>0.63809152890750465</v>
      </c>
      <c r="EG21" s="5"/>
      <c r="EH21" s="173">
        <f t="shared" si="122"/>
        <v>1.0025940586766331</v>
      </c>
      <c r="EI21" s="173">
        <f t="shared" si="82"/>
        <v>1.8970121781804348</v>
      </c>
      <c r="EJ21" s="173"/>
      <c r="EK21" s="528">
        <f t="shared" si="83"/>
        <v>1.2062338157924207E-2</v>
      </c>
      <c r="EL21" s="528">
        <f t="shared" si="84"/>
        <v>1.3938690073317506</v>
      </c>
      <c r="EM21" s="528">
        <f t="shared" si="85"/>
        <v>4.0250000000000001E-2</v>
      </c>
      <c r="EN21" s="528">
        <f t="shared" si="86"/>
        <v>0.54831797999999998</v>
      </c>
      <c r="EO21">
        <f t="shared" si="87"/>
        <v>1.26E-2</v>
      </c>
      <c r="EP21" s="460">
        <f t="shared" si="123"/>
        <v>52.85</v>
      </c>
      <c r="EQ21" s="528">
        <f t="shared" si="88"/>
        <v>2.0161344213227639</v>
      </c>
      <c r="ER21" s="460">
        <f t="shared" si="124"/>
        <v>2016.134421322764</v>
      </c>
      <c r="ES21" s="528">
        <f t="shared" si="125"/>
        <v>0.26823999999999998</v>
      </c>
      <c r="ET21" s="528"/>
      <c r="EV21" s="460">
        <f t="shared" si="126"/>
        <v>268.23999999999995</v>
      </c>
      <c r="EW21" s="528">
        <f t="shared" si="89"/>
        <v>1.4072727850911576E-2</v>
      </c>
      <c r="EX21" s="528">
        <f t="shared" si="90"/>
        <v>5.0381172858308287E-2</v>
      </c>
      <c r="EY21" s="528">
        <f t="shared" si="91"/>
        <v>3.0510065932192485</v>
      </c>
      <c r="EZ21" s="528">
        <f t="shared" si="92"/>
        <v>3.147157154478768</v>
      </c>
      <c r="FA21" s="528">
        <f t="shared" si="93"/>
        <v>0.48340425531914893</v>
      </c>
      <c r="FB21" s="460">
        <f t="shared" si="127"/>
        <v>3630.5614097979169</v>
      </c>
      <c r="FC21" s="173">
        <f t="shared" si="128"/>
        <v>5.9149358311206814</v>
      </c>
      <c r="FD21" s="5">
        <f t="shared" si="129"/>
        <v>11.200000000000001</v>
      </c>
      <c r="FE21" s="173">
        <f t="shared" si="130"/>
        <v>0.65439918154029253</v>
      </c>
      <c r="FF21" s="5">
        <f t="shared" si="131"/>
        <v>65.439918154029257</v>
      </c>
      <c r="FI21" s="562">
        <f t="shared" si="94"/>
        <v>-50</v>
      </c>
      <c r="FJ21">
        <f t="shared" si="95"/>
        <v>-50</v>
      </c>
      <c r="FL21">
        <f t="shared" si="96"/>
        <v>0.21526269572086587</v>
      </c>
    </row>
    <row r="22" spans="5:168">
      <c r="E22" s="170">
        <v>17</v>
      </c>
      <c r="F22" s="217">
        <f t="shared" si="97"/>
        <v>0.42500000000000004</v>
      </c>
      <c r="G22" s="217"/>
      <c r="H22" s="217">
        <f t="shared" si="0"/>
        <v>11.900000000000002</v>
      </c>
      <c r="I22" s="541">
        <f t="shared" si="1"/>
        <v>27.950551983022788</v>
      </c>
      <c r="J22" s="172">
        <f t="shared" si="2"/>
        <v>28.42662585529542</v>
      </c>
      <c r="K22" s="172">
        <f t="shared" si="3"/>
        <v>56.42662585529542</v>
      </c>
      <c r="L22" s="443"/>
      <c r="M22" s="217">
        <f t="shared" si="4"/>
        <v>0.50422388810377017</v>
      </c>
      <c r="N22" s="172">
        <f t="shared" si="5"/>
        <v>118.70387112260303</v>
      </c>
      <c r="O22" s="172">
        <f t="shared" si="98"/>
        <v>11.900000000000002</v>
      </c>
      <c r="P22" s="217">
        <f t="shared" si="6"/>
        <v>4.2394239686643944</v>
      </c>
      <c r="Q22" s="217">
        <f t="shared" si="7"/>
        <v>28</v>
      </c>
      <c r="R22" s="217">
        <f t="shared" si="8"/>
        <v>4.1944452367637792</v>
      </c>
      <c r="S22" s="172">
        <f t="shared" si="9"/>
        <v>520.12096580558023</v>
      </c>
      <c r="T22" s="172">
        <f t="shared" si="10"/>
        <v>28</v>
      </c>
      <c r="U22" s="217">
        <f t="shared" si="99"/>
        <v>1.7144835735407769</v>
      </c>
      <c r="V22" s="217">
        <f t="shared" si="11"/>
        <v>0.2882974475973189</v>
      </c>
      <c r="W22" s="217">
        <f t="shared" si="12"/>
        <v>0.28346919668415593</v>
      </c>
      <c r="X22" s="197">
        <f t="shared" si="13"/>
        <v>350</v>
      </c>
      <c r="Y22" s="443">
        <f t="shared" si="14"/>
        <v>350</v>
      </c>
      <c r="AA22" s="217">
        <f t="shared" si="15"/>
        <v>8.5673491883854922</v>
      </c>
      <c r="AB22" s="173">
        <f t="shared" si="16"/>
        <v>1.4165079383809742</v>
      </c>
      <c r="AC22" s="173">
        <f t="shared" si="17"/>
        <v>2.123750673840223</v>
      </c>
      <c r="AD22" s="173"/>
      <c r="AE22" s="173">
        <f t="shared" si="18"/>
        <v>0.55112649480164111</v>
      </c>
      <c r="AF22" s="545">
        <f t="shared" si="100"/>
        <v>462.68869743193608</v>
      </c>
      <c r="AG22" s="528">
        <f t="shared" si="19"/>
        <v>0.32149045530095732</v>
      </c>
      <c r="AI22" s="173">
        <f t="shared" si="20"/>
        <v>3.8325618164883295</v>
      </c>
      <c r="AJ22" s="173">
        <f t="shared" si="21"/>
        <v>3.8325618164883295</v>
      </c>
      <c r="AK22" s="173">
        <f t="shared" si="22"/>
        <v>1.5697988764111082</v>
      </c>
      <c r="AM22" s="545">
        <f t="shared" si="23"/>
        <v>425.00000000000006</v>
      </c>
      <c r="AN22" s="460">
        <f t="shared" si="24"/>
        <v>350</v>
      </c>
      <c r="AP22">
        <f t="shared" si="25"/>
        <v>425.00000000000006</v>
      </c>
      <c r="AQ22" s="460">
        <f t="shared" si="26"/>
        <v>350</v>
      </c>
      <c r="AR22" s="460"/>
      <c r="AS22" s="5">
        <f t="shared" si="101"/>
        <v>2.8571428571428572</v>
      </c>
      <c r="AT22" s="5">
        <f t="shared" si="27"/>
        <v>0.64446099484676733</v>
      </c>
      <c r="AU22" s="5">
        <f t="shared" si="102"/>
        <v>2.21268186229609</v>
      </c>
      <c r="AV22" s="5">
        <f t="shared" si="28"/>
        <v>0.63366790800954698</v>
      </c>
      <c r="AW22" s="173">
        <f t="shared" si="103"/>
        <v>0.22556134819636856</v>
      </c>
      <c r="AX22" s="173">
        <f t="shared" si="29"/>
        <v>12.081315988500556</v>
      </c>
      <c r="AY22" s="173">
        <f t="shared" si="30"/>
        <v>1.4840420030576493</v>
      </c>
      <c r="AZ22" s="173">
        <f t="shared" si="104"/>
        <v>8.1408180924857856</v>
      </c>
      <c r="BA22" s="460">
        <f t="shared" si="31"/>
        <v>0.97819972432098612</v>
      </c>
      <c r="BB22" s="5">
        <f t="shared" si="32"/>
        <v>0.67289532746761682</v>
      </c>
      <c r="BC22" s="5"/>
      <c r="BD22" s="173">
        <f t="shared" si="105"/>
        <v>1.0508987656980597</v>
      </c>
      <c r="BE22" s="173">
        <f t="shared" si="33"/>
        <v>1.9472515185912005</v>
      </c>
      <c r="BF22" s="173"/>
      <c r="BG22" s="528">
        <f t="shared" si="34"/>
        <v>1.3252658588948465E-2</v>
      </c>
      <c r="BH22" s="528">
        <f t="shared" si="35"/>
        <v>1.3813513711461032</v>
      </c>
      <c r="BI22" s="528">
        <f t="shared" si="36"/>
        <v>4.0250000000000001E-2</v>
      </c>
      <c r="BJ22" s="528">
        <f t="shared" si="37"/>
        <v>0.54883581267065096</v>
      </c>
      <c r="BK22">
        <f t="shared" si="38"/>
        <v>1.2577748392360253E-2</v>
      </c>
      <c r="BL22" s="460">
        <f t="shared" si="106"/>
        <v>52.827748392360256</v>
      </c>
      <c r="BM22" s="528">
        <f t="shared" si="39"/>
        <v>1.9531682583143033</v>
      </c>
      <c r="BN22" s="460">
        <f t="shared" si="107"/>
        <v>1953.1682583143033</v>
      </c>
      <c r="BO22" s="528">
        <f t="shared" si="108"/>
        <v>0.28500499999999995</v>
      </c>
      <c r="BP22" s="528"/>
      <c r="BR22" s="460">
        <f t="shared" si="109"/>
        <v>285.00499999999994</v>
      </c>
      <c r="BS22" s="528">
        <f t="shared" si="40"/>
        <v>1.5461435020439876E-2</v>
      </c>
      <c r="BT22" s="528">
        <f t="shared" si="41"/>
        <v>5.3085038673180311E-2</v>
      </c>
      <c r="BU22" s="528">
        <f t="shared" si="42"/>
        <v>3.2950577937769374</v>
      </c>
      <c r="BV22" s="528">
        <f t="shared" si="43"/>
        <v>3.3986928942022367</v>
      </c>
      <c r="BW22" s="528">
        <f t="shared" si="44"/>
        <v>0.51409855270215132</v>
      </c>
      <c r="BX22" s="460">
        <f t="shared" si="110"/>
        <v>3912.7914469043881</v>
      </c>
      <c r="BY22" s="173">
        <f t="shared" si="45"/>
        <v>6.2037924536110509</v>
      </c>
      <c r="BZ22" s="5">
        <f t="shared" si="111"/>
        <v>11.900000000000002</v>
      </c>
      <c r="CA22" s="173">
        <f t="shared" si="112"/>
        <v>0.65732083653148499</v>
      </c>
      <c r="CB22" s="5">
        <f t="shared" si="113"/>
        <v>65.732083653148493</v>
      </c>
      <c r="CE22" s="562">
        <f t="shared" si="46"/>
        <v>-50</v>
      </c>
      <c r="CF22">
        <f t="shared" si="47"/>
        <v>-50</v>
      </c>
      <c r="CG22" s="173">
        <f t="shared" si="48"/>
        <v>0.22346699980086546</v>
      </c>
      <c r="CI22" s="170">
        <v>17</v>
      </c>
      <c r="CJ22" s="217">
        <f t="shared" si="114"/>
        <v>0.42500000000000004</v>
      </c>
      <c r="CK22" s="217"/>
      <c r="CL22" s="217">
        <f t="shared" si="49"/>
        <v>11.900000000000002</v>
      </c>
      <c r="CM22" s="541">
        <f t="shared" si="50"/>
        <v>28</v>
      </c>
      <c r="CN22" s="172">
        <f t="shared" si="51"/>
        <v>28.4</v>
      </c>
      <c r="CO22" s="443">
        <f t="shared" si="52"/>
        <v>56.4</v>
      </c>
      <c r="CP22" s="443"/>
      <c r="CQ22" s="217">
        <f t="shared" si="53"/>
        <v>0.50354609929078009</v>
      </c>
      <c r="CR22" s="172">
        <f t="shared" si="54"/>
        <v>118.75402645742166</v>
      </c>
      <c r="CS22" s="172">
        <f t="shared" si="115"/>
        <v>11.900000000000002</v>
      </c>
      <c r="CT22" s="217">
        <f t="shared" si="55"/>
        <v>4.2412152306222017</v>
      </c>
      <c r="CU22" s="217">
        <f t="shared" si="56"/>
        <v>28</v>
      </c>
      <c r="CV22" s="217">
        <f t="shared" si="57"/>
        <v>4.1962174940898347</v>
      </c>
      <c r="CW22" s="172">
        <f t="shared" si="58"/>
        <v>521.04108677965371</v>
      </c>
      <c r="CX22" s="172">
        <f t="shared" si="59"/>
        <v>28</v>
      </c>
      <c r="CY22" s="217">
        <f t="shared" si="60"/>
        <v>1.688028169014085</v>
      </c>
      <c r="CZ22" s="217">
        <f t="shared" si="61"/>
        <v>0.28334758551307854</v>
      </c>
      <c r="DA22" s="217">
        <f t="shared" si="62"/>
        <v>0.27935677444951412</v>
      </c>
      <c r="DB22" s="197">
        <f t="shared" si="63"/>
        <v>350</v>
      </c>
      <c r="DC22" s="443">
        <f t="shared" si="116"/>
        <v>350</v>
      </c>
      <c r="DE22" s="217">
        <f t="shared" si="64"/>
        <v>8.5709974347366842</v>
      </c>
      <c r="DF22" s="173">
        <f t="shared" si="65"/>
        <v>1.418439716312057</v>
      </c>
      <c r="DG22" s="173">
        <f t="shared" si="66"/>
        <v>2.1275525547218721</v>
      </c>
      <c r="DH22" s="173"/>
      <c r="DI22" s="173">
        <f t="shared" si="67"/>
        <v>0.55164319248826299</v>
      </c>
      <c r="DJ22" s="545">
        <f t="shared" si="117"/>
        <v>462.25531914893617</v>
      </c>
      <c r="DK22" s="528">
        <f t="shared" si="68"/>
        <v>0.3217918622848201</v>
      </c>
      <c r="DM22" s="173">
        <f t="shared" si="69"/>
        <v>3.8307665076945328</v>
      </c>
      <c r="DN22" s="173">
        <f t="shared" si="70"/>
        <v>3.8307665076945328</v>
      </c>
      <c r="DO22" s="173">
        <f t="shared" si="71"/>
        <v>1.5684690180453327</v>
      </c>
      <c r="DQ22" s="545">
        <f t="shared" si="72"/>
        <v>425.00000000000006</v>
      </c>
      <c r="DR22" s="460">
        <f t="shared" si="73"/>
        <v>350</v>
      </c>
      <c r="DT22">
        <f t="shared" si="74"/>
        <v>425.00000000000006</v>
      </c>
      <c r="DU22" s="460">
        <f t="shared" si="75"/>
        <v>350</v>
      </c>
      <c r="DV22" s="460"/>
      <c r="DW22" s="5">
        <f t="shared" si="118"/>
        <v>2.8571428571428572</v>
      </c>
      <c r="DX22" s="5">
        <f t="shared" si="76"/>
        <v>0.64302152093443954</v>
      </c>
      <c r="DY22" s="5">
        <f t="shared" si="119"/>
        <v>2.2141213362084176</v>
      </c>
      <c r="DZ22" s="5">
        <f t="shared" si="77"/>
        <v>0.63396487979451777</v>
      </c>
      <c r="EA22" s="173">
        <f t="shared" si="120"/>
        <v>0.22505753232705383</v>
      </c>
      <c r="EB22" s="173">
        <f t="shared" si="78"/>
        <v>12.07</v>
      </c>
      <c r="EC22" s="173">
        <f t="shared" si="79"/>
        <v>1.4843118252758376</v>
      </c>
      <c r="ED22" s="173">
        <f t="shared" si="121"/>
        <v>8.1317145053108817</v>
      </c>
      <c r="EE22" s="460">
        <f t="shared" si="80"/>
        <v>0.97601480856120304</v>
      </c>
      <c r="EF22" s="5">
        <f t="shared" si="81"/>
        <v>0.67214397706326967</v>
      </c>
      <c r="EG22" s="5"/>
      <c r="EH22" s="173">
        <f t="shared" si="122"/>
        <v>1.0492327326815105</v>
      </c>
      <c r="EI22" s="173">
        <f t="shared" si="82"/>
        <v>1.946972355092494</v>
      </c>
      <c r="EJ22" s="173"/>
      <c r="EK22" s="528">
        <f t="shared" si="83"/>
        <v>1.3210671927963723E-2</v>
      </c>
      <c r="EL22" s="528">
        <f t="shared" si="84"/>
        <v>1.4367672863759116</v>
      </c>
      <c r="EM22" s="528">
        <f t="shared" si="85"/>
        <v>4.0250000000000001E-2</v>
      </c>
      <c r="EN22" s="528">
        <f t="shared" si="86"/>
        <v>0.54831797999999998</v>
      </c>
      <c r="EO22">
        <f t="shared" si="87"/>
        <v>1.26E-2</v>
      </c>
      <c r="EP22" s="460">
        <f t="shared" si="123"/>
        <v>52.85</v>
      </c>
      <c r="EQ22" s="528">
        <f t="shared" si="88"/>
        <v>2.0611825742936021</v>
      </c>
      <c r="ER22" s="460">
        <f t="shared" si="124"/>
        <v>2061.1825742936021</v>
      </c>
      <c r="ES22" s="528">
        <f t="shared" si="125"/>
        <v>0.28500499999999995</v>
      </c>
      <c r="ET22" s="528"/>
      <c r="EV22" s="460">
        <f t="shared" si="126"/>
        <v>285.00499999999994</v>
      </c>
      <c r="EW22" s="528">
        <f t="shared" si="89"/>
        <v>1.5412450582624342E-2</v>
      </c>
      <c r="EX22" s="528">
        <f t="shared" si="90"/>
        <v>5.3069818920921774E-2</v>
      </c>
      <c r="EY22" s="528">
        <f t="shared" si="91"/>
        <v>3.2912003425773695</v>
      </c>
      <c r="EZ22" s="528">
        <f t="shared" si="92"/>
        <v>3.3947165884657244</v>
      </c>
      <c r="FA22" s="528">
        <f t="shared" si="93"/>
        <v>0.51361702127659592</v>
      </c>
      <c r="FB22" s="460">
        <f t="shared" si="127"/>
        <v>3908.3336097423203</v>
      </c>
      <c r="FC22" s="173">
        <f t="shared" si="128"/>
        <v>6.2545211840359221</v>
      </c>
      <c r="FD22" s="5">
        <f t="shared" si="129"/>
        <v>11.900000000000002</v>
      </c>
      <c r="FE22" s="173">
        <f t="shared" si="130"/>
        <v>0.65548410114303646</v>
      </c>
      <c r="FF22" s="5">
        <f t="shared" si="131"/>
        <v>65.54841011430365</v>
      </c>
      <c r="FI22" s="562">
        <f t="shared" si="94"/>
        <v>-50</v>
      </c>
      <c r="FJ22">
        <f t="shared" si="95"/>
        <v>-50</v>
      </c>
      <c r="FL22">
        <f t="shared" si="96"/>
        <v>0.22188770792808121</v>
      </c>
    </row>
    <row r="23" spans="5:168">
      <c r="E23" s="170">
        <v>18</v>
      </c>
      <c r="F23" s="217">
        <f t="shared" si="97"/>
        <v>0.44999999999999996</v>
      </c>
      <c r="G23" s="217"/>
      <c r="H23" s="217">
        <f t="shared" si="0"/>
        <v>12.599999999999998</v>
      </c>
      <c r="I23" s="541">
        <f t="shared" si="1"/>
        <v>27.949118410301832</v>
      </c>
      <c r="J23" s="172">
        <f t="shared" si="2"/>
        <v>28.427397779068244</v>
      </c>
      <c r="K23" s="172">
        <f t="shared" si="3"/>
        <v>56.427397779068244</v>
      </c>
      <c r="L23" s="443"/>
      <c r="M23" s="217">
        <f t="shared" si="4"/>
        <v>0.50424354634282076</v>
      </c>
      <c r="N23" s="172">
        <f t="shared" si="5"/>
        <v>118.70241053328427</v>
      </c>
      <c r="O23" s="172">
        <f t="shared" si="98"/>
        <v>12.599999999999998</v>
      </c>
      <c r="P23" s="217">
        <f t="shared" si="6"/>
        <v>4.2393718047601521</v>
      </c>
      <c r="Q23" s="217">
        <f t="shared" si="7"/>
        <v>28</v>
      </c>
      <c r="R23" s="217">
        <f t="shared" si="8"/>
        <v>4.1943936262994086</v>
      </c>
      <c r="S23" s="172">
        <f t="shared" si="9"/>
        <v>489.6499617279012</v>
      </c>
      <c r="T23" s="172">
        <f t="shared" si="10"/>
        <v>28</v>
      </c>
      <c r="U23" s="217">
        <f t="shared" si="99"/>
        <v>1.8154075319861778</v>
      </c>
      <c r="V23" s="217">
        <f t="shared" si="11"/>
        <v>0.3052838832007686</v>
      </c>
      <c r="W23" s="217">
        <f t="shared" si="12"/>
        <v>0.30014760642698196</v>
      </c>
      <c r="X23" s="197">
        <f t="shared" si="13"/>
        <v>350</v>
      </c>
      <c r="Y23" s="443">
        <f t="shared" si="14"/>
        <v>350</v>
      </c>
      <c r="AA23" s="217">
        <f t="shared" si="15"/>
        <v>8.5672429526366436</v>
      </c>
      <c r="AB23" s="173">
        <f t="shared" si="16"/>
        <v>1.4164519098909942</v>
      </c>
      <c r="AC23" s="173">
        <f t="shared" si="17"/>
        <v>2.1236403374834087</v>
      </c>
      <c r="AD23" s="173"/>
      <c r="AE23" s="173">
        <f t="shared" si="18"/>
        <v>0.55111152939233843</v>
      </c>
      <c r="AF23" s="545">
        <f t="shared" si="100"/>
        <v>489.91898300096329</v>
      </c>
      <c r="AG23" s="528">
        <f t="shared" si="19"/>
        <v>0.32148172547886411</v>
      </c>
      <c r="AI23" s="173">
        <f t="shared" si="20"/>
        <v>3.9437271187712986</v>
      </c>
      <c r="AJ23" s="173">
        <f t="shared" si="21"/>
        <v>3.9437271187712986</v>
      </c>
      <c r="AK23" s="173">
        <f t="shared" si="22"/>
        <v>1.652143544768863</v>
      </c>
      <c r="AM23" s="545">
        <f t="shared" si="23"/>
        <v>449.99999999999994</v>
      </c>
      <c r="AN23" s="460">
        <f t="shared" si="24"/>
        <v>350</v>
      </c>
      <c r="AP23">
        <f t="shared" si="25"/>
        <v>449.99999999999994</v>
      </c>
      <c r="AQ23" s="460">
        <f t="shared" si="26"/>
        <v>350</v>
      </c>
      <c r="AR23" s="460"/>
      <c r="AS23" s="5">
        <f t="shared" si="101"/>
        <v>2.8571428571428572</v>
      </c>
      <c r="AT23" s="5">
        <f t="shared" si="27"/>
        <v>0.66318791119340115</v>
      </c>
      <c r="AU23" s="5">
        <f t="shared" si="102"/>
        <v>2.1939549459494563</v>
      </c>
      <c r="AV23" s="5">
        <f t="shared" si="28"/>
        <v>0.65203004517962726</v>
      </c>
      <c r="AW23" s="173">
        <f t="shared" si="103"/>
        <v>0.2321157689176904</v>
      </c>
      <c r="AX23" s="173">
        <f t="shared" si="29"/>
        <v>12.792329000580709</v>
      </c>
      <c r="AY23" s="173">
        <f t="shared" si="30"/>
        <v>1.5141629330980755</v>
      </c>
      <c r="AZ23" s="173">
        <f t="shared" si="104"/>
        <v>8.4484494508175381</v>
      </c>
      <c r="BA23" s="460">
        <f t="shared" si="31"/>
        <v>1.065837714417966</v>
      </c>
      <c r="BB23" s="5">
        <f t="shared" si="32"/>
        <v>0.70648362584012769</v>
      </c>
      <c r="BC23" s="5"/>
      <c r="BD23" s="173">
        <f t="shared" si="105"/>
        <v>1.0969796024141052</v>
      </c>
      <c r="BE23" s="173">
        <f t="shared" si="33"/>
        <v>1.9952352278193786</v>
      </c>
      <c r="BF23" s="173"/>
      <c r="BG23" s="528">
        <f t="shared" si="34"/>
        <v>1.44403709773513E-2</v>
      </c>
      <c r="BH23" s="528">
        <f t="shared" si="35"/>
        <v>1.421437578487456</v>
      </c>
      <c r="BI23" s="528">
        <f t="shared" si="36"/>
        <v>4.0250000000000001E-2</v>
      </c>
      <c r="BJ23" s="528">
        <f t="shared" si="37"/>
        <v>0.54885082906770166</v>
      </c>
      <c r="BK23">
        <f t="shared" si="38"/>
        <v>1.2577103284635825E-2</v>
      </c>
      <c r="BL23" s="460">
        <f t="shared" si="106"/>
        <v>52.827103284635832</v>
      </c>
      <c r="BM23" s="528">
        <f t="shared" si="39"/>
        <v>1.9954742148705744</v>
      </c>
      <c r="BN23" s="460">
        <f t="shared" si="107"/>
        <v>1995.4742148705743</v>
      </c>
      <c r="BO23" s="528">
        <f t="shared" si="108"/>
        <v>0.30176999999999993</v>
      </c>
      <c r="BP23" s="528"/>
      <c r="BR23" s="460">
        <f t="shared" si="109"/>
        <v>301.76999999999992</v>
      </c>
      <c r="BS23" s="528">
        <f t="shared" si="40"/>
        <v>1.6847099473576516E-2</v>
      </c>
      <c r="BT23" s="528">
        <f t="shared" si="41"/>
        <v>5.5733490600640263E-2</v>
      </c>
      <c r="BU23" s="528">
        <f t="shared" si="42"/>
        <v>3.5392175377353503</v>
      </c>
      <c r="BV23" s="528">
        <f t="shared" si="43"/>
        <v>3.6504134021266741</v>
      </c>
      <c r="BW23" s="528">
        <f t="shared" si="44"/>
        <v>0.54435442555662594</v>
      </c>
      <c r="BX23" s="460">
        <f t="shared" si="110"/>
        <v>4194.7678276833003</v>
      </c>
      <c r="BY23" s="173">
        <f t="shared" si="45"/>
        <v>6.5448391458385107</v>
      </c>
      <c r="BZ23" s="5">
        <f t="shared" si="111"/>
        <v>12.599999999999998</v>
      </c>
      <c r="CA23" s="173">
        <f t="shared" si="112"/>
        <v>0.65814081298974214</v>
      </c>
      <c r="CB23" s="5">
        <f t="shared" si="113"/>
        <v>65.814081298974216</v>
      </c>
      <c r="CE23" s="562">
        <f t="shared" si="46"/>
        <v>-50</v>
      </c>
      <c r="CF23">
        <f t="shared" si="47"/>
        <v>-50</v>
      </c>
      <c r="CG23" s="173">
        <f t="shared" si="48"/>
        <v>0.22994564575133838</v>
      </c>
      <c r="CI23" s="170">
        <v>18</v>
      </c>
      <c r="CJ23" s="217">
        <f t="shared" si="114"/>
        <v>0.44999999999999996</v>
      </c>
      <c r="CK23" s="217"/>
      <c r="CL23" s="217">
        <f t="shared" si="49"/>
        <v>12.599999999999998</v>
      </c>
      <c r="CM23" s="541">
        <f t="shared" si="50"/>
        <v>28</v>
      </c>
      <c r="CN23" s="172">
        <f t="shared" si="51"/>
        <v>28.4</v>
      </c>
      <c r="CO23" s="443">
        <f t="shared" si="52"/>
        <v>56.4</v>
      </c>
      <c r="CP23" s="443"/>
      <c r="CQ23" s="217">
        <f t="shared" si="53"/>
        <v>0.50354609929078009</v>
      </c>
      <c r="CR23" s="172">
        <f t="shared" si="54"/>
        <v>118.75402645742166</v>
      </c>
      <c r="CS23" s="172">
        <f t="shared" si="115"/>
        <v>12.599999999999998</v>
      </c>
      <c r="CT23" s="217">
        <f t="shared" si="55"/>
        <v>4.2412152306222017</v>
      </c>
      <c r="CU23" s="217">
        <f t="shared" si="56"/>
        <v>28</v>
      </c>
      <c r="CV23" s="217">
        <f t="shared" si="57"/>
        <v>4.1962174940898347</v>
      </c>
      <c r="CW23" s="172">
        <f t="shared" si="58"/>
        <v>490.54133183504695</v>
      </c>
      <c r="CX23" s="172">
        <f t="shared" si="59"/>
        <v>28</v>
      </c>
      <c r="CY23" s="217">
        <f t="shared" si="60"/>
        <v>1.7873239436619717</v>
      </c>
      <c r="CZ23" s="217">
        <f t="shared" si="61"/>
        <v>0.30001509054325948</v>
      </c>
      <c r="DA23" s="217">
        <f t="shared" si="62"/>
        <v>0.29578952588772067</v>
      </c>
      <c r="DB23" s="197">
        <f t="shared" si="63"/>
        <v>350</v>
      </c>
      <c r="DC23" s="443">
        <f t="shared" si="116"/>
        <v>350</v>
      </c>
      <c r="DE23" s="217">
        <f t="shared" si="64"/>
        <v>8.5709974347366842</v>
      </c>
      <c r="DF23" s="173">
        <f t="shared" si="65"/>
        <v>1.418439716312057</v>
      </c>
      <c r="DG23" s="173">
        <f t="shared" si="66"/>
        <v>2.1275525547218721</v>
      </c>
      <c r="DH23" s="173"/>
      <c r="DI23" s="173">
        <f t="shared" si="67"/>
        <v>0.55164319248826299</v>
      </c>
      <c r="DJ23" s="545">
        <f t="shared" si="117"/>
        <v>489.44680851063816</v>
      </c>
      <c r="DK23" s="528">
        <f t="shared" si="68"/>
        <v>0.3217918622848201</v>
      </c>
      <c r="DM23" s="173">
        <f t="shared" si="69"/>
        <v>3.9418262164855316</v>
      </c>
      <c r="DN23" s="173">
        <f t="shared" si="70"/>
        <v>3.9418262164855316</v>
      </c>
      <c r="DO23" s="173">
        <f t="shared" si="71"/>
        <v>1.6507354690016283</v>
      </c>
      <c r="DQ23" s="545">
        <f t="shared" si="72"/>
        <v>449.99999999999994</v>
      </c>
      <c r="DR23" s="460">
        <f t="shared" si="73"/>
        <v>350</v>
      </c>
      <c r="DT23">
        <f t="shared" si="74"/>
        <v>449.99999999999994</v>
      </c>
      <c r="DU23" s="460">
        <f t="shared" si="75"/>
        <v>350</v>
      </c>
      <c r="DV23" s="460"/>
      <c r="DW23" s="5">
        <f t="shared" si="118"/>
        <v>2.8571428571428572</v>
      </c>
      <c r="DX23" s="5">
        <f t="shared" si="76"/>
        <v>0.66166368633864281</v>
      </c>
      <c r="DY23" s="5">
        <f t="shared" si="119"/>
        <v>2.1954791708042145</v>
      </c>
      <c r="DZ23" s="5">
        <f t="shared" si="77"/>
        <v>0.65234447948880281</v>
      </c>
      <c r="EA23" s="173">
        <f t="shared" si="120"/>
        <v>0.23158229021852497</v>
      </c>
      <c r="EB23" s="173">
        <f t="shared" si="78"/>
        <v>12.779999999999996</v>
      </c>
      <c r="EC23" s="173">
        <f t="shared" si="79"/>
        <v>1.5144845368141946</v>
      </c>
      <c r="ED23" s="173">
        <f t="shared" si="121"/>
        <v>8.4385146822848789</v>
      </c>
      <c r="EE23" s="460">
        <f t="shared" si="80"/>
        <v>1.0633880673299614</v>
      </c>
      <c r="EF23" s="5">
        <f t="shared" si="81"/>
        <v>0.70568973347278297</v>
      </c>
      <c r="EG23" s="5"/>
      <c r="EH23" s="173">
        <f t="shared" si="122"/>
        <v>1.095190123162848</v>
      </c>
      <c r="EI23" s="173">
        <f t="shared" si="82"/>
        <v>1.9949661403435965</v>
      </c>
      <c r="EJ23" s="173"/>
      <c r="EK23" s="528">
        <f t="shared" si="83"/>
        <v>1.4393296870481451E-2</v>
      </c>
      <c r="EL23" s="528">
        <f t="shared" si="84"/>
        <v>1.4784213407550633</v>
      </c>
      <c r="EM23" s="528">
        <f t="shared" si="85"/>
        <v>4.0250000000000001E-2</v>
      </c>
      <c r="EN23" s="528">
        <f t="shared" si="86"/>
        <v>0.54831797999999998</v>
      </c>
      <c r="EO23">
        <f t="shared" si="87"/>
        <v>1.26E-2</v>
      </c>
      <c r="EP23" s="460">
        <f t="shared" si="123"/>
        <v>52.85</v>
      </c>
      <c r="EQ23" s="528">
        <f t="shared" si="88"/>
        <v>2.1050678183521629</v>
      </c>
      <c r="ER23" s="460">
        <f t="shared" si="124"/>
        <v>2105.0678183521632</v>
      </c>
      <c r="ES23" s="528">
        <f t="shared" si="125"/>
        <v>0.30176999999999993</v>
      </c>
      <c r="ET23" s="528"/>
      <c r="EV23" s="460">
        <f t="shared" si="126"/>
        <v>301.76999999999992</v>
      </c>
      <c r="EW23" s="528">
        <f t="shared" si="89"/>
        <v>1.6792179682228358E-2</v>
      </c>
      <c r="EX23" s="528">
        <f t="shared" si="90"/>
        <v>5.5718458615643972E-2</v>
      </c>
      <c r="EY23" s="528">
        <f t="shared" si="91"/>
        <v>3.5349542643133081</v>
      </c>
      <c r="EZ23" s="528">
        <f t="shared" si="92"/>
        <v>3.6460174600646278</v>
      </c>
      <c r="FA23" s="528">
        <f t="shared" si="93"/>
        <v>0.54382978723404241</v>
      </c>
      <c r="FB23" s="460">
        <f t="shared" si="127"/>
        <v>4189.8472472986696</v>
      </c>
      <c r="FC23" s="173">
        <f t="shared" si="128"/>
        <v>6.5966850656508331</v>
      </c>
      <c r="FD23" s="5">
        <f t="shared" si="129"/>
        <v>12.599999999999998</v>
      </c>
      <c r="FE23" s="173">
        <f t="shared" si="130"/>
        <v>0.65636332298567168</v>
      </c>
      <c r="FF23" s="5">
        <f t="shared" si="131"/>
        <v>65.636332298567169</v>
      </c>
      <c r="FI23" s="562">
        <f t="shared" si="94"/>
        <v>-50</v>
      </c>
      <c r="FJ23">
        <f t="shared" si="95"/>
        <v>-50</v>
      </c>
      <c r="FL23">
        <f t="shared" si="96"/>
        <v>0.22832056782108101</v>
      </c>
    </row>
    <row r="24" spans="5:168">
      <c r="E24" s="170">
        <v>19</v>
      </c>
      <c r="F24" s="217">
        <f t="shared" si="97"/>
        <v>0.47499999999999998</v>
      </c>
      <c r="G24" s="217"/>
      <c r="H24" s="217">
        <f t="shared" si="0"/>
        <v>13.299999999999999</v>
      </c>
      <c r="I24" s="541">
        <f t="shared" si="1"/>
        <v>27.947724135995216</v>
      </c>
      <c r="J24" s="172">
        <f t="shared" si="2"/>
        <v>28.428148542156421</v>
      </c>
      <c r="K24" s="172">
        <f t="shared" si="3"/>
        <v>56.428148542156421</v>
      </c>
      <c r="L24" s="443"/>
      <c r="M24" s="217">
        <f t="shared" si="4"/>
        <v>0.50426266613109216</v>
      </c>
      <c r="N24" s="172">
        <f t="shared" si="5"/>
        <v>118.70098963092526</v>
      </c>
      <c r="O24" s="172">
        <f t="shared" si="98"/>
        <v>13.299999999999999</v>
      </c>
      <c r="P24" s="217">
        <f t="shared" si="6"/>
        <v>4.2393210582473309</v>
      </c>
      <c r="Q24" s="217">
        <f t="shared" si="7"/>
        <v>28</v>
      </c>
      <c r="R24" s="217">
        <f t="shared" si="8"/>
        <v>4.1943434181884598</v>
      </c>
      <c r="S24" s="172">
        <f t="shared" si="9"/>
        <v>462.38738161325955</v>
      </c>
      <c r="T24" s="172">
        <f t="shared" si="10"/>
        <v>28</v>
      </c>
      <c r="U24" s="217">
        <f t="shared" si="99"/>
        <v>1.9163374131737612</v>
      </c>
      <c r="V24" s="217">
        <f t="shared" si="11"/>
        <v>0.3222726043125782</v>
      </c>
      <c r="W24" s="217">
        <f t="shared" si="12"/>
        <v>0.31682632544853961</v>
      </c>
      <c r="X24" s="197">
        <f t="shared" si="13"/>
        <v>350</v>
      </c>
      <c r="Y24" s="443">
        <f t="shared" si="14"/>
        <v>350</v>
      </c>
      <c r="AA24" s="217">
        <f t="shared" si="15"/>
        <v>8.5671396038349954</v>
      </c>
      <c r="AB24" s="173">
        <f t="shared" si="16"/>
        <v>1.416397416043969</v>
      </c>
      <c r="AC24" s="173">
        <f t="shared" si="17"/>
        <v>2.1235330196079722</v>
      </c>
      <c r="AD24" s="173"/>
      <c r="AE24" s="173">
        <f t="shared" si="18"/>
        <v>0.5510969750082173</v>
      </c>
      <c r="AF24" s="545">
        <f t="shared" si="100"/>
        <v>517.15036177752631</v>
      </c>
      <c r="AG24" s="528">
        <f t="shared" si="19"/>
        <v>0.32147323542146011</v>
      </c>
      <c r="AI24" s="173">
        <f t="shared" si="20"/>
        <v>4.0518479490796731</v>
      </c>
      <c r="AJ24" s="173">
        <f t="shared" si="21"/>
        <v>4.0518479490796731</v>
      </c>
      <c r="AK24" s="173">
        <f t="shared" si="22"/>
        <v>1.732233048700992</v>
      </c>
      <c r="AM24" s="545">
        <f t="shared" si="23"/>
        <v>475</v>
      </c>
      <c r="AN24" s="460">
        <f t="shared" si="24"/>
        <v>350</v>
      </c>
      <c r="AP24">
        <f t="shared" si="25"/>
        <v>475</v>
      </c>
      <c r="AQ24" s="460">
        <f t="shared" si="26"/>
        <v>350</v>
      </c>
      <c r="AR24" s="460"/>
      <c r="AS24" s="5">
        <f t="shared" si="101"/>
        <v>2.8571428571428572</v>
      </c>
      <c r="AT24" s="5">
        <f t="shared" si="27"/>
        <v>0.68140379760465664</v>
      </c>
      <c r="AU24" s="5">
        <f t="shared" si="102"/>
        <v>2.1757390595382007</v>
      </c>
      <c r="AV24" s="5">
        <f t="shared" si="28"/>
        <v>0.6698883443793171</v>
      </c>
      <c r="AW24" s="173">
        <f t="shared" si="103"/>
        <v>0.23849132916162982</v>
      </c>
      <c r="AX24" s="173">
        <f t="shared" si="29"/>
        <v>13.503370557524299</v>
      </c>
      <c r="AY24" s="173">
        <f t="shared" si="30"/>
        <v>1.5427586730714189</v>
      </c>
      <c r="AZ24" s="173">
        <f t="shared" si="104"/>
        <v>8.7527432470309545</v>
      </c>
      <c r="BA24" s="460">
        <f t="shared" si="31"/>
        <v>1.155952870936471</v>
      </c>
      <c r="BB24" s="5">
        <f t="shared" si="32"/>
        <v>0.73957796939149101</v>
      </c>
      <c r="BC24" s="5"/>
      <c r="BD24" s="173">
        <f t="shared" si="105"/>
        <v>1.1424279221089528</v>
      </c>
      <c r="BE24" s="173">
        <f t="shared" si="33"/>
        <v>2.0414085930078292</v>
      </c>
      <c r="BF24" s="173"/>
      <c r="BG24" s="528">
        <f t="shared" si="34"/>
        <v>1.5661698686570157E-2</v>
      </c>
      <c r="BH24" s="528">
        <f t="shared" si="35"/>
        <v>1.4604270003474966</v>
      </c>
      <c r="BI24" s="528">
        <f t="shared" si="36"/>
        <v>4.0250000000000001E-2</v>
      </c>
      <c r="BJ24" s="528">
        <f t="shared" si="37"/>
        <v>0.54886543401851606</v>
      </c>
      <c r="BK24">
        <f t="shared" si="38"/>
        <v>1.2576475861197848E-2</v>
      </c>
      <c r="BL24" s="460">
        <f t="shared" si="106"/>
        <v>52.826475861197849</v>
      </c>
      <c r="BM24" s="528">
        <f t="shared" si="39"/>
        <v>2.0367620305025484</v>
      </c>
      <c r="BN24" s="460">
        <f t="shared" si="107"/>
        <v>2036.7620305025484</v>
      </c>
      <c r="BO24" s="528">
        <f t="shared" si="108"/>
        <v>0.31853499999999996</v>
      </c>
      <c r="BP24" s="528"/>
      <c r="BR24" s="460">
        <f t="shared" si="109"/>
        <v>318.53499999999997</v>
      </c>
      <c r="BS24" s="528">
        <f t="shared" si="40"/>
        <v>1.8271981800998514E-2</v>
      </c>
      <c r="BT24" s="528">
        <f t="shared" si="41"/>
        <v>5.8342886610486866E-2</v>
      </c>
      <c r="BU24" s="528">
        <f t="shared" si="42"/>
        <v>3.7868051930617814</v>
      </c>
      <c r="BV24" s="528">
        <f t="shared" si="43"/>
        <v>3.9057466913968204</v>
      </c>
      <c r="BW24" s="528">
        <f t="shared" si="44"/>
        <v>0.57461151308614045</v>
      </c>
      <c r="BX24" s="460">
        <f t="shared" si="110"/>
        <v>4480.3582044829609</v>
      </c>
      <c r="BY24" s="173">
        <f t="shared" si="45"/>
        <v>6.8884817108467074</v>
      </c>
      <c r="BZ24" s="5">
        <f t="shared" si="111"/>
        <v>13.299999999999999</v>
      </c>
      <c r="CA24" s="173">
        <f t="shared" si="112"/>
        <v>0.65879149261899583</v>
      </c>
      <c r="CB24" s="5">
        <f t="shared" si="113"/>
        <v>65.879149261899585</v>
      </c>
      <c r="CE24" s="562">
        <f t="shared" si="46"/>
        <v>-50</v>
      </c>
      <c r="CF24">
        <f t="shared" si="47"/>
        <v>-50</v>
      </c>
      <c r="CG24" s="173">
        <f t="shared" si="48"/>
        <v>0.23624669309854898</v>
      </c>
      <c r="CI24" s="170">
        <v>19</v>
      </c>
      <c r="CJ24" s="217">
        <f t="shared" si="114"/>
        <v>0.47499999999999998</v>
      </c>
      <c r="CK24" s="217"/>
      <c r="CL24" s="217">
        <f t="shared" si="49"/>
        <v>13.299999999999999</v>
      </c>
      <c r="CM24" s="541">
        <f t="shared" si="50"/>
        <v>28</v>
      </c>
      <c r="CN24" s="172">
        <f t="shared" si="51"/>
        <v>28.4</v>
      </c>
      <c r="CO24" s="443">
        <f t="shared" si="52"/>
        <v>56.4</v>
      </c>
      <c r="CP24" s="443"/>
      <c r="CQ24" s="217">
        <f t="shared" si="53"/>
        <v>0.50354609929078009</v>
      </c>
      <c r="CR24" s="172">
        <f t="shared" si="54"/>
        <v>118.75402645742166</v>
      </c>
      <c r="CS24" s="172">
        <f t="shared" si="115"/>
        <v>13.299999999999999</v>
      </c>
      <c r="CT24" s="217">
        <f t="shared" si="55"/>
        <v>4.2412152306222017</v>
      </c>
      <c r="CU24" s="217">
        <f t="shared" si="56"/>
        <v>28</v>
      </c>
      <c r="CV24" s="217">
        <f t="shared" si="57"/>
        <v>4.1962174940898347</v>
      </c>
      <c r="CW24" s="172">
        <f t="shared" si="58"/>
        <v>463.25222621172367</v>
      </c>
      <c r="CX24" s="172">
        <f t="shared" si="59"/>
        <v>28</v>
      </c>
      <c r="CY24" s="217">
        <f t="shared" si="60"/>
        <v>1.8866197183098592</v>
      </c>
      <c r="CZ24" s="217">
        <f t="shared" si="61"/>
        <v>0.31668259557344064</v>
      </c>
      <c r="DA24" s="217">
        <f t="shared" si="62"/>
        <v>0.31222227732592739</v>
      </c>
      <c r="DB24" s="197">
        <f t="shared" si="63"/>
        <v>350</v>
      </c>
      <c r="DC24" s="443">
        <f t="shared" si="116"/>
        <v>350</v>
      </c>
      <c r="DE24" s="217">
        <f t="shared" si="64"/>
        <v>8.5709974347366842</v>
      </c>
      <c r="DF24" s="173">
        <f t="shared" si="65"/>
        <v>1.418439716312057</v>
      </c>
      <c r="DG24" s="173">
        <f t="shared" si="66"/>
        <v>2.1275525547218721</v>
      </c>
      <c r="DH24" s="173"/>
      <c r="DI24" s="173">
        <f t="shared" si="67"/>
        <v>0.55164319248826299</v>
      </c>
      <c r="DJ24" s="545">
        <f t="shared" si="117"/>
        <v>516.63829787234033</v>
      </c>
      <c r="DK24" s="528">
        <f t="shared" si="68"/>
        <v>0.3217918622848201</v>
      </c>
      <c r="DM24" s="173">
        <f t="shared" si="69"/>
        <v>4.0498414543622721</v>
      </c>
      <c r="DN24" s="173">
        <f t="shared" si="70"/>
        <v>4.0498414543622721</v>
      </c>
      <c r="DO24" s="173">
        <f t="shared" si="71"/>
        <v>1.7307467563177323</v>
      </c>
      <c r="DQ24" s="545">
        <f t="shared" si="72"/>
        <v>475</v>
      </c>
      <c r="DR24" s="460">
        <f t="shared" si="73"/>
        <v>350</v>
      </c>
      <c r="DT24">
        <f t="shared" si="74"/>
        <v>475</v>
      </c>
      <c r="DU24" s="460">
        <f t="shared" si="75"/>
        <v>350</v>
      </c>
      <c r="DV24" s="460"/>
      <c r="DW24" s="5">
        <f t="shared" si="118"/>
        <v>2.8571428571428572</v>
      </c>
      <c r="DX24" s="5">
        <f t="shared" si="76"/>
        <v>0.67979481555366694</v>
      </c>
      <c r="DY24" s="5">
        <f t="shared" si="119"/>
        <v>2.1773480415891902</v>
      </c>
      <c r="DZ24" s="5">
        <f t="shared" si="77"/>
        <v>0.67022024068671393</v>
      </c>
      <c r="EA24" s="173">
        <f t="shared" si="120"/>
        <v>0.23792818544378341</v>
      </c>
      <c r="EB24" s="173">
        <f t="shared" si="78"/>
        <v>13.489999999999998</v>
      </c>
      <c r="EC24" s="173">
        <f t="shared" si="79"/>
        <v>1.543135012895422</v>
      </c>
      <c r="ED24" s="173">
        <f t="shared" si="121"/>
        <v>8.7419440860773303</v>
      </c>
      <c r="EE24" s="460">
        <f t="shared" si="80"/>
        <v>1.1532233478142564</v>
      </c>
      <c r="EF24" s="5">
        <f t="shared" si="81"/>
        <v>0.73874308553918944</v>
      </c>
      <c r="EG24" s="5"/>
      <c r="EH24" s="173">
        <f t="shared" si="122"/>
        <v>1.1405132639397701</v>
      </c>
      <c r="EI24" s="173">
        <f t="shared" si="82"/>
        <v>2.0411519859957741</v>
      </c>
      <c r="EJ24" s="173"/>
      <c r="EK24" s="528">
        <f t="shared" si="83"/>
        <v>1.5609246062670574E-2</v>
      </c>
      <c r="EL24" s="528">
        <f t="shared" si="84"/>
        <v>1.518933535873114</v>
      </c>
      <c r="EM24" s="528">
        <f t="shared" si="85"/>
        <v>4.0250000000000001E-2</v>
      </c>
      <c r="EN24" s="528">
        <f t="shared" si="86"/>
        <v>0.54831797999999998</v>
      </c>
      <c r="EO24">
        <f t="shared" si="87"/>
        <v>1.26E-2</v>
      </c>
      <c r="EP24" s="460">
        <f t="shared" si="123"/>
        <v>52.85</v>
      </c>
      <c r="EQ24" s="528">
        <f t="shared" si="88"/>
        <v>2.1478912648453803</v>
      </c>
      <c r="ER24" s="460">
        <f t="shared" si="124"/>
        <v>2147.8912648453802</v>
      </c>
      <c r="ES24" s="528">
        <f t="shared" si="125"/>
        <v>0.31853499999999996</v>
      </c>
      <c r="ET24" s="528"/>
      <c r="EV24" s="460">
        <f t="shared" si="126"/>
        <v>318.53499999999997</v>
      </c>
      <c r="EW24" s="528">
        <f t="shared" si="89"/>
        <v>1.8210787073115669E-2</v>
      </c>
      <c r="EX24" s="528">
        <f t="shared" si="90"/>
        <v>5.8328220019082895E-2</v>
      </c>
      <c r="EY24" s="528">
        <f t="shared" si="91"/>
        <v>3.7821188234451872</v>
      </c>
      <c r="EZ24" s="528">
        <f t="shared" si="92"/>
        <v>3.9009129525709438</v>
      </c>
      <c r="FA24" s="528">
        <f t="shared" si="93"/>
        <v>0.57404255319148934</v>
      </c>
      <c r="FB24" s="460">
        <f t="shared" si="127"/>
        <v>4474.9555057624329</v>
      </c>
      <c r="FC24" s="173">
        <f t="shared" si="128"/>
        <v>6.9413817706078138</v>
      </c>
      <c r="FD24" s="5">
        <f t="shared" si="129"/>
        <v>13.299999999999999</v>
      </c>
      <c r="FE24" s="173">
        <f t="shared" si="130"/>
        <v>0.65706976681368245</v>
      </c>
      <c r="FF24" s="5">
        <f t="shared" si="131"/>
        <v>65.706976681368246</v>
      </c>
      <c r="FI24" s="562">
        <f t="shared" si="94"/>
        <v>-50</v>
      </c>
      <c r="FJ24">
        <f t="shared" si="95"/>
        <v>-50</v>
      </c>
      <c r="FL24">
        <f t="shared" si="96"/>
        <v>0.23457708424034993</v>
      </c>
    </row>
    <row r="25" spans="5:168">
      <c r="E25" s="170">
        <v>20</v>
      </c>
      <c r="F25" s="217">
        <f t="shared" si="97"/>
        <v>0.5</v>
      </c>
      <c r="G25" s="217"/>
      <c r="H25" s="217">
        <f t="shared" si="0"/>
        <v>14</v>
      </c>
      <c r="I25" s="541">
        <f t="shared" si="1"/>
        <v>27.946366095194541</v>
      </c>
      <c r="J25" s="172">
        <f t="shared" si="2"/>
        <v>28.428879794895245</v>
      </c>
      <c r="K25" s="172">
        <f t="shared" si="3"/>
        <v>56.428879794895245</v>
      </c>
      <c r="L25" s="443"/>
      <c r="M25" s="217">
        <f t="shared" si="4"/>
        <v>0.50428128946271844</v>
      </c>
      <c r="N25" s="172">
        <f t="shared" si="5"/>
        <v>118.69960532030343</v>
      </c>
      <c r="O25" s="172">
        <f t="shared" si="98"/>
        <v>14</v>
      </c>
      <c r="P25" s="217">
        <f t="shared" si="6"/>
        <v>4.2392716185822659</v>
      </c>
      <c r="Q25" s="217">
        <f t="shared" si="7"/>
        <v>28</v>
      </c>
      <c r="R25" s="217">
        <f t="shared" si="8"/>
        <v>4.1942945030600889</v>
      </c>
      <c r="S25" s="172">
        <f t="shared" si="9"/>
        <v>437.85190928351903</v>
      </c>
      <c r="T25" s="172">
        <f t="shared" si="10"/>
        <v>28</v>
      </c>
      <c r="U25" s="217">
        <f t="shared" si="99"/>
        <v>2.0172730597885975</v>
      </c>
      <c r="V25" s="217">
        <f t="shared" si="11"/>
        <v>0.33926355035607741</v>
      </c>
      <c r="W25" s="217">
        <f t="shared" si="12"/>
        <v>0.33350534559961348</v>
      </c>
      <c r="X25" s="197">
        <f t="shared" si="13"/>
        <v>350</v>
      </c>
      <c r="Y25" s="443">
        <f t="shared" si="14"/>
        <v>350</v>
      </c>
      <c r="AA25" s="217">
        <f t="shared" si="15"/>
        <v>8.5670389168248704</v>
      </c>
      <c r="AB25" s="173">
        <f t="shared" si="16"/>
        <v>1.4163443371520739</v>
      </c>
      <c r="AC25" s="173">
        <f t="shared" si="17"/>
        <v>2.1234284848011096</v>
      </c>
      <c r="AD25" s="173"/>
      <c r="AE25" s="173">
        <f t="shared" si="18"/>
        <v>0.5510827995931028</v>
      </c>
      <c r="AF25" s="545">
        <f t="shared" si="100"/>
        <v>544.38280458310044</v>
      </c>
      <c r="AG25" s="528">
        <f t="shared" si="19"/>
        <v>0.32146496642931</v>
      </c>
      <c r="AI25" s="173">
        <f t="shared" si="20"/>
        <v>4.1571617476697851</v>
      </c>
      <c r="AJ25" s="173">
        <f t="shared" si="21"/>
        <v>4.1571617476697851</v>
      </c>
      <c r="AK25" s="173">
        <f t="shared" si="22"/>
        <v>1.8102432698788529</v>
      </c>
      <c r="AM25" s="545">
        <f t="shared" si="23"/>
        <v>500</v>
      </c>
      <c r="AN25" s="460">
        <f t="shared" si="24"/>
        <v>350</v>
      </c>
      <c r="AP25">
        <f t="shared" si="25"/>
        <v>500</v>
      </c>
      <c r="AQ25" s="460">
        <f t="shared" si="26"/>
        <v>350</v>
      </c>
      <c r="AR25" s="460"/>
      <c r="AS25" s="5">
        <f t="shared" si="101"/>
        <v>2.8571428571428572</v>
      </c>
      <c r="AT25" s="5">
        <f t="shared" si="27"/>
        <v>0.6991485099527025</v>
      </c>
      <c r="AU25" s="5">
        <f t="shared" si="102"/>
        <v>2.1579943471901548</v>
      </c>
      <c r="AV25" s="5">
        <f t="shared" si="28"/>
        <v>0.68728210028016645</v>
      </c>
      <c r="AW25" s="173">
        <f t="shared" si="103"/>
        <v>0.24470197848344588</v>
      </c>
      <c r="AX25" s="173">
        <f t="shared" si="29"/>
        <v>14.214439897447621</v>
      </c>
      <c r="AY25" s="173">
        <f t="shared" si="30"/>
        <v>1.5699480215696446</v>
      </c>
      <c r="AZ25" s="173">
        <f t="shared" si="104"/>
        <v>9.0540831302401514</v>
      </c>
      <c r="BA25" s="460">
        <f t="shared" si="31"/>
        <v>1.2484794820583973</v>
      </c>
      <c r="BB25" s="5">
        <f t="shared" si="32"/>
        <v>0.77219139684899074</v>
      </c>
      <c r="BC25" s="5"/>
      <c r="BD25" s="173">
        <f t="shared" si="105"/>
        <v>1.1872851488571918</v>
      </c>
      <c r="BE25" s="173">
        <f t="shared" si="33"/>
        <v>2.0859095316111205</v>
      </c>
      <c r="BF25" s="173"/>
      <c r="BG25" s="528">
        <f t="shared" si="34"/>
        <v>1.6915752296362128E-2</v>
      </c>
      <c r="BH25" s="528">
        <f t="shared" si="35"/>
        <v>1.4984051757452075</v>
      </c>
      <c r="BI25" s="528">
        <f t="shared" si="36"/>
        <v>4.0250000000000001E-2</v>
      </c>
      <c r="BJ25" s="528">
        <f t="shared" si="37"/>
        <v>0.54887965961204876</v>
      </c>
      <c r="BK25">
        <f t="shared" si="38"/>
        <v>1.2575864742837544E-2</v>
      </c>
      <c r="BL25" s="460">
        <f t="shared" si="106"/>
        <v>52.825864742837538</v>
      </c>
      <c r="BM25" s="528">
        <f t="shared" si="39"/>
        <v>2.0771161501650188</v>
      </c>
      <c r="BN25" s="460">
        <f t="shared" si="107"/>
        <v>2077.116150165019</v>
      </c>
      <c r="BO25" s="528">
        <f t="shared" si="108"/>
        <v>0.33529999999999999</v>
      </c>
      <c r="BP25" s="528"/>
      <c r="BR25" s="460">
        <f t="shared" si="109"/>
        <v>335.3</v>
      </c>
      <c r="BS25" s="528">
        <f t="shared" si="40"/>
        <v>1.9735044345755817E-2</v>
      </c>
      <c r="BT25" s="528">
        <f t="shared" si="41"/>
        <v>6.0914260036925738E-2</v>
      </c>
      <c r="BU25" s="528">
        <f t="shared" si="42"/>
        <v>4.0376848781424011</v>
      </c>
      <c r="BV25" s="528">
        <f t="shared" si="43"/>
        <v>4.1645595218567681</v>
      </c>
      <c r="BW25" s="528">
        <f t="shared" si="44"/>
        <v>0.60486978287011162</v>
      </c>
      <c r="BX25" s="460">
        <f t="shared" si="110"/>
        <v>4769.4293047268802</v>
      </c>
      <c r="BY25" s="173">
        <f t="shared" si="45"/>
        <v>7.2346713196347361</v>
      </c>
      <c r="BZ25" s="5">
        <f t="shared" si="111"/>
        <v>14</v>
      </c>
      <c r="CA25" s="173">
        <f t="shared" si="112"/>
        <v>0.65929911460672508</v>
      </c>
      <c r="CB25" s="5">
        <f t="shared" si="113"/>
        <v>65.929911460672514</v>
      </c>
      <c r="CE25" s="562">
        <f t="shared" si="46"/>
        <v>-50</v>
      </c>
      <c r="CF25">
        <f t="shared" si="47"/>
        <v>-50</v>
      </c>
      <c r="CG25" s="173">
        <f t="shared" si="48"/>
        <v>0.24238399287081647</v>
      </c>
      <c r="CI25" s="170">
        <v>20</v>
      </c>
      <c r="CJ25" s="217">
        <f t="shared" si="114"/>
        <v>0.5</v>
      </c>
      <c r="CK25" s="217"/>
      <c r="CL25" s="217">
        <f t="shared" si="49"/>
        <v>14</v>
      </c>
      <c r="CM25" s="541">
        <f t="shared" si="50"/>
        <v>28</v>
      </c>
      <c r="CN25" s="172">
        <f t="shared" si="51"/>
        <v>28.4</v>
      </c>
      <c r="CO25" s="443">
        <f t="shared" si="52"/>
        <v>56.4</v>
      </c>
      <c r="CP25" s="443"/>
      <c r="CQ25" s="217">
        <f t="shared" si="53"/>
        <v>0.50354609929078009</v>
      </c>
      <c r="CR25" s="172">
        <f t="shared" si="54"/>
        <v>118.75402645742166</v>
      </c>
      <c r="CS25" s="172">
        <f t="shared" si="115"/>
        <v>14</v>
      </c>
      <c r="CT25" s="217">
        <f t="shared" si="55"/>
        <v>4.2412152306222017</v>
      </c>
      <c r="CU25" s="217">
        <f t="shared" si="56"/>
        <v>28</v>
      </c>
      <c r="CV25" s="217">
        <f t="shared" si="57"/>
        <v>4.1962174940898347</v>
      </c>
      <c r="CW25" s="172">
        <f t="shared" si="58"/>
        <v>438.69217383957317</v>
      </c>
      <c r="CX25" s="172">
        <f t="shared" si="59"/>
        <v>28</v>
      </c>
      <c r="CY25" s="217">
        <f t="shared" si="60"/>
        <v>1.9859154929577467</v>
      </c>
      <c r="CZ25" s="217">
        <f t="shared" si="61"/>
        <v>0.33335010060362175</v>
      </c>
      <c r="DA25" s="217">
        <f t="shared" si="62"/>
        <v>0.32865502876413416</v>
      </c>
      <c r="DB25" s="197">
        <f t="shared" si="63"/>
        <v>350</v>
      </c>
      <c r="DC25" s="443">
        <f t="shared" si="116"/>
        <v>350</v>
      </c>
      <c r="DE25" s="217">
        <f t="shared" si="64"/>
        <v>8.5709974347366842</v>
      </c>
      <c r="DF25" s="173">
        <f t="shared" si="65"/>
        <v>1.418439716312057</v>
      </c>
      <c r="DG25" s="173">
        <f t="shared" si="66"/>
        <v>2.1275525547218721</v>
      </c>
      <c r="DH25" s="173"/>
      <c r="DI25" s="173">
        <f t="shared" si="67"/>
        <v>0.55164319248826299</v>
      </c>
      <c r="DJ25" s="545">
        <f t="shared" si="117"/>
        <v>543.82978723404256</v>
      </c>
      <c r="DK25" s="528">
        <f t="shared" si="68"/>
        <v>0.3217918622848201</v>
      </c>
      <c r="DM25" s="173">
        <f t="shared" si="69"/>
        <v>4.1550496615527477</v>
      </c>
      <c r="DN25" s="173">
        <f t="shared" si="70"/>
        <v>4.1550496615527477</v>
      </c>
      <c r="DO25" s="173">
        <f t="shared" si="71"/>
        <v>1.8086787616440105</v>
      </c>
      <c r="DQ25" s="545">
        <f t="shared" si="72"/>
        <v>500</v>
      </c>
      <c r="DR25" s="460">
        <f t="shared" si="73"/>
        <v>350</v>
      </c>
      <c r="DT25">
        <f t="shared" si="74"/>
        <v>500</v>
      </c>
      <c r="DU25" s="460">
        <f t="shared" si="75"/>
        <v>350</v>
      </c>
      <c r="DV25" s="460"/>
      <c r="DW25" s="5">
        <f t="shared" si="118"/>
        <v>2.8571428571428572</v>
      </c>
      <c r="DX25" s="5">
        <f t="shared" si="76"/>
        <v>0.69745476461778266</v>
      </c>
      <c r="DY25" s="5">
        <f t="shared" si="119"/>
        <v>2.1596880925250748</v>
      </c>
      <c r="DZ25" s="5">
        <f t="shared" si="77"/>
        <v>0.68763145807387027</v>
      </c>
      <c r="EA25" s="173">
        <f t="shared" si="120"/>
        <v>0.24410916761622392</v>
      </c>
      <c r="EB25" s="173">
        <f t="shared" si="78"/>
        <v>14.2</v>
      </c>
      <c r="EC25" s="173">
        <f t="shared" si="79"/>
        <v>1.5703819736335167</v>
      </c>
      <c r="ED25" s="173">
        <f t="shared" si="121"/>
        <v>9.0423860171702923</v>
      </c>
      <c r="EE25" s="460">
        <f t="shared" si="80"/>
        <v>1.245454936817469</v>
      </c>
      <c r="EF25" s="5">
        <f t="shared" si="81"/>
        <v>0.77131717590181237</v>
      </c>
      <c r="EG25" s="5"/>
      <c r="EH25" s="173">
        <f t="shared" si="122"/>
        <v>1.1852436477873292</v>
      </c>
      <c r="EI25" s="173">
        <f t="shared" si="82"/>
        <v>2.0856677728494981</v>
      </c>
      <c r="EJ25" s="173"/>
      <c r="EK25" s="528">
        <f t="shared" si="83"/>
        <v>1.6857630055442573E-2</v>
      </c>
      <c r="EL25" s="528">
        <f t="shared" si="84"/>
        <v>1.5583929260619738</v>
      </c>
      <c r="EM25" s="528">
        <f t="shared" si="85"/>
        <v>4.0250000000000001E-2</v>
      </c>
      <c r="EN25" s="528">
        <f t="shared" si="86"/>
        <v>0.54831797999999998</v>
      </c>
      <c r="EO25">
        <f t="shared" si="87"/>
        <v>1.26E-2</v>
      </c>
      <c r="EP25" s="460">
        <f t="shared" si="123"/>
        <v>52.85</v>
      </c>
      <c r="EQ25" s="528">
        <f t="shared" si="88"/>
        <v>2.1897408247926027</v>
      </c>
      <c r="ER25" s="460">
        <f t="shared" si="124"/>
        <v>2189.7408247926028</v>
      </c>
      <c r="ES25" s="528">
        <f t="shared" si="125"/>
        <v>0.33529999999999999</v>
      </c>
      <c r="ET25" s="528"/>
      <c r="EV25" s="460">
        <f t="shared" si="126"/>
        <v>335.3</v>
      </c>
      <c r="EW25" s="528">
        <f t="shared" si="89"/>
        <v>1.9667235064683E-2</v>
      </c>
      <c r="EX25" s="528">
        <f t="shared" si="90"/>
        <v>6.0900140821841801E-2</v>
      </c>
      <c r="EY25" s="528">
        <f t="shared" si="91"/>
        <v>4.032558370297159</v>
      </c>
      <c r="EZ25" s="528">
        <f t="shared" si="92"/>
        <v>4.159270034177017</v>
      </c>
      <c r="FA25" s="528">
        <f t="shared" si="93"/>
        <v>0.60425531914893615</v>
      </c>
      <c r="FB25" s="460">
        <f t="shared" si="127"/>
        <v>4763.5253533259529</v>
      </c>
      <c r="FC25" s="173">
        <f t="shared" si="128"/>
        <v>7.2885661781185558</v>
      </c>
      <c r="FD25" s="5">
        <f t="shared" si="129"/>
        <v>14</v>
      </c>
      <c r="FE25" s="173">
        <f t="shared" si="130"/>
        <v>0.65763001053541559</v>
      </c>
      <c r="FF25" s="5">
        <f t="shared" si="131"/>
        <v>65.763001053541558</v>
      </c>
      <c r="FI25" s="562">
        <f t="shared" si="94"/>
        <v>-50</v>
      </c>
      <c r="FJ25">
        <f t="shared" si="95"/>
        <v>-50</v>
      </c>
      <c r="FL25">
        <f t="shared" si="96"/>
        <v>0.24067101032585458</v>
      </c>
    </row>
    <row r="26" spans="5:168">
      <c r="E26" s="170">
        <v>21</v>
      </c>
      <c r="F26" s="217">
        <f t="shared" si="97"/>
        <v>0.52500000000000002</v>
      </c>
      <c r="G26" s="217"/>
      <c r="H26" s="217">
        <f t="shared" si="0"/>
        <v>14.700000000000001</v>
      </c>
      <c r="I26" s="541">
        <f t="shared" si="1"/>
        <v>27.945041601807233</v>
      </c>
      <c r="J26" s="172">
        <f t="shared" si="2"/>
        <v>28.429592983642259</v>
      </c>
      <c r="K26" s="172">
        <f t="shared" si="3"/>
        <v>56.429592983642259</v>
      </c>
      <c r="L26" s="443"/>
      <c r="M26" s="217">
        <f t="shared" si="4"/>
        <v>0.50429945314145197</v>
      </c>
      <c r="N26" s="172">
        <f t="shared" si="5"/>
        <v>118.69825488875898</v>
      </c>
      <c r="O26" s="172">
        <f t="shared" si="98"/>
        <v>14.700000000000001</v>
      </c>
      <c r="P26" s="217">
        <f t="shared" si="6"/>
        <v>4.2392233888842492</v>
      </c>
      <c r="Q26" s="217">
        <f t="shared" si="7"/>
        <v>28</v>
      </c>
      <c r="R26" s="217">
        <f t="shared" si="8"/>
        <v>4.1942467850614618</v>
      </c>
      <c r="S26" s="172">
        <f t="shared" si="9"/>
        <v>415.65391406611639</v>
      </c>
      <c r="T26" s="172">
        <f t="shared" si="10"/>
        <v>28</v>
      </c>
      <c r="U26" s="217">
        <f t="shared" si="99"/>
        <v>2.1182143264805102</v>
      </c>
      <c r="V26" s="217">
        <f t="shared" si="11"/>
        <v>0.35625666536186362</v>
      </c>
      <c r="W26" s="217">
        <f t="shared" si="12"/>
        <v>0.35018465935079079</v>
      </c>
      <c r="X26" s="197">
        <f t="shared" si="13"/>
        <v>350</v>
      </c>
      <c r="Y26" s="443">
        <f t="shared" si="14"/>
        <v>350</v>
      </c>
      <c r="AA26" s="217">
        <f t="shared" si="15"/>
        <v>8.5669406942793582</v>
      </c>
      <c r="AB26" s="173">
        <f t="shared" si="16"/>
        <v>1.4162925683206344</v>
      </c>
      <c r="AC26" s="173">
        <f t="shared" si="17"/>
        <v>2.1233265267465078</v>
      </c>
      <c r="AD26" s="173"/>
      <c r="AE26" s="173">
        <f t="shared" si="18"/>
        <v>0.55106897505289332</v>
      </c>
      <c r="AF26" s="545">
        <f t="shared" si="100"/>
        <v>571.61628445833912</v>
      </c>
      <c r="AG26" s="528">
        <f t="shared" si="19"/>
        <v>0.32145690211418781</v>
      </c>
      <c r="AI26" s="173">
        <f t="shared" si="20"/>
        <v>4.2598766077156682</v>
      </c>
      <c r="AJ26" s="173">
        <f t="shared" si="21"/>
        <v>4.2598766077156682</v>
      </c>
      <c r="AK26" s="173">
        <f t="shared" si="22"/>
        <v>1.8863283513943219</v>
      </c>
      <c r="AM26" s="545">
        <f t="shared" si="23"/>
        <v>525</v>
      </c>
      <c r="AN26" s="460">
        <f t="shared" si="24"/>
        <v>350</v>
      </c>
      <c r="AP26">
        <f t="shared" si="25"/>
        <v>525</v>
      </c>
      <c r="AQ26" s="460">
        <f t="shared" si="26"/>
        <v>350</v>
      </c>
      <c r="AR26" s="460"/>
      <c r="AS26" s="5">
        <f t="shared" si="101"/>
        <v>2.8571428571428572</v>
      </c>
      <c r="AT26" s="5">
        <f t="shared" si="27"/>
        <v>0.71645697800531583</v>
      </c>
      <c r="AU26" s="5">
        <f t="shared" si="102"/>
        <v>2.1406858791375414</v>
      </c>
      <c r="AV26" s="5">
        <f t="shared" si="28"/>
        <v>0.70424575081970076</v>
      </c>
      <c r="AW26" s="173">
        <f t="shared" si="103"/>
        <v>0.25075994230186055</v>
      </c>
      <c r="AX26" s="173">
        <f t="shared" si="29"/>
        <v>14.925536316412188</v>
      </c>
      <c r="AY26" s="173">
        <f t="shared" si="30"/>
        <v>1.595835097675921</v>
      </c>
      <c r="AZ26" s="173">
        <f t="shared" si="104"/>
        <v>9.3528061503026532</v>
      </c>
      <c r="BA26" s="460">
        <f t="shared" si="31"/>
        <v>1.3433568337599671</v>
      </c>
      <c r="BB26" s="5">
        <f t="shared" si="32"/>
        <v>0.80433595523760326</v>
      </c>
      <c r="BC26" s="5"/>
      <c r="BD26" s="173">
        <f t="shared" si="105"/>
        <v>1.2315880680704541</v>
      </c>
      <c r="BE26" s="173">
        <f t="shared" si="33"/>
        <v>2.1288589435597189</v>
      </c>
      <c r="BF26" s="173"/>
      <c r="BG26" s="528">
        <f t="shared" si="34"/>
        <v>1.820171003296216E-2</v>
      </c>
      <c r="BH26" s="528">
        <f t="shared" si="35"/>
        <v>1.5354470712680028</v>
      </c>
      <c r="BI26" s="528">
        <f t="shared" si="36"/>
        <v>4.0250000000000001E-2</v>
      </c>
      <c r="BJ26" s="528">
        <f t="shared" si="37"/>
        <v>0.54889353397113116</v>
      </c>
      <c r="BK26">
        <f t="shared" si="38"/>
        <v>1.2575268720813255E-2</v>
      </c>
      <c r="BL26" s="460">
        <f t="shared" si="106"/>
        <v>52.825268720813256</v>
      </c>
      <c r="BM26" s="528">
        <f t="shared" si="39"/>
        <v>2.1166105382507365</v>
      </c>
      <c r="BN26" s="460">
        <f t="shared" si="107"/>
        <v>2116.6105382507367</v>
      </c>
      <c r="BO26" s="528">
        <f t="shared" si="108"/>
        <v>0.35206499999999996</v>
      </c>
      <c r="BP26" s="528"/>
      <c r="BR26" s="460">
        <f t="shared" si="109"/>
        <v>352.06499999999994</v>
      </c>
      <c r="BS26" s="528">
        <f t="shared" si="40"/>
        <v>2.1235328371789187E-2</v>
      </c>
      <c r="BT26" s="528">
        <f t="shared" si="41"/>
        <v>6.3448565622038836E-2</v>
      </c>
      <c r="BU26" s="528">
        <f t="shared" si="42"/>
        <v>4.291732686529679</v>
      </c>
      <c r="BV26" s="528">
        <f t="shared" si="43"/>
        <v>4.4267305374478241</v>
      </c>
      <c r="BW26" s="528">
        <f t="shared" si="44"/>
        <v>0.63512920495371028</v>
      </c>
      <c r="BX26" s="460">
        <f t="shared" si="110"/>
        <v>5061.8597424015343</v>
      </c>
      <c r="BY26" s="173">
        <f t="shared" si="45"/>
        <v>7.5833605493730847</v>
      </c>
      <c r="BZ26" s="5">
        <f t="shared" si="111"/>
        <v>14.700000000000001</v>
      </c>
      <c r="CA26" s="173">
        <f t="shared" si="112"/>
        <v>0.65968505815939715</v>
      </c>
      <c r="CB26" s="5">
        <f t="shared" si="113"/>
        <v>65.968505815939722</v>
      </c>
      <c r="CE26" s="562">
        <f t="shared" si="46"/>
        <v>-50</v>
      </c>
      <c r="CF26">
        <f t="shared" si="47"/>
        <v>-50</v>
      </c>
      <c r="CG26" s="173">
        <f t="shared" si="48"/>
        <v>0.24836968414039587</v>
      </c>
      <c r="CI26" s="170">
        <v>21</v>
      </c>
      <c r="CJ26" s="217">
        <f t="shared" si="114"/>
        <v>0.52500000000000002</v>
      </c>
      <c r="CK26" s="217"/>
      <c r="CL26" s="217">
        <f t="shared" si="49"/>
        <v>14.700000000000001</v>
      </c>
      <c r="CM26" s="541">
        <f t="shared" si="50"/>
        <v>28</v>
      </c>
      <c r="CN26" s="172">
        <f t="shared" si="51"/>
        <v>28.4</v>
      </c>
      <c r="CO26" s="443">
        <f t="shared" si="52"/>
        <v>56.4</v>
      </c>
      <c r="CP26" s="443"/>
      <c r="CQ26" s="217">
        <f t="shared" si="53"/>
        <v>0.50354609929078009</v>
      </c>
      <c r="CR26" s="172">
        <f t="shared" si="54"/>
        <v>118.75402645742166</v>
      </c>
      <c r="CS26" s="172">
        <f t="shared" si="115"/>
        <v>14.700000000000001</v>
      </c>
      <c r="CT26" s="217">
        <f t="shared" si="55"/>
        <v>4.2412152306222017</v>
      </c>
      <c r="CU26" s="217">
        <f t="shared" si="56"/>
        <v>28</v>
      </c>
      <c r="CV26" s="217">
        <f t="shared" si="57"/>
        <v>4.1962174940898347</v>
      </c>
      <c r="CW26" s="172">
        <f t="shared" si="58"/>
        <v>416.4713112488941</v>
      </c>
      <c r="CX26" s="172">
        <f t="shared" si="59"/>
        <v>28</v>
      </c>
      <c r="CY26" s="217">
        <f t="shared" si="60"/>
        <v>2.0852112676056342</v>
      </c>
      <c r="CZ26" s="217">
        <f t="shared" si="61"/>
        <v>0.35001760563380291</v>
      </c>
      <c r="DA26" s="217">
        <f t="shared" si="62"/>
        <v>0.34508778020234088</v>
      </c>
      <c r="DB26" s="197">
        <f t="shared" si="63"/>
        <v>350</v>
      </c>
      <c r="DC26" s="443">
        <f t="shared" si="116"/>
        <v>350</v>
      </c>
      <c r="DE26" s="217">
        <f t="shared" si="64"/>
        <v>8.5709974347366842</v>
      </c>
      <c r="DF26" s="173">
        <f t="shared" si="65"/>
        <v>1.418439716312057</v>
      </c>
      <c r="DG26" s="173">
        <f t="shared" si="66"/>
        <v>2.1275525547218721</v>
      </c>
      <c r="DH26" s="173"/>
      <c r="DI26" s="173">
        <f t="shared" si="67"/>
        <v>0.55164319248826299</v>
      </c>
      <c r="DJ26" s="545">
        <f t="shared" si="117"/>
        <v>571.02127659574467</v>
      </c>
      <c r="DK26" s="528">
        <f t="shared" si="68"/>
        <v>0.3217918622848201</v>
      </c>
      <c r="DM26" s="173">
        <f t="shared" si="69"/>
        <v>4.2576589312048103</v>
      </c>
      <c r="DN26" s="173">
        <f t="shared" si="70"/>
        <v>4.2576589312048103</v>
      </c>
      <c r="DO26" s="173">
        <f t="shared" si="71"/>
        <v>1.8846856280529458</v>
      </c>
      <c r="DQ26" s="545">
        <f t="shared" si="72"/>
        <v>525</v>
      </c>
      <c r="DR26" s="460">
        <f t="shared" si="73"/>
        <v>350</v>
      </c>
      <c r="DT26">
        <f t="shared" si="74"/>
        <v>525</v>
      </c>
      <c r="DU26" s="460">
        <f t="shared" si="75"/>
        <v>350</v>
      </c>
      <c r="DV26" s="460"/>
      <c r="DW26" s="5">
        <f t="shared" si="118"/>
        <v>2.8571428571428572</v>
      </c>
      <c r="DX26" s="5">
        <f t="shared" si="76"/>
        <v>0.71467846345223607</v>
      </c>
      <c r="DY26" s="5">
        <f t="shared" si="119"/>
        <v>2.1424643936906209</v>
      </c>
      <c r="DZ26" s="5">
        <f t="shared" si="77"/>
        <v>0.70461256960079621</v>
      </c>
      <c r="EA26" s="173">
        <f t="shared" si="120"/>
        <v>0.25013746220828259</v>
      </c>
      <c r="EB26" s="173">
        <f t="shared" si="78"/>
        <v>14.910000000000002</v>
      </c>
      <c r="EC26" s="173">
        <f t="shared" si="79"/>
        <v>1.5963294656024052</v>
      </c>
      <c r="ED26" s="173">
        <f t="shared" si="121"/>
        <v>9.3401771509451095</v>
      </c>
      <c r="EE26" s="460">
        <f t="shared" si="80"/>
        <v>1.3400221189729427</v>
      </c>
      <c r="EF26" s="5">
        <f t="shared" si="81"/>
        <v>0.80342414763398273</v>
      </c>
      <c r="EG26" s="5"/>
      <c r="EH26" s="173">
        <f t="shared" si="122"/>
        <v>1.2294181227628409</v>
      </c>
      <c r="EI26" s="173">
        <f t="shared" si="82"/>
        <v>2.1286343675961952</v>
      </c>
      <c r="EJ26" s="173"/>
      <c r="EK26" s="528">
        <f t="shared" si="83"/>
        <v>1.8137627046932493E-2</v>
      </c>
      <c r="EL26" s="528">
        <f t="shared" si="84"/>
        <v>1.5968775587376762</v>
      </c>
      <c r="EM26" s="528">
        <f t="shared" si="85"/>
        <v>4.0250000000000001E-2</v>
      </c>
      <c r="EN26" s="528">
        <f t="shared" si="86"/>
        <v>0.54831797999999998</v>
      </c>
      <c r="EO26">
        <f t="shared" si="87"/>
        <v>1.26E-2</v>
      </c>
      <c r="EP26" s="460">
        <f t="shared" si="123"/>
        <v>52.85</v>
      </c>
      <c r="EQ26" s="528">
        <f t="shared" si="88"/>
        <v>2.2306934991375056</v>
      </c>
      <c r="ER26" s="460">
        <f t="shared" si="124"/>
        <v>2230.6934991375056</v>
      </c>
      <c r="ES26" s="528">
        <f t="shared" si="125"/>
        <v>0.35206499999999996</v>
      </c>
      <c r="ET26" s="528"/>
      <c r="EV26" s="460">
        <f t="shared" si="126"/>
        <v>352.06499999999994</v>
      </c>
      <c r="EW26" s="528">
        <f t="shared" si="89"/>
        <v>2.1160564888087909E-2</v>
      </c>
      <c r="EX26" s="528">
        <f t="shared" si="90"/>
        <v>6.3435179792763155E-2</v>
      </c>
      <c r="EY26" s="528">
        <f t="shared" si="91"/>
        <v>4.2861492155645431</v>
      </c>
      <c r="EZ26" s="528">
        <f t="shared" si="92"/>
        <v>4.4209675422847541</v>
      </c>
      <c r="FA26" s="528">
        <f t="shared" si="93"/>
        <v>0.63446808510638308</v>
      </c>
      <c r="FB26" s="460">
        <f t="shared" si="127"/>
        <v>5055.4356273911371</v>
      </c>
      <c r="FC26" s="173">
        <f t="shared" si="128"/>
        <v>7.638194126528643</v>
      </c>
      <c r="FD26" s="5">
        <f t="shared" si="129"/>
        <v>14.700000000000001</v>
      </c>
      <c r="FE26" s="173">
        <f t="shared" si="130"/>
        <v>0.65806572889177328</v>
      </c>
      <c r="FF26" s="5">
        <f t="shared" si="131"/>
        <v>65.806572889177332</v>
      </c>
      <c r="FI26" s="562">
        <f t="shared" si="94"/>
        <v>-50</v>
      </c>
      <c r="FJ26">
        <f t="shared" si="95"/>
        <v>-50</v>
      </c>
      <c r="FL26">
        <f t="shared" si="96"/>
        <v>0.24661439936027862</v>
      </c>
    </row>
    <row r="27" spans="5:168">
      <c r="E27" s="170">
        <v>22</v>
      </c>
      <c r="F27" s="217">
        <f t="shared" si="97"/>
        <v>0.55000000000000004</v>
      </c>
      <c r="G27" s="217"/>
      <c r="H27" s="217">
        <f t="shared" si="0"/>
        <v>15.400000000000002</v>
      </c>
      <c r="I27" s="541">
        <f t="shared" si="1"/>
        <v>27.943748286078122</v>
      </c>
      <c r="J27" s="172">
        <f t="shared" si="2"/>
        <v>28.430289384419471</v>
      </c>
      <c r="K27" s="172">
        <f t="shared" si="3"/>
        <v>56.430289384419467</v>
      </c>
      <c r="L27" s="443"/>
      <c r="M27" s="217">
        <f t="shared" si="4"/>
        <v>0.50431718963671779</v>
      </c>
      <c r="N27" s="172">
        <f t="shared" si="5"/>
        <v>118.69693594309852</v>
      </c>
      <c r="O27" s="172">
        <f t="shared" si="98"/>
        <v>15.400000000000002</v>
      </c>
      <c r="P27" s="217">
        <f t="shared" si="6"/>
        <v>4.2391762836820899</v>
      </c>
      <c r="Q27" s="217">
        <f t="shared" si="7"/>
        <v>28</v>
      </c>
      <c r="R27" s="217">
        <f t="shared" si="8"/>
        <v>4.1942001796282051</v>
      </c>
      <c r="S27" s="172">
        <f t="shared" si="9"/>
        <v>395.47461220912641</v>
      </c>
      <c r="T27" s="172">
        <f t="shared" si="10"/>
        <v>28</v>
      </c>
      <c r="U27" s="217">
        <f t="shared" si="99"/>
        <v>2.2191610784199245</v>
      </c>
      <c r="V27" s="217">
        <f t="shared" si="11"/>
        <v>0.37325189741170167</v>
      </c>
      <c r="W27" s="217">
        <f t="shared" si="12"/>
        <v>0.36686425971765119</v>
      </c>
      <c r="X27" s="197">
        <f t="shared" si="13"/>
        <v>350</v>
      </c>
      <c r="Y27" s="443">
        <f t="shared" si="14"/>
        <v>350</v>
      </c>
      <c r="AA27" s="217">
        <f t="shared" si="15"/>
        <v>8.5668447621104722</v>
      </c>
      <c r="AB27" s="173">
        <f t="shared" si="16"/>
        <v>1.4162420170082763</v>
      </c>
      <c r="AC27" s="173">
        <f t="shared" si="17"/>
        <v>2.1232269634254215</v>
      </c>
      <c r="AD27" s="173"/>
      <c r="AE27" s="173">
        <f t="shared" si="18"/>
        <v>0.55105547660209198</v>
      </c>
      <c r="AF27" s="545">
        <f t="shared" si="100"/>
        <v>598.85077639521865</v>
      </c>
      <c r="AG27" s="528">
        <f t="shared" si="19"/>
        <v>0.32144902801788694</v>
      </c>
      <c r="AI27" s="173">
        <f t="shared" si="20"/>
        <v>4.3601761155460643</v>
      </c>
      <c r="AJ27" s="173">
        <f t="shared" si="21"/>
        <v>4.3601761155460643</v>
      </c>
      <c r="AK27" s="173">
        <f t="shared" si="22"/>
        <v>1.9606242831205414</v>
      </c>
      <c r="AM27" s="545">
        <f t="shared" si="23"/>
        <v>550</v>
      </c>
      <c r="AN27" s="460">
        <f t="shared" si="24"/>
        <v>350</v>
      </c>
      <c r="AP27">
        <f t="shared" si="25"/>
        <v>550</v>
      </c>
      <c r="AQ27" s="460">
        <f t="shared" si="26"/>
        <v>350</v>
      </c>
      <c r="AR27" s="460"/>
      <c r="AS27" s="5">
        <f t="shared" si="101"/>
        <v>2.8571428571428572</v>
      </c>
      <c r="AT27" s="5">
        <f t="shared" si="27"/>
        <v>0.73336001789266947</v>
      </c>
      <c r="AU27" s="5">
        <f t="shared" si="102"/>
        <v>2.1237828392501878</v>
      </c>
      <c r="AV27" s="5">
        <f t="shared" si="28"/>
        <v>0.72080967822638831</v>
      </c>
      <c r="AW27" s="173">
        <f t="shared" si="103"/>
        <v>0.25667600626243431</v>
      </c>
      <c r="AX27" s="173">
        <f t="shared" si="29"/>
        <v>15.636659161430707</v>
      </c>
      <c r="AY27" s="173">
        <f t="shared" si="30"/>
        <v>1.6205117618034233</v>
      </c>
      <c r="AZ27" s="173">
        <f t="shared" si="104"/>
        <v>9.6492105333620639</v>
      </c>
      <c r="BA27" s="460">
        <f t="shared" si="31"/>
        <v>1.4405286065748866</v>
      </c>
      <c r="BB27" s="5">
        <f t="shared" si="32"/>
        <v>0.8360228195796866</v>
      </c>
      <c r="BC27" s="5"/>
      <c r="BD27" s="173">
        <f t="shared" si="105"/>
        <v>1.2753695413519499</v>
      </c>
      <c r="BE27" s="173">
        <f t="shared" si="33"/>
        <v>2.1703635146793205</v>
      </c>
      <c r="BF27" s="173"/>
      <c r="BG27" s="528">
        <f t="shared" si="34"/>
        <v>1.9518809604099397E-2</v>
      </c>
      <c r="BH27" s="528">
        <f t="shared" si="35"/>
        <v>1.5716188247911185</v>
      </c>
      <c r="BI27" s="528">
        <f t="shared" si="36"/>
        <v>4.0250000000000001E-2</v>
      </c>
      <c r="BJ27" s="528">
        <f t="shared" si="37"/>
        <v>0.54890708190660731</v>
      </c>
      <c r="BK27">
        <f t="shared" si="38"/>
        <v>1.2574686728735155E-2</v>
      </c>
      <c r="BL27" s="460">
        <f t="shared" si="106"/>
        <v>52.824686728735159</v>
      </c>
      <c r="BM27" s="528">
        <f t="shared" si="39"/>
        <v>2.1553104115248556</v>
      </c>
      <c r="BN27" s="460">
        <f t="shared" si="107"/>
        <v>2155.3104115248557</v>
      </c>
      <c r="BO27" s="528">
        <f t="shared" si="108"/>
        <v>0.36882999999999999</v>
      </c>
      <c r="BP27" s="528"/>
      <c r="BR27" s="460">
        <f t="shared" si="109"/>
        <v>368.83</v>
      </c>
      <c r="BS27" s="528">
        <f t="shared" si="40"/>
        <v>2.2771944538115964E-2</v>
      </c>
      <c r="BT27" s="528">
        <f t="shared" si="41"/>
        <v>6.5946689001916428E-2</v>
      </c>
      <c r="BU27" s="528">
        <f t="shared" si="42"/>
        <v>4.5488351069702144</v>
      </c>
      <c r="BV27" s="528">
        <f t="shared" si="43"/>
        <v>4.6921486942011486</v>
      </c>
      <c r="BW27" s="528">
        <f t="shared" si="44"/>
        <v>0.66538975155024294</v>
      </c>
      <c r="BX27" s="460">
        <f t="shared" si="110"/>
        <v>5357.538445751391</v>
      </c>
      <c r="BY27" s="173">
        <f>SUM(BM27,BO27:BQ27,BV27, BW27)+BK27+BI27</f>
        <v>7.9345035440049818</v>
      </c>
      <c r="BZ27" s="5">
        <f t="shared" si="111"/>
        <v>15.400000000000002</v>
      </c>
      <c r="CA27" s="173">
        <f t="shared" si="112"/>
        <v>0.65996690141524406</v>
      </c>
      <c r="CB27" s="5">
        <f t="shared" si="113"/>
        <v>65.996690141524411</v>
      </c>
      <c r="CE27" s="562">
        <f t="shared" si="46"/>
        <v>-50</v>
      </c>
      <c r="CF27">
        <f t="shared" si="47"/>
        <v>-50</v>
      </c>
      <c r="CG27" s="173">
        <f t="shared" si="48"/>
        <v>0.25421447637772326</v>
      </c>
      <c r="CI27" s="170">
        <v>22</v>
      </c>
      <c r="CJ27" s="217">
        <f t="shared" si="114"/>
        <v>0.55000000000000004</v>
      </c>
      <c r="CK27" s="217"/>
      <c r="CL27" s="217">
        <f t="shared" si="49"/>
        <v>15.400000000000002</v>
      </c>
      <c r="CM27" s="541">
        <f t="shared" si="50"/>
        <v>28</v>
      </c>
      <c r="CN27" s="172">
        <f t="shared" si="51"/>
        <v>28.4</v>
      </c>
      <c r="CO27" s="443">
        <f t="shared" si="52"/>
        <v>56.4</v>
      </c>
      <c r="CP27" s="443"/>
      <c r="CQ27" s="217">
        <f t="shared" si="53"/>
        <v>0.50354609929078009</v>
      </c>
      <c r="CR27" s="172">
        <f t="shared" si="54"/>
        <v>118.75402645742166</v>
      </c>
      <c r="CS27" s="172">
        <f t="shared" si="115"/>
        <v>15.400000000000002</v>
      </c>
      <c r="CT27" s="217">
        <f t="shared" si="55"/>
        <v>4.2412152306222017</v>
      </c>
      <c r="CU27" s="217">
        <f t="shared" si="56"/>
        <v>28</v>
      </c>
      <c r="CV27" s="217">
        <f t="shared" si="57"/>
        <v>4.1962174940898347</v>
      </c>
      <c r="CW27" s="172">
        <f t="shared" si="58"/>
        <v>396.27065925234689</v>
      </c>
      <c r="CX27" s="172">
        <f t="shared" si="59"/>
        <v>28</v>
      </c>
      <c r="CY27" s="217">
        <f t="shared" si="60"/>
        <v>2.1845070422535215</v>
      </c>
      <c r="CZ27" s="217">
        <f t="shared" si="61"/>
        <v>0.36668511066398396</v>
      </c>
      <c r="DA27" s="217">
        <f t="shared" si="62"/>
        <v>0.36152053164054759</v>
      </c>
      <c r="DB27" s="197">
        <f t="shared" si="63"/>
        <v>350</v>
      </c>
      <c r="DC27" s="443">
        <f t="shared" si="116"/>
        <v>350</v>
      </c>
      <c r="DE27" s="217">
        <f t="shared" si="64"/>
        <v>8.5709974347366842</v>
      </c>
      <c r="DF27" s="173">
        <f t="shared" si="65"/>
        <v>1.418439716312057</v>
      </c>
      <c r="DG27" s="173">
        <f t="shared" si="66"/>
        <v>2.1275525547218721</v>
      </c>
      <c r="DH27" s="173"/>
      <c r="DI27" s="173">
        <f t="shared" si="67"/>
        <v>0.55164319248826299</v>
      </c>
      <c r="DJ27" s="545">
        <f t="shared" si="117"/>
        <v>598.21276595744678</v>
      </c>
      <c r="DK27" s="528">
        <f t="shared" si="68"/>
        <v>0.3217918622848201</v>
      </c>
      <c r="DM27" s="173">
        <f t="shared" si="69"/>
        <v>4.3578528496229154</v>
      </c>
      <c r="DN27" s="173">
        <f t="shared" si="70"/>
        <v>4.3578528496229154</v>
      </c>
      <c r="DO27" s="173">
        <f t="shared" si="71"/>
        <v>1.9589033453996902</v>
      </c>
      <c r="DQ27" s="545">
        <f t="shared" si="72"/>
        <v>550</v>
      </c>
      <c r="DR27" s="460">
        <f t="shared" si="73"/>
        <v>350</v>
      </c>
      <c r="DT27">
        <f t="shared" si="74"/>
        <v>550</v>
      </c>
      <c r="DU27" s="460">
        <f t="shared" si="75"/>
        <v>350</v>
      </c>
      <c r="DV27" s="460"/>
      <c r="DW27" s="5">
        <f t="shared" si="118"/>
        <v>2.8571428571428572</v>
      </c>
      <c r="DX27" s="5">
        <f t="shared" si="76"/>
        <v>0.73149672832956081</v>
      </c>
      <c r="DY27" s="5">
        <f t="shared" si="119"/>
        <v>2.1256461288132966</v>
      </c>
      <c r="DZ27" s="5">
        <f t="shared" si="77"/>
        <v>0.72119395750801774</v>
      </c>
      <c r="EA27" s="173">
        <f t="shared" si="120"/>
        <v>0.25602385491534629</v>
      </c>
      <c r="EB27" s="173">
        <f t="shared" si="78"/>
        <v>15.62</v>
      </c>
      <c r="EC27" s="173">
        <f t="shared" si="79"/>
        <v>1.6210692819543149</v>
      </c>
      <c r="ED27" s="173">
        <f t="shared" si="121"/>
        <v>9.6356153150770787</v>
      </c>
      <c r="EE27" s="460">
        <f t="shared" si="80"/>
        <v>1.4368685735044946</v>
      </c>
      <c r="EF27" s="5">
        <f t="shared" si="81"/>
        <v>0.83507526489093786</v>
      </c>
      <c r="EG27" s="5"/>
      <c r="EH27" s="173">
        <f t="shared" si="122"/>
        <v>1.2730696078592869</v>
      </c>
      <c r="EI27" s="173">
        <f t="shared" si="82"/>
        <v>2.1701584258299031</v>
      </c>
      <c r="EJ27" s="173"/>
      <c r="EK27" s="528">
        <f t="shared" si="83"/>
        <v>1.9448474717459984E-2</v>
      </c>
      <c r="EL27" s="528">
        <f t="shared" si="84"/>
        <v>1.6344562897795707</v>
      </c>
      <c r="EM27" s="528">
        <f t="shared" si="85"/>
        <v>4.0250000000000001E-2</v>
      </c>
      <c r="EN27" s="528">
        <f t="shared" si="86"/>
        <v>0.54831797999999998</v>
      </c>
      <c r="EO27">
        <f t="shared" si="87"/>
        <v>1.26E-2</v>
      </c>
      <c r="EP27" s="460">
        <f t="shared" si="123"/>
        <v>52.85</v>
      </c>
      <c r="EQ27" s="528">
        <f t="shared" si="88"/>
        <v>2.27081718257257</v>
      </c>
      <c r="ER27" s="460">
        <f t="shared" si="124"/>
        <v>2270.8171825725699</v>
      </c>
      <c r="ES27" s="528">
        <f t="shared" si="125"/>
        <v>0.36882999999999999</v>
      </c>
      <c r="ET27" s="528"/>
      <c r="EV27" s="460">
        <f t="shared" si="126"/>
        <v>368.83</v>
      </c>
      <c r="EW27" s="528">
        <f t="shared" si="89"/>
        <v>2.2689887170369981E-2</v>
      </c>
      <c r="EX27" s="528">
        <f t="shared" si="90"/>
        <v>6.5934226304807331E-2</v>
      </c>
      <c r="EY27" s="528">
        <f t="shared" si="91"/>
        <v>4.5427780519587202</v>
      </c>
      <c r="EZ27" s="528">
        <f t="shared" si="92"/>
        <v>4.6858946131421666</v>
      </c>
      <c r="FA27" s="528">
        <f t="shared" si="93"/>
        <v>0.6646808510638299</v>
      </c>
      <c r="FB27" s="460">
        <f t="shared" si="127"/>
        <v>5350.5754642059965</v>
      </c>
      <c r="FC27" s="173">
        <f t="shared" si="128"/>
        <v>7.990222646778566</v>
      </c>
      <c r="FD27" s="5">
        <f t="shared" si="129"/>
        <v>15.400000000000002</v>
      </c>
      <c r="FE27" s="173">
        <f t="shared" si="130"/>
        <v>0.65839475889388233</v>
      </c>
      <c r="FF27" s="5">
        <f t="shared" si="131"/>
        <v>65.83947588938824</v>
      </c>
      <c r="FI27" s="562">
        <f t="shared" si="94"/>
        <v>-50</v>
      </c>
      <c r="FJ27">
        <f t="shared" si="95"/>
        <v>-50</v>
      </c>
      <c r="FL27">
        <f t="shared" si="96"/>
        <v>0.25241788512780622</v>
      </c>
    </row>
    <row r="28" spans="5:168">
      <c r="E28" s="170">
        <v>23</v>
      </c>
      <c r="F28" s="217">
        <f t="shared" si="97"/>
        <v>0.57500000000000007</v>
      </c>
      <c r="G28" s="217"/>
      <c r="H28" s="217">
        <f t="shared" si="0"/>
        <v>16.100000000000001</v>
      </c>
      <c r="I28" s="541">
        <f t="shared" si="1"/>
        <v>27.942484044766839</v>
      </c>
      <c r="J28" s="172">
        <f t="shared" si="2"/>
        <v>28.430970129740931</v>
      </c>
      <c r="K28" s="172">
        <f t="shared" si="3"/>
        <v>56.430970129740928</v>
      </c>
      <c r="L28" s="443"/>
      <c r="M28" s="217">
        <f t="shared" si="4"/>
        <v>0.50433452776626309</v>
      </c>
      <c r="N28" s="172">
        <f t="shared" si="5"/>
        <v>118.69564635927981</v>
      </c>
      <c r="O28" s="172">
        <f t="shared" si="98"/>
        <v>16.100000000000001</v>
      </c>
      <c r="P28" s="217">
        <f t="shared" si="6"/>
        <v>4.2391302271171361</v>
      </c>
      <c r="Q28" s="217">
        <f t="shared" si="7"/>
        <v>28</v>
      </c>
      <c r="R28" s="217">
        <f t="shared" si="8"/>
        <v>4.1941546117064963</v>
      </c>
      <c r="S28" s="172">
        <f t="shared" si="9"/>
        <v>377.05066463598308</v>
      </c>
      <c r="T28" s="172">
        <f t="shared" si="10"/>
        <v>28</v>
      </c>
      <c r="U28" s="217">
        <f t="shared" si="99"/>
        <v>2.3201131900866074</v>
      </c>
      <c r="V28" s="217">
        <f t="shared" si="11"/>
        <v>0.39024919817210346</v>
      </c>
      <c r="W28" s="217">
        <f t="shared" si="12"/>
        <v>0.3835441401980193</v>
      </c>
      <c r="X28" s="197">
        <f t="shared" si="13"/>
        <v>350</v>
      </c>
      <c r="Y28" s="443">
        <f t="shared" si="14"/>
        <v>350</v>
      </c>
      <c r="AA28" s="217">
        <f t="shared" si="15"/>
        <v>8.5667509658090761</v>
      </c>
      <c r="AB28" s="173">
        <f t="shared" si="16"/>
        <v>1.4161926010813035</v>
      </c>
      <c r="AC28" s="173">
        <f t="shared" si="17"/>
        <v>2.1231296332898619</v>
      </c>
      <c r="AD28" s="173"/>
      <c r="AE28" s="173">
        <f t="shared" si="18"/>
        <v>0.55104228224270679</v>
      </c>
      <c r="AF28" s="545">
        <f t="shared" si="100"/>
        <v>626.08625711238017</v>
      </c>
      <c r="AG28" s="528">
        <f t="shared" si="19"/>
        <v>0.32144133130824565</v>
      </c>
      <c r="AI28" s="173">
        <f t="shared" si="20"/>
        <v>4.4582232104330322</v>
      </c>
      <c r="AJ28" s="173">
        <f t="shared" si="21"/>
        <v>4.4582232104330322</v>
      </c>
      <c r="AK28" s="173">
        <f t="shared" si="22"/>
        <v>2.0332517608145917</v>
      </c>
      <c r="AM28" s="545">
        <f t="shared" si="23"/>
        <v>575.00000000000011</v>
      </c>
      <c r="AN28" s="460">
        <f t="shared" si="24"/>
        <v>350</v>
      </c>
      <c r="AP28">
        <f t="shared" si="25"/>
        <v>575.00000000000011</v>
      </c>
      <c r="AQ28" s="460">
        <f t="shared" si="26"/>
        <v>350</v>
      </c>
      <c r="AR28" s="460"/>
      <c r="AS28" s="5">
        <f t="shared" si="101"/>
        <v>2.8571428571428572</v>
      </c>
      <c r="AT28" s="5">
        <f t="shared" si="27"/>
        <v>0.74988497999910353</v>
      </c>
      <c r="AU28" s="5">
        <f t="shared" si="102"/>
        <v>2.1072578771437538</v>
      </c>
      <c r="AV28" s="5">
        <f t="shared" si="28"/>
        <v>0.73700084778732755</v>
      </c>
      <c r="AW28" s="173">
        <f t="shared" si="103"/>
        <v>0.26245974299968622</v>
      </c>
      <c r="AX28" s="173">
        <f t="shared" si="29"/>
        <v>16.347807824601034</v>
      </c>
      <c r="AY28" s="173">
        <f t="shared" si="30"/>
        <v>1.6440595461937713</v>
      </c>
      <c r="AZ28" s="173">
        <f t="shared" si="104"/>
        <v>9.9435618755102304</v>
      </c>
      <c r="BA28" s="460">
        <f t="shared" si="31"/>
        <v>1.5399423696410162</v>
      </c>
      <c r="BB28" s="5">
        <f t="shared" si="32"/>
        <v>0.86726239329075294</v>
      </c>
      <c r="BC28" s="5"/>
      <c r="BD28" s="173">
        <f t="shared" si="105"/>
        <v>1.3186590837783756</v>
      </c>
      <c r="BE28" s="173">
        <f t="shared" si="33"/>
        <v>2.2105179526037286</v>
      </c>
      <c r="BF28" s="173"/>
      <c r="BG28" s="528">
        <f t="shared" si="34"/>
        <v>2.0866341350774701E-2</v>
      </c>
      <c r="BH28" s="528">
        <f t="shared" si="35"/>
        <v>1.6069791359856047</v>
      </c>
      <c r="BI28" s="528">
        <f t="shared" si="36"/>
        <v>4.0250000000000001E-2</v>
      </c>
      <c r="BJ28" s="528">
        <f t="shared" si="37"/>
        <v>0.54892032543896763</v>
      </c>
      <c r="BK28">
        <f t="shared" si="38"/>
        <v>1.2574117820145078E-2</v>
      </c>
      <c r="BL28" s="460">
        <f t="shared" si="106"/>
        <v>52.824117820145084</v>
      </c>
      <c r="BM28" s="528">
        <f t="shared" si="39"/>
        <v>2.1932736205596939</v>
      </c>
      <c r="BN28" s="460">
        <f t="shared" si="107"/>
        <v>2193.2736205596939</v>
      </c>
      <c r="BO28" s="528">
        <f t="shared" si="108"/>
        <v>0.38559500000000002</v>
      </c>
      <c r="BP28" s="528"/>
      <c r="BR28" s="460">
        <f t="shared" si="109"/>
        <v>385.59500000000003</v>
      </c>
      <c r="BS28" s="528">
        <f t="shared" si="40"/>
        <v>2.4344064909237153E-2</v>
      </c>
      <c r="BT28" s="528">
        <f t="shared" si="41"/>
        <v>6.8409454662967328E-2</v>
      </c>
      <c r="BU28" s="528">
        <f t="shared" si="42"/>
        <v>4.8088877148063851</v>
      </c>
      <c r="BV28" s="528">
        <f t="shared" si="43"/>
        <v>4.9607119585752608</v>
      </c>
      <c r="BW28" s="528">
        <f t="shared" si="44"/>
        <v>0.69565139679153343</v>
      </c>
      <c r="BX28" s="460">
        <f t="shared" si="110"/>
        <v>5656.3633553667942</v>
      </c>
      <c r="BY28" s="173">
        <f t="shared" si="45"/>
        <v>8.2880560937466328</v>
      </c>
      <c r="BZ28" s="5">
        <f t="shared" si="111"/>
        <v>16.100000000000001</v>
      </c>
      <c r="CA28" s="173">
        <f t="shared" si="112"/>
        <v>0.66015921638495079</v>
      </c>
      <c r="CB28" s="5">
        <f t="shared" si="113"/>
        <v>66.015921638495072</v>
      </c>
      <c r="CE28" s="562">
        <f t="shared" si="46"/>
        <v>-50</v>
      </c>
      <c r="CF28">
        <f t="shared" si="47"/>
        <v>-50</v>
      </c>
      <c r="CG28" s="173">
        <f t="shared" si="48"/>
        <v>0.2599278746114006</v>
      </c>
      <c r="CI28" s="170">
        <v>23</v>
      </c>
      <c r="CJ28" s="217">
        <f t="shared" si="114"/>
        <v>0.57500000000000007</v>
      </c>
      <c r="CK28" s="217"/>
      <c r="CL28" s="217">
        <f t="shared" si="49"/>
        <v>16.100000000000001</v>
      </c>
      <c r="CM28" s="541">
        <f t="shared" si="50"/>
        <v>28</v>
      </c>
      <c r="CN28" s="172">
        <f t="shared" si="51"/>
        <v>28.4</v>
      </c>
      <c r="CO28" s="443">
        <f t="shared" si="52"/>
        <v>56.4</v>
      </c>
      <c r="CP28" s="443"/>
      <c r="CQ28" s="217">
        <f t="shared" si="53"/>
        <v>0.50354609929078009</v>
      </c>
      <c r="CR28" s="172">
        <f t="shared" si="54"/>
        <v>118.75402645742166</v>
      </c>
      <c r="CS28" s="172">
        <f t="shared" si="115"/>
        <v>16.100000000000001</v>
      </c>
      <c r="CT28" s="217">
        <f t="shared" si="55"/>
        <v>4.2412152306222017</v>
      </c>
      <c r="CU28" s="217">
        <f t="shared" si="56"/>
        <v>28</v>
      </c>
      <c r="CV28" s="217">
        <f t="shared" si="57"/>
        <v>4.1962174940898347</v>
      </c>
      <c r="CW28" s="172">
        <f t="shared" si="58"/>
        <v>377.82671331857387</v>
      </c>
      <c r="CX28" s="172">
        <f t="shared" si="59"/>
        <v>28</v>
      </c>
      <c r="CY28" s="217">
        <f t="shared" si="60"/>
        <v>2.2838028169014088</v>
      </c>
      <c r="CZ28" s="217">
        <f t="shared" si="61"/>
        <v>0.38335261569416501</v>
      </c>
      <c r="DA28" s="217">
        <f t="shared" si="62"/>
        <v>0.37795328307875425</v>
      </c>
      <c r="DB28" s="197">
        <f t="shared" si="63"/>
        <v>350</v>
      </c>
      <c r="DC28" s="443">
        <f t="shared" si="116"/>
        <v>350</v>
      </c>
      <c r="DE28" s="217">
        <f t="shared" si="64"/>
        <v>8.5709974347366842</v>
      </c>
      <c r="DF28" s="173">
        <f t="shared" si="65"/>
        <v>1.418439716312057</v>
      </c>
      <c r="DG28" s="173">
        <f t="shared" si="66"/>
        <v>2.1275525547218721</v>
      </c>
      <c r="DH28" s="173"/>
      <c r="DI28" s="173">
        <f t="shared" si="67"/>
        <v>0.55164319248826299</v>
      </c>
      <c r="DJ28" s="545">
        <f t="shared" si="117"/>
        <v>625.40425531914889</v>
      </c>
      <c r="DK28" s="528">
        <f t="shared" si="68"/>
        <v>0.3217918622848201</v>
      </c>
      <c r="DM28" s="173">
        <f t="shared" si="69"/>
        <v>4.4557943560565096</v>
      </c>
      <c r="DN28" s="173">
        <f t="shared" si="70"/>
        <v>4.4557943560565096</v>
      </c>
      <c r="DO28" s="173">
        <f t="shared" si="71"/>
        <v>2.0314526094245746</v>
      </c>
      <c r="DQ28" s="545">
        <f t="shared" si="72"/>
        <v>575.00000000000011</v>
      </c>
      <c r="DR28" s="460">
        <f t="shared" si="73"/>
        <v>350</v>
      </c>
      <c r="DT28">
        <f t="shared" si="74"/>
        <v>575.00000000000011</v>
      </c>
      <c r="DU28" s="460">
        <f t="shared" si="75"/>
        <v>350</v>
      </c>
      <c r="DV28" s="460"/>
      <c r="DW28" s="5">
        <f t="shared" si="118"/>
        <v>2.8571428571428572</v>
      </c>
      <c r="DX28" s="5">
        <f t="shared" si="76"/>
        <v>0.74793690976662841</v>
      </c>
      <c r="DY28" s="5">
        <f t="shared" si="119"/>
        <v>2.1092059473762288</v>
      </c>
      <c r="DZ28" s="5">
        <f t="shared" si="77"/>
        <v>0.73740258709385897</v>
      </c>
      <c r="EA28" s="173">
        <f t="shared" si="120"/>
        <v>0.26177791841831993</v>
      </c>
      <c r="EB28" s="173">
        <f t="shared" si="78"/>
        <v>16.329999999999998</v>
      </c>
      <c r="EC28" s="173">
        <f t="shared" si="79"/>
        <v>1.6446828923139689</v>
      </c>
      <c r="ED28" s="173">
        <f t="shared" si="121"/>
        <v>9.9289656847008843</v>
      </c>
      <c r="EE28" s="460">
        <f t="shared" si="80"/>
        <v>1.5359418682707549</v>
      </c>
      <c r="EF28" s="5">
        <f t="shared" si="81"/>
        <v>0.86628101410095115</v>
      </c>
      <c r="EG28" s="5"/>
      <c r="EH28" s="173">
        <f t="shared" si="122"/>
        <v>1.3162276709488732</v>
      </c>
      <c r="EI28" s="173">
        <f t="shared" si="82"/>
        <v>2.2103346276186748</v>
      </c>
      <c r="EJ28" s="173"/>
      <c r="EK28" s="528">
        <f t="shared" si="83"/>
        <v>2.0789463381257943E-2</v>
      </c>
      <c r="EL28" s="528">
        <f t="shared" si="84"/>
        <v>1.6711902311825544</v>
      </c>
      <c r="EM28" s="528">
        <f t="shared" si="85"/>
        <v>4.0250000000000001E-2</v>
      </c>
      <c r="EN28" s="528">
        <f t="shared" si="86"/>
        <v>0.54831797999999998</v>
      </c>
      <c r="EO28">
        <f t="shared" si="87"/>
        <v>1.26E-2</v>
      </c>
      <c r="EP28" s="460">
        <f t="shared" si="123"/>
        <v>52.85</v>
      </c>
      <c r="EQ28" s="528">
        <f t="shared" si="88"/>
        <v>2.3101721014988548</v>
      </c>
      <c r="ER28" s="460">
        <f t="shared" si="124"/>
        <v>2310.1721014988548</v>
      </c>
      <c r="ES28" s="528">
        <f t="shared" si="125"/>
        <v>0.38559500000000002</v>
      </c>
      <c r="ET28" s="528"/>
      <c r="EV28" s="460">
        <f t="shared" si="126"/>
        <v>385.59500000000003</v>
      </c>
      <c r="EW28" s="528">
        <f t="shared" si="89"/>
        <v>2.4254373944800931E-2</v>
      </c>
      <c r="EX28" s="528">
        <f t="shared" si="90"/>
        <v>6.8398108324702611E-2</v>
      </c>
      <c r="EY28" s="528">
        <f t="shared" si="91"/>
        <v>4.8023406469822687</v>
      </c>
      <c r="EZ28" s="528">
        <f t="shared" si="92"/>
        <v>4.9539493815756899</v>
      </c>
      <c r="FA28" s="528">
        <f t="shared" si="93"/>
        <v>0.69489361702127661</v>
      </c>
      <c r="FB28" s="460">
        <f t="shared" si="127"/>
        <v>5648.842998596966</v>
      </c>
      <c r="FC28" s="173">
        <f t="shared" si="128"/>
        <v>8.3446101000958208</v>
      </c>
      <c r="FD28" s="5">
        <f t="shared" si="129"/>
        <v>16.100000000000001</v>
      </c>
      <c r="FE28" s="173">
        <f t="shared" si="130"/>
        <v>0.65863190020514539</v>
      </c>
      <c r="FF28" s="5">
        <f t="shared" si="131"/>
        <v>65.863190020514537</v>
      </c>
      <c r="FI28" s="562">
        <f t="shared" si="94"/>
        <v>-50</v>
      </c>
      <c r="FJ28">
        <f t="shared" si="95"/>
        <v>-50</v>
      </c>
      <c r="FL28">
        <f t="shared" si="96"/>
        <v>0.25809090548285069</v>
      </c>
    </row>
    <row r="29" spans="5:168">
      <c r="E29" s="170">
        <v>24</v>
      </c>
      <c r="F29" s="217">
        <f t="shared" si="97"/>
        <v>0.6</v>
      </c>
      <c r="G29" s="217"/>
      <c r="H29" s="217">
        <f t="shared" si="0"/>
        <v>16.8</v>
      </c>
      <c r="I29" s="541">
        <f t="shared" si="1"/>
        <v>27.941247000981932</v>
      </c>
      <c r="J29" s="172">
        <f t="shared" si="2"/>
        <v>28.431636230240496</v>
      </c>
      <c r="K29" s="172">
        <f t="shared" si="3"/>
        <v>56.4316362302405</v>
      </c>
      <c r="L29" s="443"/>
      <c r="M29" s="217">
        <f t="shared" si="4"/>
        <v>0.50435149324649353</v>
      </c>
      <c r="N29" s="172">
        <f t="shared" si="5"/>
        <v>118.69438424184821</v>
      </c>
      <c r="O29" s="172">
        <f t="shared" si="98"/>
        <v>16.8</v>
      </c>
      <c r="P29" s="217">
        <f t="shared" si="6"/>
        <v>4.2390851514945789</v>
      </c>
      <c r="Q29" s="217">
        <f t="shared" si="7"/>
        <v>28</v>
      </c>
      <c r="R29" s="217">
        <f t="shared" si="8"/>
        <v>4.1941100143197465</v>
      </c>
      <c r="S29" s="172">
        <f t="shared" si="9"/>
        <v>360.16262539844456</v>
      </c>
      <c r="T29" s="172">
        <f t="shared" si="10"/>
        <v>28</v>
      </c>
      <c r="U29" s="217">
        <f t="shared" si="99"/>
        <v>2.4210705442451341</v>
      </c>
      <c r="V29" s="217">
        <f t="shared" si="11"/>
        <v>0.4072485224998097</v>
      </c>
      <c r="W29" s="217">
        <f t="shared" si="12"/>
        <v>0.40022429471889309</v>
      </c>
      <c r="X29" s="197">
        <f t="shared" si="13"/>
        <v>350</v>
      </c>
      <c r="Y29" s="443">
        <f t="shared" si="14"/>
        <v>350</v>
      </c>
      <c r="AA29" s="217">
        <f t="shared" si="15"/>
        <v>8.5666591674941817</v>
      </c>
      <c r="AB29" s="173">
        <f t="shared" si="16"/>
        <v>1.416144247245178</v>
      </c>
      <c r="AC29" s="173">
        <f t="shared" si="17"/>
        <v>2.1230343921774839</v>
      </c>
      <c r="AD29" s="173"/>
      <c r="AE29" s="173">
        <f t="shared" si="18"/>
        <v>0.55102937234415184</v>
      </c>
      <c r="AF29" s="545">
        <f t="shared" si="100"/>
        <v>653.32270486510072</v>
      </c>
      <c r="AG29" s="528">
        <f t="shared" si="19"/>
        <v>0.3214338005340886</v>
      </c>
      <c r="AI29" s="173">
        <f t="shared" si="20"/>
        <v>4.5541632962653873</v>
      </c>
      <c r="AJ29" s="173">
        <f t="shared" si="21"/>
        <v>4.5541632962653873</v>
      </c>
      <c r="AK29" s="173">
        <f t="shared" si="22"/>
        <v>2.1043184910607806</v>
      </c>
      <c r="AM29" s="545">
        <f t="shared" si="23"/>
        <v>600</v>
      </c>
      <c r="AN29" s="460">
        <f t="shared" si="24"/>
        <v>350</v>
      </c>
      <c r="AP29">
        <f t="shared" si="25"/>
        <v>600</v>
      </c>
      <c r="AQ29" s="460">
        <f t="shared" si="26"/>
        <v>350</v>
      </c>
      <c r="AR29" s="460"/>
      <c r="AS29" s="5">
        <f t="shared" si="101"/>
        <v>2.8571428571428572</v>
      </c>
      <c r="AT29" s="5">
        <f t="shared" si="27"/>
        <v>0.7660562712786263</v>
      </c>
      <c r="AU29" s="5">
        <f t="shared" si="102"/>
        <v>2.0910865858642307</v>
      </c>
      <c r="AV29" s="5">
        <f t="shared" si="28"/>
        <v>0.7528433228081669</v>
      </c>
      <c r="AW29" s="173">
        <f t="shared" si="103"/>
        <v>0.26811969494751919</v>
      </c>
      <c r="AX29" s="173">
        <f t="shared" si="29"/>
        <v>17.058981738144297</v>
      </c>
      <c r="AY29" s="173">
        <f t="shared" si="30"/>
        <v>1.6665512112647616</v>
      </c>
      <c r="AZ29" s="173">
        <f t="shared" si="104"/>
        <v>10.236098130580741</v>
      </c>
      <c r="BA29" s="460">
        <f t="shared" si="31"/>
        <v>1.6415491527399135</v>
      </c>
      <c r="BB29" s="5">
        <f t="shared" si="32"/>
        <v>0.89806439309916741</v>
      </c>
      <c r="BC29" s="5"/>
      <c r="BD29" s="173">
        <f t="shared" si="105"/>
        <v>1.3614833349051829</v>
      </c>
      <c r="BE29" s="173">
        <f t="shared" si="33"/>
        <v>2.2494067896060361</v>
      </c>
      <c r="BF29" s="173"/>
      <c r="BG29" s="528">
        <f t="shared" si="34"/>
        <v>2.2243642454694464E-2</v>
      </c>
      <c r="BH29" s="528">
        <f t="shared" si="35"/>
        <v>1.6415803873141028</v>
      </c>
      <c r="BI29" s="528">
        <f t="shared" si="36"/>
        <v>4.0250000000000001E-2</v>
      </c>
      <c r="BJ29" s="528">
        <f t="shared" si="37"/>
        <v>0.54893328421887533</v>
      </c>
      <c r="BK29">
        <f t="shared" si="38"/>
        <v>1.2573561150441869E-2</v>
      </c>
      <c r="BL29" s="460">
        <f t="shared" si="106"/>
        <v>52.823561150441876</v>
      </c>
      <c r="BM29" s="528">
        <f t="shared" si="39"/>
        <v>2.2305517630347675</v>
      </c>
      <c r="BN29" s="460">
        <f t="shared" si="107"/>
        <v>2230.5517630347676</v>
      </c>
      <c r="BO29" s="528">
        <f t="shared" si="108"/>
        <v>0.40236</v>
      </c>
      <c r="BP29" s="528"/>
      <c r="BR29" s="460">
        <f t="shared" si="109"/>
        <v>402.36</v>
      </c>
      <c r="BS29" s="528">
        <f t="shared" si="40"/>
        <v>2.5950916197143542E-2</v>
      </c>
      <c r="BT29" s="528">
        <f t="shared" si="41"/>
        <v>7.0837632671760284E-2</v>
      </c>
      <c r="BU29" s="528">
        <f t="shared" si="42"/>
        <v>5.0717940782749134</v>
      </c>
      <c r="BV29" s="528">
        <f t="shared" si="43"/>
        <v>5.2323262198344738</v>
      </c>
      <c r="BW29" s="528">
        <f t="shared" si="44"/>
        <v>0.72591411651677873</v>
      </c>
      <c r="BX29" s="460">
        <f t="shared" si="110"/>
        <v>5958.2403363512531</v>
      </c>
      <c r="BY29" s="173">
        <f t="shared" si="45"/>
        <v>8.6439756605364604</v>
      </c>
      <c r="BZ29" s="5">
        <f t="shared" si="111"/>
        <v>16.8</v>
      </c>
      <c r="CA29" s="173">
        <f t="shared" si="112"/>
        <v>0.66027417350727768</v>
      </c>
      <c r="CB29" s="5">
        <f t="shared" si="113"/>
        <v>66.027417350727774</v>
      </c>
      <c r="CE29" s="562">
        <f t="shared" si="46"/>
        <v>-50</v>
      </c>
      <c r="CF29">
        <f t="shared" si="47"/>
        <v>-50</v>
      </c>
      <c r="CG29" s="173">
        <f t="shared" si="48"/>
        <v>0.26551836094703513</v>
      </c>
      <c r="CI29" s="170">
        <v>24</v>
      </c>
      <c r="CJ29" s="217">
        <f t="shared" si="114"/>
        <v>0.6</v>
      </c>
      <c r="CK29" s="217"/>
      <c r="CL29" s="217">
        <f t="shared" si="49"/>
        <v>16.8</v>
      </c>
      <c r="CM29" s="541">
        <f t="shared" si="50"/>
        <v>28</v>
      </c>
      <c r="CN29" s="172">
        <f t="shared" si="51"/>
        <v>28.4</v>
      </c>
      <c r="CO29" s="443">
        <f t="shared" si="52"/>
        <v>56.4</v>
      </c>
      <c r="CP29" s="443"/>
      <c r="CQ29" s="217">
        <f t="shared" si="53"/>
        <v>0.50354609929078009</v>
      </c>
      <c r="CR29" s="172">
        <f t="shared" si="54"/>
        <v>118.75402645742166</v>
      </c>
      <c r="CS29" s="172">
        <f t="shared" si="115"/>
        <v>16.8</v>
      </c>
      <c r="CT29" s="217">
        <f t="shared" si="55"/>
        <v>4.2412152306222017</v>
      </c>
      <c r="CU29" s="217">
        <f t="shared" si="56"/>
        <v>28</v>
      </c>
      <c r="CV29" s="217">
        <f t="shared" si="57"/>
        <v>4.1962174940898347</v>
      </c>
      <c r="CW29" s="172">
        <f t="shared" si="58"/>
        <v>360.91988635241927</v>
      </c>
      <c r="CX29" s="172">
        <f t="shared" si="59"/>
        <v>28</v>
      </c>
      <c r="CY29" s="217">
        <f t="shared" si="60"/>
        <v>2.3830985915492962</v>
      </c>
      <c r="CZ29" s="217">
        <f t="shared" si="61"/>
        <v>0.40002012072434617</v>
      </c>
      <c r="DA29" s="217">
        <f t="shared" si="62"/>
        <v>0.39438603451696103</v>
      </c>
      <c r="DB29" s="197">
        <f t="shared" si="63"/>
        <v>350</v>
      </c>
      <c r="DC29" s="443">
        <f t="shared" si="116"/>
        <v>350</v>
      </c>
      <c r="DE29" s="217">
        <f t="shared" si="64"/>
        <v>8.5709974347366842</v>
      </c>
      <c r="DF29" s="173">
        <f t="shared" si="65"/>
        <v>1.418439716312057</v>
      </c>
      <c r="DG29" s="173">
        <f t="shared" si="66"/>
        <v>2.1275525547218721</v>
      </c>
      <c r="DH29" s="173"/>
      <c r="DI29" s="173">
        <f t="shared" si="67"/>
        <v>0.55164319248826299</v>
      </c>
      <c r="DJ29" s="545">
        <f t="shared" si="117"/>
        <v>652.595744680851</v>
      </c>
      <c r="DK29" s="528">
        <f t="shared" si="68"/>
        <v>0.3217918622848201</v>
      </c>
      <c r="DM29" s="173">
        <f t="shared" si="69"/>
        <v>4.5516288543732921</v>
      </c>
      <c r="DN29" s="173">
        <f t="shared" si="70"/>
        <v>4.5516288543732921</v>
      </c>
      <c r="DO29" s="173">
        <f t="shared" si="71"/>
        <v>2.1024411266962657</v>
      </c>
      <c r="DQ29" s="545">
        <f t="shared" si="72"/>
        <v>600</v>
      </c>
      <c r="DR29" s="460">
        <f t="shared" si="73"/>
        <v>350</v>
      </c>
      <c r="DT29">
        <f t="shared" si="74"/>
        <v>600</v>
      </c>
      <c r="DU29" s="460">
        <f t="shared" si="75"/>
        <v>350</v>
      </c>
      <c r="DV29" s="460"/>
      <c r="DW29" s="5">
        <f t="shared" si="118"/>
        <v>2.8571428571428572</v>
      </c>
      <c r="DX29" s="5">
        <f t="shared" si="76"/>
        <v>0.76402341484123115</v>
      </c>
      <c r="DY29" s="5">
        <f t="shared" si="119"/>
        <v>2.0931194423016262</v>
      </c>
      <c r="DZ29" s="5">
        <f t="shared" si="77"/>
        <v>0.75326252167445329</v>
      </c>
      <c r="EA29" s="173">
        <f t="shared" si="120"/>
        <v>0.26740819519443088</v>
      </c>
      <c r="EB29" s="173">
        <f t="shared" si="78"/>
        <v>17.04</v>
      </c>
      <c r="EC29" s="173">
        <f t="shared" si="79"/>
        <v>1.6672429986152173</v>
      </c>
      <c r="ED29" s="173">
        <f t="shared" si="121"/>
        <v>10.220465771428113</v>
      </c>
      <c r="EE29" s="460">
        <f t="shared" si="80"/>
        <v>1.6371930318026382</v>
      </c>
      <c r="EF29" s="5">
        <f t="shared" si="81"/>
        <v>0.89705118955783969</v>
      </c>
      <c r="EG29" s="5"/>
      <c r="EH29" s="173">
        <f t="shared" si="122"/>
        <v>1.3589190003412981</v>
      </c>
      <c r="EI29" s="173">
        <f t="shared" si="82"/>
        <v>2.2492474800473268</v>
      </c>
      <c r="EJ29" s="173"/>
      <c r="EK29" s="528">
        <f t="shared" si="83"/>
        <v>2.2159930193863118E-2</v>
      </c>
      <c r="EL29" s="528">
        <f t="shared" si="84"/>
        <v>1.707133918121247</v>
      </c>
      <c r="EM29" s="528">
        <f t="shared" si="85"/>
        <v>4.0250000000000001E-2</v>
      </c>
      <c r="EN29" s="528">
        <f t="shared" si="86"/>
        <v>0.54831797999999998</v>
      </c>
      <c r="EO29">
        <f t="shared" si="87"/>
        <v>1.26E-2</v>
      </c>
      <c r="EP29" s="460">
        <f t="shared" si="123"/>
        <v>52.85</v>
      </c>
      <c r="EQ29" s="528">
        <f t="shared" si="88"/>
        <v>2.3488119728908594</v>
      </c>
      <c r="ER29" s="460">
        <f t="shared" si="124"/>
        <v>2348.8119728908596</v>
      </c>
      <c r="ES29" s="528">
        <f t="shared" si="125"/>
        <v>0.40236</v>
      </c>
      <c r="ET29" s="528"/>
      <c r="EV29" s="460">
        <f t="shared" si="126"/>
        <v>402.36</v>
      </c>
      <c r="EW29" s="528">
        <f t="shared" si="89"/>
        <v>2.5853251892840302E-2</v>
      </c>
      <c r="EX29" s="528">
        <f t="shared" si="90"/>
        <v>7.0827599170989491E-2</v>
      </c>
      <c r="EY29" s="528">
        <f t="shared" si="91"/>
        <v>5.0647407504033231</v>
      </c>
      <c r="EZ29" s="528">
        <f t="shared" si="92"/>
        <v>5.2250378945614289</v>
      </c>
      <c r="FA29" s="528">
        <f t="shared" si="93"/>
        <v>0.72510638297872354</v>
      </c>
      <c r="FB29" s="460">
        <f t="shared" si="127"/>
        <v>5950.1442775401529</v>
      </c>
      <c r="FC29" s="173">
        <f t="shared" si="128"/>
        <v>8.7013162504310113</v>
      </c>
      <c r="FD29" s="5">
        <f t="shared" si="129"/>
        <v>16.8</v>
      </c>
      <c r="FE29" s="173">
        <f t="shared" si="130"/>
        <v>0.65878952423548165</v>
      </c>
      <c r="FF29" s="5">
        <f t="shared" si="131"/>
        <v>65.878952423548171</v>
      </c>
      <c r="FI29" s="562">
        <f t="shared" si="94"/>
        <v>-50</v>
      </c>
      <c r="FJ29">
        <f t="shared" si="95"/>
        <v>-50</v>
      </c>
      <c r="FL29">
        <f t="shared" si="96"/>
        <v>0.26364188258605864</v>
      </c>
    </row>
    <row r="30" spans="5:168">
      <c r="E30" s="170">
        <v>25</v>
      </c>
      <c r="F30" s="217">
        <f t="shared" si="97"/>
        <v>0.625</v>
      </c>
      <c r="G30" s="217"/>
      <c r="H30" s="217">
        <f t="shared" si="0"/>
        <v>17.5</v>
      </c>
      <c r="I30" s="541">
        <f t="shared" si="1"/>
        <v>27.940035471478122</v>
      </c>
      <c r="J30" s="172">
        <f t="shared" si="2"/>
        <v>28.432288592281008</v>
      </c>
      <c r="K30" s="172">
        <f t="shared" si="3"/>
        <v>56.432288592281012</v>
      </c>
      <c r="L30" s="443"/>
      <c r="M30" s="217">
        <f t="shared" si="4"/>
        <v>0.50436810914055319</v>
      </c>
      <c r="N30" s="172">
        <f t="shared" si="5"/>
        <v>118.69314789091082</v>
      </c>
      <c r="O30" s="172">
        <f t="shared" si="98"/>
        <v>17.5</v>
      </c>
      <c r="P30" s="217">
        <f t="shared" si="6"/>
        <v>4.2390409961039577</v>
      </c>
      <c r="Q30" s="217">
        <f t="shared" si="7"/>
        <v>28</v>
      </c>
      <c r="R30" s="217">
        <f t="shared" si="8"/>
        <v>4.1940663274016101</v>
      </c>
      <c r="S30" s="172">
        <f t="shared" si="9"/>
        <v>344.62616260253492</v>
      </c>
      <c r="T30" s="172">
        <f t="shared" si="10"/>
        <v>28</v>
      </c>
      <c r="U30" s="217">
        <f t="shared" si="99"/>
        <v>2.5220330310716026</v>
      </c>
      <c r="V30" s="217">
        <f t="shared" si="11"/>
        <v>0.42424982810551309</v>
      </c>
      <c r="W30" s="217">
        <f t="shared" si="12"/>
        <v>0.41690471759120429</v>
      </c>
      <c r="X30" s="197">
        <f t="shared" si="13"/>
        <v>350</v>
      </c>
      <c r="Y30" s="443">
        <f t="shared" si="14"/>
        <v>350</v>
      </c>
      <c r="AA30" s="217">
        <f t="shared" si="15"/>
        <v>8.5665692435105374</v>
      </c>
      <c r="AB30" s="173">
        <f t="shared" si="16"/>
        <v>1.4160968897674446</v>
      </c>
      <c r="AC30" s="173">
        <f t="shared" si="17"/>
        <v>2.1229411107997267</v>
      </c>
      <c r="AD30" s="173"/>
      <c r="AE30" s="173">
        <f t="shared" si="18"/>
        <v>0.55101672930120593</v>
      </c>
      <c r="AF30" s="545">
        <f t="shared" si="100"/>
        <v>680.56009928332185</v>
      </c>
      <c r="AG30" s="528">
        <f t="shared" si="19"/>
        <v>0.32142642542570343</v>
      </c>
      <c r="AI30" s="173">
        <f t="shared" si="20"/>
        <v>4.64812677504937</v>
      </c>
      <c r="AJ30" s="173">
        <f t="shared" si="21"/>
        <v>4.64812677504937</v>
      </c>
      <c r="AK30" s="173">
        <f t="shared" si="22"/>
        <v>2.1739210679378047</v>
      </c>
      <c r="AM30" s="545">
        <f t="shared" si="23"/>
        <v>625</v>
      </c>
      <c r="AN30" s="460">
        <f t="shared" si="24"/>
        <v>350</v>
      </c>
      <c r="AP30">
        <f t="shared" si="25"/>
        <v>625</v>
      </c>
      <c r="AQ30" s="460">
        <f t="shared" si="26"/>
        <v>350</v>
      </c>
      <c r="AR30" s="460"/>
      <c r="AS30" s="5">
        <f t="shared" si="101"/>
        <v>2.8571428571428572</v>
      </c>
      <c r="AT30" s="5">
        <f t="shared" si="27"/>
        <v>0.78189578052014919</v>
      </c>
      <c r="AU30" s="5">
        <f t="shared" si="102"/>
        <v>2.0752470766227082</v>
      </c>
      <c r="AV30" s="5">
        <f t="shared" si="28"/>
        <v>0.76835868388951967</v>
      </c>
      <c r="AW30" s="173">
        <f t="shared" si="103"/>
        <v>0.27366352318205223</v>
      </c>
      <c r="AX30" s="173">
        <f t="shared" si="29"/>
        <v>17.77018037017563</v>
      </c>
      <c r="AY30" s="173">
        <f t="shared" si="30"/>
        <v>1.6880520127962646</v>
      </c>
      <c r="AZ30" s="173">
        <f t="shared" si="104"/>
        <v>10.527033666894694</v>
      </c>
      <c r="BA30" s="460">
        <f t="shared" si="31"/>
        <v>1.7453030815181902</v>
      </c>
      <c r="BB30" s="5">
        <f t="shared" si="32"/>
        <v>0.92843792142871984</v>
      </c>
      <c r="BC30" s="5"/>
      <c r="BD30" s="173">
        <f t="shared" si="105"/>
        <v>1.4038664466658095</v>
      </c>
      <c r="BE30" s="173">
        <f t="shared" si="33"/>
        <v>2.2871058506847031</v>
      </c>
      <c r="BF30" s="173"/>
      <c r="BG30" s="528">
        <f t="shared" si="34"/>
        <v>2.3650092000889033E-2</v>
      </c>
      <c r="BH30" s="528">
        <f t="shared" si="35"/>
        <v>1.6754695567370161</v>
      </c>
      <c r="BI30" s="528">
        <f t="shared" si="36"/>
        <v>4.0250000000000001E-2</v>
      </c>
      <c r="BJ30" s="528">
        <f t="shared" si="37"/>
        <v>0.54894597586955918</v>
      </c>
      <c r="BK30">
        <f t="shared" si="38"/>
        <v>1.2573015962165155E-2</v>
      </c>
      <c r="BL30" s="460">
        <f t="shared" si="106"/>
        <v>52.823015962165151</v>
      </c>
      <c r="BM30" s="528">
        <f t="shared" si="39"/>
        <v>2.2671910898669907</v>
      </c>
      <c r="BN30" s="460">
        <f t="shared" si="107"/>
        <v>2267.1910898669908</v>
      </c>
      <c r="BO30" s="528">
        <f t="shared" si="108"/>
        <v>0.41912499999999997</v>
      </c>
      <c r="BP30" s="528"/>
      <c r="BR30" s="460">
        <f t="shared" si="109"/>
        <v>419.12499999999994</v>
      </c>
      <c r="BS30" s="528">
        <f t="shared" si="40"/>
        <v>2.7591774001037208E-2</v>
      </c>
      <c r="BT30" s="528">
        <f t="shared" si="41"/>
        <v>7.3231944411306787E-2</v>
      </c>
      <c r="BU30" s="528">
        <f t="shared" si="42"/>
        <v>5.3374648368612254</v>
      </c>
      <c r="BV30" s="528">
        <f t="shared" si="43"/>
        <v>5.5069043737648649</v>
      </c>
      <c r="BW30" s="528">
        <f t="shared" si="44"/>
        <v>0.75617788809258002</v>
      </c>
      <c r="BX30" s="460">
        <f t="shared" si="110"/>
        <v>6263.0822618574448</v>
      </c>
      <c r="BY30" s="173">
        <f t="shared" si="45"/>
        <v>9.0022213676866016</v>
      </c>
      <c r="BZ30" s="5">
        <f t="shared" si="111"/>
        <v>17.5</v>
      </c>
      <c r="CA30" s="173">
        <f t="shared" si="112"/>
        <v>0.66032200686910147</v>
      </c>
      <c r="CB30" s="5">
        <f t="shared" si="113"/>
        <v>66.032200686910144</v>
      </c>
      <c r="CE30" s="562">
        <f t="shared" si="46"/>
        <v>-50</v>
      </c>
      <c r="CF30">
        <f t="shared" si="47"/>
        <v>-50</v>
      </c>
      <c r="CG30" s="173">
        <f t="shared" si="48"/>
        <v>0.270993542358485</v>
      </c>
      <c r="CI30" s="170">
        <v>25</v>
      </c>
      <c r="CJ30" s="217">
        <f t="shared" si="114"/>
        <v>0.625</v>
      </c>
      <c r="CK30" s="217"/>
      <c r="CL30" s="217">
        <f t="shared" si="49"/>
        <v>17.5</v>
      </c>
      <c r="CM30" s="541">
        <f t="shared" si="50"/>
        <v>28</v>
      </c>
      <c r="CN30" s="172">
        <f t="shared" si="51"/>
        <v>28.4</v>
      </c>
      <c r="CO30" s="443">
        <f t="shared" si="52"/>
        <v>56.4</v>
      </c>
      <c r="CP30" s="443"/>
      <c r="CQ30" s="217">
        <f t="shared" si="53"/>
        <v>0.50354609929078009</v>
      </c>
      <c r="CR30" s="172">
        <f t="shared" si="54"/>
        <v>118.75402645742166</v>
      </c>
      <c r="CS30" s="172">
        <f t="shared" si="115"/>
        <v>17.5</v>
      </c>
      <c r="CT30" s="217">
        <f t="shared" si="55"/>
        <v>4.2412152306222017</v>
      </c>
      <c r="CU30" s="217">
        <f t="shared" si="56"/>
        <v>28</v>
      </c>
      <c r="CV30" s="217">
        <f t="shared" si="57"/>
        <v>4.1962174940898347</v>
      </c>
      <c r="CW30" s="172">
        <f t="shared" si="58"/>
        <v>345.36572520789889</v>
      </c>
      <c r="CX30" s="172">
        <f t="shared" si="59"/>
        <v>28</v>
      </c>
      <c r="CY30" s="217">
        <f t="shared" si="60"/>
        <v>2.4823943661971835</v>
      </c>
      <c r="CZ30" s="217">
        <f t="shared" si="61"/>
        <v>0.41668762575452722</v>
      </c>
      <c r="DA30" s="217">
        <f t="shared" si="62"/>
        <v>0.41081878595516774</v>
      </c>
      <c r="DB30" s="197">
        <f t="shared" si="63"/>
        <v>350</v>
      </c>
      <c r="DC30" s="443">
        <f t="shared" si="116"/>
        <v>350</v>
      </c>
      <c r="DE30" s="217">
        <f t="shared" si="64"/>
        <v>8.5709974347366842</v>
      </c>
      <c r="DF30" s="173">
        <f t="shared" si="65"/>
        <v>1.418439716312057</v>
      </c>
      <c r="DG30" s="173">
        <f t="shared" si="66"/>
        <v>2.1275525547218721</v>
      </c>
      <c r="DH30" s="173"/>
      <c r="DI30" s="173">
        <f t="shared" si="67"/>
        <v>0.55164319248826299</v>
      </c>
      <c r="DJ30" s="545">
        <f t="shared" si="117"/>
        <v>679.78723404255311</v>
      </c>
      <c r="DK30" s="528">
        <f t="shared" si="68"/>
        <v>0.3217918622848201</v>
      </c>
      <c r="DM30" s="173">
        <f t="shared" si="69"/>
        <v>4.6454867465597198</v>
      </c>
      <c r="DN30" s="173">
        <f t="shared" si="70"/>
        <v>4.6454867465597198</v>
      </c>
      <c r="DO30" s="173">
        <f t="shared" si="71"/>
        <v>2.1719654912788044</v>
      </c>
      <c r="DQ30" s="545">
        <f t="shared" si="72"/>
        <v>625</v>
      </c>
      <c r="DR30" s="460">
        <f t="shared" si="73"/>
        <v>350</v>
      </c>
      <c r="DT30">
        <f t="shared" si="74"/>
        <v>625</v>
      </c>
      <c r="DU30" s="460">
        <f t="shared" si="75"/>
        <v>350</v>
      </c>
      <c r="DV30" s="460"/>
      <c r="DW30" s="5">
        <f t="shared" si="118"/>
        <v>2.8571428571428572</v>
      </c>
      <c r="DX30" s="5">
        <f t="shared" si="76"/>
        <v>0.77977813245823868</v>
      </c>
      <c r="DY30" s="5">
        <f t="shared" si="119"/>
        <v>2.0773647246846183</v>
      </c>
      <c r="DZ30" s="5">
        <f t="shared" si="77"/>
        <v>0.76879534186023546</v>
      </c>
      <c r="EA30" s="173">
        <f t="shared" si="120"/>
        <v>0.27292234636038354</v>
      </c>
      <c r="EB30" s="173">
        <f t="shared" si="78"/>
        <v>17.750000000000004</v>
      </c>
      <c r="EC30" s="173">
        <f t="shared" si="79"/>
        <v>1.6888148018512883</v>
      </c>
      <c r="ED30" s="173">
        <f t="shared" si="121"/>
        <v>10.510329481090736</v>
      </c>
      <c r="EE30" s="460">
        <f t="shared" si="80"/>
        <v>1.7405761885228541</v>
      </c>
      <c r="EF30" s="5">
        <f t="shared" si="81"/>
        <v>0.92739496637706154</v>
      </c>
      <c r="EG30" s="5"/>
      <c r="EH30" s="173">
        <f t="shared" si="122"/>
        <v>1.4011677931489781</v>
      </c>
      <c r="EI30" s="173">
        <f t="shared" si="82"/>
        <v>2.2869727850580177</v>
      </c>
      <c r="EJ30" s="173"/>
      <c r="EK30" s="528">
        <f t="shared" si="83"/>
        <v>2.3559254214695732E-2</v>
      </c>
      <c r="EL30" s="528">
        <f t="shared" si="84"/>
        <v>1.7423362591646887</v>
      </c>
      <c r="EM30" s="528">
        <f t="shared" si="85"/>
        <v>4.0250000000000001E-2</v>
      </c>
      <c r="EN30" s="528">
        <f t="shared" si="86"/>
        <v>0.54831797999999998</v>
      </c>
      <c r="EO30">
        <f t="shared" si="87"/>
        <v>1.26E-2</v>
      </c>
      <c r="EP30" s="460">
        <f t="shared" si="123"/>
        <v>52.85</v>
      </c>
      <c r="EQ30" s="528">
        <f t="shared" si="88"/>
        <v>2.3867849475216221</v>
      </c>
      <c r="ER30" s="460">
        <f t="shared" si="124"/>
        <v>2386.7849475216221</v>
      </c>
      <c r="ES30" s="528">
        <f t="shared" si="125"/>
        <v>0.41912499999999997</v>
      </c>
      <c r="ET30" s="528"/>
      <c r="EV30" s="460">
        <f t="shared" si="126"/>
        <v>419.12499999999994</v>
      </c>
      <c r="EW30" s="528">
        <f t="shared" si="89"/>
        <v>2.7485796583811686E-2</v>
      </c>
      <c r="EX30" s="528">
        <f t="shared" si="90"/>
        <v>7.3223423274344362E-2</v>
      </c>
      <c r="EY30" s="528">
        <f t="shared" si="91"/>
        <v>5.3298891736236627</v>
      </c>
      <c r="EZ30" s="528">
        <f t="shared" si="92"/>
        <v>5.4990731959684869</v>
      </c>
      <c r="FA30" s="528">
        <f t="shared" si="93"/>
        <v>0.75531914893617058</v>
      </c>
      <c r="FB30" s="460">
        <f t="shared" si="127"/>
        <v>6254.392344904657</v>
      </c>
      <c r="FC30" s="173">
        <f t="shared" si="128"/>
        <v>9.0603022924262788</v>
      </c>
      <c r="FD30" s="5">
        <f t="shared" si="129"/>
        <v>17.5</v>
      </c>
      <c r="FE30" s="173">
        <f t="shared" si="130"/>
        <v>0.65887804315352838</v>
      </c>
      <c r="FF30" s="5">
        <f t="shared" si="131"/>
        <v>65.887804315352838</v>
      </c>
      <c r="FI30" s="562">
        <f t="shared" si="94"/>
        <v>-50</v>
      </c>
      <c r="FJ30">
        <f t="shared" si="95"/>
        <v>-50</v>
      </c>
      <c r="FL30">
        <f t="shared" si="96"/>
        <v>0.26907836965108234</v>
      </c>
    </row>
    <row r="31" spans="5:168">
      <c r="E31" s="170">
        <v>26</v>
      </c>
      <c r="F31" s="217">
        <f t="shared" si="97"/>
        <v>0.65</v>
      </c>
      <c r="G31" s="217"/>
      <c r="H31" s="217">
        <f t="shared" si="0"/>
        <v>18.2</v>
      </c>
      <c r="I31" s="541">
        <f t="shared" si="1"/>
        <v>27.938847939788712</v>
      </c>
      <c r="J31" s="172">
        <f t="shared" si="2"/>
        <v>28.432928032421461</v>
      </c>
      <c r="K31" s="172">
        <f t="shared" si="3"/>
        <v>56.432928032421458</v>
      </c>
      <c r="L31" s="443"/>
      <c r="M31" s="217">
        <f t="shared" si="4"/>
        <v>0.50438439622645359</v>
      </c>
      <c r="N31" s="172">
        <f t="shared" si="5"/>
        <v>118.69193577500289</v>
      </c>
      <c r="O31" s="172">
        <f t="shared" si="98"/>
        <v>18.2</v>
      </c>
      <c r="P31" s="217">
        <f t="shared" si="6"/>
        <v>4.2389977062501032</v>
      </c>
      <c r="Q31" s="217">
        <f t="shared" si="7"/>
        <v>28</v>
      </c>
      <c r="R31" s="217">
        <f t="shared" si="8"/>
        <v>4.194023496837211</v>
      </c>
      <c r="S31" s="172">
        <f t="shared" si="9"/>
        <v>330.28530535117886</v>
      </c>
      <c r="T31" s="172">
        <f t="shared" si="10"/>
        <v>28</v>
      </c>
      <c r="U31" s="217">
        <f t="shared" si="99"/>
        <v>2.623000547404049</v>
      </c>
      <c r="V31" s="217">
        <f t="shared" si="11"/>
        <v>0.44125307526521657</v>
      </c>
      <c r="W31" s="217">
        <f t="shared" si="12"/>
        <v>0.43358540347098817</v>
      </c>
      <c r="X31" s="197">
        <f t="shared" si="13"/>
        <v>350</v>
      </c>
      <c r="Y31" s="443">
        <f t="shared" si="14"/>
        <v>350</v>
      </c>
      <c r="AA31" s="217">
        <f t="shared" si="15"/>
        <v>8.566481082454855</v>
      </c>
      <c r="AB31" s="173">
        <f t="shared" si="16"/>
        <v>1.4160504694285228</v>
      </c>
      <c r="AC31" s="173">
        <f t="shared" si="17"/>
        <v>2.1228496726781323</v>
      </c>
      <c r="AD31" s="173"/>
      <c r="AE31" s="173">
        <f t="shared" si="18"/>
        <v>0.55100433725300113</v>
      </c>
      <c r="AF31" s="545">
        <f t="shared" si="100"/>
        <v>707.79842123261949</v>
      </c>
      <c r="AG31" s="528">
        <f t="shared" si="19"/>
        <v>0.32141919673091734</v>
      </c>
      <c r="AI31" s="173">
        <f t="shared" si="20"/>
        <v>4.7402311283567053</v>
      </c>
      <c r="AJ31" s="173">
        <f t="shared" si="21"/>
        <v>4.7402311283567053</v>
      </c>
      <c r="AK31" s="173">
        <f t="shared" si="22"/>
        <v>2.2421465148321271</v>
      </c>
      <c r="AM31" s="545">
        <f t="shared" si="23"/>
        <v>650</v>
      </c>
      <c r="AN31" s="460">
        <f t="shared" si="24"/>
        <v>350</v>
      </c>
      <c r="AP31">
        <f t="shared" si="25"/>
        <v>650</v>
      </c>
      <c r="AQ31" s="460">
        <f t="shared" si="26"/>
        <v>350</v>
      </c>
      <c r="AR31" s="460"/>
      <c r="AS31" s="5">
        <f t="shared" si="101"/>
        <v>2.8571428571428572</v>
      </c>
      <c r="AT31" s="5">
        <f t="shared" si="27"/>
        <v>0.79742322773259633</v>
      </c>
      <c r="AU31" s="5">
        <f t="shared" si="102"/>
        <v>2.0597196294102611</v>
      </c>
      <c r="AV31" s="5">
        <f t="shared" si="28"/>
        <v>0.78356637339186974</v>
      </c>
      <c r="AW31" s="173">
        <f t="shared" si="103"/>
        <v>0.27909812970640868</v>
      </c>
      <c r="AX31" s="173">
        <f t="shared" si="29"/>
        <v>18.481403221073947</v>
      </c>
      <c r="AY31" s="173">
        <f t="shared" si="30"/>
        <v>1.7086207430281248</v>
      </c>
      <c r="AZ31" s="173">
        <f t="shared" si="104"/>
        <v>10.816562596752773</v>
      </c>
      <c r="BA31" s="460">
        <f t="shared" si="31"/>
        <v>1.8511610643792415</v>
      </c>
      <c r="BB31" s="5">
        <f t="shared" si="32"/>
        <v>0.95839152852828358</v>
      </c>
      <c r="BC31" s="5"/>
      <c r="BD31" s="173">
        <f t="shared" si="105"/>
        <v>1.4458304055600855</v>
      </c>
      <c r="BE31" s="173">
        <f t="shared" si="33"/>
        <v>2.3236834598911962</v>
      </c>
      <c r="BF31" s="173"/>
      <c r="BG31" s="528">
        <f t="shared" si="34"/>
        <v>2.5085106739704495E-2</v>
      </c>
      <c r="BH31" s="528">
        <f t="shared" si="35"/>
        <v>1.7086889675644816</v>
      </c>
      <c r="BI31" s="528">
        <f t="shared" si="36"/>
        <v>4.0250000000000001E-2</v>
      </c>
      <c r="BJ31" s="528">
        <f t="shared" si="37"/>
        <v>0.54895841626811026</v>
      </c>
      <c r="BK31">
        <f t="shared" si="38"/>
        <v>1.257248157290492E-2</v>
      </c>
      <c r="BL31" s="460">
        <f t="shared" si="106"/>
        <v>52.82248157290492</v>
      </c>
      <c r="BM31" s="528">
        <f t="shared" si="39"/>
        <v>2.3032332494053023</v>
      </c>
      <c r="BN31" s="460">
        <f t="shared" si="107"/>
        <v>2303.2332494053021</v>
      </c>
      <c r="BO31" s="528">
        <f t="shared" si="108"/>
        <v>0.43588999999999994</v>
      </c>
      <c r="BP31" s="528"/>
      <c r="BR31" s="460">
        <f t="shared" si="109"/>
        <v>435.88999999999993</v>
      </c>
      <c r="BS31" s="528">
        <f t="shared" si="40"/>
        <v>2.9265957862988575E-2</v>
      </c>
      <c r="BT31" s="528">
        <f t="shared" si="41"/>
        <v>7.5593067504806877E-2</v>
      </c>
      <c r="BU31" s="528">
        <f t="shared" si="42"/>
        <v>5.6058169187938711</v>
      </c>
      <c r="BV31" s="528">
        <f t="shared" si="43"/>
        <v>5.7843655449228706</v>
      </c>
      <c r="BW31" s="528">
        <f t="shared" si="44"/>
        <v>0.78644269025846614</v>
      </c>
      <c r="BX31" s="460">
        <f t="shared" si="110"/>
        <v>6570.8082351813373</v>
      </c>
      <c r="BY31" s="173">
        <f t="shared" si="45"/>
        <v>9.3627539661595449</v>
      </c>
      <c r="BZ31" s="5">
        <f t="shared" si="111"/>
        <v>18.2</v>
      </c>
      <c r="CA31" s="173">
        <f t="shared" si="112"/>
        <v>0.66031137608183987</v>
      </c>
      <c r="CB31" s="5">
        <f t="shared" si="113"/>
        <v>66.031137608183982</v>
      </c>
      <c r="CE31" s="562">
        <f t="shared" si="46"/>
        <v>-50</v>
      </c>
      <c r="CF31">
        <f t="shared" si="47"/>
        <v>-50</v>
      </c>
      <c r="CG31" s="173">
        <f t="shared" si="48"/>
        <v>0.27636027210870956</v>
      </c>
      <c r="CI31" s="170">
        <v>26</v>
      </c>
      <c r="CJ31" s="217">
        <f t="shared" si="114"/>
        <v>0.65</v>
      </c>
      <c r="CK31" s="217"/>
      <c r="CL31" s="217">
        <f t="shared" si="49"/>
        <v>18.2</v>
      </c>
      <c r="CM31" s="541">
        <f t="shared" si="50"/>
        <v>28</v>
      </c>
      <c r="CN31" s="172">
        <f t="shared" si="51"/>
        <v>28.4</v>
      </c>
      <c r="CO31" s="443">
        <f t="shared" si="52"/>
        <v>56.4</v>
      </c>
      <c r="CP31" s="443"/>
      <c r="CQ31" s="217">
        <f t="shared" si="53"/>
        <v>0.50354609929078009</v>
      </c>
      <c r="CR31" s="172">
        <f t="shared" si="54"/>
        <v>118.75402645742166</v>
      </c>
      <c r="CS31" s="172">
        <f t="shared" si="115"/>
        <v>18.2</v>
      </c>
      <c r="CT31" s="217">
        <f t="shared" si="55"/>
        <v>4.2412152306222017</v>
      </c>
      <c r="CU31" s="217">
        <f t="shared" si="56"/>
        <v>28</v>
      </c>
      <c r="CV31" s="217">
        <f t="shared" si="57"/>
        <v>4.1962174940898347</v>
      </c>
      <c r="CW31" s="172">
        <f t="shared" si="58"/>
        <v>331.00815415972005</v>
      </c>
      <c r="CX31" s="172">
        <f t="shared" si="59"/>
        <v>28</v>
      </c>
      <c r="CY31" s="217">
        <f t="shared" si="60"/>
        <v>2.5816901408450708</v>
      </c>
      <c r="CZ31" s="217">
        <f t="shared" si="61"/>
        <v>0.43335513078470828</v>
      </c>
      <c r="DA31" s="217">
        <f t="shared" si="62"/>
        <v>0.4272515373933744</v>
      </c>
      <c r="DB31" s="197">
        <f t="shared" si="63"/>
        <v>350</v>
      </c>
      <c r="DC31" s="443">
        <f t="shared" si="116"/>
        <v>350</v>
      </c>
      <c r="DE31" s="217">
        <f t="shared" si="64"/>
        <v>8.5709974347366842</v>
      </c>
      <c r="DF31" s="173">
        <f t="shared" si="65"/>
        <v>1.418439716312057</v>
      </c>
      <c r="DG31" s="173">
        <f t="shared" si="66"/>
        <v>2.1275525547218721</v>
      </c>
      <c r="DH31" s="173"/>
      <c r="DI31" s="173">
        <f t="shared" si="67"/>
        <v>0.55164319248826299</v>
      </c>
      <c r="DJ31" s="545">
        <f t="shared" si="117"/>
        <v>706.97872340425522</v>
      </c>
      <c r="DK31" s="528">
        <f t="shared" si="68"/>
        <v>0.3217918622848201</v>
      </c>
      <c r="DM31" s="173">
        <f t="shared" si="69"/>
        <v>4.7374855141689336</v>
      </c>
      <c r="DN31" s="173">
        <f t="shared" si="70"/>
        <v>4.7374855141689336</v>
      </c>
      <c r="DO31" s="173">
        <f t="shared" si="71"/>
        <v>2.240112726544889</v>
      </c>
      <c r="DQ31" s="545">
        <f t="shared" si="72"/>
        <v>650</v>
      </c>
      <c r="DR31" s="460">
        <f t="shared" si="73"/>
        <v>350</v>
      </c>
      <c r="DT31">
        <f t="shared" si="74"/>
        <v>650</v>
      </c>
      <c r="DU31" s="460">
        <f t="shared" si="75"/>
        <v>350</v>
      </c>
      <c r="DV31" s="460"/>
      <c r="DW31" s="5">
        <f t="shared" si="118"/>
        <v>2.8571428571428572</v>
      </c>
      <c r="DX31" s="5">
        <f t="shared" si="76"/>
        <v>0.79522078273549957</v>
      </c>
      <c r="DY31" s="5">
        <f t="shared" si="119"/>
        <v>2.0619220744073576</v>
      </c>
      <c r="DZ31" s="5">
        <f t="shared" si="77"/>
        <v>0.78402049002091512</v>
      </c>
      <c r="EA31" s="173">
        <f t="shared" si="120"/>
        <v>0.27832727395742485</v>
      </c>
      <c r="EB31" s="173">
        <f t="shared" si="78"/>
        <v>18.46</v>
      </c>
      <c r="EC31" s="173">
        <f t="shared" si="79"/>
        <v>1.7094570427987525</v>
      </c>
      <c r="ED31" s="173">
        <f t="shared" si="121"/>
        <v>10.798750444045655</v>
      </c>
      <c r="EE31" s="460">
        <f t="shared" si="80"/>
        <v>1.846048245635981</v>
      </c>
      <c r="EF31" s="5">
        <f t="shared" si="81"/>
        <v>0.95732096311770176</v>
      </c>
      <c r="EG31" s="5"/>
      <c r="EH31" s="173">
        <f t="shared" si="122"/>
        <v>1.4429960778711055</v>
      </c>
      <c r="EI31" s="173">
        <f t="shared" si="82"/>
        <v>2.3235788455674942</v>
      </c>
      <c r="EJ31" s="173"/>
      <c r="EK31" s="528">
        <f t="shared" si="83"/>
        <v>2.4986852169016725E-2</v>
      </c>
      <c r="EL31" s="528">
        <f t="shared" si="84"/>
        <v>1.7768413169442003</v>
      </c>
      <c r="EM31" s="528">
        <f t="shared" si="85"/>
        <v>4.0250000000000001E-2</v>
      </c>
      <c r="EN31" s="528">
        <f t="shared" si="86"/>
        <v>0.54831797999999998</v>
      </c>
      <c r="EO31">
        <f t="shared" si="87"/>
        <v>1.26E-2</v>
      </c>
      <c r="EP31" s="460">
        <f t="shared" si="123"/>
        <v>52.85</v>
      </c>
      <c r="EQ31" s="528">
        <f t="shared" si="88"/>
        <v>2.4241343846304173</v>
      </c>
      <c r="ER31" s="460">
        <f t="shared" si="124"/>
        <v>2424.1343846304171</v>
      </c>
      <c r="ES31" s="528">
        <f t="shared" si="125"/>
        <v>0.43588999999999994</v>
      </c>
      <c r="ET31" s="528"/>
      <c r="EV31" s="460">
        <f t="shared" si="126"/>
        <v>435.88999999999993</v>
      </c>
      <c r="EW31" s="528">
        <f t="shared" si="89"/>
        <v>2.9151327530519511E-2</v>
      </c>
      <c r="EX31" s="528">
        <f t="shared" si="90"/>
        <v>7.5586261121962761E-2</v>
      </c>
      <c r="EY31" s="528">
        <f t="shared" si="91"/>
        <v>5.5977030080528163</v>
      </c>
      <c r="EZ31" s="528">
        <f t="shared" si="92"/>
        <v>5.7759745496981738</v>
      </c>
      <c r="FA31" s="528">
        <f t="shared" si="93"/>
        <v>0.78553191489361707</v>
      </c>
      <c r="FB31" s="460">
        <f t="shared" si="127"/>
        <v>6561.5064645917901</v>
      </c>
      <c r="FC31" s="173">
        <f t="shared" si="128"/>
        <v>9.4215308492222078</v>
      </c>
      <c r="FD31" s="5">
        <f t="shared" si="129"/>
        <v>18.2</v>
      </c>
      <c r="FE31" s="173">
        <f t="shared" si="130"/>
        <v>0.65890627493995291</v>
      </c>
      <c r="FF31" s="5">
        <f t="shared" si="131"/>
        <v>65.890627493995297</v>
      </c>
      <c r="FI31" s="562">
        <f t="shared" si="94"/>
        <v>-50</v>
      </c>
      <c r="FJ31">
        <f t="shared" si="95"/>
        <v>-50</v>
      </c>
      <c r="FL31">
        <f t="shared" si="96"/>
        <v>0.27440717150732025</v>
      </c>
    </row>
    <row r="32" spans="5:168">
      <c r="E32" s="170">
        <v>27</v>
      </c>
      <c r="F32" s="217">
        <f t="shared" si="97"/>
        <v>0.67500000000000004</v>
      </c>
      <c r="G32" s="217"/>
      <c r="H32" s="217">
        <f t="shared" si="0"/>
        <v>18.900000000000002</v>
      </c>
      <c r="I32" s="541">
        <f t="shared" si="1"/>
        <v>27.937683033968916</v>
      </c>
      <c r="J32" s="172">
        <f t="shared" si="2"/>
        <v>28.433555289401351</v>
      </c>
      <c r="K32" s="172">
        <f t="shared" si="3"/>
        <v>56.433555289401355</v>
      </c>
      <c r="L32" s="443"/>
      <c r="M32" s="217">
        <f t="shared" si="4"/>
        <v>0.50440037330202547</v>
      </c>
      <c r="N32" s="172">
        <f t="shared" si="5"/>
        <v>118.69074650861107</v>
      </c>
      <c r="O32" s="172">
        <f t="shared" si="98"/>
        <v>18.900000000000002</v>
      </c>
      <c r="P32" s="217">
        <f t="shared" si="6"/>
        <v>4.2389552324503956</v>
      </c>
      <c r="Q32" s="217">
        <f t="shared" si="7"/>
        <v>28</v>
      </c>
      <c r="R32" s="217">
        <f t="shared" si="8"/>
        <v>4.1939814736689236</v>
      </c>
      <c r="S32" s="172">
        <f t="shared" si="9"/>
        <v>317.00719142453846</v>
      </c>
      <c r="T32" s="172">
        <f t="shared" si="10"/>
        <v>28</v>
      </c>
      <c r="U32" s="217">
        <f t="shared" si="99"/>
        <v>2.7239729960949086</v>
      </c>
      <c r="V32" s="217">
        <f t="shared" si="11"/>
        <v>0.458258226570884</v>
      </c>
      <c r="W32" s="217">
        <f t="shared" si="12"/>
        <v>0.4502663473258402</v>
      </c>
      <c r="X32" s="197">
        <f t="shared" si="13"/>
        <v>350</v>
      </c>
      <c r="Y32" s="443">
        <f t="shared" si="14"/>
        <v>350</v>
      </c>
      <c r="AA32" s="217">
        <f t="shared" si="15"/>
        <v>8.5663945835407826</v>
      </c>
      <c r="AB32" s="173">
        <f t="shared" si="16"/>
        <v>1.4160049326525628</v>
      </c>
      <c r="AC32" s="173">
        <f t="shared" si="17"/>
        <v>2.12275997243484</v>
      </c>
      <c r="AD32" s="173"/>
      <c r="AE32" s="173">
        <f t="shared" si="18"/>
        <v>0.55099218185023935</v>
      </c>
      <c r="AF32" s="545">
        <f t="shared" si="100"/>
        <v>735.03765269409882</v>
      </c>
      <c r="AG32" s="528">
        <f t="shared" si="19"/>
        <v>0.32141210607930631</v>
      </c>
      <c r="AI32" s="173">
        <f t="shared" si="20"/>
        <v>4.8305826415615245</v>
      </c>
      <c r="AJ32" s="173">
        <f t="shared" si="21"/>
        <v>4.8305826415615245</v>
      </c>
      <c r="AK32" s="173">
        <f t="shared" si="22"/>
        <v>2.3090735616505116</v>
      </c>
      <c r="AM32" s="545">
        <f t="shared" si="23"/>
        <v>675</v>
      </c>
      <c r="AN32" s="460">
        <f t="shared" si="24"/>
        <v>350</v>
      </c>
      <c r="AP32">
        <f t="shared" si="25"/>
        <v>675</v>
      </c>
      <c r="AQ32" s="460">
        <f t="shared" si="26"/>
        <v>350</v>
      </c>
      <c r="AR32" s="460"/>
      <c r="AS32" s="5">
        <f t="shared" si="101"/>
        <v>2.8571428571428572</v>
      </c>
      <c r="AT32" s="5">
        <f t="shared" si="27"/>
        <v>0.81265645356968597</v>
      </c>
      <c r="AU32" s="5">
        <f t="shared" si="102"/>
        <v>2.0444864035731714</v>
      </c>
      <c r="AV32" s="5">
        <f t="shared" si="28"/>
        <v>0.79848398078456329</v>
      </c>
      <c r="AW32" s="173">
        <f t="shared" si="103"/>
        <v>0.28442975874939008</v>
      </c>
      <c r="AX32" s="173">
        <f t="shared" si="29"/>
        <v>19.192649820345913</v>
      </c>
      <c r="AY32" s="173">
        <f t="shared" si="30"/>
        <v>1.7283105931015945</v>
      </c>
      <c r="AZ32" s="173">
        <f t="shared" si="104"/>
        <v>11.10486153180554</v>
      </c>
      <c r="BA32" s="460">
        <f t="shared" si="31"/>
        <v>1.9590825219983503</v>
      </c>
      <c r="BB32" s="5">
        <f t="shared" si="32"/>
        <v>0.98793326614375254</v>
      </c>
      <c r="BC32" s="5"/>
      <c r="BD32" s="173">
        <f t="shared" si="105"/>
        <v>1.4873953023578483</v>
      </c>
      <c r="BE32" s="173">
        <f t="shared" si="33"/>
        <v>2.3592014397903744</v>
      </c>
      <c r="BF32" s="173"/>
      <c r="BG32" s="528">
        <f t="shared" si="34"/>
        <v>2.6548137425714342E-2</v>
      </c>
      <c r="BH32" s="528">
        <f t="shared" si="35"/>
        <v>1.7412769096212599</v>
      </c>
      <c r="BI32" s="528">
        <f t="shared" si="36"/>
        <v>4.0250000000000001E-2</v>
      </c>
      <c r="BJ32" s="528">
        <f t="shared" si="37"/>
        <v>0.54897061977850581</v>
      </c>
      <c r="BK32">
        <f t="shared" si="38"/>
        <v>1.2571957365286011E-2</v>
      </c>
      <c r="BL32" s="460">
        <f t="shared" si="106"/>
        <v>52.821957365286011</v>
      </c>
      <c r="BM32" s="528">
        <f t="shared" si="39"/>
        <v>2.3387159036981764</v>
      </c>
      <c r="BN32" s="460">
        <f t="shared" si="107"/>
        <v>2338.7159036981766</v>
      </c>
      <c r="BO32" s="528">
        <f t="shared" si="108"/>
        <v>0.45265499999999997</v>
      </c>
      <c r="BP32" s="528"/>
      <c r="BR32" s="460">
        <f t="shared" si="109"/>
        <v>452.65499999999997</v>
      </c>
      <c r="BS32" s="528">
        <f t="shared" si="40"/>
        <v>3.097282699666673E-2</v>
      </c>
      <c r="BT32" s="528">
        <f t="shared" si="41"/>
        <v>7.7921640069125664E-2</v>
      </c>
      <c r="BU32" s="528">
        <f t="shared" si="42"/>
        <v>5.8767728720931247</v>
      </c>
      <c r="BV32" s="528">
        <f t="shared" si="43"/>
        <v>6.0646344219206201</v>
      </c>
      <c r="BW32" s="528">
        <f t="shared" si="44"/>
        <v>0.81670850299344322</v>
      </c>
      <c r="BX32" s="460">
        <f t="shared" si="110"/>
        <v>6881.3429249140636</v>
      </c>
      <c r="BY32" s="173">
        <f t="shared" si="45"/>
        <v>9.7255357859775238</v>
      </c>
      <c r="BZ32" s="5">
        <f t="shared" si="111"/>
        <v>18.900000000000002</v>
      </c>
      <c r="CA32" s="173">
        <f t="shared" si="112"/>
        <v>0.66024965056753049</v>
      </c>
      <c r="CB32" s="5">
        <f t="shared" si="113"/>
        <v>66.024965056753047</v>
      </c>
      <c r="CE32" s="562">
        <f t="shared" si="46"/>
        <v>-50</v>
      </c>
      <c r="CF32">
        <f t="shared" si="47"/>
        <v>-50</v>
      </c>
      <c r="CG32" s="173">
        <f t="shared" si="48"/>
        <v>0.28162475033277884</v>
      </c>
      <c r="CI32" s="170">
        <v>27</v>
      </c>
      <c r="CJ32" s="217">
        <f t="shared" si="114"/>
        <v>0.67500000000000004</v>
      </c>
      <c r="CK32" s="217"/>
      <c r="CL32" s="217">
        <f t="shared" si="49"/>
        <v>18.900000000000002</v>
      </c>
      <c r="CM32" s="541">
        <f t="shared" si="50"/>
        <v>28</v>
      </c>
      <c r="CN32" s="172">
        <f t="shared" si="51"/>
        <v>28.4</v>
      </c>
      <c r="CO32" s="443">
        <f t="shared" si="52"/>
        <v>56.4</v>
      </c>
      <c r="CP32" s="443"/>
      <c r="CQ32" s="217">
        <f t="shared" si="53"/>
        <v>0.50354609929078009</v>
      </c>
      <c r="CR32" s="172">
        <f t="shared" si="54"/>
        <v>118.75402645742166</v>
      </c>
      <c r="CS32" s="172">
        <f t="shared" si="115"/>
        <v>18.900000000000002</v>
      </c>
      <c r="CT32" s="217">
        <f t="shared" si="55"/>
        <v>4.2412152306222017</v>
      </c>
      <c r="CU32" s="217">
        <f t="shared" si="56"/>
        <v>28</v>
      </c>
      <c r="CV32" s="217">
        <f t="shared" si="57"/>
        <v>4.1962174940898347</v>
      </c>
      <c r="CW32" s="172">
        <f t="shared" si="58"/>
        <v>317.71421982557774</v>
      </c>
      <c r="CX32" s="172">
        <f t="shared" si="59"/>
        <v>28</v>
      </c>
      <c r="CY32" s="217">
        <f t="shared" si="60"/>
        <v>2.6809859154929585</v>
      </c>
      <c r="CZ32" s="217">
        <f t="shared" si="61"/>
        <v>0.45002263581488944</v>
      </c>
      <c r="DA32" s="217">
        <f t="shared" si="62"/>
        <v>0.44368428883158123</v>
      </c>
      <c r="DB32" s="197">
        <f t="shared" si="63"/>
        <v>350</v>
      </c>
      <c r="DC32" s="443">
        <f t="shared" si="116"/>
        <v>350</v>
      </c>
      <c r="DE32" s="217">
        <f t="shared" si="64"/>
        <v>8.5709974347366842</v>
      </c>
      <c r="DF32" s="173">
        <f t="shared" si="65"/>
        <v>1.418439716312057</v>
      </c>
      <c r="DG32" s="173">
        <f t="shared" si="66"/>
        <v>2.1275525547218721</v>
      </c>
      <c r="DH32" s="173"/>
      <c r="DI32" s="173">
        <f t="shared" si="67"/>
        <v>0.55164319248826299</v>
      </c>
      <c r="DJ32" s="545">
        <f t="shared" si="117"/>
        <v>734.17021276595744</v>
      </c>
      <c r="DK32" s="528">
        <f t="shared" si="68"/>
        <v>0.3217918622848201</v>
      </c>
      <c r="DM32" s="173">
        <f t="shared" si="69"/>
        <v>4.8277314425575675</v>
      </c>
      <c r="DN32" s="173">
        <f t="shared" si="70"/>
        <v>4.8277314425575675</v>
      </c>
      <c r="DO32" s="173">
        <f t="shared" si="71"/>
        <v>2.3069615623883215</v>
      </c>
      <c r="DQ32" s="545">
        <f t="shared" si="72"/>
        <v>675</v>
      </c>
      <c r="DR32" s="460">
        <f t="shared" si="73"/>
        <v>350</v>
      </c>
      <c r="DT32">
        <f t="shared" si="74"/>
        <v>675</v>
      </c>
      <c r="DU32" s="460">
        <f t="shared" si="75"/>
        <v>350</v>
      </c>
      <c r="DV32" s="460"/>
      <c r="DW32" s="5">
        <f t="shared" si="118"/>
        <v>2.8571428571428572</v>
      </c>
      <c r="DX32" s="5">
        <f t="shared" si="76"/>
        <v>0.81036920642930599</v>
      </c>
      <c r="DY32" s="5">
        <f t="shared" si="119"/>
        <v>2.0467736507135514</v>
      </c>
      <c r="DZ32" s="5">
        <f t="shared" si="77"/>
        <v>0.79895555563452703</v>
      </c>
      <c r="EA32" s="173">
        <f t="shared" si="120"/>
        <v>0.28362922225025711</v>
      </c>
      <c r="EB32" s="173">
        <f t="shared" si="78"/>
        <v>19.170000000000002</v>
      </c>
      <c r="EC32" s="173">
        <f t="shared" si="79"/>
        <v>1.7292228641359264</v>
      </c>
      <c r="ED32" s="173">
        <f t="shared" si="121"/>
        <v>11.085904771204282</v>
      </c>
      <c r="EE32" s="460">
        <f t="shared" si="80"/>
        <v>1.9535686226420774</v>
      </c>
      <c r="EF32" s="5">
        <f t="shared" si="81"/>
        <v>0.986837295879748</v>
      </c>
      <c r="EG32" s="5"/>
      <c r="EH32" s="173">
        <f t="shared" si="122"/>
        <v>1.4844239844354941</v>
      </c>
      <c r="EI32" s="173">
        <f t="shared" si="82"/>
        <v>2.3591274647460185</v>
      </c>
      <c r="EJ32" s="173"/>
      <c r="EK32" s="528">
        <f t="shared" si="83"/>
        <v>2.6442174786808173E-2</v>
      </c>
      <c r="EL32" s="528">
        <f t="shared" si="84"/>
        <v>1.8106889548456413</v>
      </c>
      <c r="EM32" s="528">
        <f t="shared" si="85"/>
        <v>4.0250000000000001E-2</v>
      </c>
      <c r="EN32" s="528">
        <f t="shared" si="86"/>
        <v>0.54831797999999998</v>
      </c>
      <c r="EO32">
        <f t="shared" si="87"/>
        <v>1.26E-2</v>
      </c>
      <c r="EP32" s="460">
        <f t="shared" si="123"/>
        <v>52.85</v>
      </c>
      <c r="EQ32" s="528">
        <f t="shared" si="88"/>
        <v>2.4608994934311337</v>
      </c>
      <c r="ER32" s="460">
        <f t="shared" si="124"/>
        <v>2460.8994934311336</v>
      </c>
      <c r="ES32" s="528">
        <f t="shared" si="125"/>
        <v>0.45265499999999997</v>
      </c>
      <c r="ET32" s="528"/>
      <c r="EV32" s="460">
        <f t="shared" si="126"/>
        <v>452.65499999999997</v>
      </c>
      <c r="EW32" s="528">
        <f t="shared" si="89"/>
        <v>3.084920391794287E-2</v>
      </c>
      <c r="EX32" s="528">
        <f t="shared" si="90"/>
        <v>7.7916753528865679E-2</v>
      </c>
      <c r="EY32" s="528">
        <f t="shared" si="91"/>
        <v>5.8681049569246397</v>
      </c>
      <c r="EZ32" s="528">
        <f t="shared" si="92"/>
        <v>6.0556667757461105</v>
      </c>
      <c r="FA32" s="528">
        <f t="shared" si="93"/>
        <v>0.81574468085106411</v>
      </c>
      <c r="FB32" s="460">
        <f t="shared" si="127"/>
        <v>6871.411456597174</v>
      </c>
      <c r="FC32" s="173">
        <f t="shared" si="128"/>
        <v>9.7849659500283082</v>
      </c>
      <c r="FD32" s="5">
        <f t="shared" si="129"/>
        <v>18.900000000000002</v>
      </c>
      <c r="FE32" s="173">
        <f t="shared" si="130"/>
        <v>0.65888173034353381</v>
      </c>
      <c r="FF32" s="5">
        <f t="shared" si="131"/>
        <v>65.888173034353386</v>
      </c>
      <c r="FI32" s="562">
        <f t="shared" si="94"/>
        <v>-50</v>
      </c>
      <c r="FJ32">
        <f t="shared" si="95"/>
        <v>-50</v>
      </c>
      <c r="FL32">
        <f t="shared" si="96"/>
        <v>0.27963444447208446</v>
      </c>
    </row>
    <row r="33" spans="5:168">
      <c r="E33" s="170">
        <v>28</v>
      </c>
      <c r="F33" s="217">
        <f t="shared" si="97"/>
        <v>0.70000000000000007</v>
      </c>
      <c r="G33" s="217"/>
      <c r="H33" s="217">
        <f t="shared" si="0"/>
        <v>19.600000000000001</v>
      </c>
      <c r="I33" s="541">
        <f t="shared" si="1"/>
        <v>27.936539508018349</v>
      </c>
      <c r="J33" s="172">
        <f t="shared" si="2"/>
        <v>28.434171034143965</v>
      </c>
      <c r="K33" s="172">
        <f t="shared" si="3"/>
        <v>56.434171034143965</v>
      </c>
      <c r="L33" s="443"/>
      <c r="M33" s="217">
        <f t="shared" si="4"/>
        <v>0.50441605743946005</v>
      </c>
      <c r="N33" s="172">
        <f t="shared" si="5"/>
        <v>118.68957883341209</v>
      </c>
      <c r="O33" s="172">
        <f t="shared" si="98"/>
        <v>19.600000000000001</v>
      </c>
      <c r="P33" s="217">
        <f t="shared" si="6"/>
        <v>4.2389135297647176</v>
      </c>
      <c r="Q33" s="217">
        <f t="shared" si="7"/>
        <v>28</v>
      </c>
      <c r="R33" s="217">
        <f t="shared" si="8"/>
        <v>4.1939402134334314</v>
      </c>
      <c r="S33" s="172">
        <f t="shared" si="9"/>
        <v>304.67794050231447</v>
      </c>
      <c r="T33" s="172">
        <f t="shared" si="10"/>
        <v>28</v>
      </c>
      <c r="U33" s="217">
        <f t="shared" si="99"/>
        <v>2.8249502854483182</v>
      </c>
      <c r="V33" s="217">
        <f t="shared" si="11"/>
        <v>0.4752652467137618</v>
      </c>
      <c r="W33" s="217">
        <f t="shared" si="12"/>
        <v>0.46694754440576636</v>
      </c>
      <c r="X33" s="197">
        <f t="shared" si="13"/>
        <v>350</v>
      </c>
      <c r="Y33" s="443">
        <f t="shared" si="14"/>
        <v>350</v>
      </c>
      <c r="AA33" s="217">
        <f t="shared" si="15"/>
        <v>8.5663096552341553</v>
      </c>
      <c r="AB33" s="173">
        <f t="shared" si="16"/>
        <v>1.4159602307819714</v>
      </c>
      <c r="AC33" s="173">
        <f t="shared" si="17"/>
        <v>2.1226719143656574</v>
      </c>
      <c r="AD33" s="173"/>
      <c r="AE33" s="173">
        <f t="shared" si="18"/>
        <v>0.55098025006088691</v>
      </c>
      <c r="AF33" s="545">
        <f t="shared" si="100"/>
        <v>762.27777666002964</v>
      </c>
      <c r="AG33" s="528">
        <f t="shared" si="19"/>
        <v>0.32140514586885066</v>
      </c>
      <c r="AI33" s="173">
        <f t="shared" si="20"/>
        <v>4.9192778430521491</v>
      </c>
      <c r="AJ33" s="173">
        <f t="shared" si="21"/>
        <v>4.9192778430521491</v>
      </c>
      <c r="AK33" s="173">
        <f t="shared" si="22"/>
        <v>2.3747737109028262</v>
      </c>
      <c r="AM33" s="545">
        <f t="shared" si="23"/>
        <v>700.00000000000011</v>
      </c>
      <c r="AN33" s="460">
        <f t="shared" si="24"/>
        <v>350</v>
      </c>
      <c r="AP33">
        <f t="shared" si="25"/>
        <v>700.00000000000011</v>
      </c>
      <c r="AQ33" s="460">
        <f t="shared" si="26"/>
        <v>350</v>
      </c>
      <c r="AR33" s="460"/>
      <c r="AS33" s="5">
        <f t="shared" si="101"/>
        <v>2.8571428571428572</v>
      </c>
      <c r="AT33" s="5">
        <f t="shared" si="27"/>
        <v>0.82761166091129579</v>
      </c>
      <c r="AU33" s="5">
        <f t="shared" si="102"/>
        <v>2.0295311962315612</v>
      </c>
      <c r="AV33" s="5">
        <f t="shared" si="28"/>
        <v>0.81312748082515596</v>
      </c>
      <c r="AW33" s="173">
        <f t="shared" si="103"/>
        <v>0.28966408131895349</v>
      </c>
      <c r="AX33" s="173">
        <f t="shared" si="29"/>
        <v>19.903919723900778</v>
      </c>
      <c r="AY33" s="173">
        <f t="shared" si="30"/>
        <v>1.7471698729458827</v>
      </c>
      <c r="AZ33" s="173">
        <f t="shared" si="104"/>
        <v>11.392091880763152</v>
      </c>
      <c r="BA33" s="460">
        <f t="shared" si="31"/>
        <v>2.0690291522782394</v>
      </c>
      <c r="BB33" s="5">
        <f t="shared" si="32"/>
        <v>1.0170707341575584</v>
      </c>
      <c r="BC33" s="5"/>
      <c r="BD33" s="173">
        <f t="shared" si="105"/>
        <v>1.5285795594910947</v>
      </c>
      <c r="BE33" s="173">
        <f t="shared" si="33"/>
        <v>2.393715945836921</v>
      </c>
      <c r="BF33" s="173"/>
      <c r="BG33" s="528">
        <f t="shared" si="34"/>
        <v>2.803866563632787E-2</v>
      </c>
      <c r="BH33" s="528">
        <f t="shared" si="35"/>
        <v>1.7732681577298999</v>
      </c>
      <c r="BI33" s="528">
        <f t="shared" si="36"/>
        <v>4.0250000000000001E-2</v>
      </c>
      <c r="BJ33" s="528">
        <f t="shared" si="37"/>
        <v>0.54898259944611094</v>
      </c>
      <c r="BK33">
        <f t="shared" si="38"/>
        <v>1.2571442778608256E-2</v>
      </c>
      <c r="BL33" s="460">
        <f t="shared" si="106"/>
        <v>52.821442778608258</v>
      </c>
      <c r="BM33" s="528">
        <f t="shared" si="39"/>
        <v>2.3736732427129881</v>
      </c>
      <c r="BN33" s="460">
        <f t="shared" si="107"/>
        <v>2373.6732427129882</v>
      </c>
      <c r="BO33" s="528">
        <f t="shared" si="108"/>
        <v>0.46941999999999995</v>
      </c>
      <c r="BP33" s="528"/>
      <c r="BR33" s="460">
        <f t="shared" si="109"/>
        <v>469.41999999999996</v>
      </c>
      <c r="BS33" s="528">
        <f t="shared" si="40"/>
        <v>3.2711776575715848E-2</v>
      </c>
      <c r="BT33" s="528">
        <f t="shared" si="41"/>
        <v>8.021826441095524E-2</v>
      </c>
      <c r="BU33" s="528">
        <f t="shared" si="42"/>
        <v>6.1502602890725901</v>
      </c>
      <c r="BV33" s="528">
        <f t="shared" si="43"/>
        <v>6.3476406857206298</v>
      </c>
      <c r="BW33" s="528">
        <f t="shared" si="44"/>
        <v>0.84697530740003335</v>
      </c>
      <c r="BX33" s="460">
        <f t="shared" si="110"/>
        <v>7194.615993120663</v>
      </c>
      <c r="BY33" s="173">
        <f t="shared" si="45"/>
        <v>10.090530678612259</v>
      </c>
      <c r="BZ33" s="5">
        <f t="shared" si="111"/>
        <v>19.600000000000001</v>
      </c>
      <c r="CA33" s="173">
        <f t="shared" si="112"/>
        <v>0.66014313493288179</v>
      </c>
      <c r="CB33" s="5">
        <f t="shared" si="113"/>
        <v>66.014313493288185</v>
      </c>
      <c r="CE33" s="562">
        <f t="shared" si="46"/>
        <v>-50</v>
      </c>
      <c r="CF33">
        <f t="shared" si="47"/>
        <v>-50</v>
      </c>
      <c r="CG33" s="173">
        <f t="shared" si="48"/>
        <v>0.28679260799399975</v>
      </c>
      <c r="CI33" s="170">
        <v>28</v>
      </c>
      <c r="CJ33" s="217">
        <f t="shared" si="114"/>
        <v>0.70000000000000007</v>
      </c>
      <c r="CK33" s="217"/>
      <c r="CL33" s="217">
        <f t="shared" si="49"/>
        <v>19.600000000000001</v>
      </c>
      <c r="CM33" s="541">
        <f t="shared" si="50"/>
        <v>28</v>
      </c>
      <c r="CN33" s="172">
        <f t="shared" si="51"/>
        <v>28.4</v>
      </c>
      <c r="CO33" s="443">
        <f t="shared" si="52"/>
        <v>56.4</v>
      </c>
      <c r="CP33" s="443"/>
      <c r="CQ33" s="217">
        <f t="shared" si="53"/>
        <v>0.50354609929078009</v>
      </c>
      <c r="CR33" s="172">
        <f t="shared" si="54"/>
        <v>118.75402645742166</v>
      </c>
      <c r="CS33" s="172">
        <f t="shared" si="115"/>
        <v>19.600000000000001</v>
      </c>
      <c r="CT33" s="217">
        <f t="shared" si="55"/>
        <v>4.2412152306222017</v>
      </c>
      <c r="CU33" s="217">
        <f t="shared" si="56"/>
        <v>28</v>
      </c>
      <c r="CV33" s="217">
        <f t="shared" si="57"/>
        <v>4.1962174940898347</v>
      </c>
      <c r="CW33" s="172">
        <f t="shared" si="58"/>
        <v>305.36996217653387</v>
      </c>
      <c r="CX33" s="172">
        <f t="shared" si="59"/>
        <v>28</v>
      </c>
      <c r="CY33" s="217">
        <f t="shared" si="60"/>
        <v>2.7802816901408454</v>
      </c>
      <c r="CZ33" s="217">
        <f t="shared" si="61"/>
        <v>0.46669014084507049</v>
      </c>
      <c r="DA33" s="217">
        <f t="shared" si="62"/>
        <v>0.46011704026978778</v>
      </c>
      <c r="DB33" s="197">
        <f t="shared" si="63"/>
        <v>350</v>
      </c>
      <c r="DC33" s="443">
        <f t="shared" si="116"/>
        <v>350</v>
      </c>
      <c r="DE33" s="217">
        <f t="shared" si="64"/>
        <v>8.5709974347366842</v>
      </c>
      <c r="DF33" s="173">
        <f t="shared" si="65"/>
        <v>1.418439716312057</v>
      </c>
      <c r="DG33" s="173">
        <f t="shared" si="66"/>
        <v>2.1275525547218721</v>
      </c>
      <c r="DH33" s="173"/>
      <c r="DI33" s="173">
        <f t="shared" si="67"/>
        <v>0.55164319248826299</v>
      </c>
      <c r="DJ33" s="545">
        <f t="shared" si="117"/>
        <v>761.36170212765956</v>
      </c>
      <c r="DK33" s="528">
        <f t="shared" si="68"/>
        <v>0.3217918622848201</v>
      </c>
      <c r="DM33" s="173">
        <f t="shared" si="69"/>
        <v>4.916321060097423</v>
      </c>
      <c r="DN33" s="173">
        <f t="shared" si="70"/>
        <v>4.916321060097423</v>
      </c>
      <c r="DO33" s="173">
        <f t="shared" si="71"/>
        <v>2.3725835013067327</v>
      </c>
      <c r="DQ33" s="545">
        <f t="shared" si="72"/>
        <v>700.00000000000011</v>
      </c>
      <c r="DR33" s="460">
        <f t="shared" si="73"/>
        <v>350</v>
      </c>
      <c r="DT33">
        <f t="shared" si="74"/>
        <v>700.00000000000011</v>
      </c>
      <c r="DU33" s="460">
        <f t="shared" si="75"/>
        <v>350</v>
      </c>
      <c r="DV33" s="460"/>
      <c r="DW33" s="5">
        <f t="shared" si="118"/>
        <v>2.8571428571428572</v>
      </c>
      <c r="DX33" s="5">
        <f t="shared" si="76"/>
        <v>0.82523960651635309</v>
      </c>
      <c r="DY33" s="5">
        <f t="shared" si="119"/>
        <v>2.0319032506265042</v>
      </c>
      <c r="DZ33" s="5">
        <f t="shared" si="77"/>
        <v>0.81361651346682706</v>
      </c>
      <c r="EA33" s="173">
        <f t="shared" si="120"/>
        <v>0.28883386228072355</v>
      </c>
      <c r="EB33" s="173">
        <f t="shared" si="78"/>
        <v>19.88</v>
      </c>
      <c r="EC33" s="173">
        <f t="shared" si="79"/>
        <v>1.7481605300487113</v>
      </c>
      <c r="ED33" s="173">
        <f t="shared" si="121"/>
        <v>11.371953352273692</v>
      </c>
      <c r="EE33" s="460">
        <f t="shared" si="80"/>
        <v>2.0630990162908827</v>
      </c>
      <c r="EF33" s="5">
        <f t="shared" si="81"/>
        <v>1.0159516253132521</v>
      </c>
      <c r="EG33" s="5"/>
      <c r="EH33" s="173">
        <f t="shared" si="122"/>
        <v>1.5254699718817084</v>
      </c>
      <c r="EI33" s="173">
        <f t="shared" si="82"/>
        <v>2.3936747802363842</v>
      </c>
      <c r="EJ33" s="173"/>
      <c r="EK33" s="528">
        <f t="shared" si="83"/>
        <v>2.7924703621353363E-2</v>
      </c>
      <c r="EL33" s="528">
        <f t="shared" si="84"/>
        <v>1.8439153768001395</v>
      </c>
      <c r="EM33" s="528">
        <f t="shared" si="85"/>
        <v>4.0250000000000001E-2</v>
      </c>
      <c r="EN33" s="528">
        <f t="shared" si="86"/>
        <v>0.54831797999999998</v>
      </c>
      <c r="EO33">
        <f t="shared" si="87"/>
        <v>1.26E-2</v>
      </c>
      <c r="EP33" s="460">
        <f t="shared" si="123"/>
        <v>52.85</v>
      </c>
      <c r="EQ33" s="528">
        <f t="shared" si="88"/>
        <v>2.4971158683979442</v>
      </c>
      <c r="ER33" s="460">
        <f t="shared" si="124"/>
        <v>2497.1158683979443</v>
      </c>
      <c r="ES33" s="528">
        <f t="shared" si="125"/>
        <v>0.46941999999999995</v>
      </c>
      <c r="ET33" s="528"/>
      <c r="EV33" s="460">
        <f t="shared" si="126"/>
        <v>469.41999999999996</v>
      </c>
      <c r="EW33" s="528">
        <f t="shared" si="89"/>
        <v>3.2578820891578923E-2</v>
      </c>
      <c r="EX33" s="528">
        <f t="shared" si="90"/>
        <v>8.0215505349555835E-2</v>
      </c>
      <c r="EY33" s="528">
        <f t="shared" si="91"/>
        <v>6.1410227604729579</v>
      </c>
      <c r="EZ33" s="528">
        <f t="shared" si="92"/>
        <v>6.3380796791780059</v>
      </c>
      <c r="FA33" s="528">
        <f t="shared" si="93"/>
        <v>0.8459574468085107</v>
      </c>
      <c r="FB33" s="460">
        <f t="shared" si="127"/>
        <v>7184.037125986516</v>
      </c>
      <c r="FC33" s="173">
        <f t="shared" si="128"/>
        <v>10.15057299438446</v>
      </c>
      <c r="FD33" s="5">
        <f t="shared" si="129"/>
        <v>19.600000000000001</v>
      </c>
      <c r="FE33" s="173">
        <f t="shared" si="130"/>
        <v>0.65881084050715855</v>
      </c>
      <c r="FF33" s="5">
        <f t="shared" si="131"/>
        <v>65.881084050715856</v>
      </c>
      <c r="FI33" s="562">
        <f t="shared" si="94"/>
        <v>-50</v>
      </c>
      <c r="FJ33">
        <f t="shared" si="95"/>
        <v>-50</v>
      </c>
      <c r="FL33">
        <f t="shared" si="96"/>
        <v>0.28476577971338951</v>
      </c>
    </row>
    <row r="34" spans="5:168">
      <c r="E34" s="170">
        <v>29</v>
      </c>
      <c r="F34" s="217">
        <f t="shared" si="97"/>
        <v>0.72499999999999998</v>
      </c>
      <c r="G34" s="217"/>
      <c r="H34" s="217">
        <f t="shared" si="0"/>
        <v>20.3</v>
      </c>
      <c r="I34" s="541">
        <f t="shared" si="1"/>
        <v>27.935416226265513</v>
      </c>
      <c r="J34" s="172">
        <f t="shared" si="2"/>
        <v>28.434775878164722</v>
      </c>
      <c r="K34" s="172">
        <f t="shared" si="3"/>
        <v>56.434775878164722</v>
      </c>
      <c r="L34" s="443"/>
      <c r="M34" s="217">
        <f t="shared" si="4"/>
        <v>0.50443146419926721</v>
      </c>
      <c r="N34" s="172">
        <f t="shared" si="5"/>
        <v>118.68843160250292</v>
      </c>
      <c r="O34" s="172">
        <f t="shared" si="98"/>
        <v>20.3</v>
      </c>
      <c r="P34" s="217">
        <f t="shared" si="6"/>
        <v>4.2388725572322468</v>
      </c>
      <c r="Q34" s="217">
        <f t="shared" si="7"/>
        <v>28</v>
      </c>
      <c r="R34" s="217">
        <f t="shared" si="8"/>
        <v>4.193899675604488</v>
      </c>
      <c r="S34" s="172">
        <f t="shared" si="9"/>
        <v>293.19938123705344</v>
      </c>
      <c r="T34" s="172">
        <f t="shared" si="10"/>
        <v>28</v>
      </c>
      <c r="U34" s="217">
        <f t="shared" si="99"/>
        <v>2.9259323287284773</v>
      </c>
      <c r="V34" s="217">
        <f t="shared" si="11"/>
        <v>0.49227410229506491</v>
      </c>
      <c r="W34" s="217">
        <f t="shared" si="12"/>
        <v>0.48362899021771494</v>
      </c>
      <c r="X34" s="197">
        <f t="shared" si="13"/>
        <v>350</v>
      </c>
      <c r="Y34" s="443">
        <f t="shared" si="14"/>
        <v>350</v>
      </c>
      <c r="AA34" s="217">
        <f t="shared" si="15"/>
        <v>8.5662262141058445</v>
      </c>
      <c r="AB34" s="173">
        <f t="shared" si="16"/>
        <v>1.4159163194676134</v>
      </c>
      <c r="AC34" s="173">
        <f t="shared" si="17"/>
        <v>2.1225854112406535</v>
      </c>
      <c r="AD34" s="173"/>
      <c r="AE34" s="173">
        <f t="shared" si="18"/>
        <v>0.55096853000685042</v>
      </c>
      <c r="AF34" s="545">
        <f t="shared" si="100"/>
        <v>789.5187770426586</v>
      </c>
      <c r="AG34" s="528">
        <f t="shared" si="19"/>
        <v>0.32139830917066281</v>
      </c>
      <c r="AI34" s="173">
        <f t="shared" si="20"/>
        <v>5.0064047139723336</v>
      </c>
      <c r="AJ34" s="173">
        <f t="shared" si="21"/>
        <v>5.0064047139723336</v>
      </c>
      <c r="AK34" s="173">
        <f t="shared" si="22"/>
        <v>2.4393121338066668</v>
      </c>
      <c r="AM34" s="545">
        <f t="shared" si="23"/>
        <v>725</v>
      </c>
      <c r="AN34" s="460">
        <f t="shared" si="24"/>
        <v>350</v>
      </c>
      <c r="AP34">
        <f t="shared" si="25"/>
        <v>725</v>
      </c>
      <c r="AQ34" s="460">
        <f t="shared" si="26"/>
        <v>350</v>
      </c>
      <c r="AR34" s="460"/>
      <c r="AS34" s="5">
        <f t="shared" si="101"/>
        <v>2.8571428571428572</v>
      </c>
      <c r="AT34" s="5">
        <f t="shared" si="27"/>
        <v>0.84230361792663866</v>
      </c>
      <c r="AU34" s="5">
        <f t="shared" si="102"/>
        <v>2.0148392392162187</v>
      </c>
      <c r="AV34" s="5">
        <f t="shared" si="28"/>
        <v>0.82751143376301095</v>
      </c>
      <c r="AW34" s="173">
        <f t="shared" si="103"/>
        <v>0.29480626627432355</v>
      </c>
      <c r="AX34" s="173">
        <f t="shared" si="29"/>
        <v>20.615212511669419</v>
      </c>
      <c r="AY34" s="173">
        <f t="shared" si="30"/>
        <v>1.7652426163939885</v>
      </c>
      <c r="AZ34" s="173">
        <f t="shared" si="104"/>
        <v>11.678401779004107</v>
      </c>
      <c r="BA34" s="460">
        <f t="shared" si="31"/>
        <v>2.1809647249886179</v>
      </c>
      <c r="BB34" s="5">
        <f t="shared" si="32"/>
        <v>1.0458111213380239</v>
      </c>
      <c r="BC34" s="5"/>
      <c r="BD34" s="173">
        <f t="shared" si="105"/>
        <v>1.569400124043681</v>
      </c>
      <c r="BE34" s="173">
        <f t="shared" si="33"/>
        <v>2.4272781678277311</v>
      </c>
      <c r="BF34" s="173"/>
      <c r="BG34" s="528">
        <f t="shared" si="34"/>
        <v>2.9556200992179857E-2</v>
      </c>
      <c r="BH34" s="528">
        <f t="shared" si="35"/>
        <v>1.8046944075260074</v>
      </c>
      <c r="BI34" s="528">
        <f t="shared" si="36"/>
        <v>4.0250000000000001E-2</v>
      </c>
      <c r="BJ34" s="528">
        <f t="shared" si="37"/>
        <v>0.54899436716117056</v>
      </c>
      <c r="BK34">
        <f t="shared" si="38"/>
        <v>1.257093730181948E-2</v>
      </c>
      <c r="BL34" s="460">
        <f t="shared" si="106"/>
        <v>52.820937301819484</v>
      </c>
      <c r="BM34" s="528">
        <f t="shared" si="39"/>
        <v>2.4081364164194574</v>
      </c>
      <c r="BN34" s="460">
        <f t="shared" si="107"/>
        <v>2408.1364164194574</v>
      </c>
      <c r="BO34" s="528">
        <f t="shared" si="108"/>
        <v>0.48618499999999992</v>
      </c>
      <c r="BP34" s="528"/>
      <c r="BR34" s="460">
        <f t="shared" si="109"/>
        <v>486.18499999999995</v>
      </c>
      <c r="BS34" s="528">
        <f t="shared" si="40"/>
        <v>3.44822344908765E-2</v>
      </c>
      <c r="BT34" s="528">
        <f t="shared" si="41"/>
        <v>8.2483510256184056E-2</v>
      </c>
      <c r="BU34" s="528">
        <f t="shared" si="42"/>
        <v>6.4262113083462769</v>
      </c>
      <c r="BV34" s="528">
        <f t="shared" si="43"/>
        <v>6.6333185150532454</v>
      </c>
      <c r="BW34" s="528">
        <f t="shared" si="44"/>
        <v>0.87724308560295405</v>
      </c>
      <c r="BX34" s="460">
        <f t="shared" si="110"/>
        <v>7510.5616006561995</v>
      </c>
      <c r="BY34" s="173">
        <f t="shared" si="45"/>
        <v>10.457703954377477</v>
      </c>
      <c r="BZ34" s="5">
        <f t="shared" si="111"/>
        <v>20.3</v>
      </c>
      <c r="CA34" s="173">
        <f t="shared" si="112"/>
        <v>0.65999724914807489</v>
      </c>
      <c r="CB34" s="5">
        <f t="shared" si="113"/>
        <v>65.999724914807487</v>
      </c>
      <c r="CE34" s="562">
        <f t="shared" si="46"/>
        <v>-50</v>
      </c>
      <c r="CF34">
        <f t="shared" si="47"/>
        <v>-50</v>
      </c>
      <c r="CG34" s="173">
        <f t="shared" si="48"/>
        <v>0.29186897745392537</v>
      </c>
      <c r="CI34" s="170">
        <v>29</v>
      </c>
      <c r="CJ34" s="217">
        <f t="shared" si="114"/>
        <v>0.72499999999999998</v>
      </c>
      <c r="CK34" s="217"/>
      <c r="CL34" s="217">
        <f t="shared" si="49"/>
        <v>20.3</v>
      </c>
      <c r="CM34" s="541">
        <f t="shared" si="50"/>
        <v>28</v>
      </c>
      <c r="CN34" s="172">
        <f t="shared" si="51"/>
        <v>28.4</v>
      </c>
      <c r="CO34" s="443">
        <f t="shared" si="52"/>
        <v>56.4</v>
      </c>
      <c r="CP34" s="443"/>
      <c r="CQ34" s="217">
        <f t="shared" si="53"/>
        <v>0.50354609929078009</v>
      </c>
      <c r="CR34" s="172">
        <f t="shared" si="54"/>
        <v>118.75402645742166</v>
      </c>
      <c r="CS34" s="172">
        <f t="shared" si="115"/>
        <v>20.3</v>
      </c>
      <c r="CT34" s="217">
        <f t="shared" si="55"/>
        <v>4.2412152306222017</v>
      </c>
      <c r="CU34" s="217">
        <f t="shared" si="56"/>
        <v>28</v>
      </c>
      <c r="CV34" s="217">
        <f t="shared" si="57"/>
        <v>4.1962174940898347</v>
      </c>
      <c r="CW34" s="172">
        <f t="shared" si="58"/>
        <v>293.87713982111507</v>
      </c>
      <c r="CX34" s="172">
        <f t="shared" si="59"/>
        <v>28</v>
      </c>
      <c r="CY34" s="217">
        <f t="shared" si="60"/>
        <v>2.8795774647887327</v>
      </c>
      <c r="CZ34" s="217">
        <f t="shared" si="61"/>
        <v>0.48335764587525154</v>
      </c>
      <c r="DA34" s="217">
        <f t="shared" si="62"/>
        <v>0.4765497917079945</v>
      </c>
      <c r="DB34" s="197">
        <f t="shared" si="63"/>
        <v>350</v>
      </c>
      <c r="DC34" s="443">
        <f t="shared" si="116"/>
        <v>350</v>
      </c>
      <c r="DE34" s="217">
        <f t="shared" si="64"/>
        <v>8.5709974347366842</v>
      </c>
      <c r="DF34" s="173">
        <f t="shared" si="65"/>
        <v>1.418439716312057</v>
      </c>
      <c r="DG34" s="173">
        <f t="shared" si="66"/>
        <v>2.1275525547218721</v>
      </c>
      <c r="DH34" s="173"/>
      <c r="DI34" s="173">
        <f t="shared" si="67"/>
        <v>0.55164319248826299</v>
      </c>
      <c r="DJ34" s="545">
        <f t="shared" si="117"/>
        <v>788.55319148936155</v>
      </c>
      <c r="DK34" s="528">
        <f t="shared" si="68"/>
        <v>0.3217918622848201</v>
      </c>
      <c r="DM34" s="173">
        <f t="shared" si="69"/>
        <v>5.0033423479166332</v>
      </c>
      <c r="DN34" s="173">
        <f t="shared" si="70"/>
        <v>5.0033423479166332</v>
      </c>
      <c r="DO34" s="173">
        <f t="shared" si="71"/>
        <v>2.4370437145061477</v>
      </c>
      <c r="DQ34" s="545">
        <f t="shared" si="72"/>
        <v>725</v>
      </c>
      <c r="DR34" s="460">
        <f t="shared" si="73"/>
        <v>350</v>
      </c>
      <c r="DT34">
        <f t="shared" si="74"/>
        <v>725</v>
      </c>
      <c r="DU34" s="460">
        <f t="shared" si="75"/>
        <v>350</v>
      </c>
      <c r="DV34" s="460"/>
      <c r="DW34" s="5">
        <f t="shared" si="118"/>
        <v>2.8571428571428572</v>
      </c>
      <c r="DX34" s="5">
        <f t="shared" si="76"/>
        <v>0.83984675125743491</v>
      </c>
      <c r="DY34" s="5">
        <f t="shared" si="119"/>
        <v>2.0172961058854222</v>
      </c>
      <c r="DZ34" s="5">
        <f t="shared" si="77"/>
        <v>0.82801792377493577</v>
      </c>
      <c r="EA34" s="173">
        <f t="shared" si="120"/>
        <v>0.29394636294010223</v>
      </c>
      <c r="EB34" s="173">
        <f t="shared" si="78"/>
        <v>20.59</v>
      </c>
      <c r="EC34" s="173">
        <f t="shared" si="79"/>
        <v>1.7663140311011736</v>
      </c>
      <c r="ED34" s="173">
        <f t="shared" si="121"/>
        <v>11.657043785789083</v>
      </c>
      <c r="EE34" s="460">
        <f t="shared" si="80"/>
        <v>2.1746031952201439</v>
      </c>
      <c r="EF34" s="5">
        <f t="shared" si="81"/>
        <v>1.0446711976906649</v>
      </c>
      <c r="EG34" s="5"/>
      <c r="EH34" s="173">
        <f t="shared" si="122"/>
        <v>1.5661510216025625</v>
      </c>
      <c r="EI34" s="173">
        <f t="shared" si="82"/>
        <v>2.4272719654690307</v>
      </c>
      <c r="EJ34" s="173"/>
      <c r="EK34" s="528">
        <f t="shared" si="83"/>
        <v>2.9433948269601003E-2</v>
      </c>
      <c r="EL34" s="528">
        <f t="shared" si="84"/>
        <v>1.8765535810096123</v>
      </c>
      <c r="EM34" s="528">
        <f t="shared" si="85"/>
        <v>4.0250000000000001E-2</v>
      </c>
      <c r="EN34" s="528">
        <f t="shared" si="86"/>
        <v>0.54831797999999998</v>
      </c>
      <c r="EO34">
        <f t="shared" si="87"/>
        <v>1.26E-2</v>
      </c>
      <c r="EP34" s="460">
        <f t="shared" si="123"/>
        <v>52.85</v>
      </c>
      <c r="EQ34" s="528">
        <f t="shared" si="88"/>
        <v>2.5328159390543927</v>
      </c>
      <c r="ER34" s="460">
        <f t="shared" si="124"/>
        <v>2532.8159390543929</v>
      </c>
      <c r="ES34" s="528">
        <f t="shared" si="125"/>
        <v>0.48618499999999992</v>
      </c>
      <c r="ET34" s="528"/>
      <c r="EV34" s="460">
        <f t="shared" si="126"/>
        <v>486.18499999999995</v>
      </c>
      <c r="EW34" s="528">
        <f t="shared" si="89"/>
        <v>3.4339606314534504E-2</v>
      </c>
      <c r="EX34" s="528">
        <f t="shared" si="90"/>
        <v>8.2483088720926481E-2</v>
      </c>
      <c r="EY34" s="528">
        <f t="shared" si="91"/>
        <v>6.4163886985333338</v>
      </c>
      <c r="EZ34" s="528">
        <f t="shared" si="92"/>
        <v>6.6231475561474396</v>
      </c>
      <c r="FA34" s="528">
        <f t="shared" si="93"/>
        <v>0.87617021276595752</v>
      </c>
      <c r="FB34" s="460">
        <f t="shared" si="127"/>
        <v>7499.3177689133972</v>
      </c>
      <c r="FC34" s="173">
        <f t="shared" si="128"/>
        <v>10.51831870796779</v>
      </c>
      <c r="FD34" s="5">
        <f t="shared" si="129"/>
        <v>20.3</v>
      </c>
      <c r="FE34" s="173">
        <f t="shared" si="130"/>
        <v>0.65869913905302124</v>
      </c>
      <c r="FF34" s="5">
        <f t="shared" si="131"/>
        <v>65.869913905302127</v>
      </c>
      <c r="FI34" s="562">
        <f t="shared" si="94"/>
        <v>-50</v>
      </c>
      <c r="FJ34">
        <f t="shared" si="95"/>
        <v>-50</v>
      </c>
      <c r="FL34">
        <f t="shared" si="96"/>
        <v>0.28980627332122755</v>
      </c>
    </row>
    <row r="35" spans="5:168">
      <c r="E35" s="170">
        <v>30</v>
      </c>
      <c r="F35" s="217">
        <f t="shared" si="97"/>
        <v>0.75</v>
      </c>
      <c r="G35" s="217"/>
      <c r="H35" s="217">
        <f t="shared" si="0"/>
        <v>21</v>
      </c>
      <c r="I35" s="541">
        <f t="shared" si="1"/>
        <v>27.93431215015681</v>
      </c>
      <c r="J35" s="172">
        <f t="shared" si="2"/>
        <v>28.435370380684791</v>
      </c>
      <c r="K35" s="172">
        <f t="shared" si="3"/>
        <v>56.435370380684788</v>
      </c>
      <c r="L35" s="443"/>
      <c r="M35" s="217">
        <f t="shared" si="4"/>
        <v>0.50444660781128625</v>
      </c>
      <c r="N35" s="172">
        <f t="shared" si="5"/>
        <v>118.68730376705892</v>
      </c>
      <c r="O35" s="172">
        <f t="shared" si="98"/>
        <v>21</v>
      </c>
      <c r="P35" s="217">
        <f t="shared" si="6"/>
        <v>4.2388322773949616</v>
      </c>
      <c r="Q35" s="217">
        <f t="shared" si="7"/>
        <v>28</v>
      </c>
      <c r="R35" s="217">
        <f t="shared" si="8"/>
        <v>4.193859823121489</v>
      </c>
      <c r="S35" s="172">
        <f t="shared" si="9"/>
        <v>282.4864329402331</v>
      </c>
      <c r="T35" s="172">
        <f t="shared" si="10"/>
        <v>28</v>
      </c>
      <c r="U35" s="217">
        <f t="shared" si="99"/>
        <v>3.0269190437279443</v>
      </c>
      <c r="V35" s="217">
        <f t="shared" si="11"/>
        <v>0.50928476165973813</v>
      </c>
      <c r="W35" s="217">
        <f t="shared" si="12"/>
        <v>0.50031068050321381</v>
      </c>
      <c r="X35" s="197">
        <f t="shared" si="13"/>
        <v>350</v>
      </c>
      <c r="Y35" s="443">
        <f t="shared" si="14"/>
        <v>350</v>
      </c>
      <c r="AA35" s="217">
        <f t="shared" si="15"/>
        <v>8.5661441838612351</v>
      </c>
      <c r="AB35" s="173">
        <f t="shared" si="16"/>
        <v>1.4158731581529069</v>
      </c>
      <c r="AC35" s="173">
        <f t="shared" si="17"/>
        <v>2.1225003832894336</v>
      </c>
      <c r="AD35" s="173"/>
      <c r="AE35" s="173">
        <f t="shared" si="18"/>
        <v>0.55095701082580295</v>
      </c>
      <c r="AF35" s="545">
        <f t="shared" si="100"/>
        <v>816.76063859413762</v>
      </c>
      <c r="AG35" s="528">
        <f t="shared" si="19"/>
        <v>0.32139158964838505</v>
      </c>
      <c r="AI35" s="173">
        <f t="shared" si="20"/>
        <v>5.0920437116857755</v>
      </c>
      <c r="AJ35" s="173">
        <f t="shared" si="21"/>
        <v>5.0920437116857755</v>
      </c>
      <c r="AK35" s="173">
        <f t="shared" si="22"/>
        <v>2.5027484284092161</v>
      </c>
      <c r="AM35" s="545">
        <f t="shared" si="23"/>
        <v>750</v>
      </c>
      <c r="AN35" s="460">
        <f t="shared" si="24"/>
        <v>350</v>
      </c>
      <c r="AP35">
        <f t="shared" si="25"/>
        <v>750</v>
      </c>
      <c r="AQ35" s="460">
        <f t="shared" si="26"/>
        <v>350</v>
      </c>
      <c r="AR35" s="460"/>
      <c r="AS35" s="5">
        <f t="shared" si="101"/>
        <v>2.8571428571428572</v>
      </c>
      <c r="AT35" s="5">
        <f t="shared" si="27"/>
        <v>0.85674582986962144</v>
      </c>
      <c r="AU35" s="5">
        <f t="shared" si="102"/>
        <v>2.0003970272732357</v>
      </c>
      <c r="AV35" s="5">
        <f t="shared" si="28"/>
        <v>0.84164915471541646</v>
      </c>
      <c r="AW35" s="173">
        <f t="shared" si="103"/>
        <v>0.29986104045436751</v>
      </c>
      <c r="AX35" s="173">
        <f t="shared" si="29"/>
        <v>21.326527785513591</v>
      </c>
      <c r="AY35" s="173">
        <f t="shared" si="30"/>
        <v>1.7825690931302796</v>
      </c>
      <c r="AZ35" s="173">
        <f t="shared" si="104"/>
        <v>11.963927719661712</v>
      </c>
      <c r="BA35" s="460">
        <f t="shared" si="31"/>
        <v>2.2948549014364859</v>
      </c>
      <c r="BB35" s="5">
        <f t="shared" si="32"/>
        <v>1.0741612411218828</v>
      </c>
      <c r="BC35" s="5"/>
      <c r="BD35" s="173">
        <f t="shared" si="105"/>
        <v>1.6098726325478605</v>
      </c>
      <c r="BE35" s="173">
        <f t="shared" si="33"/>
        <v>2.4599349234372654</v>
      </c>
      <c r="BF35" s="173"/>
      <c r="BG35" s="528">
        <f t="shared" si="34"/>
        <v>3.1100278716318944E-2</v>
      </c>
      <c r="BH35" s="528">
        <f t="shared" si="35"/>
        <v>1.8355846441663963</v>
      </c>
      <c r="BI35" s="528">
        <f t="shared" si="36"/>
        <v>4.0250000000000001E-2</v>
      </c>
      <c r="BJ35" s="528">
        <f t="shared" si="37"/>
        <v>0.54900593379712459</v>
      </c>
      <c r="BK35">
        <f t="shared" si="38"/>
        <v>1.2570440467570564E-2</v>
      </c>
      <c r="BL35" s="460">
        <f t="shared" si="106"/>
        <v>52.820440467570563</v>
      </c>
      <c r="BM35" s="528">
        <f t="shared" si="39"/>
        <v>2.4421339002155698</v>
      </c>
      <c r="BN35" s="460">
        <f t="shared" si="107"/>
        <v>2442.1339002155696</v>
      </c>
      <c r="BO35" s="528">
        <f t="shared" si="108"/>
        <v>0.5029499999999999</v>
      </c>
      <c r="BP35" s="528"/>
      <c r="BR35" s="460">
        <f t="shared" si="109"/>
        <v>502.94999999999987</v>
      </c>
      <c r="BS35" s="528">
        <f t="shared" si="40"/>
        <v>3.6283658502372099E-2</v>
      </c>
      <c r="BT35" s="528">
        <f t="shared" si="41"/>
        <v>8.471791758564827E-2</v>
      </c>
      <c r="BU35" s="528">
        <f t="shared" si="42"/>
        <v>6.7045621815745964</v>
      </c>
      <c r="BV35" s="528">
        <f t="shared" si="43"/>
        <v>6.9216061562409976</v>
      </c>
      <c r="BW35" s="528">
        <f t="shared" si="44"/>
        <v>0.9075118206601529</v>
      </c>
      <c r="BX35" s="460">
        <f t="shared" si="110"/>
        <v>7829.1179769011505</v>
      </c>
      <c r="BY35" s="173">
        <f t="shared" si="45"/>
        <v>10.827022317584291</v>
      </c>
      <c r="BZ35" s="5">
        <f t="shared" si="111"/>
        <v>21</v>
      </c>
      <c r="CA35" s="173">
        <f t="shared" si="112"/>
        <v>0.65981667371997887</v>
      </c>
      <c r="CB35" s="5">
        <f t="shared" si="113"/>
        <v>65.981667371997887</v>
      </c>
      <c r="CE35" s="562">
        <f t="shared" si="46"/>
        <v>-50</v>
      </c>
      <c r="CF35">
        <f t="shared" si="47"/>
        <v>-50</v>
      </c>
      <c r="CG35" s="173">
        <f t="shared" si="48"/>
        <v>0.29685855217594792</v>
      </c>
      <c r="CI35" s="170">
        <v>30</v>
      </c>
      <c r="CJ35" s="217">
        <f t="shared" si="114"/>
        <v>0.75</v>
      </c>
      <c r="CK35" s="217"/>
      <c r="CL35" s="217">
        <f t="shared" si="49"/>
        <v>21</v>
      </c>
      <c r="CM35" s="541">
        <f t="shared" si="50"/>
        <v>28</v>
      </c>
      <c r="CN35" s="172">
        <f t="shared" si="51"/>
        <v>28.4</v>
      </c>
      <c r="CO35" s="443">
        <f t="shared" si="52"/>
        <v>56.4</v>
      </c>
      <c r="CP35" s="443"/>
      <c r="CQ35" s="217">
        <f t="shared" si="53"/>
        <v>0.50354609929078009</v>
      </c>
      <c r="CR35" s="172">
        <f t="shared" si="54"/>
        <v>118.75402645742166</v>
      </c>
      <c r="CS35" s="172">
        <f t="shared" si="115"/>
        <v>21</v>
      </c>
      <c r="CT35" s="217">
        <f t="shared" si="55"/>
        <v>4.2412152306222017</v>
      </c>
      <c r="CU35" s="217">
        <f t="shared" si="56"/>
        <v>28</v>
      </c>
      <c r="CV35" s="217">
        <f t="shared" si="57"/>
        <v>4.1962174940898347</v>
      </c>
      <c r="CW35" s="172">
        <f t="shared" si="58"/>
        <v>283.15061023259358</v>
      </c>
      <c r="CX35" s="172">
        <f t="shared" si="59"/>
        <v>28</v>
      </c>
      <c r="CY35" s="217">
        <f t="shared" si="60"/>
        <v>2.97887323943662</v>
      </c>
      <c r="CZ35" s="217">
        <f t="shared" si="61"/>
        <v>0.50002515090543265</v>
      </c>
      <c r="DA35" s="217">
        <f t="shared" si="62"/>
        <v>0.49298254314620127</v>
      </c>
      <c r="DB35" s="197">
        <f t="shared" si="63"/>
        <v>350</v>
      </c>
      <c r="DC35" s="443">
        <f t="shared" si="116"/>
        <v>350</v>
      </c>
      <c r="DE35" s="217">
        <f t="shared" si="64"/>
        <v>8.5709974347366842</v>
      </c>
      <c r="DF35" s="173">
        <f t="shared" si="65"/>
        <v>1.418439716312057</v>
      </c>
      <c r="DG35" s="173">
        <f t="shared" si="66"/>
        <v>2.1275525547218721</v>
      </c>
      <c r="DH35" s="173"/>
      <c r="DI35" s="173">
        <f t="shared" si="67"/>
        <v>0.55164319248826299</v>
      </c>
      <c r="DJ35" s="545">
        <f t="shared" si="117"/>
        <v>815.74468085106366</v>
      </c>
      <c r="DK35" s="528">
        <f t="shared" si="68"/>
        <v>0.3217918622848201</v>
      </c>
      <c r="DM35" s="173">
        <f t="shared" si="69"/>
        <v>5.0888757633640855</v>
      </c>
      <c r="DN35" s="173">
        <f t="shared" si="70"/>
        <v>5.0888757633640855</v>
      </c>
      <c r="DO35" s="173">
        <f t="shared" si="71"/>
        <v>2.5004018000227792</v>
      </c>
      <c r="DQ35" s="545">
        <f t="shared" si="72"/>
        <v>750</v>
      </c>
      <c r="DR35" s="460">
        <f t="shared" si="73"/>
        <v>350</v>
      </c>
      <c r="DT35">
        <f t="shared" si="74"/>
        <v>750</v>
      </c>
      <c r="DU35" s="460">
        <f t="shared" si="75"/>
        <v>350</v>
      </c>
      <c r="DV35" s="460"/>
      <c r="DW35" s="5">
        <f t="shared" si="118"/>
        <v>2.8571428571428572</v>
      </c>
      <c r="DX35" s="5">
        <f t="shared" si="76"/>
        <v>0.85420414599325722</v>
      </c>
      <c r="DY35" s="5">
        <f t="shared" si="119"/>
        <v>2.0029387111496</v>
      </c>
      <c r="DZ35" s="5">
        <f t="shared" si="77"/>
        <v>0.84217310168349302</v>
      </c>
      <c r="EA35" s="173">
        <f t="shared" si="120"/>
        <v>0.29897145109764001</v>
      </c>
      <c r="EB35" s="173">
        <f t="shared" si="78"/>
        <v>21.299999999999997</v>
      </c>
      <c r="EC35" s="173">
        <f t="shared" si="79"/>
        <v>1.7837235959677571</v>
      </c>
      <c r="ED35" s="173">
        <f t="shared" si="121"/>
        <v>11.941312010532499</v>
      </c>
      <c r="EE35" s="460">
        <f t="shared" si="80"/>
        <v>2.2880468196247961</v>
      </c>
      <c r="EF35" s="5">
        <f t="shared" si="81"/>
        <v>1.0730028809729999</v>
      </c>
      <c r="EG35" s="5"/>
      <c r="EH35" s="173">
        <f t="shared" si="122"/>
        <v>1.6064828023597078</v>
      </c>
      <c r="EI35" s="173">
        <f t="shared" si="82"/>
        <v>2.4599658230770811</v>
      </c>
      <c r="EJ35" s="173"/>
      <c r="EK35" s="528">
        <f t="shared" si="83"/>
        <v>3.0969443931329999E-2</v>
      </c>
      <c r="EL35" s="528">
        <f t="shared" si="84"/>
        <v>1.9086337438073342</v>
      </c>
      <c r="EM35" s="528">
        <f t="shared" si="85"/>
        <v>4.0250000000000001E-2</v>
      </c>
      <c r="EN35" s="528">
        <f t="shared" si="86"/>
        <v>0.54831797999999998</v>
      </c>
      <c r="EO35">
        <f t="shared" si="87"/>
        <v>1.26E-2</v>
      </c>
      <c r="EP35" s="460">
        <f t="shared" si="123"/>
        <v>52.85</v>
      </c>
      <c r="EQ35" s="528">
        <f t="shared" si="88"/>
        <v>2.5680293503770932</v>
      </c>
      <c r="ER35" s="460">
        <f t="shared" si="124"/>
        <v>2568.0293503770931</v>
      </c>
      <c r="ES35" s="528">
        <f t="shared" si="125"/>
        <v>0.5029499999999999</v>
      </c>
      <c r="ET35" s="528"/>
      <c r="EV35" s="460">
        <f t="shared" si="126"/>
        <v>502.94999999999987</v>
      </c>
      <c r="EW35" s="528">
        <f t="shared" si="89"/>
        <v>3.6131017919884996E-2</v>
      </c>
      <c r="EX35" s="528">
        <f t="shared" si="90"/>
        <v>8.4720045909902217E-2</v>
      </c>
      <c r="EY35" s="528">
        <f t="shared" si="91"/>
        <v>6.694139157816088</v>
      </c>
      <c r="EZ35" s="528">
        <f t="shared" si="92"/>
        <v>6.9108087642517475</v>
      </c>
      <c r="FA35" s="528">
        <f t="shared" si="93"/>
        <v>0.90638297872340412</v>
      </c>
      <c r="FB35" s="460">
        <f t="shared" si="127"/>
        <v>7817.191742975152</v>
      </c>
      <c r="FC35" s="173">
        <f t="shared" si="128"/>
        <v>10.888171093352245</v>
      </c>
      <c r="FD35" s="5">
        <f t="shared" si="129"/>
        <v>21</v>
      </c>
      <c r="FE35" s="173">
        <f t="shared" si="130"/>
        <v>0.65855140887580998</v>
      </c>
      <c r="FF35" s="5">
        <f t="shared" si="131"/>
        <v>65.855140887581001</v>
      </c>
      <c r="FI35" s="562">
        <f t="shared" si="94"/>
        <v>-50</v>
      </c>
      <c r="FJ35">
        <f t="shared" si="95"/>
        <v>-50</v>
      </c>
      <c r="FL35">
        <f t="shared" si="96"/>
        <v>0.29476058558922263</v>
      </c>
    </row>
    <row r="36" spans="5:168">
      <c r="E36" s="170">
        <v>31</v>
      </c>
      <c r="F36" s="217">
        <f t="shared" si="97"/>
        <v>0.77500000000000002</v>
      </c>
      <c r="G36" s="217"/>
      <c r="H36" s="217">
        <f t="shared" si="0"/>
        <v>21.7</v>
      </c>
      <c r="I36" s="541">
        <f t="shared" si="1"/>
        <v>27.933226327012399</v>
      </c>
      <c r="J36" s="172">
        <f t="shared" si="2"/>
        <v>28.435955054685632</v>
      </c>
      <c r="K36" s="172">
        <f t="shared" si="3"/>
        <v>56.435955054685635</v>
      </c>
      <c r="L36" s="443"/>
      <c r="M36" s="217">
        <f t="shared" si="4"/>
        <v>0.50446150132874956</v>
      </c>
      <c r="N36" s="172">
        <f t="shared" si="5"/>
        <v>118.68619436497869</v>
      </c>
      <c r="O36" s="172">
        <f t="shared" si="98"/>
        <v>21.7</v>
      </c>
      <c r="P36" s="217">
        <f t="shared" si="6"/>
        <v>4.2387926558920963</v>
      </c>
      <c r="Q36" s="217">
        <f t="shared" si="7"/>
        <v>28</v>
      </c>
      <c r="R36" s="217">
        <f t="shared" si="8"/>
        <v>4.1938206219882224</v>
      </c>
      <c r="S36" s="172">
        <f t="shared" si="9"/>
        <v>272.46499406052504</v>
      </c>
      <c r="T36" s="172">
        <f t="shared" si="10"/>
        <v>28</v>
      </c>
      <c r="U36" s="217">
        <f t="shared" si="99"/>
        <v>3.127910352386766</v>
      </c>
      <c r="V36" s="217">
        <f t="shared" si="11"/>
        <v>0.52629719474979686</v>
      </c>
      <c r="W36" s="217">
        <f t="shared" si="12"/>
        <v>0.5169926112186396</v>
      </c>
      <c r="X36" s="197">
        <f t="shared" si="13"/>
        <v>350</v>
      </c>
      <c r="Y36" s="443">
        <f t="shared" si="14"/>
        <v>350</v>
      </c>
      <c r="AA36" s="217">
        <f t="shared" si="15"/>
        <v>8.5660634945142178</v>
      </c>
      <c r="AB36" s="173">
        <f t="shared" si="16"/>
        <v>1.4158307096347291</v>
      </c>
      <c r="AC36" s="173">
        <f t="shared" si="17"/>
        <v>2.1224167573374872</v>
      </c>
      <c r="AD36" s="173"/>
      <c r="AE36" s="173">
        <f t="shared" si="18"/>
        <v>0.5509456825535789</v>
      </c>
      <c r="AF36" s="545">
        <f t="shared" si="100"/>
        <v>844.00334683588198</v>
      </c>
      <c r="AG36" s="528">
        <f t="shared" si="19"/>
        <v>0.32138498148958772</v>
      </c>
      <c r="AI36" s="173">
        <f t="shared" si="20"/>
        <v>5.1762686408656338</v>
      </c>
      <c r="AJ36" s="173">
        <f t="shared" si="21"/>
        <v>5.1762686408656338</v>
      </c>
      <c r="AK36" s="173">
        <f t="shared" si="22"/>
        <v>2.5651372648387412</v>
      </c>
      <c r="AM36" s="545">
        <f t="shared" si="23"/>
        <v>775</v>
      </c>
      <c r="AN36" s="460">
        <f t="shared" si="24"/>
        <v>350</v>
      </c>
      <c r="AP36">
        <f t="shared" si="25"/>
        <v>775</v>
      </c>
      <c r="AQ36" s="460">
        <f t="shared" si="26"/>
        <v>350</v>
      </c>
      <c r="AR36" s="460"/>
      <c r="AS36" s="5">
        <f t="shared" si="101"/>
        <v>2.8571428571428572</v>
      </c>
      <c r="AT36" s="5">
        <f t="shared" si="27"/>
        <v>0.87095068529702957</v>
      </c>
      <c r="AU36" s="5">
        <f t="shared" si="102"/>
        <v>1.9861921718458277</v>
      </c>
      <c r="AV36" s="5">
        <f t="shared" si="28"/>
        <v>0.85555285782672075</v>
      </c>
      <c r="AW36" s="173">
        <f t="shared" si="103"/>
        <v>0.30483273985396037</v>
      </c>
      <c r="AX36" s="173">
        <f t="shared" si="29"/>
        <v>22.037865167381366</v>
      </c>
      <c r="AY36" s="173">
        <f t="shared" si="30"/>
        <v>1.7991862444252136</v>
      </c>
      <c r="AZ36" s="173">
        <f t="shared" si="104"/>
        <v>12.248795940756988</v>
      </c>
      <c r="BA36" s="460">
        <f t="shared" si="31"/>
        <v>2.4106670753757071</v>
      </c>
      <c r="BB36" s="5">
        <f t="shared" si="32"/>
        <v>1.1021275631823173</v>
      </c>
      <c r="BC36" s="5"/>
      <c r="BD36" s="173">
        <f t="shared" si="105"/>
        <v>1.6500115525069177</v>
      </c>
      <c r="BE36" s="173">
        <f t="shared" si="33"/>
        <v>2.4917291634652758</v>
      </c>
      <c r="BF36" s="173"/>
      <c r="BG36" s="528">
        <f t="shared" si="34"/>
        <v>3.2670457480875464E-2</v>
      </c>
      <c r="BH36" s="528">
        <f t="shared" si="35"/>
        <v>1.8659654561433927</v>
      </c>
      <c r="BI36" s="528">
        <f t="shared" si="36"/>
        <v>4.0250000000000001E-2</v>
      </c>
      <c r="BJ36" s="528">
        <f t="shared" si="37"/>
        <v>0.54901730932833392</v>
      </c>
      <c r="BK36">
        <f t="shared" si="38"/>
        <v>1.2569951847155579E-2</v>
      </c>
      <c r="BL36" s="460">
        <f t="shared" si="106"/>
        <v>52.819951847155579</v>
      </c>
      <c r="BM36" s="528">
        <f t="shared" si="39"/>
        <v>2.475691805841973</v>
      </c>
      <c r="BN36" s="460">
        <f t="shared" si="107"/>
        <v>2475.6918058419728</v>
      </c>
      <c r="BO36" s="528">
        <f t="shared" si="108"/>
        <v>0.51971499999999993</v>
      </c>
      <c r="BP36" s="528"/>
      <c r="BR36" s="460">
        <f t="shared" si="109"/>
        <v>519.71499999999992</v>
      </c>
      <c r="BS36" s="528">
        <f t="shared" si="40"/>
        <v>3.8115533727688042E-2</v>
      </c>
      <c r="BT36" s="528">
        <f t="shared" si="41"/>
        <v>8.6921999136887085E-2</v>
      </c>
      <c r="BU36" s="528">
        <f t="shared" si="42"/>
        <v>6.9852528946434793</v>
      </c>
      <c r="BV36" s="528">
        <f t="shared" si="43"/>
        <v>7.2124455471665758</v>
      </c>
      <c r="BW36" s="528">
        <f t="shared" si="44"/>
        <v>0.93778149648431353</v>
      </c>
      <c r="BX36" s="460">
        <f t="shared" si="110"/>
        <v>8150.2270436508898</v>
      </c>
      <c r="BY36" s="173">
        <f t="shared" si="45"/>
        <v>11.198453801340017</v>
      </c>
      <c r="BZ36" s="5">
        <f t="shared" si="111"/>
        <v>21.7</v>
      </c>
      <c r="CA36" s="173">
        <f t="shared" si="112"/>
        <v>0.65960546751033378</v>
      </c>
      <c r="CB36" s="5">
        <f t="shared" si="113"/>
        <v>65.960546751033377</v>
      </c>
      <c r="CE36" s="562">
        <f t="shared" si="46"/>
        <v>-50</v>
      </c>
      <c r="CF36">
        <f t="shared" si="47"/>
        <v>-50</v>
      </c>
      <c r="CG36" s="173">
        <f t="shared" si="48"/>
        <v>0.3017656375401282</v>
      </c>
      <c r="CI36" s="170">
        <v>31</v>
      </c>
      <c r="CJ36" s="217">
        <f t="shared" si="114"/>
        <v>0.77500000000000002</v>
      </c>
      <c r="CK36" s="217"/>
      <c r="CL36" s="217">
        <f t="shared" si="49"/>
        <v>21.7</v>
      </c>
      <c r="CM36" s="541">
        <f t="shared" si="50"/>
        <v>28</v>
      </c>
      <c r="CN36" s="172">
        <f t="shared" si="51"/>
        <v>28.4</v>
      </c>
      <c r="CO36" s="443">
        <f t="shared" si="52"/>
        <v>56.4</v>
      </c>
      <c r="CP36" s="443"/>
      <c r="CQ36" s="217">
        <f t="shared" si="53"/>
        <v>0.50354609929078009</v>
      </c>
      <c r="CR36" s="172">
        <f t="shared" si="54"/>
        <v>118.75402645742166</v>
      </c>
      <c r="CS36" s="172">
        <f t="shared" si="115"/>
        <v>21.7</v>
      </c>
      <c r="CT36" s="217">
        <f t="shared" si="55"/>
        <v>4.2412152306222017</v>
      </c>
      <c r="CU36" s="217">
        <f t="shared" si="56"/>
        <v>28</v>
      </c>
      <c r="CV36" s="217">
        <f t="shared" si="57"/>
        <v>4.1962174940898347</v>
      </c>
      <c r="CW36" s="172">
        <f t="shared" si="58"/>
        <v>273.11621702905677</v>
      </c>
      <c r="CX36" s="172">
        <f t="shared" si="59"/>
        <v>28</v>
      </c>
      <c r="CY36" s="217">
        <f t="shared" si="60"/>
        <v>3.0781690140845073</v>
      </c>
      <c r="CZ36" s="217">
        <f t="shared" si="61"/>
        <v>0.51669265593561364</v>
      </c>
      <c r="DA36" s="217">
        <f t="shared" si="62"/>
        <v>0.50941529458440793</v>
      </c>
      <c r="DB36" s="197">
        <f t="shared" si="63"/>
        <v>350</v>
      </c>
      <c r="DC36" s="443">
        <f t="shared" si="116"/>
        <v>350</v>
      </c>
      <c r="DE36" s="217">
        <f t="shared" si="64"/>
        <v>8.5709974347366842</v>
      </c>
      <c r="DF36" s="173">
        <f t="shared" si="65"/>
        <v>1.418439716312057</v>
      </c>
      <c r="DG36" s="173">
        <f t="shared" si="66"/>
        <v>2.1275525547218721</v>
      </c>
      <c r="DH36" s="173"/>
      <c r="DI36" s="173">
        <f t="shared" si="67"/>
        <v>0.55164319248826299</v>
      </c>
      <c r="DJ36" s="545">
        <f t="shared" si="117"/>
        <v>842.93617021276589</v>
      </c>
      <c r="DK36" s="528">
        <f t="shared" si="68"/>
        <v>0.3217918622848201</v>
      </c>
      <c r="DM36" s="173">
        <f t="shared" si="69"/>
        <v>5.1729951110988779</v>
      </c>
      <c r="DN36" s="173">
        <f t="shared" si="70"/>
        <v>5.1729951110988779</v>
      </c>
      <c r="DO36" s="173">
        <f t="shared" si="71"/>
        <v>2.5627124279744775</v>
      </c>
      <c r="DQ36" s="545">
        <f t="shared" si="72"/>
        <v>775</v>
      </c>
      <c r="DR36" s="460">
        <f t="shared" si="73"/>
        <v>350</v>
      </c>
      <c r="DT36">
        <f t="shared" si="74"/>
        <v>775</v>
      </c>
      <c r="DU36" s="460">
        <f t="shared" si="75"/>
        <v>350</v>
      </c>
      <c r="DV36" s="460"/>
      <c r="DW36" s="5">
        <f t="shared" si="118"/>
        <v>2.8571428571428572</v>
      </c>
      <c r="DX36" s="5">
        <f t="shared" si="76"/>
        <v>0.86832417936302586</v>
      </c>
      <c r="DY36" s="5">
        <f t="shared" si="119"/>
        <v>1.9888186777798313</v>
      </c>
      <c r="DZ36" s="5">
        <f t="shared" si="77"/>
        <v>0.85609426134382838</v>
      </c>
      <c r="EA36" s="173">
        <f t="shared" si="120"/>
        <v>0.30391346277705905</v>
      </c>
      <c r="EB36" s="173">
        <f t="shared" si="78"/>
        <v>22.01</v>
      </c>
      <c r="EC36" s="173">
        <f t="shared" si="79"/>
        <v>1.8004261269780104</v>
      </c>
      <c r="ED36" s="173">
        <f t="shared" si="121"/>
        <v>12.224883692919672</v>
      </c>
      <c r="EE36" s="460">
        <f t="shared" si="80"/>
        <v>2.4033972821655176</v>
      </c>
      <c r="EF36" s="5">
        <f t="shared" si="81"/>
        <v>1.100953196628121</v>
      </c>
      <c r="EG36" s="5"/>
      <c r="EH36" s="173">
        <f t="shared" si="122"/>
        <v>1.6464798119978092</v>
      </c>
      <c r="EI36" s="173">
        <f t="shared" si="82"/>
        <v>2.4917992900381489</v>
      </c>
      <c r="EJ36" s="173"/>
      <c r="EK36" s="528">
        <f t="shared" si="83"/>
        <v>3.2530749255796097E-2</v>
      </c>
      <c r="EL36" s="528">
        <f t="shared" si="84"/>
        <v>1.9401835463687453</v>
      </c>
      <c r="EM36" s="528">
        <f t="shared" si="85"/>
        <v>4.0250000000000001E-2</v>
      </c>
      <c r="EN36" s="528">
        <f t="shared" si="86"/>
        <v>0.54831797999999998</v>
      </c>
      <c r="EO36">
        <f t="shared" si="87"/>
        <v>1.26E-2</v>
      </c>
      <c r="EP36" s="460">
        <f t="shared" si="123"/>
        <v>52.85</v>
      </c>
      <c r="EQ36" s="528">
        <f t="shared" si="88"/>
        <v>2.6027832864566403</v>
      </c>
      <c r="ER36" s="460">
        <f t="shared" si="124"/>
        <v>2602.7832864566403</v>
      </c>
      <c r="ES36" s="528">
        <f t="shared" si="125"/>
        <v>0.51971499999999993</v>
      </c>
      <c r="ET36" s="528"/>
      <c r="EV36" s="460">
        <f t="shared" si="126"/>
        <v>519.71499999999992</v>
      </c>
      <c r="EW36" s="528">
        <f t="shared" si="89"/>
        <v>3.7952540798428781E-2</v>
      </c>
      <c r="EX36" s="528">
        <f t="shared" si="90"/>
        <v>8.6926891825684721E-2</v>
      </c>
      <c r="EY36" s="528">
        <f t="shared" si="91"/>
        <v>6.9742142535545986</v>
      </c>
      <c r="EZ36" s="528">
        <f t="shared" si="92"/>
        <v>7.2010053469727522</v>
      </c>
      <c r="FA36" s="528">
        <f t="shared" si="93"/>
        <v>0.93659574468085127</v>
      </c>
      <c r="FB36" s="460">
        <f t="shared" si="127"/>
        <v>8137.6010916536043</v>
      </c>
      <c r="FC36" s="173">
        <f t="shared" si="128"/>
        <v>11.260099378110244</v>
      </c>
      <c r="FD36" s="5">
        <f t="shared" si="129"/>
        <v>21.7</v>
      </c>
      <c r="FE36" s="173">
        <f t="shared" si="130"/>
        <v>0.65837180134267426</v>
      </c>
      <c r="FF36" s="5">
        <f t="shared" si="131"/>
        <v>65.837180134267427</v>
      </c>
      <c r="FI36" s="562">
        <f t="shared" si="94"/>
        <v>-50</v>
      </c>
      <c r="FJ36">
        <f t="shared" si="95"/>
        <v>-50</v>
      </c>
      <c r="FL36">
        <f t="shared" si="96"/>
        <v>0.29963299147033995</v>
      </c>
    </row>
    <row r="37" spans="5:168">
      <c r="E37" s="170">
        <v>32</v>
      </c>
      <c r="F37" s="217">
        <f t="shared" si="97"/>
        <v>0.8</v>
      </c>
      <c r="G37" s="217"/>
      <c r="H37" s="217">
        <f t="shared" ref="H37:H68" si="132">F37*Vout</f>
        <v>22.400000000000002</v>
      </c>
      <c r="I37" s="541">
        <f t="shared" ref="I37:I68" si="133">Vin-F37*(Rdcr_pri+RON/1000)/CG37/Nps</f>
        <v>27.932157880402443</v>
      </c>
      <c r="J37" s="172">
        <f t="shared" ref="J37:J68" si="134">(T37+Vfwd1+F37/CG37*Rdcr_sec)*Nps</f>
        <v>28.436530372090992</v>
      </c>
      <c r="K37" s="172">
        <f t="shared" ref="K37:K68" si="135">(Vout+Vfwd1+F37/CG37*Rdcr_sec)*Nps+VIN_nom</f>
        <v>56.436530372090992</v>
      </c>
      <c r="L37" s="443"/>
      <c r="M37" s="217">
        <f t="shared" ref="M37:M68" si="136">(Vout+Vfwd1+F37/FL37*Rdcr_sec)*Nps/((Vout+Vfwd1+F37/FL37*Rdcr_sec)*Nps+I37)</f>
        <v>0.50447615676014212</v>
      </c>
      <c r="N37" s="172">
        <f t="shared" ref="N37:N68" si="137">M37*I37*(Isw_max+VIN_nom/Lmag*ILIM_delay)*0.5*Efficiency</f>
        <v>118.68510251116487</v>
      </c>
      <c r="O37" s="172">
        <f t="shared" si="98"/>
        <v>22.400000000000002</v>
      </c>
      <c r="P37" s="217">
        <f t="shared" ref="P37:P68" si="138">N37/Vout</f>
        <v>4.238753661113031</v>
      </c>
      <c r="Q37" s="217">
        <f t="shared" ref="Q37:Q68" si="139">MIN(Vout,N37/F37)</f>
        <v>28</v>
      </c>
      <c r="R37" s="217">
        <f t="shared" ref="R37:R68" si="140">Isw_max/2*I37*Nps*(Q37+Vfwd1+F37/FL37*Rdcr_sec)/Q37/(I37+Nps*(Q37+Vfwd1+F37/FL37*Rdcr_sec))</f>
        <v>4.1937820409294471</v>
      </c>
      <c r="S37" s="172">
        <f t="shared" ref="S37:S68" si="141">(SQRT(Isw_max^2*Nps^2*I37^2+4*Isw_max*F37/Efficiency*(Nps^2*Vfwd1*I37-Nps*I37^2)+4*(F37/Efficiency)^2*Nps^2*Vfwd1^2+8*(F37/Efficiency)^2*Nps*Vfwd1*I37+4*(F37/Efficiency)^2*I37^2)-2*F37/Efficiency*I37-2*F37/Efficiency*Nps*Vfwd1+Isw_max*Nps*I37)/(4*F37/Efficiency*Nps)</f>
        <v>263.0702265897533</v>
      </c>
      <c r="T37" s="172">
        <f t="shared" ref="T37:T68" si="142">MIN(Vout, S37)</f>
        <v>28</v>
      </c>
      <c r="U37" s="217">
        <f t="shared" ref="U37:U68" si="143">MIN(2*(Vout+Vfwd1+F37/FL37*Rdcr_sec)*F37/(I37*M37), Isw_max)</f>
        <v>3.228906180455017</v>
      </c>
      <c r="V37" s="217">
        <f t="shared" si="11"/>
        <v>0.54331137297437926</v>
      </c>
      <c r="W37" s="217">
        <f t="shared" ref="W37:W68" si="144">L*U37/J37*1000000</f>
        <v>0.53367477851773759</v>
      </c>
      <c r="X37" s="197">
        <f t="shared" ref="X37:X68" si="145">IF(1/((350000*L)*(1/I37+1/J37))&gt;Isw_min, 350, 0.001/((Isw_min*L)*(1/I37+1/J37)))</f>
        <v>350</v>
      </c>
      <c r="Y37" s="443">
        <f t="shared" si="14"/>
        <v>350</v>
      </c>
      <c r="AA37" s="217">
        <f t="shared" ref="AA37:AA68" si="146">1/((X37*1000*L)*(1/I37+1/J37))</f>
        <v>8.5659840816801847</v>
      </c>
      <c r="AB37" s="173">
        <f t="shared" ref="AB37:AB68" si="147">L*AA37/J37*1000000</f>
        <v>1.4157889396875976</v>
      </c>
      <c r="AC37" s="173">
        <f t="shared" ref="AC37:AC68" si="148">0.5*AB37*AA37*Nps*X37/1000</f>
        <v>2.1223344660669952</v>
      </c>
      <c r="AD37" s="173"/>
      <c r="AE37" s="173">
        <f t="shared" ref="AE37:AE68" si="149">L*Isw_min/J37*1000000</f>
        <v>0.55093453602351938</v>
      </c>
      <c r="AF37" s="545">
        <f t="shared" ref="AF37:AF68" si="150">MAX(12, F37/(0.5*AE37/1000000*Isw_min*Nps)/1000)</f>
        <v>871.24688799597925</v>
      </c>
      <c r="AG37" s="528">
        <f t="shared" ref="AG37:AG68" si="151">0.5*AE37/1000000*Isw_min*Nps*X37*1000</f>
        <v>0.32137847934705299</v>
      </c>
      <c r="AI37" s="173">
        <f t="shared" ref="AI37:AI68" si="152">SQRT(F37/Efficiency/(0.5*L/J37*Fsw_DCM*Nps))</f>
        <v>5.2591473990516491</v>
      </c>
      <c r="AJ37" s="173">
        <f t="shared" ref="AJ37:AJ71" si="153">MAX(IF(F37&gt;AC37,U37,AI37),Isw_min)</f>
        <v>5.2591473990516491</v>
      </c>
      <c r="AK37" s="173">
        <f t="shared" ref="AK37:AK68" si="154">IF(F37&gt;AG37, (AJ37-Isw_min)/1.08*0.8+1.2, AF37*0.2/350+1)</f>
        <v>2.6265289375691223</v>
      </c>
      <c r="AM37" s="545">
        <f t="shared" ref="AM37:AM68" si="155">F37*1000</f>
        <v>800</v>
      </c>
      <c r="AN37" s="460">
        <f t="shared" ref="AN37:AN68" si="156">IF(F37&gt;AG37, Y37, AF37)</f>
        <v>350</v>
      </c>
      <c r="AP37">
        <f t="shared" ref="AP37:AP68" si="157">IF(H37&gt;N37, "",AM37)</f>
        <v>800</v>
      </c>
      <c r="AQ37" s="460">
        <f t="shared" ref="AQ37:AQ68" si="158">IF(H37&gt;N37, "",AN37)</f>
        <v>350</v>
      </c>
      <c r="AR37" s="460"/>
      <c r="AS37" s="5">
        <f t="shared" si="101"/>
        <v>2.8571428571428572</v>
      </c>
      <c r="AT37" s="5">
        <f t="shared" ref="AT37:AT68" si="159">L*AJ37/I37*1000000</f>
        <v>0.88492958121524901</v>
      </c>
      <c r="AU37" s="5">
        <f t="shared" si="102"/>
        <v>1.9722132759276083</v>
      </c>
      <c r="AV37" s="5">
        <f t="shared" ref="AV37:AV68" si="160">L*AJ37/J37*1000000</f>
        <v>0.86923377965274562</v>
      </c>
      <c r="AW37" s="173">
        <f t="shared" si="103"/>
        <v>0.30972535342533714</v>
      </c>
      <c r="AX37" s="173">
        <f t="shared" ref="AX37:AX68" si="161">0.5*L*AJ37^2*AN37*1000</f>
        <v>22.749224297672789</v>
      </c>
      <c r="AY37" s="173">
        <f t="shared" ref="AY37:AY68" si="162">AJ37*Nps/2*(1-AW37)</f>
        <v>1.8151280560822172</v>
      </c>
      <c r="AZ37" s="173">
        <f t="shared" si="104"/>
        <v>12.533123611551048</v>
      </c>
      <c r="BA37" s="460">
        <f t="shared" ref="BA37:BA68" si="163">F37*AT37/Vout_ripple*1000</f>
        <v>2.528370232043569</v>
      </c>
      <c r="BB37" s="5">
        <f t="shared" ref="BB37:BB68" si="164">H37/Efficiency/I37*AU37/Vinripple1</f>
        <v>1.129716241400075</v>
      </c>
      <c r="BC37" s="5"/>
      <c r="BD37" s="173">
        <f t="shared" si="105"/>
        <v>1.6898303045740806</v>
      </c>
      <c r="BE37" s="173">
        <f t="shared" ref="BE37:BE68" si="165">AJ37*Nps*SQRT((1-AW37)/3)</f>
        <v>2.5227004043406169</v>
      </c>
      <c r="BF37" s="173"/>
      <c r="BG37" s="528">
        <f t="shared" ref="BG37:BG68" si="166">Rdson*BD37^2</f>
        <v>3.4266317499083161E-2</v>
      </c>
      <c r="BH37" s="528">
        <f t="shared" ref="BH37:BH68" si="167">0.5*K37*AJ37*AN37*1000*Tfall</f>
        <v>1.8958613038754699</v>
      </c>
      <c r="BI37" s="528">
        <f t="shared" ref="BI37:BI68" si="168">Qg*Vdd*AN37*1000</f>
        <v>4.0250000000000001E-2</v>
      </c>
      <c r="BJ37" s="528">
        <f t="shared" ref="BJ37:BJ68" si="169">0.5*(Coss+Csw)*K37^2*AN37*1000</f>
        <v>0.54902850293083616</v>
      </c>
      <c r="BK37">
        <f t="shared" ref="BK37:BK68" si="170">I37*IQ</f>
        <v>1.2569471046181099E-2</v>
      </c>
      <c r="BL37" s="460">
        <f t="shared" si="106"/>
        <v>52.8194710461811</v>
      </c>
      <c r="BM37" s="528">
        <f t="shared" ref="BM37:BM68" si="171">(BH37+BI37*0+BJ37+BK37*0+BG37*(1+RdsonTC*(Ta-25)))/(1-BG37*RdsonTC*ThetaJA)</f>
        <v>2.5088341473996287</v>
      </c>
      <c r="BN37" s="460">
        <f t="shared" si="107"/>
        <v>2508.8341473996288</v>
      </c>
      <c r="BO37" s="528">
        <f t="shared" ref="BO37:BO68" si="172">Vfwd2*F37*(1+Diode_TC/1000*(Ta-25))</f>
        <v>0.53647999999999996</v>
      </c>
      <c r="BP37" s="528"/>
      <c r="BR37" s="460">
        <f t="shared" si="109"/>
        <v>536.4799999999999</v>
      </c>
      <c r="BS37" s="528">
        <f t="shared" ref="BS37:BS68" si="173">Rdcr_pri*BD37^2</f>
        <v>3.997737041559702E-2</v>
      </c>
      <c r="BT37" s="528">
        <f t="shared" ref="BT37:BT68" si="174">Rdcr_sec*BE37^2</f>
        <v>8.9096242620844368E-2</v>
      </c>
      <c r="BU37" s="528">
        <f t="shared" ref="BU37:BU68" si="175">AJ37^2.5*AN37^2.5*k_core</f>
        <v>7.2682268348928147</v>
      </c>
      <c r="BV37" s="528">
        <f t="shared" ref="BV37:BV68" si="176">(BU37+(BS37+BT37)*(1+Ltc*(Ta-25)))/(1-(BS37+BT37)*Ltc*ThetaCa)</f>
        <v>7.5057819870364524</v>
      </c>
      <c r="BW37" s="528">
        <f t="shared" ref="BW37:BW68" si="177">0.5*Lleak*0.000000001*AJ37^2*AN37*1000</f>
        <v>0.96805209777331047</v>
      </c>
      <c r="BX37" s="460">
        <f t="shared" si="110"/>
        <v>8473.8340848097632</v>
      </c>
      <c r="BY37" s="173">
        <f t="shared" si="45"/>
        <v>11.571967703255574</v>
      </c>
      <c r="BZ37" s="5">
        <f t="shared" si="111"/>
        <v>22.400000000000002</v>
      </c>
      <c r="CA37" s="173">
        <f t="shared" si="112"/>
        <v>0.65936716400014073</v>
      </c>
      <c r="CB37" s="5">
        <f t="shared" si="113"/>
        <v>65.936716400014078</v>
      </c>
      <c r="CE37" s="562">
        <f t="shared" ref="CE37:CE68" si="178">IF(ABS(F37-Ioutmax_Vinnom)&lt;Iout/200, AN37, -50)</f>
        <v>-50</v>
      </c>
      <c r="CF37">
        <f t="shared" ref="CF37:CF68" si="179">IF(ABS(F37-Ioutmax_Vinnom)&lt;Iout/200, N37*CA37, -50)</f>
        <v>-50</v>
      </c>
      <c r="CG37" s="173">
        <f t="shared" ref="CG37:CG68" si="180">MIN(SQRT(2*DU37*1000*Ls1_*CL37)/CU37,1-EA37-0.00000005*DU37*1000)</f>
        <v>0.30659419433511786</v>
      </c>
      <c r="CI37" s="170">
        <v>32</v>
      </c>
      <c r="CJ37" s="217">
        <f t="shared" si="114"/>
        <v>0.8</v>
      </c>
      <c r="CK37" s="217"/>
      <c r="CL37" s="217">
        <f t="shared" si="49"/>
        <v>22.400000000000002</v>
      </c>
      <c r="CM37" s="541">
        <f t="shared" si="50"/>
        <v>28</v>
      </c>
      <c r="CN37" s="172">
        <f t="shared" si="51"/>
        <v>28.4</v>
      </c>
      <c r="CO37" s="443">
        <f t="shared" si="52"/>
        <v>56.4</v>
      </c>
      <c r="CP37" s="443"/>
      <c r="CQ37" s="217">
        <f t="shared" si="53"/>
        <v>0.50354609929078009</v>
      </c>
      <c r="CR37" s="172">
        <f t="shared" si="54"/>
        <v>118.75402645742166</v>
      </c>
      <c r="CS37" s="172">
        <f t="shared" si="115"/>
        <v>22.400000000000002</v>
      </c>
      <c r="CT37" s="217">
        <f t="shared" si="55"/>
        <v>4.2412152306222017</v>
      </c>
      <c r="CU37" s="217">
        <f t="shared" si="56"/>
        <v>28</v>
      </c>
      <c r="CV37" s="217">
        <f t="shared" si="57"/>
        <v>4.1962174940898347</v>
      </c>
      <c r="CW37" s="172">
        <f t="shared" si="58"/>
        <v>263.70907338846655</v>
      </c>
      <c r="CX37" s="172">
        <f t="shared" si="59"/>
        <v>28</v>
      </c>
      <c r="CY37" s="217">
        <f t="shared" si="60"/>
        <v>3.177464788732395</v>
      </c>
      <c r="CZ37" s="217">
        <f t="shared" si="61"/>
        <v>0.53336016096579486</v>
      </c>
      <c r="DA37" s="217">
        <f t="shared" si="62"/>
        <v>0.5258480460226147</v>
      </c>
      <c r="DB37" s="197">
        <f t="shared" si="63"/>
        <v>350</v>
      </c>
      <c r="DC37" s="443">
        <f t="shared" si="116"/>
        <v>350</v>
      </c>
      <c r="DE37" s="217">
        <f t="shared" si="64"/>
        <v>8.5709974347366842</v>
      </c>
      <c r="DF37" s="173">
        <f t="shared" si="65"/>
        <v>1.418439716312057</v>
      </c>
      <c r="DG37" s="173">
        <f t="shared" si="66"/>
        <v>2.1275525547218721</v>
      </c>
      <c r="DH37" s="173"/>
      <c r="DI37" s="173">
        <f t="shared" si="67"/>
        <v>0.55164319248826299</v>
      </c>
      <c r="DJ37" s="545">
        <f t="shared" si="117"/>
        <v>870.127659574468</v>
      </c>
      <c r="DK37" s="528">
        <f t="shared" si="68"/>
        <v>0.3217918622848201</v>
      </c>
      <c r="DM37" s="173">
        <f t="shared" si="69"/>
        <v>5.255768288647376</v>
      </c>
      <c r="DN37" s="173">
        <f t="shared" si="70"/>
        <v>5.255768288647376</v>
      </c>
      <c r="DO37" s="173">
        <f t="shared" si="71"/>
        <v>2.6240258928252169</v>
      </c>
      <c r="DQ37" s="545">
        <f t="shared" si="72"/>
        <v>800</v>
      </c>
      <c r="DR37" s="460">
        <f t="shared" si="73"/>
        <v>350</v>
      </c>
      <c r="DT37">
        <f t="shared" si="74"/>
        <v>800</v>
      </c>
      <c r="DU37" s="460">
        <f t="shared" si="75"/>
        <v>350</v>
      </c>
      <c r="DV37" s="460"/>
      <c r="DW37" s="5">
        <f t="shared" si="118"/>
        <v>2.8571428571428572</v>
      </c>
      <c r="DX37" s="5">
        <f t="shared" si="76"/>
        <v>0.88221824845152375</v>
      </c>
      <c r="DY37" s="5">
        <f t="shared" si="119"/>
        <v>1.9749246086913335</v>
      </c>
      <c r="DZ37" s="5">
        <f t="shared" si="77"/>
        <v>0.86979263931840378</v>
      </c>
      <c r="EA37" s="173">
        <f t="shared" si="120"/>
        <v>0.30877638695803328</v>
      </c>
      <c r="EB37" s="173">
        <f t="shared" si="78"/>
        <v>22.72</v>
      </c>
      <c r="EC37" s="173">
        <f t="shared" si="79"/>
        <v>1.8164555728951166</v>
      </c>
      <c r="ED37" s="173">
        <f t="shared" si="121"/>
        <v>12.507875413538599</v>
      </c>
      <c r="EE37" s="460">
        <f t="shared" si="80"/>
        <v>2.5206235670043537</v>
      </c>
      <c r="EF37" s="5">
        <f t="shared" si="81"/>
        <v>1.128528347823619</v>
      </c>
      <c r="EG37" s="5"/>
      <c r="EH37" s="173">
        <f t="shared" si="122"/>
        <v>1.6861554997917059</v>
      </c>
      <c r="EI37" s="173">
        <f t="shared" si="82"/>
        <v>2.5228118700845101</v>
      </c>
      <c r="EJ37" s="173"/>
      <c r="EK37" s="528">
        <f t="shared" si="83"/>
        <v>3.411744443373381E-2</v>
      </c>
      <c r="EL37" s="528">
        <f t="shared" si="84"/>
        <v>1.9712284543400849</v>
      </c>
      <c r="EM37" s="528">
        <f t="shared" si="85"/>
        <v>4.0250000000000001E-2</v>
      </c>
      <c r="EN37" s="528">
        <f t="shared" si="86"/>
        <v>0.54831797999999998</v>
      </c>
      <c r="EO37">
        <f t="shared" si="87"/>
        <v>1.26E-2</v>
      </c>
      <c r="EP37" s="460">
        <f t="shared" si="123"/>
        <v>52.85</v>
      </c>
      <c r="EQ37" s="528">
        <f t="shared" si="88"/>
        <v>2.6371027474237501</v>
      </c>
      <c r="ER37" s="460">
        <f t="shared" si="124"/>
        <v>2637.1027474237499</v>
      </c>
      <c r="ES37" s="528">
        <f t="shared" si="125"/>
        <v>0.53647999999999996</v>
      </c>
      <c r="ET37" s="528"/>
      <c r="EV37" s="460">
        <f t="shared" si="126"/>
        <v>536.4799999999999</v>
      </c>
      <c r="EW37" s="528">
        <f t="shared" si="89"/>
        <v>3.9803685172689444E-2</v>
      </c>
      <c r="EX37" s="528">
        <f t="shared" si="90"/>
        <v>8.9104116245750237E-2</v>
      </c>
      <c r="EY37" s="528">
        <f t="shared" si="91"/>
        <v>7.2565574971530804</v>
      </c>
      <c r="EZ37" s="528">
        <f t="shared" si="92"/>
        <v>7.4936827038625307</v>
      </c>
      <c r="FA37" s="528">
        <f t="shared" si="93"/>
        <v>0.96680851063829787</v>
      </c>
      <c r="FB37" s="460">
        <f t="shared" si="127"/>
        <v>8460.4912145008293</v>
      </c>
      <c r="FC37" s="173">
        <f t="shared" si="128"/>
        <v>11.634073961924578</v>
      </c>
      <c r="FD37" s="5">
        <f t="shared" si="129"/>
        <v>22.400000000000002</v>
      </c>
      <c r="FE37" s="173">
        <f t="shared" si="130"/>
        <v>0.65816393374063509</v>
      </c>
      <c r="FF37" s="5">
        <f t="shared" si="131"/>
        <v>65.816393374063509</v>
      </c>
      <c r="FI37" s="562">
        <f t="shared" si="94"/>
        <v>-50</v>
      </c>
      <c r="FJ37">
        <f t="shared" si="95"/>
        <v>-50</v>
      </c>
      <c r="FL37">
        <f t="shared" ref="FL37:FL68" si="181">MIN(SQRT(2*L*DR37*1000*CJ37*(CX37+Vfwd1))/(Nps*(CX37+Vfwd1)), 1-EA37)</f>
        <v>0.30442742376144138</v>
      </c>
    </row>
    <row r="38" spans="5:168">
      <c r="E38" s="170">
        <v>33</v>
      </c>
      <c r="F38" s="217">
        <f t="shared" ref="F38:F69" si="182">IF(PLOT_TYPE=1, E38/100*Iout_max, min_I*EXP(N38*rr/100))</f>
        <v>0.82500000000000007</v>
      </c>
      <c r="G38" s="217"/>
      <c r="H38" s="217">
        <f t="shared" si="132"/>
        <v>23.1</v>
      </c>
      <c r="I38" s="541">
        <f t="shared" si="133"/>
        <v>27.931106001867192</v>
      </c>
      <c r="J38" s="172">
        <f t="shared" si="134"/>
        <v>28.437096768225356</v>
      </c>
      <c r="K38" s="172">
        <f t="shared" si="135"/>
        <v>56.437096768225359</v>
      </c>
      <c r="L38" s="443"/>
      <c r="M38" s="217">
        <f t="shared" si="136"/>
        <v>0.504490585182651</v>
      </c>
      <c r="N38" s="172">
        <f t="shared" si="137"/>
        <v>118.68402738916258</v>
      </c>
      <c r="O38" s="172">
        <f t="shared" si="98"/>
        <v>23.1</v>
      </c>
      <c r="P38" s="217">
        <f t="shared" si="138"/>
        <v>4.2387152638986638</v>
      </c>
      <c r="Q38" s="217">
        <f t="shared" si="139"/>
        <v>28</v>
      </c>
      <c r="R38" s="217">
        <f t="shared" si="140"/>
        <v>4.1937440510954271</v>
      </c>
      <c r="S38" s="172">
        <f t="shared" si="141"/>
        <v>254.24515240902585</v>
      </c>
      <c r="T38" s="172">
        <f t="shared" si="142"/>
        <v>28</v>
      </c>
      <c r="U38" s="217">
        <f t="shared" si="143"/>
        <v>3.3299064571925663</v>
      </c>
      <c r="V38" s="217">
        <f t="shared" si="11"/>
        <v>0.56032726909413544</v>
      </c>
      <c r="W38" s="217">
        <f t="shared" si="144"/>
        <v>0.55035717873606782</v>
      </c>
      <c r="X38" s="197">
        <f t="shared" si="145"/>
        <v>350</v>
      </c>
      <c r="Y38" s="443">
        <f t="shared" si="14"/>
        <v>350</v>
      </c>
      <c r="AA38" s="217">
        <f t="shared" si="146"/>
        <v>8.5659058859677852</v>
      </c>
      <c r="AB38" s="173">
        <f t="shared" si="147"/>
        <v>1.4157478167403317</v>
      </c>
      <c r="AC38" s="173">
        <f t="shared" si="148"/>
        <v>2.1222534473808583</v>
      </c>
      <c r="AD38" s="173"/>
      <c r="AE38" s="173">
        <f t="shared" si="149"/>
        <v>0.55092356277987098</v>
      </c>
      <c r="AF38" s="545">
        <f t="shared" si="150"/>
        <v>898.49124895350326</v>
      </c>
      <c r="AG38" s="528">
        <f t="shared" si="151"/>
        <v>0.32137207828825809</v>
      </c>
      <c r="AI38" s="173">
        <f t="shared" si="152"/>
        <v>5.3407426181018707</v>
      </c>
      <c r="AJ38" s="173">
        <f t="shared" si="153"/>
        <v>5.3407426181018707</v>
      </c>
      <c r="AK38" s="173">
        <f t="shared" si="154"/>
        <v>2.6869698405692866</v>
      </c>
      <c r="AM38" s="545">
        <f t="shared" si="155"/>
        <v>825.00000000000011</v>
      </c>
      <c r="AN38" s="460">
        <f t="shared" si="156"/>
        <v>350</v>
      </c>
      <c r="AP38">
        <f t="shared" si="157"/>
        <v>825.00000000000011</v>
      </c>
      <c r="AQ38" s="460">
        <f t="shared" si="158"/>
        <v>350</v>
      </c>
      <c r="AR38" s="460"/>
      <c r="AS38" s="5">
        <f t="shared" si="101"/>
        <v>2.8571428571428572</v>
      </c>
      <c r="AT38" s="5">
        <f t="shared" si="159"/>
        <v>0.89869303075219276</v>
      </c>
      <c r="AU38" s="5">
        <f t="shared" si="102"/>
        <v>1.9584498263906644</v>
      </c>
      <c r="AV38" s="5">
        <f t="shared" si="160"/>
        <v>0.88270228531649342</v>
      </c>
      <c r="AW38" s="173">
        <f t="shared" si="103"/>
        <v>0.31454256076326748</v>
      </c>
      <c r="AX38" s="173">
        <f t="shared" si="161"/>
        <v>23.460604833785915</v>
      </c>
      <c r="AY38" s="173">
        <f t="shared" si="162"/>
        <v>1.8304258793132955</v>
      </c>
      <c r="AZ38" s="173">
        <f t="shared" si="104"/>
        <v>12.817019852553342</v>
      </c>
      <c r="BA38" s="460">
        <f t="shared" si="163"/>
        <v>2.647934822751997</v>
      </c>
      <c r="BB38" s="5">
        <f t="shared" si="164"/>
        <v>1.1569331387480948</v>
      </c>
      <c r="BC38" s="5"/>
      <c r="BD38" s="173">
        <f t="shared" si="105"/>
        <v>1.7293413685523367</v>
      </c>
      <c r="BE38" s="173">
        <f t="shared" si="165"/>
        <v>2.5528851002901414</v>
      </c>
      <c r="BF38" s="173"/>
      <c r="BG38" s="528">
        <f t="shared" si="166"/>
        <v>3.5887458827837622E-2</v>
      </c>
      <c r="BH38" s="528">
        <f t="shared" si="167"/>
        <v>1.9252947507934035</v>
      </c>
      <c r="BI38" s="528">
        <f t="shared" si="168"/>
        <v>4.0250000000000001E-2</v>
      </c>
      <c r="BJ38" s="528">
        <f t="shared" si="169"/>
        <v>0.54903952306903758</v>
      </c>
      <c r="BK38">
        <f t="shared" si="170"/>
        <v>1.2568997700840237E-2</v>
      </c>
      <c r="BL38" s="460">
        <f t="shared" si="106"/>
        <v>52.818997700840242</v>
      </c>
      <c r="BM38" s="528">
        <f t="shared" si="171"/>
        <v>2.5415830701440627</v>
      </c>
      <c r="BN38" s="460">
        <f t="shared" si="107"/>
        <v>2541.5830701440627</v>
      </c>
      <c r="BO38" s="528">
        <f t="shared" si="172"/>
        <v>0.55324499999999999</v>
      </c>
      <c r="BP38" s="528"/>
      <c r="BR38" s="460">
        <f t="shared" si="109"/>
        <v>553.245</v>
      </c>
      <c r="BS38" s="528">
        <f t="shared" si="173"/>
        <v>4.1868701965810558E-2</v>
      </c>
      <c r="BT38" s="528">
        <f t="shared" si="174"/>
        <v>9.1241112693967674E-2</v>
      </c>
      <c r="BU38" s="528">
        <f t="shared" si="175"/>
        <v>7.5534304975249826</v>
      </c>
      <c r="BV38" s="528">
        <f t="shared" si="176"/>
        <v>7.8015638451013363</v>
      </c>
      <c r="BW38" s="528">
        <f t="shared" si="177"/>
        <v>0.9983236099483368</v>
      </c>
      <c r="BX38" s="460">
        <f t="shared" si="110"/>
        <v>8799.887455049673</v>
      </c>
      <c r="BY38" s="173">
        <f t="shared" si="45"/>
        <v>11.947534522894577</v>
      </c>
      <c r="BZ38" s="5">
        <f t="shared" si="111"/>
        <v>23.1</v>
      </c>
      <c r="CA38" s="173">
        <f t="shared" si="112"/>
        <v>0.65910485043990963</v>
      </c>
      <c r="CB38" s="5">
        <f t="shared" si="113"/>
        <v>65.91048504399096</v>
      </c>
      <c r="CE38" s="562">
        <f t="shared" si="178"/>
        <v>-50</v>
      </c>
      <c r="CF38">
        <f t="shared" si="179"/>
        <v>-50</v>
      </c>
      <c r="CG38" s="173">
        <f t="shared" si="180"/>
        <v>0.31134787617711479</v>
      </c>
      <c r="CI38" s="170">
        <v>33</v>
      </c>
      <c r="CJ38" s="217">
        <f t="shared" si="114"/>
        <v>0.82500000000000007</v>
      </c>
      <c r="CK38" s="217"/>
      <c r="CL38" s="217">
        <f t="shared" si="49"/>
        <v>23.1</v>
      </c>
      <c r="CM38" s="541">
        <f t="shared" si="50"/>
        <v>28</v>
      </c>
      <c r="CN38" s="172">
        <f t="shared" si="51"/>
        <v>28.4</v>
      </c>
      <c r="CO38" s="443">
        <f t="shared" si="52"/>
        <v>56.4</v>
      </c>
      <c r="CP38" s="443"/>
      <c r="CQ38" s="217">
        <f t="shared" si="53"/>
        <v>0.50354609929078009</v>
      </c>
      <c r="CR38" s="172">
        <f t="shared" si="54"/>
        <v>118.75402645742166</v>
      </c>
      <c r="CS38" s="172">
        <f t="shared" si="115"/>
        <v>23.1</v>
      </c>
      <c r="CT38" s="217">
        <f t="shared" si="55"/>
        <v>4.2412152306222017</v>
      </c>
      <c r="CU38" s="217">
        <f t="shared" si="56"/>
        <v>28</v>
      </c>
      <c r="CV38" s="217">
        <f t="shared" si="57"/>
        <v>4.1962174940898347</v>
      </c>
      <c r="CW38" s="172">
        <f t="shared" si="58"/>
        <v>254.87215757007453</v>
      </c>
      <c r="CX38" s="172">
        <f t="shared" si="59"/>
        <v>28</v>
      </c>
      <c r="CY38" s="217">
        <f t="shared" si="60"/>
        <v>3.2767605633802823</v>
      </c>
      <c r="CZ38" s="217">
        <f t="shared" si="61"/>
        <v>0.55002766599597597</v>
      </c>
      <c r="DA38" s="217">
        <f t="shared" si="62"/>
        <v>0.54228079746082147</v>
      </c>
      <c r="DB38" s="197">
        <f t="shared" si="63"/>
        <v>350</v>
      </c>
      <c r="DC38" s="443">
        <f t="shared" si="116"/>
        <v>350</v>
      </c>
      <c r="DE38" s="217">
        <f t="shared" si="64"/>
        <v>8.5709974347366842</v>
      </c>
      <c r="DF38" s="173">
        <f t="shared" si="65"/>
        <v>1.418439716312057</v>
      </c>
      <c r="DG38" s="173">
        <f t="shared" si="66"/>
        <v>2.1275525547218721</v>
      </c>
      <c r="DH38" s="173"/>
      <c r="DI38" s="173">
        <f t="shared" si="67"/>
        <v>0.55164319248826299</v>
      </c>
      <c r="DJ38" s="545">
        <f t="shared" si="117"/>
        <v>897.31914893617011</v>
      </c>
      <c r="DK38" s="528">
        <f t="shared" si="68"/>
        <v>0.3217918622848201</v>
      </c>
      <c r="DM38" s="173">
        <f t="shared" si="69"/>
        <v>5.3372579278548882</v>
      </c>
      <c r="DN38" s="173">
        <f t="shared" si="70"/>
        <v>5.3372579278548882</v>
      </c>
      <c r="DO38" s="173">
        <f t="shared" si="71"/>
        <v>2.6843885885344849</v>
      </c>
      <c r="DQ38" s="545">
        <f t="shared" si="72"/>
        <v>825.00000000000011</v>
      </c>
      <c r="DR38" s="460">
        <f t="shared" si="73"/>
        <v>350</v>
      </c>
      <c r="DT38">
        <f t="shared" si="74"/>
        <v>825.00000000000011</v>
      </c>
      <c r="DU38" s="460">
        <f t="shared" si="75"/>
        <v>350</v>
      </c>
      <c r="DV38" s="460"/>
      <c r="DW38" s="5">
        <f t="shared" si="118"/>
        <v>2.8571428571428572</v>
      </c>
      <c r="DX38" s="5">
        <f t="shared" si="76"/>
        <v>0.89589686646135624</v>
      </c>
      <c r="DY38" s="5">
        <f t="shared" si="119"/>
        <v>1.961245990681501</v>
      </c>
      <c r="DZ38" s="5">
        <f t="shared" si="77"/>
        <v>0.8832786007365484</v>
      </c>
      <c r="EA38" s="173">
        <f t="shared" si="120"/>
        <v>0.31356390326147465</v>
      </c>
      <c r="EB38" s="173">
        <f t="shared" si="78"/>
        <v>23.430000000000003</v>
      </c>
      <c r="EC38" s="173">
        <f t="shared" si="79"/>
        <v>1.8318432496417296</v>
      </c>
      <c r="ED38" s="173">
        <f t="shared" si="121"/>
        <v>12.790395687285155</v>
      </c>
      <c r="EE38" s="460">
        <f t="shared" si="80"/>
        <v>2.6396961243950674</v>
      </c>
      <c r="EF38" s="5">
        <f t="shared" si="81"/>
        <v>1.1557342445087415</v>
      </c>
      <c r="EG38" s="5"/>
      <c r="EH38" s="173">
        <f t="shared" si="122"/>
        <v>1.7255223725946771</v>
      </c>
      <c r="EI38" s="173">
        <f t="shared" si="82"/>
        <v>2.5530400057888873</v>
      </c>
      <c r="EJ38" s="173"/>
      <c r="EK38" s="528">
        <f t="shared" si="83"/>
        <v>3.5729129499897164E-2</v>
      </c>
      <c r="EL38" s="528">
        <f t="shared" si="84"/>
        <v>2.0017919584212542</v>
      </c>
      <c r="EM38" s="528">
        <f t="shared" si="85"/>
        <v>4.0250000000000001E-2</v>
      </c>
      <c r="EN38" s="528">
        <f t="shared" si="86"/>
        <v>0.54831797999999998</v>
      </c>
      <c r="EO38">
        <f t="shared" si="87"/>
        <v>1.26E-2</v>
      </c>
      <c r="EP38" s="460">
        <f t="shared" si="123"/>
        <v>52.85</v>
      </c>
      <c r="EQ38" s="528">
        <f t="shared" si="88"/>
        <v>2.6710107876277651</v>
      </c>
      <c r="ER38" s="460">
        <f t="shared" si="124"/>
        <v>2671.0107876277652</v>
      </c>
      <c r="ES38" s="528">
        <f t="shared" si="125"/>
        <v>0.55324499999999999</v>
      </c>
      <c r="ET38" s="528"/>
      <c r="EV38" s="460">
        <f t="shared" si="126"/>
        <v>553.245</v>
      </c>
      <c r="EW38" s="528">
        <f t="shared" si="89"/>
        <v>4.1683984416546693E-2</v>
      </c>
      <c r="EX38" s="528">
        <f t="shared" si="90"/>
        <v>9.1252185796219312E-2</v>
      </c>
      <c r="EY38" s="528">
        <f t="shared" si="91"/>
        <v>7.5411155029712491</v>
      </c>
      <c r="EZ38" s="528">
        <f t="shared" si="92"/>
        <v>7.7887892996421675</v>
      </c>
      <c r="FA38" s="528">
        <f t="shared" si="93"/>
        <v>0.9970212765957448</v>
      </c>
      <c r="FB38" s="460">
        <f t="shared" si="127"/>
        <v>8785.8105762379128</v>
      </c>
      <c r="FC38" s="173">
        <f t="shared" si="128"/>
        <v>12.010066363865679</v>
      </c>
      <c r="FD38" s="5">
        <f t="shared" si="129"/>
        <v>23.1</v>
      </c>
      <c r="FE38" s="173">
        <f t="shared" si="130"/>
        <v>0.65793096944339269</v>
      </c>
      <c r="FF38" s="5">
        <f t="shared" si="131"/>
        <v>65.793096944339268</v>
      </c>
      <c r="FI38" s="562">
        <f t="shared" si="94"/>
        <v>-50</v>
      </c>
      <c r="FJ38">
        <f t="shared" si="95"/>
        <v>-50</v>
      </c>
      <c r="FL38">
        <f t="shared" si="181"/>
        <v>0.30914751025779191</v>
      </c>
    </row>
    <row r="39" spans="5:168">
      <c r="E39" s="170">
        <v>34</v>
      </c>
      <c r="F39" s="217">
        <f t="shared" si="182"/>
        <v>0.85000000000000009</v>
      </c>
      <c r="G39" s="217"/>
      <c r="H39" s="217">
        <f t="shared" si="132"/>
        <v>23.800000000000004</v>
      </c>
      <c r="I39" s="541">
        <f t="shared" si="133"/>
        <v>27.930069943758372</v>
      </c>
      <c r="J39" s="172">
        <f t="shared" si="134"/>
        <v>28.437654645668569</v>
      </c>
      <c r="K39" s="172">
        <f t="shared" si="135"/>
        <v>56.437654645668573</v>
      </c>
      <c r="L39" s="443"/>
      <c r="M39" s="217">
        <f t="shared" si="136"/>
        <v>0.50450479684024852</v>
      </c>
      <c r="N39" s="172">
        <f t="shared" si="137"/>
        <v>118.68296824392978</v>
      </c>
      <c r="O39" s="172">
        <f t="shared" si="98"/>
        <v>23.800000000000004</v>
      </c>
      <c r="P39" s="217">
        <f t="shared" si="138"/>
        <v>4.2386774372832061</v>
      </c>
      <c r="Q39" s="217">
        <f t="shared" si="139"/>
        <v>28</v>
      </c>
      <c r="R39" s="217">
        <f t="shared" si="140"/>
        <v>4.1937066258064739</v>
      </c>
      <c r="S39" s="172">
        <f t="shared" si="141"/>
        <v>245.93949734982607</v>
      </c>
      <c r="T39" s="172">
        <f t="shared" si="142"/>
        <v>28</v>
      </c>
      <c r="U39" s="217">
        <f t="shared" si="143"/>
        <v>3.4309111151009621</v>
      </c>
      <c r="V39" s="217">
        <f t="shared" si="11"/>
        <v>0.57734485711798555</v>
      </c>
      <c r="W39" s="217">
        <f t="shared" si="144"/>
        <v>0.56703980837711643</v>
      </c>
      <c r="X39" s="197">
        <f t="shared" si="145"/>
        <v>350</v>
      </c>
      <c r="Y39" s="443">
        <f t="shared" si="14"/>
        <v>350</v>
      </c>
      <c r="AA39" s="217">
        <f t="shared" si="146"/>
        <v>8.5658288524530235</v>
      </c>
      <c r="AB39" s="173">
        <f t="shared" si="147"/>
        <v>1.4157073115965013</v>
      </c>
      <c r="AC39" s="173">
        <f t="shared" si="148"/>
        <v>2.1221736438528525</v>
      </c>
      <c r="AD39" s="173"/>
      <c r="AE39" s="173">
        <f t="shared" si="149"/>
        <v>0.55091275500291326</v>
      </c>
      <c r="AF39" s="545">
        <f t="shared" si="150"/>
        <v>925.73641718878537</v>
      </c>
      <c r="AG39" s="528">
        <f t="shared" si="151"/>
        <v>0.32136577375169945</v>
      </c>
      <c r="AI39" s="173">
        <f t="shared" si="152"/>
        <v>5.4211122187732723</v>
      </c>
      <c r="AJ39" s="173">
        <f t="shared" si="153"/>
        <v>5.4211122187732723</v>
      </c>
      <c r="AK39" s="173">
        <f t="shared" si="154"/>
        <v>2.7465028781036587</v>
      </c>
      <c r="AM39" s="545">
        <f t="shared" si="155"/>
        <v>850.00000000000011</v>
      </c>
      <c r="AN39" s="460">
        <f t="shared" si="156"/>
        <v>350</v>
      </c>
      <c r="AP39">
        <f t="shared" si="157"/>
        <v>850.00000000000011</v>
      </c>
      <c r="AQ39" s="460">
        <f t="shared" si="158"/>
        <v>350</v>
      </c>
      <c r="AR39" s="460"/>
      <c r="AS39" s="5">
        <f t="shared" si="101"/>
        <v>2.8571428571428572</v>
      </c>
      <c r="AT39" s="5">
        <f t="shared" si="159"/>
        <v>0.91225075624732932</v>
      </c>
      <c r="AU39" s="5">
        <f t="shared" si="102"/>
        <v>1.9448921008955278</v>
      </c>
      <c r="AV39" s="5">
        <f t="shared" si="160"/>
        <v>0.89596796028730175</v>
      </c>
      <c r="AW39" s="173">
        <f t="shared" si="103"/>
        <v>0.31928776468656528</v>
      </c>
      <c r="AX39" s="173">
        <f t="shared" si="161"/>
        <v>24.172006448818287</v>
      </c>
      <c r="AY39" s="173">
        <f t="shared" si="162"/>
        <v>1.8451087081630639</v>
      </c>
      <c r="AZ39" s="173">
        <f t="shared" si="104"/>
        <v>13.10058661686293</v>
      </c>
      <c r="BA39" s="460">
        <f t="shared" si="163"/>
        <v>2.7693326528936786</v>
      </c>
      <c r="BB39" s="5">
        <f t="shared" si="164"/>
        <v>1.1837838495142299</v>
      </c>
      <c r="BC39" s="5"/>
      <c r="BD39" s="173">
        <f t="shared" si="105"/>
        <v>1.7685563757819882</v>
      </c>
      <c r="BE39" s="173">
        <f t="shared" si="165"/>
        <v>2.5823169651545821</v>
      </c>
      <c r="BF39" s="173"/>
      <c r="BG39" s="528">
        <f t="shared" si="166"/>
        <v>3.7533499851829452E-2</v>
      </c>
      <c r="BH39" s="528">
        <f t="shared" si="167"/>
        <v>1.9542866631306746</v>
      </c>
      <c r="BI39" s="528">
        <f t="shared" si="168"/>
        <v>4.0250000000000001E-2</v>
      </c>
      <c r="BJ39" s="528">
        <f t="shared" si="169"/>
        <v>0.54905037757065989</v>
      </c>
      <c r="BK39">
        <f t="shared" si="170"/>
        <v>1.2568531474691268E-2</v>
      </c>
      <c r="BL39" s="460">
        <f t="shared" si="106"/>
        <v>52.81853147469127</v>
      </c>
      <c r="BM39" s="528">
        <f t="shared" si="171"/>
        <v>2.5739590482266808</v>
      </c>
      <c r="BN39" s="460">
        <f t="shared" si="107"/>
        <v>2573.9590482266808</v>
      </c>
      <c r="BO39" s="528">
        <f t="shared" si="172"/>
        <v>0.57000999999999991</v>
      </c>
      <c r="BP39" s="528"/>
      <c r="BR39" s="460">
        <f t="shared" si="109"/>
        <v>570.00999999999988</v>
      </c>
      <c r="BS39" s="528">
        <f t="shared" si="173"/>
        <v>4.3789083160467694E-2</v>
      </c>
      <c r="BT39" s="528">
        <f t="shared" si="174"/>
        <v>9.3357052719352407E-2</v>
      </c>
      <c r="BU39" s="528">
        <f t="shared" si="175"/>
        <v>7.8408132255266336</v>
      </c>
      <c r="BV39" s="528">
        <f t="shared" si="176"/>
        <v>8.0997423026925386</v>
      </c>
      <c r="BW39" s="528">
        <f t="shared" si="177"/>
        <v>1.0285960190986505</v>
      </c>
      <c r="BX39" s="460">
        <f t="shared" si="110"/>
        <v>9128.3383217911887</v>
      </c>
      <c r="BY39" s="173">
        <f t="shared" si="45"/>
        <v>12.325125901492562</v>
      </c>
      <c r="BZ39" s="5">
        <f t="shared" si="111"/>
        <v>23.800000000000004</v>
      </c>
      <c r="CA39" s="173">
        <f t="shared" si="112"/>
        <v>0.65882123331275833</v>
      </c>
      <c r="CB39" s="5">
        <f t="shared" si="113"/>
        <v>65.882123331275835</v>
      </c>
      <c r="CE39" s="562">
        <f t="shared" si="178"/>
        <v>-50</v>
      </c>
      <c r="CF39">
        <f t="shared" si="179"/>
        <v>-50</v>
      </c>
      <c r="CG39" s="173">
        <f t="shared" si="180"/>
        <v>0.31603006186120969</v>
      </c>
      <c r="CI39" s="170">
        <v>34</v>
      </c>
      <c r="CJ39" s="217">
        <f t="shared" si="114"/>
        <v>0.85000000000000009</v>
      </c>
      <c r="CK39" s="217"/>
      <c r="CL39" s="217">
        <f t="shared" si="49"/>
        <v>23.800000000000004</v>
      </c>
      <c r="CM39" s="541">
        <f t="shared" si="50"/>
        <v>28</v>
      </c>
      <c r="CN39" s="172">
        <f t="shared" si="51"/>
        <v>28.4</v>
      </c>
      <c r="CO39" s="443">
        <f t="shared" si="52"/>
        <v>56.4</v>
      </c>
      <c r="CP39" s="443"/>
      <c r="CQ39" s="217">
        <f t="shared" si="53"/>
        <v>0.50354609929078009</v>
      </c>
      <c r="CR39" s="172">
        <f t="shared" si="54"/>
        <v>118.75402645742166</v>
      </c>
      <c r="CS39" s="172">
        <f t="shared" si="115"/>
        <v>23.800000000000004</v>
      </c>
      <c r="CT39" s="217">
        <f t="shared" si="55"/>
        <v>4.2412152306222017</v>
      </c>
      <c r="CU39" s="217">
        <f t="shared" si="56"/>
        <v>28</v>
      </c>
      <c r="CV39" s="217">
        <f t="shared" si="57"/>
        <v>4.1962174940898347</v>
      </c>
      <c r="CW39" s="172">
        <f t="shared" si="58"/>
        <v>246.5551562850037</v>
      </c>
      <c r="CX39" s="172">
        <f t="shared" si="59"/>
        <v>28</v>
      </c>
      <c r="CY39" s="217">
        <f t="shared" si="60"/>
        <v>3.3760563380281701</v>
      </c>
      <c r="CZ39" s="217">
        <f t="shared" si="61"/>
        <v>0.56669517102615707</v>
      </c>
      <c r="DA39" s="217">
        <f t="shared" si="62"/>
        <v>0.55871354889902825</v>
      </c>
      <c r="DB39" s="197">
        <f t="shared" si="63"/>
        <v>350</v>
      </c>
      <c r="DC39" s="443">
        <f t="shared" si="116"/>
        <v>350</v>
      </c>
      <c r="DE39" s="217">
        <f t="shared" si="64"/>
        <v>8.5709974347366842</v>
      </c>
      <c r="DF39" s="173">
        <f t="shared" si="65"/>
        <v>1.418439716312057</v>
      </c>
      <c r="DG39" s="173">
        <f t="shared" si="66"/>
        <v>2.1275525547218721</v>
      </c>
      <c r="DH39" s="173"/>
      <c r="DI39" s="173">
        <f t="shared" si="67"/>
        <v>0.55164319248826299</v>
      </c>
      <c r="DJ39" s="545">
        <f t="shared" si="117"/>
        <v>924.51063829787233</v>
      </c>
      <c r="DK39" s="528">
        <f t="shared" si="68"/>
        <v>0.3217918622848201</v>
      </c>
      <c r="DM39" s="173">
        <f t="shared" si="69"/>
        <v>5.4175219494662255</v>
      </c>
      <c r="DN39" s="173">
        <f t="shared" si="70"/>
        <v>5.4175219494662255</v>
      </c>
      <c r="DO39" s="173">
        <f t="shared" si="71"/>
        <v>2.7438434193576979</v>
      </c>
      <c r="DQ39" s="545">
        <f t="shared" si="72"/>
        <v>850.00000000000011</v>
      </c>
      <c r="DR39" s="460">
        <f t="shared" si="73"/>
        <v>350</v>
      </c>
      <c r="DT39">
        <f t="shared" si="74"/>
        <v>850.00000000000011</v>
      </c>
      <c r="DU39" s="460">
        <f t="shared" si="75"/>
        <v>350</v>
      </c>
      <c r="DV39" s="460"/>
      <c r="DW39" s="5">
        <f t="shared" si="118"/>
        <v>2.8571428571428572</v>
      </c>
      <c r="DX39" s="5">
        <f t="shared" si="76"/>
        <v>0.90936975580325929</v>
      </c>
      <c r="DY39" s="5">
        <f t="shared" si="119"/>
        <v>1.9477731013395978</v>
      </c>
      <c r="DZ39" s="5">
        <f t="shared" si="77"/>
        <v>0.89656173107363601</v>
      </c>
      <c r="EA39" s="173">
        <f t="shared" si="120"/>
        <v>0.31827941453114073</v>
      </c>
      <c r="EB39" s="173">
        <f t="shared" si="78"/>
        <v>24.14</v>
      </c>
      <c r="EC39" s="173">
        <f t="shared" si="79"/>
        <v>1.8466181175902556</v>
      </c>
      <c r="ED39" s="173">
        <f t="shared" si="121"/>
        <v>13.072545844780022</v>
      </c>
      <c r="EE39" s="460">
        <f t="shared" si="80"/>
        <v>2.7605867586884658</v>
      </c>
      <c r="EF39" s="5">
        <f t="shared" si="81"/>
        <v>1.1825765258133274</v>
      </c>
      <c r="EG39" s="5"/>
      <c r="EH39" s="173">
        <f t="shared" si="122"/>
        <v>1.7645920873574821</v>
      </c>
      <c r="EI39" s="173">
        <f t="shared" si="82"/>
        <v>2.5825174003062994</v>
      </c>
      <c r="EJ39" s="173"/>
      <c r="EK39" s="528">
        <f t="shared" si="83"/>
        <v>3.7365422817175628E-2</v>
      </c>
      <c r="EL39" s="528">
        <f t="shared" si="84"/>
        <v>2.0318957823668025</v>
      </c>
      <c r="EM39" s="528">
        <f t="shared" si="85"/>
        <v>4.0250000000000001E-2</v>
      </c>
      <c r="EN39" s="528">
        <f t="shared" si="86"/>
        <v>0.54831797999999998</v>
      </c>
      <c r="EO39">
        <f t="shared" si="87"/>
        <v>1.26E-2</v>
      </c>
      <c r="EP39" s="460">
        <f t="shared" si="123"/>
        <v>52.85</v>
      </c>
      <c r="EQ39" s="528">
        <f t="shared" si="88"/>
        <v>2.704528721490461</v>
      </c>
      <c r="ER39" s="460">
        <f t="shared" si="124"/>
        <v>2704.5287214904611</v>
      </c>
      <c r="ES39" s="528">
        <f t="shared" si="125"/>
        <v>0.57000999999999991</v>
      </c>
      <c r="ET39" s="528"/>
      <c r="EV39" s="460">
        <f t="shared" si="126"/>
        <v>570.00999999999988</v>
      </c>
      <c r="EW39" s="528">
        <f t="shared" si="89"/>
        <v>4.3592993286704899E-2</v>
      </c>
      <c r="EX39" s="528">
        <f t="shared" si="90"/>
        <v>9.3371545720387306E-2</v>
      </c>
      <c r="EY39" s="528">
        <f t="shared" si="91"/>
        <v>7.8278377285847984</v>
      </c>
      <c r="EZ39" s="528">
        <f t="shared" si="92"/>
        <v>8.0862764065784685</v>
      </c>
      <c r="FA39" s="528">
        <f t="shared" si="93"/>
        <v>1.0272340425531918</v>
      </c>
      <c r="FB39" s="460">
        <f t="shared" si="127"/>
        <v>9113.5104491316597</v>
      </c>
      <c r="FC39" s="173">
        <f t="shared" si="128"/>
        <v>12.38804917062212</v>
      </c>
      <c r="FD39" s="5">
        <f t="shared" si="129"/>
        <v>23.800000000000004</v>
      </c>
      <c r="FE39" s="173">
        <f t="shared" si="130"/>
        <v>0.6576756842510626</v>
      </c>
      <c r="FF39" s="5">
        <f t="shared" si="131"/>
        <v>65.767568425106262</v>
      </c>
      <c r="FI39" s="562">
        <f t="shared" si="94"/>
        <v>-50</v>
      </c>
      <c r="FJ39">
        <f t="shared" si="95"/>
        <v>-50</v>
      </c>
      <c r="FL39">
        <f t="shared" si="181"/>
        <v>0.31379660587577257</v>
      </c>
    </row>
    <row r="40" spans="5:168">
      <c r="E40" s="170">
        <v>35</v>
      </c>
      <c r="F40" s="217">
        <f t="shared" si="182"/>
        <v>0.875</v>
      </c>
      <c r="G40" s="217"/>
      <c r="H40" s="217">
        <f t="shared" si="132"/>
        <v>24.5</v>
      </c>
      <c r="I40" s="541">
        <f t="shared" si="133"/>
        <v>27.929049013021725</v>
      </c>
      <c r="J40" s="172">
        <f t="shared" si="134"/>
        <v>28.438204377603686</v>
      </c>
      <c r="K40" s="172">
        <f t="shared" si="135"/>
        <v>56.438204377603682</v>
      </c>
      <c r="L40" s="443"/>
      <c r="M40" s="217">
        <f t="shared" si="136"/>
        <v>0.50451880122888237</v>
      </c>
      <c r="N40" s="172">
        <f t="shared" si="137"/>
        <v>118.68192437555852</v>
      </c>
      <c r="O40" s="172">
        <f t="shared" si="98"/>
        <v>24.5</v>
      </c>
      <c r="P40" s="217">
        <f t="shared" si="138"/>
        <v>4.2386401562699474</v>
      </c>
      <c r="Q40" s="217">
        <f t="shared" si="139"/>
        <v>28</v>
      </c>
      <c r="R40" s="217">
        <f t="shared" si="140"/>
        <v>4.1936697403310781</v>
      </c>
      <c r="S40" s="172">
        <f t="shared" si="141"/>
        <v>238.10873342531289</v>
      </c>
      <c r="T40" s="172">
        <f t="shared" si="142"/>
        <v>28</v>
      </c>
      <c r="U40" s="217">
        <f t="shared" si="143"/>
        <v>3.5319200896831497</v>
      </c>
      <c r="V40" s="217">
        <f t="shared" si="11"/>
        <v>0.59436411221059327</v>
      </c>
      <c r="W40" s="217">
        <f t="shared" si="144"/>
        <v>0.58372266409984874</v>
      </c>
      <c r="X40" s="197">
        <f t="shared" si="145"/>
        <v>350</v>
      </c>
      <c r="Y40" s="443">
        <f t="shared" si="14"/>
        <v>350</v>
      </c>
      <c r="AA40" s="217">
        <f t="shared" si="146"/>
        <v>8.5657529302225193</v>
      </c>
      <c r="AB40" s="173">
        <f t="shared" si="147"/>
        <v>1.4156673971916303</v>
      </c>
      <c r="AC40" s="173">
        <f t="shared" si="148"/>
        <v>2.1220950022500715</v>
      </c>
      <c r="AD40" s="173"/>
      <c r="AE40" s="173">
        <f t="shared" si="149"/>
        <v>0.55090210544393026</v>
      </c>
      <c r="AF40" s="545">
        <f t="shared" si="150"/>
        <v>952.98238073884693</v>
      </c>
      <c r="AG40" s="528">
        <f t="shared" si="151"/>
        <v>0.32135956150895933</v>
      </c>
      <c r="AI40" s="173">
        <f t="shared" si="152"/>
        <v>5.5003098923919147</v>
      </c>
      <c r="AJ40" s="173">
        <f t="shared" si="153"/>
        <v>5.5003098923919147</v>
      </c>
      <c r="AK40" s="173">
        <f t="shared" si="154"/>
        <v>2.8051678215248748</v>
      </c>
      <c r="AM40" s="545">
        <f t="shared" si="155"/>
        <v>875</v>
      </c>
      <c r="AN40" s="460">
        <f t="shared" si="156"/>
        <v>350</v>
      </c>
      <c r="AP40">
        <f t="shared" si="157"/>
        <v>875</v>
      </c>
      <c r="AQ40" s="460">
        <f t="shared" si="158"/>
        <v>350</v>
      </c>
      <c r="AR40" s="460"/>
      <c r="AS40" s="5">
        <f t="shared" si="101"/>
        <v>2.8571428571428572</v>
      </c>
      <c r="AT40" s="5">
        <f t="shared" si="159"/>
        <v>0.9256117701031974</v>
      </c>
      <c r="AU40" s="5">
        <f t="shared" si="102"/>
        <v>1.9315310870396598</v>
      </c>
      <c r="AV40" s="5">
        <f t="shared" si="160"/>
        <v>0.90903969009383501</v>
      </c>
      <c r="AW40" s="173">
        <f t="shared" si="103"/>
        <v>0.32396411953611909</v>
      </c>
      <c r="AX40" s="173">
        <f t="shared" si="161"/>
        <v>24.883428830403236</v>
      </c>
      <c r="AY40" s="173">
        <f t="shared" si="162"/>
        <v>1.8592034204636809</v>
      </c>
      <c r="AZ40" s="173">
        <f t="shared" si="104"/>
        <v>13.383919455245714</v>
      </c>
      <c r="BA40" s="460">
        <f t="shared" si="163"/>
        <v>2.8925367815724918</v>
      </c>
      <c r="BB40" s="5">
        <f t="shared" si="164"/>
        <v>1.2102737192173707</v>
      </c>
      <c r="BC40" s="5"/>
      <c r="BD40" s="173">
        <f t="shared" si="105"/>
        <v>1.8074861900121413</v>
      </c>
      <c r="BE40" s="173">
        <f t="shared" si="165"/>
        <v>2.6110272519381161</v>
      </c>
      <c r="BF40" s="173"/>
      <c r="BG40" s="528">
        <f t="shared" si="166"/>
        <v>3.9204075925015278E-2</v>
      </c>
      <c r="BH40" s="528">
        <f t="shared" si="167"/>
        <v>1.9828563834475224</v>
      </c>
      <c r="BI40" s="528">
        <f t="shared" si="168"/>
        <v>4.0250000000000001E-2</v>
      </c>
      <c r="BJ40" s="528">
        <f t="shared" si="169"/>
        <v>0.5490610736918371</v>
      </c>
      <c r="BK40">
        <f t="shared" si="170"/>
        <v>1.2568072055859776E-2</v>
      </c>
      <c r="BL40" s="460">
        <f t="shared" si="106"/>
        <v>52.818072055859773</v>
      </c>
      <c r="BM40" s="528">
        <f t="shared" si="171"/>
        <v>2.6059810563805028</v>
      </c>
      <c r="BN40" s="460">
        <f t="shared" si="107"/>
        <v>2605.9810563805027</v>
      </c>
      <c r="BO40" s="528">
        <f t="shared" si="172"/>
        <v>0.58677499999999994</v>
      </c>
      <c r="BP40" s="528"/>
      <c r="BR40" s="460">
        <f t="shared" si="109"/>
        <v>586.77499999999998</v>
      </c>
      <c r="BS40" s="528">
        <f t="shared" si="173"/>
        <v>4.5738088579184488E-2</v>
      </c>
      <c r="BT40" s="528">
        <f t="shared" si="174"/>
        <v>9.5444486345089161E-2</v>
      </c>
      <c r="BU40" s="528">
        <f t="shared" si="175"/>
        <v>8.1303269784005234</v>
      </c>
      <c r="BV40" s="528">
        <f t="shared" si="176"/>
        <v>8.400271123893285</v>
      </c>
      <c r="BW40" s="528">
        <f t="shared" si="177"/>
        <v>1.0588693119320525</v>
      </c>
      <c r="BX40" s="460">
        <f t="shared" si="110"/>
        <v>9459.1404358253385</v>
      </c>
      <c r="BY40" s="173">
        <f t="shared" si="45"/>
        <v>12.704714564261701</v>
      </c>
      <c r="BZ40" s="5">
        <f t="shared" si="111"/>
        <v>24.5</v>
      </c>
      <c r="CA40" s="173">
        <f t="shared" si="112"/>
        <v>0.65851869277702613</v>
      </c>
      <c r="CB40" s="5">
        <f t="shared" si="113"/>
        <v>65.851869277702619</v>
      </c>
      <c r="CE40" s="562">
        <f t="shared" si="178"/>
        <v>-50</v>
      </c>
      <c r="CF40">
        <f t="shared" si="179"/>
        <v>-50</v>
      </c>
      <c r="CG40" s="173">
        <f t="shared" si="180"/>
        <v>0.32064388345951655</v>
      </c>
      <c r="CI40" s="170">
        <v>35</v>
      </c>
      <c r="CJ40" s="217">
        <f t="shared" si="114"/>
        <v>0.875</v>
      </c>
      <c r="CK40" s="217"/>
      <c r="CL40" s="217">
        <f t="shared" si="49"/>
        <v>24.5</v>
      </c>
      <c r="CM40" s="541">
        <f t="shared" si="50"/>
        <v>28</v>
      </c>
      <c r="CN40" s="172">
        <f t="shared" si="51"/>
        <v>28.4</v>
      </c>
      <c r="CO40" s="443">
        <f t="shared" si="52"/>
        <v>56.4</v>
      </c>
      <c r="CP40" s="443"/>
      <c r="CQ40" s="217">
        <f t="shared" si="53"/>
        <v>0.50354609929078009</v>
      </c>
      <c r="CR40" s="172">
        <f t="shared" si="54"/>
        <v>118.75402645742166</v>
      </c>
      <c r="CS40" s="172">
        <f t="shared" si="115"/>
        <v>24.5</v>
      </c>
      <c r="CT40" s="217">
        <f t="shared" si="55"/>
        <v>4.2412152306222017</v>
      </c>
      <c r="CU40" s="217">
        <f t="shared" si="56"/>
        <v>28</v>
      </c>
      <c r="CV40" s="217">
        <f t="shared" si="57"/>
        <v>4.1962174940898347</v>
      </c>
      <c r="CW40" s="172">
        <f t="shared" si="58"/>
        <v>238.71350634616095</v>
      </c>
      <c r="CX40" s="172">
        <f t="shared" si="59"/>
        <v>28</v>
      </c>
      <c r="CY40" s="217">
        <f t="shared" si="60"/>
        <v>3.4753521126760565</v>
      </c>
      <c r="CZ40" s="217">
        <f t="shared" si="61"/>
        <v>0.58336267605633796</v>
      </c>
      <c r="DA40" s="217">
        <f t="shared" si="62"/>
        <v>0.57514630033723468</v>
      </c>
      <c r="DB40" s="197">
        <f t="shared" si="63"/>
        <v>350</v>
      </c>
      <c r="DC40" s="443">
        <f t="shared" si="116"/>
        <v>350</v>
      </c>
      <c r="DE40" s="217">
        <f t="shared" si="64"/>
        <v>8.5709974347366842</v>
      </c>
      <c r="DF40" s="173">
        <f t="shared" si="65"/>
        <v>1.418439716312057</v>
      </c>
      <c r="DG40" s="173">
        <f t="shared" si="66"/>
        <v>2.1275525547218721</v>
      </c>
      <c r="DH40" s="173"/>
      <c r="DI40" s="173">
        <f t="shared" si="67"/>
        <v>0.55164319248826299</v>
      </c>
      <c r="DJ40" s="545">
        <f t="shared" si="117"/>
        <v>951.70212765957433</v>
      </c>
      <c r="DK40" s="528">
        <f t="shared" si="68"/>
        <v>0.3217918622848201</v>
      </c>
      <c r="DM40" s="173">
        <f t="shared" si="69"/>
        <v>5.4966140447958329</v>
      </c>
      <c r="DN40" s="173">
        <f t="shared" si="70"/>
        <v>5.4966140447958329</v>
      </c>
      <c r="DO40" s="173">
        <f t="shared" si="71"/>
        <v>2.8024301566388887</v>
      </c>
      <c r="DQ40" s="545">
        <f t="shared" si="72"/>
        <v>875</v>
      </c>
      <c r="DR40" s="460">
        <f t="shared" si="73"/>
        <v>350</v>
      </c>
      <c r="DT40">
        <f t="shared" si="74"/>
        <v>875</v>
      </c>
      <c r="DU40" s="460">
        <f t="shared" si="75"/>
        <v>350</v>
      </c>
      <c r="DV40" s="460"/>
      <c r="DW40" s="5">
        <f t="shared" si="118"/>
        <v>2.8571428571428572</v>
      </c>
      <c r="DX40" s="5">
        <f t="shared" si="76"/>
        <v>0.9226459289478719</v>
      </c>
      <c r="DY40" s="5">
        <f t="shared" si="119"/>
        <v>1.9344969281949853</v>
      </c>
      <c r="DZ40" s="5">
        <f t="shared" si="77"/>
        <v>0.90965091586409907</v>
      </c>
      <c r="EA40" s="173">
        <f t="shared" si="120"/>
        <v>0.32292607513175514</v>
      </c>
      <c r="EB40" s="173">
        <f t="shared" si="78"/>
        <v>24.849999999999998</v>
      </c>
      <c r="EC40" s="173">
        <f t="shared" si="79"/>
        <v>1.8608070223979167</v>
      </c>
      <c r="ED40" s="173">
        <f t="shared" si="121"/>
        <v>13.35442079747593</v>
      </c>
      <c r="EE40" s="460">
        <f t="shared" si="80"/>
        <v>2.8832685279621</v>
      </c>
      <c r="EF40" s="5">
        <f t="shared" si="81"/>
        <v>1.2090605801218657</v>
      </c>
      <c r="EG40" s="5"/>
      <c r="EH40" s="173">
        <f t="shared" si="122"/>
        <v>1.8033755321167952</v>
      </c>
      <c r="EI40" s="173">
        <f t="shared" si="82"/>
        <v>2.6112752968574702</v>
      </c>
      <c r="EJ40" s="173"/>
      <c r="EK40" s="528">
        <f t="shared" si="83"/>
        <v>3.902595971805041E-2</v>
      </c>
      <c r="EL40" s="528">
        <f t="shared" si="84"/>
        <v>2.0615600636411253</v>
      </c>
      <c r="EM40" s="528">
        <f t="shared" si="85"/>
        <v>4.0250000000000001E-2</v>
      </c>
      <c r="EN40" s="528">
        <f t="shared" si="86"/>
        <v>0.54831797999999998</v>
      </c>
      <c r="EO40">
        <f t="shared" si="87"/>
        <v>1.26E-2</v>
      </c>
      <c r="EP40" s="460">
        <f t="shared" si="123"/>
        <v>52.85</v>
      </c>
      <c r="EQ40" s="528">
        <f t="shared" si="88"/>
        <v>2.7376763022369461</v>
      </c>
      <c r="ER40" s="460">
        <f t="shared" si="124"/>
        <v>2737.676302236946</v>
      </c>
      <c r="ES40" s="528">
        <f t="shared" si="125"/>
        <v>0.58677499999999994</v>
      </c>
      <c r="ET40" s="528"/>
      <c r="EV40" s="460">
        <f t="shared" si="126"/>
        <v>586.77499999999998</v>
      </c>
      <c r="EW40" s="528">
        <f t="shared" si="89"/>
        <v>4.5530286337725483E-2</v>
      </c>
      <c r="EX40" s="528">
        <f t="shared" si="90"/>
        <v>9.546262146369297E-2</v>
      </c>
      <c r="EY40" s="528">
        <f t="shared" si="91"/>
        <v>8.1166762438231874</v>
      </c>
      <c r="EZ40" s="528">
        <f t="shared" si="92"/>
        <v>8.3860978754624451</v>
      </c>
      <c r="FA40" s="528">
        <f t="shared" si="93"/>
        <v>1.0574468085106383</v>
      </c>
      <c r="FB40" s="460">
        <f t="shared" si="127"/>
        <v>9443.544683973083</v>
      </c>
      <c r="FC40" s="173">
        <f t="shared" si="128"/>
        <v>12.76799598621003</v>
      </c>
      <c r="FD40" s="5">
        <f t="shared" si="129"/>
        <v>24.5</v>
      </c>
      <c r="FE40" s="173">
        <f t="shared" si="130"/>
        <v>0.65740052159138185</v>
      </c>
      <c r="FF40" s="5">
        <f t="shared" si="131"/>
        <v>65.740052159138187</v>
      </c>
      <c r="FI40" s="562">
        <f t="shared" si="94"/>
        <v>-50</v>
      </c>
      <c r="FJ40">
        <f t="shared" si="95"/>
        <v>-50</v>
      </c>
      <c r="FL40">
        <f t="shared" si="181"/>
        <v>0.31837782055243469</v>
      </c>
    </row>
    <row r="41" spans="5:168">
      <c r="E41" s="170">
        <v>36</v>
      </c>
      <c r="F41" s="217">
        <f t="shared" si="182"/>
        <v>0.89999999999999991</v>
      </c>
      <c r="G41" s="217"/>
      <c r="H41" s="217">
        <f t="shared" si="132"/>
        <v>25.199999999999996</v>
      </c>
      <c r="I41" s="541">
        <f t="shared" si="133"/>
        <v>27.928042565773747</v>
      </c>
      <c r="J41" s="172">
        <f t="shared" si="134"/>
        <v>28.438746310737212</v>
      </c>
      <c r="K41" s="172">
        <f t="shared" si="135"/>
        <v>56.438746310737216</v>
      </c>
      <c r="L41" s="443"/>
      <c r="M41" s="217">
        <f t="shared" si="136"/>
        <v>0.50453260717078208</v>
      </c>
      <c r="N41" s="172">
        <f t="shared" si="137"/>
        <v>118.68089513379786</v>
      </c>
      <c r="O41" s="172">
        <f t="shared" si="98"/>
        <v>25.199999999999996</v>
      </c>
      <c r="P41" s="217">
        <f t="shared" si="138"/>
        <v>4.2386033976356376</v>
      </c>
      <c r="Q41" s="217">
        <f t="shared" si="139"/>
        <v>28</v>
      </c>
      <c r="R41" s="217">
        <f t="shared" si="140"/>
        <v>4.1936333716923837</v>
      </c>
      <c r="S41" s="172">
        <f t="shared" si="141"/>
        <v>230.71328069733633</v>
      </c>
      <c r="T41" s="172">
        <f t="shared" si="142"/>
        <v>28</v>
      </c>
      <c r="U41" s="217">
        <f t="shared" si="143"/>
        <v>3.6329333192274063</v>
      </c>
      <c r="V41" s="217">
        <f t="shared" si="11"/>
        <v>0.6113850106091655</v>
      </c>
      <c r="W41" s="217">
        <f t="shared" si="144"/>
        <v>0.60040574270751601</v>
      </c>
      <c r="X41" s="197">
        <f t="shared" si="145"/>
        <v>350</v>
      </c>
      <c r="Y41" s="443">
        <f t="shared" si="14"/>
        <v>350</v>
      </c>
      <c r="AA41" s="217">
        <f t="shared" si="146"/>
        <v>8.5656780719750891</v>
      </c>
      <c r="AB41" s="173">
        <f t="shared" si="147"/>
        <v>1.415628048381409</v>
      </c>
      <c r="AC41" s="173">
        <f t="shared" si="148"/>
        <v>2.122017473116367</v>
      </c>
      <c r="AD41" s="173"/>
      <c r="AE41" s="173">
        <f t="shared" si="149"/>
        <v>0.55089160736848752</v>
      </c>
      <c r="AF41" s="545">
        <f t="shared" si="150"/>
        <v>980.22912815732502</v>
      </c>
      <c r="AG41" s="528">
        <f t="shared" si="151"/>
        <v>0.32135343763161772</v>
      </c>
      <c r="AI41" s="173">
        <f t="shared" si="152"/>
        <v>5.5783855209968651</v>
      </c>
      <c r="AJ41" s="173">
        <f t="shared" si="153"/>
        <v>5.5783855209968651</v>
      </c>
      <c r="AK41" s="173">
        <f t="shared" si="154"/>
        <v>2.863001620491505</v>
      </c>
      <c r="AM41" s="545">
        <f t="shared" si="155"/>
        <v>899.99999999999989</v>
      </c>
      <c r="AN41" s="460">
        <f t="shared" si="156"/>
        <v>350</v>
      </c>
      <c r="AP41">
        <f t="shared" si="157"/>
        <v>899.99999999999989</v>
      </c>
      <c r="AQ41" s="460">
        <f t="shared" si="158"/>
        <v>350</v>
      </c>
      <c r="AR41" s="460"/>
      <c r="AS41" s="5">
        <f t="shared" si="101"/>
        <v>2.8571428571428572</v>
      </c>
      <c r="AT41" s="5">
        <f t="shared" si="159"/>
        <v>0.93878444530933003</v>
      </c>
      <c r="AU41" s="5">
        <f t="shared" si="102"/>
        <v>1.9183584118335273</v>
      </c>
      <c r="AV41" s="5">
        <f t="shared" si="160"/>
        <v>0.92192572985491816</v>
      </c>
      <c r="AW41" s="173">
        <f t="shared" si="103"/>
        <v>0.3285745558582655</v>
      </c>
      <c r="AX41" s="173">
        <f t="shared" si="161"/>
        <v>25.594871679663495</v>
      </c>
      <c r="AY41" s="173">
        <f t="shared" si="162"/>
        <v>1.8727349880145705</v>
      </c>
      <c r="AZ41" s="173">
        <f t="shared" si="104"/>
        <v>13.667108183202458</v>
      </c>
      <c r="BA41" s="460">
        <f t="shared" si="163"/>
        <v>3.0175214313514176</v>
      </c>
      <c r="BB41" s="5">
        <f t="shared" si="164"/>
        <v>1.2364078625159749</v>
      </c>
      <c r="BC41" s="5"/>
      <c r="BD41" s="173">
        <f t="shared" si="105"/>
        <v>1.8461409784789848</v>
      </c>
      <c r="BE41" s="173">
        <f t="shared" si="165"/>
        <v>2.6390449966865814</v>
      </c>
      <c r="BF41" s="173"/>
      <c r="BG41" s="528">
        <f t="shared" si="166"/>
        <v>4.089883814903212E-2</v>
      </c>
      <c r="BH41" s="528">
        <f t="shared" si="167"/>
        <v>2.0110218819898651</v>
      </c>
      <c r="BI41" s="528">
        <f t="shared" si="168"/>
        <v>4.0250000000000001E-2</v>
      </c>
      <c r="BJ41" s="528">
        <f t="shared" si="169"/>
        <v>0.5490716181738966</v>
      </c>
      <c r="BK41">
        <f t="shared" si="170"/>
        <v>1.2567619154598185E-2</v>
      </c>
      <c r="BL41" s="460">
        <f t="shared" si="106"/>
        <v>52.817619154598184</v>
      </c>
      <c r="BM41" s="528">
        <f t="shared" si="171"/>
        <v>2.6376667196244985</v>
      </c>
      <c r="BN41" s="460">
        <f t="shared" si="107"/>
        <v>2637.6667196244985</v>
      </c>
      <c r="BO41" s="528">
        <f t="shared" si="172"/>
        <v>0.60353999999999985</v>
      </c>
      <c r="BP41" s="528"/>
      <c r="BR41" s="460">
        <f t="shared" si="109"/>
        <v>603.53999999999985</v>
      </c>
      <c r="BS41" s="528">
        <f t="shared" si="173"/>
        <v>4.771531117387081E-2</v>
      </c>
      <c r="BT41" s="528">
        <f t="shared" si="174"/>
        <v>9.7503818923510704E-2</v>
      </c>
      <c r="BU41" s="528">
        <f t="shared" si="175"/>
        <v>8.4219261257799705</v>
      </c>
      <c r="BV41" s="528">
        <f t="shared" si="176"/>
        <v>8.7031064509367191</v>
      </c>
      <c r="BW41" s="528">
        <f t="shared" si="177"/>
        <v>1.0891434757303615</v>
      </c>
      <c r="BX41" s="460">
        <f t="shared" si="110"/>
        <v>9792.2499266670802</v>
      </c>
      <c r="BY41" s="173">
        <f t="shared" si="45"/>
        <v>13.086274265446178</v>
      </c>
      <c r="BZ41" s="5">
        <f t="shared" si="111"/>
        <v>25.199999999999996</v>
      </c>
      <c r="CA41" s="173">
        <f t="shared" si="112"/>
        <v>0.65819932817916682</v>
      </c>
      <c r="CB41" s="5">
        <f t="shared" si="113"/>
        <v>65.81993281791668</v>
      </c>
      <c r="CE41" s="562">
        <f t="shared" si="178"/>
        <v>-50</v>
      </c>
      <c r="CF41">
        <f t="shared" si="179"/>
        <v>-50</v>
      </c>
      <c r="CG41" s="173">
        <f t="shared" si="180"/>
        <v>0.32519225083018194</v>
      </c>
      <c r="CI41" s="170">
        <v>36</v>
      </c>
      <c r="CJ41" s="217">
        <f t="shared" si="114"/>
        <v>0.89999999999999991</v>
      </c>
      <c r="CK41" s="217"/>
      <c r="CL41" s="217">
        <f t="shared" si="49"/>
        <v>25.199999999999996</v>
      </c>
      <c r="CM41" s="541">
        <f t="shared" si="50"/>
        <v>28</v>
      </c>
      <c r="CN41" s="172">
        <f t="shared" si="51"/>
        <v>28.4</v>
      </c>
      <c r="CO41" s="443">
        <f t="shared" si="52"/>
        <v>56.4</v>
      </c>
      <c r="CP41" s="443"/>
      <c r="CQ41" s="217">
        <f t="shared" si="53"/>
        <v>0.50354609929078009</v>
      </c>
      <c r="CR41" s="172">
        <f t="shared" si="54"/>
        <v>118.75402645742166</v>
      </c>
      <c r="CS41" s="172">
        <f t="shared" si="115"/>
        <v>25.199999999999996</v>
      </c>
      <c r="CT41" s="217">
        <f t="shared" si="55"/>
        <v>4.2412152306222017</v>
      </c>
      <c r="CU41" s="217">
        <f t="shared" si="56"/>
        <v>28</v>
      </c>
      <c r="CV41" s="217">
        <f t="shared" si="57"/>
        <v>4.1962174940898347</v>
      </c>
      <c r="CW41" s="172">
        <f t="shared" si="58"/>
        <v>231.30759604316825</v>
      </c>
      <c r="CX41" s="172">
        <f t="shared" si="59"/>
        <v>28</v>
      </c>
      <c r="CY41" s="217">
        <f t="shared" si="60"/>
        <v>3.5746478873239433</v>
      </c>
      <c r="CZ41" s="217">
        <f t="shared" si="61"/>
        <v>0.60003018108651895</v>
      </c>
      <c r="DA41" s="217">
        <f t="shared" si="62"/>
        <v>0.59157905177544134</v>
      </c>
      <c r="DB41" s="197">
        <f t="shared" si="63"/>
        <v>350</v>
      </c>
      <c r="DC41" s="443">
        <f t="shared" si="116"/>
        <v>350</v>
      </c>
      <c r="DE41" s="217">
        <f t="shared" si="64"/>
        <v>8.5709974347366842</v>
      </c>
      <c r="DF41" s="173">
        <f t="shared" si="65"/>
        <v>1.418439716312057</v>
      </c>
      <c r="DG41" s="173">
        <f t="shared" si="66"/>
        <v>2.1275525547218721</v>
      </c>
      <c r="DH41" s="173"/>
      <c r="DI41" s="173">
        <f t="shared" si="67"/>
        <v>0.55164319248826299</v>
      </c>
      <c r="DJ41" s="545">
        <f t="shared" si="117"/>
        <v>978.89361702127633</v>
      </c>
      <c r="DK41" s="528">
        <f t="shared" si="68"/>
        <v>0.3217918622848201</v>
      </c>
      <c r="DM41" s="173">
        <f t="shared" si="69"/>
        <v>5.5745840958716633</v>
      </c>
      <c r="DN41" s="173">
        <f t="shared" si="70"/>
        <v>5.5745840958716633</v>
      </c>
      <c r="DO41" s="173">
        <f t="shared" si="71"/>
        <v>2.8601857500283927</v>
      </c>
      <c r="DQ41" s="545">
        <f t="shared" si="72"/>
        <v>899.99999999999989</v>
      </c>
      <c r="DR41" s="460">
        <f t="shared" si="73"/>
        <v>350</v>
      </c>
      <c r="DT41">
        <f t="shared" si="74"/>
        <v>899.99999999999989</v>
      </c>
      <c r="DU41" s="460">
        <f t="shared" si="75"/>
        <v>350</v>
      </c>
      <c r="DV41" s="460"/>
      <c r="DW41" s="5">
        <f t="shared" si="118"/>
        <v>2.8571428571428572</v>
      </c>
      <c r="DX41" s="5">
        <f t="shared" si="76"/>
        <v>0.93573375894988631</v>
      </c>
      <c r="DY41" s="5">
        <f t="shared" si="119"/>
        <v>1.9214090981929708</v>
      </c>
      <c r="DZ41" s="5">
        <f t="shared" si="77"/>
        <v>0.92255441023228235</v>
      </c>
      <c r="EA41" s="173">
        <f t="shared" si="120"/>
        <v>0.3275068156324602</v>
      </c>
      <c r="EB41" s="173">
        <f t="shared" si="78"/>
        <v>25.560000000000002</v>
      </c>
      <c r="EC41" s="173">
        <f t="shared" si="79"/>
        <v>1.8744349050786888</v>
      </c>
      <c r="ED41" s="173">
        <f t="shared" si="121"/>
        <v>13.636109704714976</v>
      </c>
      <c r="EE41" s="460">
        <f t="shared" si="80"/>
        <v>3.0077156537674914</v>
      </c>
      <c r="EF41" s="5">
        <f t="shared" si="81"/>
        <v>1.2351915631240522</v>
      </c>
      <c r="EG41" s="5"/>
      <c r="EH41" s="173">
        <f t="shared" si="122"/>
        <v>1.8418828971778265</v>
      </c>
      <c r="EI41" s="173">
        <f t="shared" si="82"/>
        <v>2.6393427225477142</v>
      </c>
      <c r="EJ41" s="173"/>
      <c r="EK41" s="528">
        <f t="shared" si="83"/>
        <v>4.0710391282994203E-2</v>
      </c>
      <c r="EL41" s="528">
        <f t="shared" si="84"/>
        <v>2.0908035109976262</v>
      </c>
      <c r="EM41" s="528">
        <f t="shared" si="85"/>
        <v>4.0250000000000001E-2</v>
      </c>
      <c r="EN41" s="528">
        <f t="shared" si="86"/>
        <v>0.54831797999999998</v>
      </c>
      <c r="EO41">
        <f t="shared" si="87"/>
        <v>1.26E-2</v>
      </c>
      <c r="EP41" s="460">
        <f t="shared" si="123"/>
        <v>52.85</v>
      </c>
      <c r="EQ41" s="528">
        <f t="shared" si="88"/>
        <v>2.7704718777445563</v>
      </c>
      <c r="ER41" s="460">
        <f t="shared" si="124"/>
        <v>2770.4718777445564</v>
      </c>
      <c r="ES41" s="528">
        <f t="shared" si="125"/>
        <v>0.60353999999999985</v>
      </c>
      <c r="ET41" s="528"/>
      <c r="EV41" s="460">
        <f t="shared" si="126"/>
        <v>603.53999999999985</v>
      </c>
      <c r="EW41" s="528">
        <f t="shared" si="89"/>
        <v>4.7495456496826571E-2</v>
      </c>
      <c r="EX41" s="528">
        <f t="shared" si="90"/>
        <v>9.7525820098918123E-2</v>
      </c>
      <c r="EY41" s="528">
        <f t="shared" si="91"/>
        <v>8.4075855246611955</v>
      </c>
      <c r="EZ41" s="528">
        <f t="shared" si="92"/>
        <v>8.6882099312852628</v>
      </c>
      <c r="FA41" s="528">
        <f t="shared" si="93"/>
        <v>1.0876595744680853</v>
      </c>
      <c r="FB41" s="460">
        <f t="shared" si="127"/>
        <v>9775.8695057533478</v>
      </c>
      <c r="FC41" s="173">
        <f t="shared" si="128"/>
        <v>13.149881383497904</v>
      </c>
      <c r="FD41" s="5">
        <f t="shared" si="129"/>
        <v>25.199999999999996</v>
      </c>
      <c r="FE41" s="173">
        <f t="shared" si="130"/>
        <v>0.65710763869125421</v>
      </c>
      <c r="FF41" s="5">
        <f t="shared" si="131"/>
        <v>65.710763869125415</v>
      </c>
      <c r="FI41" s="562">
        <f t="shared" si="94"/>
        <v>-50</v>
      </c>
      <c r="FJ41">
        <f t="shared" si="95"/>
        <v>-50</v>
      </c>
      <c r="FL41">
        <f t="shared" si="181"/>
        <v>0.32289404358129881</v>
      </c>
    </row>
    <row r="42" spans="5:168">
      <c r="E42" s="170">
        <v>37</v>
      </c>
      <c r="F42" s="217">
        <f t="shared" si="182"/>
        <v>0.92500000000000004</v>
      </c>
      <c r="G42" s="217"/>
      <c r="H42" s="217">
        <f t="shared" si="132"/>
        <v>25.900000000000002</v>
      </c>
      <c r="I42" s="541">
        <f t="shared" si="133"/>
        <v>27.927050002552026</v>
      </c>
      <c r="J42" s="172">
        <f t="shared" si="134"/>
        <v>28.439280767856602</v>
      </c>
      <c r="K42" s="172">
        <f t="shared" si="135"/>
        <v>56.439280767856602</v>
      </c>
      <c r="L42" s="443"/>
      <c r="M42" s="217">
        <f t="shared" si="136"/>
        <v>0.50454622287953765</v>
      </c>
      <c r="N42" s="172">
        <f t="shared" si="137"/>
        <v>118.6798799132573</v>
      </c>
      <c r="O42" s="172">
        <f t="shared" si="98"/>
        <v>25.900000000000002</v>
      </c>
      <c r="P42" s="217">
        <f t="shared" si="138"/>
        <v>4.2385671397591889</v>
      </c>
      <c r="Q42" s="217">
        <f t="shared" si="139"/>
        <v>28</v>
      </c>
      <c r="R42" s="217">
        <f t="shared" si="140"/>
        <v>4.1935974984986935</v>
      </c>
      <c r="S42" s="172">
        <f t="shared" si="141"/>
        <v>223.71783857670121</v>
      </c>
      <c r="T42" s="172">
        <f t="shared" si="142"/>
        <v>28</v>
      </c>
      <c r="U42" s="217">
        <f t="shared" si="143"/>
        <v>3.7339507446124482</v>
      </c>
      <c r="V42" s="217">
        <f t="shared" si="11"/>
        <v>0.62840752954840529</v>
      </c>
      <c r="W42" s="217">
        <f t="shared" si="144"/>
        <v>0.6170890411375608</v>
      </c>
      <c r="X42" s="197">
        <f t="shared" si="145"/>
        <v>350</v>
      </c>
      <c r="Y42" s="443">
        <f t="shared" si="14"/>
        <v>350</v>
      </c>
      <c r="AA42" s="217">
        <f t="shared" si="146"/>
        <v>8.5656042336728326</v>
      </c>
      <c r="AB42" s="173">
        <f t="shared" si="147"/>
        <v>1.4155892417562177</v>
      </c>
      <c r="AC42" s="173">
        <f t="shared" si="148"/>
        <v>2.1219410104075349</v>
      </c>
      <c r="AD42" s="173"/>
      <c r="AE42" s="173">
        <f t="shared" si="149"/>
        <v>0.55088125450675474</v>
      </c>
      <c r="AF42" s="545">
        <f t="shared" si="150"/>
        <v>1007.4766484783241</v>
      </c>
      <c r="AG42" s="528">
        <f t="shared" si="151"/>
        <v>0.32134739846227361</v>
      </c>
      <c r="AI42" s="173">
        <f t="shared" si="152"/>
        <v>5.6553855452991488</v>
      </c>
      <c r="AJ42" s="173">
        <f t="shared" si="153"/>
        <v>5.6553855452991488</v>
      </c>
      <c r="AK42" s="173">
        <f t="shared" si="154"/>
        <v>2.9200386755302334</v>
      </c>
      <c r="AM42" s="545">
        <f t="shared" si="155"/>
        <v>925</v>
      </c>
      <c r="AN42" s="460">
        <f t="shared" si="156"/>
        <v>350</v>
      </c>
      <c r="AP42">
        <f t="shared" si="157"/>
        <v>925</v>
      </c>
      <c r="AQ42" s="460">
        <f t="shared" si="158"/>
        <v>350</v>
      </c>
      <c r="AR42" s="460"/>
      <c r="AS42" s="5">
        <f t="shared" si="101"/>
        <v>2.8571428571428572</v>
      </c>
      <c r="AT42" s="5">
        <f t="shared" si="159"/>
        <v>0.95177657720658071</v>
      </c>
      <c r="AU42" s="5">
        <f t="shared" si="102"/>
        <v>1.9053662799362765</v>
      </c>
      <c r="AV42" s="5">
        <f t="shared" si="160"/>
        <v>0.93463376517412855</v>
      </c>
      <c r="AW42" s="173">
        <f t="shared" si="103"/>
        <v>0.33312180202230324</v>
      </c>
      <c r="AX42" s="173">
        <f t="shared" si="161"/>
        <v>26.306334710267361</v>
      </c>
      <c r="AY42" s="173">
        <f t="shared" si="162"/>
        <v>1.8857266606591052</v>
      </c>
      <c r="AZ42" s="173">
        <f t="shared" si="104"/>
        <v>13.950237464995423</v>
      </c>
      <c r="BA42" s="460">
        <f t="shared" si="163"/>
        <v>3.1442619068431683</v>
      </c>
      <c r="BB42" s="5">
        <f t="shared" si="164"/>
        <v>1.2621911793619438</v>
      </c>
      <c r="BC42" s="5"/>
      <c r="BD42" s="173">
        <f t="shared" si="105"/>
        <v>1.8845302746153201</v>
      </c>
      <c r="BE42" s="173">
        <f t="shared" si="165"/>
        <v>2.666397232106366</v>
      </c>
      <c r="BF42" s="173"/>
      <c r="BG42" s="528">
        <f t="shared" si="166"/>
        <v>4.2617452271300323E-2</v>
      </c>
      <c r="BH42" s="528">
        <f t="shared" si="167"/>
        <v>2.0387998892483252</v>
      </c>
      <c r="BI42" s="528">
        <f t="shared" si="168"/>
        <v>4.0250000000000001E-2</v>
      </c>
      <c r="BJ42" s="528">
        <f t="shared" si="169"/>
        <v>0.54908201729308437</v>
      </c>
      <c r="BK42">
        <f t="shared" si="170"/>
        <v>1.2567172501148411E-2</v>
      </c>
      <c r="BL42" s="460">
        <f t="shared" si="106"/>
        <v>52.817172501148413</v>
      </c>
      <c r="BM42" s="528">
        <f t="shared" si="171"/>
        <v>2.6690324443288413</v>
      </c>
      <c r="BN42" s="460">
        <f t="shared" si="107"/>
        <v>2669.0324443288414</v>
      </c>
      <c r="BO42" s="528">
        <f t="shared" si="172"/>
        <v>0.620305</v>
      </c>
      <c r="BP42" s="528"/>
      <c r="BR42" s="460">
        <f t="shared" si="109"/>
        <v>620.30499999999995</v>
      </c>
      <c r="BS42" s="528">
        <f t="shared" si="173"/>
        <v>4.9720360983183713E-2</v>
      </c>
      <c r="BT42" s="528">
        <f t="shared" si="174"/>
        <v>9.9535438791382866E-2</v>
      </c>
      <c r="BU42" s="528">
        <f t="shared" si="175"/>
        <v>8.7155672626288361</v>
      </c>
      <c r="BV42" s="528">
        <f t="shared" si="176"/>
        <v>9.00820662105005</v>
      </c>
      <c r="BW42" s="528">
        <f t="shared" si="177"/>
        <v>1.1194184983092494</v>
      </c>
      <c r="BX42" s="460">
        <f t="shared" si="110"/>
        <v>10127.6251193593</v>
      </c>
      <c r="BY42" s="173">
        <f t="shared" si="45"/>
        <v>13.46977973618929</v>
      </c>
      <c r="BZ42" s="5">
        <f t="shared" si="111"/>
        <v>25.900000000000002</v>
      </c>
      <c r="CA42" s="173">
        <f t="shared" si="112"/>
        <v>0.65786499628780837</v>
      </c>
      <c r="CB42" s="5">
        <f t="shared" si="113"/>
        <v>65.786499628780831</v>
      </c>
      <c r="CE42" s="562">
        <f t="shared" si="178"/>
        <v>-50</v>
      </c>
      <c r="CF42">
        <f t="shared" si="179"/>
        <v>-50</v>
      </c>
      <c r="CG42" s="173">
        <f t="shared" si="180"/>
        <v>0.32967787308219521</v>
      </c>
      <c r="CI42" s="170">
        <v>37</v>
      </c>
      <c r="CJ42" s="217">
        <f t="shared" si="114"/>
        <v>0.92500000000000004</v>
      </c>
      <c r="CK42" s="217"/>
      <c r="CL42" s="217">
        <f t="shared" si="49"/>
        <v>25.900000000000002</v>
      </c>
      <c r="CM42" s="541">
        <f t="shared" si="50"/>
        <v>28</v>
      </c>
      <c r="CN42" s="172">
        <f t="shared" si="51"/>
        <v>28.4</v>
      </c>
      <c r="CO42" s="443">
        <f t="shared" si="52"/>
        <v>56.4</v>
      </c>
      <c r="CP42" s="443"/>
      <c r="CQ42" s="217">
        <f t="shared" si="53"/>
        <v>0.50354609929078009</v>
      </c>
      <c r="CR42" s="172">
        <f t="shared" si="54"/>
        <v>118.75402645742166</v>
      </c>
      <c r="CS42" s="172">
        <f t="shared" si="115"/>
        <v>25.900000000000002</v>
      </c>
      <c r="CT42" s="217">
        <f t="shared" si="55"/>
        <v>4.2412152306222017</v>
      </c>
      <c r="CU42" s="217">
        <f t="shared" si="56"/>
        <v>28</v>
      </c>
      <c r="CV42" s="217">
        <f t="shared" si="57"/>
        <v>4.1962174940898347</v>
      </c>
      <c r="CW42" s="172">
        <f t="shared" si="58"/>
        <v>224.3020960240647</v>
      </c>
      <c r="CX42" s="172">
        <f t="shared" si="59"/>
        <v>28</v>
      </c>
      <c r="CY42" s="217">
        <f t="shared" si="60"/>
        <v>3.6739436619718315</v>
      </c>
      <c r="CZ42" s="217">
        <f t="shared" si="61"/>
        <v>0.61669768611670028</v>
      </c>
      <c r="DA42" s="217">
        <f t="shared" si="62"/>
        <v>0.60801180321364812</v>
      </c>
      <c r="DB42" s="197">
        <f t="shared" si="63"/>
        <v>350</v>
      </c>
      <c r="DC42" s="443">
        <f t="shared" si="116"/>
        <v>350</v>
      </c>
      <c r="DE42" s="217">
        <f t="shared" si="64"/>
        <v>8.5709974347366842</v>
      </c>
      <c r="DF42" s="173">
        <f t="shared" si="65"/>
        <v>1.418439716312057</v>
      </c>
      <c r="DG42" s="173">
        <f t="shared" si="66"/>
        <v>2.1275525547218721</v>
      </c>
      <c r="DH42" s="173"/>
      <c r="DI42" s="173">
        <f t="shared" si="67"/>
        <v>0.55164319248826299</v>
      </c>
      <c r="DJ42" s="545">
        <f t="shared" si="117"/>
        <v>1006.0851063829787</v>
      </c>
      <c r="DK42" s="528">
        <f t="shared" si="68"/>
        <v>0.3217918622848201</v>
      </c>
      <c r="DM42" s="173">
        <f t="shared" si="69"/>
        <v>5.6514785433940888</v>
      </c>
      <c r="DN42" s="173">
        <f t="shared" si="70"/>
        <v>5.6514785433940888</v>
      </c>
      <c r="DO42" s="173">
        <f t="shared" si="71"/>
        <v>2.9171446000450043</v>
      </c>
      <c r="DQ42" s="545">
        <f t="shared" si="72"/>
        <v>925</v>
      </c>
      <c r="DR42" s="460">
        <f t="shared" si="73"/>
        <v>350</v>
      </c>
      <c r="DT42">
        <f t="shared" si="74"/>
        <v>925</v>
      </c>
      <c r="DU42" s="460">
        <f t="shared" si="75"/>
        <v>350</v>
      </c>
      <c r="DV42" s="460"/>
      <c r="DW42" s="5">
        <f t="shared" si="118"/>
        <v>2.8571428571428572</v>
      </c>
      <c r="DX42" s="5">
        <f t="shared" si="76"/>
        <v>0.94864104121257908</v>
      </c>
      <c r="DY42" s="5">
        <f t="shared" si="119"/>
        <v>1.9085018159302782</v>
      </c>
      <c r="DZ42" s="5">
        <f t="shared" si="77"/>
        <v>0.93527989978704995</v>
      </c>
      <c r="EA42" s="173">
        <f t="shared" si="120"/>
        <v>0.3320243644244027</v>
      </c>
      <c r="EB42" s="173">
        <f t="shared" si="78"/>
        <v>26.270000000000003</v>
      </c>
      <c r="EC42" s="173">
        <f t="shared" si="79"/>
        <v>1.8875249859827585</v>
      </c>
      <c r="ED42" s="173">
        <f t="shared" si="121"/>
        <v>13.917696557707959</v>
      </c>
      <c r="EE42" s="460">
        <f t="shared" si="80"/>
        <v>3.1339034397201275</v>
      </c>
      <c r="EF42" s="5">
        <f t="shared" si="81"/>
        <v>1.2609744140967909</v>
      </c>
      <c r="EG42" s="5"/>
      <c r="EH42" s="173">
        <f t="shared" si="122"/>
        <v>1.8801237379172853</v>
      </c>
      <c r="EI42" s="173">
        <f t="shared" si="82"/>
        <v>2.6667467019324986</v>
      </c>
      <c r="EJ42" s="173"/>
      <c r="EK42" s="528">
        <f t="shared" si="83"/>
        <v>4.2418383238560779E-2</v>
      </c>
      <c r="EL42" s="528">
        <f t="shared" si="84"/>
        <v>2.1196435424853872</v>
      </c>
      <c r="EM42" s="528">
        <f t="shared" si="85"/>
        <v>4.0250000000000001E-2</v>
      </c>
      <c r="EN42" s="528">
        <f t="shared" si="86"/>
        <v>0.54831797999999998</v>
      </c>
      <c r="EO42">
        <f t="shared" si="87"/>
        <v>1.26E-2</v>
      </c>
      <c r="EP42" s="460">
        <f t="shared" si="123"/>
        <v>52.85</v>
      </c>
      <c r="EQ42" s="528">
        <f t="shared" si="88"/>
        <v>2.8029325269888608</v>
      </c>
      <c r="ER42" s="460">
        <f t="shared" si="124"/>
        <v>2802.9325269888609</v>
      </c>
      <c r="ES42" s="528">
        <f t="shared" si="125"/>
        <v>0.620305</v>
      </c>
      <c r="ET42" s="528"/>
      <c r="EV42" s="460">
        <f t="shared" si="126"/>
        <v>620.30499999999995</v>
      </c>
      <c r="EW42" s="528">
        <f t="shared" si="89"/>
        <v>4.9488113778320908E-2</v>
      </c>
      <c r="EX42" s="528">
        <f t="shared" si="90"/>
        <v>9.956153161175002E-2</v>
      </c>
      <c r="EY42" s="528">
        <f t="shared" si="91"/>
        <v>8.7005222686707739</v>
      </c>
      <c r="EZ42" s="528">
        <f t="shared" si="92"/>
        <v>8.9925709903348157</v>
      </c>
      <c r="FA42" s="528">
        <f t="shared" si="93"/>
        <v>1.117872340425532</v>
      </c>
      <c r="FB42" s="460">
        <f t="shared" si="127"/>
        <v>10110.443330760347</v>
      </c>
      <c r="FC42" s="173">
        <f t="shared" si="128"/>
        <v>13.533680857749207</v>
      </c>
      <c r="FD42" s="5">
        <f t="shared" si="129"/>
        <v>25.900000000000002</v>
      </c>
      <c r="FE42" s="173">
        <f t="shared" si="130"/>
        <v>0.65679894538453487</v>
      </c>
      <c r="FF42" s="5">
        <f t="shared" si="131"/>
        <v>65.679894538453482</v>
      </c>
      <c r="FI42" s="562">
        <f t="shared" si="94"/>
        <v>-50</v>
      </c>
      <c r="FJ42">
        <f t="shared" si="95"/>
        <v>-50</v>
      </c>
      <c r="FL42">
        <f t="shared" si="181"/>
        <v>0.32734796492546747</v>
      </c>
    </row>
    <row r="43" spans="5:168">
      <c r="E43" s="170">
        <v>38</v>
      </c>
      <c r="F43" s="217">
        <f t="shared" si="182"/>
        <v>0.95</v>
      </c>
      <c r="G43" s="217"/>
      <c r="H43" s="217">
        <f t="shared" si="132"/>
        <v>26.599999999999998</v>
      </c>
      <c r="I43" s="541">
        <f t="shared" si="133"/>
        <v>27.926070764139663</v>
      </c>
      <c r="J43" s="172">
        <f t="shared" si="134"/>
        <v>28.439808050078643</v>
      </c>
      <c r="K43" s="172">
        <f t="shared" si="135"/>
        <v>56.439808050078639</v>
      </c>
      <c r="L43" s="443"/>
      <c r="M43" s="217">
        <f t="shared" si="136"/>
        <v>0.50455965601731123</v>
      </c>
      <c r="N43" s="172">
        <f t="shared" si="137"/>
        <v>118.67887814918993</v>
      </c>
      <c r="O43" s="172">
        <f t="shared" si="98"/>
        <v>26.599999999999998</v>
      </c>
      <c r="P43" s="217">
        <f t="shared" si="138"/>
        <v>4.2385313624710692</v>
      </c>
      <c r="Q43" s="217">
        <f t="shared" si="139"/>
        <v>28</v>
      </c>
      <c r="R43" s="217">
        <f t="shared" si="140"/>
        <v>4.1935621007944643</v>
      </c>
      <c r="S43" s="172">
        <f t="shared" si="141"/>
        <v>217.09082271281474</v>
      </c>
      <c r="T43" s="172">
        <f t="shared" si="142"/>
        <v>28</v>
      </c>
      <c r="U43" s="217">
        <f t="shared" si="143"/>
        <v>3.8349723091311034</v>
      </c>
      <c r="V43" s="217">
        <f t="shared" si="11"/>
        <v>0.64543164719261481</v>
      </c>
      <c r="W43" s="217">
        <f t="shared" si="144"/>
        <v>0.63377255645248076</v>
      </c>
      <c r="X43" s="197">
        <f t="shared" si="145"/>
        <v>350</v>
      </c>
      <c r="Y43" s="443">
        <f t="shared" si="14"/>
        <v>350</v>
      </c>
      <c r="AA43" s="217">
        <f t="shared" si="146"/>
        <v>8.5655313742343875</v>
      </c>
      <c r="AB43" s="173">
        <f t="shared" si="147"/>
        <v>1.4155509554780661</v>
      </c>
      <c r="AC43" s="173">
        <f t="shared" si="148"/>
        <v>2.1218655711705967</v>
      </c>
      <c r="AD43" s="173"/>
      <c r="AE43" s="173">
        <f t="shared" si="149"/>
        <v>0.55087104100983364</v>
      </c>
      <c r="AF43" s="545">
        <f t="shared" si="150"/>
        <v>1034.7249311837122</v>
      </c>
      <c r="AG43" s="528">
        <f t="shared" si="151"/>
        <v>0.3213414405890696</v>
      </c>
      <c r="AI43" s="173">
        <f t="shared" si="152"/>
        <v>5.7313532881657752</v>
      </c>
      <c r="AJ43" s="173">
        <f t="shared" si="153"/>
        <v>5.7313532881657752</v>
      </c>
      <c r="AK43" s="173">
        <f t="shared" si="154"/>
        <v>2.9763110776536603</v>
      </c>
      <c r="AM43" s="545">
        <f t="shared" si="155"/>
        <v>950</v>
      </c>
      <c r="AN43" s="460">
        <f t="shared" si="156"/>
        <v>350</v>
      </c>
      <c r="AP43">
        <f t="shared" si="157"/>
        <v>950</v>
      </c>
      <c r="AQ43" s="460">
        <f t="shared" si="158"/>
        <v>350</v>
      </c>
      <c r="AR43" s="460"/>
      <c r="AS43" s="5">
        <f t="shared" si="101"/>
        <v>2.8571428571428572</v>
      </c>
      <c r="AT43" s="5">
        <f t="shared" si="159"/>
        <v>0.96459543778603696</v>
      </c>
      <c r="AU43" s="5">
        <f t="shared" si="102"/>
        <v>1.8925474193568204</v>
      </c>
      <c r="AV43" s="5">
        <f t="shared" si="160"/>
        <v>0.94717096567410397</v>
      </c>
      <c r="AW43" s="173">
        <f t="shared" si="103"/>
        <v>0.33760840322511293</v>
      </c>
      <c r="AX43" s="173">
        <f t="shared" si="161"/>
        <v>27.017817647574709</v>
      </c>
      <c r="AY43" s="173">
        <f t="shared" si="162"/>
        <v>1.8982001281145635</v>
      </c>
      <c r="AZ43" s="173">
        <f t="shared" si="104"/>
        <v>14.233387326978455</v>
      </c>
      <c r="BA43" s="460">
        <f t="shared" si="163"/>
        <v>3.272734521059768</v>
      </c>
      <c r="BB43" s="5">
        <f t="shared" si="164"/>
        <v>1.2876283696149036</v>
      </c>
      <c r="BC43" s="5"/>
      <c r="BD43" s="173">
        <f t="shared" si="105"/>
        <v>1.9226630335757782</v>
      </c>
      <c r="BE43" s="173">
        <f t="shared" si="165"/>
        <v>2.6931091753914096</v>
      </c>
      <c r="BF43" s="173"/>
      <c r="BG43" s="528">
        <f t="shared" si="166"/>
        <v>4.4359597688145763E-2</v>
      </c>
      <c r="BH43" s="528">
        <f t="shared" si="167"/>
        <v>2.0662060124949453</v>
      </c>
      <c r="BI43" s="528">
        <f t="shared" si="168"/>
        <v>4.0250000000000001E-2</v>
      </c>
      <c r="BJ43" s="528">
        <f t="shared" si="169"/>
        <v>0.54909227690428575</v>
      </c>
      <c r="BK43">
        <f t="shared" si="170"/>
        <v>1.2566731843862849E-2</v>
      </c>
      <c r="BL43" s="460">
        <f t="shared" si="106"/>
        <v>52.816731843862847</v>
      </c>
      <c r="BM43" s="528">
        <f t="shared" si="171"/>
        <v>2.7000935333991753</v>
      </c>
      <c r="BN43" s="460">
        <f t="shared" si="107"/>
        <v>2700.0935333991752</v>
      </c>
      <c r="BO43" s="528">
        <f t="shared" si="172"/>
        <v>0.63706999999999991</v>
      </c>
      <c r="BP43" s="528"/>
      <c r="BR43" s="460">
        <f t="shared" si="109"/>
        <v>637.06999999999994</v>
      </c>
      <c r="BS43" s="528">
        <f t="shared" si="173"/>
        <v>5.175286396950339E-2</v>
      </c>
      <c r="BT43" s="528">
        <f t="shared" si="174"/>
        <v>0.10153971842808357</v>
      </c>
      <c r="BU43" s="528">
        <f t="shared" si="175"/>
        <v>9.0112090432443885</v>
      </c>
      <c r="BV43" s="528">
        <f t="shared" si="176"/>
        <v>9.3155320019766243</v>
      </c>
      <c r="BW43" s="528">
        <f t="shared" si="177"/>
        <v>1.1496943679819025</v>
      </c>
      <c r="BX43" s="460">
        <f t="shared" si="110"/>
        <v>10465.226369958527</v>
      </c>
      <c r="BY43" s="173">
        <f t="shared" si="45"/>
        <v>13.855206635201567</v>
      </c>
      <c r="BZ43" s="5">
        <f t="shared" si="111"/>
        <v>26.599999999999998</v>
      </c>
      <c r="CA43" s="173">
        <f t="shared" si="112"/>
        <v>0.65751734356127001</v>
      </c>
      <c r="CB43" s="5">
        <f t="shared" si="113"/>
        <v>65.751734356127002</v>
      </c>
      <c r="CE43" s="562">
        <f t="shared" si="178"/>
        <v>-50</v>
      </c>
      <c r="CF43">
        <f t="shared" si="179"/>
        <v>-50</v>
      </c>
      <c r="CG43" s="173">
        <f t="shared" si="180"/>
        <v>0.33410327744576224</v>
      </c>
      <c r="CI43" s="170">
        <v>38</v>
      </c>
      <c r="CJ43" s="217">
        <f t="shared" si="114"/>
        <v>0.95</v>
      </c>
      <c r="CK43" s="217"/>
      <c r="CL43" s="217">
        <f t="shared" si="49"/>
        <v>26.599999999999998</v>
      </c>
      <c r="CM43" s="541">
        <f t="shared" si="50"/>
        <v>28</v>
      </c>
      <c r="CN43" s="172">
        <f t="shared" si="51"/>
        <v>28.4</v>
      </c>
      <c r="CO43" s="443">
        <f t="shared" si="52"/>
        <v>56.4</v>
      </c>
      <c r="CP43" s="443"/>
      <c r="CQ43" s="217">
        <f t="shared" si="53"/>
        <v>0.50354609929078009</v>
      </c>
      <c r="CR43" s="172">
        <f t="shared" si="54"/>
        <v>118.75402645742166</v>
      </c>
      <c r="CS43" s="172">
        <f t="shared" si="115"/>
        <v>26.599999999999998</v>
      </c>
      <c r="CT43" s="217">
        <f t="shared" si="55"/>
        <v>4.2412152306222017</v>
      </c>
      <c r="CU43" s="217">
        <f t="shared" si="56"/>
        <v>28</v>
      </c>
      <c r="CV43" s="217">
        <f t="shared" si="57"/>
        <v>4.1962174940898347</v>
      </c>
      <c r="CW43" s="172">
        <f t="shared" si="58"/>
        <v>217.66539582726955</v>
      </c>
      <c r="CX43" s="172">
        <f t="shared" si="59"/>
        <v>28</v>
      </c>
      <c r="CY43" s="217">
        <f t="shared" si="60"/>
        <v>3.7732394366197184</v>
      </c>
      <c r="CZ43" s="217">
        <f t="shared" si="61"/>
        <v>0.63336519114688128</v>
      </c>
      <c r="DA43" s="217">
        <f t="shared" si="62"/>
        <v>0.62444455465185478</v>
      </c>
      <c r="DB43" s="197">
        <f t="shared" si="63"/>
        <v>350</v>
      </c>
      <c r="DC43" s="443">
        <f t="shared" si="116"/>
        <v>350</v>
      </c>
      <c r="DE43" s="217">
        <f t="shared" si="64"/>
        <v>8.5709974347366842</v>
      </c>
      <c r="DF43" s="173">
        <f t="shared" si="65"/>
        <v>1.418439716312057</v>
      </c>
      <c r="DG43" s="173">
        <f t="shared" si="66"/>
        <v>2.1275525547218721</v>
      </c>
      <c r="DH43" s="173"/>
      <c r="DI43" s="173">
        <f t="shared" si="67"/>
        <v>0.55164319248826299</v>
      </c>
      <c r="DJ43" s="545">
        <f t="shared" si="117"/>
        <v>1033.2765957446807</v>
      </c>
      <c r="DK43" s="528">
        <f t="shared" si="68"/>
        <v>0.3217918622848201</v>
      </c>
      <c r="DM43" s="173">
        <f t="shared" si="69"/>
        <v>5.727340710219905</v>
      </c>
      <c r="DN43" s="173">
        <f t="shared" si="70"/>
        <v>5.727340710219905</v>
      </c>
      <c r="DO43" s="173">
        <f t="shared" si="71"/>
        <v>2.9733387976937564</v>
      </c>
      <c r="DQ43" s="545">
        <f t="shared" si="72"/>
        <v>950</v>
      </c>
      <c r="DR43" s="460">
        <f t="shared" si="73"/>
        <v>350</v>
      </c>
      <c r="DT43">
        <f t="shared" si="74"/>
        <v>950</v>
      </c>
      <c r="DU43" s="460">
        <f t="shared" si="75"/>
        <v>350</v>
      </c>
      <c r="DV43" s="460"/>
      <c r="DW43" s="5">
        <f t="shared" si="118"/>
        <v>2.8571428571428572</v>
      </c>
      <c r="DX43" s="5">
        <f t="shared" si="76"/>
        <v>0.96137504778691252</v>
      </c>
      <c r="DY43" s="5">
        <f t="shared" si="119"/>
        <v>1.8957678093559447</v>
      </c>
      <c r="DZ43" s="5">
        <f t="shared" si="77"/>
        <v>0.94783455415611106</v>
      </c>
      <c r="EA43" s="173">
        <f t="shared" si="120"/>
        <v>0.33648126672541939</v>
      </c>
      <c r="EB43" s="173">
        <f t="shared" si="78"/>
        <v>26.979999999999997</v>
      </c>
      <c r="EC43" s="173">
        <f t="shared" si="79"/>
        <v>1.9000989265385242</v>
      </c>
      <c r="ED43" s="173">
        <f t="shared" si="121"/>
        <v>14.199260692784241</v>
      </c>
      <c r="EE43" s="460">
        <f t="shared" si="80"/>
        <v>3.261808197848453</v>
      </c>
      <c r="EF43" s="5">
        <f t="shared" si="81"/>
        <v>1.2864138706343908</v>
      </c>
      <c r="EG43" s="5"/>
      <c r="EH43" s="173">
        <f t="shared" si="122"/>
        <v>1.9181070303925329</v>
      </c>
      <c r="EI43" s="173">
        <f t="shared" si="82"/>
        <v>2.6935124447963519</v>
      </c>
      <c r="EJ43" s="173"/>
      <c r="EK43" s="528">
        <f t="shared" si="83"/>
        <v>4.4149614960495132E-2</v>
      </c>
      <c r="EL43" s="528">
        <f t="shared" si="84"/>
        <v>2.1480964067750774</v>
      </c>
      <c r="EM43" s="528">
        <f t="shared" si="85"/>
        <v>4.0250000000000001E-2</v>
      </c>
      <c r="EN43" s="528">
        <f t="shared" si="86"/>
        <v>0.54831797999999998</v>
      </c>
      <c r="EO43">
        <f t="shared" si="87"/>
        <v>1.26E-2</v>
      </c>
      <c r="EP43" s="460">
        <f t="shared" si="123"/>
        <v>52.85</v>
      </c>
      <c r="EQ43" s="528">
        <f t="shared" si="88"/>
        <v>2.8350741799577732</v>
      </c>
      <c r="ER43" s="460">
        <f t="shared" si="124"/>
        <v>2835.0741799577731</v>
      </c>
      <c r="ES43" s="528">
        <f t="shared" si="125"/>
        <v>0.63706999999999991</v>
      </c>
      <c r="ET43" s="528"/>
      <c r="EV43" s="460">
        <f t="shared" si="126"/>
        <v>637.06999999999994</v>
      </c>
      <c r="EW43" s="528">
        <f t="shared" si="89"/>
        <v>5.1507884120577656E-2</v>
      </c>
      <c r="EX43" s="528">
        <f t="shared" si="90"/>
        <v>0.10157013006381949</v>
      </c>
      <c r="EY43" s="528">
        <f t="shared" si="91"/>
        <v>8.995445229253475</v>
      </c>
      <c r="EZ43" s="528">
        <f t="shared" si="92"/>
        <v>9.2991414959476781</v>
      </c>
      <c r="FA43" s="528">
        <f t="shared" si="93"/>
        <v>1.1480851063829787</v>
      </c>
      <c r="FB43" s="460">
        <f t="shared" si="127"/>
        <v>10447.226602330657</v>
      </c>
      <c r="FC43" s="173">
        <f t="shared" si="128"/>
        <v>13.91937078228843</v>
      </c>
      <c r="FD43" s="5">
        <f t="shared" si="129"/>
        <v>26.599999999999998</v>
      </c>
      <c r="FE43" s="173">
        <f t="shared" si="130"/>
        <v>0.65647613688086248</v>
      </c>
      <c r="FF43" s="5">
        <f t="shared" si="131"/>
        <v>65.647613688086253</v>
      </c>
      <c r="FI43" s="562">
        <f t="shared" si="94"/>
        <v>-50</v>
      </c>
      <c r="FJ43">
        <f t="shared" si="95"/>
        <v>-50</v>
      </c>
      <c r="FL43">
        <f t="shared" si="181"/>
        <v>0.33174209395463888</v>
      </c>
    </row>
    <row r="44" spans="5:168">
      <c r="E44" s="170">
        <v>39</v>
      </c>
      <c r="F44" s="217">
        <f t="shared" si="182"/>
        <v>0.97500000000000009</v>
      </c>
      <c r="G44" s="217"/>
      <c r="H44" s="217">
        <f t="shared" si="132"/>
        <v>27.300000000000004</v>
      </c>
      <c r="I44" s="541">
        <f t="shared" si="133"/>
        <v>27.925104327881193</v>
      </c>
      <c r="J44" s="172">
        <f t="shared" si="134"/>
        <v>28.440328438833202</v>
      </c>
      <c r="K44" s="172">
        <f t="shared" si="135"/>
        <v>56.440328438833205</v>
      </c>
      <c r="L44" s="443"/>
      <c r="M44" s="217">
        <f t="shared" si="136"/>
        <v>0.5045729137453151</v>
      </c>
      <c r="N44" s="172">
        <f t="shared" si="137"/>
        <v>118.67788931377186</v>
      </c>
      <c r="O44" s="172">
        <f t="shared" si="98"/>
        <v>27.300000000000004</v>
      </c>
      <c r="P44" s="217">
        <f t="shared" si="138"/>
        <v>4.2384960469204236</v>
      </c>
      <c r="Q44" s="217">
        <f t="shared" si="139"/>
        <v>28</v>
      </c>
      <c r="R44" s="217">
        <f t="shared" si="140"/>
        <v>4.1935271599288466</v>
      </c>
      <c r="S44" s="172">
        <f t="shared" si="141"/>
        <v>210.80388852005049</v>
      </c>
      <c r="T44" s="172">
        <f t="shared" si="142"/>
        <v>28</v>
      </c>
      <c r="U44" s="217">
        <f t="shared" si="143"/>
        <v>3.9359979583303626</v>
      </c>
      <c r="V44" s="217">
        <f t="shared" si="11"/>
        <v>0.66245734257410105</v>
      </c>
      <c r="W44" s="217">
        <f t="shared" si="144"/>
        <v>0.65045628583154491</v>
      </c>
      <c r="X44" s="197">
        <f t="shared" si="145"/>
        <v>350</v>
      </c>
      <c r="Y44" s="443">
        <f t="shared" si="14"/>
        <v>350</v>
      </c>
      <c r="AA44" s="217">
        <f t="shared" si="146"/>
        <v>8.5654594552642731</v>
      </c>
      <c r="AB44" s="173">
        <f t="shared" si="147"/>
        <v>1.415513169136724</v>
      </c>
      <c r="AC44" s="173">
        <f t="shared" si="148"/>
        <v>2.1217911152608186</v>
      </c>
      <c r="AD44" s="173"/>
      <c r="AE44" s="173">
        <f t="shared" si="149"/>
        <v>0.5508609614112252</v>
      </c>
      <c r="AF44" s="545">
        <f t="shared" si="150"/>
        <v>1061.9739661734525</v>
      </c>
      <c r="AG44" s="528">
        <f t="shared" si="151"/>
        <v>0.32133556082321468</v>
      </c>
      <c r="AI44" s="173">
        <f t="shared" si="152"/>
        <v>5.8063292400277886</v>
      </c>
      <c r="AJ44" s="173">
        <f t="shared" si="153"/>
        <v>5.8063292400277886</v>
      </c>
      <c r="AK44" s="173">
        <f t="shared" si="154"/>
        <v>3.0318488197736704</v>
      </c>
      <c r="AM44" s="545">
        <f t="shared" si="155"/>
        <v>975.00000000000011</v>
      </c>
      <c r="AN44" s="460">
        <f t="shared" si="156"/>
        <v>350</v>
      </c>
      <c r="AP44">
        <f t="shared" si="157"/>
        <v>975.00000000000011</v>
      </c>
      <c r="AQ44" s="460">
        <f t="shared" si="158"/>
        <v>350</v>
      </c>
      <c r="AR44" s="460"/>
      <c r="AS44" s="5">
        <f t="shared" si="101"/>
        <v>2.8571428571428572</v>
      </c>
      <c r="AT44" s="5">
        <f t="shared" si="159"/>
        <v>0.97724782359662554</v>
      </c>
      <c r="AU44" s="5">
        <f t="shared" si="102"/>
        <v>1.8798950335462317</v>
      </c>
      <c r="AV44" s="5">
        <f t="shared" si="160"/>
        <v>0.95954403222954476</v>
      </c>
      <c r="AW44" s="173">
        <f t="shared" si="103"/>
        <v>0.34203673825881892</v>
      </c>
      <c r="AX44" s="173">
        <f t="shared" si="161"/>
        <v>27.729320227862377</v>
      </c>
      <c r="AY44" s="173">
        <f t="shared" si="162"/>
        <v>1.9101756627559383</v>
      </c>
      <c r="AZ44" s="173">
        <f t="shared" si="104"/>
        <v>14.516633610468803</v>
      </c>
      <c r="BA44" s="460">
        <f t="shared" si="163"/>
        <v>3.4029165285953931</v>
      </c>
      <c r="BB44" s="5">
        <f t="shared" si="164"/>
        <v>1.3127239463005769</v>
      </c>
      <c r="BC44" s="5"/>
      <c r="BD44" s="173">
        <f t="shared" si="105"/>
        <v>1.9605476815678442</v>
      </c>
      <c r="BE44" s="173">
        <f t="shared" si="165"/>
        <v>2.7192043939663999</v>
      </c>
      <c r="BF44" s="173"/>
      <c r="BG44" s="528">
        <f t="shared" si="166"/>
        <v>4.6124966540412593E-2</v>
      </c>
      <c r="BH44" s="528">
        <f t="shared" si="167"/>
        <v>2.0932548386028436</v>
      </c>
      <c r="BI44" s="528">
        <f t="shared" si="168"/>
        <v>4.0250000000000001E-2</v>
      </c>
      <c r="BJ44" s="528">
        <f t="shared" si="169"/>
        <v>0.54910240247959485</v>
      </c>
      <c r="BK44">
        <f t="shared" si="170"/>
        <v>1.2566296947546537E-2</v>
      </c>
      <c r="BL44" s="460">
        <f t="shared" si="106"/>
        <v>52.81629694754654</v>
      </c>
      <c r="BM44" s="528">
        <f t="shared" si="171"/>
        <v>2.7308642878684335</v>
      </c>
      <c r="BN44" s="460">
        <f t="shared" si="107"/>
        <v>2730.8642878684336</v>
      </c>
      <c r="BO44" s="528">
        <f t="shared" si="172"/>
        <v>0.65383499999999994</v>
      </c>
      <c r="BP44" s="528"/>
      <c r="BR44" s="460">
        <f t="shared" si="109"/>
        <v>653.83499999999992</v>
      </c>
      <c r="BS44" s="528">
        <f t="shared" si="173"/>
        <v>5.3812460963814687E-2</v>
      </c>
      <c r="BT44" s="528">
        <f t="shared" si="174"/>
        <v>0.10351701550632647</v>
      </c>
      <c r="BU44" s="528">
        <f t="shared" si="175"/>
        <v>9.3088120317035301</v>
      </c>
      <c r="BV44" s="528">
        <f t="shared" si="176"/>
        <v>9.6250448438290057</v>
      </c>
      <c r="BW44" s="528">
        <f t="shared" si="177"/>
        <v>1.1799710735260589</v>
      </c>
      <c r="BX44" s="460">
        <f t="shared" si="110"/>
        <v>10805.015917355064</v>
      </c>
      <c r="BY44" s="173">
        <f t="shared" si="45"/>
        <v>14.242531502171044</v>
      </c>
      <c r="BZ44" s="5">
        <f t="shared" si="111"/>
        <v>27.300000000000004</v>
      </c>
      <c r="CA44" s="173">
        <f t="shared" si="112"/>
        <v>0.65715783349826151</v>
      </c>
      <c r="CB44" s="5">
        <f t="shared" si="113"/>
        <v>65.715783349826154</v>
      </c>
      <c r="CE44" s="562">
        <f t="shared" si="178"/>
        <v>-50</v>
      </c>
      <c r="CF44">
        <f t="shared" si="179"/>
        <v>-50</v>
      </c>
      <c r="CG44" s="173">
        <f t="shared" si="180"/>
        <v>0.33847082592152605</v>
      </c>
      <c r="CI44" s="170">
        <v>39</v>
      </c>
      <c r="CJ44" s="217">
        <f t="shared" si="114"/>
        <v>0.97500000000000009</v>
      </c>
      <c r="CK44" s="217"/>
      <c r="CL44" s="217">
        <f t="shared" si="49"/>
        <v>27.300000000000004</v>
      </c>
      <c r="CM44" s="541">
        <f t="shared" si="50"/>
        <v>28</v>
      </c>
      <c r="CN44" s="172">
        <f t="shared" si="51"/>
        <v>28.4</v>
      </c>
      <c r="CO44" s="443">
        <f t="shared" si="52"/>
        <v>56.4</v>
      </c>
      <c r="CP44" s="443"/>
      <c r="CQ44" s="217">
        <f t="shared" si="53"/>
        <v>0.50354609929078009</v>
      </c>
      <c r="CR44" s="172">
        <f t="shared" si="54"/>
        <v>118.75402645742166</v>
      </c>
      <c r="CS44" s="172">
        <f t="shared" si="115"/>
        <v>27.300000000000004</v>
      </c>
      <c r="CT44" s="217">
        <f t="shared" si="55"/>
        <v>4.2412152306222017</v>
      </c>
      <c r="CU44" s="217">
        <f t="shared" si="56"/>
        <v>28</v>
      </c>
      <c r="CV44" s="217">
        <f t="shared" si="57"/>
        <v>4.1962174940898347</v>
      </c>
      <c r="CW44" s="172">
        <f t="shared" si="58"/>
        <v>211.36912710093824</v>
      </c>
      <c r="CX44" s="172">
        <f t="shared" si="59"/>
        <v>28</v>
      </c>
      <c r="CY44" s="217">
        <f t="shared" si="60"/>
        <v>3.8725352112676066</v>
      </c>
      <c r="CZ44" s="217">
        <f t="shared" si="61"/>
        <v>0.6500326961770625</v>
      </c>
      <c r="DA44" s="217">
        <f t="shared" si="62"/>
        <v>0.64087730609006166</v>
      </c>
      <c r="DB44" s="197">
        <f t="shared" si="63"/>
        <v>350</v>
      </c>
      <c r="DC44" s="443">
        <f t="shared" si="116"/>
        <v>350</v>
      </c>
      <c r="DE44" s="217">
        <f t="shared" si="64"/>
        <v>8.5709974347366842</v>
      </c>
      <c r="DF44" s="173">
        <f t="shared" si="65"/>
        <v>1.418439716312057</v>
      </c>
      <c r="DG44" s="173">
        <f t="shared" si="66"/>
        <v>2.1275525547218721</v>
      </c>
      <c r="DH44" s="173"/>
      <c r="DI44" s="173">
        <f t="shared" si="67"/>
        <v>0.55164319248826299</v>
      </c>
      <c r="DJ44" s="545">
        <f t="shared" si="117"/>
        <v>1060.4680851063829</v>
      </c>
      <c r="DK44" s="528">
        <f t="shared" si="68"/>
        <v>0.3217918622848201</v>
      </c>
      <c r="DM44" s="173">
        <f t="shared" si="69"/>
        <v>5.8022110867703471</v>
      </c>
      <c r="DN44" s="173">
        <f t="shared" si="70"/>
        <v>5.8022110867703471</v>
      </c>
      <c r="DO44" s="173">
        <f t="shared" si="71"/>
        <v>3.0287983358792694</v>
      </c>
      <c r="DQ44" s="545">
        <f t="shared" si="72"/>
        <v>975.00000000000011</v>
      </c>
      <c r="DR44" s="460">
        <f t="shared" si="73"/>
        <v>350</v>
      </c>
      <c r="DT44">
        <f t="shared" si="74"/>
        <v>975.00000000000011</v>
      </c>
      <c r="DU44" s="460">
        <f t="shared" si="75"/>
        <v>350</v>
      </c>
      <c r="DV44" s="460"/>
      <c r="DW44" s="5">
        <f t="shared" si="118"/>
        <v>2.8571428571428572</v>
      </c>
      <c r="DX44" s="5">
        <f t="shared" si="76"/>
        <v>0.97394257527930816</v>
      </c>
      <c r="DY44" s="5">
        <f t="shared" si="119"/>
        <v>1.8832002818635489</v>
      </c>
      <c r="DZ44" s="5">
        <f t="shared" si="77"/>
        <v>0.96022507421903636</v>
      </c>
      <c r="EA44" s="173">
        <f t="shared" si="120"/>
        <v>0.34087990134775786</v>
      </c>
      <c r="EB44" s="173">
        <f t="shared" si="78"/>
        <v>27.690000000000005</v>
      </c>
      <c r="EC44" s="173">
        <f t="shared" si="79"/>
        <v>1.912176971956602</v>
      </c>
      <c r="ED44" s="173">
        <f t="shared" si="121"/>
        <v>14.480877244153135</v>
      </c>
      <c r="EE44" s="460">
        <f t="shared" si="80"/>
        <v>3.3914071817761626</v>
      </c>
      <c r="EF44" s="5">
        <f t="shared" si="81"/>
        <v>1.3115144820121145</v>
      </c>
      <c r="EG44" s="5"/>
      <c r="EH44" s="173">
        <f t="shared" si="122"/>
        <v>1.9558412207482179</v>
      </c>
      <c r="EI44" s="173">
        <f t="shared" si="82"/>
        <v>2.7196635118525907</v>
      </c>
      <c r="EJ44" s="173"/>
      <c r="EK44" s="528">
        <f t="shared" si="83"/>
        <v>4.5903778569334551E-2</v>
      </c>
      <c r="EL44" s="528">
        <f t="shared" si="84"/>
        <v>2.1761772902040866</v>
      </c>
      <c r="EM44" s="528">
        <f t="shared" si="85"/>
        <v>4.0250000000000001E-2</v>
      </c>
      <c r="EN44" s="528">
        <f t="shared" si="86"/>
        <v>0.54831797999999998</v>
      </c>
      <c r="EO44">
        <f t="shared" si="87"/>
        <v>1.26E-2</v>
      </c>
      <c r="EP44" s="460">
        <f t="shared" si="123"/>
        <v>52.85</v>
      </c>
      <c r="EQ44" s="528">
        <f t="shared" si="88"/>
        <v>2.8669117234159947</v>
      </c>
      <c r="ER44" s="460">
        <f t="shared" si="124"/>
        <v>2866.9117234159949</v>
      </c>
      <c r="ES44" s="528">
        <f t="shared" si="125"/>
        <v>0.65383499999999994</v>
      </c>
      <c r="ET44" s="528"/>
      <c r="EV44" s="460">
        <f t="shared" si="126"/>
        <v>653.83499999999992</v>
      </c>
      <c r="EW44" s="528">
        <f t="shared" si="89"/>
        <v>5.3554408330890313E-2</v>
      </c>
      <c r="EX44" s="528">
        <f t="shared" si="90"/>
        <v>0.10355197464783314</v>
      </c>
      <c r="EY44" s="528">
        <f t="shared" si="91"/>
        <v>9.2923150662962382</v>
      </c>
      <c r="EZ44" s="528">
        <f t="shared" si="92"/>
        <v>9.6078837705718154</v>
      </c>
      <c r="FA44" s="528">
        <f t="shared" si="93"/>
        <v>1.1782978723404258</v>
      </c>
      <c r="FB44" s="460">
        <f t="shared" si="127"/>
        <v>10786.181642912241</v>
      </c>
      <c r="FC44" s="173">
        <f t="shared" si="128"/>
        <v>14.306928366328236</v>
      </c>
      <c r="FD44" s="5">
        <f t="shared" si="129"/>
        <v>27.300000000000004</v>
      </c>
      <c r="FE44" s="173">
        <f t="shared" si="130"/>
        <v>0.65614072155572567</v>
      </c>
      <c r="FF44" s="5">
        <f t="shared" si="131"/>
        <v>65.614072155572572</v>
      </c>
      <c r="FI44" s="562">
        <f t="shared" si="94"/>
        <v>-50</v>
      </c>
      <c r="FJ44">
        <f t="shared" si="95"/>
        <v>-50</v>
      </c>
      <c r="FL44">
        <f t="shared" si="181"/>
        <v>0.33607877597666269</v>
      </c>
    </row>
    <row r="45" spans="5:168">
      <c r="E45" s="170">
        <v>40</v>
      </c>
      <c r="F45" s="217">
        <f t="shared" si="182"/>
        <v>1</v>
      </c>
      <c r="G45" s="217"/>
      <c r="H45" s="217">
        <f t="shared" si="132"/>
        <v>28</v>
      </c>
      <c r="I45" s="541">
        <f t="shared" si="133"/>
        <v>27.924150204421096</v>
      </c>
      <c r="J45" s="172">
        <f t="shared" si="134"/>
        <v>28.440842197619411</v>
      </c>
      <c r="K45" s="172">
        <f t="shared" si="135"/>
        <v>56.440842197619411</v>
      </c>
      <c r="L45" s="443"/>
      <c r="M45" s="217">
        <f t="shared" si="136"/>
        <v>0.50458600276849919</v>
      </c>
      <c r="N45" s="172">
        <f t="shared" si="137"/>
        <v>118.67691291280849</v>
      </c>
      <c r="O45" s="172">
        <f t="shared" si="98"/>
        <v>28</v>
      </c>
      <c r="P45" s="217">
        <f t="shared" si="138"/>
        <v>4.2384611754574459</v>
      </c>
      <c r="Q45" s="217">
        <f t="shared" si="139"/>
        <v>28</v>
      </c>
      <c r="R45" s="217">
        <f t="shared" si="140"/>
        <v>4.1934926584392889</v>
      </c>
      <c r="S45" s="172">
        <f t="shared" si="141"/>
        <v>204.83152617881311</v>
      </c>
      <c r="T45" s="172">
        <f t="shared" si="142"/>
        <v>28</v>
      </c>
      <c r="U45" s="217">
        <f t="shared" si="143"/>
        <v>4.0370276398658653</v>
      </c>
      <c r="V45" s="217">
        <f t="shared" si="11"/>
        <v>0.67948459553714557</v>
      </c>
      <c r="W45" s="217">
        <f t="shared" si="144"/>
        <v>0.667140226563254</v>
      </c>
      <c r="X45" s="197">
        <f t="shared" si="145"/>
        <v>350</v>
      </c>
      <c r="Y45" s="443">
        <f t="shared" si="14"/>
        <v>350</v>
      </c>
      <c r="AA45" s="217">
        <f t="shared" si="146"/>
        <v>8.5653884408133116</v>
      </c>
      <c r="AB45" s="173">
        <f t="shared" si="147"/>
        <v>1.415475863622359</v>
      </c>
      <c r="AC45" s="173">
        <f t="shared" si="148"/>
        <v>2.121717605091209</v>
      </c>
      <c r="AD45" s="173"/>
      <c r="AE45" s="173">
        <f t="shared" si="149"/>
        <v>0.55085101059271779</v>
      </c>
      <c r="AF45" s="545">
        <f t="shared" si="150"/>
        <v>1089.2237437386159</v>
      </c>
      <c r="AG45" s="528">
        <f t="shared" si="151"/>
        <v>0.32132975617908544</v>
      </c>
      <c r="AI45" s="173">
        <f t="shared" si="152"/>
        <v>5.8803513115508368</v>
      </c>
      <c r="AJ45" s="173">
        <f t="shared" si="153"/>
        <v>5.8803513115508368</v>
      </c>
      <c r="AK45" s="173">
        <f t="shared" si="154"/>
        <v>3.0866799838648173</v>
      </c>
      <c r="AM45" s="545">
        <f t="shared" si="155"/>
        <v>1000</v>
      </c>
      <c r="AN45" s="460">
        <f t="shared" si="156"/>
        <v>350</v>
      </c>
      <c r="AP45">
        <f t="shared" si="157"/>
        <v>1000</v>
      </c>
      <c r="AQ45" s="460">
        <f t="shared" si="158"/>
        <v>350</v>
      </c>
      <c r="AR45" s="460"/>
      <c r="AS45" s="5">
        <f t="shared" si="101"/>
        <v>2.8571428571428572</v>
      </c>
      <c r="AT45" s="5">
        <f t="shared" si="159"/>
        <v>0.98974009815751507</v>
      </c>
      <c r="AU45" s="5">
        <f t="shared" si="102"/>
        <v>1.8674027589853421</v>
      </c>
      <c r="AV45" s="5">
        <f t="shared" si="160"/>
        <v>0.97175923878239767</v>
      </c>
      <c r="AW45" s="173">
        <f t="shared" si="103"/>
        <v>0.34640903435513026</v>
      </c>
      <c r="AX45" s="173">
        <f t="shared" si="161"/>
        <v>28.440842197619411</v>
      </c>
      <c r="AY45" s="173">
        <f t="shared" si="162"/>
        <v>1.9216722460237938</v>
      </c>
      <c r="AZ45" s="173">
        <f t="shared" si="104"/>
        <v>14.800048372695944</v>
      </c>
      <c r="BA45" s="460">
        <f t="shared" si="163"/>
        <v>3.5347860648482681</v>
      </c>
      <c r="BB45" s="5">
        <f t="shared" si="164"/>
        <v>1.3374822476708244</v>
      </c>
      <c r="BC45" s="5"/>
      <c r="BD45" s="173">
        <f t="shared" si="105"/>
        <v>1.9981921598204655</v>
      </c>
      <c r="BE45" s="173">
        <f t="shared" si="165"/>
        <v>2.7447049522400837</v>
      </c>
      <c r="BF45" s="173"/>
      <c r="BG45" s="528">
        <f t="shared" si="166"/>
        <v>4.7913262890815718E-2</v>
      </c>
      <c r="BH45" s="528">
        <f t="shared" si="167"/>
        <v>2.1199600250720305</v>
      </c>
      <c r="BI45" s="528">
        <f t="shared" si="168"/>
        <v>4.0250000000000001E-2</v>
      </c>
      <c r="BJ45" s="528">
        <f t="shared" si="169"/>
        <v>0.54911239914246224</v>
      </c>
      <c r="BK45">
        <f t="shared" si="170"/>
        <v>1.2565867591989494E-2</v>
      </c>
      <c r="BL45" s="460">
        <f t="shared" si="106"/>
        <v>52.815867591989495</v>
      </c>
      <c r="BM45" s="528">
        <f t="shared" si="171"/>
        <v>2.761358096805099</v>
      </c>
      <c r="BN45" s="460">
        <f t="shared" si="107"/>
        <v>2761.3580968050992</v>
      </c>
      <c r="BO45" s="528">
        <f t="shared" si="172"/>
        <v>0.67059999999999997</v>
      </c>
      <c r="BP45" s="528"/>
      <c r="BR45" s="460">
        <f t="shared" si="109"/>
        <v>670.6</v>
      </c>
      <c r="BS45" s="528">
        <f t="shared" si="173"/>
        <v>5.5898806705951674E-2</v>
      </c>
      <c r="BT45" s="528">
        <f t="shared" si="174"/>
        <v>0.10546767384791737</v>
      </c>
      <c r="BU45" s="528">
        <f t="shared" si="175"/>
        <v>9.6083385667416419</v>
      </c>
      <c r="BV45" s="528">
        <f t="shared" si="176"/>
        <v>9.9367091452732534</v>
      </c>
      <c r="BW45" s="528">
        <f t="shared" si="177"/>
        <v>1.2102486041540177</v>
      </c>
      <c r="BX45" s="460">
        <f t="shared" si="110"/>
        <v>11146.957749427271</v>
      </c>
      <c r="BY45" s="173">
        <f t="shared" si="45"/>
        <v>14.63173171382436</v>
      </c>
      <c r="BZ45" s="5">
        <f t="shared" si="111"/>
        <v>28</v>
      </c>
      <c r="CA45" s="173">
        <f t="shared" si="112"/>
        <v>0.65678776991647114</v>
      </c>
      <c r="CB45" s="5">
        <f t="shared" si="113"/>
        <v>65.678776991647112</v>
      </c>
      <c r="CE45" s="562">
        <f t="shared" si="178"/>
        <v>-50</v>
      </c>
      <c r="CF45">
        <f t="shared" si="179"/>
        <v>-50</v>
      </c>
      <c r="CG45" s="173">
        <f t="shared" si="180"/>
        <v>0.34278273002005222</v>
      </c>
      <c r="CI45" s="170">
        <v>40</v>
      </c>
      <c r="CJ45" s="217">
        <f t="shared" si="114"/>
        <v>1</v>
      </c>
      <c r="CK45" s="217"/>
      <c r="CL45" s="217">
        <f t="shared" si="49"/>
        <v>28</v>
      </c>
      <c r="CM45" s="541">
        <f t="shared" si="50"/>
        <v>28</v>
      </c>
      <c r="CN45" s="172">
        <f t="shared" si="51"/>
        <v>28.4</v>
      </c>
      <c r="CO45" s="443">
        <f t="shared" si="52"/>
        <v>56.4</v>
      </c>
      <c r="CP45" s="443"/>
      <c r="CQ45" s="217">
        <f t="shared" si="53"/>
        <v>0.50354609929078009</v>
      </c>
      <c r="CR45" s="172">
        <f t="shared" si="54"/>
        <v>118.75402645742166</v>
      </c>
      <c r="CS45" s="172">
        <f t="shared" si="115"/>
        <v>28</v>
      </c>
      <c r="CT45" s="217">
        <f t="shared" si="55"/>
        <v>4.2412152306222017</v>
      </c>
      <c r="CU45" s="217">
        <f t="shared" si="56"/>
        <v>28</v>
      </c>
      <c r="CV45" s="217">
        <f t="shared" si="57"/>
        <v>4.1962174940898347</v>
      </c>
      <c r="CW45" s="172">
        <f t="shared" si="58"/>
        <v>205.38775833941912</v>
      </c>
      <c r="CX45" s="172">
        <f t="shared" si="59"/>
        <v>28</v>
      </c>
      <c r="CY45" s="217">
        <f t="shared" si="60"/>
        <v>3.9718309859154934</v>
      </c>
      <c r="CZ45" s="217">
        <f t="shared" si="61"/>
        <v>0.66670020120724349</v>
      </c>
      <c r="DA45" s="217">
        <f t="shared" si="62"/>
        <v>0.65731005752826832</v>
      </c>
      <c r="DB45" s="197">
        <f t="shared" si="63"/>
        <v>350</v>
      </c>
      <c r="DC45" s="443">
        <f t="shared" si="116"/>
        <v>350</v>
      </c>
      <c r="DE45" s="217">
        <f t="shared" si="64"/>
        <v>8.5709974347366842</v>
      </c>
      <c r="DF45" s="173">
        <f t="shared" si="65"/>
        <v>1.418439716312057</v>
      </c>
      <c r="DG45" s="173">
        <f t="shared" si="66"/>
        <v>2.1275525547218721</v>
      </c>
      <c r="DH45" s="173"/>
      <c r="DI45" s="173">
        <f t="shared" si="67"/>
        <v>0.55164319248826299</v>
      </c>
      <c r="DJ45" s="545">
        <f t="shared" si="117"/>
        <v>1087.6595744680851</v>
      </c>
      <c r="DK45" s="528">
        <f t="shared" si="68"/>
        <v>0.3217918622848201</v>
      </c>
      <c r="DM45" s="173">
        <f t="shared" si="69"/>
        <v>5.876127583701634</v>
      </c>
      <c r="DN45" s="173">
        <f t="shared" si="70"/>
        <v>5.876127583701634</v>
      </c>
      <c r="DO45" s="173">
        <f t="shared" si="71"/>
        <v>3.0835512965691114</v>
      </c>
      <c r="DQ45" s="545">
        <f t="shared" si="72"/>
        <v>1000</v>
      </c>
      <c r="DR45" s="460">
        <f t="shared" si="73"/>
        <v>350</v>
      </c>
      <c r="DT45">
        <f t="shared" si="74"/>
        <v>1000</v>
      </c>
      <c r="DU45" s="460">
        <f t="shared" si="75"/>
        <v>350</v>
      </c>
      <c r="DV45" s="460"/>
      <c r="DW45" s="5">
        <f t="shared" si="118"/>
        <v>2.8571428571428572</v>
      </c>
      <c r="DX45" s="5">
        <f t="shared" si="76"/>
        <v>0.98634998726420287</v>
      </c>
      <c r="DY45" s="5">
        <f t="shared" si="119"/>
        <v>1.8707928698786542</v>
      </c>
      <c r="DZ45" s="5">
        <f t="shared" si="77"/>
        <v>0.97245773392245349</v>
      </c>
      <c r="EA45" s="173">
        <f t="shared" si="120"/>
        <v>0.34522249554247098</v>
      </c>
      <c r="EB45" s="173">
        <f t="shared" si="78"/>
        <v>28.399999999999991</v>
      </c>
      <c r="EC45" s="173">
        <f t="shared" si="79"/>
        <v>1.923778077565103</v>
      </c>
      <c r="ED45" s="173">
        <f t="shared" si="121"/>
        <v>14.76261754471464</v>
      </c>
      <c r="EE45" s="460">
        <f t="shared" si="80"/>
        <v>3.5226785259435816</v>
      </c>
      <c r="EF45" s="5">
        <f t="shared" si="81"/>
        <v>1.3362806213418958</v>
      </c>
      <c r="EG45" s="5"/>
      <c r="EH45" s="173">
        <f t="shared" si="122"/>
        <v>1.9933342692532028</v>
      </c>
      <c r="EI45" s="173">
        <f t="shared" si="82"/>
        <v>2.7452219614572519</v>
      </c>
      <c r="EJ45" s="173"/>
      <c r="EK45" s="528">
        <f t="shared" si="83"/>
        <v>4.76805781077504E-2</v>
      </c>
      <c r="EL45" s="528">
        <f t="shared" si="84"/>
        <v>2.2039004115431351</v>
      </c>
      <c r="EM45" s="528">
        <f t="shared" si="85"/>
        <v>4.0250000000000001E-2</v>
      </c>
      <c r="EN45" s="528">
        <f t="shared" si="86"/>
        <v>0.54831797999999998</v>
      </c>
      <c r="EO45">
        <f t="shared" si="87"/>
        <v>1.26E-2</v>
      </c>
      <c r="EP45" s="460">
        <f t="shared" si="123"/>
        <v>52.85</v>
      </c>
      <c r="EQ45" s="528">
        <f t="shared" si="88"/>
        <v>2.898459094506844</v>
      </c>
      <c r="ER45" s="460">
        <f t="shared" si="124"/>
        <v>2898.4590945068439</v>
      </c>
      <c r="ES45" s="528">
        <f t="shared" si="125"/>
        <v>0.67059999999999997</v>
      </c>
      <c r="ET45" s="528"/>
      <c r="EV45" s="460">
        <f t="shared" si="126"/>
        <v>670.6</v>
      </c>
      <c r="EW45" s="528">
        <f t="shared" si="89"/>
        <v>5.5627341125708801E-2</v>
      </c>
      <c r="EX45" s="528">
        <f t="shared" si="90"/>
        <v>0.10550741064734083</v>
      </c>
      <c r="EY45" s="528">
        <f t="shared" si="91"/>
        <v>9.5910942112423125</v>
      </c>
      <c r="EZ45" s="528">
        <f t="shared" si="92"/>
        <v>9.9187618821429009</v>
      </c>
      <c r="FA45" s="528">
        <f t="shared" si="93"/>
        <v>1.2085106382978721</v>
      </c>
      <c r="FB45" s="460">
        <f t="shared" si="127"/>
        <v>11127.272520440772</v>
      </c>
      <c r="FC45" s="173">
        <f t="shared" si="128"/>
        <v>14.696331614947617</v>
      </c>
      <c r="FD45" s="5">
        <f t="shared" si="129"/>
        <v>28</v>
      </c>
      <c r="FE45" s="173">
        <f t="shared" si="130"/>
        <v>0.65579404461523905</v>
      </c>
      <c r="FF45" s="5">
        <f t="shared" si="131"/>
        <v>65.579404461523907</v>
      </c>
      <c r="FI45" s="562">
        <f t="shared" si="94"/>
        <v>-50</v>
      </c>
      <c r="FJ45">
        <f t="shared" si="95"/>
        <v>-50</v>
      </c>
      <c r="FL45">
        <f t="shared" si="181"/>
        <v>0.34036020687285878</v>
      </c>
    </row>
    <row r="46" spans="5:168">
      <c r="E46" s="170">
        <v>41</v>
      </c>
      <c r="F46" s="217">
        <f t="shared" si="182"/>
        <v>1.0249999999999999</v>
      </c>
      <c r="G46" s="217"/>
      <c r="H46" s="217">
        <f t="shared" si="132"/>
        <v>28.699999999999996</v>
      </c>
      <c r="I46" s="541">
        <f t="shared" si="133"/>
        <v>27.923207934807067</v>
      </c>
      <c r="J46" s="172">
        <f t="shared" si="134"/>
        <v>28.441349573565425</v>
      </c>
      <c r="K46" s="172">
        <f t="shared" si="135"/>
        <v>56.441349573565425</v>
      </c>
      <c r="L46" s="443"/>
      <c r="M46" s="217">
        <f t="shared" si="136"/>
        <v>0.50459892937524087</v>
      </c>
      <c r="N46" s="172">
        <f t="shared" si="137"/>
        <v>118.67594848280916</v>
      </c>
      <c r="O46" s="172">
        <f t="shared" si="98"/>
        <v>28.699999999999996</v>
      </c>
      <c r="P46" s="217">
        <f t="shared" si="138"/>
        <v>4.2384267315288984</v>
      </c>
      <c r="Q46" s="217">
        <f t="shared" si="139"/>
        <v>28</v>
      </c>
      <c r="R46" s="217">
        <f t="shared" si="140"/>
        <v>4.1934585799481781</v>
      </c>
      <c r="S46" s="172">
        <f t="shared" si="141"/>
        <v>199.15071490782086</v>
      </c>
      <c r="T46" s="172">
        <f t="shared" si="142"/>
        <v>28</v>
      </c>
      <c r="U46" s="217">
        <f t="shared" si="143"/>
        <v>4.1380613033692235</v>
      </c>
      <c r="V46" s="217">
        <f t="shared" si="11"/>
        <v>0.69651338668691287</v>
      </c>
      <c r="W46" s="217">
        <f t="shared" si="144"/>
        <v>0.68382437603846891</v>
      </c>
      <c r="X46" s="197">
        <f t="shared" si="145"/>
        <v>350</v>
      </c>
      <c r="Y46" s="443">
        <f t="shared" si="14"/>
        <v>350</v>
      </c>
      <c r="AA46" s="217">
        <f t="shared" si="146"/>
        <v>8.5653182971658151</v>
      </c>
      <c r="AB46" s="173">
        <f t="shared" si="147"/>
        <v>1.4154390210124157</v>
      </c>
      <c r="AC46" s="173">
        <f t="shared" si="148"/>
        <v>2.1216450054100195</v>
      </c>
      <c r="AD46" s="173"/>
      <c r="AE46" s="173">
        <f t="shared" si="149"/>
        <v>0.55084118375409019</v>
      </c>
      <c r="AF46" s="545">
        <f t="shared" si="150"/>
        <v>1116.4742545367703</v>
      </c>
      <c r="AG46" s="528">
        <f t="shared" si="151"/>
        <v>0.32132402385655262</v>
      </c>
      <c r="AI46" s="173">
        <f t="shared" si="152"/>
        <v>5.9534550580441472</v>
      </c>
      <c r="AJ46" s="173">
        <f t="shared" si="153"/>
        <v>5.9534550580441472</v>
      </c>
      <c r="AK46" s="173">
        <f t="shared" si="154"/>
        <v>3.1408309071931955</v>
      </c>
      <c r="AM46" s="545">
        <f t="shared" si="155"/>
        <v>1025</v>
      </c>
      <c r="AN46" s="460">
        <f t="shared" si="156"/>
        <v>350</v>
      </c>
      <c r="AP46">
        <f t="shared" si="157"/>
        <v>1025</v>
      </c>
      <c r="AQ46" s="460">
        <f t="shared" si="158"/>
        <v>350</v>
      </c>
      <c r="AR46" s="460"/>
      <c r="AS46" s="5">
        <f t="shared" si="101"/>
        <v>2.8571428571428572</v>
      </c>
      <c r="AT46" s="5">
        <f t="shared" si="159"/>
        <v>1.0020782296266213</v>
      </c>
      <c r="AU46" s="5">
        <f t="shared" si="102"/>
        <v>1.8550646275162359</v>
      </c>
      <c r="AV46" s="5">
        <f t="shared" si="160"/>
        <v>0.98382246947994401</v>
      </c>
      <c r="AW46" s="173">
        <f t="shared" si="103"/>
        <v>0.35072738036931744</v>
      </c>
      <c r="AX46" s="173">
        <f t="shared" si="161"/>
        <v>29.152383312904558</v>
      </c>
      <c r="AY46" s="173">
        <f t="shared" si="162"/>
        <v>1.9327076806949306</v>
      </c>
      <c r="AZ46" s="173">
        <f t="shared" si="104"/>
        <v>15.083700242978511</v>
      </c>
      <c r="BA46" s="460">
        <f t="shared" si="163"/>
        <v>3.6683220905974525</v>
      </c>
      <c r="BB46" s="5">
        <f t="shared" si="164"/>
        <v>1.3619074482011366</v>
      </c>
      <c r="BC46" s="5"/>
      <c r="BD46" s="173">
        <f t="shared" si="105"/>
        <v>2.0356039638924059</v>
      </c>
      <c r="BE46" s="173">
        <f t="shared" si="165"/>
        <v>2.7696315419629385</v>
      </c>
      <c r="BF46" s="173"/>
      <c r="BG46" s="528">
        <f t="shared" si="166"/>
        <v>4.9724201973773703E-2</v>
      </c>
      <c r="BH46" s="528">
        <f t="shared" si="167"/>
        <v>2.1463343808738484</v>
      </c>
      <c r="BI46" s="528">
        <f t="shared" si="168"/>
        <v>4.0250000000000001E-2</v>
      </c>
      <c r="BJ46" s="528">
        <f t="shared" si="169"/>
        <v>0.54912227169802319</v>
      </c>
      <c r="BK46">
        <f t="shared" si="170"/>
        <v>1.2565443570663179E-2</v>
      </c>
      <c r="BL46" s="460">
        <f t="shared" si="106"/>
        <v>52.815443570663177</v>
      </c>
      <c r="BM46" s="528">
        <f t="shared" si="171"/>
        <v>2.791587517138006</v>
      </c>
      <c r="BN46" s="460">
        <f t="shared" si="107"/>
        <v>2791.5875171380062</v>
      </c>
      <c r="BO46" s="528">
        <f t="shared" si="172"/>
        <v>0.68736499999999989</v>
      </c>
      <c r="BP46" s="528"/>
      <c r="BR46" s="460">
        <f t="shared" si="109"/>
        <v>687.3649999999999</v>
      </c>
      <c r="BS46" s="528">
        <f t="shared" si="173"/>
        <v>5.8011568969402655E-2</v>
      </c>
      <c r="BT46" s="528">
        <f t="shared" si="174"/>
        <v>0.10739202429530406</v>
      </c>
      <c r="BU46" s="528">
        <f t="shared" si="175"/>
        <v>9.9097526393440845</v>
      </c>
      <c r="BV46" s="528">
        <f t="shared" si="176"/>
        <v>10.250490532334236</v>
      </c>
      <c r="BW46" s="528">
        <f t="shared" si="177"/>
        <v>1.2405269494853006</v>
      </c>
      <c r="BX46" s="460">
        <f t="shared" si="110"/>
        <v>11491.017481819537</v>
      </c>
      <c r="BY46" s="173">
        <f t="shared" si="45"/>
        <v>15.022785442528205</v>
      </c>
      <c r="BZ46" s="5">
        <f t="shared" si="111"/>
        <v>28.699999999999996</v>
      </c>
      <c r="CA46" s="173">
        <f t="shared" si="112"/>
        <v>0.65640831684259837</v>
      </c>
      <c r="CB46" s="5">
        <f t="shared" si="113"/>
        <v>65.640831684259837</v>
      </c>
      <c r="CE46" s="562">
        <f t="shared" si="178"/>
        <v>-50</v>
      </c>
      <c r="CF46">
        <f t="shared" si="179"/>
        <v>-50</v>
      </c>
      <c r="CG46" s="173">
        <f t="shared" si="180"/>
        <v>0.34704106385268008</v>
      </c>
      <c r="CI46" s="170">
        <v>41</v>
      </c>
      <c r="CJ46" s="217">
        <f t="shared" si="114"/>
        <v>1.0249999999999999</v>
      </c>
      <c r="CK46" s="217"/>
      <c r="CL46" s="217">
        <f t="shared" si="49"/>
        <v>28.699999999999996</v>
      </c>
      <c r="CM46" s="541">
        <f t="shared" si="50"/>
        <v>28</v>
      </c>
      <c r="CN46" s="172">
        <f t="shared" si="51"/>
        <v>28.4</v>
      </c>
      <c r="CO46" s="443">
        <f t="shared" si="52"/>
        <v>56.4</v>
      </c>
      <c r="CP46" s="443"/>
      <c r="CQ46" s="217">
        <f t="shared" si="53"/>
        <v>0.50354609929078009</v>
      </c>
      <c r="CR46" s="172">
        <f t="shared" si="54"/>
        <v>118.75402645742166</v>
      </c>
      <c r="CS46" s="172">
        <f t="shared" si="115"/>
        <v>28.699999999999996</v>
      </c>
      <c r="CT46" s="217">
        <f t="shared" si="55"/>
        <v>4.2412152306222017</v>
      </c>
      <c r="CU46" s="217">
        <f t="shared" si="56"/>
        <v>28</v>
      </c>
      <c r="CV46" s="217">
        <f t="shared" si="57"/>
        <v>4.1962174940898347</v>
      </c>
      <c r="CW46" s="172">
        <f t="shared" si="58"/>
        <v>199.69824892657218</v>
      </c>
      <c r="CX46" s="172">
        <f t="shared" si="59"/>
        <v>28</v>
      </c>
      <c r="CY46" s="217">
        <f t="shared" si="60"/>
        <v>4.0711267605633799</v>
      </c>
      <c r="CZ46" s="217">
        <f t="shared" si="61"/>
        <v>0.68336770623742449</v>
      </c>
      <c r="DA46" s="217">
        <f t="shared" si="62"/>
        <v>0.67374280896647487</v>
      </c>
      <c r="DB46" s="197">
        <f t="shared" si="63"/>
        <v>350</v>
      </c>
      <c r="DC46" s="443">
        <f t="shared" si="116"/>
        <v>350</v>
      </c>
      <c r="DE46" s="217">
        <f t="shared" si="64"/>
        <v>8.5709974347366842</v>
      </c>
      <c r="DF46" s="173">
        <f t="shared" si="65"/>
        <v>1.418439716312057</v>
      </c>
      <c r="DG46" s="173">
        <f t="shared" si="66"/>
        <v>2.1275525547218721</v>
      </c>
      <c r="DH46" s="173"/>
      <c r="DI46" s="173">
        <f t="shared" si="67"/>
        <v>0.55164319248826299</v>
      </c>
      <c r="DJ46" s="545">
        <f t="shared" si="117"/>
        <v>1114.8510638297871</v>
      </c>
      <c r="DK46" s="528">
        <f t="shared" si="68"/>
        <v>0.3217918622848201</v>
      </c>
      <c r="DM46" s="173">
        <f t="shared" si="69"/>
        <v>5.9491257563139213</v>
      </c>
      <c r="DN46" s="173">
        <f t="shared" si="70"/>
        <v>5.9491257563139213</v>
      </c>
      <c r="DO46" s="173">
        <f t="shared" si="71"/>
        <v>3.1376240170226577</v>
      </c>
      <c r="DQ46" s="545">
        <f t="shared" si="72"/>
        <v>1025</v>
      </c>
      <c r="DR46" s="460">
        <f t="shared" si="73"/>
        <v>350</v>
      </c>
      <c r="DT46">
        <f t="shared" si="74"/>
        <v>1025</v>
      </c>
      <c r="DU46" s="460">
        <f t="shared" si="75"/>
        <v>350</v>
      </c>
      <c r="DV46" s="460"/>
      <c r="DW46" s="5">
        <f t="shared" si="118"/>
        <v>2.8571428571428572</v>
      </c>
      <c r="DX46" s="5">
        <f t="shared" si="76"/>
        <v>0.99860325195269384</v>
      </c>
      <c r="DY46" s="5">
        <f t="shared" si="119"/>
        <v>1.8585396051901633</v>
      </c>
      <c r="DZ46" s="5">
        <f t="shared" si="77"/>
        <v>0.98453841741814896</v>
      </c>
      <c r="EA46" s="173">
        <f t="shared" si="120"/>
        <v>0.34951113818344282</v>
      </c>
      <c r="EB46" s="173">
        <f t="shared" si="78"/>
        <v>29.11</v>
      </c>
      <c r="EC46" s="173">
        <f t="shared" si="79"/>
        <v>1.9349200210141038</v>
      </c>
      <c r="ED46" s="173">
        <f t="shared" si="121"/>
        <v>15.044549482072787</v>
      </c>
      <c r="EE46" s="460">
        <f t="shared" si="80"/>
        <v>3.655601190183968</v>
      </c>
      <c r="EF46" s="5">
        <f t="shared" si="81"/>
        <v>1.3607164966570835</v>
      </c>
      <c r="EG46" s="5"/>
      <c r="EH46" s="173">
        <f t="shared" si="122"/>
        <v>2.030593689670809</v>
      </c>
      <c r="EI46" s="173">
        <f t="shared" si="82"/>
        <v>2.7702084799310058</v>
      </c>
      <c r="EJ46" s="173"/>
      <c r="EK46" s="528">
        <f t="shared" si="83"/>
        <v>4.9479728790370915E-2</v>
      </c>
      <c r="EL46" s="528">
        <f t="shared" si="84"/>
        <v>2.231279106163099</v>
      </c>
      <c r="EM46" s="528">
        <f t="shared" si="85"/>
        <v>4.0250000000000001E-2</v>
      </c>
      <c r="EN46" s="528">
        <f t="shared" si="86"/>
        <v>0.54831797999999998</v>
      </c>
      <c r="EO46">
        <f t="shared" si="87"/>
        <v>1.26E-2</v>
      </c>
      <c r="EP46" s="460">
        <f t="shared" si="123"/>
        <v>52.85</v>
      </c>
      <c r="EQ46" s="528">
        <f t="shared" si="88"/>
        <v>2.9297293638571036</v>
      </c>
      <c r="ER46" s="460">
        <f t="shared" si="124"/>
        <v>2929.7293638571036</v>
      </c>
      <c r="ES46" s="528">
        <f t="shared" si="125"/>
        <v>0.68736499999999989</v>
      </c>
      <c r="ET46" s="528"/>
      <c r="EV46" s="460">
        <f t="shared" si="126"/>
        <v>687.3649999999999</v>
      </c>
      <c r="EW46" s="528">
        <f t="shared" si="89"/>
        <v>5.772635025543274E-2</v>
      </c>
      <c r="EX46" s="528">
        <f t="shared" si="90"/>
        <v>0.10743677031194315</v>
      </c>
      <c r="EY46" s="528">
        <f t="shared" si="91"/>
        <v>9.8917467448589775</v>
      </c>
      <c r="EZ46" s="528">
        <f t="shared" si="92"/>
        <v>10.231741523065587</v>
      </c>
      <c r="FA46" s="528">
        <f t="shared" si="93"/>
        <v>1.238723404255319</v>
      </c>
      <c r="FB46" s="460">
        <f t="shared" si="127"/>
        <v>11470.464927320905</v>
      </c>
      <c r="FC46" s="173">
        <f t="shared" si="128"/>
        <v>15.087559291178009</v>
      </c>
      <c r="FD46" s="5">
        <f t="shared" si="129"/>
        <v>28.699999999999996</v>
      </c>
      <c r="FE46" s="173">
        <f t="shared" si="130"/>
        <v>0.65543730832657443</v>
      </c>
      <c r="FF46" s="5">
        <f t="shared" si="131"/>
        <v>65.543730832657445</v>
      </c>
      <c r="FI46" s="562">
        <f t="shared" si="94"/>
        <v>-50</v>
      </c>
      <c r="FJ46">
        <f t="shared" si="95"/>
        <v>-50</v>
      </c>
      <c r="FL46">
        <f t="shared" si="181"/>
        <v>0.34458844609635214</v>
      </c>
    </row>
    <row r="47" spans="5:168">
      <c r="E47" s="170">
        <v>42</v>
      </c>
      <c r="F47" s="217">
        <f t="shared" si="182"/>
        <v>1.05</v>
      </c>
      <c r="G47" s="217"/>
      <c r="H47" s="217">
        <f t="shared" si="132"/>
        <v>29.400000000000002</v>
      </c>
      <c r="I47" s="541">
        <f t="shared" si="133"/>
        <v>27.922277087909485</v>
      </c>
      <c r="J47" s="172">
        <f t="shared" si="134"/>
        <v>28.441850798817967</v>
      </c>
      <c r="K47" s="172">
        <f t="shared" si="135"/>
        <v>56.441850798817967</v>
      </c>
      <c r="L47" s="443"/>
      <c r="M47" s="217">
        <f t="shared" si="136"/>
        <v>0.50461169947270235</v>
      </c>
      <c r="N47" s="172">
        <f t="shared" si="137"/>
        <v>118.67499558838101</v>
      </c>
      <c r="O47" s="172">
        <f t="shared" si="98"/>
        <v>29.400000000000002</v>
      </c>
      <c r="P47" s="217">
        <f t="shared" si="138"/>
        <v>4.2383926995850363</v>
      </c>
      <c r="Q47" s="217">
        <f t="shared" si="139"/>
        <v>28</v>
      </c>
      <c r="R47" s="217">
        <f t="shared" si="140"/>
        <v>4.1934249090707452</v>
      </c>
      <c r="S47" s="172">
        <f t="shared" si="141"/>
        <v>193.74062662867226</v>
      </c>
      <c r="T47" s="172">
        <f t="shared" si="142"/>
        <v>28</v>
      </c>
      <c r="U47" s="217">
        <f t="shared" si="143"/>
        <v>4.2390989003267388</v>
      </c>
      <c r="V47" s="217">
        <f t="shared" si="11"/>
        <v>0.71354369734274936</v>
      </c>
      <c r="W47" s="217">
        <f t="shared" si="144"/>
        <v>0.70050873174412742</v>
      </c>
      <c r="X47" s="197">
        <f t="shared" si="145"/>
        <v>350</v>
      </c>
      <c r="Y47" s="443">
        <f t="shared" si="14"/>
        <v>350</v>
      </c>
      <c r="AA47" s="217">
        <f t="shared" si="146"/>
        <v>8.5652489926500159</v>
      </c>
      <c r="AB47" s="173">
        <f t="shared" si="147"/>
        <v>1.4154026244708424</v>
      </c>
      <c r="AC47" s="173">
        <f t="shared" si="148"/>
        <v>2.1215732831025376</v>
      </c>
      <c r="AD47" s="173"/>
      <c r="AE47" s="173">
        <f t="shared" si="149"/>
        <v>0.55083147638612073</v>
      </c>
      <c r="AF47" s="545">
        <f t="shared" si="150"/>
        <v>1143.7254895694882</v>
      </c>
      <c r="AG47" s="528">
        <f t="shared" si="151"/>
        <v>0.3213183612252371</v>
      </c>
      <c r="AI47" s="173">
        <f t="shared" si="152"/>
        <v>6.0256738793780311</v>
      </c>
      <c r="AJ47" s="173">
        <f t="shared" si="153"/>
        <v>6.0256738793780311</v>
      </c>
      <c r="AK47" s="173">
        <f t="shared" si="154"/>
        <v>3.1943263304034799</v>
      </c>
      <c r="AM47" s="545">
        <f t="shared" si="155"/>
        <v>1050</v>
      </c>
      <c r="AN47" s="460">
        <f t="shared" si="156"/>
        <v>350</v>
      </c>
      <c r="AP47">
        <f t="shared" si="157"/>
        <v>1050</v>
      </c>
      <c r="AQ47" s="460">
        <f t="shared" si="158"/>
        <v>350</v>
      </c>
      <c r="AR47" s="460"/>
      <c r="AS47" s="5">
        <f t="shared" si="101"/>
        <v>2.8571428571428572</v>
      </c>
      <c r="AT47" s="5">
        <f t="shared" si="159"/>
        <v>1.0142678243580558</v>
      </c>
      <c r="AU47" s="5">
        <f t="shared" si="102"/>
        <v>1.8428750327848014</v>
      </c>
      <c r="AV47" s="5">
        <f t="shared" si="160"/>
        <v>0.99573925175972522</v>
      </c>
      <c r="AW47" s="173">
        <f t="shared" si="103"/>
        <v>0.35499373852531951</v>
      </c>
      <c r="AX47" s="173">
        <f t="shared" si="161"/>
        <v>29.863943338758872</v>
      </c>
      <c r="AY47" s="173">
        <f t="shared" si="162"/>
        <v>1.9432986909016294</v>
      </c>
      <c r="AZ47" s="173">
        <f t="shared" si="104"/>
        <v>15.367654740148538</v>
      </c>
      <c r="BA47" s="460">
        <f t="shared" si="163"/>
        <v>3.8035043413427094</v>
      </c>
      <c r="BB47" s="5">
        <f t="shared" si="164"/>
        <v>1.3860035686429859</v>
      </c>
      <c r="BC47" s="5"/>
      <c r="BD47" s="173">
        <f t="shared" si="105"/>
        <v>2.0727901789156689</v>
      </c>
      <c r="BE47" s="173">
        <f t="shared" si="165"/>
        <v>2.7940035983746179</v>
      </c>
      <c r="BF47" s="173"/>
      <c r="BG47" s="528">
        <f t="shared" si="166"/>
        <v>5.1557509509711011E-2</v>
      </c>
      <c r="BH47" s="528">
        <f t="shared" si="167"/>
        <v>2.1723899384722358</v>
      </c>
      <c r="BI47" s="528">
        <f t="shared" si="168"/>
        <v>4.0250000000000001E-2</v>
      </c>
      <c r="BJ47" s="528">
        <f t="shared" si="169"/>
        <v>0.54913202466011535</v>
      </c>
      <c r="BK47">
        <f t="shared" si="170"/>
        <v>1.2565024689559268E-2</v>
      </c>
      <c r="BL47" s="460">
        <f t="shared" si="106"/>
        <v>52.815024689559273</v>
      </c>
      <c r="BM47" s="528">
        <f t="shared" si="171"/>
        <v>2.8215643447451471</v>
      </c>
      <c r="BN47" s="460">
        <f t="shared" si="107"/>
        <v>2821.5643447451471</v>
      </c>
      <c r="BO47" s="528">
        <f t="shared" si="172"/>
        <v>0.70412999999999992</v>
      </c>
      <c r="BP47" s="528"/>
      <c r="BR47" s="460">
        <f t="shared" si="109"/>
        <v>704.12999999999988</v>
      </c>
      <c r="BS47" s="528">
        <f t="shared" si="173"/>
        <v>6.0150427761329513E-2</v>
      </c>
      <c r="BT47" s="528">
        <f t="shared" si="174"/>
        <v>0.10929038550822438</v>
      </c>
      <c r="BU47" s="528">
        <f t="shared" si="175"/>
        <v>10.213019781571917</v>
      </c>
      <c r="BV47" s="528">
        <f t="shared" si="176"/>
        <v>10.566356148351964</v>
      </c>
      <c r="BW47" s="528">
        <f t="shared" si="177"/>
        <v>1.2708060995216544</v>
      </c>
      <c r="BX47" s="460">
        <f t="shared" si="110"/>
        <v>11837.162247873617</v>
      </c>
      <c r="BY47" s="173">
        <f t="shared" si="45"/>
        <v>15.415671617308325</v>
      </c>
      <c r="BZ47" s="5">
        <f t="shared" si="111"/>
        <v>29.400000000000002</v>
      </c>
      <c r="CA47" s="173">
        <f t="shared" si="112"/>
        <v>0.65602051556994601</v>
      </c>
      <c r="CB47" s="5">
        <f t="shared" si="113"/>
        <v>65.602051556994596</v>
      </c>
      <c r="CE47" s="562">
        <f t="shared" si="178"/>
        <v>-50</v>
      </c>
      <c r="CF47">
        <f t="shared" si="179"/>
        <v>-50</v>
      </c>
      <c r="CG47" s="173">
        <f t="shared" si="180"/>
        <v>0.35124777579366961</v>
      </c>
      <c r="CI47" s="170">
        <v>42</v>
      </c>
      <c r="CJ47" s="217">
        <f t="shared" si="114"/>
        <v>1.05</v>
      </c>
      <c r="CK47" s="217"/>
      <c r="CL47" s="217">
        <f t="shared" si="49"/>
        <v>29.400000000000002</v>
      </c>
      <c r="CM47" s="541">
        <f t="shared" si="50"/>
        <v>28</v>
      </c>
      <c r="CN47" s="172">
        <f t="shared" si="51"/>
        <v>28.4</v>
      </c>
      <c r="CO47" s="443">
        <f t="shared" si="52"/>
        <v>56.4</v>
      </c>
      <c r="CP47" s="443"/>
      <c r="CQ47" s="217">
        <f t="shared" si="53"/>
        <v>0.50354609929078009</v>
      </c>
      <c r="CR47" s="172">
        <f t="shared" si="54"/>
        <v>118.75402645742166</v>
      </c>
      <c r="CS47" s="172">
        <f t="shared" si="115"/>
        <v>29.400000000000002</v>
      </c>
      <c r="CT47" s="217">
        <f t="shared" si="55"/>
        <v>4.2412152306222017</v>
      </c>
      <c r="CU47" s="217">
        <f t="shared" si="56"/>
        <v>28</v>
      </c>
      <c r="CV47" s="217">
        <f t="shared" si="57"/>
        <v>4.1962174940898347</v>
      </c>
      <c r="CW47" s="172">
        <f t="shared" si="58"/>
        <v>194.27975260147502</v>
      </c>
      <c r="CX47" s="172">
        <f t="shared" si="59"/>
        <v>28</v>
      </c>
      <c r="CY47" s="217">
        <f t="shared" si="60"/>
        <v>4.1704225352112685</v>
      </c>
      <c r="CZ47" s="217">
        <f t="shared" si="61"/>
        <v>0.70003521126760582</v>
      </c>
      <c r="DA47" s="217">
        <f t="shared" si="62"/>
        <v>0.69017556040468175</v>
      </c>
      <c r="DB47" s="197">
        <f t="shared" si="63"/>
        <v>350</v>
      </c>
      <c r="DC47" s="443">
        <f t="shared" si="116"/>
        <v>350</v>
      </c>
      <c r="DE47" s="217">
        <f t="shared" si="64"/>
        <v>8.5709974347366842</v>
      </c>
      <c r="DF47" s="173">
        <f t="shared" si="65"/>
        <v>1.418439716312057</v>
      </c>
      <c r="DG47" s="173">
        <f t="shared" si="66"/>
        <v>2.1275525547218721</v>
      </c>
      <c r="DH47" s="173"/>
      <c r="DI47" s="173">
        <f t="shared" si="67"/>
        <v>0.55164319248826299</v>
      </c>
      <c r="DJ47" s="545">
        <f t="shared" si="117"/>
        <v>1142.0425531914893</v>
      </c>
      <c r="DK47" s="528">
        <f t="shared" si="68"/>
        <v>0.3217918622848201</v>
      </c>
      <c r="DM47" s="173">
        <f t="shared" si="69"/>
        <v>6.0212390044687787</v>
      </c>
      <c r="DN47" s="173">
        <f t="shared" si="70"/>
        <v>6.0212390044687787</v>
      </c>
      <c r="DO47" s="173">
        <f t="shared" si="71"/>
        <v>3.1910412378781077</v>
      </c>
      <c r="DQ47" s="545">
        <f t="shared" si="72"/>
        <v>1050</v>
      </c>
      <c r="DR47" s="460">
        <f t="shared" si="73"/>
        <v>350</v>
      </c>
      <c r="DT47">
        <f t="shared" si="74"/>
        <v>1050</v>
      </c>
      <c r="DU47" s="460">
        <f t="shared" si="75"/>
        <v>350</v>
      </c>
      <c r="DV47" s="460"/>
      <c r="DW47" s="5">
        <f t="shared" si="118"/>
        <v>2.8571428571428572</v>
      </c>
      <c r="DX47" s="5">
        <f t="shared" si="76"/>
        <v>1.0107079757501165</v>
      </c>
      <c r="DY47" s="5">
        <f t="shared" si="119"/>
        <v>1.8464348813927407</v>
      </c>
      <c r="DZ47" s="5">
        <f t="shared" si="77"/>
        <v>0.99647265214800207</v>
      </c>
      <c r="EA47" s="173">
        <f t="shared" si="120"/>
        <v>0.35374779151254077</v>
      </c>
      <c r="EB47" s="173">
        <f t="shared" si="78"/>
        <v>29.819999999999997</v>
      </c>
      <c r="EC47" s="173">
        <f t="shared" si="79"/>
        <v>1.9456195022343894</v>
      </c>
      <c r="ED47" s="173">
        <f t="shared" si="121"/>
        <v>15.326737815772352</v>
      </c>
      <c r="EE47" s="460">
        <f t="shared" si="80"/>
        <v>3.7901549090629372</v>
      </c>
      <c r="EF47" s="5">
        <f t="shared" si="81"/>
        <v>1.3848261610445554</v>
      </c>
      <c r="EG47" s="5"/>
      <c r="EH47" s="173">
        <f t="shared" si="122"/>
        <v>2.0676265845584481</v>
      </c>
      <c r="EI47" s="173">
        <f t="shared" si="82"/>
        <v>2.7946424976740567</v>
      </c>
      <c r="EJ47" s="173"/>
      <c r="EK47" s="528">
        <f t="shared" si="83"/>
        <v>5.1300956318073992E-2</v>
      </c>
      <c r="EL47" s="528">
        <f t="shared" si="84"/>
        <v>2.2583259010160606</v>
      </c>
      <c r="EM47" s="528">
        <f t="shared" si="85"/>
        <v>4.0250000000000001E-2</v>
      </c>
      <c r="EN47" s="528">
        <f t="shared" si="86"/>
        <v>0.54831797999999998</v>
      </c>
      <c r="EO47">
        <f t="shared" si="87"/>
        <v>1.26E-2</v>
      </c>
      <c r="EP47" s="460">
        <f t="shared" si="123"/>
        <v>52.85</v>
      </c>
      <c r="EQ47" s="528">
        <f t="shared" si="88"/>
        <v>2.9607348095875405</v>
      </c>
      <c r="ER47" s="460">
        <f t="shared" si="124"/>
        <v>2960.7348095875404</v>
      </c>
      <c r="ES47" s="528">
        <f t="shared" si="125"/>
        <v>0.70412999999999992</v>
      </c>
      <c r="ET47" s="528"/>
      <c r="EV47" s="460">
        <f t="shared" si="126"/>
        <v>704.12999999999988</v>
      </c>
      <c r="EW47" s="528">
        <f t="shared" si="89"/>
        <v>5.9851115704419658E-2</v>
      </c>
      <c r="EX47" s="528">
        <f t="shared" si="90"/>
        <v>0.10934037365728247</v>
      </c>
      <c r="EY47" s="528">
        <f t="shared" si="91"/>
        <v>10.194238286225364</v>
      </c>
      <c r="EZ47" s="528">
        <f t="shared" si="92"/>
        <v>10.546789900331639</v>
      </c>
      <c r="FA47" s="528">
        <f t="shared" si="93"/>
        <v>1.2689361702127659</v>
      </c>
      <c r="FB47" s="460">
        <f t="shared" si="127"/>
        <v>11815.726070544406</v>
      </c>
      <c r="FC47" s="173">
        <f t="shared" si="128"/>
        <v>15.480590880131947</v>
      </c>
      <c r="FD47" s="5">
        <f t="shared" si="129"/>
        <v>29.400000000000002</v>
      </c>
      <c r="FE47" s="173">
        <f t="shared" si="130"/>
        <v>0.65507158937640009</v>
      </c>
      <c r="FF47" s="5">
        <f t="shared" si="131"/>
        <v>65.507158937640014</v>
      </c>
      <c r="FI47" s="562">
        <f t="shared" si="94"/>
        <v>-50</v>
      </c>
      <c r="FJ47">
        <f t="shared" si="95"/>
        <v>-50</v>
      </c>
      <c r="FL47">
        <f t="shared" si="181"/>
        <v>0.34876542825180079</v>
      </c>
    </row>
    <row r="48" spans="5:168">
      <c r="E48" s="170">
        <v>43</v>
      </c>
      <c r="F48" s="217">
        <f t="shared" si="182"/>
        <v>1.075</v>
      </c>
      <c r="G48" s="217"/>
      <c r="H48" s="217">
        <f t="shared" si="132"/>
        <v>30.099999999999998</v>
      </c>
      <c r="I48" s="541">
        <f t="shared" si="133"/>
        <v>27.921357258115808</v>
      </c>
      <c r="J48" s="172">
        <f t="shared" si="134"/>
        <v>28.442346091783794</v>
      </c>
      <c r="K48" s="172">
        <f t="shared" si="135"/>
        <v>56.44234609178379</v>
      </c>
      <c r="L48" s="443"/>
      <c r="M48" s="217">
        <f t="shared" si="136"/>
        <v>0.50462431861842116</v>
      </c>
      <c r="N48" s="172">
        <f t="shared" si="137"/>
        <v>118.67405381990062</v>
      </c>
      <c r="O48" s="172">
        <f t="shared" si="98"/>
        <v>30.099999999999998</v>
      </c>
      <c r="P48" s="217">
        <f t="shared" si="138"/>
        <v>4.2383590649964509</v>
      </c>
      <c r="Q48" s="217">
        <f t="shared" si="139"/>
        <v>28</v>
      </c>
      <c r="R48" s="217">
        <f t="shared" si="140"/>
        <v>4.1933916313327977</v>
      </c>
      <c r="S48" s="172">
        <f t="shared" si="141"/>
        <v>188.58237098176301</v>
      </c>
      <c r="T48" s="172">
        <f t="shared" si="142"/>
        <v>28</v>
      </c>
      <c r="U48" s="217">
        <f t="shared" si="143"/>
        <v>4.3401403839682926</v>
      </c>
      <c r="V48" s="217">
        <f t="shared" si="11"/>
        <v>0.73057550949539762</v>
      </c>
      <c r="W48" s="217">
        <f t="shared" si="144"/>
        <v>0.71719329125748821</v>
      </c>
      <c r="X48" s="197">
        <f t="shared" si="145"/>
        <v>350</v>
      </c>
      <c r="Y48" s="443">
        <f t="shared" si="14"/>
        <v>350</v>
      </c>
      <c r="AA48" s="217">
        <f t="shared" si="146"/>
        <v>8.5651804974686971</v>
      </c>
      <c r="AB48" s="173">
        <f t="shared" si="147"/>
        <v>1.4153666581580562</v>
      </c>
      <c r="AC48" s="173">
        <f t="shared" si="148"/>
        <v>2.121502407013995</v>
      </c>
      <c r="AD48" s="173"/>
      <c r="AE48" s="173">
        <f t="shared" si="149"/>
        <v>0.55082188424647338</v>
      </c>
      <c r="AF48" s="545">
        <f t="shared" si="150"/>
        <v>1170.9774401617369</v>
      </c>
      <c r="AG48" s="528">
        <f t="shared" si="151"/>
        <v>0.32131276581044282</v>
      </c>
      <c r="AI48" s="173">
        <f t="shared" si="152"/>
        <v>6.0970391985997177</v>
      </c>
      <c r="AJ48" s="173">
        <f t="shared" si="153"/>
        <v>6.0970391985997177</v>
      </c>
      <c r="AK48" s="173">
        <f t="shared" si="154"/>
        <v>3.2471895298269509</v>
      </c>
      <c r="AM48" s="545">
        <f t="shared" si="155"/>
        <v>1075</v>
      </c>
      <c r="AN48" s="460">
        <f t="shared" si="156"/>
        <v>350</v>
      </c>
      <c r="AP48">
        <f t="shared" si="157"/>
        <v>1075</v>
      </c>
      <c r="AQ48" s="460">
        <f t="shared" si="158"/>
        <v>350</v>
      </c>
      <c r="AR48" s="460"/>
      <c r="AS48" s="5">
        <f t="shared" si="101"/>
        <v>2.8571428571428572</v>
      </c>
      <c r="AT48" s="5">
        <f t="shared" si="159"/>
        <v>1.0263141568839496</v>
      </c>
      <c r="AU48" s="5">
        <f t="shared" si="102"/>
        <v>1.8308287002589076</v>
      </c>
      <c r="AV48" s="5">
        <f t="shared" si="160"/>
        <v>1.0075147859091913</v>
      </c>
      <c r="AW48" s="173">
        <f t="shared" si="103"/>
        <v>0.35920995490938235</v>
      </c>
      <c r="AX48" s="173">
        <f t="shared" si="161"/>
        <v>30.575522048667573</v>
      </c>
      <c r="AY48" s="173">
        <f t="shared" si="162"/>
        <v>1.9534610114949882</v>
      </c>
      <c r="AZ48" s="173">
        <f t="shared" si="104"/>
        <v>15.651974556312263</v>
      </c>
      <c r="BA48" s="460">
        <f t="shared" si="163"/>
        <v>3.9403132808937347</v>
      </c>
      <c r="BB48" s="5">
        <f t="shared" si="164"/>
        <v>1.4097744852329859</v>
      </c>
      <c r="BC48" s="5"/>
      <c r="BD48" s="173">
        <f t="shared" si="105"/>
        <v>2.1097575112809444</v>
      </c>
      <c r="BE48" s="173">
        <f t="shared" si="165"/>
        <v>2.8178394039903689</v>
      </c>
      <c r="BF48" s="173"/>
      <c r="BG48" s="528">
        <f t="shared" si="166"/>
        <v>5.3412921076876368E-2</v>
      </c>
      <c r="BH48" s="528">
        <f t="shared" si="167"/>
        <v>2.1981380181709578</v>
      </c>
      <c r="BI48" s="528">
        <f t="shared" si="168"/>
        <v>4.0250000000000001E-2</v>
      </c>
      <c r="BJ48" s="528">
        <f t="shared" si="169"/>
        <v>0.54914166227541783</v>
      </c>
      <c r="BK48">
        <f t="shared" si="170"/>
        <v>1.2564610766152113E-2</v>
      </c>
      <c r="BL48" s="460">
        <f t="shared" si="106"/>
        <v>52.814610766152114</v>
      </c>
      <c r="BM48" s="528">
        <f t="shared" si="171"/>
        <v>2.8512996779463342</v>
      </c>
      <c r="BN48" s="460">
        <f t="shared" si="107"/>
        <v>2851.2996779463342</v>
      </c>
      <c r="BO48" s="528">
        <f t="shared" si="172"/>
        <v>0.72089499999999995</v>
      </c>
      <c r="BP48" s="528"/>
      <c r="BR48" s="460">
        <f t="shared" si="109"/>
        <v>720.89499999999998</v>
      </c>
      <c r="BS48" s="528">
        <f t="shared" si="173"/>
        <v>6.2315074589689094E-2</v>
      </c>
      <c r="BT48" s="528">
        <f t="shared" si="174"/>
        <v>0.11116306469353117</v>
      </c>
      <c r="BU48" s="528">
        <f t="shared" si="175"/>
        <v>10.518106965347018</v>
      </c>
      <c r="BV48" s="528">
        <f t="shared" si="176"/>
        <v>10.884274553821788</v>
      </c>
      <c r="BW48" s="528">
        <f t="shared" si="177"/>
        <v>1.3010860446241521</v>
      </c>
      <c r="BX48" s="460">
        <f t="shared" si="110"/>
        <v>12185.360598445939</v>
      </c>
      <c r="BY48" s="173">
        <f t="shared" si="45"/>
        <v>15.810369887158426</v>
      </c>
      <c r="BZ48" s="5">
        <f t="shared" si="111"/>
        <v>30.099999999999998</v>
      </c>
      <c r="CA48" s="173">
        <f t="shared" si="112"/>
        <v>0.65562529933829305</v>
      </c>
      <c r="CB48" s="5">
        <f t="shared" si="113"/>
        <v>65.56252993382931</v>
      </c>
      <c r="CE48" s="562">
        <f t="shared" si="178"/>
        <v>-50</v>
      </c>
      <c r="CF48">
        <f t="shared" si="179"/>
        <v>-50</v>
      </c>
      <c r="CG48" s="173">
        <f t="shared" si="180"/>
        <v>0.3554046988997191</v>
      </c>
      <c r="CI48" s="170">
        <v>43</v>
      </c>
      <c r="CJ48" s="217">
        <f t="shared" si="114"/>
        <v>1.075</v>
      </c>
      <c r="CK48" s="217"/>
      <c r="CL48" s="217">
        <f t="shared" si="49"/>
        <v>30.099999999999998</v>
      </c>
      <c r="CM48" s="541">
        <f t="shared" si="50"/>
        <v>28</v>
      </c>
      <c r="CN48" s="172">
        <f t="shared" si="51"/>
        <v>28.4</v>
      </c>
      <c r="CO48" s="443">
        <f t="shared" si="52"/>
        <v>56.4</v>
      </c>
      <c r="CP48" s="443"/>
      <c r="CQ48" s="217">
        <f t="shared" si="53"/>
        <v>0.50354609929078009</v>
      </c>
      <c r="CR48" s="172">
        <f t="shared" si="54"/>
        <v>118.75402645742166</v>
      </c>
      <c r="CS48" s="172">
        <f t="shared" si="115"/>
        <v>30.099999999999998</v>
      </c>
      <c r="CT48" s="217">
        <f t="shared" si="55"/>
        <v>4.2412152306222017</v>
      </c>
      <c r="CU48" s="217">
        <f t="shared" si="56"/>
        <v>28</v>
      </c>
      <c r="CV48" s="217">
        <f t="shared" si="57"/>
        <v>4.1962174940898347</v>
      </c>
      <c r="CW48" s="172">
        <f t="shared" si="58"/>
        <v>189.11336230100977</v>
      </c>
      <c r="CX48" s="172">
        <f t="shared" si="59"/>
        <v>28</v>
      </c>
      <c r="CY48" s="217">
        <f t="shared" si="60"/>
        <v>4.2697183098591553</v>
      </c>
      <c r="CZ48" s="217">
        <f t="shared" si="61"/>
        <v>0.71670271629778681</v>
      </c>
      <c r="DA48" s="217">
        <f t="shared" si="62"/>
        <v>0.70660831184288841</v>
      </c>
      <c r="DB48" s="197">
        <f t="shared" si="63"/>
        <v>350</v>
      </c>
      <c r="DC48" s="443">
        <f t="shared" si="116"/>
        <v>350</v>
      </c>
      <c r="DE48" s="217">
        <f t="shared" si="64"/>
        <v>8.5709974347366842</v>
      </c>
      <c r="DF48" s="173">
        <f t="shared" si="65"/>
        <v>1.418439716312057</v>
      </c>
      <c r="DG48" s="173">
        <f t="shared" si="66"/>
        <v>2.1275525547218721</v>
      </c>
      <c r="DH48" s="173"/>
      <c r="DI48" s="173">
        <f t="shared" si="67"/>
        <v>0.55164319248826299</v>
      </c>
      <c r="DJ48" s="545">
        <f t="shared" si="117"/>
        <v>1169.2340425531913</v>
      </c>
      <c r="DK48" s="528">
        <f t="shared" si="68"/>
        <v>0.3217918622848201</v>
      </c>
      <c r="DM48" s="173">
        <f t="shared" si="69"/>
        <v>6.0924987512050137</v>
      </c>
      <c r="DN48" s="173">
        <f t="shared" si="70"/>
        <v>6.0924987512050137</v>
      </c>
      <c r="DO48" s="173">
        <f t="shared" si="71"/>
        <v>3.2438262354605039</v>
      </c>
      <c r="DQ48" s="545">
        <f t="shared" si="72"/>
        <v>1075</v>
      </c>
      <c r="DR48" s="460">
        <f t="shared" si="73"/>
        <v>350</v>
      </c>
      <c r="DT48">
        <f t="shared" si="74"/>
        <v>1075</v>
      </c>
      <c r="DU48" s="460">
        <f t="shared" si="75"/>
        <v>350</v>
      </c>
      <c r="DV48" s="460"/>
      <c r="DW48" s="5">
        <f t="shared" si="118"/>
        <v>2.8571428571428572</v>
      </c>
      <c r="DX48" s="5">
        <f t="shared" si="76"/>
        <v>1.0226694332379844</v>
      </c>
      <c r="DY48" s="5">
        <f t="shared" si="119"/>
        <v>1.8344734239048728</v>
      </c>
      <c r="DZ48" s="5">
        <f t="shared" si="77"/>
        <v>1.0082656384036466</v>
      </c>
      <c r="EA48" s="173">
        <f t="shared" si="120"/>
        <v>0.35793430163329454</v>
      </c>
      <c r="EB48" s="173">
        <f t="shared" si="78"/>
        <v>30.530000000000005</v>
      </c>
      <c r="EC48" s="173">
        <f t="shared" si="79"/>
        <v>1.9558922327453641</v>
      </c>
      <c r="ED48" s="173">
        <f t="shared" si="121"/>
        <v>15.609244460849945</v>
      </c>
      <c r="EE48" s="460">
        <f t="shared" si="80"/>
        <v>3.9263201454672618</v>
      </c>
      <c r="EF48" s="5">
        <f t="shared" si="81"/>
        <v>1.4086135219269555</v>
      </c>
      <c r="EG48" s="5"/>
      <c r="EH48" s="173">
        <f t="shared" si="122"/>
        <v>2.1044396770042471</v>
      </c>
      <c r="EI48" s="173">
        <f t="shared" si="82"/>
        <v>2.8185422929229116</v>
      </c>
      <c r="EJ48" s="173"/>
      <c r="EK48" s="528">
        <f t="shared" si="83"/>
        <v>5.3143996249796877E-2</v>
      </c>
      <c r="EL48" s="528">
        <f t="shared" si="84"/>
        <v>2.2850525816269527</v>
      </c>
      <c r="EM48" s="528">
        <f t="shared" si="85"/>
        <v>4.0250000000000001E-2</v>
      </c>
      <c r="EN48" s="528">
        <f t="shared" si="86"/>
        <v>0.54831797999999998</v>
      </c>
      <c r="EO48">
        <f t="shared" si="87"/>
        <v>1.26E-2</v>
      </c>
      <c r="EP48" s="460">
        <f t="shared" si="123"/>
        <v>52.85</v>
      </c>
      <c r="EQ48" s="528">
        <f t="shared" si="88"/>
        <v>2.9914869834156375</v>
      </c>
      <c r="ER48" s="460">
        <f t="shared" si="124"/>
        <v>2991.4869834156375</v>
      </c>
      <c r="ES48" s="528">
        <f t="shared" si="125"/>
        <v>0.72089499999999995</v>
      </c>
      <c r="ET48" s="528"/>
      <c r="EV48" s="460">
        <f t="shared" si="126"/>
        <v>720.89499999999998</v>
      </c>
      <c r="EW48" s="528">
        <f t="shared" si="89"/>
        <v>6.2001328958096354E-2</v>
      </c>
      <c r="EX48" s="528">
        <f t="shared" si="90"/>
        <v>0.11121852919793201</v>
      </c>
      <c r="EY48" s="528">
        <f t="shared" si="91"/>
        <v>10.498535891667139</v>
      </c>
      <c r="EZ48" s="528">
        <f t="shared" si="92"/>
        <v>10.863875635509226</v>
      </c>
      <c r="FA48" s="528">
        <f t="shared" si="93"/>
        <v>1.2991489361702129</v>
      </c>
      <c r="FB48" s="460">
        <f t="shared" si="127"/>
        <v>12163.024571679438</v>
      </c>
      <c r="FC48" s="173">
        <f t="shared" si="128"/>
        <v>15.875406555095076</v>
      </c>
      <c r="FD48" s="5">
        <f t="shared" si="129"/>
        <v>30.099999999999998</v>
      </c>
      <c r="FE48" s="173">
        <f t="shared" si="130"/>
        <v>0.65469785381733103</v>
      </c>
      <c r="FF48" s="5">
        <f t="shared" si="131"/>
        <v>65.469785381733104</v>
      </c>
      <c r="FI48" s="562">
        <f t="shared" si="94"/>
        <v>-50</v>
      </c>
      <c r="FJ48">
        <f t="shared" si="95"/>
        <v>-50</v>
      </c>
      <c r="FL48">
        <f t="shared" si="181"/>
        <v>0.35289297344127635</v>
      </c>
    </row>
    <row r="49" spans="5:168">
      <c r="E49" s="170">
        <v>44</v>
      </c>
      <c r="F49" s="217">
        <f t="shared" si="182"/>
        <v>1.1000000000000001</v>
      </c>
      <c r="G49" s="217"/>
      <c r="H49" s="217">
        <f t="shared" si="132"/>
        <v>30.800000000000004</v>
      </c>
      <c r="I49" s="541">
        <f t="shared" si="133"/>
        <v>27.920448063264946</v>
      </c>
      <c r="J49" s="172">
        <f t="shared" si="134"/>
        <v>28.44283565824195</v>
      </c>
      <c r="K49" s="172">
        <f t="shared" si="135"/>
        <v>56.442835658241947</v>
      </c>
      <c r="L49" s="443"/>
      <c r="M49" s="217">
        <f t="shared" si="136"/>
        <v>0.50463679204861289</v>
      </c>
      <c r="N49" s="172">
        <f t="shared" si="137"/>
        <v>118.6731227914281</v>
      </c>
      <c r="O49" s="172">
        <f t="shared" si="98"/>
        <v>30.800000000000004</v>
      </c>
      <c r="P49" s="217">
        <f t="shared" si="138"/>
        <v>4.238325813979575</v>
      </c>
      <c r="Q49" s="217">
        <f t="shared" si="139"/>
        <v>28</v>
      </c>
      <c r="R49" s="217">
        <f t="shared" si="140"/>
        <v>4.1933587330970026</v>
      </c>
      <c r="S49" s="172">
        <f t="shared" si="141"/>
        <v>183.65877511465456</v>
      </c>
      <c r="T49" s="172">
        <f t="shared" si="142"/>
        <v>28</v>
      </c>
      <c r="U49" s="217">
        <f t="shared" si="143"/>
        <v>4.4411857091653424</v>
      </c>
      <c r="V49" s="217">
        <f t="shared" si="11"/>
        <v>0.74760880576771827</v>
      </c>
      <c r="W49" s="217">
        <f t="shared" si="144"/>
        <v>0.7338780522408469</v>
      </c>
      <c r="X49" s="197">
        <f t="shared" si="145"/>
        <v>350</v>
      </c>
      <c r="Y49" s="443">
        <f t="shared" si="14"/>
        <v>350</v>
      </c>
      <c r="AA49" s="217">
        <f t="shared" si="146"/>
        <v>8.5651127835474394</v>
      </c>
      <c r="AB49" s="173">
        <f t="shared" si="147"/>
        <v>1.4153311071502772</v>
      </c>
      <c r="AC49" s="173">
        <f t="shared" si="148"/>
        <v>2.1214323477909085</v>
      </c>
      <c r="AD49" s="173"/>
      <c r="AE49" s="173">
        <f t="shared" si="149"/>
        <v>0.55081240333809334</v>
      </c>
      <c r="AF49" s="545">
        <f t="shared" si="150"/>
        <v>1198.2300979429585</v>
      </c>
      <c r="AG49" s="528">
        <f t="shared" si="151"/>
        <v>0.32130723528055449</v>
      </c>
      <c r="AI49" s="173">
        <f t="shared" si="152"/>
        <v>6.1675806219576819</v>
      </c>
      <c r="AJ49" s="173">
        <f t="shared" si="153"/>
        <v>6.1675806219576819</v>
      </c>
      <c r="AK49" s="173">
        <f t="shared" si="154"/>
        <v>3.2994424360180359</v>
      </c>
      <c r="AM49" s="545">
        <f t="shared" si="155"/>
        <v>1100</v>
      </c>
      <c r="AN49" s="460">
        <f t="shared" si="156"/>
        <v>350</v>
      </c>
      <c r="AP49">
        <f t="shared" si="157"/>
        <v>1100</v>
      </c>
      <c r="AQ49" s="460">
        <f t="shared" si="158"/>
        <v>350</v>
      </c>
      <c r="AR49" s="460"/>
      <c r="AS49" s="5">
        <f t="shared" si="101"/>
        <v>2.8571428571428572</v>
      </c>
      <c r="AT49" s="5">
        <f t="shared" si="159"/>
        <v>1.0382221967755687</v>
      </c>
      <c r="AU49" s="5">
        <f t="shared" si="102"/>
        <v>1.8189206603672885</v>
      </c>
      <c r="AV49" s="5">
        <f t="shared" si="160"/>
        <v>1.0191539715485889</v>
      </c>
      <c r="AW49" s="173">
        <f t="shared" si="103"/>
        <v>0.36337776887144901</v>
      </c>
      <c r="AX49" s="173">
        <f t="shared" si="161"/>
        <v>31.287119224066149</v>
      </c>
      <c r="AY49" s="173">
        <f t="shared" si="162"/>
        <v>1.9632094681079577</v>
      </c>
      <c r="AZ49" s="173">
        <f t="shared" si="104"/>
        <v>15.936719811268585</v>
      </c>
      <c r="BA49" s="460">
        <f t="shared" si="163"/>
        <v>4.0787300587611623</v>
      </c>
      <c r="BB49" s="5">
        <f t="shared" si="164"/>
        <v>1.4332239381476801</v>
      </c>
      <c r="BC49" s="5"/>
      <c r="BD49" s="173">
        <f t="shared" si="105"/>
        <v>2.1465123171985239</v>
      </c>
      <c r="BE49" s="173">
        <f t="shared" si="165"/>
        <v>2.84115618159773</v>
      </c>
      <c r="BF49" s="173"/>
      <c r="BG49" s="528">
        <f t="shared" si="166"/>
        <v>5.5290181534619724E-2</v>
      </c>
      <c r="BH49" s="528">
        <f t="shared" si="167"/>
        <v>2.2235892857631603</v>
      </c>
      <c r="BI49" s="528">
        <f t="shared" si="168"/>
        <v>4.0250000000000001E-2</v>
      </c>
      <c r="BJ49" s="528">
        <f t="shared" si="169"/>
        <v>0.54915118854507772</v>
      </c>
      <c r="BK49">
        <f t="shared" si="170"/>
        <v>1.2564201628469225E-2</v>
      </c>
      <c r="BL49" s="460">
        <f t="shared" si="106"/>
        <v>52.814201628469228</v>
      </c>
      <c r="BM49" s="528">
        <f t="shared" si="171"/>
        <v>2.8808039743679346</v>
      </c>
      <c r="BN49" s="460">
        <f t="shared" si="107"/>
        <v>2880.8039743679346</v>
      </c>
      <c r="BO49" s="528">
        <f t="shared" si="172"/>
        <v>0.73765999999999998</v>
      </c>
      <c r="BP49" s="528"/>
      <c r="BR49" s="460">
        <f t="shared" si="109"/>
        <v>737.66</v>
      </c>
      <c r="BS49" s="528">
        <f t="shared" si="173"/>
        <v>6.4505211790389677E-2</v>
      </c>
      <c r="BT49" s="528">
        <f t="shared" si="174"/>
        <v>0.11301035827523391</v>
      </c>
      <c r="BU49" s="528">
        <f t="shared" si="175"/>
        <v>10.824982510092678</v>
      </c>
      <c r="BV49" s="528">
        <f t="shared" si="176"/>
        <v>11.204215635021169</v>
      </c>
      <c r="BW49" s="528">
        <f t="shared" si="177"/>
        <v>1.3313667754921767</v>
      </c>
      <c r="BX49" s="460">
        <f t="shared" si="110"/>
        <v>12535.582410513345</v>
      </c>
      <c r="BY49" s="173">
        <f t="shared" si="45"/>
        <v>16.206860586509748</v>
      </c>
      <c r="BZ49" s="5">
        <f t="shared" si="111"/>
        <v>30.800000000000004</v>
      </c>
      <c r="CA49" s="173">
        <f t="shared" si="112"/>
        <v>0.6552235060096554</v>
      </c>
      <c r="CB49" s="5">
        <f t="shared" si="113"/>
        <v>65.522350600965538</v>
      </c>
      <c r="CE49" s="562">
        <f t="shared" si="178"/>
        <v>-50</v>
      </c>
      <c r="CF49">
        <f t="shared" si="179"/>
        <v>-50</v>
      </c>
      <c r="CG49" s="173">
        <f t="shared" si="180"/>
        <v>0.35951356024495101</v>
      </c>
      <c r="CI49" s="170">
        <v>44</v>
      </c>
      <c r="CJ49" s="217">
        <f t="shared" si="114"/>
        <v>1.1000000000000001</v>
      </c>
      <c r="CK49" s="217"/>
      <c r="CL49" s="217">
        <f t="shared" si="49"/>
        <v>30.800000000000004</v>
      </c>
      <c r="CM49" s="541">
        <f t="shared" si="50"/>
        <v>28</v>
      </c>
      <c r="CN49" s="172">
        <f t="shared" si="51"/>
        <v>28.4</v>
      </c>
      <c r="CO49" s="443">
        <f t="shared" si="52"/>
        <v>56.4</v>
      </c>
      <c r="CP49" s="443"/>
      <c r="CQ49" s="217">
        <f t="shared" si="53"/>
        <v>0.50354609929078009</v>
      </c>
      <c r="CR49" s="172">
        <f t="shared" si="54"/>
        <v>118.75402645742166</v>
      </c>
      <c r="CS49" s="172">
        <f t="shared" si="115"/>
        <v>30.800000000000004</v>
      </c>
      <c r="CT49" s="217">
        <f t="shared" si="55"/>
        <v>4.2412152306222017</v>
      </c>
      <c r="CU49" s="217">
        <f t="shared" si="56"/>
        <v>28</v>
      </c>
      <c r="CV49" s="217">
        <f t="shared" si="57"/>
        <v>4.1962174940898347</v>
      </c>
      <c r="CW49" s="172">
        <f t="shared" si="58"/>
        <v>184.18188979664569</v>
      </c>
      <c r="CX49" s="172">
        <f t="shared" si="59"/>
        <v>28</v>
      </c>
      <c r="CY49" s="217">
        <f t="shared" si="60"/>
        <v>4.3690140845070431</v>
      </c>
      <c r="CZ49" s="217">
        <f t="shared" si="61"/>
        <v>0.73337022132796792</v>
      </c>
      <c r="DA49" s="217">
        <f t="shared" si="62"/>
        <v>0.72304106328109519</v>
      </c>
      <c r="DB49" s="197">
        <f t="shared" si="63"/>
        <v>350</v>
      </c>
      <c r="DC49" s="443">
        <f t="shared" si="116"/>
        <v>350</v>
      </c>
      <c r="DE49" s="217">
        <f t="shared" si="64"/>
        <v>8.5709974347366842</v>
      </c>
      <c r="DF49" s="173">
        <f t="shared" si="65"/>
        <v>1.418439716312057</v>
      </c>
      <c r="DG49" s="173">
        <f t="shared" si="66"/>
        <v>2.1275525547218721</v>
      </c>
      <c r="DH49" s="173"/>
      <c r="DI49" s="173">
        <f t="shared" si="67"/>
        <v>0.55164319248826299</v>
      </c>
      <c r="DJ49" s="545">
        <f t="shared" si="117"/>
        <v>1196.4255319148936</v>
      </c>
      <c r="DK49" s="528">
        <f t="shared" si="68"/>
        <v>0.3217918622848201</v>
      </c>
      <c r="DM49" s="173">
        <f t="shared" si="69"/>
        <v>6.1629346027629675</v>
      </c>
      <c r="DN49" s="173">
        <f t="shared" si="70"/>
        <v>6.1629346027629675</v>
      </c>
      <c r="DO49" s="173">
        <f t="shared" si="71"/>
        <v>3.2960009403182475</v>
      </c>
      <c r="DQ49" s="545">
        <f t="shared" si="72"/>
        <v>1100</v>
      </c>
      <c r="DR49" s="460">
        <f t="shared" si="73"/>
        <v>350</v>
      </c>
      <c r="DT49">
        <f t="shared" si="74"/>
        <v>1100</v>
      </c>
      <c r="DU49" s="460">
        <f t="shared" si="75"/>
        <v>350</v>
      </c>
      <c r="DV49" s="460"/>
      <c r="DW49" s="5">
        <f t="shared" si="118"/>
        <v>2.8571428571428572</v>
      </c>
      <c r="DX49" s="5">
        <f t="shared" si="76"/>
        <v>1.0344925940352125</v>
      </c>
      <c r="DY49" s="5">
        <f t="shared" si="119"/>
        <v>1.8226502631076447</v>
      </c>
      <c r="DZ49" s="5">
        <f t="shared" si="77"/>
        <v>1.0199222758093642</v>
      </c>
      <c r="EA49" s="173">
        <f t="shared" si="120"/>
        <v>0.36207240791232437</v>
      </c>
      <c r="EB49" s="173">
        <f t="shared" si="78"/>
        <v>31.24</v>
      </c>
      <c r="EC49" s="173">
        <f t="shared" si="79"/>
        <v>1.9657530156671978</v>
      </c>
      <c r="ED49" s="173">
        <f t="shared" si="121"/>
        <v>15.892128742021441</v>
      </c>
      <c r="EE49" s="460">
        <f t="shared" si="80"/>
        <v>4.064078047995479</v>
      </c>
      <c r="EF49" s="5">
        <f t="shared" si="81"/>
        <v>1.4320823495845778</v>
      </c>
      <c r="EG49" s="5"/>
      <c r="EH49" s="173">
        <f t="shared" si="122"/>
        <v>2.1410393392346529</v>
      </c>
      <c r="EI49" s="173">
        <f t="shared" si="82"/>
        <v>2.8419250847199833</v>
      </c>
      <c r="EJ49" s="173"/>
      <c r="EK49" s="528">
        <f t="shared" si="83"/>
        <v>5.500859342580431E-2</v>
      </c>
      <c r="EL49" s="528">
        <f t="shared" si="84"/>
        <v>2.311470252112279</v>
      </c>
      <c r="EM49" s="528">
        <f t="shared" si="85"/>
        <v>4.0250000000000001E-2</v>
      </c>
      <c r="EN49" s="528">
        <f t="shared" si="86"/>
        <v>0.54831797999999998</v>
      </c>
      <c r="EO49">
        <f t="shared" si="87"/>
        <v>1.26E-2</v>
      </c>
      <c r="EP49" s="460">
        <f t="shared" si="123"/>
        <v>52.85</v>
      </c>
      <c r="EQ49" s="528">
        <f t="shared" si="88"/>
        <v>3.0219967698584336</v>
      </c>
      <c r="ER49" s="460">
        <f t="shared" si="124"/>
        <v>3021.9967698584337</v>
      </c>
      <c r="ES49" s="528">
        <f t="shared" si="125"/>
        <v>0.73765999999999998</v>
      </c>
      <c r="ET49" s="528"/>
      <c r="EV49" s="460">
        <f t="shared" si="126"/>
        <v>737.66</v>
      </c>
      <c r="EW49" s="528">
        <f t="shared" si="89"/>
        <v>6.4176692330105034E-2</v>
      </c>
      <c r="EX49" s="528">
        <f t="shared" si="90"/>
        <v>0.11307153462024959</v>
      </c>
      <c r="EY49" s="528">
        <f t="shared" si="91"/>
        <v>10.804607962535023</v>
      </c>
      <c r="EZ49" s="528">
        <f t="shared" si="92"/>
        <v>11.182968673507101</v>
      </c>
      <c r="FA49" s="528">
        <f t="shared" si="93"/>
        <v>1.3293617021276598</v>
      </c>
      <c r="FB49" s="460">
        <f t="shared" si="127"/>
        <v>12512.330375634761</v>
      </c>
      <c r="FC49" s="173">
        <f t="shared" si="128"/>
        <v>16.271987145493195</v>
      </c>
      <c r="FD49" s="5">
        <f t="shared" si="129"/>
        <v>30.800000000000004</v>
      </c>
      <c r="FE49" s="173">
        <f t="shared" si="130"/>
        <v>0.65431696998049682</v>
      </c>
      <c r="FF49" s="5">
        <f t="shared" si="131"/>
        <v>65.431696998049688</v>
      </c>
      <c r="FI49" s="562">
        <f t="shared" si="94"/>
        <v>-50</v>
      </c>
      <c r="FJ49">
        <f t="shared" si="95"/>
        <v>-50</v>
      </c>
      <c r="FL49">
        <f t="shared" si="181"/>
        <v>0.35697279653327751</v>
      </c>
    </row>
    <row r="50" spans="5:168">
      <c r="E50" s="170">
        <v>45</v>
      </c>
      <c r="F50" s="217">
        <f t="shared" si="182"/>
        <v>1.125</v>
      </c>
      <c r="G50" s="217"/>
      <c r="H50" s="217">
        <f t="shared" si="132"/>
        <v>31.5</v>
      </c>
      <c r="I50" s="541">
        <f t="shared" si="133"/>
        <v>27.919549142791816</v>
      </c>
      <c r="J50" s="172">
        <f t="shared" si="134"/>
        <v>28.443319692342868</v>
      </c>
      <c r="K50" s="172">
        <f t="shared" si="135"/>
        <v>56.443319692342868</v>
      </c>
      <c r="L50" s="443"/>
      <c r="M50" s="217">
        <f t="shared" si="136"/>
        <v>0.50464912470359291</v>
      </c>
      <c r="N50" s="172">
        <f t="shared" si="137"/>
        <v>118.67220213883297</v>
      </c>
      <c r="O50" s="172">
        <f t="shared" si="98"/>
        <v>31.5</v>
      </c>
      <c r="P50" s="217">
        <f t="shared" si="138"/>
        <v>4.238292933529749</v>
      </c>
      <c r="Q50" s="217">
        <f t="shared" si="139"/>
        <v>28</v>
      </c>
      <c r="R50" s="217">
        <f t="shared" si="140"/>
        <v>4.1933262014966779</v>
      </c>
      <c r="S50" s="172">
        <f t="shared" si="141"/>
        <v>178.95419283361946</v>
      </c>
      <c r="T50" s="172">
        <f t="shared" si="142"/>
        <v>28</v>
      </c>
      <c r="U50" s="217">
        <f t="shared" si="143"/>
        <v>4.5422348323370771</v>
      </c>
      <c r="V50" s="217">
        <f t="shared" si="11"/>
        <v>0.76464356937855338</v>
      </c>
      <c r="W50" s="217">
        <f t="shared" si="144"/>
        <v>0.750563012436675</v>
      </c>
      <c r="X50" s="197">
        <f t="shared" si="145"/>
        <v>350</v>
      </c>
      <c r="Y50" s="443">
        <f t="shared" si="14"/>
        <v>350</v>
      </c>
      <c r="AA50" s="217">
        <f t="shared" si="146"/>
        <v>8.5650458243983145</v>
      </c>
      <c r="AB50" s="173">
        <f t="shared" si="147"/>
        <v>1.4152959573670716</v>
      </c>
      <c r="AC50" s="173">
        <f t="shared" si="148"/>
        <v>2.1213630777385637</v>
      </c>
      <c r="AD50" s="173"/>
      <c r="AE50" s="173">
        <f t="shared" si="149"/>
        <v>0.55080302988980001</v>
      </c>
      <c r="AF50" s="545">
        <f t="shared" si="150"/>
        <v>1225.483454829666</v>
      </c>
      <c r="AG50" s="528">
        <f t="shared" si="151"/>
        <v>0.3213017674357167</v>
      </c>
      <c r="AI50" s="173">
        <f t="shared" si="152"/>
        <v>6.237326082646252</v>
      </c>
      <c r="AJ50" s="173">
        <f t="shared" si="153"/>
        <v>6.237326082646252</v>
      </c>
      <c r="AK50" s="173">
        <f t="shared" si="154"/>
        <v>3.351105740231791</v>
      </c>
      <c r="AM50" s="545">
        <f t="shared" si="155"/>
        <v>1125</v>
      </c>
      <c r="AN50" s="460">
        <f t="shared" si="156"/>
        <v>350</v>
      </c>
      <c r="AP50">
        <f t="shared" si="157"/>
        <v>1125</v>
      </c>
      <c r="AQ50" s="460">
        <f t="shared" si="158"/>
        <v>350</v>
      </c>
      <c r="AR50" s="460"/>
      <c r="AS50" s="5">
        <f t="shared" si="101"/>
        <v>2.8571428571428572</v>
      </c>
      <c r="AT50" s="5">
        <f t="shared" si="159"/>
        <v>1.0499966327717707</v>
      </c>
      <c r="AU50" s="5">
        <f t="shared" si="102"/>
        <v>1.8071462243710865</v>
      </c>
      <c r="AV50" s="5">
        <f t="shared" si="160"/>
        <v>1.0306614314196698</v>
      </c>
      <c r="AW50" s="173">
        <f t="shared" si="103"/>
        <v>0.36749882147011975</v>
      </c>
      <c r="AX50" s="173">
        <f t="shared" si="161"/>
        <v>31.998734653885723</v>
      </c>
      <c r="AY50" s="173">
        <f t="shared" si="162"/>
        <v>1.9725580490744576</v>
      </c>
      <c r="AZ50" s="173">
        <f t="shared" si="104"/>
        <v>16.221948281268489</v>
      </c>
      <c r="BA50" s="460">
        <f t="shared" si="163"/>
        <v>4.2187364709580075</v>
      </c>
      <c r="BB50" s="5">
        <f t="shared" si="164"/>
        <v>1.4563555392815906</v>
      </c>
      <c r="BC50" s="5"/>
      <c r="BD50" s="173">
        <f t="shared" si="105"/>
        <v>2.1830606285066385</v>
      </c>
      <c r="BE50" s="173">
        <f t="shared" si="165"/>
        <v>2.8639701778039894</v>
      </c>
      <c r="BF50" s="173"/>
      <c r="BG50" s="528">
        <f t="shared" si="166"/>
        <v>5.7189044492829598E-2</v>
      </c>
      <c r="BH50" s="528">
        <f t="shared" si="167"/>
        <v>2.24875380431607</v>
      </c>
      <c r="BI50" s="528">
        <f t="shared" si="168"/>
        <v>4.0250000000000001E-2</v>
      </c>
      <c r="BJ50" s="528">
        <f t="shared" si="169"/>
        <v>0.54916060724413696</v>
      </c>
      <c r="BK50">
        <f t="shared" si="170"/>
        <v>1.2563797114256316E-2</v>
      </c>
      <c r="BL50" s="460">
        <f t="shared" si="106"/>
        <v>52.813797114256317</v>
      </c>
      <c r="BM50" s="528">
        <f t="shared" si="171"/>
        <v>2.9100871020053924</v>
      </c>
      <c r="BN50" s="460">
        <f t="shared" si="107"/>
        <v>2910.0871020053924</v>
      </c>
      <c r="BO50" s="528">
        <f t="shared" si="172"/>
        <v>0.7544249999999999</v>
      </c>
      <c r="BP50" s="528"/>
      <c r="BR50" s="460">
        <f t="shared" si="109"/>
        <v>754.42499999999995</v>
      </c>
      <c r="BS50" s="528">
        <f t="shared" si="173"/>
        <v>6.6720551908301201E-2</v>
      </c>
      <c r="BT50" s="528">
        <f t="shared" si="174"/>
        <v>0.11483255251090861</v>
      </c>
      <c r="BU50" s="528">
        <f t="shared" si="175"/>
        <v>11.133615998270422</v>
      </c>
      <c r="BV50" s="528">
        <f t="shared" si="176"/>
        <v>11.526150520469793</v>
      </c>
      <c r="BW50" s="528">
        <f t="shared" si="177"/>
        <v>1.3616482831440735</v>
      </c>
      <c r="BX50" s="460">
        <f t="shared" si="110"/>
        <v>12887.798803613867</v>
      </c>
      <c r="BY50" s="173">
        <f t="shared" si="45"/>
        <v>16.605124702733516</v>
      </c>
      <c r="BZ50" s="5">
        <f t="shared" si="111"/>
        <v>31.5</v>
      </c>
      <c r="CA50" s="173">
        <f t="shared" si="112"/>
        <v>0.65481588904830446</v>
      </c>
      <c r="CB50" s="5">
        <f t="shared" si="113"/>
        <v>65.481588904830446</v>
      </c>
      <c r="CE50" s="562">
        <f t="shared" si="178"/>
        <v>-50</v>
      </c>
      <c r="CF50">
        <f t="shared" si="179"/>
        <v>-50</v>
      </c>
      <c r="CG50" s="173">
        <f t="shared" si="180"/>
        <v>0.36357598930622465</v>
      </c>
      <c r="CI50" s="170">
        <v>45</v>
      </c>
      <c r="CJ50" s="217">
        <f t="shared" si="114"/>
        <v>1.125</v>
      </c>
      <c r="CK50" s="217"/>
      <c r="CL50" s="217">
        <f t="shared" si="49"/>
        <v>31.5</v>
      </c>
      <c r="CM50" s="541">
        <f t="shared" si="50"/>
        <v>28</v>
      </c>
      <c r="CN50" s="172">
        <f t="shared" si="51"/>
        <v>28.4</v>
      </c>
      <c r="CO50" s="443">
        <f t="shared" si="52"/>
        <v>56.4</v>
      </c>
      <c r="CP50" s="443"/>
      <c r="CQ50" s="217">
        <f t="shared" si="53"/>
        <v>0.50354609929078009</v>
      </c>
      <c r="CR50" s="172">
        <f t="shared" si="54"/>
        <v>118.75402645742166</v>
      </c>
      <c r="CS50" s="172">
        <f t="shared" si="115"/>
        <v>31.5</v>
      </c>
      <c r="CT50" s="217">
        <f t="shared" si="55"/>
        <v>4.2412152306222017</v>
      </c>
      <c r="CU50" s="217">
        <f t="shared" si="56"/>
        <v>28</v>
      </c>
      <c r="CV50" s="217">
        <f t="shared" si="57"/>
        <v>4.1962174940898347</v>
      </c>
      <c r="CW50" s="172">
        <f t="shared" si="58"/>
        <v>179.4696747129878</v>
      </c>
      <c r="CX50" s="172">
        <f t="shared" si="59"/>
        <v>28</v>
      </c>
      <c r="CY50" s="217">
        <f t="shared" si="60"/>
        <v>4.46830985915493</v>
      </c>
      <c r="CZ50" s="217">
        <f t="shared" si="61"/>
        <v>0.75003772635814892</v>
      </c>
      <c r="DA50" s="217">
        <f t="shared" si="62"/>
        <v>0.73947381471930185</v>
      </c>
      <c r="DB50" s="197">
        <f t="shared" si="63"/>
        <v>350</v>
      </c>
      <c r="DC50" s="443">
        <f t="shared" si="116"/>
        <v>350</v>
      </c>
      <c r="DE50" s="217">
        <f t="shared" si="64"/>
        <v>8.5709974347366842</v>
      </c>
      <c r="DF50" s="173">
        <f t="shared" si="65"/>
        <v>1.418439716312057</v>
      </c>
      <c r="DG50" s="173">
        <f t="shared" si="66"/>
        <v>2.1275525547218721</v>
      </c>
      <c r="DH50" s="173"/>
      <c r="DI50" s="173">
        <f t="shared" si="67"/>
        <v>0.55164319248826299</v>
      </c>
      <c r="DJ50" s="545">
        <f t="shared" si="117"/>
        <v>1223.6170212765956</v>
      </c>
      <c r="DK50" s="528">
        <f t="shared" si="68"/>
        <v>0.3217918622848201</v>
      </c>
      <c r="DM50" s="173">
        <f t="shared" si="69"/>
        <v>6.232574492329122</v>
      </c>
      <c r="DN50" s="173">
        <f t="shared" si="70"/>
        <v>6.232574492329122</v>
      </c>
      <c r="DO50" s="173">
        <f t="shared" si="71"/>
        <v>3.3475860437005842</v>
      </c>
      <c r="DQ50" s="545">
        <f t="shared" si="72"/>
        <v>1125</v>
      </c>
      <c r="DR50" s="460">
        <f t="shared" si="73"/>
        <v>350</v>
      </c>
      <c r="DT50">
        <f t="shared" si="74"/>
        <v>1125</v>
      </c>
      <c r="DU50" s="460">
        <f t="shared" si="75"/>
        <v>350</v>
      </c>
      <c r="DV50" s="460"/>
      <c r="DW50" s="5">
        <f t="shared" si="118"/>
        <v>2.8571428571428572</v>
      </c>
      <c r="DX50" s="5">
        <f t="shared" si="76"/>
        <v>1.0461821469266741</v>
      </c>
      <c r="DY50" s="5">
        <f t="shared" si="119"/>
        <v>1.8109607102161831</v>
      </c>
      <c r="DZ50" s="5">
        <f t="shared" si="77"/>
        <v>1.0314471871108055</v>
      </c>
      <c r="EA50" s="173">
        <f t="shared" si="120"/>
        <v>0.36616375142433594</v>
      </c>
      <c r="EB50" s="173">
        <f t="shared" si="78"/>
        <v>31.95</v>
      </c>
      <c r="EC50" s="173">
        <f t="shared" si="79"/>
        <v>1.9752158175931325</v>
      </c>
      <c r="ED50" s="173">
        <f t="shared" si="121"/>
        <v>16.17544762219055</v>
      </c>
      <c r="EE50" s="460">
        <f t="shared" si="80"/>
        <v>4.2034104117589584</v>
      </c>
      <c r="EF50" s="5">
        <f t="shared" si="81"/>
        <v>1.455236284995147</v>
      </c>
      <c r="EG50" s="5"/>
      <c r="EH50" s="173">
        <f t="shared" si="122"/>
        <v>2.1774316184654858</v>
      </c>
      <c r="EI50" s="173">
        <f t="shared" si="82"/>
        <v>2.8648071164362845</v>
      </c>
      <c r="EJ50" s="173"/>
      <c r="EK50" s="528">
        <f t="shared" si="83"/>
        <v>5.6894501437118709E-2</v>
      </c>
      <c r="EL50" s="528">
        <f t="shared" si="84"/>
        <v>2.3375893890929609</v>
      </c>
      <c r="EM50" s="528">
        <f t="shared" si="85"/>
        <v>4.0250000000000001E-2</v>
      </c>
      <c r="EN50" s="528">
        <f t="shared" si="86"/>
        <v>0.54831797999999998</v>
      </c>
      <c r="EO50">
        <f t="shared" si="87"/>
        <v>1.26E-2</v>
      </c>
      <c r="EP50" s="460">
        <f t="shared" si="123"/>
        <v>52.85</v>
      </c>
      <c r="EQ50" s="528">
        <f t="shared" si="88"/>
        <v>3.0522744393950263</v>
      </c>
      <c r="ER50" s="460">
        <f t="shared" si="124"/>
        <v>3052.2744393950261</v>
      </c>
      <c r="ES50" s="528">
        <f t="shared" si="125"/>
        <v>0.7544249999999999</v>
      </c>
      <c r="ET50" s="528"/>
      <c r="EV50" s="460">
        <f t="shared" si="126"/>
        <v>754.42499999999995</v>
      </c>
      <c r="EW50" s="528">
        <f t="shared" si="89"/>
        <v>6.6376918343305155E-2</v>
      </c>
      <c r="EX50" s="528">
        <f t="shared" si="90"/>
        <v>0.11489967740137572</v>
      </c>
      <c r="EY50" s="528">
        <f t="shared" si="91"/>
        <v>11.112424160869514</v>
      </c>
      <c r="EZ50" s="528">
        <f t="shared" si="92"/>
        <v>11.504040199162043</v>
      </c>
      <c r="FA50" s="528">
        <f t="shared" si="93"/>
        <v>1.3595744680851063</v>
      </c>
      <c r="FB50" s="460">
        <f t="shared" si="127"/>
        <v>12863.61466724715</v>
      </c>
      <c r="FC50" s="173">
        <f t="shared" si="128"/>
        <v>16.670314106642177</v>
      </c>
      <c r="FD50" s="5">
        <f t="shared" si="129"/>
        <v>31.5</v>
      </c>
      <c r="FE50" s="173">
        <f t="shared" si="130"/>
        <v>0.65392971966642166</v>
      </c>
      <c r="FF50" s="5">
        <f t="shared" si="131"/>
        <v>65.392971966642165</v>
      </c>
      <c r="FI50" s="562">
        <f t="shared" si="94"/>
        <v>-50</v>
      </c>
      <c r="FJ50">
        <f t="shared" si="95"/>
        <v>-50</v>
      </c>
      <c r="FL50">
        <f t="shared" si="181"/>
        <v>0.36100651548878188</v>
      </c>
    </row>
    <row r="51" spans="5:168">
      <c r="E51" s="170">
        <v>46</v>
      </c>
      <c r="F51" s="217">
        <f t="shared" si="182"/>
        <v>1.1500000000000001</v>
      </c>
      <c r="G51" s="217"/>
      <c r="H51" s="217">
        <f t="shared" si="132"/>
        <v>32.200000000000003</v>
      </c>
      <c r="I51" s="541">
        <f t="shared" si="133"/>
        <v>27.918660156056418</v>
      </c>
      <c r="J51" s="172">
        <f t="shared" si="134"/>
        <v>28.443798377508081</v>
      </c>
      <c r="K51" s="172">
        <f t="shared" si="135"/>
        <v>56.443798377508081</v>
      </c>
      <c r="L51" s="443"/>
      <c r="M51" s="217">
        <f t="shared" si="136"/>
        <v>0.50466132125067142</v>
      </c>
      <c r="N51" s="172">
        <f t="shared" si="137"/>
        <v>118.67129151810697</v>
      </c>
      <c r="O51" s="172">
        <f t="shared" si="98"/>
        <v>32.200000000000003</v>
      </c>
      <c r="P51" s="217">
        <f t="shared" si="138"/>
        <v>4.2382604113609634</v>
      </c>
      <c r="Q51" s="217">
        <f t="shared" si="139"/>
        <v>28</v>
      </c>
      <c r="R51" s="217">
        <f t="shared" si="140"/>
        <v>4.1932940243761641</v>
      </c>
      <c r="S51" s="172">
        <f t="shared" si="141"/>
        <v>174.45433864986052</v>
      </c>
      <c r="T51" s="172">
        <f t="shared" si="142"/>
        <v>28</v>
      </c>
      <c r="U51" s="217">
        <f t="shared" si="143"/>
        <v>4.6432877113639259</v>
      </c>
      <c r="V51" s="217">
        <f t="shared" si="11"/>
        <v>0.78167978410942018</v>
      </c>
      <c r="W51" s="217">
        <f t="shared" si="144"/>
        <v>0.76724816966313947</v>
      </c>
      <c r="X51" s="197">
        <f t="shared" si="145"/>
        <v>350</v>
      </c>
      <c r="Y51" s="443">
        <f t="shared" si="14"/>
        <v>350</v>
      </c>
      <c r="AA51" s="217">
        <f t="shared" si="146"/>
        <v>8.5649795949971388</v>
      </c>
      <c r="AB51" s="173">
        <f t="shared" si="147"/>
        <v>1.4152611955060999</v>
      </c>
      <c r="AC51" s="173">
        <f t="shared" si="148"/>
        <v>2.1212945706926751</v>
      </c>
      <c r="AD51" s="173"/>
      <c r="AE51" s="173">
        <f t="shared" si="149"/>
        <v>0.55079376033881167</v>
      </c>
      <c r="AF51" s="545">
        <f t="shared" si="150"/>
        <v>1252.7375030093986</v>
      </c>
      <c r="AG51" s="528">
        <f t="shared" si="151"/>
        <v>0.32129636019764013</v>
      </c>
      <c r="AI51" s="173">
        <f t="shared" si="152"/>
        <v>6.306301970250149</v>
      </c>
      <c r="AJ51" s="173">
        <f t="shared" si="153"/>
        <v>6.306301970250149</v>
      </c>
      <c r="AK51" s="173">
        <f t="shared" si="154"/>
        <v>3.4021989903087526</v>
      </c>
      <c r="AM51" s="545">
        <f t="shared" si="155"/>
        <v>1150.0000000000002</v>
      </c>
      <c r="AN51" s="460">
        <f t="shared" si="156"/>
        <v>350</v>
      </c>
      <c r="AP51">
        <f t="shared" si="157"/>
        <v>1150.0000000000002</v>
      </c>
      <c r="AQ51" s="460">
        <f t="shared" si="158"/>
        <v>350</v>
      </c>
      <c r="AR51" s="460"/>
      <c r="AS51" s="5">
        <f t="shared" si="101"/>
        <v>2.8571428571428572</v>
      </c>
      <c r="AT51" s="5">
        <f t="shared" si="159"/>
        <v>1.0616418945071027</v>
      </c>
      <c r="AU51" s="5">
        <f t="shared" si="102"/>
        <v>1.7955009626357545</v>
      </c>
      <c r="AV51" s="5">
        <f t="shared" si="160"/>
        <v>1.042041532807841</v>
      </c>
      <c r="AW51" s="173">
        <f t="shared" si="103"/>
        <v>0.37157466307748593</v>
      </c>
      <c r="AX51" s="173">
        <f t="shared" si="161"/>
        <v>32.710368134134299</v>
      </c>
      <c r="AY51" s="173">
        <f t="shared" si="162"/>
        <v>1.9815199701947823</v>
      </c>
      <c r="AZ51" s="173">
        <f t="shared" si="104"/>
        <v>16.507715605267855</v>
      </c>
      <c r="BA51" s="460">
        <f t="shared" si="163"/>
        <v>4.360314923868458</v>
      </c>
      <c r="BB51" s="5">
        <f t="shared" si="164"/>
        <v>1.4791727794166321</v>
      </c>
      <c r="BC51" s="5"/>
      <c r="BD51" s="173">
        <f t="shared" si="105"/>
        <v>2.2194081760477027</v>
      </c>
      <c r="BE51" s="173">
        <f t="shared" si="165"/>
        <v>2.8862967382823932</v>
      </c>
      <c r="BF51" s="173"/>
      <c r="BG51" s="528">
        <f t="shared" si="166"/>
        <v>5.9109271822888686E-2</v>
      </c>
      <c r="BH51" s="528">
        <f t="shared" si="167"/>
        <v>2.2736410808040253</v>
      </c>
      <c r="BI51" s="528">
        <f t="shared" si="168"/>
        <v>4.0250000000000001E-2</v>
      </c>
      <c r="BJ51" s="528">
        <f t="shared" si="169"/>
        <v>0.54916992193902503</v>
      </c>
      <c r="BK51">
        <f t="shared" si="170"/>
        <v>1.2563397070225388E-2</v>
      </c>
      <c r="BL51" s="460">
        <f t="shared" si="106"/>
        <v>52.813397070225392</v>
      </c>
      <c r="BM51" s="528">
        <f t="shared" si="171"/>
        <v>2.9391583851904883</v>
      </c>
      <c r="BN51" s="460">
        <f t="shared" si="107"/>
        <v>2939.1583851904884</v>
      </c>
      <c r="BO51" s="528">
        <f t="shared" si="172"/>
        <v>0.77119000000000004</v>
      </c>
      <c r="BP51" s="528"/>
      <c r="BR51" s="460">
        <f t="shared" si="109"/>
        <v>771.19</v>
      </c>
      <c r="BS51" s="528">
        <f t="shared" si="173"/>
        <v>6.8960817126703475E-2</v>
      </c>
      <c r="BT51" s="528">
        <f t="shared" si="174"/>
        <v>0.11662992405987416</v>
      </c>
      <c r="BU51" s="528">
        <f t="shared" si="175"/>
        <v>11.443978197976895</v>
      </c>
      <c r="BV51" s="528">
        <f t="shared" si="176"/>
        <v>11.850051504392193</v>
      </c>
      <c r="BW51" s="528">
        <f t="shared" si="177"/>
        <v>1.391930558899332</v>
      </c>
      <c r="BX51" s="460">
        <f t="shared" si="110"/>
        <v>13241.982063291525</v>
      </c>
      <c r="BY51" s="173">
        <f t="shared" si="45"/>
        <v>17.005143845552237</v>
      </c>
      <c r="BZ51" s="5">
        <f t="shared" si="111"/>
        <v>32.200000000000003</v>
      </c>
      <c r="CA51" s="173">
        <f t="shared" si="112"/>
        <v>0.65440312706068082</v>
      </c>
      <c r="CB51" s="5">
        <f t="shared" si="113"/>
        <v>65.440312706068084</v>
      </c>
      <c r="CE51" s="562">
        <f t="shared" si="178"/>
        <v>-50</v>
      </c>
      <c r="CF51">
        <f t="shared" si="179"/>
        <v>-50</v>
      </c>
      <c r="CG51" s="173">
        <f t="shared" si="180"/>
        <v>0.36759352551425606</v>
      </c>
      <c r="CI51" s="170">
        <v>46</v>
      </c>
      <c r="CJ51" s="217">
        <f t="shared" si="114"/>
        <v>1.1500000000000001</v>
      </c>
      <c r="CK51" s="217"/>
      <c r="CL51" s="217">
        <f t="shared" si="49"/>
        <v>32.200000000000003</v>
      </c>
      <c r="CM51" s="541">
        <f t="shared" si="50"/>
        <v>28</v>
      </c>
      <c r="CN51" s="172">
        <f t="shared" si="51"/>
        <v>28.4</v>
      </c>
      <c r="CO51" s="443">
        <f t="shared" si="52"/>
        <v>56.4</v>
      </c>
      <c r="CP51" s="443"/>
      <c r="CQ51" s="217">
        <f t="shared" si="53"/>
        <v>0.50354609929078009</v>
      </c>
      <c r="CR51" s="172">
        <f t="shared" si="54"/>
        <v>118.75402645742166</v>
      </c>
      <c r="CS51" s="172">
        <f t="shared" si="115"/>
        <v>32.200000000000003</v>
      </c>
      <c r="CT51" s="217">
        <f t="shared" si="55"/>
        <v>4.2412152306222017</v>
      </c>
      <c r="CU51" s="217">
        <f t="shared" si="56"/>
        <v>28</v>
      </c>
      <c r="CV51" s="217">
        <f t="shared" si="57"/>
        <v>4.1962174940898347</v>
      </c>
      <c r="CW51" s="172">
        <f t="shared" si="58"/>
        <v>174.96241845695198</v>
      </c>
      <c r="CX51" s="172">
        <f t="shared" si="59"/>
        <v>28</v>
      </c>
      <c r="CY51" s="217">
        <f t="shared" si="60"/>
        <v>4.5676056338028177</v>
      </c>
      <c r="CZ51" s="217">
        <f t="shared" si="61"/>
        <v>0.76670523138833002</v>
      </c>
      <c r="DA51" s="217">
        <f t="shared" si="62"/>
        <v>0.75590656615750851</v>
      </c>
      <c r="DB51" s="197">
        <f t="shared" si="63"/>
        <v>350</v>
      </c>
      <c r="DC51" s="443">
        <f t="shared" si="116"/>
        <v>350</v>
      </c>
      <c r="DE51" s="217">
        <f t="shared" si="64"/>
        <v>8.5709974347366842</v>
      </c>
      <c r="DF51" s="173">
        <f t="shared" si="65"/>
        <v>1.418439716312057</v>
      </c>
      <c r="DG51" s="173">
        <f t="shared" si="66"/>
        <v>2.1275525547218721</v>
      </c>
      <c r="DH51" s="173"/>
      <c r="DI51" s="173">
        <f t="shared" si="67"/>
        <v>0.55164319248826299</v>
      </c>
      <c r="DJ51" s="545">
        <f t="shared" si="117"/>
        <v>1250.8085106382978</v>
      </c>
      <c r="DK51" s="528">
        <f t="shared" si="68"/>
        <v>0.3217918622848201</v>
      </c>
      <c r="DM51" s="173">
        <f t="shared" si="69"/>
        <v>6.3014448094806079</v>
      </c>
      <c r="DN51" s="173">
        <f t="shared" si="70"/>
        <v>6.3014448094806079</v>
      </c>
      <c r="DO51" s="173">
        <f t="shared" si="71"/>
        <v>3.3986010934424256</v>
      </c>
      <c r="DQ51" s="545">
        <f t="shared" si="72"/>
        <v>1150.0000000000002</v>
      </c>
      <c r="DR51" s="460">
        <f t="shared" si="73"/>
        <v>350</v>
      </c>
      <c r="DT51">
        <f t="shared" si="74"/>
        <v>1150.0000000000002</v>
      </c>
      <c r="DU51" s="460">
        <f t="shared" si="75"/>
        <v>350</v>
      </c>
      <c r="DV51" s="460"/>
      <c r="DW51" s="5">
        <f t="shared" si="118"/>
        <v>2.8571428571428572</v>
      </c>
      <c r="DX51" s="5">
        <f t="shared" si="76"/>
        <v>1.0577425215913876</v>
      </c>
      <c r="DY51" s="5">
        <f t="shared" si="119"/>
        <v>1.7994003355514696</v>
      </c>
      <c r="DZ51" s="5">
        <f t="shared" si="77"/>
        <v>1.042844739597143</v>
      </c>
      <c r="EA51" s="173">
        <f t="shared" si="120"/>
        <v>0.37020988255698567</v>
      </c>
      <c r="EB51" s="173">
        <f t="shared" si="78"/>
        <v>32.660000000000004</v>
      </c>
      <c r="EC51" s="173">
        <f t="shared" si="79"/>
        <v>1.9842938333117324</v>
      </c>
      <c r="ED51" s="173">
        <f t="shared" si="121"/>
        <v>16.459255908431341</v>
      </c>
      <c r="EE51" s="460">
        <f t="shared" si="80"/>
        <v>4.3442996422503422</v>
      </c>
      <c r="EF51" s="5">
        <f t="shared" si="81"/>
        <v>1.4780788470601356</v>
      </c>
      <c r="EG51" s="5"/>
      <c r="EH51" s="173">
        <f t="shared" si="122"/>
        <v>2.2136222603173064</v>
      </c>
      <c r="EI51" s="173">
        <f t="shared" si="82"/>
        <v>2.8872037309949334</v>
      </c>
      <c r="EJ51" s="173"/>
      <c r="EK51" s="528">
        <f t="shared" si="83"/>
        <v>5.880148213646761E-2</v>
      </c>
      <c r="EL51" s="528">
        <f t="shared" si="84"/>
        <v>2.3634198902437968</v>
      </c>
      <c r="EM51" s="528">
        <f t="shared" si="85"/>
        <v>4.0250000000000001E-2</v>
      </c>
      <c r="EN51" s="528">
        <f t="shared" si="86"/>
        <v>0.54831797999999998</v>
      </c>
      <c r="EO51">
        <f t="shared" si="87"/>
        <v>1.26E-2</v>
      </c>
      <c r="EP51" s="460">
        <f t="shared" si="123"/>
        <v>52.85</v>
      </c>
      <c r="EQ51" s="528">
        <f t="shared" si="88"/>
        <v>3.0823296963246385</v>
      </c>
      <c r="ER51" s="460">
        <f t="shared" si="124"/>
        <v>3082.3296963246385</v>
      </c>
      <c r="ES51" s="528">
        <f t="shared" si="125"/>
        <v>0.77119000000000004</v>
      </c>
      <c r="ET51" s="528"/>
      <c r="EV51" s="460">
        <f t="shared" si="126"/>
        <v>771.19</v>
      </c>
      <c r="EW51" s="528">
        <f t="shared" si="89"/>
        <v>6.8601729159212213E-2</v>
      </c>
      <c r="EX51" s="528">
        <f t="shared" si="90"/>
        <v>0.11670323537979489</v>
      </c>
      <c r="EY51" s="528">
        <f t="shared" si="91"/>
        <v>11.421955332116166</v>
      </c>
      <c r="EZ51" s="528">
        <f t="shared" si="92"/>
        <v>11.827062560819192</v>
      </c>
      <c r="FA51" s="528">
        <f t="shared" si="93"/>
        <v>1.3897872340425534</v>
      </c>
      <c r="FB51" s="460">
        <f t="shared" si="127"/>
        <v>13216.849794861744</v>
      </c>
      <c r="FC51" s="173">
        <f t="shared" si="128"/>
        <v>17.070369491186383</v>
      </c>
      <c r="FD51" s="5">
        <f t="shared" si="129"/>
        <v>32.200000000000003</v>
      </c>
      <c r="FE51" s="173">
        <f t="shared" si="130"/>
        <v>0.65353680787313806</v>
      </c>
      <c r="FF51" s="5">
        <f t="shared" si="131"/>
        <v>65.353680787313806</v>
      </c>
      <c r="FI51" s="562">
        <f t="shared" si="94"/>
        <v>-50</v>
      </c>
      <c r="FJ51">
        <f t="shared" si="95"/>
        <v>-50</v>
      </c>
      <c r="FL51">
        <f t="shared" si="181"/>
        <v>0.36499565885900004</v>
      </c>
    </row>
    <row r="52" spans="5:168">
      <c r="E52" s="170">
        <v>47</v>
      </c>
      <c r="F52" s="217">
        <f t="shared" si="182"/>
        <v>1.1749999999999998</v>
      </c>
      <c r="G52" s="217"/>
      <c r="H52" s="217">
        <f t="shared" si="132"/>
        <v>32.899999999999991</v>
      </c>
      <c r="I52" s="541">
        <f t="shared" si="133"/>
        <v>27.917780780835621</v>
      </c>
      <c r="J52" s="172">
        <f t="shared" si="134"/>
        <v>28.444271887242355</v>
      </c>
      <c r="K52" s="172">
        <f t="shared" si="135"/>
        <v>56.444271887242351</v>
      </c>
      <c r="L52" s="443"/>
      <c r="M52" s="217">
        <f t="shared" si="136"/>
        <v>0.50467338610481827</v>
      </c>
      <c r="N52" s="172">
        <f t="shared" si="137"/>
        <v>118.67039060384087</v>
      </c>
      <c r="O52" s="172">
        <f t="shared" si="98"/>
        <v>32.899999999999991</v>
      </c>
      <c r="P52" s="217">
        <f t="shared" si="138"/>
        <v>4.2382282358514596</v>
      </c>
      <c r="Q52" s="217">
        <f t="shared" si="139"/>
        <v>28</v>
      </c>
      <c r="R52" s="217">
        <f t="shared" si="140"/>
        <v>4.1932621902370038</v>
      </c>
      <c r="S52" s="172">
        <f t="shared" si="141"/>
        <v>170.1461430125276</v>
      </c>
      <c r="T52" s="172">
        <f t="shared" si="142"/>
        <v>28</v>
      </c>
      <c r="U52" s="217">
        <f t="shared" si="143"/>
        <v>4.7443443055076671</v>
      </c>
      <c r="V52" s="217">
        <f t="shared" si="11"/>
        <v>0.79871743427374997</v>
      </c>
      <c r="W52" s="217">
        <f t="shared" si="144"/>
        <v>0.78393352180996334</v>
      </c>
      <c r="X52" s="197">
        <f t="shared" si="145"/>
        <v>350</v>
      </c>
      <c r="Y52" s="443">
        <f t="shared" si="14"/>
        <v>350</v>
      </c>
      <c r="AA52" s="217">
        <f t="shared" si="146"/>
        <v>8.5649140716726819</v>
      </c>
      <c r="AB52" s="173">
        <f t="shared" si="147"/>
        <v>1.4152268089842217</v>
      </c>
      <c r="AC52" s="173">
        <f t="shared" si="148"/>
        <v>2.1212268019035427</v>
      </c>
      <c r="AD52" s="173"/>
      <c r="AE52" s="173">
        <f t="shared" si="149"/>
        <v>0.55078459131496982</v>
      </c>
      <c r="AF52" s="545">
        <f t="shared" si="150"/>
        <v>1279.9922349259057</v>
      </c>
      <c r="AG52" s="528">
        <f t="shared" si="151"/>
        <v>0.32129101160039908</v>
      </c>
      <c r="AI52" s="173">
        <f t="shared" si="152"/>
        <v>6.3745332475901266</v>
      </c>
      <c r="AJ52" s="173">
        <f t="shared" si="153"/>
        <v>6.3745332475901266</v>
      </c>
      <c r="AK52" s="173">
        <f t="shared" si="154"/>
        <v>3.4527406772272542</v>
      </c>
      <c r="AM52" s="545">
        <f t="shared" si="155"/>
        <v>1174.9999999999998</v>
      </c>
      <c r="AN52" s="460">
        <f t="shared" si="156"/>
        <v>350</v>
      </c>
      <c r="AP52">
        <f t="shared" si="157"/>
        <v>1174.9999999999998</v>
      </c>
      <c r="AQ52" s="460">
        <f t="shared" si="158"/>
        <v>350</v>
      </c>
      <c r="AR52" s="460"/>
      <c r="AS52" s="5">
        <f t="shared" si="101"/>
        <v>2.8571428571428572</v>
      </c>
      <c r="AT52" s="5">
        <f t="shared" si="159"/>
        <v>1.0731621721250884</v>
      </c>
      <c r="AU52" s="5">
        <f t="shared" si="102"/>
        <v>1.7839806850177689</v>
      </c>
      <c r="AV52" s="5">
        <f t="shared" si="160"/>
        <v>1.0532984068792846</v>
      </c>
      <c r="AW52" s="173">
        <f t="shared" si="103"/>
        <v>0.37560676024378092</v>
      </c>
      <c r="AX52" s="173">
        <f t="shared" si="161"/>
        <v>33.422019467509756</v>
      </c>
      <c r="AY52" s="173">
        <f t="shared" si="162"/>
        <v>1.9901077331982659</v>
      </c>
      <c r="AZ52" s="173">
        <f t="shared" si="104"/>
        <v>16.794075471380555</v>
      </c>
      <c r="BA52" s="460">
        <f t="shared" si="163"/>
        <v>4.5034484008820668</v>
      </c>
      <c r="BB52" s="5">
        <f t="shared" si="164"/>
        <v>1.5016790348427802</v>
      </c>
      <c r="BC52" s="5"/>
      <c r="BD52" s="173">
        <f t="shared" si="105"/>
        <v>2.2555604108894087</v>
      </c>
      <c r="BE52" s="173">
        <f t="shared" si="165"/>
        <v>2.9081503757037241</v>
      </c>
      <c r="BF52" s="173"/>
      <c r="BG52" s="528">
        <f t="shared" si="166"/>
        <v>6.1050633206059184E-2</v>
      </c>
      <c r="BH52" s="528">
        <f t="shared" si="167"/>
        <v>2.2982601082026903</v>
      </c>
      <c r="BI52" s="528">
        <f t="shared" si="168"/>
        <v>4.0250000000000001E-2</v>
      </c>
      <c r="BJ52" s="528">
        <f t="shared" si="169"/>
        <v>0.54917913600335144</v>
      </c>
      <c r="BK52">
        <f t="shared" si="170"/>
        <v>1.256300135137603E-2</v>
      </c>
      <c r="BL52" s="460">
        <f t="shared" si="106"/>
        <v>52.81300135137603</v>
      </c>
      <c r="BM52" s="528">
        <f t="shared" si="171"/>
        <v>2.9680266460706779</v>
      </c>
      <c r="BN52" s="460">
        <f t="shared" si="107"/>
        <v>2968.026646070678</v>
      </c>
      <c r="BO52" s="528">
        <f t="shared" si="172"/>
        <v>0.78795499999999974</v>
      </c>
      <c r="BP52" s="528"/>
      <c r="BR52" s="460">
        <f t="shared" si="109"/>
        <v>787.9549999999997</v>
      </c>
      <c r="BS52" s="528">
        <f t="shared" si="173"/>
        <v>7.1225738740402389E-2</v>
      </c>
      <c r="BT52" s="528">
        <f t="shared" si="174"/>
        <v>0.11840274050787997</v>
      </c>
      <c r="BU52" s="528">
        <f t="shared" si="175"/>
        <v>11.756040991869584</v>
      </c>
      <c r="BV52" s="528">
        <f t="shared" si="176"/>
        <v>12.175891976456398</v>
      </c>
      <c r="BW52" s="528">
        <f t="shared" si="177"/>
        <v>1.4222135943621175</v>
      </c>
      <c r="BX52" s="460">
        <f t="shared" si="110"/>
        <v>13598.105570818516</v>
      </c>
      <c r="BY52" s="173">
        <f t="shared" si="45"/>
        <v>17.406900218240573</v>
      </c>
      <c r="BZ52" s="5">
        <f t="shared" si="111"/>
        <v>32.899999999999991</v>
      </c>
      <c r="CA52" s="173">
        <f t="shared" si="112"/>
        <v>0.65398583210799621</v>
      </c>
      <c r="CB52" s="5">
        <f t="shared" si="113"/>
        <v>65.398583210799615</v>
      </c>
      <c r="CE52" s="562">
        <f t="shared" si="178"/>
        <v>-50</v>
      </c>
      <c r="CF52">
        <f t="shared" si="179"/>
        <v>-50</v>
      </c>
      <c r="CG52" s="173">
        <f t="shared" si="180"/>
        <v>0.37156762506978452</v>
      </c>
      <c r="CI52" s="170">
        <v>47</v>
      </c>
      <c r="CJ52" s="217">
        <f t="shared" si="114"/>
        <v>1.1749999999999998</v>
      </c>
      <c r="CK52" s="217"/>
      <c r="CL52" s="217">
        <f t="shared" si="49"/>
        <v>32.899999999999991</v>
      </c>
      <c r="CM52" s="541">
        <f t="shared" si="50"/>
        <v>28</v>
      </c>
      <c r="CN52" s="172">
        <f t="shared" si="51"/>
        <v>28.4</v>
      </c>
      <c r="CO52" s="443">
        <f t="shared" si="52"/>
        <v>56.4</v>
      </c>
      <c r="CP52" s="443"/>
      <c r="CQ52" s="217">
        <f t="shared" si="53"/>
        <v>0.50354609929078009</v>
      </c>
      <c r="CR52" s="172">
        <f t="shared" si="54"/>
        <v>118.75402645742166</v>
      </c>
      <c r="CS52" s="172">
        <f t="shared" si="115"/>
        <v>32.899999999999991</v>
      </c>
      <c r="CT52" s="217">
        <f t="shared" si="55"/>
        <v>4.2412152306222017</v>
      </c>
      <c r="CU52" s="217">
        <f t="shared" si="56"/>
        <v>28</v>
      </c>
      <c r="CV52" s="217">
        <f t="shared" si="57"/>
        <v>4.1962174940898347</v>
      </c>
      <c r="CW52" s="172">
        <f t="shared" si="58"/>
        <v>170.6470393474749</v>
      </c>
      <c r="CX52" s="172">
        <f t="shared" si="59"/>
        <v>28</v>
      </c>
      <c r="CY52" s="217">
        <f t="shared" si="60"/>
        <v>4.6669014084507037</v>
      </c>
      <c r="CZ52" s="217">
        <f t="shared" si="61"/>
        <v>0.78337273641851091</v>
      </c>
      <c r="DA52" s="217">
        <f t="shared" si="62"/>
        <v>0.77233931759571506</v>
      </c>
      <c r="DB52" s="197">
        <f t="shared" si="63"/>
        <v>350</v>
      </c>
      <c r="DC52" s="443">
        <f t="shared" si="116"/>
        <v>350</v>
      </c>
      <c r="DE52" s="217">
        <f t="shared" si="64"/>
        <v>8.5709974347366842</v>
      </c>
      <c r="DF52" s="173">
        <f t="shared" si="65"/>
        <v>1.418439716312057</v>
      </c>
      <c r="DG52" s="173">
        <f t="shared" si="66"/>
        <v>2.1275525547218721</v>
      </c>
      <c r="DH52" s="173"/>
      <c r="DI52" s="173">
        <f t="shared" si="67"/>
        <v>0.55164319248826299</v>
      </c>
      <c r="DJ52" s="545">
        <f t="shared" si="117"/>
        <v>1277.9999999999998</v>
      </c>
      <c r="DK52" s="528">
        <f t="shared" si="68"/>
        <v>0.3217918622848201</v>
      </c>
      <c r="DM52" s="173">
        <f t="shared" si="69"/>
        <v>6.3695705170308434</v>
      </c>
      <c r="DN52" s="173">
        <f t="shared" si="70"/>
        <v>6.3695705170308434</v>
      </c>
      <c r="DO52" s="173">
        <f t="shared" si="71"/>
        <v>3.4490645805166738</v>
      </c>
      <c r="DQ52" s="545">
        <f t="shared" si="72"/>
        <v>1174.9999999999998</v>
      </c>
      <c r="DR52" s="460">
        <f t="shared" si="73"/>
        <v>350</v>
      </c>
      <c r="DT52">
        <f t="shared" si="74"/>
        <v>1174.9999999999998</v>
      </c>
      <c r="DU52" s="460">
        <f t="shared" si="75"/>
        <v>350</v>
      </c>
      <c r="DV52" s="460"/>
      <c r="DW52" s="5">
        <f t="shared" si="118"/>
        <v>2.8571428571428572</v>
      </c>
      <c r="DX52" s="5">
        <f t="shared" si="76"/>
        <v>1.0691779082158914</v>
      </c>
      <c r="DY52" s="5">
        <f t="shared" si="119"/>
        <v>1.7879649489269658</v>
      </c>
      <c r="DZ52" s="5">
        <f t="shared" si="77"/>
        <v>1.0541190644382028</v>
      </c>
      <c r="EA52" s="173">
        <f t="shared" si="120"/>
        <v>0.374212267875562</v>
      </c>
      <c r="EB52" s="173">
        <f t="shared" si="78"/>
        <v>33.369999999999997</v>
      </c>
      <c r="EC52" s="173">
        <f t="shared" si="79"/>
        <v>1.9929995442297079</v>
      </c>
      <c r="ED52" s="173">
        <f t="shared" si="121"/>
        <v>16.743606438152732</v>
      </c>
      <c r="EE52" s="460">
        <f t="shared" si="80"/>
        <v>4.4867287219774008</v>
      </c>
      <c r="EF52" s="5">
        <f t="shared" si="81"/>
        <v>1.5006134392779886</v>
      </c>
      <c r="EG52" s="5"/>
      <c r="EH52" s="173">
        <f t="shared" si="122"/>
        <v>2.249616730072455</v>
      </c>
      <c r="EI52" s="173">
        <f t="shared" si="82"/>
        <v>2.9091294387819246</v>
      </c>
      <c r="EJ52" s="173"/>
      <c r="EK52" s="528">
        <f t="shared" si="83"/>
        <v>6.0729305186662613E-2</v>
      </c>
      <c r="EL52" s="528">
        <f t="shared" si="84"/>
        <v>2.3889711181175883</v>
      </c>
      <c r="EM52" s="528">
        <f t="shared" si="85"/>
        <v>4.0250000000000001E-2</v>
      </c>
      <c r="EN52" s="528">
        <f t="shared" si="86"/>
        <v>0.54831797999999998</v>
      </c>
      <c r="EO52">
        <f t="shared" si="87"/>
        <v>1.26E-2</v>
      </c>
      <c r="EP52" s="460">
        <f t="shared" si="123"/>
        <v>52.85</v>
      </c>
      <c r="EQ52" s="528">
        <f t="shared" si="88"/>
        <v>3.1121717219525209</v>
      </c>
      <c r="ER52" s="460">
        <f t="shared" si="124"/>
        <v>3112.1717219525208</v>
      </c>
      <c r="ES52" s="528">
        <f t="shared" si="125"/>
        <v>0.78795499999999974</v>
      </c>
      <c r="ET52" s="528"/>
      <c r="EV52" s="460">
        <f t="shared" si="126"/>
        <v>787.9549999999997</v>
      </c>
      <c r="EW52" s="528">
        <f t="shared" si="89"/>
        <v>7.0850856051106387E-2</v>
      </c>
      <c r="EX52" s="528">
        <f t="shared" si="90"/>
        <v>0.1184824772822269</v>
      </c>
      <c r="EY52" s="528">
        <f t="shared" si="91"/>
        <v>11.733173434161404</v>
      </c>
      <c r="EZ52" s="528">
        <f t="shared" si="92"/>
        <v>12.152009200180132</v>
      </c>
      <c r="FA52" s="528">
        <f t="shared" si="93"/>
        <v>1.4200000000000002</v>
      </c>
      <c r="FB52" s="460">
        <f t="shared" si="127"/>
        <v>13572.009200180131</v>
      </c>
      <c r="FC52" s="173">
        <f t="shared" si="128"/>
        <v>17.472135922132654</v>
      </c>
      <c r="FD52" s="5">
        <f t="shared" si="129"/>
        <v>32.899999999999991</v>
      </c>
      <c r="FE52" s="173">
        <f t="shared" si="130"/>
        <v>0.6531388712771321</v>
      </c>
      <c r="FF52" s="5">
        <f t="shared" si="131"/>
        <v>65.313887127713215</v>
      </c>
      <c r="FI52" s="562">
        <f t="shared" si="94"/>
        <v>-50</v>
      </c>
      <c r="FJ52">
        <f t="shared" si="95"/>
        <v>-50</v>
      </c>
      <c r="FL52">
        <f t="shared" si="181"/>
        <v>0.36894167255337107</v>
      </c>
    </row>
    <row r="53" spans="5:168">
      <c r="E53" s="170">
        <v>48</v>
      </c>
      <c r="F53" s="217">
        <f t="shared" si="182"/>
        <v>1.2</v>
      </c>
      <c r="G53" s="217"/>
      <c r="H53" s="217">
        <f t="shared" si="132"/>
        <v>33.6</v>
      </c>
      <c r="I53" s="541">
        <f t="shared" si="133"/>
        <v>27.916910711958558</v>
      </c>
      <c r="J53" s="172">
        <f t="shared" si="134"/>
        <v>28.444740385868467</v>
      </c>
      <c r="K53" s="172">
        <f t="shared" si="135"/>
        <v>56.444740385868471</v>
      </c>
      <c r="L53" s="443"/>
      <c r="M53" s="217">
        <f t="shared" si="136"/>
        <v>0.50468532344735995</v>
      </c>
      <c r="N53" s="172">
        <f t="shared" si="137"/>
        <v>118.66949908784632</v>
      </c>
      <c r="O53" s="172">
        <f t="shared" si="98"/>
        <v>33.6</v>
      </c>
      <c r="P53" s="217">
        <f t="shared" si="138"/>
        <v>4.2381963959945113</v>
      </c>
      <c r="Q53" s="217">
        <f t="shared" si="139"/>
        <v>28</v>
      </c>
      <c r="R53" s="217">
        <f t="shared" si="140"/>
        <v>4.1932306881892485</v>
      </c>
      <c r="S53" s="172">
        <f t="shared" si="141"/>
        <v>166.01762563865171</v>
      </c>
      <c r="T53" s="172">
        <f t="shared" si="142"/>
        <v>28</v>
      </c>
      <c r="U53" s="217">
        <f t="shared" si="143"/>
        <v>4.8454045753375494</v>
      </c>
      <c r="V53" s="217">
        <f t="shared" si="11"/>
        <v>0.81575650468843641</v>
      </c>
      <c r="W53" s="217">
        <f t="shared" si="144"/>
        <v>0.80061906683460038</v>
      </c>
      <c r="X53" s="197">
        <f t="shared" si="145"/>
        <v>350</v>
      </c>
      <c r="Y53" s="443">
        <f t="shared" si="14"/>
        <v>350</v>
      </c>
      <c r="AA53" s="217">
        <f t="shared" si="146"/>
        <v>8.5648492320064058</v>
      </c>
      <c r="AB53" s="173">
        <f t="shared" si="147"/>
        <v>1.4151927858842035</v>
      </c>
      <c r="AC53" s="173">
        <f t="shared" si="148"/>
        <v>2.1211597479312321</v>
      </c>
      <c r="AD53" s="173"/>
      <c r="AE53" s="173">
        <f t="shared" si="149"/>
        <v>0.55077551962646742</v>
      </c>
      <c r="AF53" s="545">
        <f t="shared" si="150"/>
        <v>1307.2476432654444</v>
      </c>
      <c r="AG53" s="528">
        <f t="shared" si="151"/>
        <v>0.32128571978210596</v>
      </c>
      <c r="AI53" s="173">
        <f t="shared" si="152"/>
        <v>6.442043556436885</v>
      </c>
      <c r="AJ53" s="173">
        <f t="shared" si="153"/>
        <v>6.442043556436885</v>
      </c>
      <c r="AK53" s="173">
        <f t="shared" si="154"/>
        <v>3.5027483134100379</v>
      </c>
      <c r="AM53" s="545">
        <f t="shared" si="155"/>
        <v>1200</v>
      </c>
      <c r="AN53" s="460">
        <f t="shared" si="156"/>
        <v>350</v>
      </c>
      <c r="AP53">
        <f t="shared" si="157"/>
        <v>1200</v>
      </c>
      <c r="AQ53" s="460">
        <f t="shared" si="158"/>
        <v>350</v>
      </c>
      <c r="AR53" s="460"/>
      <c r="AS53" s="5">
        <f t="shared" si="101"/>
        <v>2.8571428571428572</v>
      </c>
      <c r="AT53" s="5">
        <f t="shared" si="159"/>
        <v>1.0845614340229834</v>
      </c>
      <c r="AU53" s="5">
        <f t="shared" si="102"/>
        <v>1.7725814231198738</v>
      </c>
      <c r="AV53" s="5">
        <f t="shared" si="160"/>
        <v>1.0644359661758582</v>
      </c>
      <c r="AW53" s="173">
        <f t="shared" si="103"/>
        <v>0.37959650190804417</v>
      </c>
      <c r="AX53" s="173">
        <f t="shared" si="161"/>
        <v>34.133688463042162</v>
      </c>
      <c r="AY53" s="173">
        <f t="shared" si="162"/>
        <v>1.9983331786370937</v>
      </c>
      <c r="AZ53" s="173">
        <f t="shared" si="104"/>
        <v>17.081079785865374</v>
      </c>
      <c r="BA53" s="460">
        <f t="shared" si="163"/>
        <v>4.6481204315270723</v>
      </c>
      <c r="BB53" s="5">
        <f t="shared" si="164"/>
        <v>1.5238775734828565</v>
      </c>
      <c r="BC53" s="5"/>
      <c r="BD53" s="173">
        <f t="shared" si="105"/>
        <v>2.29152252363094</v>
      </c>
      <c r="BE53" s="173">
        <f t="shared" si="165"/>
        <v>2.9295448312042298</v>
      </c>
      <c r="BF53" s="173"/>
      <c r="BG53" s="528">
        <f t="shared" si="166"/>
        <v>6.3012905715694956E-2</v>
      </c>
      <c r="BH53" s="528">
        <f t="shared" si="167"/>
        <v>2.3226194035730163</v>
      </c>
      <c r="BI53" s="528">
        <f t="shared" si="168"/>
        <v>4.0250000000000001E-2</v>
      </c>
      <c r="BJ53" s="528">
        <f t="shared" si="169"/>
        <v>0.54918825263219218</v>
      </c>
      <c r="BK53">
        <f t="shared" si="170"/>
        <v>1.256260982038135E-2</v>
      </c>
      <c r="BL53" s="460">
        <f t="shared" si="106"/>
        <v>52.812609820381347</v>
      </c>
      <c r="BM53" s="528">
        <f t="shared" si="171"/>
        <v>2.9967002421242261</v>
      </c>
      <c r="BN53" s="460">
        <f t="shared" si="107"/>
        <v>2996.700242124226</v>
      </c>
      <c r="BO53" s="528">
        <f t="shared" si="172"/>
        <v>0.80471999999999999</v>
      </c>
      <c r="BP53" s="528"/>
      <c r="BR53" s="460">
        <f t="shared" si="109"/>
        <v>804.72</v>
      </c>
      <c r="BS53" s="528">
        <f t="shared" si="173"/>
        <v>7.3515056668310777E-2</v>
      </c>
      <c r="BT53" s="528">
        <f t="shared" si="174"/>
        <v>0.12015126085249588</v>
      </c>
      <c r="BU53" s="528">
        <f t="shared" si="175"/>
        <v>12.069777311779792</v>
      </c>
      <c r="BV53" s="528">
        <f t="shared" si="176"/>
        <v>12.503646357151348</v>
      </c>
      <c r="BW53" s="528">
        <f t="shared" si="177"/>
        <v>1.4524973814060496</v>
      </c>
      <c r="BX53" s="460">
        <f t="shared" si="110"/>
        <v>13956.143738557397</v>
      </c>
      <c r="BY53" s="173">
        <f t="shared" si="45"/>
        <v>17.810376590502006</v>
      </c>
      <c r="BZ53" s="5">
        <f t="shared" si="111"/>
        <v>33.6</v>
      </c>
      <c r="CA53" s="173">
        <f t="shared" si="112"/>
        <v>0.65356455696937166</v>
      </c>
      <c r="CB53" s="5">
        <f t="shared" si="113"/>
        <v>65.356455696937161</v>
      </c>
      <c r="CE53" s="562">
        <f t="shared" si="178"/>
        <v>-50</v>
      </c>
      <c r="CF53">
        <f t="shared" si="179"/>
        <v>-50</v>
      </c>
      <c r="CG53" s="173">
        <f t="shared" si="180"/>
        <v>0.3754996671103718</v>
      </c>
      <c r="CI53" s="170">
        <v>48</v>
      </c>
      <c r="CJ53" s="217">
        <f t="shared" si="114"/>
        <v>1.2</v>
      </c>
      <c r="CK53" s="217"/>
      <c r="CL53" s="217">
        <f t="shared" si="49"/>
        <v>33.6</v>
      </c>
      <c r="CM53" s="541">
        <f t="shared" si="50"/>
        <v>28</v>
      </c>
      <c r="CN53" s="172">
        <f t="shared" si="51"/>
        <v>28.4</v>
      </c>
      <c r="CO53" s="443">
        <f t="shared" si="52"/>
        <v>56.4</v>
      </c>
      <c r="CP53" s="443"/>
      <c r="CQ53" s="217">
        <f t="shared" si="53"/>
        <v>0.50354609929078009</v>
      </c>
      <c r="CR53" s="172">
        <f t="shared" si="54"/>
        <v>118.75402645742166</v>
      </c>
      <c r="CS53" s="172">
        <f t="shared" si="115"/>
        <v>33.6</v>
      </c>
      <c r="CT53" s="217">
        <f t="shared" si="55"/>
        <v>4.2412152306222017</v>
      </c>
      <c r="CU53" s="217">
        <f t="shared" si="56"/>
        <v>28</v>
      </c>
      <c r="CV53" s="217">
        <f t="shared" si="57"/>
        <v>4.1962174940898347</v>
      </c>
      <c r="CW53" s="172">
        <f t="shared" si="58"/>
        <v>166.51154585401258</v>
      </c>
      <c r="CX53" s="172">
        <f t="shared" si="59"/>
        <v>28</v>
      </c>
      <c r="CY53" s="217">
        <f t="shared" si="60"/>
        <v>4.7661971830985923</v>
      </c>
      <c r="CZ53" s="217">
        <f t="shared" si="61"/>
        <v>0.80004024144869235</v>
      </c>
      <c r="DA53" s="217">
        <f t="shared" si="62"/>
        <v>0.78877206903392205</v>
      </c>
      <c r="DB53" s="197">
        <f t="shared" si="63"/>
        <v>350</v>
      </c>
      <c r="DC53" s="443">
        <f t="shared" si="116"/>
        <v>350</v>
      </c>
      <c r="DE53" s="217">
        <f t="shared" si="64"/>
        <v>8.5709974347366842</v>
      </c>
      <c r="DF53" s="173">
        <f t="shared" si="65"/>
        <v>1.418439716312057</v>
      </c>
      <c r="DG53" s="173">
        <f t="shared" si="66"/>
        <v>2.1275525547218721</v>
      </c>
      <c r="DH53" s="173"/>
      <c r="DI53" s="173">
        <f t="shared" si="67"/>
        <v>0.55164319248826299</v>
      </c>
      <c r="DJ53" s="545">
        <f t="shared" si="117"/>
        <v>1305.191489361702</v>
      </c>
      <c r="DK53" s="528">
        <f t="shared" si="68"/>
        <v>0.3217918622848201</v>
      </c>
      <c r="DM53" s="173">
        <f t="shared" si="69"/>
        <v>6.4369752567434224</v>
      </c>
      <c r="DN53" s="173">
        <f t="shared" si="70"/>
        <v>6.4369752567434224</v>
      </c>
      <c r="DO53" s="173">
        <f t="shared" si="71"/>
        <v>3.4989940173408067</v>
      </c>
      <c r="DQ53" s="545">
        <f t="shared" si="72"/>
        <v>1200</v>
      </c>
      <c r="DR53" s="460">
        <f t="shared" si="73"/>
        <v>350</v>
      </c>
      <c r="DT53">
        <f t="shared" si="74"/>
        <v>1200</v>
      </c>
      <c r="DU53" s="460">
        <f t="shared" si="75"/>
        <v>350</v>
      </c>
      <c r="DV53" s="460"/>
      <c r="DW53" s="5">
        <f t="shared" si="118"/>
        <v>2.8571428571428572</v>
      </c>
      <c r="DX53" s="5">
        <f t="shared" si="76"/>
        <v>1.0804922752390744</v>
      </c>
      <c r="DY53" s="5">
        <f t="shared" si="119"/>
        <v>1.7766505819037828</v>
      </c>
      <c r="DZ53" s="5">
        <f t="shared" si="77"/>
        <v>1.0652740741793691</v>
      </c>
      <c r="EA53" s="173">
        <f t="shared" si="120"/>
        <v>0.37817229633367605</v>
      </c>
      <c r="EB53" s="173">
        <f t="shared" si="78"/>
        <v>34.08</v>
      </c>
      <c r="EC53" s="173">
        <f t="shared" si="79"/>
        <v>2.0013447712288546</v>
      </c>
      <c r="ED53" s="173">
        <f t="shared" si="121"/>
        <v>17.028550247778842</v>
      </c>
      <c r="EE53" s="460">
        <f t="shared" si="80"/>
        <v>4.6306811795960332</v>
      </c>
      <c r="EF53" s="5">
        <f t="shared" si="81"/>
        <v>1.5228433559175278</v>
      </c>
      <c r="EG53" s="5"/>
      <c r="EH53" s="173">
        <f t="shared" si="122"/>
        <v>2.2854202320143173</v>
      </c>
      <c r="EI53" s="173">
        <f t="shared" si="82"/>
        <v>2.9305979790949332</v>
      </c>
      <c r="EJ53" s="173"/>
      <c r="EK53" s="528">
        <f t="shared" si="83"/>
        <v>6.267774764280451E-2</v>
      </c>
      <c r="EL53" s="528">
        <f t="shared" si="84"/>
        <v>2.4142519397941884</v>
      </c>
      <c r="EM53" s="528">
        <f t="shared" si="85"/>
        <v>4.0250000000000001E-2</v>
      </c>
      <c r="EN53" s="528">
        <f t="shared" si="86"/>
        <v>0.54831797999999998</v>
      </c>
      <c r="EO53">
        <f t="shared" si="87"/>
        <v>1.26E-2</v>
      </c>
      <c r="EP53" s="460">
        <f t="shared" si="123"/>
        <v>52.85</v>
      </c>
      <c r="EQ53" s="528">
        <f t="shared" si="88"/>
        <v>3.1418092136488469</v>
      </c>
      <c r="ER53" s="460">
        <f t="shared" si="124"/>
        <v>3141.8092136488467</v>
      </c>
      <c r="ES53" s="528">
        <f t="shared" si="125"/>
        <v>0.80471999999999999</v>
      </c>
      <c r="ET53" s="528"/>
      <c r="EV53" s="460">
        <f t="shared" si="126"/>
        <v>804.72</v>
      </c>
      <c r="EW53" s="528">
        <f t="shared" si="89"/>
        <v>7.3124038916605266E-2</v>
      </c>
      <c r="EX53" s="528">
        <f t="shared" si="90"/>
        <v>0.12023766321105431</v>
      </c>
      <c r="EY53" s="528">
        <f t="shared" si="91"/>
        <v>12.04605147204771</v>
      </c>
      <c r="EZ53" s="528">
        <f t="shared" si="92"/>
        <v>12.47885458778177</v>
      </c>
      <c r="FA53" s="528">
        <f t="shared" si="93"/>
        <v>1.4502127659574469</v>
      </c>
      <c r="FB53" s="460">
        <f t="shared" si="127"/>
        <v>13929.067353739218</v>
      </c>
      <c r="FC53" s="173">
        <f t="shared" si="128"/>
        <v>17.875596567388062</v>
      </c>
      <c r="FD53" s="5">
        <f t="shared" si="129"/>
        <v>33.6</v>
      </c>
      <c r="FE53" s="173">
        <f t="shared" si="130"/>
        <v>0.65273648564739506</v>
      </c>
      <c r="FF53" s="5">
        <f t="shared" si="131"/>
        <v>65.273648564739503</v>
      </c>
      <c r="FI53" s="562">
        <f t="shared" si="94"/>
        <v>-50</v>
      </c>
      <c r="FJ53">
        <f t="shared" si="95"/>
        <v>-50</v>
      </c>
      <c r="FL53">
        <f t="shared" si="181"/>
        <v>0.37284592596277921</v>
      </c>
    </row>
    <row r="54" spans="5:168">
      <c r="E54" s="170">
        <v>49</v>
      </c>
      <c r="F54" s="217">
        <f t="shared" si="182"/>
        <v>1.2250000000000001</v>
      </c>
      <c r="G54" s="217"/>
      <c r="H54" s="217">
        <f t="shared" si="132"/>
        <v>34.300000000000004</v>
      </c>
      <c r="I54" s="541">
        <f t="shared" si="133"/>
        <v>27.916049660069373</v>
      </c>
      <c r="J54" s="172">
        <f t="shared" si="134"/>
        <v>28.445204029193413</v>
      </c>
      <c r="K54" s="172">
        <f t="shared" si="135"/>
        <v>56.445204029193413</v>
      </c>
      <c r="L54" s="443"/>
      <c r="M54" s="217">
        <f t="shared" si="136"/>
        <v>0.50469713724293219</v>
      </c>
      <c r="N54" s="172">
        <f t="shared" si="137"/>
        <v>118.6686166779064</v>
      </c>
      <c r="O54" s="172">
        <f t="shared" si="98"/>
        <v>34.300000000000004</v>
      </c>
      <c r="P54" s="217">
        <f t="shared" si="138"/>
        <v>4.2381648813538</v>
      </c>
      <c r="Q54" s="217">
        <f t="shared" si="139"/>
        <v>28</v>
      </c>
      <c r="R54" s="217">
        <f t="shared" si="140"/>
        <v>4.1931995079073046</v>
      </c>
      <c r="S54" s="172">
        <f t="shared" si="141"/>
        <v>162.05778435460931</v>
      </c>
      <c r="T54" s="172">
        <f t="shared" si="142"/>
        <v>28</v>
      </c>
      <c r="U54" s="217">
        <f t="shared" si="143"/>
        <v>4.9464684826618015</v>
      </c>
      <c r="V54" s="217">
        <f t="shared" si="11"/>
        <v>0.8327969806474651</v>
      </c>
      <c r="W54" s="217">
        <f t="shared" si="144"/>
        <v>0.81730480275868467</v>
      </c>
      <c r="X54" s="197">
        <f t="shared" si="145"/>
        <v>350</v>
      </c>
      <c r="Y54" s="443">
        <f t="shared" si="14"/>
        <v>350</v>
      </c>
      <c r="AA54" s="217">
        <f t="shared" si="146"/>
        <v>8.5647850547415878</v>
      </c>
      <c r="AB54" s="173">
        <f t="shared" si="147"/>
        <v>1.4151591149064056</v>
      </c>
      <c r="AC54" s="173">
        <f t="shared" si="148"/>
        <v>2.1210933865505504</v>
      </c>
      <c r="AD54" s="173"/>
      <c r="AE54" s="173">
        <f t="shared" si="149"/>
        <v>0.5507665422469078</v>
      </c>
      <c r="AF54" s="545">
        <f t="shared" si="150"/>
        <v>1334.5037209440741</v>
      </c>
      <c r="AG54" s="528">
        <f t="shared" si="151"/>
        <v>0.32128048297736295</v>
      </c>
      <c r="AI54" s="173">
        <f t="shared" si="152"/>
        <v>6.5088553133625631</v>
      </c>
      <c r="AJ54" s="173">
        <f t="shared" si="153"/>
        <v>6.5088553133625631</v>
      </c>
      <c r="AK54" s="173">
        <f t="shared" si="154"/>
        <v>3.5522385037253548</v>
      </c>
      <c r="AM54" s="545">
        <f t="shared" si="155"/>
        <v>1225</v>
      </c>
      <c r="AN54" s="460">
        <f t="shared" si="156"/>
        <v>350</v>
      </c>
      <c r="AP54">
        <f t="shared" si="157"/>
        <v>1225</v>
      </c>
      <c r="AQ54" s="460">
        <f t="shared" si="158"/>
        <v>350</v>
      </c>
      <c r="AR54" s="460"/>
      <c r="AS54" s="5">
        <f t="shared" si="101"/>
        <v>2.8571428571428572</v>
      </c>
      <c r="AT54" s="5">
        <f t="shared" si="159"/>
        <v>1.0958434429410606</v>
      </c>
      <c r="AU54" s="5">
        <f t="shared" si="102"/>
        <v>1.7612994142017966</v>
      </c>
      <c r="AV54" s="5">
        <f t="shared" si="160"/>
        <v>1.0754579204778336</v>
      </c>
      <c r="AW54" s="173">
        <f t="shared" si="103"/>
        <v>0.38354520502937123</v>
      </c>
      <c r="AX54" s="173">
        <f t="shared" si="161"/>
        <v>34.845374935761939</v>
      </c>
      <c r="AY54" s="173">
        <f t="shared" si="162"/>
        <v>2.0062075338462031</v>
      </c>
      <c r="AZ54" s="173">
        <f t="shared" si="104"/>
        <v>17.368778826664101</v>
      </c>
      <c r="BA54" s="460">
        <f t="shared" si="163"/>
        <v>4.7943150628671409</v>
      </c>
      <c r="BB54" s="5">
        <f t="shared" si="164"/>
        <v>1.5457715605681717</v>
      </c>
      <c r="BC54" s="5"/>
      <c r="BD54" s="173">
        <f t="shared" si="105"/>
        <v>2.3272994620032854</v>
      </c>
      <c r="BE54" s="173">
        <f t="shared" si="165"/>
        <v>2.9504931301262012</v>
      </c>
      <c r="BF54" s="173"/>
      <c r="BG54" s="528">
        <f t="shared" si="166"/>
        <v>6.499587343008939E-2</v>
      </c>
      <c r="BH54" s="528">
        <f t="shared" si="167"/>
        <v>2.3467270425922062</v>
      </c>
      <c r="BI54" s="528">
        <f t="shared" si="168"/>
        <v>4.0250000000000001E-2</v>
      </c>
      <c r="BJ54" s="528">
        <f t="shared" si="169"/>
        <v>0.54919727485504233</v>
      </c>
      <c r="BK54">
        <f t="shared" si="170"/>
        <v>1.2562222347031218E-2</v>
      </c>
      <c r="BL54" s="460">
        <f t="shared" si="106"/>
        <v>52.812222347031216</v>
      </c>
      <c r="BM54" s="528">
        <f t="shared" si="171"/>
        <v>3.025187100164092</v>
      </c>
      <c r="BN54" s="460">
        <f t="shared" si="107"/>
        <v>3025.187100164092</v>
      </c>
      <c r="BO54" s="528">
        <f t="shared" si="172"/>
        <v>0.82148500000000002</v>
      </c>
      <c r="BP54" s="528"/>
      <c r="BR54" s="460">
        <f t="shared" si="109"/>
        <v>821.48500000000001</v>
      </c>
      <c r="BS54" s="528">
        <f t="shared" si="173"/>
        <v>7.5828519001770942E-2</v>
      </c>
      <c r="BT54" s="528">
        <f t="shared" si="174"/>
        <v>0.12187573595290671</v>
      </c>
      <c r="BU54" s="528">
        <f t="shared" si="175"/>
        <v>12.385161078448217</v>
      </c>
      <c r="BV54" s="528">
        <f t="shared" si="176"/>
        <v>12.833290038242255</v>
      </c>
      <c r="BW54" s="528">
        <f t="shared" si="177"/>
        <v>1.4827819121600825</v>
      </c>
      <c r="BX54" s="460">
        <f t="shared" si="110"/>
        <v>14316.071950402336</v>
      </c>
      <c r="BY54" s="173">
        <f t="shared" si="45"/>
        <v>18.21555627291346</v>
      </c>
      <c r="BZ54" s="5">
        <f t="shared" si="111"/>
        <v>34.300000000000004</v>
      </c>
      <c r="CA54" s="173">
        <f t="shared" si="112"/>
        <v>0.65313980150470763</v>
      </c>
      <c r="CB54" s="5">
        <f t="shared" si="113"/>
        <v>65.313980150470769</v>
      </c>
      <c r="CE54" s="562">
        <f t="shared" si="178"/>
        <v>-50</v>
      </c>
      <c r="CF54">
        <f t="shared" si="179"/>
        <v>-50</v>
      </c>
      <c r="CG54" s="173">
        <f t="shared" si="180"/>
        <v>0.37939095930187905</v>
      </c>
      <c r="CI54" s="170">
        <v>49</v>
      </c>
      <c r="CJ54" s="217">
        <f t="shared" si="114"/>
        <v>1.2250000000000001</v>
      </c>
      <c r="CK54" s="217"/>
      <c r="CL54" s="217">
        <f t="shared" si="49"/>
        <v>34.300000000000004</v>
      </c>
      <c r="CM54" s="541">
        <f t="shared" si="50"/>
        <v>28</v>
      </c>
      <c r="CN54" s="172">
        <f t="shared" si="51"/>
        <v>28.4</v>
      </c>
      <c r="CO54" s="443">
        <f t="shared" si="52"/>
        <v>56.4</v>
      </c>
      <c r="CP54" s="443"/>
      <c r="CQ54" s="217">
        <f t="shared" si="53"/>
        <v>0.50354609929078009</v>
      </c>
      <c r="CR54" s="172">
        <f t="shared" si="54"/>
        <v>118.75402645742166</v>
      </c>
      <c r="CS54" s="172">
        <f t="shared" si="115"/>
        <v>34.300000000000004</v>
      </c>
      <c r="CT54" s="217">
        <f t="shared" si="55"/>
        <v>4.2412152306222017</v>
      </c>
      <c r="CU54" s="217">
        <f t="shared" si="56"/>
        <v>28</v>
      </c>
      <c r="CV54" s="217">
        <f t="shared" si="57"/>
        <v>4.1962174940898347</v>
      </c>
      <c r="CW54" s="172">
        <f t="shared" si="58"/>
        <v>162.54492535685932</v>
      </c>
      <c r="CX54" s="172">
        <f t="shared" si="59"/>
        <v>28</v>
      </c>
      <c r="CY54" s="217">
        <f t="shared" si="60"/>
        <v>4.8654929577464801</v>
      </c>
      <c r="CZ54" s="217">
        <f t="shared" si="61"/>
        <v>0.81670774647887345</v>
      </c>
      <c r="DA54" s="217">
        <f t="shared" si="62"/>
        <v>0.80520482047212882</v>
      </c>
      <c r="DB54" s="197">
        <f t="shared" si="63"/>
        <v>350</v>
      </c>
      <c r="DC54" s="443">
        <f t="shared" si="116"/>
        <v>350</v>
      </c>
      <c r="DE54" s="217">
        <f t="shared" si="64"/>
        <v>8.5709974347366842</v>
      </c>
      <c r="DF54" s="173">
        <f t="shared" si="65"/>
        <v>1.418439716312057</v>
      </c>
      <c r="DG54" s="173">
        <f t="shared" si="66"/>
        <v>2.1275525547218721</v>
      </c>
      <c r="DH54" s="173"/>
      <c r="DI54" s="173">
        <f t="shared" si="67"/>
        <v>0.55164319248826299</v>
      </c>
      <c r="DJ54" s="545">
        <f t="shared" si="117"/>
        <v>1332.3829787234042</v>
      </c>
      <c r="DK54" s="528">
        <f t="shared" si="68"/>
        <v>0.3217918622848201</v>
      </c>
      <c r="DM54" s="173">
        <f t="shared" si="69"/>
        <v>6.5036814451836076</v>
      </c>
      <c r="DN54" s="173">
        <f t="shared" si="70"/>
        <v>6.5036814451836076</v>
      </c>
      <c r="DO54" s="173">
        <f t="shared" si="71"/>
        <v>3.548406008777981</v>
      </c>
      <c r="DQ54" s="545">
        <f t="shared" si="72"/>
        <v>1225</v>
      </c>
      <c r="DR54" s="460">
        <f t="shared" si="73"/>
        <v>350</v>
      </c>
      <c r="DT54">
        <f t="shared" si="74"/>
        <v>1225</v>
      </c>
      <c r="DU54" s="460">
        <f t="shared" si="75"/>
        <v>350</v>
      </c>
      <c r="DV54" s="460"/>
      <c r="DW54" s="5">
        <f t="shared" si="118"/>
        <v>2.8571428571428572</v>
      </c>
      <c r="DX54" s="5">
        <f t="shared" si="76"/>
        <v>1.0916893854415342</v>
      </c>
      <c r="DY54" s="5">
        <f t="shared" si="119"/>
        <v>1.7654534717013231</v>
      </c>
      <c r="DZ54" s="5">
        <f t="shared" si="77"/>
        <v>1.0763134786043294</v>
      </c>
      <c r="EA54" s="173">
        <f t="shared" si="120"/>
        <v>0.38209128490453692</v>
      </c>
      <c r="EB54" s="173">
        <f t="shared" si="78"/>
        <v>34.790000000000006</v>
      </c>
      <c r="EC54" s="173">
        <f t="shared" si="79"/>
        <v>2.0093407225918036</v>
      </c>
      <c r="ED54" s="173">
        <f t="shared" si="121"/>
        <v>17.314136725963113</v>
      </c>
      <c r="EE54" s="460">
        <f t="shared" si="80"/>
        <v>4.7761410613067126</v>
      </c>
      <c r="EF54" s="5">
        <f t="shared" si="81"/>
        <v>1.5447717877386578</v>
      </c>
      <c r="EG54" s="5"/>
      <c r="EH54" s="173">
        <f t="shared" si="122"/>
        <v>2.3210377270581124</v>
      </c>
      <c r="EI54" s="173">
        <f t="shared" si="82"/>
        <v>2.9516223758663229</v>
      </c>
      <c r="EJ54" s="173"/>
      <c r="EK54" s="528">
        <f t="shared" si="83"/>
        <v>6.464659356512506E-2</v>
      </c>
      <c r="EL54" s="528">
        <f t="shared" si="84"/>
        <v>2.4392707628305641</v>
      </c>
      <c r="EM54" s="528">
        <f t="shared" si="85"/>
        <v>4.0250000000000001E-2</v>
      </c>
      <c r="EN54" s="528">
        <f t="shared" si="86"/>
        <v>0.54831797999999998</v>
      </c>
      <c r="EO54">
        <f t="shared" si="87"/>
        <v>1.26E-2</v>
      </c>
      <c r="EP54" s="460">
        <f t="shared" si="123"/>
        <v>52.85</v>
      </c>
      <c r="EQ54" s="528">
        <f t="shared" si="88"/>
        <v>3.1712504202521514</v>
      </c>
      <c r="ER54" s="460">
        <f t="shared" si="124"/>
        <v>3171.2504202521513</v>
      </c>
      <c r="ES54" s="528">
        <f t="shared" si="125"/>
        <v>0.82148500000000002</v>
      </c>
      <c r="ET54" s="528"/>
      <c r="EV54" s="460">
        <f t="shared" si="126"/>
        <v>821.48500000000001</v>
      </c>
      <c r="EW54" s="528">
        <f t="shared" si="89"/>
        <v>7.5421025825979232E-2</v>
      </c>
      <c r="EX54" s="528">
        <f t="shared" si="90"/>
        <v>0.12196904509600659</v>
      </c>
      <c r="EY54" s="528">
        <f t="shared" si="91"/>
        <v>12.360563437804691</v>
      </c>
      <c r="EZ54" s="528">
        <f t="shared" si="92"/>
        <v>12.807574163546436</v>
      </c>
      <c r="FA54" s="528">
        <f t="shared" si="93"/>
        <v>1.4804255319148942</v>
      </c>
      <c r="FB54" s="460">
        <f t="shared" si="127"/>
        <v>14287.999695461331</v>
      </c>
      <c r="FC54" s="173">
        <f t="shared" si="128"/>
        <v>18.28073511571348</v>
      </c>
      <c r="FD54" s="5">
        <f t="shared" si="129"/>
        <v>34.300000000000004</v>
      </c>
      <c r="FE54" s="173">
        <f t="shared" si="130"/>
        <v>0.65233017234385582</v>
      </c>
      <c r="FF54" s="5">
        <f t="shared" si="131"/>
        <v>65.233017234385585</v>
      </c>
      <c r="FI54" s="562">
        <f t="shared" si="94"/>
        <v>-50</v>
      </c>
      <c r="FJ54">
        <f t="shared" si="95"/>
        <v>-50</v>
      </c>
      <c r="FL54">
        <f t="shared" si="181"/>
        <v>0.37670971751151533</v>
      </c>
    </row>
    <row r="55" spans="5:168">
      <c r="E55" s="170">
        <v>50</v>
      </c>
      <c r="F55" s="217">
        <f t="shared" si="182"/>
        <v>1.25</v>
      </c>
      <c r="G55" s="217"/>
      <c r="H55" s="217">
        <f t="shared" si="132"/>
        <v>35</v>
      </c>
      <c r="I55" s="541">
        <f t="shared" si="133"/>
        <v>27.915197350503053</v>
      </c>
      <c r="J55" s="172">
        <f t="shared" si="134"/>
        <v>28.44566296511374</v>
      </c>
      <c r="K55" s="172">
        <f t="shared" si="135"/>
        <v>56.44566296511374</v>
      </c>
      <c r="L55" s="443"/>
      <c r="M55" s="217">
        <f t="shared" si="136"/>
        <v>0.50470883125488253</v>
      </c>
      <c r="N55" s="172">
        <f t="shared" si="137"/>
        <v>118.66774309664027</v>
      </c>
      <c r="O55" s="172">
        <f t="shared" si="98"/>
        <v>35</v>
      </c>
      <c r="P55" s="217">
        <f t="shared" si="138"/>
        <v>4.238133682022867</v>
      </c>
      <c r="Q55" s="217">
        <f t="shared" si="139"/>
        <v>28</v>
      </c>
      <c r="R55" s="217">
        <f t="shared" si="140"/>
        <v>4.1931686395898184</v>
      </c>
      <c r="S55" s="172">
        <f t="shared" si="141"/>
        <v>158.25649727740316</v>
      </c>
      <c r="T55" s="172">
        <f t="shared" si="142"/>
        <v>28</v>
      </c>
      <c r="U55" s="217">
        <f t="shared" si="143"/>
        <v>5.047535990464084</v>
      </c>
      <c r="V55" s="217">
        <f t="shared" si="11"/>
        <v>0.84983884789744035</v>
      </c>
      <c r="W55" s="217">
        <f t="shared" si="144"/>
        <v>0.83399072766474136</v>
      </c>
      <c r="X55" s="197">
        <f t="shared" si="145"/>
        <v>350</v>
      </c>
      <c r="Y55" s="443">
        <f t="shared" si="14"/>
        <v>350</v>
      </c>
      <c r="AA55" s="217">
        <f t="shared" si="146"/>
        <v>8.564721519700722</v>
      </c>
      <c r="AB55" s="173">
        <f t="shared" si="147"/>
        <v>1.4151257853248784</v>
      </c>
      <c r="AC55" s="173">
        <f t="shared" si="148"/>
        <v>2.1210276966646897</v>
      </c>
      <c r="AD55" s="173"/>
      <c r="AE55" s="173">
        <f t="shared" si="149"/>
        <v>0.55075765630354756</v>
      </c>
      <c r="AF55" s="545">
        <f t="shared" si="150"/>
        <v>1361.7604610958704</v>
      </c>
      <c r="AG55" s="528">
        <f t="shared" si="151"/>
        <v>0.32127529951040279</v>
      </c>
      <c r="AI55" s="173">
        <f t="shared" si="152"/>
        <v>6.5749897968316526</v>
      </c>
      <c r="AJ55" s="173">
        <f t="shared" si="153"/>
        <v>6.5749897968316526</v>
      </c>
      <c r="AK55" s="173">
        <f t="shared" si="154"/>
        <v>3.6012270099987544</v>
      </c>
      <c r="AM55" s="545">
        <f t="shared" si="155"/>
        <v>1250</v>
      </c>
      <c r="AN55" s="460">
        <f t="shared" si="156"/>
        <v>350</v>
      </c>
      <c r="AP55">
        <f t="shared" si="157"/>
        <v>1250</v>
      </c>
      <c r="AQ55" s="460">
        <f t="shared" si="158"/>
        <v>350</v>
      </c>
      <c r="AR55" s="460"/>
      <c r="AS55" s="5">
        <f t="shared" si="101"/>
        <v>2.8571428571428572</v>
      </c>
      <c r="AT55" s="5">
        <f t="shared" si="159"/>
        <v>1.1070117705813705</v>
      </c>
      <c r="AU55" s="5">
        <f t="shared" si="102"/>
        <v>1.7501310865614867</v>
      </c>
      <c r="AV55" s="5">
        <f t="shared" si="160"/>
        <v>1.0863677912168219</v>
      </c>
      <c r="AW55" s="173">
        <f t="shared" si="103"/>
        <v>0.38745411970347965</v>
      </c>
      <c r="AX55" s="173">
        <f t="shared" si="161"/>
        <v>35.557078706392183</v>
      </c>
      <c r="AY55" s="173">
        <f t="shared" si="162"/>
        <v>2.0137414565204419</v>
      </c>
      <c r="AZ55" s="173">
        <f t="shared" si="104"/>
        <v>17.657221383241279</v>
      </c>
      <c r="BA55" s="460">
        <f t="shared" si="163"/>
        <v>4.9420168329525467</v>
      </c>
      <c r="BB55" s="5">
        <f t="shared" si="164"/>
        <v>1.5673640639065265</v>
      </c>
      <c r="BC55" s="5"/>
      <c r="BD55" s="173">
        <f t="shared" si="105"/>
        <v>2.3628959469460846</v>
      </c>
      <c r="BE55" s="173">
        <f t="shared" si="165"/>
        <v>2.9710076326704176</v>
      </c>
      <c r="BF55" s="173"/>
      <c r="BG55" s="528">
        <f t="shared" si="166"/>
        <v>6.6999327073130804E-2</v>
      </c>
      <c r="BH55" s="528">
        <f t="shared" si="167"/>
        <v>2.3705906909286476</v>
      </c>
      <c r="BI55" s="528">
        <f t="shared" si="168"/>
        <v>4.0250000000000001E-2</v>
      </c>
      <c r="BJ55" s="528">
        <f t="shared" si="169"/>
        <v>0.54920620554758781</v>
      </c>
      <c r="BK55">
        <f t="shared" si="170"/>
        <v>1.2561838807726374E-2</v>
      </c>
      <c r="BL55" s="460">
        <f t="shared" si="106"/>
        <v>52.811838807726375</v>
      </c>
      <c r="BM55" s="528">
        <f t="shared" si="171"/>
        <v>3.0534947472237048</v>
      </c>
      <c r="BN55" s="460">
        <f t="shared" si="107"/>
        <v>3053.494747223705</v>
      </c>
      <c r="BO55" s="528">
        <f t="shared" si="172"/>
        <v>0.83824999999999994</v>
      </c>
      <c r="BP55" s="528"/>
      <c r="BR55" s="460">
        <f t="shared" si="109"/>
        <v>838.24999999999989</v>
      </c>
      <c r="BS55" s="528">
        <f t="shared" si="173"/>
        <v>7.8165881585319272E-2</v>
      </c>
      <c r="BT55" s="528">
        <f t="shared" si="174"/>
        <v>0.12357640894740231</v>
      </c>
      <c r="BU55" s="528">
        <f t="shared" si="175"/>
        <v>12.702167145885342</v>
      </c>
      <c r="BV55" s="528">
        <f t="shared" si="176"/>
        <v>13.164799327809591</v>
      </c>
      <c r="BW55" s="528">
        <f t="shared" si="177"/>
        <v>1.5130671789954122</v>
      </c>
      <c r="BX55" s="460">
        <f t="shared" si="110"/>
        <v>14677.866506805003</v>
      </c>
      <c r="BY55" s="173">
        <f t="shared" si="45"/>
        <v>18.622423092836438</v>
      </c>
      <c r="BZ55" s="5">
        <f t="shared" si="111"/>
        <v>35</v>
      </c>
      <c r="CA55" s="173">
        <f t="shared" si="112"/>
        <v>0.6527120182429007</v>
      </c>
      <c r="CB55" s="5">
        <f t="shared" si="113"/>
        <v>65.271201824290074</v>
      </c>
      <c r="CE55" s="562">
        <f t="shared" si="178"/>
        <v>-50</v>
      </c>
      <c r="CF55">
        <f t="shared" si="179"/>
        <v>-50</v>
      </c>
      <c r="CG55" s="173">
        <f t="shared" si="180"/>
        <v>0.38324274291889726</v>
      </c>
      <c r="CI55" s="170">
        <v>50</v>
      </c>
      <c r="CJ55" s="217">
        <f t="shared" si="114"/>
        <v>1.25</v>
      </c>
      <c r="CK55" s="217"/>
      <c r="CL55" s="217">
        <f t="shared" si="49"/>
        <v>35</v>
      </c>
      <c r="CM55" s="541">
        <f t="shared" si="50"/>
        <v>28</v>
      </c>
      <c r="CN55" s="172">
        <f t="shared" si="51"/>
        <v>28.4</v>
      </c>
      <c r="CO55" s="443">
        <f t="shared" si="52"/>
        <v>56.4</v>
      </c>
      <c r="CP55" s="443"/>
      <c r="CQ55" s="217">
        <f t="shared" si="53"/>
        <v>0.50354609929078009</v>
      </c>
      <c r="CR55" s="172">
        <f t="shared" si="54"/>
        <v>118.75402645742166</v>
      </c>
      <c r="CS55" s="172">
        <f t="shared" si="115"/>
        <v>35</v>
      </c>
      <c r="CT55" s="217">
        <f t="shared" si="55"/>
        <v>4.2412152306222017</v>
      </c>
      <c r="CU55" s="217">
        <f t="shared" si="56"/>
        <v>28</v>
      </c>
      <c r="CV55" s="217">
        <f t="shared" si="57"/>
        <v>4.1962174940898347</v>
      </c>
      <c r="CW55" s="172">
        <f t="shared" si="58"/>
        <v>158.73704625623105</v>
      </c>
      <c r="CX55" s="172">
        <f t="shared" si="59"/>
        <v>28</v>
      </c>
      <c r="CY55" s="217">
        <f t="shared" si="60"/>
        <v>4.9647887323943669</v>
      </c>
      <c r="CZ55" s="217">
        <f t="shared" si="61"/>
        <v>0.83337525150905445</v>
      </c>
      <c r="DA55" s="217">
        <f t="shared" si="62"/>
        <v>0.82163757191033548</v>
      </c>
      <c r="DB55" s="197">
        <f t="shared" si="63"/>
        <v>350</v>
      </c>
      <c r="DC55" s="443">
        <f t="shared" si="116"/>
        <v>350</v>
      </c>
      <c r="DE55" s="217">
        <f t="shared" si="64"/>
        <v>8.5709974347366842</v>
      </c>
      <c r="DF55" s="173">
        <f t="shared" si="65"/>
        <v>1.418439716312057</v>
      </c>
      <c r="DG55" s="173">
        <f t="shared" si="66"/>
        <v>2.1275525547218721</v>
      </c>
      <c r="DH55" s="173"/>
      <c r="DI55" s="173">
        <f t="shared" si="67"/>
        <v>0.55164319248826299</v>
      </c>
      <c r="DJ55" s="545">
        <f t="shared" si="117"/>
        <v>1359.5744680851062</v>
      </c>
      <c r="DK55" s="528">
        <f t="shared" si="68"/>
        <v>0.3217918622848201</v>
      </c>
      <c r="DM55" s="173">
        <f t="shared" si="69"/>
        <v>6.5697103608092204</v>
      </c>
      <c r="DN55" s="173">
        <f t="shared" si="70"/>
        <v>6.5697103608092204</v>
      </c>
      <c r="DO55" s="173">
        <f t="shared" si="71"/>
        <v>3.5973163166488051</v>
      </c>
      <c r="DQ55" s="545">
        <f t="shared" si="72"/>
        <v>1250</v>
      </c>
      <c r="DR55" s="460">
        <f t="shared" si="73"/>
        <v>350</v>
      </c>
      <c r="DT55">
        <f t="shared" si="74"/>
        <v>1250</v>
      </c>
      <c r="DU55" s="460">
        <f t="shared" si="75"/>
        <v>350</v>
      </c>
      <c r="DV55" s="460"/>
      <c r="DW55" s="5">
        <f t="shared" si="118"/>
        <v>2.8571428571428572</v>
      </c>
      <c r="DX55" s="5">
        <f t="shared" si="76"/>
        <v>1.1027728105644048</v>
      </c>
      <c r="DY55" s="5">
        <f t="shared" si="119"/>
        <v>1.7543700465784524</v>
      </c>
      <c r="DZ55" s="5">
        <f t="shared" si="77"/>
        <v>1.0872407991480049</v>
      </c>
      <c r="EA55" s="173">
        <f t="shared" si="120"/>
        <v>0.38597048369754167</v>
      </c>
      <c r="EB55" s="173">
        <f t="shared" si="78"/>
        <v>35.500000000000007</v>
      </c>
      <c r="EC55" s="173">
        <f t="shared" si="79"/>
        <v>2.016998037547467</v>
      </c>
      <c r="ED55" s="173">
        <f t="shared" si="121"/>
        <v>17.600413753087039</v>
      </c>
      <c r="EE55" s="460">
        <f t="shared" si="80"/>
        <v>4.9230929043053786</v>
      </c>
      <c r="EF55" s="5">
        <f t="shared" si="81"/>
        <v>1.5664018273021896</v>
      </c>
      <c r="EG55" s="5"/>
      <c r="EH55" s="173">
        <f t="shared" si="122"/>
        <v>2.3564739488558675</v>
      </c>
      <c r="EI55" s="173">
        <f t="shared" si="82"/>
        <v>2.9722149882994064</v>
      </c>
      <c r="EJ55" s="173"/>
      <c r="EK55" s="528">
        <f t="shared" si="83"/>
        <v>6.6635633659636387E-2</v>
      </c>
      <c r="EL55" s="528">
        <f t="shared" si="84"/>
        <v>2.4640355679251065</v>
      </c>
      <c r="EM55" s="528">
        <f t="shared" si="85"/>
        <v>4.0250000000000001E-2</v>
      </c>
      <c r="EN55" s="528">
        <f t="shared" si="86"/>
        <v>0.54831797999999998</v>
      </c>
      <c r="EO55">
        <f t="shared" si="87"/>
        <v>1.26E-2</v>
      </c>
      <c r="EP55" s="460">
        <f t="shared" si="123"/>
        <v>52.85</v>
      </c>
      <c r="EQ55" s="528">
        <f t="shared" si="88"/>
        <v>3.2005031742265619</v>
      </c>
      <c r="ER55" s="460">
        <f t="shared" si="124"/>
        <v>3200.5031742265619</v>
      </c>
      <c r="ES55" s="528">
        <f t="shared" si="125"/>
        <v>0.83824999999999994</v>
      </c>
      <c r="ET55" s="528"/>
      <c r="EV55" s="460">
        <f t="shared" si="126"/>
        <v>838.24999999999989</v>
      </c>
      <c r="EW55" s="528">
        <f t="shared" si="89"/>
        <v>7.774157260290912E-2</v>
      </c>
      <c r="EX55" s="528">
        <f t="shared" si="90"/>
        <v>0.12367686711340296</v>
      </c>
      <c r="EY55" s="528">
        <f t="shared" si="91"/>
        <v>12.676684254898461</v>
      </c>
      <c r="EZ55" s="528">
        <f t="shared" si="92"/>
        <v>13.138144281909081</v>
      </c>
      <c r="FA55" s="528">
        <f t="shared" si="93"/>
        <v>1.5106382978723407</v>
      </c>
      <c r="FB55" s="460">
        <f t="shared" si="127"/>
        <v>14648.782579781422</v>
      </c>
      <c r="FC55" s="173">
        <f t="shared" si="128"/>
        <v>18.687535754007982</v>
      </c>
      <c r="FD55" s="5">
        <f t="shared" si="129"/>
        <v>35</v>
      </c>
      <c r="FE55" s="173">
        <f t="shared" si="130"/>
        <v>0.65192040402761664</v>
      </c>
      <c r="FF55" s="5">
        <f t="shared" si="131"/>
        <v>65.192040402761663</v>
      </c>
      <c r="FI55" s="562">
        <f t="shared" si="94"/>
        <v>-50</v>
      </c>
      <c r="FJ55">
        <f t="shared" si="95"/>
        <v>-50</v>
      </c>
      <c r="FL55">
        <f t="shared" si="181"/>
        <v>0.38053427970180165</v>
      </c>
    </row>
    <row r="56" spans="5:168">
      <c r="E56" s="170">
        <v>51</v>
      </c>
      <c r="F56" s="217">
        <f t="shared" si="182"/>
        <v>1.2749999999999999</v>
      </c>
      <c r="G56" s="217"/>
      <c r="H56" s="217">
        <f t="shared" si="132"/>
        <v>35.699999999999996</v>
      </c>
      <c r="I56" s="541">
        <f t="shared" si="133"/>
        <v>27.914353522261941</v>
      </c>
      <c r="J56" s="172">
        <f t="shared" si="134"/>
        <v>28.446117334166647</v>
      </c>
      <c r="K56" s="172">
        <f t="shared" si="135"/>
        <v>56.446117334166644</v>
      </c>
      <c r="L56" s="443"/>
      <c r="M56" s="217">
        <f t="shared" si="136"/>
        <v>0.50472040905929427</v>
      </c>
      <c r="N56" s="172">
        <f t="shared" si="137"/>
        <v>118.66687808046967</v>
      </c>
      <c r="O56" s="172">
        <f t="shared" si="98"/>
        <v>35.699999999999996</v>
      </c>
      <c r="P56" s="217">
        <f t="shared" si="138"/>
        <v>4.2381027885882023</v>
      </c>
      <c r="Q56" s="217">
        <f t="shared" si="139"/>
        <v>28</v>
      </c>
      <c r="R56" s="217">
        <f t="shared" si="140"/>
        <v>4.193138073923155</v>
      </c>
      <c r="S56" s="172">
        <f t="shared" si="141"/>
        <v>154.60443650472033</v>
      </c>
      <c r="T56" s="172">
        <f t="shared" si="142"/>
        <v>28</v>
      </c>
      <c r="U56" s="217">
        <f t="shared" si="143"/>
        <v>5.1486070628443956</v>
      </c>
      <c r="V56" s="217">
        <f t="shared" si="11"/>
        <v>0.86688209261483273</v>
      </c>
      <c r="W56" s="217">
        <f t="shared" si="144"/>
        <v>0.85067683969312335</v>
      </c>
      <c r="X56" s="197">
        <f t="shared" si="145"/>
        <v>350</v>
      </c>
      <c r="Y56" s="443">
        <f t="shared" si="14"/>
        <v>350</v>
      </c>
      <c r="AA56" s="217">
        <f t="shared" si="146"/>
        <v>8.5646586077103475</v>
      </c>
      <c r="AB56" s="173">
        <f t="shared" si="147"/>
        <v>1.4150927869474004</v>
      </c>
      <c r="AC56" s="173">
        <f t="shared" si="148"/>
        <v>2.1209626582266288</v>
      </c>
      <c r="AD56" s="173"/>
      <c r="AE56" s="173">
        <f t="shared" si="149"/>
        <v>0.55074885906659121</v>
      </c>
      <c r="AF56" s="545">
        <f t="shared" si="150"/>
        <v>1389.0178570619671</v>
      </c>
      <c r="AG56" s="528">
        <f t="shared" si="151"/>
        <v>0.32127016778884493</v>
      </c>
      <c r="AI56" s="173">
        <f t="shared" si="152"/>
        <v>6.6404672264904816</v>
      </c>
      <c r="AJ56" s="173">
        <f t="shared" si="153"/>
        <v>6.6404672264904816</v>
      </c>
      <c r="AK56" s="173">
        <f t="shared" si="154"/>
        <v>3.6497288097460361</v>
      </c>
      <c r="AM56" s="545">
        <f t="shared" si="155"/>
        <v>1275</v>
      </c>
      <c r="AN56" s="460">
        <f t="shared" si="156"/>
        <v>350</v>
      </c>
      <c r="AP56">
        <f t="shared" si="157"/>
        <v>1275</v>
      </c>
      <c r="AQ56" s="460">
        <f t="shared" si="158"/>
        <v>350</v>
      </c>
      <c r="AR56" s="460"/>
      <c r="AS56" s="5">
        <f t="shared" si="101"/>
        <v>2.8571428571428572</v>
      </c>
      <c r="AT56" s="5">
        <f t="shared" si="159"/>
        <v>1.1180698109169844</v>
      </c>
      <c r="AU56" s="5">
        <f t="shared" si="102"/>
        <v>1.7390730462258728</v>
      </c>
      <c r="AV56" s="5">
        <f t="shared" si="160"/>
        <v>1.0971689245976175</v>
      </c>
      <c r="AW56" s="173">
        <f t="shared" si="103"/>
        <v>0.39132443382094456</v>
      </c>
      <c r="AX56" s="173">
        <f t="shared" si="161"/>
        <v>36.268799601062469</v>
      </c>
      <c r="AY56" s="173">
        <f t="shared" si="162"/>
        <v>2.020945074388778</v>
      </c>
      <c r="AZ56" s="173">
        <f t="shared" si="104"/>
        <v>17.946454884248517</v>
      </c>
      <c r="BA56" s="460">
        <f t="shared" si="163"/>
        <v>5.0912107461398399</v>
      </c>
      <c r="BB56" s="5">
        <f t="shared" si="164"/>
        <v>1.5886580587794423</v>
      </c>
      <c r="BC56" s="5"/>
      <c r="BD56" s="173">
        <f t="shared" si="105"/>
        <v>2.3983164873206437</v>
      </c>
      <c r="BE56" s="173">
        <f t="shared" si="165"/>
        <v>2.9911000800169432</v>
      </c>
      <c r="BF56" s="173"/>
      <c r="BG56" s="528">
        <f t="shared" si="166"/>
        <v>6.9023063680248381E-2</v>
      </c>
      <c r="BH56" s="528">
        <f t="shared" si="167"/>
        <v>2.3942176328063351</v>
      </c>
      <c r="BI56" s="528">
        <f t="shared" si="168"/>
        <v>4.0250000000000001E-2</v>
      </c>
      <c r="BJ56" s="528">
        <f t="shared" si="169"/>
        <v>0.54921504744241978</v>
      </c>
      <c r="BK56">
        <f t="shared" si="170"/>
        <v>1.2561459085017873E-2</v>
      </c>
      <c r="BL56" s="460">
        <f t="shared" si="106"/>
        <v>52.811459085017873</v>
      </c>
      <c r="BM56" s="528">
        <f t="shared" si="171"/>
        <v>3.0816303386667663</v>
      </c>
      <c r="BN56" s="460">
        <f t="shared" si="107"/>
        <v>3081.6303386667664</v>
      </c>
      <c r="BO56" s="528">
        <f t="shared" si="172"/>
        <v>0.85501499999999986</v>
      </c>
      <c r="BP56" s="528"/>
      <c r="BR56" s="460">
        <f t="shared" si="109"/>
        <v>855.01499999999987</v>
      </c>
      <c r="BS56" s="528">
        <f t="shared" si="173"/>
        <v>8.052690762695644E-2</v>
      </c>
      <c r="BT56" s="528">
        <f t="shared" si="174"/>
        <v>0.1252535156414831</v>
      </c>
      <c r="BU56" s="528">
        <f t="shared" si="175"/>
        <v>13.02077124991602</v>
      </c>
      <c r="BV56" s="528">
        <f t="shared" si="176"/>
        <v>13.498151399434251</v>
      </c>
      <c r="BW56" s="528">
        <f t="shared" si="177"/>
        <v>1.5433531745132967</v>
      </c>
      <c r="BX56" s="460">
        <f t="shared" si="110"/>
        <v>15041.504573947546</v>
      </c>
      <c r="BY56" s="173">
        <f t="shared" si="45"/>
        <v>19.03096137169933</v>
      </c>
      <c r="BZ56" s="5">
        <f t="shared" si="111"/>
        <v>35.699999999999996</v>
      </c>
      <c r="CA56" s="173">
        <f t="shared" si="112"/>
        <v>0.65228161730153722</v>
      </c>
      <c r="CB56" s="5">
        <f t="shared" si="113"/>
        <v>65.228161730153715</v>
      </c>
      <c r="CE56" s="562">
        <f t="shared" si="178"/>
        <v>-50</v>
      </c>
      <c r="CF56">
        <f t="shared" si="179"/>
        <v>-50</v>
      </c>
      <c r="CG56" s="173">
        <f t="shared" si="180"/>
        <v>0.38705619747008313</v>
      </c>
      <c r="CI56" s="170">
        <v>51</v>
      </c>
      <c r="CJ56" s="217">
        <f t="shared" si="114"/>
        <v>1.2749999999999999</v>
      </c>
      <c r="CK56" s="217"/>
      <c r="CL56" s="217">
        <f t="shared" si="49"/>
        <v>35.699999999999996</v>
      </c>
      <c r="CM56" s="541">
        <f t="shared" si="50"/>
        <v>28</v>
      </c>
      <c r="CN56" s="172">
        <f t="shared" si="51"/>
        <v>28.4</v>
      </c>
      <c r="CO56" s="443">
        <f t="shared" si="52"/>
        <v>56.4</v>
      </c>
      <c r="CP56" s="443"/>
      <c r="CQ56" s="217">
        <f t="shared" si="53"/>
        <v>0.50354609929078009</v>
      </c>
      <c r="CR56" s="172">
        <f t="shared" si="54"/>
        <v>118.75402645742166</v>
      </c>
      <c r="CS56" s="172">
        <f t="shared" si="115"/>
        <v>35.699999999999996</v>
      </c>
      <c r="CT56" s="217">
        <f t="shared" si="55"/>
        <v>4.2412152306222017</v>
      </c>
      <c r="CU56" s="217">
        <f t="shared" si="56"/>
        <v>28</v>
      </c>
      <c r="CV56" s="217">
        <f t="shared" si="57"/>
        <v>4.1962174940898347</v>
      </c>
      <c r="CW56" s="172">
        <f t="shared" si="58"/>
        <v>155.07857159793031</v>
      </c>
      <c r="CX56" s="172">
        <f t="shared" si="59"/>
        <v>28</v>
      </c>
      <c r="CY56" s="217">
        <f t="shared" si="60"/>
        <v>5.0640845070422538</v>
      </c>
      <c r="CZ56" s="217">
        <f t="shared" si="61"/>
        <v>0.85004275653923544</v>
      </c>
      <c r="DA56" s="217">
        <f t="shared" si="62"/>
        <v>0.83807032334854203</v>
      </c>
      <c r="DB56" s="197">
        <f t="shared" si="63"/>
        <v>350</v>
      </c>
      <c r="DC56" s="443">
        <f t="shared" si="116"/>
        <v>350</v>
      </c>
      <c r="DE56" s="217">
        <f t="shared" si="64"/>
        <v>8.5709974347366842</v>
      </c>
      <c r="DF56" s="173">
        <f t="shared" si="65"/>
        <v>1.418439716312057</v>
      </c>
      <c r="DG56" s="173">
        <f t="shared" si="66"/>
        <v>2.1275525547218721</v>
      </c>
      <c r="DH56" s="173"/>
      <c r="DI56" s="173">
        <f t="shared" si="67"/>
        <v>0.55164319248826299</v>
      </c>
      <c r="DJ56" s="545">
        <f t="shared" si="117"/>
        <v>1386.7659574468082</v>
      </c>
      <c r="DK56" s="528">
        <f t="shared" si="68"/>
        <v>0.3217918622848201</v>
      </c>
      <c r="DM56" s="173">
        <f t="shared" si="69"/>
        <v>6.635082223260123</v>
      </c>
      <c r="DN56" s="173">
        <f t="shared" si="70"/>
        <v>6.635082223260123</v>
      </c>
      <c r="DO56" s="173">
        <f t="shared" si="71"/>
        <v>3.6457399184642885</v>
      </c>
      <c r="DQ56" s="545">
        <f t="shared" si="72"/>
        <v>1275</v>
      </c>
      <c r="DR56" s="460">
        <f t="shared" si="73"/>
        <v>350</v>
      </c>
      <c r="DT56">
        <f t="shared" si="74"/>
        <v>1275</v>
      </c>
      <c r="DU56" s="460">
        <f t="shared" si="75"/>
        <v>350</v>
      </c>
      <c r="DV56" s="460"/>
      <c r="DW56" s="5">
        <f t="shared" si="118"/>
        <v>2.8571428571428572</v>
      </c>
      <c r="DX56" s="5">
        <f t="shared" si="76"/>
        <v>1.1137459446186633</v>
      </c>
      <c r="DY56" s="5">
        <f t="shared" si="119"/>
        <v>1.7433969125241939</v>
      </c>
      <c r="DZ56" s="5">
        <f t="shared" si="77"/>
        <v>1.0980593820184004</v>
      </c>
      <c r="EA56" s="173">
        <f t="shared" si="120"/>
        <v>0.38981108061653214</v>
      </c>
      <c r="EB56" s="173">
        <f t="shared" si="78"/>
        <v>36.21</v>
      </c>
      <c r="EC56" s="173">
        <f t="shared" si="79"/>
        <v>2.0243268259157761</v>
      </c>
      <c r="ED56" s="173">
        <f t="shared" si="121"/>
        <v>17.887427828566725</v>
      </c>
      <c r="EE56" s="460">
        <f t="shared" si="80"/>
        <v>5.0715217121028413</v>
      </c>
      <c r="EF56" s="5">
        <f t="shared" si="81"/>
        <v>1.5877364739059621</v>
      </c>
      <c r="EG56" s="5"/>
      <c r="EH56" s="173">
        <f t="shared" si="122"/>
        <v>2.3917334185354484</v>
      </c>
      <c r="EI56" s="173">
        <f t="shared" si="82"/>
        <v>2.992387556974347</v>
      </c>
      <c r="EJ56" s="173"/>
      <c r="EK56" s="528">
        <f t="shared" si="83"/>
        <v>6.8644664944071149E-2</v>
      </c>
      <c r="EL56" s="528">
        <f t="shared" si="84"/>
        <v>2.4885539386559419</v>
      </c>
      <c r="EM56" s="528">
        <f t="shared" si="85"/>
        <v>4.0250000000000001E-2</v>
      </c>
      <c r="EN56" s="528">
        <f t="shared" si="86"/>
        <v>0.54831797999999998</v>
      </c>
      <c r="EO56">
        <f t="shared" si="87"/>
        <v>1.26E-2</v>
      </c>
      <c r="EP56" s="460">
        <f t="shared" si="123"/>
        <v>52.85</v>
      </c>
      <c r="EQ56" s="528">
        <f t="shared" si="88"/>
        <v>3.2295749209289975</v>
      </c>
      <c r="ER56" s="460">
        <f t="shared" si="124"/>
        <v>3229.5749209289975</v>
      </c>
      <c r="ES56" s="528">
        <f t="shared" si="125"/>
        <v>0.85501499999999986</v>
      </c>
      <c r="ET56" s="528"/>
      <c r="EV56" s="460">
        <f t="shared" si="126"/>
        <v>855.01499999999987</v>
      </c>
      <c r="EW56" s="528">
        <f t="shared" si="89"/>
        <v>8.0085442434749674E-2</v>
      </c>
      <c r="EX56" s="528">
        <f t="shared" si="90"/>
        <v>0.12536136607588863</v>
      </c>
      <c r="EY56" s="528">
        <f t="shared" si="91"/>
        <v>12.994389726859245</v>
      </c>
      <c r="EZ56" s="528">
        <f t="shared" si="92"/>
        <v>13.470542161084664</v>
      </c>
      <c r="FA56" s="528">
        <f t="shared" si="93"/>
        <v>1.5408510638297872</v>
      </c>
      <c r="FB56" s="460">
        <f t="shared" si="127"/>
        <v>15011.393224914451</v>
      </c>
      <c r="FC56" s="173">
        <f t="shared" si="128"/>
        <v>19.095983145843448</v>
      </c>
      <c r="FD56" s="5">
        <f t="shared" si="129"/>
        <v>35.699999999999996</v>
      </c>
      <c r="FE56" s="173">
        <f t="shared" si="130"/>
        <v>0.65150760969069366</v>
      </c>
      <c r="FF56" s="5">
        <f t="shared" si="131"/>
        <v>65.150760969069367</v>
      </c>
      <c r="FI56" s="562">
        <f t="shared" si="94"/>
        <v>-50</v>
      </c>
      <c r="FJ56">
        <f t="shared" si="95"/>
        <v>-50</v>
      </c>
      <c r="FL56">
        <f t="shared" si="181"/>
        <v>0.38432078370644024</v>
      </c>
    </row>
    <row r="57" spans="5:168">
      <c r="E57" s="170">
        <v>52</v>
      </c>
      <c r="F57" s="217">
        <f t="shared" si="182"/>
        <v>1.3</v>
      </c>
      <c r="G57" s="217"/>
      <c r="H57" s="217">
        <f t="shared" si="132"/>
        <v>36.4</v>
      </c>
      <c r="I57" s="541">
        <f t="shared" si="133"/>
        <v>27.91351792708214</v>
      </c>
      <c r="J57" s="172">
        <f t="shared" si="134"/>
        <v>28.446567270032691</v>
      </c>
      <c r="K57" s="172">
        <f t="shared" si="135"/>
        <v>56.446567270032688</v>
      </c>
      <c r="L57" s="443"/>
      <c r="M57" s="217">
        <f t="shared" si="136"/>
        <v>0.50473187405777786</v>
      </c>
      <c r="N57" s="172">
        <f t="shared" si="137"/>
        <v>118.66602137867606</v>
      </c>
      <c r="O57" s="172">
        <f t="shared" si="98"/>
        <v>36.4</v>
      </c>
      <c r="P57" s="217">
        <f t="shared" si="138"/>
        <v>4.238072192095574</v>
      </c>
      <c r="Q57" s="217">
        <f t="shared" si="139"/>
        <v>28</v>
      </c>
      <c r="R57" s="217">
        <f t="shared" si="140"/>
        <v>4.1931078020480799</v>
      </c>
      <c r="S57" s="172">
        <f t="shared" si="141"/>
        <v>151.09299176443758</v>
      </c>
      <c r="T57" s="172">
        <f t="shared" si="142"/>
        <v>28</v>
      </c>
      <c r="U57" s="217">
        <f t="shared" si="143"/>
        <v>5.2496816649640712</v>
      </c>
      <c r="V57" s="217">
        <f t="shared" si="11"/>
        <v>0.8839267013847979</v>
      </c>
      <c r="W57" s="217">
        <f t="shared" si="144"/>
        <v>0.86736313703916301</v>
      </c>
      <c r="X57" s="197">
        <f t="shared" si="145"/>
        <v>350</v>
      </c>
      <c r="Y57" s="443">
        <f t="shared" si="14"/>
        <v>350</v>
      </c>
      <c r="AA57" s="217">
        <f t="shared" si="146"/>
        <v>8.564596300532445</v>
      </c>
      <c r="AB57" s="173">
        <f t="shared" si="147"/>
        <v>1.4150601100790123</v>
      </c>
      <c r="AC57" s="173">
        <f t="shared" si="148"/>
        <v>2.1208982521674051</v>
      </c>
      <c r="AD57" s="173"/>
      <c r="AE57" s="173">
        <f t="shared" si="149"/>
        <v>0.55074014793942705</v>
      </c>
      <c r="AF57" s="545">
        <f t="shared" si="150"/>
        <v>1416.275902380351</v>
      </c>
      <c r="AG57" s="528">
        <f t="shared" si="151"/>
        <v>0.32126508629799905</v>
      </c>
      <c r="AI57" s="173">
        <f t="shared" si="152"/>
        <v>6.7053068354927934</v>
      </c>
      <c r="AJ57" s="173">
        <f t="shared" si="153"/>
        <v>6.7053068354927934</v>
      </c>
      <c r="AK57" s="173">
        <f t="shared" si="154"/>
        <v>3.6977581497477479</v>
      </c>
      <c r="AM57" s="545">
        <f t="shared" si="155"/>
        <v>1300</v>
      </c>
      <c r="AN57" s="460">
        <f t="shared" si="156"/>
        <v>350</v>
      </c>
      <c r="AP57">
        <f t="shared" si="157"/>
        <v>1300</v>
      </c>
      <c r="AQ57" s="460">
        <f t="shared" si="158"/>
        <v>350</v>
      </c>
      <c r="AR57" s="460"/>
      <c r="AS57" s="5">
        <f t="shared" si="101"/>
        <v>2.8571428571428572</v>
      </c>
      <c r="AT57" s="5">
        <f t="shared" si="159"/>
        <v>1.1290207923322997</v>
      </c>
      <c r="AU57" s="5">
        <f t="shared" si="102"/>
        <v>1.7281220648105575</v>
      </c>
      <c r="AV57" s="5">
        <f t="shared" si="160"/>
        <v>1.1078645035675656</v>
      </c>
      <c r="AW57" s="173">
        <f t="shared" si="103"/>
        <v>0.3951572773163049</v>
      </c>
      <c r="AX57" s="173">
        <f t="shared" si="161"/>
        <v>36.980537451042494</v>
      </c>
      <c r="AY57" s="173">
        <f t="shared" si="162"/>
        <v>2.0278280214045266</v>
      </c>
      <c r="AZ57" s="173">
        <f t="shared" si="104"/>
        <v>18.236525514342588</v>
      </c>
      <c r="BA57" s="460">
        <f t="shared" si="163"/>
        <v>5.2418822501142488</v>
      </c>
      <c r="BB57" s="5">
        <f t="shared" si="164"/>
        <v>1.6096564325015283</v>
      </c>
      <c r="BC57" s="5"/>
      <c r="BD57" s="173">
        <f t="shared" si="105"/>
        <v>2.4335653933992392</v>
      </c>
      <c r="BE57" s="173">
        <f t="shared" si="165"/>
        <v>3.010781636400266</v>
      </c>
      <c r="BF57" s="173"/>
      <c r="BG57" s="528">
        <f t="shared" si="166"/>
        <v>7.1066886287404721E-2</v>
      </c>
      <c r="BH57" s="528">
        <f t="shared" si="167"/>
        <v>2.4176147970605171</v>
      </c>
      <c r="BI57" s="528">
        <f t="shared" si="168"/>
        <v>4.0250000000000001E-2</v>
      </c>
      <c r="BJ57" s="528">
        <f t="shared" si="169"/>
        <v>0.54922380313880981</v>
      </c>
      <c r="BK57">
        <f t="shared" si="170"/>
        <v>1.2561083067186963E-2</v>
      </c>
      <c r="BL57" s="460">
        <f t="shared" si="106"/>
        <v>52.811083067186964</v>
      </c>
      <c r="BM57" s="528">
        <f t="shared" si="171"/>
        <v>3.1096006838197607</v>
      </c>
      <c r="BN57" s="460">
        <f t="shared" si="107"/>
        <v>3109.6006838197609</v>
      </c>
      <c r="BO57" s="528">
        <f t="shared" si="172"/>
        <v>0.87177999999999989</v>
      </c>
      <c r="BP57" s="528"/>
      <c r="BR57" s="460">
        <f t="shared" si="109"/>
        <v>871.77999999999986</v>
      </c>
      <c r="BS57" s="528">
        <f t="shared" si="173"/>
        <v>8.2911367335305519E-2</v>
      </c>
      <c r="BT57" s="528">
        <f t="shared" si="174"/>
        <v>0.1269072848691909</v>
      </c>
      <c r="BU57" s="528">
        <f t="shared" si="175"/>
        <v>13.340949960517252</v>
      </c>
      <c r="BV57" s="528">
        <f t="shared" si="176"/>
        <v>13.833324245140682</v>
      </c>
      <c r="BW57" s="528">
        <f t="shared" si="177"/>
        <v>1.5736398915337233</v>
      </c>
      <c r="BX57" s="460">
        <f t="shared" si="110"/>
        <v>15406.964136674405</v>
      </c>
      <c r="BY57" s="173">
        <f t="shared" si="45"/>
        <v>19.441155903561352</v>
      </c>
      <c r="BZ57" s="5">
        <f t="shared" si="111"/>
        <v>36.4</v>
      </c>
      <c r="CA57" s="173">
        <f t="shared" si="112"/>
        <v>0.65184897072803138</v>
      </c>
      <c r="CB57" s="5">
        <f t="shared" si="113"/>
        <v>65.184897072803139</v>
      </c>
      <c r="CE57" s="562">
        <f t="shared" si="178"/>
        <v>-50</v>
      </c>
      <c r="CF57">
        <f t="shared" si="179"/>
        <v>-50</v>
      </c>
      <c r="CG57" s="173">
        <f t="shared" si="180"/>
        <v>0.39083244491725605</v>
      </c>
      <c r="CI57" s="170">
        <v>52</v>
      </c>
      <c r="CJ57" s="217">
        <f t="shared" si="114"/>
        <v>1.3</v>
      </c>
      <c r="CK57" s="217"/>
      <c r="CL57" s="217">
        <f t="shared" si="49"/>
        <v>36.4</v>
      </c>
      <c r="CM57" s="541">
        <f t="shared" si="50"/>
        <v>28</v>
      </c>
      <c r="CN57" s="172">
        <f t="shared" si="51"/>
        <v>28.4</v>
      </c>
      <c r="CO57" s="443">
        <f t="shared" si="52"/>
        <v>56.4</v>
      </c>
      <c r="CP57" s="443"/>
      <c r="CQ57" s="217">
        <f t="shared" si="53"/>
        <v>0.50354609929078009</v>
      </c>
      <c r="CR57" s="172">
        <f t="shared" si="54"/>
        <v>118.75402645742166</v>
      </c>
      <c r="CS57" s="172">
        <f t="shared" si="115"/>
        <v>36.4</v>
      </c>
      <c r="CT57" s="217">
        <f t="shared" si="55"/>
        <v>4.2412152306222017</v>
      </c>
      <c r="CU57" s="217">
        <f t="shared" si="56"/>
        <v>28</v>
      </c>
      <c r="CV57" s="217">
        <f t="shared" si="57"/>
        <v>4.1962174940898347</v>
      </c>
      <c r="CW57" s="172">
        <f t="shared" si="58"/>
        <v>151.56088266528403</v>
      </c>
      <c r="CX57" s="172">
        <f t="shared" si="59"/>
        <v>28</v>
      </c>
      <c r="CY57" s="217">
        <f t="shared" si="60"/>
        <v>5.1633802816901415</v>
      </c>
      <c r="CZ57" s="217">
        <f t="shared" si="61"/>
        <v>0.86671026156941655</v>
      </c>
      <c r="DA57" s="217">
        <f t="shared" si="62"/>
        <v>0.85450307478674881</v>
      </c>
      <c r="DB57" s="197">
        <f t="shared" si="63"/>
        <v>350</v>
      </c>
      <c r="DC57" s="443">
        <f t="shared" si="116"/>
        <v>350</v>
      </c>
      <c r="DE57" s="217">
        <f t="shared" si="64"/>
        <v>8.5709974347366842</v>
      </c>
      <c r="DF57" s="173">
        <f t="shared" si="65"/>
        <v>1.418439716312057</v>
      </c>
      <c r="DG57" s="173">
        <f t="shared" si="66"/>
        <v>2.1275525547218721</v>
      </c>
      <c r="DH57" s="173"/>
      <c r="DI57" s="173">
        <f t="shared" si="67"/>
        <v>0.55164319248826299</v>
      </c>
      <c r="DJ57" s="545">
        <f t="shared" si="117"/>
        <v>1413.9574468085104</v>
      </c>
      <c r="DK57" s="528">
        <f t="shared" si="68"/>
        <v>0.3217918622848201</v>
      </c>
      <c r="DM57" s="173">
        <f t="shared" si="69"/>
        <v>6.6998162656837819</v>
      </c>
      <c r="DN57" s="173">
        <f t="shared" si="70"/>
        <v>6.6998162656837819</v>
      </c>
      <c r="DO57" s="173">
        <f t="shared" si="71"/>
        <v>3.6936910610003322</v>
      </c>
      <c r="DQ57" s="545">
        <f t="shared" si="72"/>
        <v>1300</v>
      </c>
      <c r="DR57" s="460">
        <f t="shared" si="73"/>
        <v>350</v>
      </c>
      <c r="DT57">
        <f t="shared" si="74"/>
        <v>1300</v>
      </c>
      <c r="DU57" s="460">
        <f t="shared" si="75"/>
        <v>350</v>
      </c>
      <c r="DV57" s="460"/>
      <c r="DW57" s="5">
        <f t="shared" si="118"/>
        <v>2.8571428571428572</v>
      </c>
      <c r="DX57" s="5">
        <f t="shared" si="76"/>
        <v>1.1246120160254918</v>
      </c>
      <c r="DY57" s="5">
        <f t="shared" si="119"/>
        <v>1.7325308411173654</v>
      </c>
      <c r="DZ57" s="5">
        <f t="shared" si="77"/>
        <v>1.1087724101659779</v>
      </c>
      <c r="EA57" s="173">
        <f t="shared" si="120"/>
        <v>0.39361420560892213</v>
      </c>
      <c r="EB57" s="173">
        <f t="shared" si="78"/>
        <v>36.920000000000009</v>
      </c>
      <c r="EC57" s="173">
        <f t="shared" si="79"/>
        <v>2.0313367042704624</v>
      </c>
      <c r="ED57" s="173">
        <f t="shared" si="121"/>
        <v>18.175224187296667</v>
      </c>
      <c r="EE57" s="460">
        <f t="shared" si="80"/>
        <v>5.2214129315469267</v>
      </c>
      <c r="EF57" s="5">
        <f t="shared" si="81"/>
        <v>1.6087786381804108</v>
      </c>
      <c r="EG57" s="5"/>
      <c r="EH57" s="173">
        <f t="shared" si="122"/>
        <v>2.4268204582139647</v>
      </c>
      <c r="EI57" s="173">
        <f t="shared" si="82"/>
        <v>3.0121512459095552</v>
      </c>
      <c r="EJ57" s="173"/>
      <c r="EK57" s="528">
        <f t="shared" si="83"/>
        <v>7.0673490436870059E-2</v>
      </c>
      <c r="EL57" s="528">
        <f t="shared" si="84"/>
        <v>2.5128330886073593</v>
      </c>
      <c r="EM57" s="528">
        <f t="shared" si="85"/>
        <v>4.0250000000000001E-2</v>
      </c>
      <c r="EN57" s="528">
        <f t="shared" si="86"/>
        <v>0.54831797999999998</v>
      </c>
      <c r="EO57">
        <f t="shared" si="87"/>
        <v>1.26E-2</v>
      </c>
      <c r="EP57" s="460">
        <f t="shared" si="123"/>
        <v>52.85</v>
      </c>
      <c r="EQ57" s="528">
        <f t="shared" si="88"/>
        <v>3.2584727452972717</v>
      </c>
      <c r="ER57" s="460">
        <f t="shared" si="124"/>
        <v>3258.4727452972716</v>
      </c>
      <c r="ES57" s="528">
        <f t="shared" si="125"/>
        <v>0.87177999999999989</v>
      </c>
      <c r="ET57" s="528"/>
      <c r="EV57" s="460">
        <f t="shared" si="126"/>
        <v>871.77999999999986</v>
      </c>
      <c r="EW57" s="528">
        <f t="shared" si="89"/>
        <v>8.2452405509681734E-2</v>
      </c>
      <c r="EX57" s="528">
        <f t="shared" si="90"/>
        <v>0.12702277179528282</v>
      </c>
      <c r="EY57" s="528">
        <f t="shared" si="91"/>
        <v>13.313656489697086</v>
      </c>
      <c r="EZ57" s="528">
        <f t="shared" si="92"/>
        <v>13.80474583608841</v>
      </c>
      <c r="FA57" s="528">
        <f t="shared" si="93"/>
        <v>1.5710638297872344</v>
      </c>
      <c r="FB57" s="460">
        <f t="shared" si="127"/>
        <v>15375.809665875644</v>
      </c>
      <c r="FC57" s="173">
        <f t="shared" si="128"/>
        <v>19.506062411172916</v>
      </c>
      <c r="FD57" s="5">
        <f t="shared" si="129"/>
        <v>36.4</v>
      </c>
      <c r="FE57" s="173">
        <f t="shared" si="130"/>
        <v>0.65109217909658046</v>
      </c>
      <c r="FF57" s="5">
        <f t="shared" si="131"/>
        <v>65.109217909658042</v>
      </c>
      <c r="FI57" s="562">
        <f t="shared" si="94"/>
        <v>-50</v>
      </c>
      <c r="FJ57">
        <f t="shared" si="95"/>
        <v>-50</v>
      </c>
      <c r="FL57">
        <f t="shared" si="181"/>
        <v>0.38807034355809233</v>
      </c>
    </row>
    <row r="58" spans="5:168">
      <c r="E58" s="170">
        <v>53</v>
      </c>
      <c r="F58" s="217">
        <f t="shared" si="182"/>
        <v>1.3250000000000002</v>
      </c>
      <c r="G58" s="217"/>
      <c r="H58" s="217">
        <f t="shared" si="132"/>
        <v>37.100000000000009</v>
      </c>
      <c r="I58" s="541">
        <f t="shared" si="133"/>
        <v>27.912690328580368</v>
      </c>
      <c r="J58" s="172">
        <f t="shared" si="134"/>
        <v>28.447012899995187</v>
      </c>
      <c r="K58" s="172">
        <f t="shared" si="135"/>
        <v>56.447012899995187</v>
      </c>
      <c r="L58" s="443"/>
      <c r="M58" s="217">
        <f t="shared" si="136"/>
        <v>0.50474322948916006</v>
      </c>
      <c r="N58" s="172">
        <f t="shared" si="137"/>
        <v>118.66517275253891</v>
      </c>
      <c r="O58" s="172">
        <f t="shared" si="98"/>
        <v>37.100000000000009</v>
      </c>
      <c r="P58" s="217">
        <f t="shared" si="138"/>
        <v>4.2380418840192471</v>
      </c>
      <c r="Q58" s="217">
        <f t="shared" si="139"/>
        <v>28</v>
      </c>
      <c r="R58" s="217">
        <f t="shared" si="140"/>
        <v>4.1930778155293149</v>
      </c>
      <c r="S58" s="172">
        <f t="shared" si="141"/>
        <v>147.71420270811331</v>
      </c>
      <c r="T58" s="172">
        <f t="shared" si="142"/>
        <v>28</v>
      </c>
      <c r="U58" s="217">
        <f t="shared" si="143"/>
        <v>5.3507597629944934</v>
      </c>
      <c r="V58" s="217">
        <f t="shared" si="11"/>
        <v>0.90097266118142649</v>
      </c>
      <c r="W58" s="217">
        <f t="shared" si="144"/>
        <v>0.88404961795051507</v>
      </c>
      <c r="X58" s="197">
        <f t="shared" si="145"/>
        <v>350</v>
      </c>
      <c r="Y58" s="443">
        <f t="shared" si="14"/>
        <v>350</v>
      </c>
      <c r="AA58" s="217">
        <f t="shared" si="146"/>
        <v>8.5645345808017801</v>
      </c>
      <c r="AB58" s="173">
        <f t="shared" si="147"/>
        <v>1.4150277454887072</v>
      </c>
      <c r="AC58" s="173">
        <f t="shared" si="148"/>
        <v>2.1208344603306024</v>
      </c>
      <c r="AD58" s="173"/>
      <c r="AE58" s="173">
        <f t="shared" si="149"/>
        <v>0.55073152044970308</v>
      </c>
      <c r="AF58" s="545">
        <f t="shared" si="150"/>
        <v>1443.5345907763515</v>
      </c>
      <c r="AG58" s="528">
        <f t="shared" si="151"/>
        <v>0.32126005359566018</v>
      </c>
      <c r="AI58" s="173">
        <f t="shared" si="152"/>
        <v>6.7695269365946835</v>
      </c>
      <c r="AJ58" s="173">
        <f t="shared" si="153"/>
        <v>6.7695269365946835</v>
      </c>
      <c r="AK58" s="173">
        <f t="shared" si="154"/>
        <v>3.7453285950084076</v>
      </c>
      <c r="AM58" s="545">
        <f t="shared" si="155"/>
        <v>1325.0000000000002</v>
      </c>
      <c r="AN58" s="460">
        <f t="shared" si="156"/>
        <v>350</v>
      </c>
      <c r="AP58">
        <f t="shared" si="157"/>
        <v>1325.0000000000002</v>
      </c>
      <c r="AQ58" s="460">
        <f t="shared" si="158"/>
        <v>350</v>
      </c>
      <c r="AR58" s="460"/>
      <c r="AS58" s="5">
        <f t="shared" si="101"/>
        <v>2.8571428571428572</v>
      </c>
      <c r="AT58" s="5">
        <f t="shared" si="159"/>
        <v>1.1398677887174915</v>
      </c>
      <c r="AU58" s="5">
        <f t="shared" si="102"/>
        <v>1.7172750684253657</v>
      </c>
      <c r="AV58" s="5">
        <f t="shared" si="160"/>
        <v>1.1184575587548033</v>
      </c>
      <c r="AW58" s="173">
        <f t="shared" si="103"/>
        <v>0.398953726051122</v>
      </c>
      <c r="AX58" s="173">
        <f t="shared" si="161"/>
        <v>37.692292092493616</v>
      </c>
      <c r="AY58" s="173">
        <f t="shared" si="162"/>
        <v>2.0343994708183986</v>
      </c>
      <c r="AZ58" s="173">
        <f t="shared" si="104"/>
        <v>18.527478321320423</v>
      </c>
      <c r="BA58" s="460">
        <f t="shared" si="163"/>
        <v>5.3940172144667011</v>
      </c>
      <c r="BB58" s="5">
        <f t="shared" si="164"/>
        <v>1.6303619886713625</v>
      </c>
      <c r="BC58" s="5"/>
      <c r="BD58" s="173">
        <f t="shared" si="105"/>
        <v>2.4686467892540347</v>
      </c>
      <c r="BE58" s="173">
        <f t="shared" si="165"/>
        <v>3.0300629275642796</v>
      </c>
      <c r="BF58" s="173"/>
      <c r="BG58" s="528">
        <f t="shared" si="166"/>
        <v>7.3130603641131053E-2</v>
      </c>
      <c r="BH58" s="528">
        <f t="shared" si="167"/>
        <v>2.4407887809487199</v>
      </c>
      <c r="BI58" s="528">
        <f t="shared" si="168"/>
        <v>4.0250000000000001E-2</v>
      </c>
      <c r="BJ58" s="528">
        <f t="shared" si="169"/>
        <v>0.54923247511164197</v>
      </c>
      <c r="BK58">
        <f t="shared" si="170"/>
        <v>1.2560710647861165E-2</v>
      </c>
      <c r="BL58" s="460">
        <f t="shared" si="106"/>
        <v>52.810710647861164</v>
      </c>
      <c r="BM58" s="528">
        <f t="shared" si="171"/>
        <v>3.1374122693886388</v>
      </c>
      <c r="BN58" s="460">
        <f t="shared" si="107"/>
        <v>3137.4122693886388</v>
      </c>
      <c r="BO58" s="528">
        <f t="shared" si="172"/>
        <v>0.88854500000000003</v>
      </c>
      <c r="BP58" s="528"/>
      <c r="BR58" s="460">
        <f t="shared" si="109"/>
        <v>888.54500000000007</v>
      </c>
      <c r="BS58" s="528">
        <f t="shared" si="173"/>
        <v>8.5319037581319562E-2</v>
      </c>
      <c r="BT58" s="528">
        <f t="shared" si="174"/>
        <v>0.12853793882999179</v>
      </c>
      <c r="BU58" s="528">
        <f t="shared" si="175"/>
        <v>13.662680637601959</v>
      </c>
      <c r="BV58" s="528">
        <f t="shared" si="176"/>
        <v>14.170296631753439</v>
      </c>
      <c r="BW58" s="528">
        <f t="shared" si="177"/>
        <v>1.6039273230848352</v>
      </c>
      <c r="BX58" s="460">
        <f t="shared" si="110"/>
        <v>15774.223954838275</v>
      </c>
      <c r="BY58" s="173">
        <f t="shared" si="45"/>
        <v>19.852991934874776</v>
      </c>
      <c r="BZ58" s="5">
        <f t="shared" si="111"/>
        <v>37.100000000000009</v>
      </c>
      <c r="CA58" s="173">
        <f t="shared" si="112"/>
        <v>0.65141441633871511</v>
      </c>
      <c r="CB58" s="5">
        <f t="shared" si="113"/>
        <v>65.141441633871509</v>
      </c>
      <c r="CE58" s="562">
        <f t="shared" si="178"/>
        <v>-50</v>
      </c>
      <c r="CF58">
        <f t="shared" si="179"/>
        <v>-50</v>
      </c>
      <c r="CG58" s="173">
        <f t="shared" si="180"/>
        <v>0.39457255353103315</v>
      </c>
      <c r="CI58" s="170">
        <v>53</v>
      </c>
      <c r="CJ58" s="217">
        <f t="shared" si="114"/>
        <v>1.3250000000000002</v>
      </c>
      <c r="CK58" s="217"/>
      <c r="CL58" s="217">
        <f t="shared" si="49"/>
        <v>37.100000000000009</v>
      </c>
      <c r="CM58" s="541">
        <f t="shared" si="50"/>
        <v>28</v>
      </c>
      <c r="CN58" s="172">
        <f t="shared" si="51"/>
        <v>28.4</v>
      </c>
      <c r="CO58" s="443">
        <f t="shared" si="52"/>
        <v>56.4</v>
      </c>
      <c r="CP58" s="443"/>
      <c r="CQ58" s="217">
        <f t="shared" si="53"/>
        <v>0.50354609929078009</v>
      </c>
      <c r="CR58" s="172">
        <f t="shared" si="54"/>
        <v>118.75402645742166</v>
      </c>
      <c r="CS58" s="172">
        <f t="shared" si="115"/>
        <v>37.100000000000009</v>
      </c>
      <c r="CT58" s="217">
        <f t="shared" si="55"/>
        <v>4.2412152306222017</v>
      </c>
      <c r="CU58" s="217">
        <f t="shared" si="56"/>
        <v>28</v>
      </c>
      <c r="CV58" s="217">
        <f t="shared" si="57"/>
        <v>4.1962174940898347</v>
      </c>
      <c r="CW58" s="172">
        <f t="shared" si="58"/>
        <v>148.17601122105378</v>
      </c>
      <c r="CX58" s="172">
        <f t="shared" si="59"/>
        <v>28</v>
      </c>
      <c r="CY58" s="217">
        <f t="shared" si="60"/>
        <v>5.2626760563380302</v>
      </c>
      <c r="CZ58" s="217">
        <f t="shared" si="61"/>
        <v>0.88337776659959788</v>
      </c>
      <c r="DA58" s="217">
        <f t="shared" si="62"/>
        <v>0.8709358262249558</v>
      </c>
      <c r="DB58" s="197">
        <f t="shared" si="63"/>
        <v>350</v>
      </c>
      <c r="DC58" s="443">
        <f t="shared" si="116"/>
        <v>350</v>
      </c>
      <c r="DE58" s="217">
        <f t="shared" si="64"/>
        <v>8.5709974347366842</v>
      </c>
      <c r="DF58" s="173">
        <f t="shared" si="65"/>
        <v>1.418439716312057</v>
      </c>
      <c r="DG58" s="173">
        <f t="shared" si="66"/>
        <v>2.1275525547218721</v>
      </c>
      <c r="DH58" s="173"/>
      <c r="DI58" s="173">
        <f t="shared" si="67"/>
        <v>0.55164319248826299</v>
      </c>
      <c r="DJ58" s="545">
        <f t="shared" si="117"/>
        <v>1441.1489361702127</v>
      </c>
      <c r="DK58" s="528">
        <f t="shared" si="68"/>
        <v>0.3217918622848201</v>
      </c>
      <c r="DM58" s="173">
        <f t="shared" si="69"/>
        <v>6.7639308008301988</v>
      </c>
      <c r="DN58" s="173">
        <f t="shared" si="70"/>
        <v>6.7639308008301988</v>
      </c>
      <c r="DO58" s="173">
        <f t="shared" si="71"/>
        <v>3.7411833092569369</v>
      </c>
      <c r="DQ58" s="545">
        <f t="shared" si="72"/>
        <v>1325.0000000000002</v>
      </c>
      <c r="DR58" s="460">
        <f t="shared" si="73"/>
        <v>350</v>
      </c>
      <c r="DT58">
        <f t="shared" si="74"/>
        <v>1325.0000000000002</v>
      </c>
      <c r="DU58" s="460">
        <f t="shared" si="75"/>
        <v>350</v>
      </c>
      <c r="DV58" s="460"/>
      <c r="DW58" s="5">
        <f t="shared" si="118"/>
        <v>2.8571428571428572</v>
      </c>
      <c r="DX58" s="5">
        <f t="shared" si="76"/>
        <v>1.1353740987107832</v>
      </c>
      <c r="DY58" s="5">
        <f t="shared" si="119"/>
        <v>1.721768758432074</v>
      </c>
      <c r="DZ58" s="5">
        <f t="shared" si="77"/>
        <v>1.119382914221899</v>
      </c>
      <c r="EA58" s="173">
        <f t="shared" si="120"/>
        <v>0.3973809345487741</v>
      </c>
      <c r="EB58" s="173">
        <f t="shared" si="78"/>
        <v>37.629999999999995</v>
      </c>
      <c r="EC58" s="173">
        <f t="shared" si="79"/>
        <v>2.0380368289865283</v>
      </c>
      <c r="ED58" s="173">
        <f t="shared" si="121"/>
        <v>18.463846906394025</v>
      </c>
      <c r="EE58" s="460">
        <f t="shared" si="80"/>
        <v>5.3727524313992436</v>
      </c>
      <c r="EF58" s="5">
        <f t="shared" si="81"/>
        <v>1.6295311463732134</v>
      </c>
      <c r="EG58" s="5"/>
      <c r="EH58" s="173">
        <f t="shared" si="122"/>
        <v>2.4617392034090368</v>
      </c>
      <c r="EI58" s="173">
        <f t="shared" si="82"/>
        <v>3.0315166810040028</v>
      </c>
      <c r="EJ58" s="173"/>
      <c r="EK58" s="528">
        <f t="shared" si="83"/>
        <v>7.2721918867211507E-2</v>
      </c>
      <c r="EL58" s="528">
        <f t="shared" si="84"/>
        <v>2.5368798861593747</v>
      </c>
      <c r="EM58" s="528">
        <f t="shared" si="85"/>
        <v>4.0250000000000001E-2</v>
      </c>
      <c r="EN58" s="528">
        <f t="shared" si="86"/>
        <v>0.54831797999999998</v>
      </c>
      <c r="EO58">
        <f t="shared" si="87"/>
        <v>1.26E-2</v>
      </c>
      <c r="EP58" s="460">
        <f t="shared" si="123"/>
        <v>52.85</v>
      </c>
      <c r="EQ58" s="528">
        <f t="shared" si="88"/>
        <v>3.2872033962312801</v>
      </c>
      <c r="ER58" s="460">
        <f t="shared" si="124"/>
        <v>3287.2033962312803</v>
      </c>
      <c r="ES58" s="528">
        <f t="shared" si="125"/>
        <v>0.88854500000000003</v>
      </c>
      <c r="ET58" s="528"/>
      <c r="EV58" s="460">
        <f t="shared" si="126"/>
        <v>888.54500000000007</v>
      </c>
      <c r="EW58" s="528">
        <f t="shared" si="89"/>
        <v>8.4842238678413437E-2</v>
      </c>
      <c r="EX58" s="528">
        <f t="shared" si="90"/>
        <v>0.12866130742087736</v>
      </c>
      <c r="EY58" s="528">
        <f t="shared" si="91"/>
        <v>13.634461967758515</v>
      </c>
      <c r="EZ58" s="528">
        <f t="shared" si="92"/>
        <v>14.14073411516442</v>
      </c>
      <c r="FA58" s="528">
        <f t="shared" si="93"/>
        <v>1.6012765957446811</v>
      </c>
      <c r="FB58" s="460">
        <f t="shared" si="127"/>
        <v>15742.0107109091</v>
      </c>
      <c r="FC58" s="173">
        <f t="shared" si="128"/>
        <v>19.917759107140384</v>
      </c>
      <c r="FD58" s="5">
        <f t="shared" si="129"/>
        <v>37.100000000000009</v>
      </c>
      <c r="FE58" s="173">
        <f t="shared" si="130"/>
        <v>0.65067446670933682</v>
      </c>
      <c r="FF58" s="5">
        <f t="shared" si="131"/>
        <v>65.067446670933677</v>
      </c>
      <c r="FI58" s="562">
        <f t="shared" si="94"/>
        <v>-50</v>
      </c>
      <c r="FJ58">
        <f t="shared" si="95"/>
        <v>-50</v>
      </c>
      <c r="FL58">
        <f t="shared" si="181"/>
        <v>0.39178401997766471</v>
      </c>
    </row>
    <row r="59" spans="5:168">
      <c r="E59" s="170">
        <v>54</v>
      </c>
      <c r="F59" s="217">
        <f t="shared" si="182"/>
        <v>1.35</v>
      </c>
      <c r="G59" s="217"/>
      <c r="H59" s="217">
        <f t="shared" si="132"/>
        <v>37.800000000000004</v>
      </c>
      <c r="I59" s="541">
        <f t="shared" si="133"/>
        <v>27.911870501472897</v>
      </c>
      <c r="J59" s="172">
        <f t="shared" si="134"/>
        <v>28.447454345360747</v>
      </c>
      <c r="K59" s="172">
        <f t="shared" si="135"/>
        <v>56.447454345360747</v>
      </c>
      <c r="L59" s="443"/>
      <c r="M59" s="217">
        <f t="shared" si="136"/>
        <v>0.5047544784401865</v>
      </c>
      <c r="N59" s="172">
        <f t="shared" si="137"/>
        <v>118.66433197454708</v>
      </c>
      <c r="O59" s="172">
        <f t="shared" si="98"/>
        <v>37.800000000000004</v>
      </c>
      <c r="P59" s="217">
        <f t="shared" si="138"/>
        <v>4.2380118562338245</v>
      </c>
      <c r="Q59" s="217">
        <f t="shared" si="139"/>
        <v>28</v>
      </c>
      <c r="R59" s="217">
        <f t="shared" si="140"/>
        <v>4.1930481063276721</v>
      </c>
      <c r="S59" s="172">
        <f t="shared" si="141"/>
        <v>144.46069872789556</v>
      </c>
      <c r="T59" s="172">
        <f t="shared" si="142"/>
        <v>28</v>
      </c>
      <c r="U59" s="217">
        <f t="shared" si="143"/>
        <v>5.4518413240692087</v>
      </c>
      <c r="V59" s="217">
        <f t="shared" si="11"/>
        <v>0.91801995934930736</v>
      </c>
      <c r="W59" s="217">
        <f t="shared" si="144"/>
        <v>0.90073628072467671</v>
      </c>
      <c r="X59" s="197">
        <f t="shared" si="145"/>
        <v>350</v>
      </c>
      <c r="Y59" s="443">
        <f t="shared" si="14"/>
        <v>350</v>
      </c>
      <c r="AA59" s="217">
        <f t="shared" si="146"/>
        <v>8.5644734319685192</v>
      </c>
      <c r="AB59" s="173">
        <f t="shared" si="147"/>
        <v>1.414995684378928</v>
      </c>
      <c r="AC59" s="173">
        <f t="shared" si="148"/>
        <v>2.1207712654123521</v>
      </c>
      <c r="AD59" s="173"/>
      <c r="AE59" s="173">
        <f t="shared" si="149"/>
        <v>0.55072297424115946</v>
      </c>
      <c r="AF59" s="545">
        <f t="shared" si="150"/>
        <v>1470.7939161537579</v>
      </c>
      <c r="AG59" s="528">
        <f t="shared" si="151"/>
        <v>0.32125506830734302</v>
      </c>
      <c r="AI59" s="173">
        <f t="shared" si="152"/>
        <v>6.8331449826626356</v>
      </c>
      <c r="AJ59" s="173">
        <f t="shared" si="153"/>
        <v>6.8331449826626356</v>
      </c>
      <c r="AK59" s="173">
        <f t="shared" si="154"/>
        <v>3.7924530735772608</v>
      </c>
      <c r="AM59" s="545">
        <f t="shared" si="155"/>
        <v>1350</v>
      </c>
      <c r="AN59" s="460">
        <f t="shared" si="156"/>
        <v>350</v>
      </c>
      <c r="AP59">
        <f t="shared" si="157"/>
        <v>1350</v>
      </c>
      <c r="AQ59" s="460">
        <f t="shared" si="158"/>
        <v>350</v>
      </c>
      <c r="AR59" s="460"/>
      <c r="AS59" s="5">
        <f t="shared" si="101"/>
        <v>2.8571428571428572</v>
      </c>
      <c r="AT59" s="5">
        <f t="shared" si="159"/>
        <v>1.1506137296251662</v>
      </c>
      <c r="AU59" s="5">
        <f t="shared" si="102"/>
        <v>1.706529127517691</v>
      </c>
      <c r="AV59" s="5">
        <f t="shared" si="160"/>
        <v>1.128950978481907</v>
      </c>
      <c r="AW59" s="173">
        <f t="shared" si="103"/>
        <v>0.40271480536880816</v>
      </c>
      <c r="AX59" s="173">
        <f t="shared" si="161"/>
        <v>38.404063366237011</v>
      </c>
      <c r="AY59" s="173">
        <f t="shared" si="162"/>
        <v>2.0406681654564025</v>
      </c>
      <c r="AZ59" s="173">
        <f t="shared" si="104"/>
        <v>18.819357314592011</v>
      </c>
      <c r="BA59" s="460">
        <f t="shared" si="163"/>
        <v>5.5476019106927659</v>
      </c>
      <c r="BB59" s="5">
        <f t="shared" si="164"/>
        <v>1.650777451140232</v>
      </c>
      <c r="BC59" s="5"/>
      <c r="BD59" s="173">
        <f t="shared" si="105"/>
        <v>2.5035646241543938</v>
      </c>
      <c r="BE59" s="173">
        <f t="shared" si="165"/>
        <v>3.048954075970729</v>
      </c>
      <c r="BF59" s="173"/>
      <c r="BG59" s="528">
        <f t="shared" si="166"/>
        <v>7.5214029927807971E-2</v>
      </c>
      <c r="BH59" s="528">
        <f t="shared" si="167"/>
        <v>2.4637458719490613</v>
      </c>
      <c r="BI59" s="528">
        <f t="shared" si="168"/>
        <v>4.0250000000000001E-2</v>
      </c>
      <c r="BJ59" s="528">
        <f t="shared" si="169"/>
        <v>0.54924106571958964</v>
      </c>
      <c r="BK59">
        <f t="shared" si="170"/>
        <v>1.2560341725662803E-2</v>
      </c>
      <c r="BL59" s="460">
        <f t="shared" si="106"/>
        <v>52.810341725662802</v>
      </c>
      <c r="BM59" s="528">
        <f t="shared" si="171"/>
        <v>3.1650712808891259</v>
      </c>
      <c r="BN59" s="460">
        <f t="shared" si="107"/>
        <v>3165.0712808891258</v>
      </c>
      <c r="BO59" s="528">
        <f t="shared" si="172"/>
        <v>0.90530999999999995</v>
      </c>
      <c r="BP59" s="528"/>
      <c r="BR59" s="460">
        <f t="shared" si="109"/>
        <v>905.31</v>
      </c>
      <c r="BS59" s="528">
        <f t="shared" si="173"/>
        <v>8.7749701582442635E-2</v>
      </c>
      <c r="BT59" s="528">
        <f t="shared" si="174"/>
        <v>0.13014569340329932</v>
      </c>
      <c r="BU59" s="528">
        <f t="shared" si="175"/>
        <v>13.985941389939097</v>
      </c>
      <c r="BV59" s="528">
        <f t="shared" si="176"/>
        <v>14.509048060359754</v>
      </c>
      <c r="BW59" s="528">
        <f t="shared" si="177"/>
        <v>1.6342154623930643</v>
      </c>
      <c r="BX59" s="460">
        <f t="shared" si="110"/>
        <v>16143.263522752819</v>
      </c>
      <c r="BY59" s="173">
        <f t="shared" si="45"/>
        <v>20.266455145367608</v>
      </c>
      <c r="BZ59" s="5">
        <f t="shared" si="111"/>
        <v>37.800000000000004</v>
      </c>
      <c r="CA59" s="173">
        <f t="shared" si="112"/>
        <v>0.65097826112113866</v>
      </c>
      <c r="CB59" s="5">
        <f t="shared" si="113"/>
        <v>65.097826112113864</v>
      </c>
      <c r="CE59" s="562">
        <f t="shared" si="178"/>
        <v>-50</v>
      </c>
      <c r="CF59">
        <f t="shared" si="179"/>
        <v>-50</v>
      </c>
      <c r="CG59" s="173">
        <f t="shared" si="180"/>
        <v>0.39827754142055261</v>
      </c>
      <c r="CI59" s="170">
        <v>54</v>
      </c>
      <c r="CJ59" s="217">
        <f t="shared" si="114"/>
        <v>1.35</v>
      </c>
      <c r="CK59" s="217"/>
      <c r="CL59" s="217">
        <f t="shared" si="49"/>
        <v>37.800000000000004</v>
      </c>
      <c r="CM59" s="541">
        <f t="shared" si="50"/>
        <v>28</v>
      </c>
      <c r="CN59" s="172">
        <f t="shared" si="51"/>
        <v>28.4</v>
      </c>
      <c r="CO59" s="443">
        <f t="shared" si="52"/>
        <v>56.4</v>
      </c>
      <c r="CP59" s="443"/>
      <c r="CQ59" s="217">
        <f t="shared" si="53"/>
        <v>0.50354609929078009</v>
      </c>
      <c r="CR59" s="172">
        <f t="shared" si="54"/>
        <v>118.75402645742166</v>
      </c>
      <c r="CS59" s="172">
        <f t="shared" si="115"/>
        <v>37.800000000000004</v>
      </c>
      <c r="CT59" s="217">
        <f t="shared" si="55"/>
        <v>4.2412152306222017</v>
      </c>
      <c r="CU59" s="217">
        <f t="shared" si="56"/>
        <v>28</v>
      </c>
      <c r="CV59" s="217">
        <f t="shared" si="57"/>
        <v>4.1962174940898347</v>
      </c>
      <c r="CW59" s="172">
        <f t="shared" si="58"/>
        <v>144.91657927802575</v>
      </c>
      <c r="CX59" s="172">
        <f t="shared" si="59"/>
        <v>28</v>
      </c>
      <c r="CY59" s="217">
        <f t="shared" si="60"/>
        <v>5.361971830985917</v>
      </c>
      <c r="CZ59" s="217">
        <f t="shared" si="61"/>
        <v>0.90004527162977888</v>
      </c>
      <c r="DA59" s="217">
        <f t="shared" si="62"/>
        <v>0.88736857766316246</v>
      </c>
      <c r="DB59" s="197">
        <f t="shared" si="63"/>
        <v>350</v>
      </c>
      <c r="DC59" s="443">
        <f t="shared" si="116"/>
        <v>350</v>
      </c>
      <c r="DE59" s="217">
        <f t="shared" si="64"/>
        <v>8.5709974347366842</v>
      </c>
      <c r="DF59" s="173">
        <f t="shared" si="65"/>
        <v>1.418439716312057</v>
      </c>
      <c r="DG59" s="173">
        <f t="shared" si="66"/>
        <v>2.1275525547218721</v>
      </c>
      <c r="DH59" s="173"/>
      <c r="DI59" s="173">
        <f t="shared" si="67"/>
        <v>0.55164319248826299</v>
      </c>
      <c r="DJ59" s="545">
        <f t="shared" si="117"/>
        <v>1468.3404255319149</v>
      </c>
      <c r="DK59" s="528">
        <f t="shared" si="68"/>
        <v>0.3217918622848201</v>
      </c>
      <c r="DM59" s="173">
        <f t="shared" si="69"/>
        <v>6.8274432815599386</v>
      </c>
      <c r="DN59" s="173">
        <f t="shared" si="70"/>
        <v>6.8274432815599386</v>
      </c>
      <c r="DO59" s="173">
        <f t="shared" si="71"/>
        <v>3.7882295912789665</v>
      </c>
      <c r="DQ59" s="545">
        <f t="shared" si="72"/>
        <v>1350</v>
      </c>
      <c r="DR59" s="460">
        <f t="shared" si="73"/>
        <v>350</v>
      </c>
      <c r="DT59">
        <f t="shared" si="74"/>
        <v>1350</v>
      </c>
      <c r="DU59" s="460">
        <f t="shared" si="75"/>
        <v>350</v>
      </c>
      <c r="DV59" s="460"/>
      <c r="DW59" s="5">
        <f t="shared" si="118"/>
        <v>2.8571428571428572</v>
      </c>
      <c r="DX59" s="5">
        <f t="shared" si="76"/>
        <v>1.1460351222618468</v>
      </c>
      <c r="DY59" s="5">
        <f t="shared" si="119"/>
        <v>1.7111077348810104</v>
      </c>
      <c r="DZ59" s="5">
        <f t="shared" si="77"/>
        <v>1.1298937825116799</v>
      </c>
      <c r="EA59" s="173">
        <f t="shared" si="120"/>
        <v>0.40111229279164634</v>
      </c>
      <c r="EB59" s="173">
        <f t="shared" si="78"/>
        <v>38.340000000000003</v>
      </c>
      <c r="EC59" s="173">
        <f t="shared" si="79"/>
        <v>2.0444359264942547</v>
      </c>
      <c r="ED59" s="173">
        <f t="shared" si="121"/>
        <v>18.75333900326455</v>
      </c>
      <c r="EE59" s="460">
        <f t="shared" si="80"/>
        <v>5.5255264823339036</v>
      </c>
      <c r="EF59" s="5">
        <f t="shared" si="81"/>
        <v>1.6499967443495456</v>
      </c>
      <c r="EG59" s="5"/>
      <c r="EH59" s="173">
        <f t="shared" si="122"/>
        <v>2.496493614456885</v>
      </c>
      <c r="EI59" s="173">
        <f t="shared" si="82"/>
        <v>3.0504939852339725</v>
      </c>
      <c r="EJ59" s="173"/>
      <c r="EK59" s="528">
        <f t="shared" si="83"/>
        <v>7.4789764404288028E-2</v>
      </c>
      <c r="EL59" s="528">
        <f t="shared" si="84"/>
        <v>2.5607008771818709</v>
      </c>
      <c r="EM59" s="528">
        <f t="shared" si="85"/>
        <v>4.0250000000000001E-2</v>
      </c>
      <c r="EN59" s="528">
        <f t="shared" si="86"/>
        <v>0.54831797999999998</v>
      </c>
      <c r="EO59">
        <f t="shared" si="87"/>
        <v>1.26E-2</v>
      </c>
      <c r="EP59" s="460">
        <f t="shared" si="123"/>
        <v>52.85</v>
      </c>
      <c r="EQ59" s="528">
        <f t="shared" si="88"/>
        <v>3.3157733089061661</v>
      </c>
      <c r="ER59" s="460">
        <f t="shared" si="124"/>
        <v>3315.7733089061662</v>
      </c>
      <c r="ES59" s="528">
        <f t="shared" si="125"/>
        <v>0.90530999999999995</v>
      </c>
      <c r="ET59" s="528"/>
      <c r="EV59" s="460">
        <f t="shared" si="126"/>
        <v>905.31</v>
      </c>
      <c r="EW59" s="528">
        <f t="shared" si="89"/>
        <v>8.7254725138336028E-2</v>
      </c>
      <c r="EX59" s="528">
        <f t="shared" si="90"/>
        <v>0.13027718975528102</v>
      </c>
      <c r="EY59" s="528">
        <f t="shared" si="91"/>
        <v>13.956784332715031</v>
      </c>
      <c r="EZ59" s="528">
        <f t="shared" si="92"/>
        <v>14.478486539315822</v>
      </c>
      <c r="FA59" s="528">
        <f t="shared" si="93"/>
        <v>1.6314893617021282</v>
      </c>
      <c r="FB59" s="460">
        <f t="shared" si="127"/>
        <v>16109.97590101795</v>
      </c>
      <c r="FC59" s="173">
        <f t="shared" si="128"/>
        <v>20.331059209924117</v>
      </c>
      <c r="FD59" s="5">
        <f t="shared" si="129"/>
        <v>37.800000000000004</v>
      </c>
      <c r="FE59" s="173">
        <f t="shared" si="130"/>
        <v>0.6502547951774944</v>
      </c>
      <c r="FF59" s="5">
        <f t="shared" si="131"/>
        <v>65.025479517749446</v>
      </c>
      <c r="FI59" s="562">
        <f t="shared" si="94"/>
        <v>-50</v>
      </c>
      <c r="FJ59">
        <f t="shared" si="95"/>
        <v>-50</v>
      </c>
      <c r="FL59">
        <f t="shared" si="181"/>
        <v>0.39546282387908804</v>
      </c>
    </row>
    <row r="60" spans="5:168">
      <c r="E60" s="170">
        <v>55</v>
      </c>
      <c r="F60" s="217">
        <f t="shared" si="182"/>
        <v>1.375</v>
      </c>
      <c r="G60" s="217"/>
      <c r="H60" s="217">
        <f t="shared" si="132"/>
        <v>38.5</v>
      </c>
      <c r="I60" s="541">
        <f t="shared" si="133"/>
        <v>27.911058230859329</v>
      </c>
      <c r="J60" s="172">
        <f t="shared" si="134"/>
        <v>28.447891721844975</v>
      </c>
      <c r="K60" s="172">
        <f t="shared" si="135"/>
        <v>56.447891721844975</v>
      </c>
      <c r="L60" s="443"/>
      <c r="M60" s="217">
        <f t="shared" si="136"/>
        <v>0.5047656238553343</v>
      </c>
      <c r="N60" s="172">
        <f t="shared" si="137"/>
        <v>118.66349882767543</v>
      </c>
      <c r="O60" s="172">
        <f t="shared" si="98"/>
        <v>38.5</v>
      </c>
      <c r="P60" s="217">
        <f t="shared" si="138"/>
        <v>4.2379821009884084</v>
      </c>
      <c r="Q60" s="217">
        <f t="shared" si="139"/>
        <v>28</v>
      </c>
      <c r="R60" s="217">
        <f t="shared" si="140"/>
        <v>4.1930186667744858</v>
      </c>
      <c r="S60" s="172">
        <f t="shared" si="141"/>
        <v>141.32564533927473</v>
      </c>
      <c r="T60" s="172">
        <f t="shared" si="142"/>
        <v>28</v>
      </c>
      <c r="U60" s="217">
        <f t="shared" si="143"/>
        <v>5.5529263162391658</v>
      </c>
      <c r="V60" s="217">
        <f t="shared" si="11"/>
        <v>0.93506858358628941</v>
      </c>
      <c r="W60" s="217">
        <f t="shared" si="144"/>
        <v>0.91742312370666801</v>
      </c>
      <c r="X60" s="197">
        <f t="shared" si="145"/>
        <v>350</v>
      </c>
      <c r="Y60" s="443">
        <f t="shared" si="14"/>
        <v>350</v>
      </c>
      <c r="AA60" s="217">
        <f t="shared" si="146"/>
        <v>8.5644128382456088</v>
      </c>
      <c r="AB60" s="173">
        <f t="shared" si="147"/>
        <v>1.4149639183575951</v>
      </c>
      <c r="AC60" s="173">
        <f t="shared" si="148"/>
        <v>2.1207086509063173</v>
      </c>
      <c r="AD60" s="173"/>
      <c r="AE60" s="173">
        <f t="shared" si="149"/>
        <v>0.55071450706613601</v>
      </c>
      <c r="AF60" s="545">
        <f t="shared" si="150"/>
        <v>1498.0538725865172</v>
      </c>
      <c r="AG60" s="528">
        <f t="shared" si="151"/>
        <v>0.3212501291219127</v>
      </c>
      <c r="AI60" s="173">
        <f t="shared" si="152"/>
        <v>6.8961776221612343</v>
      </c>
      <c r="AJ60" s="173">
        <f t="shared" si="153"/>
        <v>6.8961776221612343</v>
      </c>
      <c r="AK60" s="173">
        <f t="shared" si="154"/>
        <v>3.8391439176502971</v>
      </c>
      <c r="AM60" s="545">
        <f t="shared" si="155"/>
        <v>1375</v>
      </c>
      <c r="AN60" s="460">
        <f t="shared" si="156"/>
        <v>350</v>
      </c>
      <c r="AP60">
        <f t="shared" si="157"/>
        <v>1375</v>
      </c>
      <c r="AQ60">
        <f t="shared" si="158"/>
        <v>350</v>
      </c>
      <c r="AS60" s="5">
        <f t="shared" si="101"/>
        <v>2.8571428571428572</v>
      </c>
      <c r="AT60" s="5">
        <f t="shared" si="159"/>
        <v>1.1612614095843221</v>
      </c>
      <c r="AU60" s="5">
        <f t="shared" si="102"/>
        <v>1.6958814475585351</v>
      </c>
      <c r="AV60" s="5">
        <f t="shared" si="160"/>
        <v>1.1393475179487127</v>
      </c>
      <c r="AW60" s="173">
        <f t="shared" si="103"/>
        <v>0.40644149335451274</v>
      </c>
      <c r="AX60" s="173">
        <f t="shared" si="161"/>
        <v>39.115851117536842</v>
      </c>
      <c r="AY60" s="173">
        <f t="shared" si="162"/>
        <v>2.0466424454860248</v>
      </c>
      <c r="AZ60" s="173">
        <f t="shared" si="104"/>
        <v>19.112205555889286</v>
      </c>
      <c r="BA60" s="460">
        <f t="shared" si="163"/>
        <v>5.7026229934944395</v>
      </c>
      <c r="BB60" s="5">
        <f t="shared" si="164"/>
        <v>1.6709054677223483</v>
      </c>
      <c r="BC60" s="5"/>
      <c r="BD60" s="173">
        <f t="shared" si="105"/>
        <v>2.5383226830688308</v>
      </c>
      <c r="BE60" s="173">
        <f t="shared" si="165"/>
        <v>3.0674647330899685</v>
      </c>
      <c r="BF60" s="173"/>
      <c r="BG60" s="528">
        <f t="shared" si="166"/>
        <v>7.7316984520580986E-2</v>
      </c>
      <c r="BH60" s="528">
        <f t="shared" si="167"/>
        <v>2.4864920677499738</v>
      </c>
      <c r="BI60" s="528">
        <f t="shared" si="168"/>
        <v>4.0250000000000001E-2</v>
      </c>
      <c r="BJ60" s="528">
        <f t="shared" si="169"/>
        <v>0.54924957721261558</v>
      </c>
      <c r="BK60">
        <f t="shared" si="170"/>
        <v>1.2559976203886698E-2</v>
      </c>
      <c r="BL60" s="460">
        <f t="shared" si="106"/>
        <v>52.809976203886698</v>
      </c>
      <c r="BM60" s="528">
        <f t="shared" si="171"/>
        <v>3.1925836222926245</v>
      </c>
      <c r="BN60" s="460">
        <f t="shared" si="107"/>
        <v>3192.5836222926246</v>
      </c>
      <c r="BO60" s="528">
        <f t="shared" si="172"/>
        <v>0.92207499999999987</v>
      </c>
      <c r="BP60" s="528"/>
      <c r="BR60" s="460">
        <f t="shared" si="109"/>
        <v>922.07499999999982</v>
      </c>
      <c r="BS60" s="528">
        <f t="shared" si="173"/>
        <v>9.0203148607344477E-2</v>
      </c>
      <c r="BT60" s="528">
        <f t="shared" si="174"/>
        <v>0.13173075844250995</v>
      </c>
      <c r="BU60" s="528">
        <f t="shared" si="175"/>
        <v>14.310711036933316</v>
      </c>
      <c r="BV60" s="528">
        <f t="shared" si="176"/>
        <v>14.849558728603554</v>
      </c>
      <c r="BW60" s="528">
        <f t="shared" si="177"/>
        <v>1.6645043028739084</v>
      </c>
      <c r="BX60" s="460">
        <f t="shared" si="110"/>
        <v>16514.063031477461</v>
      </c>
      <c r="BY60" s="173">
        <f t="shared" si="45"/>
        <v>20.681531629973971</v>
      </c>
      <c r="BZ60" s="5">
        <f t="shared" si="111"/>
        <v>38.5</v>
      </c>
      <c r="CA60" s="173">
        <f t="shared" si="112"/>
        <v>0.65054078425541639</v>
      </c>
      <c r="CB60" s="5">
        <f t="shared" si="113"/>
        <v>65.054078425541633</v>
      </c>
      <c r="CE60" s="562">
        <f t="shared" si="178"/>
        <v>-50</v>
      </c>
      <c r="CF60">
        <f t="shared" si="179"/>
        <v>-50</v>
      </c>
      <c r="CG60" s="173">
        <f t="shared" si="180"/>
        <v>0.4019483797703382</v>
      </c>
      <c r="CI60" s="170">
        <v>55</v>
      </c>
      <c r="CJ60" s="217">
        <f t="shared" si="114"/>
        <v>1.375</v>
      </c>
      <c r="CK60" s="217"/>
      <c r="CL60" s="217">
        <f t="shared" si="49"/>
        <v>38.5</v>
      </c>
      <c r="CM60" s="541">
        <f t="shared" si="50"/>
        <v>28</v>
      </c>
      <c r="CN60" s="172">
        <f t="shared" si="51"/>
        <v>28.4</v>
      </c>
      <c r="CO60" s="443">
        <f t="shared" si="52"/>
        <v>56.4</v>
      </c>
      <c r="CP60" s="443"/>
      <c r="CQ60" s="217">
        <f t="shared" si="53"/>
        <v>0.50354609929078009</v>
      </c>
      <c r="CR60" s="172">
        <f t="shared" si="54"/>
        <v>118.75402645742166</v>
      </c>
      <c r="CS60" s="172">
        <f t="shared" si="115"/>
        <v>38.5</v>
      </c>
      <c r="CT60" s="217">
        <f t="shared" si="55"/>
        <v>4.2412152306222017</v>
      </c>
      <c r="CU60" s="217">
        <f t="shared" si="56"/>
        <v>28</v>
      </c>
      <c r="CV60" s="217">
        <f t="shared" si="57"/>
        <v>4.1962174940898347</v>
      </c>
      <c r="CW60" s="172">
        <f t="shared" si="58"/>
        <v>141.77574544008488</v>
      </c>
      <c r="CX60" s="172">
        <f t="shared" si="59"/>
        <v>28</v>
      </c>
      <c r="CY60" s="217">
        <f t="shared" si="60"/>
        <v>5.461267605633803</v>
      </c>
      <c r="CZ60" s="217">
        <f t="shared" si="61"/>
        <v>0.91671277665995965</v>
      </c>
      <c r="DA60" s="217">
        <f t="shared" si="62"/>
        <v>0.90380132910136879</v>
      </c>
      <c r="DB60" s="197">
        <f t="shared" si="63"/>
        <v>350</v>
      </c>
      <c r="DC60" s="443">
        <f t="shared" si="116"/>
        <v>350</v>
      </c>
      <c r="DE60" s="217">
        <f t="shared" si="64"/>
        <v>8.5709974347366842</v>
      </c>
      <c r="DF60" s="173">
        <f t="shared" si="65"/>
        <v>1.418439716312057</v>
      </c>
      <c r="DG60" s="173">
        <f t="shared" si="66"/>
        <v>2.1275525547218721</v>
      </c>
      <c r="DH60" s="173"/>
      <c r="DI60" s="173">
        <f t="shared" si="67"/>
        <v>0.55164319248826299</v>
      </c>
      <c r="DJ60" s="545">
        <f t="shared" si="117"/>
        <v>1495.5319148936169</v>
      </c>
      <c r="DK60" s="528">
        <f t="shared" si="68"/>
        <v>0.3217918622848201</v>
      </c>
      <c r="DM60" s="173">
        <f t="shared" si="69"/>
        <v>6.8903703563318288</v>
      </c>
      <c r="DN60" s="173">
        <f t="shared" si="70"/>
        <v>6.8903703563318288</v>
      </c>
      <c r="DO60" s="173">
        <f t="shared" si="71"/>
        <v>3.8348422392581449</v>
      </c>
      <c r="DQ60" s="545">
        <f t="shared" si="72"/>
        <v>1375</v>
      </c>
      <c r="DR60" s="460">
        <f t="shared" si="73"/>
        <v>350</v>
      </c>
      <c r="DT60">
        <f t="shared" si="74"/>
        <v>1375</v>
      </c>
      <c r="DU60">
        <f t="shared" si="75"/>
        <v>350</v>
      </c>
      <c r="DW60" s="5">
        <f t="shared" si="118"/>
        <v>2.8571428571428572</v>
      </c>
      <c r="DX60" s="5">
        <f t="shared" si="76"/>
        <v>1.1565978812414142</v>
      </c>
      <c r="DY60" s="5">
        <f t="shared" si="119"/>
        <v>1.700544975901443</v>
      </c>
      <c r="DZ60" s="5">
        <f t="shared" si="77"/>
        <v>1.140307770238014</v>
      </c>
      <c r="EA60" s="173">
        <f t="shared" si="120"/>
        <v>0.40480925843449495</v>
      </c>
      <c r="EB60" s="173">
        <f t="shared" si="78"/>
        <v>39.050000000000004</v>
      </c>
      <c r="EC60" s="173">
        <f t="shared" si="79"/>
        <v>2.0505423210230576</v>
      </c>
      <c r="ED60" s="173">
        <f t="shared" si="121"/>
        <v>19.04374252588806</v>
      </c>
      <c r="EE60" s="460">
        <f t="shared" si="80"/>
        <v>5.6797217382390874</v>
      </c>
      <c r="EF60" s="5">
        <f t="shared" si="81"/>
        <v>1.6701781013317742</v>
      </c>
      <c r="EG60" s="5"/>
      <c r="EH60" s="173">
        <f t="shared" si="122"/>
        <v>2.5310874870335964</v>
      </c>
      <c r="EI60" s="173">
        <f t="shared" si="82"/>
        <v>3.0690928109330224</v>
      </c>
      <c r="EJ60" s="173"/>
      <c r="EK60" s="528">
        <f t="shared" si="83"/>
        <v>7.6876846404216548E-2</v>
      </c>
      <c r="EL60" s="528">
        <f t="shared" si="84"/>
        <v>2.5843023058458154</v>
      </c>
      <c r="EM60" s="528">
        <f t="shared" si="85"/>
        <v>4.0250000000000001E-2</v>
      </c>
      <c r="EN60" s="528">
        <f t="shared" si="86"/>
        <v>0.54831797999999998</v>
      </c>
      <c r="EO60">
        <f t="shared" si="87"/>
        <v>1.26E-2</v>
      </c>
      <c r="EP60" s="460">
        <f t="shared" si="123"/>
        <v>52.85</v>
      </c>
      <c r="EQ60" s="528">
        <f t="shared" si="88"/>
        <v>3.3441886252276838</v>
      </c>
      <c r="ER60" s="460">
        <f t="shared" si="124"/>
        <v>3344.1886252276836</v>
      </c>
      <c r="ES60" s="528">
        <f t="shared" si="125"/>
        <v>0.92207499999999987</v>
      </c>
      <c r="ET60" s="528"/>
      <c r="EV60" s="460">
        <f t="shared" si="126"/>
        <v>922.07499999999982</v>
      </c>
      <c r="EW60" s="528">
        <f t="shared" si="89"/>
        <v>8.9689654138252639E-2</v>
      </c>
      <c r="EX60" s="528">
        <f t="shared" si="90"/>
        <v>0.13187062954969064</v>
      </c>
      <c r="EY60" s="528">
        <f t="shared" si="91"/>
        <v>14.280602465407043</v>
      </c>
      <c r="EZ60" s="528">
        <f t="shared" si="92"/>
        <v>14.817983344662219</v>
      </c>
      <c r="FA60" s="528">
        <f t="shared" si="93"/>
        <v>1.6617021276595747</v>
      </c>
      <c r="FB60" s="460">
        <f t="shared" si="127"/>
        <v>16479.685472321795</v>
      </c>
      <c r="FC60" s="173">
        <f t="shared" si="128"/>
        <v>20.745949097549477</v>
      </c>
      <c r="FD60" s="5">
        <f t="shared" si="129"/>
        <v>38.5</v>
      </c>
      <c r="FE60" s="173">
        <f t="shared" si="130"/>
        <v>0.64983345842952212</v>
      </c>
      <c r="FF60" s="5">
        <f t="shared" si="131"/>
        <v>64.983345842952218</v>
      </c>
      <c r="FI60" s="562">
        <f t="shared" si="94"/>
        <v>-50</v>
      </c>
      <c r="FJ60">
        <f t="shared" si="95"/>
        <v>-50</v>
      </c>
      <c r="FL60">
        <f t="shared" si="181"/>
        <v>0.39910771958330482</v>
      </c>
    </row>
    <row r="61" spans="5:168">
      <c r="E61" s="170">
        <v>56</v>
      </c>
      <c r="F61" s="217">
        <f t="shared" si="182"/>
        <v>1.4000000000000001</v>
      </c>
      <c r="G61" s="217"/>
      <c r="H61" s="217">
        <f t="shared" si="132"/>
        <v>39.200000000000003</v>
      </c>
      <c r="I61" s="541">
        <f t="shared" si="133"/>
        <v>27.910253311564681</v>
      </c>
      <c r="J61" s="172">
        <f t="shared" si="134"/>
        <v>28.448325139926709</v>
      </c>
      <c r="K61" s="172">
        <f t="shared" si="135"/>
        <v>56.448325139926709</v>
      </c>
      <c r="L61" s="443"/>
      <c r="M61" s="217">
        <f t="shared" si="136"/>
        <v>0.50477666854582715</v>
      </c>
      <c r="N61" s="172">
        <f t="shared" si="137"/>
        <v>118.66267310472041</v>
      </c>
      <c r="O61" s="172">
        <f t="shared" si="98"/>
        <v>39.200000000000003</v>
      </c>
      <c r="P61" s="217">
        <f t="shared" si="138"/>
        <v>4.2379526108828722</v>
      </c>
      <c r="Q61" s="217">
        <f t="shared" si="139"/>
        <v>28</v>
      </c>
      <c r="R61" s="217">
        <f t="shared" si="140"/>
        <v>4.1929894895481423</v>
      </c>
      <c r="S61" s="172">
        <f t="shared" si="141"/>
        <v>138.30269630891047</v>
      </c>
      <c r="T61" s="172">
        <f t="shared" si="142"/>
        <v>28</v>
      </c>
      <c r="U61" s="217">
        <f t="shared" si="143"/>
        <v>5.6540147084308101</v>
      </c>
      <c r="V61" s="217">
        <f t="shared" si="11"/>
        <v>0.95211852192734703</v>
      </c>
      <c r="W61" s="217">
        <f t="shared" si="144"/>
        <v>0.93411014528686132</v>
      </c>
      <c r="X61" s="197">
        <f t="shared" si="145"/>
        <v>350</v>
      </c>
      <c r="Y61" s="443">
        <f t="shared" si="14"/>
        <v>350</v>
      </c>
      <c r="AA61" s="217">
        <f t="shared" si="146"/>
        <v>8.5643527845604446</v>
      </c>
      <c r="AB61" s="173">
        <f t="shared" si="147"/>
        <v>1.414932439412417</v>
      </c>
      <c r="AC61" s="173">
        <f t="shared" si="148"/>
        <v>2.1206466010531613</v>
      </c>
      <c r="AD61" s="173"/>
      <c r="AE61" s="173">
        <f t="shared" si="149"/>
        <v>0.55070611677869163</v>
      </c>
      <c r="AF61" s="545">
        <f t="shared" si="150"/>
        <v>1525.314454310964</v>
      </c>
      <c r="AG61" s="528">
        <f t="shared" si="151"/>
        <v>0.32124523478757017</v>
      </c>
      <c r="AI61" s="173">
        <f t="shared" si="152"/>
        <v>6.9586407501204537</v>
      </c>
      <c r="AJ61" s="173">
        <f t="shared" si="153"/>
        <v>6.9586407501204537</v>
      </c>
      <c r="AK61" s="173">
        <f t="shared" si="154"/>
        <v>3.885412901323793</v>
      </c>
      <c r="AM61" s="545">
        <f t="shared" si="155"/>
        <v>1400.0000000000002</v>
      </c>
      <c r="AN61" s="460">
        <f t="shared" si="156"/>
        <v>350</v>
      </c>
      <c r="AP61">
        <f t="shared" si="157"/>
        <v>1400.0000000000002</v>
      </c>
      <c r="AQ61">
        <f t="shared" si="158"/>
        <v>350</v>
      </c>
      <c r="AS61" s="5">
        <f t="shared" si="101"/>
        <v>2.8571428571428572</v>
      </c>
      <c r="AT61" s="5">
        <f t="shared" si="159"/>
        <v>1.1718134966555278</v>
      </c>
      <c r="AU61" s="5">
        <f t="shared" si="102"/>
        <v>1.6853293604873294</v>
      </c>
      <c r="AV61" s="5">
        <f t="shared" si="160"/>
        <v>1.1496498076670389</v>
      </c>
      <c r="AW61" s="173">
        <f t="shared" si="103"/>
        <v>0.41013472382943472</v>
      </c>
      <c r="AX61" s="173">
        <f t="shared" si="161"/>
        <v>39.827655195897393</v>
      </c>
      <c r="AY61" s="173">
        <f t="shared" si="162"/>
        <v>2.0523302739207754</v>
      </c>
      <c r="AZ61" s="173">
        <f t="shared" si="104"/>
        <v>19.406065243003297</v>
      </c>
      <c r="BA61" s="460">
        <f t="shared" si="163"/>
        <v>5.8590674832776397</v>
      </c>
      <c r="BB61" s="5">
        <f t="shared" si="164"/>
        <v>1.690748613667804</v>
      </c>
      <c r="BC61" s="5"/>
      <c r="BD61" s="173">
        <f t="shared" si="105"/>
        <v>2.5729245963569025</v>
      </c>
      <c r="BE61" s="173">
        <f t="shared" si="165"/>
        <v>3.0856041090642181</v>
      </c>
      <c r="BF61" s="173"/>
      <c r="BG61" s="528">
        <f t="shared" si="166"/>
        <v>7.9439291742459964E-2</v>
      </c>
      <c r="BH61" s="528">
        <f t="shared" si="167"/>
        <v>2.5090330946114197</v>
      </c>
      <c r="BI61" s="528">
        <f t="shared" si="168"/>
        <v>4.0250000000000001E-2</v>
      </c>
      <c r="BJ61" s="528">
        <f t="shared" si="169"/>
        <v>0.54925801173885924</v>
      </c>
      <c r="BK61">
        <f t="shared" si="170"/>
        <v>1.2559613990204105E-2</v>
      </c>
      <c r="BL61" s="460">
        <f t="shared" si="106"/>
        <v>52.809613990204106</v>
      </c>
      <c r="BM61" s="528">
        <f t="shared" si="171"/>
        <v>3.2199549340657891</v>
      </c>
      <c r="BN61" s="460">
        <f t="shared" si="107"/>
        <v>3219.9549340657891</v>
      </c>
      <c r="BO61" s="528">
        <f t="shared" si="172"/>
        <v>0.9388399999999999</v>
      </c>
      <c r="BP61" s="528"/>
      <c r="BR61" s="460">
        <f t="shared" si="109"/>
        <v>938.83999999999992</v>
      </c>
      <c r="BS61" s="528">
        <f t="shared" si="173"/>
        <v>9.2679173699536627E-2</v>
      </c>
      <c r="BT61" s="528">
        <f t="shared" si="174"/>
        <v>0.13329333805023583</v>
      </c>
      <c r="BU61" s="528">
        <f t="shared" si="175"/>
        <v>14.636969073016813</v>
      </c>
      <c r="BV61" s="528">
        <f t="shared" si="176"/>
        <v>15.191809495565488</v>
      </c>
      <c r="BW61" s="528">
        <f t="shared" si="177"/>
        <v>1.6947938381232934</v>
      </c>
      <c r="BX61" s="460">
        <f t="shared" si="110"/>
        <v>16886.603333688781</v>
      </c>
      <c r="BY61" s="173">
        <f t="shared" si="45"/>
        <v>21.098207881744774</v>
      </c>
      <c r="BZ61" s="5">
        <f t="shared" si="111"/>
        <v>39.200000000000003</v>
      </c>
      <c r="CA61" s="173">
        <f t="shared" si="112"/>
        <v>0.65010223980251602</v>
      </c>
      <c r="CB61" s="5">
        <f t="shared" si="113"/>
        <v>65.010223980251595</v>
      </c>
      <c r="CE61" s="562">
        <f t="shared" si="178"/>
        <v>-50</v>
      </c>
      <c r="CF61">
        <f t="shared" si="179"/>
        <v>-50</v>
      </c>
      <c r="CG61" s="173">
        <f t="shared" si="180"/>
        <v>0.40558599581346494</v>
      </c>
      <c r="CI61" s="170">
        <v>56</v>
      </c>
      <c r="CJ61" s="217">
        <f t="shared" si="114"/>
        <v>1.4000000000000001</v>
      </c>
      <c r="CK61" s="217"/>
      <c r="CL61" s="217">
        <f t="shared" si="49"/>
        <v>39.200000000000003</v>
      </c>
      <c r="CM61" s="541">
        <f t="shared" si="50"/>
        <v>28</v>
      </c>
      <c r="CN61" s="172">
        <f t="shared" si="51"/>
        <v>28.4</v>
      </c>
      <c r="CO61" s="443">
        <f t="shared" si="52"/>
        <v>56.4</v>
      </c>
      <c r="CP61" s="443"/>
      <c r="CQ61" s="217">
        <f t="shared" si="53"/>
        <v>0.50354609929078009</v>
      </c>
      <c r="CR61" s="172">
        <f t="shared" si="54"/>
        <v>118.75402645742166</v>
      </c>
      <c r="CS61" s="172">
        <f t="shared" si="115"/>
        <v>39.200000000000003</v>
      </c>
      <c r="CT61" s="217">
        <f t="shared" si="55"/>
        <v>4.2412152306222017</v>
      </c>
      <c r="CU61" s="217">
        <f t="shared" si="56"/>
        <v>28</v>
      </c>
      <c r="CV61" s="217">
        <f t="shared" si="57"/>
        <v>4.1962174940898347</v>
      </c>
      <c r="CW61" s="172">
        <f t="shared" si="58"/>
        <v>138.74715699246332</v>
      </c>
      <c r="CX61" s="172">
        <f t="shared" si="59"/>
        <v>28</v>
      </c>
      <c r="CY61" s="217">
        <f t="shared" si="60"/>
        <v>5.5605633802816907</v>
      </c>
      <c r="CZ61" s="217">
        <f t="shared" si="61"/>
        <v>0.93338028169014098</v>
      </c>
      <c r="DA61" s="217">
        <f t="shared" si="62"/>
        <v>0.92023408053957556</v>
      </c>
      <c r="DB61" s="197">
        <f t="shared" si="63"/>
        <v>350</v>
      </c>
      <c r="DC61" s="443">
        <f t="shared" si="116"/>
        <v>350</v>
      </c>
      <c r="DE61" s="217">
        <f t="shared" si="64"/>
        <v>8.5709974347366842</v>
      </c>
      <c r="DF61" s="173">
        <f t="shared" si="65"/>
        <v>1.418439716312057</v>
      </c>
      <c r="DG61" s="173">
        <f t="shared" si="66"/>
        <v>2.1275525547218721</v>
      </c>
      <c r="DH61" s="173"/>
      <c r="DI61" s="173">
        <f t="shared" si="67"/>
        <v>0.55164319248826299</v>
      </c>
      <c r="DJ61" s="545">
        <f t="shared" si="117"/>
        <v>1522.7234042553191</v>
      </c>
      <c r="DK61" s="528">
        <f t="shared" si="68"/>
        <v>0.3217918622848201</v>
      </c>
      <c r="DM61" s="173">
        <f t="shared" si="69"/>
        <v>6.9527279201702479</v>
      </c>
      <c r="DN61" s="173">
        <f t="shared" si="70"/>
        <v>6.9527279201702479</v>
      </c>
      <c r="DO61" s="173">
        <f t="shared" si="71"/>
        <v>3.8810330272866036</v>
      </c>
      <c r="DQ61" s="545">
        <f t="shared" si="72"/>
        <v>1400.0000000000002</v>
      </c>
      <c r="DR61" s="460">
        <f t="shared" si="73"/>
        <v>350</v>
      </c>
      <c r="DT61">
        <f t="shared" si="74"/>
        <v>1400.0000000000002</v>
      </c>
      <c r="DU61">
        <f t="shared" si="75"/>
        <v>350</v>
      </c>
      <c r="DW61" s="5">
        <f t="shared" si="118"/>
        <v>2.8571428571428572</v>
      </c>
      <c r="DX61" s="5">
        <f t="shared" si="76"/>
        <v>1.1670650437428631</v>
      </c>
      <c r="DY61" s="5">
        <f t="shared" si="119"/>
        <v>1.6900778133999941</v>
      </c>
      <c r="DZ61" s="5">
        <f t="shared" si="77"/>
        <v>1.1506275079154988</v>
      </c>
      <c r="EA61" s="173">
        <f t="shared" si="120"/>
        <v>0.40847276531000209</v>
      </c>
      <c r="EB61" s="173">
        <f t="shared" si="78"/>
        <v>39.760000000000012</v>
      </c>
      <c r="EC61" s="173">
        <f t="shared" si="79"/>
        <v>2.0563639600851236</v>
      </c>
      <c r="ED61" s="173">
        <f t="shared" si="121"/>
        <v>19.335098636116022</v>
      </c>
      <c r="EE61" s="460">
        <f t="shared" si="80"/>
        <v>5.8353252187143161</v>
      </c>
      <c r="EF61" s="5">
        <f t="shared" si="81"/>
        <v>1.6900778133999941</v>
      </c>
      <c r="EG61" s="5"/>
      <c r="EH61" s="173">
        <f t="shared" si="122"/>
        <v>2.565524461865027</v>
      </c>
      <c r="EI61" s="173">
        <f t="shared" si="82"/>
        <v>3.0873223694452658</v>
      </c>
      <c r="EJ61" s="173"/>
      <c r="EK61" s="528">
        <f t="shared" si="83"/>
        <v>7.8982989173134038E-2</v>
      </c>
      <c r="EL61" s="528">
        <f t="shared" si="84"/>
        <v>2.6076901337390535</v>
      </c>
      <c r="EM61" s="528">
        <f t="shared" si="85"/>
        <v>4.0250000000000001E-2</v>
      </c>
      <c r="EN61" s="528">
        <f t="shared" si="86"/>
        <v>0.54831797999999998</v>
      </c>
      <c r="EO61">
        <f t="shared" si="87"/>
        <v>1.26E-2</v>
      </c>
      <c r="EP61" s="460">
        <f t="shared" si="123"/>
        <v>52.85</v>
      </c>
      <c r="EQ61" s="528">
        <f t="shared" si="88"/>
        <v>3.3724552126151934</v>
      </c>
      <c r="ER61" s="460">
        <f t="shared" si="124"/>
        <v>3372.4552126151934</v>
      </c>
      <c r="ES61" s="528">
        <f t="shared" si="125"/>
        <v>0.9388399999999999</v>
      </c>
      <c r="ET61" s="528"/>
      <c r="EV61" s="460">
        <f t="shared" si="126"/>
        <v>938.83999999999992</v>
      </c>
      <c r="EW61" s="528">
        <f t="shared" si="89"/>
        <v>9.2146820701989707E-2</v>
      </c>
      <c r="EX61" s="528">
        <f t="shared" si="90"/>
        <v>0.13344183178027985</v>
      </c>
      <c r="EY61" s="528">
        <f t="shared" si="91"/>
        <v>14.605895920296179</v>
      </c>
      <c r="EZ61" s="528">
        <f t="shared" si="92"/>
        <v>15.159205427379346</v>
      </c>
      <c r="FA61" s="528">
        <f t="shared" si="93"/>
        <v>1.6919148936170219</v>
      </c>
      <c r="FB61" s="460">
        <f t="shared" si="127"/>
        <v>16851.120320996368</v>
      </c>
      <c r="FC61" s="173">
        <f t="shared" si="128"/>
        <v>21.162415533611561</v>
      </c>
      <c r="FD61" s="5">
        <f t="shared" si="129"/>
        <v>39.200000000000003</v>
      </c>
      <c r="FE61" s="173">
        <f t="shared" si="130"/>
        <v>0.64941072442954662</v>
      </c>
      <c r="FF61" s="5">
        <f t="shared" si="131"/>
        <v>64.941072442954663</v>
      </c>
      <c r="FI61" s="562">
        <f t="shared" si="94"/>
        <v>-50</v>
      </c>
      <c r="FJ61">
        <f t="shared" si="95"/>
        <v>-50</v>
      </c>
      <c r="FL61">
        <f t="shared" si="181"/>
        <v>0.40271962777042458</v>
      </c>
    </row>
    <row r="62" spans="5:168">
      <c r="E62" s="170">
        <v>57</v>
      </c>
      <c r="F62" s="217">
        <f t="shared" si="182"/>
        <v>1.4249999999999998</v>
      </c>
      <c r="G62" s="217"/>
      <c r="H62" s="217">
        <f t="shared" si="132"/>
        <v>39.899999999999991</v>
      </c>
      <c r="I62" s="541">
        <f t="shared" si="133"/>
        <v>27.909455547534151</v>
      </c>
      <c r="J62" s="172">
        <f t="shared" si="134"/>
        <v>28.448754705173918</v>
      </c>
      <c r="K62" s="172">
        <f t="shared" si="135"/>
        <v>56.448754705173918</v>
      </c>
      <c r="L62" s="443"/>
      <c r="M62" s="217">
        <f t="shared" si="136"/>
        <v>0.50478761519792748</v>
      </c>
      <c r="N62" s="172">
        <f t="shared" si="137"/>
        <v>118.66185460768884</v>
      </c>
      <c r="O62" s="172">
        <f t="shared" si="98"/>
        <v>39.899999999999991</v>
      </c>
      <c r="P62" s="217">
        <f t="shared" si="138"/>
        <v>4.2379233788460295</v>
      </c>
      <c r="Q62" s="217">
        <f t="shared" si="139"/>
        <v>28</v>
      </c>
      <c r="R62" s="217">
        <f t="shared" si="140"/>
        <v>4.1929605676524799</v>
      </c>
      <c r="S62" s="172">
        <f t="shared" si="141"/>
        <v>135.38595082196196</v>
      </c>
      <c r="T62" s="172">
        <f t="shared" si="142"/>
        <v>28</v>
      </c>
      <c r="U62" s="217">
        <f t="shared" si="143"/>
        <v>5.7551064704068189</v>
      </c>
      <c r="V62" s="217">
        <f t="shared" si="11"/>
        <v>0.96916976272945887</v>
      </c>
      <c r="W62" s="217">
        <f t="shared" si="144"/>
        <v>0.95079734389894754</v>
      </c>
      <c r="X62" s="197">
        <f t="shared" si="145"/>
        <v>350</v>
      </c>
      <c r="Y62" s="443">
        <f t="shared" si="14"/>
        <v>350</v>
      </c>
      <c r="AA62" s="217">
        <f t="shared" si="146"/>
        <v>8.5642932565104193</v>
      </c>
      <c r="AB62" s="173">
        <f t="shared" si="147"/>
        <v>1.4149012398872556</v>
      </c>
      <c r="AC62" s="173">
        <f t="shared" si="148"/>
        <v>2.1205851007940648</v>
      </c>
      <c r="AD62" s="173"/>
      <c r="AE62" s="173">
        <f t="shared" si="149"/>
        <v>0.55069780132827406</v>
      </c>
      <c r="AF62" s="545">
        <f t="shared" si="150"/>
        <v>1552.5756557185339</v>
      </c>
      <c r="AG62" s="528">
        <f t="shared" si="151"/>
        <v>0.32124038410815986</v>
      </c>
      <c r="AI62" s="173">
        <f t="shared" si="152"/>
        <v>7.0205495550246368</v>
      </c>
      <c r="AJ62" s="173">
        <f t="shared" si="153"/>
        <v>7.0205495550246368</v>
      </c>
      <c r="AK62" s="173">
        <f t="shared" si="154"/>
        <v>3.9312712753268917</v>
      </c>
      <c r="AM62" s="545">
        <f t="shared" si="155"/>
        <v>1424.9999999999998</v>
      </c>
      <c r="AN62" s="460">
        <f t="shared" si="156"/>
        <v>350</v>
      </c>
      <c r="AP62">
        <f t="shared" si="157"/>
        <v>1424.9999999999998</v>
      </c>
      <c r="AQ62">
        <f t="shared" si="158"/>
        <v>350</v>
      </c>
      <c r="AS62" s="5">
        <f t="shared" si="101"/>
        <v>2.8571428571428572</v>
      </c>
      <c r="AT62" s="5">
        <f t="shared" si="159"/>
        <v>1.1822725403015286</v>
      </c>
      <c r="AU62" s="5">
        <f t="shared" si="102"/>
        <v>1.6748703168413286</v>
      </c>
      <c r="AV62" s="5">
        <f t="shared" si="160"/>
        <v>1.1598603612204781</v>
      </c>
      <c r="AW62" s="173">
        <f t="shared" si="103"/>
        <v>0.41379538910553498</v>
      </c>
      <c r="AX62" s="173">
        <f t="shared" si="161"/>
        <v>40.539475454872822</v>
      </c>
      <c r="AY62" s="173">
        <f t="shared" si="162"/>
        <v>2.0577392600842632</v>
      </c>
      <c r="AZ62" s="173">
        <f t="shared" si="104"/>
        <v>19.700977787250242</v>
      </c>
      <c r="BA62" s="460">
        <f t="shared" si="163"/>
        <v>6.0169227497488498</v>
      </c>
      <c r="BB62" s="5">
        <f t="shared" si="164"/>
        <v>1.7103093949174231</v>
      </c>
      <c r="BC62" s="5"/>
      <c r="BD62" s="173">
        <f t="shared" si="105"/>
        <v>2.6073738487268519</v>
      </c>
      <c r="BE62" s="173">
        <f t="shared" si="165"/>
        <v>3.1033809999999784</v>
      </c>
      <c r="BF62" s="173"/>
      <c r="BG62" s="528">
        <f t="shared" si="166"/>
        <v>8.1580780644296108E-2</v>
      </c>
      <c r="BH62" s="528">
        <f t="shared" si="167"/>
        <v>2.5313744242568745</v>
      </c>
      <c r="BI62" s="528">
        <f t="shared" si="168"/>
        <v>4.0250000000000001E-2</v>
      </c>
      <c r="BJ62" s="528">
        <f t="shared" si="169"/>
        <v>0.54926637135097367</v>
      </c>
      <c r="BK62">
        <f t="shared" si="170"/>
        <v>1.2559254996390368E-2</v>
      </c>
      <c r="BL62" s="460">
        <f t="shared" si="106"/>
        <v>52.809254996390372</v>
      </c>
      <c r="BM62" s="528">
        <f t="shared" si="171"/>
        <v>3.2471906097613132</v>
      </c>
      <c r="BN62" s="460">
        <f t="shared" si="107"/>
        <v>3247.1906097613132</v>
      </c>
      <c r="BO62" s="528">
        <f t="shared" si="172"/>
        <v>0.95560499999999982</v>
      </c>
      <c r="BP62" s="528"/>
      <c r="BR62" s="460">
        <f t="shared" si="109"/>
        <v>955.60499999999979</v>
      </c>
      <c r="BS62" s="528">
        <f t="shared" si="173"/>
        <v>9.5177577418345469E-2</v>
      </c>
      <c r="BT62" s="528">
        <f t="shared" si="174"/>
        <v>0.13483363083625213</v>
      </c>
      <c r="BU62" s="528">
        <f t="shared" si="175"/>
        <v>14.964695634431147</v>
      </c>
      <c r="BV62" s="528">
        <f t="shared" si="176"/>
        <v>15.535781849008471</v>
      </c>
      <c r="BW62" s="528">
        <f t="shared" si="177"/>
        <v>1.725084061909482</v>
      </c>
      <c r="BX62" s="460">
        <f t="shared" si="110"/>
        <v>17260.865910917953</v>
      </c>
      <c r="BY62" s="173">
        <f t="shared" si="45"/>
        <v>21.516470775675653</v>
      </c>
      <c r="BZ62" s="5">
        <f t="shared" si="111"/>
        <v>39.899999999999991</v>
      </c>
      <c r="CA62" s="173">
        <f t="shared" si="112"/>
        <v>0.64966285910069943</v>
      </c>
      <c r="CB62" s="5">
        <f t="shared" si="113"/>
        <v>64.966285910069942</v>
      </c>
      <c r="CE62" s="562">
        <f t="shared" si="178"/>
        <v>-50</v>
      </c>
      <c r="CF62">
        <f t="shared" si="179"/>
        <v>-50</v>
      </c>
      <c r="CG62" s="173">
        <f t="shared" si="180"/>
        <v>0.4091912755668185</v>
      </c>
      <c r="CI62" s="170">
        <v>57</v>
      </c>
      <c r="CJ62" s="217">
        <f t="shared" si="114"/>
        <v>1.4249999999999998</v>
      </c>
      <c r="CK62" s="217"/>
      <c r="CL62" s="217">
        <f t="shared" si="49"/>
        <v>39.899999999999991</v>
      </c>
      <c r="CM62" s="541">
        <f t="shared" si="50"/>
        <v>28</v>
      </c>
      <c r="CN62" s="172">
        <f t="shared" si="51"/>
        <v>28.4</v>
      </c>
      <c r="CO62" s="443">
        <f t="shared" si="52"/>
        <v>56.4</v>
      </c>
      <c r="CP62" s="443"/>
      <c r="CQ62" s="217">
        <f t="shared" si="53"/>
        <v>0.50354609929078009</v>
      </c>
      <c r="CR62" s="172">
        <f t="shared" si="54"/>
        <v>118.75402645742166</v>
      </c>
      <c r="CS62" s="172">
        <f t="shared" si="115"/>
        <v>39.899999999999991</v>
      </c>
      <c r="CT62" s="217">
        <f t="shared" si="55"/>
        <v>4.2412152306222017</v>
      </c>
      <c r="CU62" s="217">
        <f t="shared" si="56"/>
        <v>28</v>
      </c>
      <c r="CV62" s="217">
        <f t="shared" si="57"/>
        <v>4.1962174940898347</v>
      </c>
      <c r="CW62" s="172">
        <f t="shared" si="58"/>
        <v>135.82490703512332</v>
      </c>
      <c r="CX62" s="172">
        <f t="shared" si="59"/>
        <v>28</v>
      </c>
      <c r="CY62" s="217">
        <f t="shared" si="60"/>
        <v>5.6598591549295767</v>
      </c>
      <c r="CZ62" s="217">
        <f t="shared" si="61"/>
        <v>0.95004778672032175</v>
      </c>
      <c r="DA62" s="217">
        <f t="shared" si="62"/>
        <v>0.936666831977782</v>
      </c>
      <c r="DB62" s="197">
        <f t="shared" si="63"/>
        <v>350</v>
      </c>
      <c r="DC62" s="443">
        <f t="shared" si="116"/>
        <v>350</v>
      </c>
      <c r="DE62" s="217">
        <f t="shared" si="64"/>
        <v>8.5709974347366842</v>
      </c>
      <c r="DF62" s="173">
        <f t="shared" si="65"/>
        <v>1.418439716312057</v>
      </c>
      <c r="DG62" s="173">
        <f t="shared" si="66"/>
        <v>2.1275525547218721</v>
      </c>
      <c r="DH62" s="173"/>
      <c r="DI62" s="173">
        <f t="shared" si="67"/>
        <v>0.55164319248826299</v>
      </c>
      <c r="DJ62" s="545">
        <f t="shared" si="117"/>
        <v>1549.9148936170209</v>
      </c>
      <c r="DK62" s="528">
        <f t="shared" si="68"/>
        <v>0.3217918622848201</v>
      </c>
      <c r="DM62" s="173">
        <f t="shared" si="69"/>
        <v>7.01453116155409</v>
      </c>
      <c r="DN62" s="173">
        <f t="shared" si="70"/>
        <v>7.01453116155409</v>
      </c>
      <c r="DO62" s="173">
        <f t="shared" si="71"/>
        <v>3.9268132060894496</v>
      </c>
      <c r="DQ62" s="545">
        <f t="shared" si="72"/>
        <v>1424.9999999999998</v>
      </c>
      <c r="DR62" s="460">
        <f t="shared" si="73"/>
        <v>350</v>
      </c>
      <c r="DT62">
        <f t="shared" si="74"/>
        <v>1424.9999999999998</v>
      </c>
      <c r="DU62">
        <f t="shared" si="75"/>
        <v>350</v>
      </c>
      <c r="DW62" s="5">
        <f t="shared" si="118"/>
        <v>2.8571428571428572</v>
      </c>
      <c r="DX62" s="5">
        <f t="shared" si="76"/>
        <v>1.1774391592608651</v>
      </c>
      <c r="DY62" s="5">
        <f t="shared" si="119"/>
        <v>1.6797036978819921</v>
      </c>
      <c r="DZ62" s="5">
        <f t="shared" si="77"/>
        <v>1.1608555091304305</v>
      </c>
      <c r="EA62" s="173">
        <f t="shared" si="120"/>
        <v>0.41210370574130278</v>
      </c>
      <c r="EB62" s="173">
        <f t="shared" si="78"/>
        <v>40.469999999999992</v>
      </c>
      <c r="EC62" s="173">
        <f t="shared" si="79"/>
        <v>2.061908437919902</v>
      </c>
      <c r="ED62" s="173">
        <f t="shared" si="121"/>
        <v>19.627447686681474</v>
      </c>
      <c r="EE62" s="460">
        <f t="shared" si="80"/>
        <v>5.9923242926669014</v>
      </c>
      <c r="EF62" s="5">
        <f t="shared" si="81"/>
        <v>1.7096984067727414</v>
      </c>
      <c r="EG62" s="5"/>
      <c r="EH62" s="173">
        <f t="shared" si="122"/>
        <v>2.5998080337012337</v>
      </c>
      <c r="EI62" s="173">
        <f t="shared" si="82"/>
        <v>3.1051914584085867</v>
      </c>
      <c r="EJ62" s="173"/>
      <c r="EK62" s="528">
        <f t="shared" si="83"/>
        <v>8.1108021745169706E-2</v>
      </c>
      <c r="EL62" s="528">
        <f t="shared" si="84"/>
        <v>2.6308700574524773</v>
      </c>
      <c r="EM62" s="528">
        <f t="shared" si="85"/>
        <v>4.0250000000000001E-2</v>
      </c>
      <c r="EN62" s="528">
        <f t="shared" si="86"/>
        <v>0.54831797999999998</v>
      </c>
      <c r="EO62">
        <f t="shared" si="87"/>
        <v>1.26E-2</v>
      </c>
      <c r="EP62" s="460">
        <f t="shared" si="123"/>
        <v>52.85</v>
      </c>
      <c r="EQ62" s="528">
        <f t="shared" si="88"/>
        <v>3.4005786812762446</v>
      </c>
      <c r="ER62" s="460">
        <f t="shared" si="124"/>
        <v>3400.5786812762444</v>
      </c>
      <c r="ES62" s="528">
        <f t="shared" si="125"/>
        <v>0.95560499999999982</v>
      </c>
      <c r="ET62" s="528"/>
      <c r="EV62" s="460">
        <f t="shared" si="126"/>
        <v>955.60499999999979</v>
      </c>
      <c r="EW62" s="528">
        <f t="shared" si="89"/>
        <v>9.4626025369364652E-2</v>
      </c>
      <c r="EX62" s="528">
        <f t="shared" si="90"/>
        <v>0.13499099590723104</v>
      </c>
      <c r="EY62" s="528">
        <f t="shared" si="91"/>
        <v>14.932644892304005</v>
      </c>
      <c r="EZ62" s="528">
        <f t="shared" si="92"/>
        <v>15.50213431100072</v>
      </c>
      <c r="FA62" s="528">
        <f t="shared" si="93"/>
        <v>1.7221276595744679</v>
      </c>
      <c r="FB62" s="460">
        <f t="shared" si="127"/>
        <v>17224.261970575189</v>
      </c>
      <c r="FC62" s="173">
        <f t="shared" si="128"/>
        <v>21.580445651851434</v>
      </c>
      <c r="FD62" s="5">
        <f t="shared" si="129"/>
        <v>39.899999999999991</v>
      </c>
      <c r="FE62" s="173">
        <f t="shared" si="130"/>
        <v>0.64898683763523501</v>
      </c>
      <c r="FF62" s="5">
        <f t="shared" si="131"/>
        <v>64.898683763523508</v>
      </c>
      <c r="FI62" s="562">
        <f t="shared" si="94"/>
        <v>-50</v>
      </c>
      <c r="FJ62">
        <f t="shared" si="95"/>
        <v>-50</v>
      </c>
      <c r="FL62">
        <f t="shared" si="181"/>
        <v>0.40629942819565062</v>
      </c>
    </row>
    <row r="63" spans="5:168">
      <c r="E63" s="170">
        <v>58</v>
      </c>
      <c r="F63" s="217">
        <f t="shared" si="182"/>
        <v>1.45</v>
      </c>
      <c r="G63" s="217"/>
      <c r="H63" s="217">
        <f t="shared" si="132"/>
        <v>40.6</v>
      </c>
      <c r="I63" s="541">
        <f t="shared" si="133"/>
        <v>27.908664751275456</v>
      </c>
      <c r="J63" s="172">
        <f t="shared" si="134"/>
        <v>28.449180518543983</v>
      </c>
      <c r="K63" s="172">
        <f t="shared" si="135"/>
        <v>56.449180518543983</v>
      </c>
      <c r="L63" s="443"/>
      <c r="M63" s="217">
        <f t="shared" si="136"/>
        <v>0.50479846638057779</v>
      </c>
      <c r="N63" s="172">
        <f t="shared" si="137"/>
        <v>118.66104314723474</v>
      </c>
      <c r="O63" s="172">
        <f t="shared" si="98"/>
        <v>40.6</v>
      </c>
      <c r="P63" s="217">
        <f t="shared" si="138"/>
        <v>4.2378943981155262</v>
      </c>
      <c r="Q63" s="217">
        <f t="shared" si="139"/>
        <v>28</v>
      </c>
      <c r="R63" s="217">
        <f t="shared" si="140"/>
        <v>4.192931894396887</v>
      </c>
      <c r="S63" s="172">
        <f t="shared" si="141"/>
        <v>132.56991508067608</v>
      </c>
      <c r="T63" s="172">
        <f t="shared" si="142"/>
        <v>28</v>
      </c>
      <c r="U63" s="217">
        <f t="shared" si="143"/>
        <v>5.8562015727292565</v>
      </c>
      <c r="V63" s="217">
        <f t="shared" si="11"/>
        <v>0.98622229465741906</v>
      </c>
      <c r="W63" s="217">
        <f t="shared" si="144"/>
        <v>0.96748471801802816</v>
      </c>
      <c r="X63" s="197">
        <f t="shared" si="145"/>
        <v>350</v>
      </c>
      <c r="Y63" s="443">
        <f t="shared" si="14"/>
        <v>350</v>
      </c>
      <c r="AA63" s="217">
        <f t="shared" si="146"/>
        <v>8.5642342403219427</v>
      </c>
      <c r="AB63" s="173">
        <f t="shared" si="147"/>
        <v>1.4148703124603466</v>
      </c>
      <c r="AC63" s="173">
        <f t="shared" si="148"/>
        <v>2.1205241357278837</v>
      </c>
      <c r="AD63" s="173"/>
      <c r="AE63" s="173">
        <f t="shared" si="149"/>
        <v>0.55068955875388703</v>
      </c>
      <c r="AF63" s="545">
        <f t="shared" si="150"/>
        <v>1579.8374713489318</v>
      </c>
      <c r="AG63" s="528">
        <f t="shared" si="151"/>
        <v>0.32123557593976748</v>
      </c>
      <c r="AI63" s="173">
        <f t="shared" si="152"/>
        <v>7.081918562015078</v>
      </c>
      <c r="AJ63" s="173">
        <f t="shared" si="153"/>
        <v>7.081918562015078</v>
      </c>
      <c r="AK63" s="173">
        <f t="shared" si="154"/>
        <v>3.9767297990235146</v>
      </c>
      <c r="AM63" s="545">
        <f t="shared" si="155"/>
        <v>1450</v>
      </c>
      <c r="AN63" s="460">
        <f t="shared" si="156"/>
        <v>350</v>
      </c>
      <c r="AP63">
        <f t="shared" si="157"/>
        <v>1450</v>
      </c>
      <c r="AQ63">
        <f t="shared" si="158"/>
        <v>350</v>
      </c>
      <c r="AS63" s="5">
        <f t="shared" si="101"/>
        <v>2.8571428571428572</v>
      </c>
      <c r="AT63" s="5">
        <f t="shared" si="159"/>
        <v>1.1926409786390697</v>
      </c>
      <c r="AU63" s="5">
        <f t="shared" si="102"/>
        <v>1.6645018785037875</v>
      </c>
      <c r="AV63" s="5">
        <f t="shared" si="160"/>
        <v>1.169981582414114</v>
      </c>
      <c r="AW63" s="173">
        <f t="shared" si="103"/>
        <v>0.41742434252367439</v>
      </c>
      <c r="AX63" s="173">
        <f t="shared" si="161"/>
        <v>41.251311751888771</v>
      </c>
      <c r="AY63" s="173">
        <f t="shared" si="162"/>
        <v>2.0628766812298642</v>
      </c>
      <c r="AZ63" s="173">
        <f t="shared" si="104"/>
        <v>19.99698388528741</v>
      </c>
      <c r="BA63" s="460">
        <f t="shared" si="163"/>
        <v>6.1761764965237536</v>
      </c>
      <c r="BB63" s="5">
        <f t="shared" si="164"/>
        <v>1.7295902511568138</v>
      </c>
      <c r="BC63" s="5"/>
      <c r="BD63" s="173">
        <f t="shared" si="105"/>
        <v>2.6416737875265142</v>
      </c>
      <c r="BE63" s="173">
        <f t="shared" si="165"/>
        <v>3.1208038131171523</v>
      </c>
      <c r="BF63" s="173"/>
      <c r="BG63" s="528">
        <f t="shared" si="166"/>
        <v>8.374128479645615E-2</v>
      </c>
      <c r="BH63" s="528">
        <f t="shared" si="167"/>
        <v>2.5535212894372665</v>
      </c>
      <c r="BI63" s="528">
        <f t="shared" si="168"/>
        <v>4.0250000000000001E-2</v>
      </c>
      <c r="BJ63" s="528">
        <f t="shared" si="169"/>
        <v>0.54927465801196429</v>
      </c>
      <c r="BK63">
        <f t="shared" si="170"/>
        <v>1.2558899138073955E-2</v>
      </c>
      <c r="BL63" s="460">
        <f t="shared" si="106"/>
        <v>52.808899138073954</v>
      </c>
      <c r="BM63" s="528">
        <f t="shared" si="171"/>
        <v>3.2742958112994791</v>
      </c>
      <c r="BN63" s="460">
        <f t="shared" si="107"/>
        <v>3274.2958112994793</v>
      </c>
      <c r="BO63" s="528">
        <f t="shared" si="172"/>
        <v>0.97236999999999985</v>
      </c>
      <c r="BP63" s="528"/>
      <c r="BR63" s="460">
        <f t="shared" si="109"/>
        <v>972.36999999999989</v>
      </c>
      <c r="BS63" s="528">
        <f t="shared" si="173"/>
        <v>9.7698165595865513E-2</v>
      </c>
      <c r="BT63" s="528">
        <f t="shared" si="174"/>
        <v>0.13635183015953181</v>
      </c>
      <c r="BU63" s="528">
        <f t="shared" si="175"/>
        <v>15.293871468199455</v>
      </c>
      <c r="BV63" s="528">
        <f t="shared" si="176"/>
        <v>15.881457874790895</v>
      </c>
      <c r="BW63" s="528">
        <f t="shared" si="177"/>
        <v>1.75537496816548</v>
      </c>
      <c r="BX63" s="460">
        <f t="shared" si="110"/>
        <v>17636.832842956373</v>
      </c>
      <c r="BY63" s="173">
        <f t="shared" si="45"/>
        <v>21.936307553393931</v>
      </c>
      <c r="BZ63" s="5">
        <f t="shared" si="111"/>
        <v>40.6</v>
      </c>
      <c r="CA63" s="173">
        <f t="shared" si="112"/>
        <v>0.64922285290565707</v>
      </c>
      <c r="CB63" s="5">
        <f t="shared" si="113"/>
        <v>64.922285290565711</v>
      </c>
      <c r="CE63" s="562">
        <f t="shared" si="178"/>
        <v>-50</v>
      </c>
      <c r="CF63">
        <f t="shared" si="179"/>
        <v>-50</v>
      </c>
      <c r="CG63" s="173">
        <f t="shared" si="180"/>
        <v>0.41276506635130839</v>
      </c>
      <c r="CI63" s="170">
        <v>58</v>
      </c>
      <c r="CJ63" s="217">
        <f t="shared" si="114"/>
        <v>1.45</v>
      </c>
      <c r="CK63" s="217"/>
      <c r="CL63" s="217">
        <f t="shared" si="49"/>
        <v>40.6</v>
      </c>
      <c r="CM63" s="541">
        <f t="shared" si="50"/>
        <v>28</v>
      </c>
      <c r="CN63" s="172">
        <f t="shared" si="51"/>
        <v>28.4</v>
      </c>
      <c r="CO63" s="443">
        <f t="shared" si="52"/>
        <v>56.4</v>
      </c>
      <c r="CP63" s="443"/>
      <c r="CQ63" s="217">
        <f t="shared" si="53"/>
        <v>0.50354609929078009</v>
      </c>
      <c r="CR63" s="172">
        <f t="shared" si="54"/>
        <v>118.75402645742166</v>
      </c>
      <c r="CS63" s="172">
        <f t="shared" si="115"/>
        <v>40.6</v>
      </c>
      <c r="CT63" s="217">
        <f t="shared" si="55"/>
        <v>4.2412152306222017</v>
      </c>
      <c r="CU63" s="217">
        <f t="shared" si="56"/>
        <v>28</v>
      </c>
      <c r="CV63" s="217">
        <f t="shared" si="57"/>
        <v>4.1962174940898347</v>
      </c>
      <c r="CW63" s="172">
        <f t="shared" si="58"/>
        <v>133.00349605062121</v>
      </c>
      <c r="CX63" s="172">
        <f t="shared" si="59"/>
        <v>28</v>
      </c>
      <c r="CY63" s="217">
        <f t="shared" si="60"/>
        <v>5.7591549295774653</v>
      </c>
      <c r="CZ63" s="217">
        <f t="shared" si="61"/>
        <v>0.96671529175050308</v>
      </c>
      <c r="DA63" s="217">
        <f t="shared" si="62"/>
        <v>0.95309958341598899</v>
      </c>
      <c r="DB63" s="197">
        <f t="shared" si="63"/>
        <v>350</v>
      </c>
      <c r="DC63" s="443">
        <f t="shared" si="116"/>
        <v>350</v>
      </c>
      <c r="DE63" s="217">
        <f t="shared" si="64"/>
        <v>8.5709974347366842</v>
      </c>
      <c r="DF63" s="173">
        <f t="shared" si="65"/>
        <v>1.418439716312057</v>
      </c>
      <c r="DG63" s="173">
        <f t="shared" si="66"/>
        <v>2.1275525547218721</v>
      </c>
      <c r="DH63" s="173"/>
      <c r="DI63" s="173">
        <f t="shared" si="67"/>
        <v>0.55164319248826299</v>
      </c>
      <c r="DJ63" s="545">
        <f t="shared" si="117"/>
        <v>1577.1063829787231</v>
      </c>
      <c r="DK63" s="528">
        <f t="shared" si="68"/>
        <v>0.3217918622848201</v>
      </c>
      <c r="DM63" s="173">
        <f t="shared" si="69"/>
        <v>7.0757946056193477</v>
      </c>
      <c r="DN63" s="173">
        <f t="shared" si="70"/>
        <v>7.0757946056193477</v>
      </c>
      <c r="DO63" s="173">
        <f t="shared" si="71"/>
        <v>3.972193535026677</v>
      </c>
      <c r="DQ63" s="545">
        <f t="shared" si="72"/>
        <v>1450</v>
      </c>
      <c r="DR63" s="460">
        <f t="shared" si="73"/>
        <v>350</v>
      </c>
      <c r="DT63">
        <f t="shared" si="74"/>
        <v>1450</v>
      </c>
      <c r="DU63">
        <f t="shared" si="75"/>
        <v>350</v>
      </c>
      <c r="DW63" s="5">
        <f t="shared" si="118"/>
        <v>2.8571428571428572</v>
      </c>
      <c r="DX63" s="5">
        <f t="shared" si="76"/>
        <v>1.1877226659432476</v>
      </c>
      <c r="DY63" s="5">
        <f t="shared" si="119"/>
        <v>1.6694201911996096</v>
      </c>
      <c r="DZ63" s="5">
        <f t="shared" si="77"/>
        <v>1.1709941776905259</v>
      </c>
      <c r="EA63" s="173">
        <f t="shared" si="120"/>
        <v>0.41570293308013667</v>
      </c>
      <c r="EB63" s="173">
        <f t="shared" si="78"/>
        <v>41.18</v>
      </c>
      <c r="EC63" s="173">
        <f t="shared" si="79"/>
        <v>2.0671830170953878</v>
      </c>
      <c r="ED63" s="173">
        <f t="shared" si="121"/>
        <v>19.920829292542411</v>
      </c>
      <c r="EE63" s="460">
        <f t="shared" si="80"/>
        <v>6.1507066629203893</v>
      </c>
      <c r="EF63" s="5">
        <f t="shared" si="81"/>
        <v>1.7290423408853097</v>
      </c>
      <c r="EG63" s="5"/>
      <c r="EH63" s="173">
        <f t="shared" si="122"/>
        <v>2.6339415596230751</v>
      </c>
      <c r="EI63" s="173">
        <f t="shared" si="82"/>
        <v>3.1227084868952542</v>
      </c>
      <c r="EJ63" s="173"/>
      <c r="EK63" s="528">
        <f t="shared" si="83"/>
        <v>8.3251777674115651E-2</v>
      </c>
      <c r="EL63" s="528">
        <f t="shared" si="84"/>
        <v>2.6538475247835929</v>
      </c>
      <c r="EM63" s="528">
        <f t="shared" si="85"/>
        <v>4.0250000000000001E-2</v>
      </c>
      <c r="EN63" s="528">
        <f t="shared" si="86"/>
        <v>0.54831797999999998</v>
      </c>
      <c r="EO63">
        <f t="shared" si="87"/>
        <v>1.26E-2</v>
      </c>
      <c r="EP63" s="460">
        <f t="shared" si="123"/>
        <v>52.85</v>
      </c>
      <c r="EQ63" s="528">
        <f t="shared" si="88"/>
        <v>3.4285644001180926</v>
      </c>
      <c r="ER63" s="460">
        <f t="shared" si="124"/>
        <v>3428.5644001180926</v>
      </c>
      <c r="ES63" s="528">
        <f t="shared" si="125"/>
        <v>0.97236999999999985</v>
      </c>
      <c r="ET63" s="528"/>
      <c r="EV63" s="460">
        <f t="shared" si="126"/>
        <v>972.36999999999989</v>
      </c>
      <c r="EW63" s="528">
        <f t="shared" si="89"/>
        <v>9.7127073953134926E-2</v>
      </c>
      <c r="EX63" s="528">
        <f t="shared" si="90"/>
        <v>0.13651831611778709</v>
      </c>
      <c r="EY63" s="528">
        <f t="shared" si="91"/>
        <v>15.260830185837774</v>
      </c>
      <c r="EZ63" s="528">
        <f t="shared" si="92"/>
        <v>15.846752115883543</v>
      </c>
      <c r="FA63" s="528">
        <f t="shared" si="93"/>
        <v>1.752340425531915</v>
      </c>
      <c r="FB63" s="460">
        <f t="shared" si="127"/>
        <v>17599.092541415459</v>
      </c>
      <c r="FC63" s="173">
        <f t="shared" si="128"/>
        <v>22.000026941533552</v>
      </c>
      <c r="FD63" s="5">
        <f t="shared" si="129"/>
        <v>40.6</v>
      </c>
      <c r="FE63" s="173">
        <f t="shared" si="130"/>
        <v>0.6485620211940023</v>
      </c>
      <c r="FF63" s="5">
        <f t="shared" si="131"/>
        <v>64.856202119400237</v>
      </c>
      <c r="FI63" s="562">
        <f t="shared" si="94"/>
        <v>-50</v>
      </c>
      <c r="FJ63">
        <f t="shared" si="95"/>
        <v>-50</v>
      </c>
      <c r="FL63">
        <f t="shared" si="181"/>
        <v>0.40984796219168407</v>
      </c>
    </row>
    <row r="64" spans="5:168">
      <c r="E64" s="170">
        <v>59</v>
      </c>
      <c r="F64" s="217">
        <f t="shared" si="182"/>
        <v>1.4749999999999999</v>
      </c>
      <c r="G64" s="217"/>
      <c r="H64" s="217">
        <f t="shared" si="132"/>
        <v>41.3</v>
      </c>
      <c r="I64" s="541">
        <f t="shared" si="133"/>
        <v>27.907880743344247</v>
      </c>
      <c r="J64" s="172">
        <f t="shared" si="134"/>
        <v>28.449602676660788</v>
      </c>
      <c r="K64" s="172">
        <f t="shared" si="135"/>
        <v>56.449602676660788</v>
      </c>
      <c r="L64" s="443"/>
      <c r="M64" s="217">
        <f t="shared" si="136"/>
        <v>0.50480922455245103</v>
      </c>
      <c r="N64" s="172">
        <f t="shared" si="137"/>
        <v>118.66023854213965</v>
      </c>
      <c r="O64" s="172">
        <f t="shared" si="98"/>
        <v>41.3</v>
      </c>
      <c r="P64" s="217">
        <f t="shared" si="138"/>
        <v>4.2378656622192734</v>
      </c>
      <c r="Q64" s="217">
        <f t="shared" si="139"/>
        <v>28</v>
      </c>
      <c r="R64" s="217">
        <f t="shared" si="140"/>
        <v>4.1929034633779443</v>
      </c>
      <c r="S64" s="172">
        <f t="shared" si="141"/>
        <v>129.84946780846451</v>
      </c>
      <c r="T64" s="172">
        <f t="shared" si="142"/>
        <v>28</v>
      </c>
      <c r="U64" s="217">
        <f t="shared" si="143"/>
        <v>5.957299986724947</v>
      </c>
      <c r="V64" s="217">
        <f t="shared" si="11"/>
        <v>1.0032761066705076</v>
      </c>
      <c r="W64" s="217">
        <f t="shared" si="144"/>
        <v>0.98417226615881892</v>
      </c>
      <c r="X64" s="197">
        <f t="shared" si="145"/>
        <v>350</v>
      </c>
      <c r="Y64" s="443">
        <f t="shared" si="14"/>
        <v>350</v>
      </c>
      <c r="AA64" s="217">
        <f t="shared" si="146"/>
        <v>8.5641757228126476</v>
      </c>
      <c r="AB64" s="173">
        <f t="shared" si="147"/>
        <v>1.4148396501242066</v>
      </c>
      <c r="AC64" s="173">
        <f t="shared" si="148"/>
        <v>2.1204636920716324</v>
      </c>
      <c r="AD64" s="173"/>
      <c r="AE64" s="173">
        <f t="shared" si="149"/>
        <v>0.55068138717870874</v>
      </c>
      <c r="AF64" s="545">
        <f t="shared" si="150"/>
        <v>1607.0998958837101</v>
      </c>
      <c r="AG64" s="528">
        <f t="shared" si="151"/>
        <v>0.32123080918758012</v>
      </c>
      <c r="AI64" s="173">
        <f t="shared" si="152"/>
        <v>7.1427616727543546</v>
      </c>
      <c r="AJ64" s="173">
        <f t="shared" si="153"/>
        <v>7.1427616727543546</v>
      </c>
      <c r="AK64" s="173">
        <f t="shared" si="154"/>
        <v>4.0217987699414968</v>
      </c>
      <c r="AM64" s="545">
        <f t="shared" si="155"/>
        <v>1474.9999999999998</v>
      </c>
      <c r="AN64" s="460">
        <f t="shared" si="156"/>
        <v>350</v>
      </c>
      <c r="AP64">
        <f t="shared" si="157"/>
        <v>1474.9999999999998</v>
      </c>
      <c r="AQ64">
        <f t="shared" si="158"/>
        <v>350</v>
      </c>
      <c r="AS64" s="5">
        <f t="shared" si="101"/>
        <v>2.8571428571428572</v>
      </c>
      <c r="AT64" s="5">
        <f t="shared" si="159"/>
        <v>1.2029211451303701</v>
      </c>
      <c r="AU64" s="5">
        <f t="shared" si="102"/>
        <v>1.6542217120124871</v>
      </c>
      <c r="AV64" s="5">
        <f t="shared" si="160"/>
        <v>1.1800157718717845</v>
      </c>
      <c r="AW64" s="173">
        <f t="shared" si="103"/>
        <v>0.42102240079562953</v>
      </c>
      <c r="AX64" s="173">
        <f t="shared" si="161"/>
        <v>41.963163948074666</v>
      </c>
      <c r="AY64" s="173">
        <f t="shared" si="162"/>
        <v>2.0677495024901544</v>
      </c>
      <c r="AZ64" s="173">
        <f t="shared" si="104"/>
        <v>20.294123585830473</v>
      </c>
      <c r="BA64" s="460">
        <f t="shared" si="163"/>
        <v>6.3368167466689131</v>
      </c>
      <c r="BB64" s="5">
        <f t="shared" si="164"/>
        <v>1.7485935586852672</v>
      </c>
      <c r="BC64" s="5"/>
      <c r="BD64" s="173">
        <f t="shared" si="105"/>
        <v>2.6758276304277313</v>
      </c>
      <c r="BE64" s="173">
        <f t="shared" si="165"/>
        <v>3.1378805899570241</v>
      </c>
      <c r="BF64" s="173"/>
      <c r="BG64" s="528">
        <f t="shared" si="166"/>
        <v>8.5920642093125846E-2</v>
      </c>
      <c r="BH64" s="528">
        <f t="shared" si="167"/>
        <v>2.5754786982922986</v>
      </c>
      <c r="BI64" s="528">
        <f t="shared" si="168"/>
        <v>4.0250000000000001E-2</v>
      </c>
      <c r="BJ64" s="528">
        <f t="shared" si="169"/>
        <v>0.54928287360057582</v>
      </c>
      <c r="BK64">
        <f t="shared" si="170"/>
        <v>1.255854633450491E-2</v>
      </c>
      <c r="BL64" s="460">
        <f t="shared" si="106"/>
        <v>52.808546334504911</v>
      </c>
      <c r="BM64" s="528">
        <f t="shared" si="171"/>
        <v>3.3012754830644759</v>
      </c>
      <c r="BN64" s="460">
        <f t="shared" si="107"/>
        <v>3301.2754830644758</v>
      </c>
      <c r="BO64" s="528">
        <f t="shared" si="172"/>
        <v>0.98913499999999976</v>
      </c>
      <c r="BP64" s="528"/>
      <c r="BR64" s="460">
        <f t="shared" si="109"/>
        <v>989.13499999999976</v>
      </c>
      <c r="BS64" s="528">
        <f t="shared" si="173"/>
        <v>0.10024074910864683</v>
      </c>
      <c r="BT64" s="528">
        <f t="shared" si="174"/>
        <v>0.13784812435560659</v>
      </c>
      <c r="BU64" s="528">
        <f t="shared" si="175"/>
        <v>15.62447790310908</v>
      </c>
      <c r="BV64" s="528">
        <f t="shared" si="176"/>
        <v>16.228820228268951</v>
      </c>
      <c r="BW64" s="528">
        <f t="shared" si="177"/>
        <v>1.7856665509819007</v>
      </c>
      <c r="BX64" s="460">
        <f t="shared" si="110"/>
        <v>18014.486779250852</v>
      </c>
      <c r="BY64" s="173">
        <f t="shared" si="45"/>
        <v>22.357705808649833</v>
      </c>
      <c r="BZ64" s="5">
        <f t="shared" si="111"/>
        <v>41.3</v>
      </c>
      <c r="CA64" s="173">
        <f t="shared" si="112"/>
        <v>0.6487824133050698</v>
      </c>
      <c r="CB64" s="5">
        <f t="shared" si="113"/>
        <v>64.878241330506981</v>
      </c>
      <c r="CE64" s="562">
        <f t="shared" si="178"/>
        <v>-50</v>
      </c>
      <c r="CF64">
        <f t="shared" si="179"/>
        <v>-50</v>
      </c>
      <c r="CG64" s="173">
        <f t="shared" si="180"/>
        <v>0.41630817911734569</v>
      </c>
      <c r="CI64" s="170">
        <v>59</v>
      </c>
      <c r="CJ64" s="217">
        <f t="shared" si="114"/>
        <v>1.4749999999999999</v>
      </c>
      <c r="CK64" s="217"/>
      <c r="CL64" s="217">
        <f t="shared" si="49"/>
        <v>41.3</v>
      </c>
      <c r="CM64" s="541">
        <f t="shared" si="50"/>
        <v>28</v>
      </c>
      <c r="CN64" s="172">
        <f t="shared" si="51"/>
        <v>28.4</v>
      </c>
      <c r="CO64" s="443">
        <f t="shared" si="52"/>
        <v>56.4</v>
      </c>
      <c r="CP64" s="443"/>
      <c r="CQ64" s="217">
        <f t="shared" si="53"/>
        <v>0.50354609929078009</v>
      </c>
      <c r="CR64" s="172">
        <f t="shared" si="54"/>
        <v>118.75402645742166</v>
      </c>
      <c r="CS64" s="172">
        <f t="shared" si="115"/>
        <v>41.3</v>
      </c>
      <c r="CT64" s="217">
        <f t="shared" si="55"/>
        <v>4.2412152306222017</v>
      </c>
      <c r="CU64" s="217">
        <f t="shared" si="56"/>
        <v>28</v>
      </c>
      <c r="CV64" s="217">
        <f t="shared" si="57"/>
        <v>4.1962174940898347</v>
      </c>
      <c r="CW64" s="172">
        <f t="shared" si="58"/>
        <v>130.27779738032791</v>
      </c>
      <c r="CX64" s="172">
        <f t="shared" si="59"/>
        <v>28</v>
      </c>
      <c r="CY64" s="217">
        <f t="shared" si="60"/>
        <v>5.8584507042253522</v>
      </c>
      <c r="CZ64" s="217">
        <f t="shared" si="61"/>
        <v>0.98338279678068408</v>
      </c>
      <c r="DA64" s="217">
        <f t="shared" si="62"/>
        <v>0.96953233485419565</v>
      </c>
      <c r="DB64" s="197">
        <f t="shared" si="63"/>
        <v>350</v>
      </c>
      <c r="DC64" s="443">
        <f t="shared" si="116"/>
        <v>350</v>
      </c>
      <c r="DE64" s="217">
        <f t="shared" si="64"/>
        <v>8.5709974347366842</v>
      </c>
      <c r="DF64" s="173">
        <f t="shared" si="65"/>
        <v>1.418439716312057</v>
      </c>
      <c r="DG64" s="173">
        <f t="shared" si="66"/>
        <v>2.1275525547218721</v>
      </c>
      <c r="DH64" s="173"/>
      <c r="DI64" s="173">
        <f t="shared" si="67"/>
        <v>0.55164319248826299</v>
      </c>
      <c r="DJ64" s="545">
        <f t="shared" si="117"/>
        <v>1604.2978723404251</v>
      </c>
      <c r="DK64" s="528">
        <f t="shared" si="68"/>
        <v>0.3217918622848201</v>
      </c>
      <c r="DM64" s="173">
        <f t="shared" si="69"/>
        <v>7.1365321540234321</v>
      </c>
      <c r="DN64" s="173">
        <f t="shared" si="70"/>
        <v>7.1365321540234321</v>
      </c>
      <c r="DO64" s="173">
        <f t="shared" si="71"/>
        <v>4.0171843116222954</v>
      </c>
      <c r="DQ64" s="545">
        <f t="shared" si="72"/>
        <v>1474.9999999999998</v>
      </c>
      <c r="DR64" s="460">
        <f t="shared" si="73"/>
        <v>350</v>
      </c>
      <c r="DT64">
        <f t="shared" si="74"/>
        <v>1474.9999999999998</v>
      </c>
      <c r="DU64">
        <f t="shared" si="75"/>
        <v>350</v>
      </c>
      <c r="DW64" s="5">
        <f t="shared" si="118"/>
        <v>2.8571428571428572</v>
      </c>
      <c r="DX64" s="5">
        <f t="shared" si="76"/>
        <v>1.1979178972825049</v>
      </c>
      <c r="DY64" s="5">
        <f t="shared" si="119"/>
        <v>1.6592249598603523</v>
      </c>
      <c r="DZ64" s="5">
        <f t="shared" si="77"/>
        <v>1.181045814222188</v>
      </c>
      <c r="EA64" s="173">
        <f t="shared" si="120"/>
        <v>0.41927126404887671</v>
      </c>
      <c r="EB64" s="173">
        <f t="shared" si="78"/>
        <v>41.889999999999986</v>
      </c>
      <c r="EC64" s="173">
        <f t="shared" si="79"/>
        <v>2.0721946484402873</v>
      </c>
      <c r="ED64" s="173">
        <f t="shared" si="121"/>
        <v>20.21528239710976</v>
      </c>
      <c r="EE64" s="460">
        <f t="shared" si="80"/>
        <v>6.3104603517560518</v>
      </c>
      <c r="EF64" s="5">
        <f t="shared" si="81"/>
        <v>1.7481120112814423</v>
      </c>
      <c r="EG64" s="5"/>
      <c r="EH64" s="173">
        <f t="shared" si="122"/>
        <v>2.6679282667412894</v>
      </c>
      <c r="EI64" s="173">
        <f t="shared" si="82"/>
        <v>3.1398814986120516</v>
      </c>
      <c r="EJ64" s="173"/>
      <c r="EK64" s="528">
        <f t="shared" si="83"/>
        <v>8.5414094837726162E-2</v>
      </c>
      <c r="EL64" s="528">
        <f t="shared" si="84"/>
        <v>2.6766277496880284</v>
      </c>
      <c r="EM64" s="528">
        <f t="shared" si="85"/>
        <v>4.0250000000000001E-2</v>
      </c>
      <c r="EN64" s="528">
        <f t="shared" si="86"/>
        <v>0.54831797999999998</v>
      </c>
      <c r="EO64">
        <f t="shared" si="87"/>
        <v>1.26E-2</v>
      </c>
      <c r="EP64" s="460">
        <f t="shared" si="123"/>
        <v>52.85</v>
      </c>
      <c r="EQ64" s="528">
        <f t="shared" si="88"/>
        <v>3.4564175114251685</v>
      </c>
      <c r="ER64" s="460">
        <f t="shared" si="124"/>
        <v>3456.4175114251684</v>
      </c>
      <c r="ES64" s="528">
        <f t="shared" si="125"/>
        <v>0.98913499999999976</v>
      </c>
      <c r="ET64" s="528"/>
      <c r="EV64" s="460">
        <f t="shared" si="126"/>
        <v>989.13499999999976</v>
      </c>
      <c r="EW64" s="528">
        <f t="shared" si="89"/>
        <v>9.9649777310680532E-2</v>
      </c>
      <c r="EX64" s="528">
        <f t="shared" si="90"/>
        <v>0.13802398155456769</v>
      </c>
      <c r="EY64" s="528">
        <f t="shared" si="91"/>
        <v>15.59043318582386</v>
      </c>
      <c r="EZ64" s="528">
        <f t="shared" si="92"/>
        <v>16.193041530661031</v>
      </c>
      <c r="FA64" s="528">
        <f t="shared" si="93"/>
        <v>1.7825531914893618</v>
      </c>
      <c r="FB64" s="460">
        <f t="shared" si="127"/>
        <v>17975.594722150392</v>
      </c>
      <c r="FC64" s="173">
        <f t="shared" si="128"/>
        <v>22.42114723357556</v>
      </c>
      <c r="FD64" s="5">
        <f t="shared" si="129"/>
        <v>41.3</v>
      </c>
      <c r="FE64" s="173">
        <f t="shared" si="130"/>
        <v>0.64813647890881743</v>
      </c>
      <c r="FF64" s="5">
        <f t="shared" si="131"/>
        <v>64.813647890881739</v>
      </c>
      <c r="FI64" s="562">
        <f t="shared" si="94"/>
        <v>-50</v>
      </c>
      <c r="FJ64">
        <f t="shared" si="95"/>
        <v>-50</v>
      </c>
      <c r="FL64">
        <f t="shared" si="181"/>
        <v>0.41336603497776575</v>
      </c>
    </row>
    <row r="65" spans="5:168">
      <c r="E65" s="170">
        <v>60</v>
      </c>
      <c r="F65" s="217">
        <f t="shared" si="182"/>
        <v>1.5</v>
      </c>
      <c r="G65" s="217"/>
      <c r="H65" s="217">
        <f t="shared" si="132"/>
        <v>42</v>
      </c>
      <c r="I65" s="541">
        <f t="shared" si="133"/>
        <v>27.907103351868635</v>
      </c>
      <c r="J65" s="172">
        <f t="shared" si="134"/>
        <v>28.450021272070732</v>
      </c>
      <c r="K65" s="172">
        <f t="shared" si="135"/>
        <v>56.450021272070728</v>
      </c>
      <c r="L65" s="443"/>
      <c r="M65" s="217">
        <f t="shared" si="136"/>
        <v>0.50481989206846523</v>
      </c>
      <c r="N65" s="172">
        <f t="shared" si="137"/>
        <v>118.65944061883245</v>
      </c>
      <c r="O65" s="172">
        <f t="shared" si="98"/>
        <v>42</v>
      </c>
      <c r="P65" s="217">
        <f t="shared" si="138"/>
        <v>4.237837164958302</v>
      </c>
      <c r="Q65" s="217">
        <f t="shared" si="139"/>
        <v>28</v>
      </c>
      <c r="R65" s="217">
        <f t="shared" si="140"/>
        <v>4.1928752684624486</v>
      </c>
      <c r="S65" s="172">
        <f t="shared" si="141"/>
        <v>127.21982920380499</v>
      </c>
      <c r="T65" s="172">
        <f t="shared" si="142"/>
        <v>28</v>
      </c>
      <c r="U65" s="217">
        <f t="shared" si="143"/>
        <v>6.058401684452944</v>
      </c>
      <c r="V65" s="217">
        <f t="shared" si="11"/>
        <v>1.020331188009959</v>
      </c>
      <c r="W65" s="217">
        <f t="shared" si="144"/>
        <v>1.0008599868739685</v>
      </c>
      <c r="X65" s="197">
        <f t="shared" si="145"/>
        <v>350</v>
      </c>
      <c r="Y65" s="443">
        <f t="shared" si="14"/>
        <v>350</v>
      </c>
      <c r="AA65" s="217">
        <f t="shared" si="146"/>
        <v>8.5641176913564543</v>
      </c>
      <c r="AB65" s="173">
        <f t="shared" si="147"/>
        <v>1.4148092461670643</v>
      </c>
      <c r="AC65" s="173">
        <f t="shared" si="148"/>
        <v>2.1204037566239577</v>
      </c>
      <c r="AD65" s="173"/>
      <c r="AE65" s="173">
        <f t="shared" si="149"/>
        <v>0.5506732848051179</v>
      </c>
      <c r="AF65" s="545">
        <f t="shared" si="150"/>
        <v>1634.3629241402334</v>
      </c>
      <c r="AG65" s="528">
        <f t="shared" si="151"/>
        <v>0.32122608280298542</v>
      </c>
      <c r="AI65" s="173">
        <f t="shared" si="152"/>
        <v>7.2030922022623818</v>
      </c>
      <c r="AJ65" s="173">
        <f t="shared" si="153"/>
        <v>7.2030922022623818</v>
      </c>
      <c r="AK65" s="173">
        <f t="shared" si="154"/>
        <v>4.0664880510585544</v>
      </c>
      <c r="AM65" s="545">
        <f t="shared" si="155"/>
        <v>1500</v>
      </c>
      <c r="AN65" s="460">
        <f t="shared" si="156"/>
        <v>350</v>
      </c>
      <c r="AP65">
        <f t="shared" si="157"/>
        <v>1500</v>
      </c>
      <c r="AQ65">
        <f t="shared" si="158"/>
        <v>350</v>
      </c>
      <c r="AS65" s="5">
        <f t="shared" si="101"/>
        <v>2.8571428571428572</v>
      </c>
      <c r="AT65" s="5">
        <f t="shared" si="159"/>
        <v>1.2131152747662837</v>
      </c>
      <c r="AU65" s="5">
        <f t="shared" si="102"/>
        <v>1.6440275823765735</v>
      </c>
      <c r="AV65" s="5">
        <f t="shared" si="160"/>
        <v>1.1899651331321868</v>
      </c>
      <c r="AW65" s="173">
        <f t="shared" si="103"/>
        <v>0.4245903461681993</v>
      </c>
      <c r="AX65" s="173">
        <f t="shared" si="161"/>
        <v>42.675031908106099</v>
      </c>
      <c r="AY65" s="173">
        <f t="shared" si="162"/>
        <v>2.0723643953111703</v>
      </c>
      <c r="AZ65" s="173">
        <f t="shared" si="104"/>
        <v>20.592436351763485</v>
      </c>
      <c r="BA65" s="460">
        <f t="shared" si="163"/>
        <v>6.4988318291050913</v>
      </c>
      <c r="BB65" s="5">
        <f t="shared" si="164"/>
        <v>1.7673216331136969</v>
      </c>
      <c r="BC65" s="5"/>
      <c r="BD65" s="173">
        <f t="shared" si="105"/>
        <v>2.7098384725581561</v>
      </c>
      <c r="BE65" s="173">
        <f t="shared" si="165"/>
        <v>3.1546190278290962</v>
      </c>
      <c r="BF65" s="173"/>
      <c r="BG65" s="528">
        <f t="shared" si="166"/>
        <v>8.811869456827584E-2</v>
      </c>
      <c r="BH65" s="528">
        <f t="shared" si="167"/>
        <v>2.5972514476208191</v>
      </c>
      <c r="BI65" s="528">
        <f t="shared" si="168"/>
        <v>4.0250000000000001E-2</v>
      </c>
      <c r="BJ65" s="528">
        <f t="shared" si="169"/>
        <v>0.54929101991627138</v>
      </c>
      <c r="BK65">
        <f t="shared" si="170"/>
        <v>1.2558196508340886E-2</v>
      </c>
      <c r="BL65" s="460">
        <f t="shared" si="106"/>
        <v>52.808196508340885</v>
      </c>
      <c r="BM65" s="528">
        <f t="shared" si="171"/>
        <v>3.3281343649258162</v>
      </c>
      <c r="BN65" s="460">
        <f t="shared" si="107"/>
        <v>3328.134364925816</v>
      </c>
      <c r="BO65" s="528">
        <f t="shared" si="172"/>
        <v>1.0058999999999998</v>
      </c>
      <c r="BP65" s="528"/>
      <c r="BR65" s="460">
        <f t="shared" si="109"/>
        <v>1005.8999999999997</v>
      </c>
      <c r="BS65" s="528">
        <f t="shared" si="173"/>
        <v>0.10280514366298849</v>
      </c>
      <c r="BT65" s="528">
        <f t="shared" si="174"/>
        <v>0.13932269695037949</v>
      </c>
      <c r="BU65" s="528">
        <f t="shared" si="175"/>
        <v>15.956496822542649</v>
      </c>
      <c r="BV65" s="528">
        <f t="shared" si="176"/>
        <v>16.577852107527494</v>
      </c>
      <c r="BW65" s="528">
        <f t="shared" si="177"/>
        <v>1.8159588046002597</v>
      </c>
      <c r="BX65" s="460">
        <f t="shared" si="110"/>
        <v>18393.810912127756</v>
      </c>
      <c r="BY65" s="173">
        <f t="shared" si="45"/>
        <v>22.780653473561912</v>
      </c>
      <c r="BZ65" s="5">
        <f t="shared" si="111"/>
        <v>42</v>
      </c>
      <c r="CA65" s="173">
        <f t="shared" si="112"/>
        <v>0.64834171543423713</v>
      </c>
      <c r="CB65" s="5">
        <f t="shared" si="113"/>
        <v>64.834171543423707</v>
      </c>
      <c r="CE65" s="562">
        <f t="shared" si="178"/>
        <v>-50</v>
      </c>
      <c r="CF65">
        <f t="shared" si="179"/>
        <v>-50</v>
      </c>
      <c r="CG65" s="173">
        <f t="shared" si="180"/>
        <v>0.41982139059366663</v>
      </c>
      <c r="CI65" s="170">
        <v>60</v>
      </c>
      <c r="CJ65" s="217">
        <f t="shared" si="114"/>
        <v>1.5</v>
      </c>
      <c r="CK65" s="217"/>
      <c r="CL65" s="217">
        <f t="shared" si="49"/>
        <v>42</v>
      </c>
      <c r="CM65" s="541">
        <f t="shared" si="50"/>
        <v>28</v>
      </c>
      <c r="CN65" s="172">
        <f t="shared" si="51"/>
        <v>28.4</v>
      </c>
      <c r="CO65" s="443">
        <f t="shared" si="52"/>
        <v>56.4</v>
      </c>
      <c r="CP65" s="443"/>
      <c r="CQ65" s="217">
        <f t="shared" si="53"/>
        <v>0.50354609929078009</v>
      </c>
      <c r="CR65" s="172">
        <f t="shared" si="54"/>
        <v>118.75402645742166</v>
      </c>
      <c r="CS65" s="172">
        <f t="shared" si="115"/>
        <v>42</v>
      </c>
      <c r="CT65" s="217">
        <f t="shared" si="55"/>
        <v>4.2412152306222017</v>
      </c>
      <c r="CU65" s="217">
        <f t="shared" si="56"/>
        <v>28</v>
      </c>
      <c r="CV65" s="217">
        <f t="shared" si="57"/>
        <v>4.1962174940898347</v>
      </c>
      <c r="CW65" s="172">
        <f t="shared" si="58"/>
        <v>127.64302615302968</v>
      </c>
      <c r="CX65" s="172">
        <f t="shared" si="59"/>
        <v>28</v>
      </c>
      <c r="CY65" s="217">
        <f t="shared" si="60"/>
        <v>5.9577464788732399</v>
      </c>
      <c r="CZ65" s="217">
        <f t="shared" si="61"/>
        <v>1.0000503018108653</v>
      </c>
      <c r="DA65" s="217">
        <f t="shared" si="62"/>
        <v>0.98596508629240254</v>
      </c>
      <c r="DB65" s="197">
        <f t="shared" si="63"/>
        <v>350</v>
      </c>
      <c r="DC65" s="443">
        <f t="shared" si="116"/>
        <v>350</v>
      </c>
      <c r="DE65" s="217">
        <f t="shared" si="64"/>
        <v>8.5709974347366842</v>
      </c>
      <c r="DF65" s="173">
        <f t="shared" si="65"/>
        <v>1.418439716312057</v>
      </c>
      <c r="DG65" s="173">
        <f t="shared" si="66"/>
        <v>2.1275525547218721</v>
      </c>
      <c r="DH65" s="173"/>
      <c r="DI65" s="173">
        <f t="shared" si="67"/>
        <v>0.55164319248826299</v>
      </c>
      <c r="DJ65" s="545">
        <f t="shared" si="117"/>
        <v>1631.4893617021273</v>
      </c>
      <c r="DK65" s="528">
        <f t="shared" si="68"/>
        <v>0.3217918622848201</v>
      </c>
      <c r="DM65" s="173">
        <f t="shared" si="69"/>
        <v>7.1967571217812267</v>
      </c>
      <c r="DN65" s="173">
        <f t="shared" si="70"/>
        <v>7.1967571217812267</v>
      </c>
      <c r="DO65" s="173">
        <f t="shared" si="71"/>
        <v>4.0617953988502915</v>
      </c>
      <c r="DQ65" s="545">
        <f t="shared" si="72"/>
        <v>1500</v>
      </c>
      <c r="DR65" s="460">
        <f t="shared" si="73"/>
        <v>350</v>
      </c>
      <c r="DT65">
        <f t="shared" si="74"/>
        <v>1500</v>
      </c>
      <c r="DU65">
        <f t="shared" si="75"/>
        <v>350</v>
      </c>
      <c r="DW65" s="5">
        <f t="shared" si="118"/>
        <v>2.8571428571428572</v>
      </c>
      <c r="DX65" s="5">
        <f t="shared" si="76"/>
        <v>1.2080270882989916</v>
      </c>
      <c r="DY65" s="5">
        <f t="shared" si="119"/>
        <v>1.6491157688438656</v>
      </c>
      <c r="DZ65" s="5">
        <f t="shared" si="77"/>
        <v>1.1910126222666113</v>
      </c>
      <c r="EA65" s="173">
        <f t="shared" si="120"/>
        <v>0.42280948090464704</v>
      </c>
      <c r="EB65" s="173">
        <f t="shared" si="78"/>
        <v>42.599999999999994</v>
      </c>
      <c r="EC65" s="173">
        <f t="shared" si="79"/>
        <v>2.0769499894620425</v>
      </c>
      <c r="ED65" s="173">
        <f t="shared" si="121"/>
        <v>20.510845333851279</v>
      </c>
      <c r="EE65" s="460">
        <f t="shared" si="80"/>
        <v>6.4715736873160266</v>
      </c>
      <c r="EF65" s="5">
        <f t="shared" si="81"/>
        <v>1.7669097523327131</v>
      </c>
      <c r="EG65" s="5"/>
      <c r="EH65" s="173">
        <f t="shared" si="122"/>
        <v>2.7017712593420398</v>
      </c>
      <c r="EI65" s="173">
        <f t="shared" si="82"/>
        <v>3.15671819333987</v>
      </c>
      <c r="EJ65" s="173"/>
      <c r="EK65" s="528">
        <f t="shared" si="83"/>
        <v>8.7594815253680056E-2</v>
      </c>
      <c r="EL65" s="528">
        <f t="shared" si="84"/>
        <v>2.6992157260952672</v>
      </c>
      <c r="EM65" s="528">
        <f t="shared" si="85"/>
        <v>4.0250000000000001E-2</v>
      </c>
      <c r="EN65" s="528">
        <f t="shared" si="86"/>
        <v>0.54831797999999998</v>
      </c>
      <c r="EO65">
        <f t="shared" si="87"/>
        <v>1.26E-2</v>
      </c>
      <c r="EP65" s="460">
        <f t="shared" si="123"/>
        <v>52.85</v>
      </c>
      <c r="EQ65" s="528">
        <f t="shared" si="88"/>
        <v>3.4841429444174379</v>
      </c>
      <c r="ER65" s="460">
        <f t="shared" si="124"/>
        <v>3484.1429444174378</v>
      </c>
      <c r="ES65" s="528">
        <f t="shared" si="125"/>
        <v>1.0058999999999998</v>
      </c>
      <c r="ET65" s="528"/>
      <c r="EV65" s="460">
        <f t="shared" si="126"/>
        <v>1005.8999999999997</v>
      </c>
      <c r="EW65" s="528">
        <f t="shared" si="89"/>
        <v>0.1021939511292934</v>
      </c>
      <c r="EX65" s="528">
        <f t="shared" si="90"/>
        <v>0.13950817653028105</v>
      </c>
      <c r="EY65" s="528">
        <f t="shared" si="91"/>
        <v>15.921435830586439</v>
      </c>
      <c r="EZ65" s="528">
        <f t="shared" si="92"/>
        <v>16.540985785520068</v>
      </c>
      <c r="FA65" s="528">
        <f t="shared" si="93"/>
        <v>1.8127659574468082</v>
      </c>
      <c r="FB65" s="460">
        <f t="shared" si="127"/>
        <v>18353.751742966873</v>
      </c>
      <c r="FC65" s="173">
        <f t="shared" si="128"/>
        <v>22.84379468738431</v>
      </c>
      <c r="FD65" s="5">
        <f t="shared" si="129"/>
        <v>42</v>
      </c>
      <c r="FE65" s="173">
        <f t="shared" si="130"/>
        <v>0.64771039700073751</v>
      </c>
      <c r="FF65" s="5">
        <f t="shared" si="131"/>
        <v>64.771039700073757</v>
      </c>
      <c r="FI65" s="562">
        <f t="shared" si="94"/>
        <v>-50</v>
      </c>
      <c r="FJ65">
        <f t="shared" si="95"/>
        <v>-50</v>
      </c>
      <c r="FL65">
        <f t="shared" si="181"/>
        <v>0.41685441779331406</v>
      </c>
    </row>
    <row r="66" spans="5:168">
      <c r="E66" s="170">
        <v>61</v>
      </c>
      <c r="F66" s="217">
        <f t="shared" si="182"/>
        <v>1.5249999999999999</v>
      </c>
      <c r="G66" s="217"/>
      <c r="H66" s="217">
        <f t="shared" si="132"/>
        <v>42.699999999999996</v>
      </c>
      <c r="I66" s="541">
        <f t="shared" si="133"/>
        <v>27.906332412109222</v>
      </c>
      <c r="J66" s="172">
        <f t="shared" si="134"/>
        <v>28.450436393479649</v>
      </c>
      <c r="K66" s="172">
        <f t="shared" si="135"/>
        <v>56.450436393479649</v>
      </c>
      <c r="L66" s="443"/>
      <c r="M66" s="217">
        <f t="shared" si="136"/>
        <v>0.50483047118581215</v>
      </c>
      <c r="N66" s="172">
        <f t="shared" si="137"/>
        <v>118.65864921094509</v>
      </c>
      <c r="O66" s="172">
        <f t="shared" si="98"/>
        <v>42.699999999999996</v>
      </c>
      <c r="P66" s="217">
        <f t="shared" si="138"/>
        <v>4.2378089003908963</v>
      </c>
      <c r="Q66" s="217">
        <f t="shared" si="139"/>
        <v>28</v>
      </c>
      <c r="R66" s="217">
        <f t="shared" si="140"/>
        <v>4.1928473037717264</v>
      </c>
      <c r="S66" s="172">
        <f t="shared" si="141"/>
        <v>124.67653294806695</v>
      </c>
      <c r="T66" s="172">
        <f t="shared" si="142"/>
        <v>28</v>
      </c>
      <c r="U66" s="217">
        <f t="shared" si="143"/>
        <v>6.1595066386738662</v>
      </c>
      <c r="V66" s="217">
        <f t="shared" si="11"/>
        <v>1.0373875281871585</v>
      </c>
      <c r="W66" s="217">
        <f t="shared" si="144"/>
        <v>1.0175478787524659</v>
      </c>
      <c r="X66" s="197">
        <f t="shared" si="145"/>
        <v>350</v>
      </c>
      <c r="Y66" s="443">
        <f t="shared" si="14"/>
        <v>350</v>
      </c>
      <c r="AA66" s="217">
        <f t="shared" si="146"/>
        <v>8.5640601338512568</v>
      </c>
      <c r="AB66" s="173">
        <f t="shared" si="147"/>
        <v>1.414779094155679</v>
      </c>
      <c r="AC66" s="173">
        <f t="shared" si="148"/>
        <v>2.120344316731348</v>
      </c>
      <c r="AD66" s="173"/>
      <c r="AE66" s="173">
        <f t="shared" si="149"/>
        <v>0.55066524991009269</v>
      </c>
      <c r="AF66" s="545">
        <f t="shared" si="150"/>
        <v>1661.6265510659921</v>
      </c>
      <c r="AG66" s="528">
        <f t="shared" si="151"/>
        <v>0.32122139578088738</v>
      </c>
      <c r="AI66" s="173">
        <f t="shared" si="152"/>
        <v>7.2629229130006765</v>
      </c>
      <c r="AJ66" s="173">
        <f t="shared" si="153"/>
        <v>7.2629229130006765</v>
      </c>
      <c r="AK66" s="173">
        <f t="shared" si="154"/>
        <v>4.1108070960498839</v>
      </c>
      <c r="AM66" s="545">
        <f t="shared" si="155"/>
        <v>1525</v>
      </c>
      <c r="AN66" s="460">
        <f t="shared" si="156"/>
        <v>350</v>
      </c>
      <c r="AP66">
        <f t="shared" si="157"/>
        <v>1525</v>
      </c>
      <c r="AQ66">
        <f t="shared" si="158"/>
        <v>350</v>
      </c>
      <c r="AS66" s="5">
        <f t="shared" si="101"/>
        <v>2.8571428571428572</v>
      </c>
      <c r="AT66" s="5">
        <f t="shared" si="159"/>
        <v>1.2232255097875517</v>
      </c>
      <c r="AU66" s="5">
        <f t="shared" si="102"/>
        <v>1.6339173473553055</v>
      </c>
      <c r="AV66" s="5">
        <f t="shared" si="160"/>
        <v>1.1998317782895769</v>
      </c>
      <c r="AW66" s="173">
        <f t="shared" si="103"/>
        <v>0.4281289284256431</v>
      </c>
      <c r="AX66" s="173">
        <f t="shared" si="161"/>
        <v>43.386915500056467</v>
      </c>
      <c r="AY66" s="173">
        <f t="shared" si="162"/>
        <v>2.0767277545098235</v>
      </c>
      <c r="AZ66" s="173">
        <f t="shared" si="104"/>
        <v>20.891961118079831</v>
      </c>
      <c r="BA66" s="460">
        <f t="shared" si="163"/>
        <v>6.6622103658072014</v>
      </c>
      <c r="BB66" s="5">
        <f t="shared" si="164"/>
        <v>1.7857767319044924</v>
      </c>
      <c r="BC66" s="5"/>
      <c r="BD66" s="173">
        <f t="shared" si="105"/>
        <v>2.743709293128711</v>
      </c>
      <c r="BE66" s="173">
        <f t="shared" si="165"/>
        <v>3.1710264996573629</v>
      </c>
      <c r="BF66" s="173"/>
      <c r="BG66" s="528">
        <f t="shared" si="166"/>
        <v>9.0335288222410215E-2</v>
      </c>
      <c r="BH66" s="528">
        <f t="shared" si="167"/>
        <v>2.6188441351598413</v>
      </c>
      <c r="BI66" s="528">
        <f t="shared" si="168"/>
        <v>4.0250000000000001E-2</v>
      </c>
      <c r="BJ66" s="528">
        <f t="shared" si="169"/>
        <v>0.54929909868383853</v>
      </c>
      <c r="BK66">
        <f t="shared" si="170"/>
        <v>1.255784958544915E-2</v>
      </c>
      <c r="BL66" s="460">
        <f t="shared" si="106"/>
        <v>52.807849585449148</v>
      </c>
      <c r="BM66" s="528">
        <f t="shared" si="171"/>
        <v>3.3548770042832623</v>
      </c>
      <c r="BN66" s="460">
        <f t="shared" si="107"/>
        <v>3354.8770042832625</v>
      </c>
      <c r="BO66" s="528">
        <f t="shared" si="172"/>
        <v>1.0226649999999999</v>
      </c>
      <c r="BP66" s="528"/>
      <c r="BR66" s="460">
        <f t="shared" si="109"/>
        <v>1022.665</v>
      </c>
      <c r="BS66" s="528">
        <f t="shared" si="173"/>
        <v>0.10539116959281192</v>
      </c>
      <c r="BT66" s="528">
        <f t="shared" si="174"/>
        <v>0.14077572686140918</v>
      </c>
      <c r="BU66" s="528">
        <f t="shared" si="175"/>
        <v>16.289910639010756</v>
      </c>
      <c r="BV66" s="528">
        <f t="shared" si="176"/>
        <v>16.928537228293898</v>
      </c>
      <c r="BW66" s="528">
        <f t="shared" si="177"/>
        <v>1.8462517234066582</v>
      </c>
      <c r="BX66" s="460">
        <f t="shared" si="110"/>
        <v>18774.788951700557</v>
      </c>
      <c r="BY66" s="173">
        <f t="shared" si="45"/>
        <v>23.20513880556927</v>
      </c>
      <c r="BZ66" s="5">
        <f t="shared" si="111"/>
        <v>42.699999999999996</v>
      </c>
      <c r="CA66" s="173">
        <f t="shared" si="112"/>
        <v>0.6479009190159184</v>
      </c>
      <c r="CB66" s="5">
        <f t="shared" si="113"/>
        <v>64.790091901591836</v>
      </c>
      <c r="CE66" s="562">
        <f t="shared" si="178"/>
        <v>-50</v>
      </c>
      <c r="CF66">
        <f t="shared" si="179"/>
        <v>-50</v>
      </c>
      <c r="CG66" s="173">
        <f t="shared" si="180"/>
        <v>0.42330544527563069</v>
      </c>
      <c r="CI66" s="170">
        <v>61</v>
      </c>
      <c r="CJ66" s="217">
        <f t="shared" si="114"/>
        <v>1.5249999999999999</v>
      </c>
      <c r="CK66" s="217"/>
      <c r="CL66" s="217">
        <f t="shared" si="49"/>
        <v>42.699999999999996</v>
      </c>
      <c r="CM66" s="541">
        <f t="shared" si="50"/>
        <v>28</v>
      </c>
      <c r="CN66" s="172">
        <f t="shared" si="51"/>
        <v>28.4</v>
      </c>
      <c r="CO66" s="443">
        <f t="shared" si="52"/>
        <v>56.4</v>
      </c>
      <c r="CP66" s="443"/>
      <c r="CQ66" s="217">
        <f t="shared" si="53"/>
        <v>0.50354609929078009</v>
      </c>
      <c r="CR66" s="172">
        <f t="shared" si="54"/>
        <v>118.75402645742166</v>
      </c>
      <c r="CS66" s="172">
        <f t="shared" si="115"/>
        <v>42.699999999999996</v>
      </c>
      <c r="CT66" s="217">
        <f t="shared" si="55"/>
        <v>4.2412152306222017</v>
      </c>
      <c r="CU66" s="217">
        <f t="shared" si="56"/>
        <v>28</v>
      </c>
      <c r="CV66" s="217">
        <f t="shared" si="57"/>
        <v>4.1962174940898347</v>
      </c>
      <c r="CW66" s="172">
        <f t="shared" si="58"/>
        <v>125.09471126973644</v>
      </c>
      <c r="CX66" s="172">
        <f t="shared" si="59"/>
        <v>28</v>
      </c>
      <c r="CY66" s="217">
        <f t="shared" si="60"/>
        <v>6.0570422535211268</v>
      </c>
      <c r="CZ66" s="217">
        <f t="shared" si="61"/>
        <v>1.0167178068410463</v>
      </c>
      <c r="DA66" s="217">
        <f t="shared" si="62"/>
        <v>1.0023978377306089</v>
      </c>
      <c r="DB66" s="197">
        <f t="shared" si="63"/>
        <v>350</v>
      </c>
      <c r="DC66" s="443">
        <f t="shared" si="116"/>
        <v>350</v>
      </c>
      <c r="DE66" s="217">
        <f t="shared" si="64"/>
        <v>8.5709974347366842</v>
      </c>
      <c r="DF66" s="173">
        <f t="shared" si="65"/>
        <v>1.418439716312057</v>
      </c>
      <c r="DG66" s="173">
        <f t="shared" si="66"/>
        <v>2.1275525547218721</v>
      </c>
      <c r="DH66" s="173"/>
      <c r="DI66" s="173">
        <f t="shared" si="67"/>
        <v>0.55164319248826299</v>
      </c>
      <c r="DJ66" s="545">
        <f t="shared" si="117"/>
        <v>1658.6808510638296</v>
      </c>
      <c r="DK66" s="528">
        <f t="shared" si="68"/>
        <v>0.3217918622848201</v>
      </c>
      <c r="DM66" s="173">
        <f t="shared" si="69"/>
        <v>7.2564822713493413</v>
      </c>
      <c r="DN66" s="173">
        <f t="shared" si="70"/>
        <v>7.2564822713493413</v>
      </c>
      <c r="DO66" s="173">
        <f t="shared" si="71"/>
        <v>4.1060362503822283</v>
      </c>
      <c r="DQ66" s="545">
        <f t="shared" si="72"/>
        <v>1525</v>
      </c>
      <c r="DR66" s="460">
        <f t="shared" si="73"/>
        <v>350</v>
      </c>
      <c r="DT66">
        <f t="shared" si="74"/>
        <v>1525</v>
      </c>
      <c r="DU66">
        <f t="shared" si="75"/>
        <v>350</v>
      </c>
      <c r="DW66" s="5">
        <f t="shared" si="118"/>
        <v>2.8571428571428572</v>
      </c>
      <c r="DX66" s="5">
        <f t="shared" si="76"/>
        <v>1.2180523812622108</v>
      </c>
      <c r="DY66" s="5">
        <f t="shared" si="119"/>
        <v>1.6390904758806464</v>
      </c>
      <c r="DZ66" s="5">
        <f t="shared" si="77"/>
        <v>1.2008967139204896</v>
      </c>
      <c r="EA66" s="173">
        <f t="shared" si="120"/>
        <v>0.42631833344177378</v>
      </c>
      <c r="EB66" s="173">
        <f t="shared" si="78"/>
        <v>43.310000000000009</v>
      </c>
      <c r="EC66" s="173">
        <f t="shared" si="79"/>
        <v>2.0814554213889567</v>
      </c>
      <c r="ED66" s="173">
        <f t="shared" si="121"/>
        <v>20.80755588370911</v>
      </c>
      <c r="EE66" s="460">
        <f t="shared" si="80"/>
        <v>6.6340352908031113</v>
      </c>
      <c r="EF66" s="5">
        <f t="shared" si="81"/>
        <v>1.7854378397985609</v>
      </c>
      <c r="EG66" s="5"/>
      <c r="EH66" s="173">
        <f t="shared" si="122"/>
        <v>2.7354735255272487</v>
      </c>
      <c r="EI66" s="173">
        <f t="shared" si="82"/>
        <v>3.1732259467732975</v>
      </c>
      <c r="EJ66" s="173"/>
      <c r="EK66" s="528">
        <f t="shared" si="83"/>
        <v>8.9793784906325697E-2</v>
      </c>
      <c r="EL66" s="528">
        <f t="shared" si="84"/>
        <v>2.7216162406922839</v>
      </c>
      <c r="EM66" s="528">
        <f t="shared" si="85"/>
        <v>4.0250000000000001E-2</v>
      </c>
      <c r="EN66" s="528">
        <f t="shared" si="86"/>
        <v>0.54831797999999998</v>
      </c>
      <c r="EO66">
        <f t="shared" si="87"/>
        <v>1.26E-2</v>
      </c>
      <c r="EP66" s="460">
        <f t="shared" si="123"/>
        <v>52.85</v>
      </c>
      <c r="EQ66" s="528">
        <f t="shared" si="88"/>
        <v>3.511745427792047</v>
      </c>
      <c r="ER66" s="460">
        <f t="shared" si="124"/>
        <v>3511.7454277920469</v>
      </c>
      <c r="ES66" s="528">
        <f t="shared" si="125"/>
        <v>1.0226649999999999</v>
      </c>
      <c r="ET66" s="528"/>
      <c r="EV66" s="460">
        <f t="shared" si="126"/>
        <v>1022.665</v>
      </c>
      <c r="EW66" s="528">
        <f t="shared" si="89"/>
        <v>0.10475941572404665</v>
      </c>
      <c r="EX66" s="528">
        <f t="shared" si="90"/>
        <v>0.14097108072985406</v>
      </c>
      <c r="EY66" s="528">
        <f t="shared" si="91"/>
        <v>16.253820586425494</v>
      </c>
      <c r="EZ66" s="528">
        <f t="shared" si="92"/>
        <v>16.890568627159581</v>
      </c>
      <c r="FA66" s="528">
        <f t="shared" si="93"/>
        <v>1.8429787234042556</v>
      </c>
      <c r="FB66" s="460">
        <f t="shared" si="127"/>
        <v>18733.547350563837</v>
      </c>
      <c r="FC66" s="173">
        <f t="shared" si="128"/>
        <v>23.267957778355882</v>
      </c>
      <c r="FD66" s="5">
        <f t="shared" si="129"/>
        <v>42.699999999999996</v>
      </c>
      <c r="FE66" s="173">
        <f t="shared" si="130"/>
        <v>0.64728394569173531</v>
      </c>
      <c r="FF66" s="5">
        <f t="shared" si="131"/>
        <v>64.728394569173531</v>
      </c>
      <c r="FI66" s="562">
        <f t="shared" si="94"/>
        <v>-50</v>
      </c>
      <c r="FJ66">
        <f t="shared" si="95"/>
        <v>-50</v>
      </c>
      <c r="FL66">
        <f t="shared" si="181"/>
        <v>0.42031384987217135</v>
      </c>
    </row>
    <row r="67" spans="5:168">
      <c r="E67" s="170">
        <v>62</v>
      </c>
      <c r="F67" s="217">
        <f t="shared" si="182"/>
        <v>1.55</v>
      </c>
      <c r="G67" s="217"/>
      <c r="H67" s="217">
        <f t="shared" si="132"/>
        <v>43.4</v>
      </c>
      <c r="I67" s="541">
        <f t="shared" si="133"/>
        <v>27.905567766051465</v>
      </c>
      <c r="J67" s="172">
        <f t="shared" si="134"/>
        <v>28.450848125972286</v>
      </c>
      <c r="K67" s="172">
        <f t="shared" si="135"/>
        <v>56.450848125972286</v>
      </c>
      <c r="L67" s="443"/>
      <c r="M67" s="217">
        <f t="shared" si="136"/>
        <v>0.50484096406954215</v>
      </c>
      <c r="N67" s="172">
        <f t="shared" si="137"/>
        <v>118.65786415890078</v>
      </c>
      <c r="O67" s="172">
        <f t="shared" si="98"/>
        <v>43.4</v>
      </c>
      <c r="P67" s="217">
        <f t="shared" si="138"/>
        <v>4.2377808628178846</v>
      </c>
      <c r="Q67" s="217">
        <f t="shared" si="139"/>
        <v>28</v>
      </c>
      <c r="R67" s="217">
        <f t="shared" si="140"/>
        <v>4.1928195636670731</v>
      </c>
      <c r="S67" s="172">
        <f t="shared" si="141"/>
        <v>122.21540092244382</v>
      </c>
      <c r="T67" s="172">
        <f t="shared" si="142"/>
        <v>28</v>
      </c>
      <c r="U67" s="217">
        <f t="shared" si="143"/>
        <v>6.2606148228210401</v>
      </c>
      <c r="V67" s="217">
        <f t="shared" si="11"/>
        <v>1.054445116972526</v>
      </c>
      <c r="W67" s="217">
        <f t="shared" si="144"/>
        <v>1.0342359404181494</v>
      </c>
      <c r="X67" s="197">
        <f t="shared" si="145"/>
        <v>350</v>
      </c>
      <c r="Y67" s="443">
        <f t="shared" si="14"/>
        <v>350</v>
      </c>
      <c r="AA67" s="217">
        <f t="shared" si="146"/>
        <v>8.5640030386889681</v>
      </c>
      <c r="AB67" s="173">
        <f t="shared" si="147"/>
        <v>1.4147491879194236</v>
      </c>
      <c r="AC67" s="173">
        <f t="shared" si="148"/>
        <v>2.1202853602568212</v>
      </c>
      <c r="AD67" s="173"/>
      <c r="AE67" s="173">
        <f t="shared" si="149"/>
        <v>0.55065728084094756</v>
      </c>
      <c r="AF67" s="545">
        <f t="shared" si="150"/>
        <v>1688.8907717332484</v>
      </c>
      <c r="AG67" s="528">
        <f t="shared" si="151"/>
        <v>0.32121674715721943</v>
      </c>
      <c r="AI67" s="173">
        <f t="shared" si="152"/>
        <v>7.3222660464519969</v>
      </c>
      <c r="AJ67" s="173">
        <f t="shared" si="153"/>
        <v>7.3222660464519969</v>
      </c>
      <c r="AK67" s="173">
        <f t="shared" si="154"/>
        <v>4.1547649726804918</v>
      </c>
      <c r="AM67" s="545">
        <f t="shared" si="155"/>
        <v>1550</v>
      </c>
      <c r="AN67" s="460">
        <f t="shared" si="156"/>
        <v>350</v>
      </c>
      <c r="AP67">
        <f t="shared" si="157"/>
        <v>1550</v>
      </c>
      <c r="AQ67">
        <f t="shared" si="158"/>
        <v>350</v>
      </c>
      <c r="AS67" s="5">
        <f t="shared" si="101"/>
        <v>2.8571428571428572</v>
      </c>
      <c r="AT67" s="5">
        <f t="shared" si="159"/>
        <v>1.2332539049856404</v>
      </c>
      <c r="AU67" s="5">
        <f t="shared" si="102"/>
        <v>1.6238889521572168</v>
      </c>
      <c r="AV67" s="5">
        <f t="shared" si="160"/>
        <v>1.2096177332199753</v>
      </c>
      <c r="AW67" s="173">
        <f t="shared" si="103"/>
        <v>0.43163886674497409</v>
      </c>
      <c r="AX67" s="173">
        <f t="shared" si="161"/>
        <v>44.098814595257046</v>
      </c>
      <c r="AY67" s="173">
        <f t="shared" si="162"/>
        <v>2.0808457140781274</v>
      </c>
      <c r="AZ67" s="173">
        <f t="shared" si="104"/>
        <v>21.192736346045749</v>
      </c>
      <c r="BA67" s="460">
        <f t="shared" si="163"/>
        <v>6.8269412597419388</v>
      </c>
      <c r="BB67" s="5">
        <f t="shared" si="164"/>
        <v>1.8039610567650068</v>
      </c>
      <c r="BC67" s="5"/>
      <c r="BD67" s="173">
        <f t="shared" si="105"/>
        <v>2.7774429616000456</v>
      </c>
      <c r="BE67" s="173">
        <f t="shared" si="165"/>
        <v>3.1871100723695789</v>
      </c>
      <c r="BF67" s="173"/>
      <c r="BG67" s="528">
        <f t="shared" si="166"/>
        <v>9.2570272859299585E-2</v>
      </c>
      <c r="BH67" s="528">
        <f t="shared" si="167"/>
        <v>2.6402611709612636</v>
      </c>
      <c r="BI67" s="528">
        <f t="shared" si="168"/>
        <v>4.0250000000000001E-2</v>
      </c>
      <c r="BJ67" s="528">
        <f t="shared" si="169"/>
        <v>0.54930711155765644</v>
      </c>
      <c r="BK67">
        <f t="shared" si="170"/>
        <v>1.2557505494723158E-2</v>
      </c>
      <c r="BL67" s="460">
        <f t="shared" si="106"/>
        <v>52.807505494723159</v>
      </c>
      <c r="BM67" s="528">
        <f t="shared" si="171"/>
        <v>3.3815077672232268</v>
      </c>
      <c r="BN67" s="460">
        <f t="shared" si="107"/>
        <v>3381.5077672232269</v>
      </c>
      <c r="BO67" s="528">
        <f t="shared" si="172"/>
        <v>1.0394299999999999</v>
      </c>
      <c r="BP67" s="528"/>
      <c r="BR67" s="460">
        <f t="shared" si="109"/>
        <v>1039.4299999999998</v>
      </c>
      <c r="BS67" s="528">
        <f t="shared" si="173"/>
        <v>0.10799865166918285</v>
      </c>
      <c r="BT67" s="528">
        <f t="shared" si="174"/>
        <v>0.14220738858759471</v>
      </c>
      <c r="BU67" s="528">
        <f t="shared" si="175"/>
        <v>16.624702270253458</v>
      </c>
      <c r="BV67" s="528">
        <f t="shared" si="176"/>
        <v>17.280859800403174</v>
      </c>
      <c r="BW67" s="528">
        <f t="shared" si="177"/>
        <v>1.8765453019258314</v>
      </c>
      <c r="BX67" s="460">
        <f t="shared" si="110"/>
        <v>19157.405102329005</v>
      </c>
      <c r="BY67" s="173">
        <f t="shared" si="45"/>
        <v>23.631150375046953</v>
      </c>
      <c r="BZ67" s="5">
        <f t="shared" si="111"/>
        <v>43.4</v>
      </c>
      <c r="CA67" s="173">
        <f t="shared" si="112"/>
        <v>0.64746016974454468</v>
      </c>
      <c r="CB67" s="5">
        <f t="shared" si="113"/>
        <v>64.746016974454463</v>
      </c>
      <c r="CE67" s="562">
        <f t="shared" si="178"/>
        <v>-50</v>
      </c>
      <c r="CF67">
        <f t="shared" si="179"/>
        <v>-50</v>
      </c>
      <c r="CG67" s="173">
        <f t="shared" si="180"/>
        <v>0.42676105726741281</v>
      </c>
      <c r="CI67" s="170">
        <v>62</v>
      </c>
      <c r="CJ67" s="217">
        <f t="shared" si="114"/>
        <v>1.55</v>
      </c>
      <c r="CK67" s="217"/>
      <c r="CL67" s="217">
        <f t="shared" si="49"/>
        <v>43.4</v>
      </c>
      <c r="CM67" s="541">
        <f t="shared" si="50"/>
        <v>28</v>
      </c>
      <c r="CN67" s="172">
        <f t="shared" si="51"/>
        <v>28.4</v>
      </c>
      <c r="CO67" s="443">
        <f t="shared" si="52"/>
        <v>56.4</v>
      </c>
      <c r="CP67" s="443"/>
      <c r="CQ67" s="217">
        <f t="shared" si="53"/>
        <v>0.50354609929078009</v>
      </c>
      <c r="CR67" s="172">
        <f t="shared" si="54"/>
        <v>118.75402645742166</v>
      </c>
      <c r="CS67" s="172">
        <f t="shared" si="115"/>
        <v>43.4</v>
      </c>
      <c r="CT67" s="217">
        <f t="shared" si="55"/>
        <v>4.2412152306222017</v>
      </c>
      <c r="CU67" s="217">
        <f t="shared" si="56"/>
        <v>28</v>
      </c>
      <c r="CV67" s="217">
        <f t="shared" si="57"/>
        <v>4.1962174940898347</v>
      </c>
      <c r="CW67" s="172">
        <f t="shared" si="58"/>
        <v>122.6286700996401</v>
      </c>
      <c r="CX67" s="172">
        <f t="shared" si="59"/>
        <v>28</v>
      </c>
      <c r="CY67" s="217">
        <f t="shared" si="60"/>
        <v>6.1563380281690145</v>
      </c>
      <c r="CZ67" s="217">
        <f t="shared" si="61"/>
        <v>1.0333853118712273</v>
      </c>
      <c r="DA67" s="217">
        <f t="shared" si="62"/>
        <v>1.0188305891688159</v>
      </c>
      <c r="DB67" s="197">
        <f t="shared" si="63"/>
        <v>350</v>
      </c>
      <c r="DC67" s="443">
        <f t="shared" si="116"/>
        <v>350</v>
      </c>
      <c r="DE67" s="217">
        <f t="shared" si="64"/>
        <v>8.5709974347366842</v>
      </c>
      <c r="DF67" s="173">
        <f t="shared" si="65"/>
        <v>1.418439716312057</v>
      </c>
      <c r="DG67" s="173">
        <f t="shared" si="66"/>
        <v>2.1275525547218721</v>
      </c>
      <c r="DH67" s="173"/>
      <c r="DI67" s="173">
        <f t="shared" si="67"/>
        <v>0.55164319248826299</v>
      </c>
      <c r="DJ67" s="545">
        <f t="shared" si="117"/>
        <v>1685.8723404255318</v>
      </c>
      <c r="DK67" s="528">
        <f t="shared" si="68"/>
        <v>0.3217918622848201</v>
      </c>
      <c r="DM67" s="173">
        <f t="shared" si="69"/>
        <v>7.3157198442057485</v>
      </c>
      <c r="DN67" s="173">
        <f t="shared" si="70"/>
        <v>7.3157198442057485</v>
      </c>
      <c r="DO67" s="173">
        <f t="shared" si="71"/>
        <v>4.1499159339795666</v>
      </c>
      <c r="DQ67" s="545">
        <f t="shared" si="72"/>
        <v>1550</v>
      </c>
      <c r="DR67" s="460">
        <f t="shared" si="73"/>
        <v>350</v>
      </c>
      <c r="DT67">
        <f t="shared" si="74"/>
        <v>1550</v>
      </c>
      <c r="DU67">
        <f t="shared" si="75"/>
        <v>350</v>
      </c>
      <c r="DW67" s="5">
        <f t="shared" si="118"/>
        <v>2.8571428571428572</v>
      </c>
      <c r="DX67" s="5">
        <f t="shared" si="76"/>
        <v>1.2279958309916792</v>
      </c>
      <c r="DY67" s="5">
        <f t="shared" si="119"/>
        <v>1.629147026151178</v>
      </c>
      <c r="DZ67" s="5">
        <f t="shared" si="77"/>
        <v>1.210700115062219</v>
      </c>
      <c r="EA67" s="173">
        <f t="shared" si="120"/>
        <v>0.42979854084708768</v>
      </c>
      <c r="EB67" s="173">
        <f t="shared" si="78"/>
        <v>44.019999999999996</v>
      </c>
      <c r="EC67" s="173">
        <f t="shared" si="79"/>
        <v>2.0857170649600172</v>
      </c>
      <c r="ED67" s="173">
        <f t="shared" si="121"/>
        <v>21.105451328722697</v>
      </c>
      <c r="EE67" s="460">
        <f t="shared" si="80"/>
        <v>6.7978340644182245</v>
      </c>
      <c r="EF67" s="5">
        <f t="shared" si="81"/>
        <v>1.8036984932388043</v>
      </c>
      <c r="EG67" s="5"/>
      <c r="EH67" s="173">
        <f t="shared" si="122"/>
        <v>2.7690379433931351</v>
      </c>
      <c r="EI67" s="173">
        <f t="shared" si="82"/>
        <v>3.1894118289037316</v>
      </c>
      <c r="EJ67" s="173"/>
      <c r="EK67" s="528">
        <f t="shared" si="83"/>
        <v>9.2010853583410601E-2</v>
      </c>
      <c r="EL67" s="528">
        <f t="shared" si="84"/>
        <v>2.7438338847678083</v>
      </c>
      <c r="EM67" s="528">
        <f t="shared" si="85"/>
        <v>4.0250000000000001E-2</v>
      </c>
      <c r="EN67" s="528">
        <f t="shared" si="86"/>
        <v>0.54831797999999998</v>
      </c>
      <c r="EO67">
        <f t="shared" si="87"/>
        <v>1.26E-2</v>
      </c>
      <c r="EP67" s="460">
        <f t="shared" si="123"/>
        <v>52.85</v>
      </c>
      <c r="EQ67" s="528">
        <f t="shared" si="88"/>
        <v>3.5392295013398791</v>
      </c>
      <c r="ER67" s="460">
        <f t="shared" si="124"/>
        <v>3539.2295013398793</v>
      </c>
      <c r="ES67" s="528">
        <f t="shared" si="125"/>
        <v>1.0394299999999999</v>
      </c>
      <c r="ET67" s="528"/>
      <c r="EV67" s="460">
        <f t="shared" si="126"/>
        <v>1039.4299999999998</v>
      </c>
      <c r="EW67" s="528">
        <f t="shared" si="89"/>
        <v>0.10734599584731237</v>
      </c>
      <c r="EX67" s="528">
        <f t="shared" si="90"/>
        <v>0.14241286940091466</v>
      </c>
      <c r="EY67" s="528">
        <f t="shared" si="91"/>
        <v>16.587570423761047</v>
      </c>
      <c r="EZ67" s="528">
        <f t="shared" si="92"/>
        <v>17.241774295297613</v>
      </c>
      <c r="FA67" s="528">
        <f t="shared" si="93"/>
        <v>1.8731914893617025</v>
      </c>
      <c r="FB67" s="460">
        <f t="shared" si="127"/>
        <v>19114.965784659315</v>
      </c>
      <c r="FC67" s="173">
        <f t="shared" si="128"/>
        <v>23.693625285999193</v>
      </c>
      <c r="FD67" s="5">
        <f t="shared" si="129"/>
        <v>43.4</v>
      </c>
      <c r="FE67" s="173">
        <f t="shared" si="130"/>
        <v>0.64685728062836578</v>
      </c>
      <c r="FF67" s="5">
        <f t="shared" si="131"/>
        <v>64.685728062836574</v>
      </c>
      <c r="FI67" s="562">
        <f t="shared" si="94"/>
        <v>-50</v>
      </c>
      <c r="FJ67">
        <f t="shared" si="95"/>
        <v>-50</v>
      </c>
      <c r="FL67">
        <f t="shared" si="181"/>
        <v>0.42374504027177656</v>
      </c>
    </row>
    <row r="68" spans="5:168">
      <c r="E68" s="170">
        <v>63</v>
      </c>
      <c r="F68" s="217">
        <f t="shared" si="182"/>
        <v>1.575</v>
      </c>
      <c r="G68" s="217"/>
      <c r="H68" s="217">
        <f t="shared" si="132"/>
        <v>44.1</v>
      </c>
      <c r="I68" s="541">
        <f t="shared" si="133"/>
        <v>27.904809262027523</v>
      </c>
      <c r="J68" s="172">
        <f t="shared" si="134"/>
        <v>28.451256551215948</v>
      </c>
      <c r="K68" s="172">
        <f t="shared" si="135"/>
        <v>56.451256551215948</v>
      </c>
      <c r="L68" s="443"/>
      <c r="M68" s="217">
        <f t="shared" si="136"/>
        <v>0.50485137279774572</v>
      </c>
      <c r="N68" s="172">
        <f t="shared" si="137"/>
        <v>118.65708530953228</v>
      </c>
      <c r="O68" s="172">
        <f t="shared" si="98"/>
        <v>44.1</v>
      </c>
      <c r="P68" s="217">
        <f t="shared" si="138"/>
        <v>4.2377530467690097</v>
      </c>
      <c r="Q68" s="217">
        <f t="shared" si="139"/>
        <v>28</v>
      </c>
      <c r="R68" s="217">
        <f t="shared" si="140"/>
        <v>4.1927920427362642</v>
      </c>
      <c r="S68" s="172">
        <f t="shared" si="141"/>
        <v>119.83252033296554</v>
      </c>
      <c r="T68" s="172">
        <f t="shared" si="142"/>
        <v>28</v>
      </c>
      <c r="U68" s="217">
        <f t="shared" si="143"/>
        <v>6.3617262109732433</v>
      </c>
      <c r="V68" s="217">
        <f t="shared" si="11"/>
        <v>1.0715039443850241</v>
      </c>
      <c r="W68" s="217">
        <f t="shared" si="144"/>
        <v>1.0509241705282917</v>
      </c>
      <c r="X68" s="197">
        <f t="shared" si="145"/>
        <v>350</v>
      </c>
      <c r="Y68" s="443">
        <f t="shared" si="14"/>
        <v>350</v>
      </c>
      <c r="AA68" s="217">
        <f t="shared" si="146"/>
        <v>8.5639463947277452</v>
      </c>
      <c r="AB68" s="173">
        <f t="shared" si="147"/>
        <v>1.4147195215355148</v>
      </c>
      <c r="AC68" s="173">
        <f t="shared" si="148"/>
        <v>2.1202268755508809</v>
      </c>
      <c r="AD68" s="173"/>
      <c r="AE68" s="173">
        <f t="shared" si="149"/>
        <v>0.55064937601137709</v>
      </c>
      <c r="AF68" s="545">
        <f t="shared" si="150"/>
        <v>1716.1555813339833</v>
      </c>
      <c r="AG68" s="528">
        <f t="shared" si="151"/>
        <v>0.32121213600663662</v>
      </c>
      <c r="AI68" s="173">
        <f t="shared" si="152"/>
        <v>7.3811333524167004</v>
      </c>
      <c r="AJ68" s="173">
        <f t="shared" si="153"/>
        <v>7.3811333524167004</v>
      </c>
      <c r="AK68" s="173">
        <f t="shared" si="154"/>
        <v>4.1983703845061973</v>
      </c>
      <c r="AM68" s="545">
        <f t="shared" si="155"/>
        <v>1575</v>
      </c>
      <c r="AN68" s="460">
        <f t="shared" si="156"/>
        <v>350</v>
      </c>
      <c r="AP68">
        <f t="shared" si="157"/>
        <v>1575</v>
      </c>
      <c r="AQ68">
        <f t="shared" si="158"/>
        <v>350</v>
      </c>
      <c r="AS68" s="5">
        <f t="shared" si="101"/>
        <v>2.8571428571428572</v>
      </c>
      <c r="AT68" s="5">
        <f t="shared" si="159"/>
        <v>1.2432024326203142</v>
      </c>
      <c r="AU68" s="5">
        <f t="shared" si="102"/>
        <v>1.613940424522543</v>
      </c>
      <c r="AV68" s="5">
        <f t="shared" si="160"/>
        <v>1.2193249424295061</v>
      </c>
      <c r="AW68" s="173">
        <f t="shared" si="103"/>
        <v>0.43512085141710993</v>
      </c>
      <c r="AX68" s="173">
        <f t="shared" si="161"/>
        <v>44.810729068165116</v>
      </c>
      <c r="AY68" s="173">
        <f t="shared" si="162"/>
        <v>2.0847241618449597</v>
      </c>
      <c r="AZ68" s="173">
        <f t="shared" si="104"/>
        <v>21.494800073937878</v>
      </c>
      <c r="BA68" s="460">
        <f t="shared" si="163"/>
        <v>6.9930136834892673</v>
      </c>
      <c r="BB68" s="5">
        <f t="shared" si="164"/>
        <v>1.8218767559053441</v>
      </c>
      <c r="BC68" s="5"/>
      <c r="BD68" s="173">
        <f t="shared" si="105"/>
        <v>2.8110422434269604</v>
      </c>
      <c r="BE68" s="173">
        <f t="shared" si="165"/>
        <v>3.2028765239580896</v>
      </c>
      <c r="BF68" s="173"/>
      <c r="BG68" s="528">
        <f t="shared" si="166"/>
        <v>9.4823501931970547E-2</v>
      </c>
      <c r="BH68" s="528">
        <f t="shared" si="167"/>
        <v>2.6615067879460255</v>
      </c>
      <c r="BI68" s="528">
        <f t="shared" si="168"/>
        <v>4.0250000000000001E-2</v>
      </c>
      <c r="BJ68" s="528">
        <f t="shared" si="169"/>
        <v>0.5493150601256559</v>
      </c>
      <c r="BK68">
        <f t="shared" si="170"/>
        <v>1.2557164167912385E-2</v>
      </c>
      <c r="BL68" s="460">
        <f t="shared" si="106"/>
        <v>52.807164167912383</v>
      </c>
      <c r="BM68" s="528">
        <f t="shared" si="171"/>
        <v>3.4080308488653928</v>
      </c>
      <c r="BN68" s="460">
        <f t="shared" si="107"/>
        <v>3408.0308488653927</v>
      </c>
      <c r="BO68" s="528">
        <f t="shared" si="172"/>
        <v>1.0561949999999998</v>
      </c>
      <c r="BP68" s="528"/>
      <c r="BR68" s="460">
        <f t="shared" si="109"/>
        <v>1056.1949999999997</v>
      </c>
      <c r="BS68" s="528">
        <f t="shared" si="173"/>
        <v>0.11062741892063231</v>
      </c>
      <c r="BT68" s="528">
        <f t="shared" si="174"/>
        <v>0.14361785238810598</v>
      </c>
      <c r="BU68" s="528">
        <f t="shared" si="175"/>
        <v>16.960855116790221</v>
      </c>
      <c r="BV68" s="528">
        <f t="shared" si="176"/>
        <v>17.634804505695222</v>
      </c>
      <c r="BW68" s="528">
        <f t="shared" si="177"/>
        <v>1.9068395348155371</v>
      </c>
      <c r="BX68" s="460">
        <f t="shared" si="110"/>
        <v>19541.644040510757</v>
      </c>
      <c r="BY68" s="173">
        <f t="shared" si="45"/>
        <v>24.058677053544063</v>
      </c>
      <c r="BZ68" s="5">
        <f t="shared" si="111"/>
        <v>44.1</v>
      </c>
      <c r="CA68" s="173">
        <f t="shared" si="112"/>
        <v>0.64701960053238616</v>
      </c>
      <c r="CB68" s="5">
        <f t="shared" si="113"/>
        <v>64.701960053238622</v>
      </c>
      <c r="CE68" s="562">
        <f t="shared" si="178"/>
        <v>-50</v>
      </c>
      <c r="CF68">
        <f t="shared" si="179"/>
        <v>-50</v>
      </c>
      <c r="CG68" s="173">
        <f t="shared" si="180"/>
        <v>0.43018891199099957</v>
      </c>
      <c r="CI68" s="170">
        <v>63</v>
      </c>
      <c r="CJ68" s="217">
        <f t="shared" si="114"/>
        <v>1.575</v>
      </c>
      <c r="CK68" s="217"/>
      <c r="CL68" s="217">
        <f t="shared" si="49"/>
        <v>44.1</v>
      </c>
      <c r="CM68" s="541">
        <f t="shared" si="50"/>
        <v>28</v>
      </c>
      <c r="CN68" s="172">
        <f t="shared" si="51"/>
        <v>28.4</v>
      </c>
      <c r="CO68" s="443">
        <f t="shared" si="52"/>
        <v>56.4</v>
      </c>
      <c r="CP68" s="443"/>
      <c r="CQ68" s="217">
        <f t="shared" si="53"/>
        <v>0.50354609929078009</v>
      </c>
      <c r="CR68" s="172">
        <f t="shared" si="54"/>
        <v>118.75402645742166</v>
      </c>
      <c r="CS68" s="172">
        <f t="shared" si="115"/>
        <v>44.1</v>
      </c>
      <c r="CT68" s="217">
        <f t="shared" si="55"/>
        <v>4.2412152306222017</v>
      </c>
      <c r="CU68" s="217">
        <f t="shared" si="56"/>
        <v>28</v>
      </c>
      <c r="CV68" s="217">
        <f t="shared" si="57"/>
        <v>4.1962174940898347</v>
      </c>
      <c r="CW68" s="172">
        <f t="shared" si="58"/>
        <v>120.24098558598571</v>
      </c>
      <c r="CX68" s="172">
        <f t="shared" si="59"/>
        <v>28</v>
      </c>
      <c r="CY68" s="217">
        <f t="shared" si="60"/>
        <v>6.2556338028169023</v>
      </c>
      <c r="CZ68" s="217">
        <f t="shared" si="61"/>
        <v>1.0500528169014087</v>
      </c>
      <c r="DA68" s="217">
        <f t="shared" si="62"/>
        <v>1.0352633406070226</v>
      </c>
      <c r="DB68" s="197">
        <f t="shared" si="63"/>
        <v>350</v>
      </c>
      <c r="DC68" s="443">
        <f t="shared" si="116"/>
        <v>350</v>
      </c>
      <c r="DE68" s="217">
        <f t="shared" si="64"/>
        <v>8.5709974347366842</v>
      </c>
      <c r="DF68" s="173">
        <f t="shared" si="65"/>
        <v>1.418439716312057</v>
      </c>
      <c r="DG68" s="173">
        <f t="shared" si="66"/>
        <v>2.1275525547218721</v>
      </c>
      <c r="DH68" s="173"/>
      <c r="DI68" s="173">
        <f t="shared" si="67"/>
        <v>0.55164319248826299</v>
      </c>
      <c r="DJ68" s="545">
        <f t="shared" si="117"/>
        <v>1713.0638297872338</v>
      </c>
      <c r="DK68" s="528">
        <f t="shared" si="68"/>
        <v>0.3217918622848201</v>
      </c>
      <c r="DM68" s="173">
        <f t="shared" si="69"/>
        <v>7.374481590146134</v>
      </c>
      <c r="DN68" s="173">
        <f t="shared" si="70"/>
        <v>7.374481590146134</v>
      </c>
      <c r="DO68" s="173">
        <f t="shared" si="71"/>
        <v>4.193443153194667</v>
      </c>
      <c r="DQ68" s="545">
        <f t="shared" si="72"/>
        <v>1575</v>
      </c>
      <c r="DR68" s="460">
        <f t="shared" si="73"/>
        <v>350</v>
      </c>
      <c r="DT68">
        <f t="shared" si="74"/>
        <v>1575</v>
      </c>
      <c r="DU68">
        <f t="shared" si="75"/>
        <v>350</v>
      </c>
      <c r="DW68" s="5">
        <f t="shared" si="118"/>
        <v>2.8571428571428572</v>
      </c>
      <c r="DX68" s="5">
        <f t="shared" si="76"/>
        <v>1.2378594097745295</v>
      </c>
      <c r="DY68" s="5">
        <f t="shared" si="119"/>
        <v>1.6192834473683277</v>
      </c>
      <c r="DZ68" s="5">
        <f t="shared" si="77"/>
        <v>1.2204247702002406</v>
      </c>
      <c r="EA68" s="173">
        <f t="shared" si="120"/>
        <v>0.4332507934210853</v>
      </c>
      <c r="EB68" s="173">
        <f t="shared" si="78"/>
        <v>44.73</v>
      </c>
      <c r="EC68" s="173">
        <f t="shared" si="79"/>
        <v>2.0897407950730673</v>
      </c>
      <c r="ED68" s="173">
        <f t="shared" si="121"/>
        <v>21.404568502207962</v>
      </c>
      <c r="EE68" s="460">
        <f t="shared" si="80"/>
        <v>6.9629591799817288</v>
      </c>
      <c r="EF68" s="5">
        <f t="shared" si="81"/>
        <v>1.8216938782893686</v>
      </c>
      <c r="EG68" s="5"/>
      <c r="EH68" s="173">
        <f t="shared" si="122"/>
        <v>2.8024672867859906</v>
      </c>
      <c r="EI68" s="173">
        <f t="shared" si="82"/>
        <v>3.2052826210745371</v>
      </c>
      <c r="EJ68" s="173"/>
      <c r="EK68" s="528">
        <f t="shared" si="83"/>
        <v>9.424587472206758E-2</v>
      </c>
      <c r="EL68" s="528">
        <f t="shared" si="84"/>
        <v>2.7658730652002088</v>
      </c>
      <c r="EM68" s="528">
        <f t="shared" si="85"/>
        <v>4.0250000000000001E-2</v>
      </c>
      <c r="EN68" s="528">
        <f t="shared" si="86"/>
        <v>0.54831797999999998</v>
      </c>
      <c r="EO68">
        <f t="shared" si="87"/>
        <v>1.26E-2</v>
      </c>
      <c r="EP68" s="460">
        <f t="shared" si="123"/>
        <v>52.85</v>
      </c>
      <c r="EQ68" s="528">
        <f t="shared" si="88"/>
        <v>3.5665995267189503</v>
      </c>
      <c r="ER68" s="460">
        <f t="shared" si="124"/>
        <v>3566.5995267189505</v>
      </c>
      <c r="ES68" s="528">
        <f t="shared" si="125"/>
        <v>1.0561949999999998</v>
      </c>
      <c r="ET68" s="528"/>
      <c r="EV68" s="460">
        <f t="shared" si="126"/>
        <v>1056.1949999999997</v>
      </c>
      <c r="EW68" s="528">
        <f t="shared" si="89"/>
        <v>0.10995352050907885</v>
      </c>
      <c r="EX68" s="528">
        <f t="shared" si="90"/>
        <v>0.14383371353347435</v>
      </c>
      <c r="EY68" s="528">
        <f t="shared" si="91"/>
        <v>16.922668794723617</v>
      </c>
      <c r="EZ68" s="528">
        <f t="shared" si="92"/>
        <v>17.594587500608309</v>
      </c>
      <c r="FA68" s="528">
        <f t="shared" si="93"/>
        <v>1.903404255319149</v>
      </c>
      <c r="FB68" s="460">
        <f t="shared" si="127"/>
        <v>19497.991755927458</v>
      </c>
      <c r="FC68" s="173">
        <f t="shared" si="128"/>
        <v>24.12078628264641</v>
      </c>
      <c r="FD68" s="5">
        <f t="shared" si="129"/>
        <v>44.1</v>
      </c>
      <c r="FE68" s="173">
        <f t="shared" si="130"/>
        <v>0.64643054416418955</v>
      </c>
      <c r="FF68" s="5">
        <f t="shared" si="131"/>
        <v>64.643054416418948</v>
      </c>
      <c r="FI68" s="562">
        <f t="shared" si="94"/>
        <v>-50</v>
      </c>
      <c r="FJ68">
        <f t="shared" si="95"/>
        <v>-50</v>
      </c>
      <c r="FL68">
        <f t="shared" si="181"/>
        <v>0.42714866957008418</v>
      </c>
    </row>
    <row r="69" spans="5:168">
      <c r="E69" s="170">
        <v>64</v>
      </c>
      <c r="F69" s="217">
        <f t="shared" si="182"/>
        <v>1.6</v>
      </c>
      <c r="G69" s="217"/>
      <c r="H69" s="217">
        <f t="shared" ref="H69:H100" si="183">F69*Vout</f>
        <v>44.800000000000004</v>
      </c>
      <c r="I69" s="541">
        <f t="shared" ref="I69:I105" si="184">Vin-F69*(Rdcr_pri+RON/1000)/CG69/Nps</f>
        <v>27.904056754364994</v>
      </c>
      <c r="J69" s="172">
        <f t="shared" ref="J69:J105" si="185">(T69+Vfwd1+F69/CG69*Rdcr_sec)*Nps</f>
        <v>28.451661747649617</v>
      </c>
      <c r="K69" s="172">
        <f t="shared" ref="K69:K105" si="186">(Vout+Vfwd1+F69/CG69*Rdcr_sec)*Nps+VIN_nom</f>
        <v>56.451661747649617</v>
      </c>
      <c r="L69" s="443"/>
      <c r="M69" s="217">
        <f t="shared" ref="M69:M105" si="187">(Vout+Vfwd1+F69/FL69*Rdcr_sec)*Nps/((Vout+Vfwd1+F69/FL69*Rdcr_sec)*Nps+I69)</f>
        <v>0.50486169936636638</v>
      </c>
      <c r="N69" s="172">
        <f t="shared" ref="N69:N100" si="188">M69*I69*(Isw_max+VIN_nom/Lmag*ILIM_delay)*0.5*Efficiency</f>
        <v>118.65631251572705</v>
      </c>
      <c r="O69" s="172">
        <f t="shared" si="98"/>
        <v>44.800000000000004</v>
      </c>
      <c r="P69" s="217">
        <f t="shared" ref="P69:P100" si="189">N69/Vout</f>
        <v>4.2377254469902521</v>
      </c>
      <c r="Q69" s="217">
        <f t="shared" ref="Q69:Q105" si="190">MIN(Vout,N69/F69)</f>
        <v>28</v>
      </c>
      <c r="R69" s="217">
        <f t="shared" ref="R69:R100" si="191">Isw_max/2*I69*Nps*(Q69+Vfwd1+F69/FL69*Rdcr_sec)/Q69/(I69+Nps*(Q69+Vfwd1+F69/FL69*Rdcr_sec))</f>
        <v>4.1927647357810249</v>
      </c>
      <c r="S69" s="172">
        <f t="shared" ref="S69:S105" si="192">(SQRT(Isw_max^2*Nps^2*I69^2+4*Isw_max*F69/Efficiency*(Nps^2*Vfwd1*I69-Nps*I69^2)+4*(F69/Efficiency)^2*Nps^2*Vfwd1^2+8*(F69/Efficiency)^2*Nps*Vfwd1*I69+4*(F69/Efficiency)^2*I69^2)-2*F69/Efficiency*I69-2*F69/Efficiency*Nps*Vfwd1+Isw_max*Nps*I69)/(4*F69/Efficiency*Nps)</f>
        <v>117.52422298019322</v>
      </c>
      <c r="T69" s="172">
        <f t="shared" ref="T69:T100" si="193">MIN(Vout, S69)</f>
        <v>28</v>
      </c>
      <c r="U69" s="217">
        <f t="shared" ref="U69:U105" si="194">MIN(2*(Vout+Vfwd1+F69/FL69*Rdcr_sec)*F69/(I69*M69), Isw_max)</f>
        <v>6.4628407778289949</v>
      </c>
      <c r="V69" s="217">
        <f t="shared" ref="V69:V104" si="195">L*U69/I69*1000000</f>
        <v>1.0885640006822557</v>
      </c>
      <c r="W69" s="217">
        <f t="shared" ref="W69:W105" si="196">L*U69/J69*1000000</f>
        <v>1.0676125677722699</v>
      </c>
      <c r="X69" s="197">
        <f t="shared" ref="X69:X105" si="197">IF(1/((350000*L)*(1/I69+1/J69))&gt;Isw_min, 350, 0.001/((Isw_min*L)*(1/I69+1/J69)))</f>
        <v>350</v>
      </c>
      <c r="Y69" s="443">
        <f t="shared" ref="Y69:Y104" si="198">MIN(1/(V69+W69+0.2)*1000, 350)</f>
        <v>350</v>
      </c>
      <c r="AA69" s="217">
        <f t="shared" ref="AA69:AA105" si="199">1/((X69*1000*L)*(1/I69+1/J69))</f>
        <v>8.5638901912661876</v>
      </c>
      <c r="AB69" s="173">
        <f t="shared" ref="AB69:AB100" si="200">L*AA69/J69*1000000</f>
        <v>1.414690089315298</v>
      </c>
      <c r="AC69" s="173">
        <f t="shared" ref="AC69:AC100" si="201">0.5*AB69*AA69*Nps*X69/1000</f>
        <v>2.1201688514245345</v>
      </c>
      <c r="AD69" s="173"/>
      <c r="AE69" s="173">
        <f t="shared" ref="AE69:AE105" si="202">L*Isw_min/J69*1000000</f>
        <v>0.55064153389778325</v>
      </c>
      <c r="AF69" s="545">
        <f t="shared" ref="AF69:AF100" si="203">MAX(12, F69/(0.5*AE69/1000000*Isw_min*Nps)/1000)</f>
        <v>1743.4209751751252</v>
      </c>
      <c r="AG69" s="528">
        <f t="shared" ref="AG69:AG105" si="204">0.5*AE69/1000000*Isw_min*Nps*X69*1000</f>
        <v>0.32120756144037355</v>
      </c>
      <c r="AI69" s="173">
        <f t="shared" ref="AI69:AI105" si="205">SQRT(F69/Efficiency/(0.5*L/J69*Fsw_DCM*Nps))</f>
        <v>7.4395361162243949</v>
      </c>
      <c r="AJ69" s="173">
        <f t="shared" ref="AJ69:AJ100" si="206">MAX(IF(F69&gt;AC69,U69,AI69),Isw_min)</f>
        <v>7.4395361162243949</v>
      </c>
      <c r="AK69" s="173">
        <f t="shared" ref="AK69:AK100" si="207">IF(F69&gt;AG69, (AJ69-Isw_min)/1.08*0.8+1.2, AF69*0.2/350+1)</f>
        <v>4.2416316910304159</v>
      </c>
      <c r="AM69" s="545">
        <f t="shared" ref="AM69:AM105" si="208">F69*1000</f>
        <v>1600</v>
      </c>
      <c r="AN69" s="460">
        <f t="shared" ref="AN69:AN105" si="209">IF(F69&gt;AG69, Y69, AF69)</f>
        <v>350</v>
      </c>
      <c r="AP69">
        <f t="shared" ref="AP69:AP105" si="210">IF(H69&gt;N69, "",AM69)</f>
        <v>1600</v>
      </c>
      <c r="AQ69">
        <f t="shared" ref="AQ69:AQ105" si="211">IF(H69&gt;N69, "",AN69)</f>
        <v>350</v>
      </c>
      <c r="AS69" s="5">
        <f t="shared" si="101"/>
        <v>2.8571428571428572</v>
      </c>
      <c r="AT69" s="5">
        <f t="shared" ref="AT69:AT105" si="212">L*AJ69/I69*1000000</f>
        <v>1.2530729869872774</v>
      </c>
      <c r="AU69" s="5">
        <f t="shared" si="102"/>
        <v>1.6040698701555798</v>
      </c>
      <c r="AV69" s="5">
        <f t="shared" ref="AV69:AV105" si="213">L*AJ69/J69*1000000</f>
        <v>1.2289552735577272</v>
      </c>
      <c r="AW69" s="173">
        <f t="shared" si="103"/>
        <v>0.43857554544554711</v>
      </c>
      <c r="AX69" s="173">
        <f t="shared" ref="AX69:AX132" si="214">0.5*L*AJ69^2*AN69*1000</f>
        <v>45.522658796239384</v>
      </c>
      <c r="AY69" s="173">
        <f t="shared" ref="AY69:AY132" si="215">AJ69*Nps/2*(1-AW69)</f>
        <v>2.0883687530947168</v>
      </c>
      <c r="AZ69" s="173">
        <f t="shared" si="104"/>
        <v>21.79818996466987</v>
      </c>
      <c r="BA69" s="460">
        <f t="shared" ref="BA69:BA105" si="216">F69*AT69/Vout_ripple*1000</f>
        <v>7.1604170684987292</v>
      </c>
      <c r="BB69" s="5">
        <f t="shared" ref="BB69:BB105" si="217">H69/Efficiency/I69*AU69/Vinripple1</f>
        <v>1.8395259261701806</v>
      </c>
      <c r="BC69" s="5"/>
      <c r="BD69" s="173">
        <f t="shared" si="105"/>
        <v>2.8445098054159144</v>
      </c>
      <c r="BE69" s="173">
        <f t="shared" ref="BE69:BE132" si="218">AJ69*Nps*SQRT((1-AW69)/3)</f>
        <v>3.2183323593275919</v>
      </c>
      <c r="BF69" s="173"/>
      <c r="BG69" s="528">
        <f t="shared" ref="BG69:BG105" si="219">Rdson*BD69^2</f>
        <v>9.7094832397287389E-2</v>
      </c>
      <c r="BH69" s="528">
        <f t="shared" ref="BH69:BH105" si="220">0.5*K69*AJ69*AN69*1000*Tfall</f>
        <v>2.6825850517072372</v>
      </c>
      <c r="BI69" s="528">
        <f t="shared" ref="BI69:BI105" si="221">Qg*Vdd*AN69*1000</f>
        <v>4.0250000000000001E-2</v>
      </c>
      <c r="BJ69" s="528">
        <f t="shared" ref="BJ69:BJ105" si="222">0.5*(Coss+Csw)*K69^2*AN69*1000</f>
        <v>0.54932294591299669</v>
      </c>
      <c r="BK69">
        <f t="shared" ref="BK69:BK105" si="223">I69*IQ</f>
        <v>1.2556825539464246E-2</v>
      </c>
      <c r="BL69" s="460">
        <f t="shared" si="106"/>
        <v>52.806825539464249</v>
      </c>
      <c r="BM69" s="528">
        <f t="shared" ref="BM69:BM105" si="224">(BH69+BI69*0+BJ69+BK69*0+BG69*(1+RdsonTC*(Ta-25)))/(1-BG69*RdsonTC*ThetaJA)</f>
        <v>3.434450282970178</v>
      </c>
      <c r="BN69" s="460">
        <f t="shared" si="107"/>
        <v>3434.4502829701778</v>
      </c>
      <c r="BO69" s="528">
        <f t="shared" ref="BO69:BO105" si="225">Vfwd2*F69*(1+Diode_TC/1000*(Ta-25))</f>
        <v>1.0729599999999999</v>
      </c>
      <c r="BP69" s="528"/>
      <c r="BR69" s="460">
        <f t="shared" si="109"/>
        <v>1072.9599999999998</v>
      </c>
      <c r="BS69" s="528">
        <f t="shared" ref="BS69:BS105" si="226">Rdcr_pri*BD69^2</f>
        <v>0.11327730446350195</v>
      </c>
      <c r="BT69" s="528">
        <f t="shared" ref="BT69:BT105" si="227">Rdcr_sec*BE69^2</f>
        <v>0.14500728445133146</v>
      </c>
      <c r="BU69" s="528">
        <f t="shared" ref="BU69:BU105" si="228">AJ69^2.5*AN69^2.5*k_core</f>
        <v>17.298353040808838</v>
      </c>
      <c r="BV69" s="528">
        <f t="shared" ref="BV69:BV100" si="229">(BU69+(BS69+BT69)*(1+Ltc*(Ta-25)))/(1-(BS69+BT69)*Ltc*ThetaCa)</f>
        <v>17.990356477235562</v>
      </c>
      <c r="BW69" s="528">
        <f t="shared" ref="BW69:BW105" si="230">0.5*Lleak*0.000000001*AJ69^2*AN69*1000</f>
        <v>1.9371344168612505</v>
      </c>
      <c r="BX69" s="460">
        <f t="shared" si="110"/>
        <v>19927.490894096813</v>
      </c>
      <c r="BY69" s="173">
        <f t="shared" ref="BY69:BY104" si="231">SUM(BM69,BO69:BQ69,BV69, BW69)+BK69+BI69</f>
        <v>24.487708002606453</v>
      </c>
      <c r="BZ69" s="5">
        <f t="shared" si="111"/>
        <v>44.800000000000004</v>
      </c>
      <c r="CA69" s="173">
        <f t="shared" si="112"/>
        <v>0.64657933263306566</v>
      </c>
      <c r="CB69" s="5">
        <f t="shared" si="113"/>
        <v>64.65793326330656</v>
      </c>
      <c r="CE69" s="562">
        <f t="shared" ref="CE69:CE105" si="232">IF(ABS(F69-Ioutmax_Vinnom)&lt;Iout/200, AN69, -50)</f>
        <v>-50</v>
      </c>
      <c r="CF69">
        <f t="shared" ref="CF69:CF105" si="233">IF(ABS(F69-Ioutmax_Vinnom)&lt;Iout/200, N69*CA69, -50)</f>
        <v>-50</v>
      </c>
      <c r="CG69" s="173">
        <f t="shared" ref="CG69:CG105" si="234">MIN(SQRT(2*DU69*1000*Ls1_*CL69)/CU69,1-EA69-0.00000005*DU69*1000)</f>
        <v>0.43358966777357599</v>
      </c>
      <c r="CI69" s="170">
        <v>64</v>
      </c>
      <c r="CJ69" s="217">
        <f t="shared" si="114"/>
        <v>1.6</v>
      </c>
      <c r="CK69" s="217"/>
      <c r="CL69" s="217">
        <f t="shared" ref="CL69:CL105" si="235">CJ69*Vout</f>
        <v>44.800000000000004</v>
      </c>
      <c r="CM69" s="541">
        <f t="shared" ref="CM69:CM105" si="236">Vin</f>
        <v>28</v>
      </c>
      <c r="CN69" s="172">
        <f t="shared" ref="CN69:CN105" si="237">(CX69+Vfwd1)*Nps</f>
        <v>28.4</v>
      </c>
      <c r="CO69" s="443">
        <f t="shared" ref="CO69:CO105" si="238">(Vout+Vfwd1)*Nps+CM69</f>
        <v>56.4</v>
      </c>
      <c r="CP69" s="443"/>
      <c r="CQ69" s="217">
        <f t="shared" ref="CQ69:CQ105" si="239">(Vout+Vfwd1)*Nps/((Vout+Vfwd1)*Nps+CM69)</f>
        <v>0.50354609929078009</v>
      </c>
      <c r="CR69" s="172">
        <f t="shared" ref="CR69:CR105" si="240">CQ69*CM69*(Isw_max+VIN_nom/Lmag*ILIM_delay)*0.5*Efficiency</f>
        <v>118.75402645742166</v>
      </c>
      <c r="CS69" s="172">
        <f t="shared" si="115"/>
        <v>44.800000000000004</v>
      </c>
      <c r="CT69" s="217">
        <f t="shared" ref="CT69:CT105" si="241">CR69/Vout</f>
        <v>4.2412152306222017</v>
      </c>
      <c r="CU69" s="217">
        <f t="shared" ref="CU69:CU105" si="242">MIN(Vout,CR69/CJ69)</f>
        <v>28</v>
      </c>
      <c r="CV69" s="217">
        <f t="shared" ref="CV69:CV105" si="243">Isw_max/2*CM69*Nps*(CU69+Vfwd1)/CU69/(CM69+Nps*(CU69+Vfwd1))</f>
        <v>4.1962174940898347</v>
      </c>
      <c r="CW69" s="172">
        <f t="shared" ref="CW69:CW105" si="244">(SQRT(Isw_max^2*Nps^2*CM69^2+4*Isw_max*CJ69/Efficiency*(Nps^2*Vfwd1*CM69-Nps*CM69^2)+4*(CJ69/Efficiency)^2*Nps^2*Vfwd1^2+8*(CJ69/Efficiency)^2*Nps*Vfwd1*CM69+4*(CJ69/Efficiency)^2*CM69^2)-2*CJ69/Efficiency*CM69-2*CJ69/Efficiency*Nps*Vfwd1+Isw_max*Nps*CM69)/(4*CJ69/Efficiency*Nps)</f>
        <v>117.92798549826995</v>
      </c>
      <c r="CX69" s="172">
        <f t="shared" ref="CX69:CX105" si="245">MIN(Vout, CW69)</f>
        <v>28</v>
      </c>
      <c r="CY69" s="217">
        <f t="shared" ref="CY69:CY105" si="246">MIN(2*Vout*CJ69/(CM69*CQ69), Isw_max)</f>
        <v>6.35492957746479</v>
      </c>
      <c r="CZ69" s="217">
        <f t="shared" ref="CZ69:CZ105" si="247">L*CY69/CM69*1000000</f>
        <v>1.0667203219315897</v>
      </c>
      <c r="DA69" s="217">
        <f t="shared" ref="DA69:DA105" si="248">L*CY69/CN69*1000000</f>
        <v>1.0516960920452294</v>
      </c>
      <c r="DB69" s="197">
        <f t="shared" ref="DB69:DB105" si="249">IF(1/((350000*L)*(1/CM69+1/CN69))&gt;Isw_min, 350, 0.001/((Isw_min*L)*(1/CM69+1/CN69)))</f>
        <v>350</v>
      </c>
      <c r="DC69" s="443">
        <f t="shared" si="116"/>
        <v>350</v>
      </c>
      <c r="DE69" s="217">
        <f t="shared" ref="DE69:DE105" si="250">1/((DB69*1000*L)*(1/CM69+1/CN69))</f>
        <v>8.5709974347366842</v>
      </c>
      <c r="DF69" s="173">
        <f t="shared" ref="DF69:DF105" si="251">L*DE69/CN69*1000000</f>
        <v>1.418439716312057</v>
      </c>
      <c r="DG69" s="173">
        <f t="shared" ref="DG69:DG105" si="252">0.5*DF69*DE69*Nps*DB69/1000</f>
        <v>2.1275525547218721</v>
      </c>
      <c r="DH69" s="173"/>
      <c r="DI69" s="173">
        <f t="shared" ref="DI69:DI105" si="253">L*Isw_min/CN69*1000000</f>
        <v>0.55164319248826299</v>
      </c>
      <c r="DJ69" s="545">
        <f t="shared" si="117"/>
        <v>1740.255319148936</v>
      </c>
      <c r="DK69" s="528">
        <f t="shared" ref="DK69:DK105" si="254">0.5*DI69/1000000*Isw_min*Nps*DB69*1000</f>
        <v>0.3217918622848201</v>
      </c>
      <c r="DM69" s="173">
        <f t="shared" ref="DM69:DM105" si="255">SQRT(CJ69/Efficiency/(0.5*L/CN69*Fsw_DCM*Nps))</f>
        <v>7.432778794495551</v>
      </c>
      <c r="DN69" s="173">
        <f t="shared" ref="DN69:DN105" si="256">MAX(IF(CJ69&gt;DG69,CY69,DM69),Isw_min)</f>
        <v>7.432778794495551</v>
      </c>
      <c r="DO69" s="173">
        <f t="shared" ref="DO69:DO105" si="257">IF(CJ69&gt;DK69, (DN69-Isw_min)/1.08*0.8+1.2, DJ69*0.2/350+1)</f>
        <v>4.2366262675275683</v>
      </c>
      <c r="DQ69" s="545">
        <f t="shared" ref="DQ69:DQ105" si="258">CJ69*1000</f>
        <v>1600</v>
      </c>
      <c r="DR69" s="460">
        <f t="shared" ref="DR69:DR105" si="259">IF(CJ69&gt;DK69, DC69, DJ69)</f>
        <v>350</v>
      </c>
      <c r="DT69">
        <f t="shared" ref="DT69:DT105" si="260">IF(CL69&gt;CR69, "",DQ69)</f>
        <v>1600</v>
      </c>
      <c r="DU69">
        <f t="shared" ref="DU69:DU105" si="261">IF(CL69&gt;CR69, "",DR69)</f>
        <v>350</v>
      </c>
      <c r="DW69" s="5">
        <f t="shared" si="118"/>
        <v>2.8571428571428572</v>
      </c>
      <c r="DX69" s="5">
        <f t="shared" ref="DX69:DX105" si="262">L*DN69/CM69*1000000</f>
        <v>1.2476450119331819</v>
      </c>
      <c r="DY69" s="5">
        <f t="shared" si="119"/>
        <v>1.6094978452096753</v>
      </c>
      <c r="DZ69" s="5">
        <f t="shared" ref="DZ69:DZ105" si="263">L*DN69/CN69*1000000</f>
        <v>1.2300725469763767</v>
      </c>
      <c r="EA69" s="173">
        <f t="shared" si="120"/>
        <v>0.43667575417661364</v>
      </c>
      <c r="EB69" s="173">
        <f t="shared" ref="EB69:EB105" si="264">0.5*L*DN69^2*DR69*1000</f>
        <v>45.44</v>
      </c>
      <c r="EC69" s="173">
        <f t="shared" ref="EC69:EC105" si="265">DN69*Nps/2*(1-EA69)</f>
        <v>2.0935322543906327</v>
      </c>
      <c r="ED69" s="173">
        <f t="shared" si="121"/>
        <v>21.70494383580743</v>
      </c>
      <c r="EE69" s="460">
        <f t="shared" ref="EE69:EE105" si="266">CJ69*DX69/Vout_ripple*1000</f>
        <v>7.1294000681896108</v>
      </c>
      <c r="EF69" s="5">
        <f t="shared" ref="EF69:EF105" si="267">CL69/Efficiency/CM69*DY69/Vinripple1</f>
        <v>1.8394261088110573</v>
      </c>
      <c r="EG69" s="5"/>
      <c r="EH69" s="173">
        <f t="shared" si="122"/>
        <v>2.8357642306703625</v>
      </c>
      <c r="EI69" s="173">
        <f t="shared" ref="EI69:EI105" si="268">DN69*Nps*SQRT((1-EA69)/3)</f>
        <v>3.2208448318235967</v>
      </c>
      <c r="EJ69" s="173"/>
      <c r="EK69" s="528">
        <f t="shared" ref="EK69:EK105" si="269">Rdson*EH69^2</f>
        <v>9.6498705263393686E-2</v>
      </c>
      <c r="EL69" s="528">
        <f t="shared" ref="EL69:EL105" si="270">0.5*CO69*DN69*DR69*1000*Trise</f>
        <v>2.7877380146635011</v>
      </c>
      <c r="EM69" s="528">
        <f t="shared" ref="EM69:EM105" si="271">Qg*Vdd*DR69*1000</f>
        <v>4.0250000000000001E-2</v>
      </c>
      <c r="EN69" s="528">
        <f t="shared" ref="EN69:EN105" si="272">0.5*(Coss+Csw)*CO69^2*DR69*1000</f>
        <v>0.54831797999999998</v>
      </c>
      <c r="EO69">
        <f t="shared" ref="EO69:EO105" si="273">CM69*IQ</f>
        <v>1.26E-2</v>
      </c>
      <c r="EP69" s="460">
        <f t="shared" si="123"/>
        <v>52.85</v>
      </c>
      <c r="EQ69" s="528">
        <f t="shared" ref="EQ69:EQ105" si="274">(EL69+EM69+EN69+EO69+EK69*(1+RdsonTC*(Ta-25)))/(1-EK69*RdsonTC*ThetaJA)</f>
        <v>3.5938596974582473</v>
      </c>
      <c r="ER69" s="460">
        <f t="shared" si="124"/>
        <v>3593.8596974582474</v>
      </c>
      <c r="ES69" s="528">
        <f t="shared" si="125"/>
        <v>1.0729599999999999</v>
      </c>
      <c r="ET69" s="528"/>
      <c r="EV69" s="460">
        <f t="shared" si="126"/>
        <v>1072.9599999999998</v>
      </c>
      <c r="EW69" s="528">
        <f t="shared" ref="EW69:EW105" si="275">Rdcr_pri*EH69^2</f>
        <v>0.11258182280729263</v>
      </c>
      <c r="EX69" s="528">
        <f t="shared" ref="EX69:EX105" si="276">Rdcr_sec*EI69^2</f>
        <v>0.14523378002958684</v>
      </c>
      <c r="EY69" s="528">
        <f t="shared" ref="EY69:EY105" si="277">DN69^2.5*DR69^2.5*k_core</f>
        <v>17.259099612081574</v>
      </c>
      <c r="EZ69" s="528">
        <f t="shared" ref="EZ69:EZ105" si="278">(EY69+(EW69+EX69)*(1+Ltc*(Ta-25)))/(1-(EW69+EX69)*Ltc*ThetaCa)</f>
        <v>17.948993403980289</v>
      </c>
      <c r="FA69" s="528">
        <f t="shared" ref="FA69:FA105" si="279">0.5*Lleak*0.000000001*DN69^2*DR69*1000</f>
        <v>1.9336170212765957</v>
      </c>
      <c r="FB69" s="460">
        <f t="shared" si="127"/>
        <v>19882.610425256884</v>
      </c>
      <c r="FC69" s="173">
        <f t="shared" si="128"/>
        <v>24.549430122715133</v>
      </c>
      <c r="FD69" s="5">
        <f t="shared" si="129"/>
        <v>44.800000000000004</v>
      </c>
      <c r="FE69" s="173">
        <f t="shared" si="130"/>
        <v>0.64600386651664699</v>
      </c>
      <c r="FF69" s="5">
        <f t="shared" si="131"/>
        <v>64.600386651664692</v>
      </c>
      <c r="FI69" s="562">
        <f t="shared" ref="FI69:FI105" si="280">IF(ABS(CJ69-Ioutmax_Vinnom)&lt;Iout/200, DR69, -50)</f>
        <v>-50</v>
      </c>
      <c r="FJ69">
        <f t="shared" ref="FJ69:FJ105" si="281">IF(ABS(CJ69-Ioutmax_Vinnom)&lt;Iout/200, CR69*FE69, -50)</f>
        <v>-50</v>
      </c>
      <c r="FL69">
        <f t="shared" ref="FL69:FL105" si="282">MIN(SQRT(2*L*DR69*1000*CJ69*(CX69+Vfwd1))/(Nps*(CX69+Vfwd1)), 1-EA69)</f>
        <v>0.43052539144173174</v>
      </c>
    </row>
    <row r="70" spans="5:168">
      <c r="E70" s="170">
        <v>65</v>
      </c>
      <c r="F70" s="217">
        <f t="shared" ref="F70:F101" si="283">IF(PLOT_TYPE=1, E70/100*Iout_max, min_I*EXP(N70*rr/100))</f>
        <v>1.625</v>
      </c>
      <c r="G70" s="217"/>
      <c r="H70" s="217">
        <f t="shared" si="183"/>
        <v>45.5</v>
      </c>
      <c r="I70" s="541">
        <f t="shared" si="184"/>
        <v>27.903310103060285</v>
      </c>
      <c r="J70" s="172">
        <f t="shared" si="185"/>
        <v>28.452063790659846</v>
      </c>
      <c r="K70" s="172">
        <f t="shared" si="186"/>
        <v>56.452063790659849</v>
      </c>
      <c r="L70" s="443"/>
      <c r="M70" s="217">
        <f t="shared" si="187"/>
        <v>0.50487194569367555</v>
      </c>
      <c r="N70" s="172">
        <f t="shared" si="188"/>
        <v>118.65554563609734</v>
      </c>
      <c r="O70" s="172">
        <f t="shared" ref="O70:O133" si="284">T70*F70</f>
        <v>45.5</v>
      </c>
      <c r="P70" s="217">
        <f t="shared" si="189"/>
        <v>4.2376980584320476</v>
      </c>
      <c r="Q70" s="217">
        <f t="shared" si="190"/>
        <v>28</v>
      </c>
      <c r="R70" s="217">
        <f t="shared" si="191"/>
        <v>4.1927376378053705</v>
      </c>
      <c r="S70" s="172">
        <f t="shared" si="192"/>
        <v>115.28706644261757</v>
      </c>
      <c r="T70" s="172">
        <f t="shared" si="193"/>
        <v>28</v>
      </c>
      <c r="U70" s="217">
        <f t="shared" si="194"/>
        <v>6.5639584986822417</v>
      </c>
      <c r="V70" s="217">
        <f t="shared" si="195"/>
        <v>1.1056252763511023</v>
      </c>
      <c r="W70" s="217">
        <f t="shared" si="196"/>
        <v>1.0843011308703052</v>
      </c>
      <c r="X70" s="197">
        <f t="shared" si="197"/>
        <v>350</v>
      </c>
      <c r="Y70" s="443">
        <f t="shared" si="198"/>
        <v>350</v>
      </c>
      <c r="AA70" s="217">
        <f t="shared" si="199"/>
        <v>8.5638344180193364</v>
      </c>
      <c r="AB70" s="173">
        <f t="shared" si="200"/>
        <v>1.4146608857914915</v>
      </c>
      <c r="AC70" s="173">
        <f t="shared" si="201"/>
        <v>2.1201112771242068</v>
      </c>
      <c r="AD70" s="173"/>
      <c r="AE70" s="173">
        <f t="shared" si="202"/>
        <v>0.55063375303585793</v>
      </c>
      <c r="AF70" s="545">
        <f t="shared" si="203"/>
        <v>1770.6869486740434</v>
      </c>
      <c r="AG70" s="528">
        <f t="shared" si="204"/>
        <v>0.32120302260425043</v>
      </c>
      <c r="AI70" s="173">
        <f t="shared" si="205"/>
        <v>7.4974851840393972</v>
      </c>
      <c r="AJ70" s="173">
        <f t="shared" si="153"/>
        <v>7.4974851840393972</v>
      </c>
      <c r="AK70" s="173">
        <f t="shared" si="207"/>
        <v>4.2845569264489365</v>
      </c>
      <c r="AM70" s="545">
        <f t="shared" si="208"/>
        <v>1625</v>
      </c>
      <c r="AN70" s="460">
        <f t="shared" si="209"/>
        <v>350</v>
      </c>
      <c r="AP70">
        <f t="shared" si="210"/>
        <v>1625</v>
      </c>
      <c r="AQ70">
        <f t="shared" si="211"/>
        <v>350</v>
      </c>
      <c r="AS70" s="5">
        <f t="shared" ref="AS70:AS133" si="285">1/AN70*1000</f>
        <v>2.8571428571428572</v>
      </c>
      <c r="AT70" s="5">
        <f t="shared" si="212"/>
        <v>1.2628673886658497</v>
      </c>
      <c r="AU70" s="5">
        <f t="shared" ref="AU70:AU105" si="286">AS70-AT70</f>
        <v>1.5942754684770075</v>
      </c>
      <c r="AV70" s="5">
        <f t="shared" si="213"/>
        <v>1.2385105215655057</v>
      </c>
      <c r="AW70" s="173">
        <f t="shared" ref="AW70:AW105" si="287">AT70/AS70</f>
        <v>0.4420035860330474</v>
      </c>
      <c r="AX70" s="173">
        <f t="shared" si="214"/>
        <v>46.234603659822241</v>
      </c>
      <c r="AY70" s="173">
        <f t="shared" si="215"/>
        <v>2.0917849232321708</v>
      </c>
      <c r="AZ70" s="173">
        <f t="shared" ref="AZ70:AZ133" si="288">AX70/AY70</f>
        <v>22.102943350591588</v>
      </c>
      <c r="BA70" s="460">
        <f t="shared" si="216"/>
        <v>7.3291410949357347</v>
      </c>
      <c r="BB70" s="5">
        <f t="shared" si="217"/>
        <v>1.8569106150535188</v>
      </c>
      <c r="BC70" s="5"/>
      <c r="BD70" s="173">
        <f t="shared" ref="BD70:BD133" si="289">AJ70*SQRT(AW70/3)</f>
        <v>2.8778482207273024</v>
      </c>
      <c r="BE70" s="173">
        <f t="shared" si="218"/>
        <v>3.2334838250335287</v>
      </c>
      <c r="BF70" s="173"/>
      <c r="BG70" s="528">
        <f t="shared" si="219"/>
        <v>9.9384124578519598E-2</v>
      </c>
      <c r="BH70" s="528">
        <f t="shared" si="220"/>
        <v>2.7034998696265964</v>
      </c>
      <c r="BI70" s="528">
        <f t="shared" si="221"/>
        <v>4.0250000000000001E-2</v>
      </c>
      <c r="BJ70" s="528">
        <f t="shared" si="222"/>
        <v>0.54933077038548761</v>
      </c>
      <c r="BK70">
        <f t="shared" si="223"/>
        <v>1.2556489546377128E-2</v>
      </c>
      <c r="BL70" s="460">
        <f t="shared" ref="BL70:BL105" si="290">(BK70+BI70)*1000</f>
        <v>52.806489546377129</v>
      </c>
      <c r="BM70" s="528">
        <f t="shared" si="224"/>
        <v>3.4607699508705396</v>
      </c>
      <c r="BN70" s="460">
        <f t="shared" ref="BN70:BN105" si="291">BM70*1000</f>
        <v>3460.7699508705396</v>
      </c>
      <c r="BO70" s="528">
        <f t="shared" si="225"/>
        <v>1.0897249999999998</v>
      </c>
      <c r="BP70" s="528"/>
      <c r="BR70" s="460">
        <f t="shared" ref="BR70:BR105" si="292">SUM(BO70:BQ70)*1000</f>
        <v>1089.7249999999999</v>
      </c>
      <c r="BS70" s="528">
        <f t="shared" si="226"/>
        <v>0.1159481453416062</v>
      </c>
      <c r="BT70" s="528">
        <f t="shared" si="227"/>
        <v>0.14637584705454845</v>
      </c>
      <c r="BU70" s="528">
        <f t="shared" si="228"/>
        <v>17.637180346293739</v>
      </c>
      <c r="BV70" s="528">
        <f t="shared" si="229"/>
        <v>18.347501279761008</v>
      </c>
      <c r="BW70" s="528">
        <f t="shared" si="230"/>
        <v>1.9674299429711597</v>
      </c>
      <c r="BX70" s="460">
        <f t="shared" ref="BX70:BX105" si="293">1000*(BV70+BW70)</f>
        <v>20314.931222732168</v>
      </c>
      <c r="BY70" s="173">
        <f t="shared" si="231"/>
        <v>24.918232663149084</v>
      </c>
      <c r="BZ70" s="5">
        <f t="shared" ref="BZ70:BZ105" si="294">MIN(H70,O70)</f>
        <v>45.5</v>
      </c>
      <c r="CA70" s="173">
        <f t="shared" ref="CA70:CA104" si="295">BZ70/(BZ70+BY70)</f>
        <v>0.64613947665589211</v>
      </c>
      <c r="CB70" s="5">
        <f t="shared" ref="CB70:CB104" si="296">CA70*100</f>
        <v>64.613947665589208</v>
      </c>
      <c r="CE70" s="562">
        <f t="shared" si="232"/>
        <v>-50</v>
      </c>
      <c r="CF70">
        <f t="shared" si="233"/>
        <v>-50</v>
      </c>
      <c r="CG70" s="173">
        <f t="shared" si="234"/>
        <v>0.43696395732371335</v>
      </c>
      <c r="CI70" s="170">
        <v>65</v>
      </c>
      <c r="CJ70" s="217">
        <f t="shared" ref="CJ70:CJ105" si="297">IF(PLOT_TYPE=1, CI70/100*Iout_max, min_I*EXP(CR70*rr/100))</f>
        <v>1.625</v>
      </c>
      <c r="CK70" s="217"/>
      <c r="CL70" s="217">
        <f t="shared" si="235"/>
        <v>45.5</v>
      </c>
      <c r="CM70" s="541">
        <f t="shared" si="236"/>
        <v>28</v>
      </c>
      <c r="CN70" s="172">
        <f t="shared" si="237"/>
        <v>28.4</v>
      </c>
      <c r="CO70" s="443">
        <f t="shared" si="238"/>
        <v>56.4</v>
      </c>
      <c r="CP70" s="443"/>
      <c r="CQ70" s="217">
        <f t="shared" si="239"/>
        <v>0.50354609929078009</v>
      </c>
      <c r="CR70" s="172">
        <f t="shared" si="240"/>
        <v>118.75402645742166</v>
      </c>
      <c r="CS70" s="172">
        <f t="shared" ref="CS70:CS105" si="298">CX70*CJ70</f>
        <v>45.5</v>
      </c>
      <c r="CT70" s="217">
        <f t="shared" si="241"/>
        <v>4.2412152306222017</v>
      </c>
      <c r="CU70" s="217">
        <f t="shared" si="242"/>
        <v>28</v>
      </c>
      <c r="CV70" s="217">
        <f t="shared" si="243"/>
        <v>4.1962174940898347</v>
      </c>
      <c r="CW70" s="172">
        <f t="shared" si="244"/>
        <v>115.68622359962511</v>
      </c>
      <c r="CX70" s="172">
        <f t="shared" si="245"/>
        <v>28</v>
      </c>
      <c r="CY70" s="217">
        <f t="shared" si="246"/>
        <v>6.4542253521126769</v>
      </c>
      <c r="CZ70" s="217">
        <f t="shared" si="247"/>
        <v>1.0833878269617707</v>
      </c>
      <c r="DA70" s="217">
        <f t="shared" si="248"/>
        <v>1.068128843483436</v>
      </c>
      <c r="DB70" s="197">
        <f t="shared" si="249"/>
        <v>350</v>
      </c>
      <c r="DC70" s="443">
        <f t="shared" ref="DC70:DC105" si="299">MIN(1/(CZ70+DA70)*1000, 350)</f>
        <v>350</v>
      </c>
      <c r="DE70" s="217">
        <f t="shared" si="250"/>
        <v>8.5709974347366842</v>
      </c>
      <c r="DF70" s="173">
        <f t="shared" si="251"/>
        <v>1.418439716312057</v>
      </c>
      <c r="DG70" s="173">
        <f t="shared" si="252"/>
        <v>2.1275525547218721</v>
      </c>
      <c r="DH70" s="173"/>
      <c r="DI70" s="173">
        <f t="shared" si="253"/>
        <v>0.55164319248826299</v>
      </c>
      <c r="DJ70" s="545">
        <f t="shared" ref="DJ70:DJ105" si="300">MAX(12, CJ70/(0.5*DI70/1000000*Isw_min*Nps)/1000)</f>
        <v>1767.446808510638</v>
      </c>
      <c r="DK70" s="528">
        <f t="shared" si="254"/>
        <v>0.3217918622848201</v>
      </c>
      <c r="DM70" s="173">
        <f t="shared" si="255"/>
        <v>7.4906223034138639</v>
      </c>
      <c r="DN70" s="173">
        <f t="shared" si="256"/>
        <v>7.4906223034138639</v>
      </c>
      <c r="DO70" s="173">
        <f t="shared" si="257"/>
        <v>4.2794733111707641</v>
      </c>
      <c r="DQ70" s="545">
        <f t="shared" si="258"/>
        <v>1625</v>
      </c>
      <c r="DR70" s="460">
        <f t="shared" si="259"/>
        <v>350</v>
      </c>
      <c r="DT70">
        <f t="shared" si="260"/>
        <v>1625</v>
      </c>
      <c r="DU70">
        <f t="shared" si="261"/>
        <v>350</v>
      </c>
      <c r="DW70" s="5">
        <f t="shared" ref="DW70:DW105" si="301">1/DR70*1000</f>
        <v>2.8571428571428572</v>
      </c>
      <c r="DX70" s="5">
        <f t="shared" si="262"/>
        <v>1.2573544580730414</v>
      </c>
      <c r="DY70" s="5">
        <f t="shared" ref="DY70:DY105" si="302">DW70-DX70</f>
        <v>1.5997883990698158</v>
      </c>
      <c r="DZ70" s="5">
        <f t="shared" si="263"/>
        <v>1.2396452403537028</v>
      </c>
      <c r="EA70" s="173">
        <f t="shared" ref="EA70:EA105" si="303">DX70/DW70</f>
        <v>0.44007406032556445</v>
      </c>
      <c r="EB70" s="173">
        <f t="shared" si="264"/>
        <v>46.150000000000006</v>
      </c>
      <c r="EC70" s="173">
        <f t="shared" si="265"/>
        <v>2.0970968659926466</v>
      </c>
      <c r="ED70" s="173">
        <f t="shared" ref="ED70:ED105" si="304">EB70/EC70</f>
        <v>22.00661340369474</v>
      </c>
      <c r="EE70" s="460">
        <f t="shared" si="266"/>
        <v>7.297146408459616</v>
      </c>
      <c r="EF70" s="5">
        <f t="shared" si="267"/>
        <v>1.8568972489203219</v>
      </c>
      <c r="EG70" s="5"/>
      <c r="EH70" s="173">
        <f t="shared" ref="EH70:EH105" si="305">DN70*SQRT(EA70/3)</f>
        <v>2.8689313561413745</v>
      </c>
      <c r="EI70" s="173">
        <f t="shared" si="268"/>
        <v>3.2361047116169188</v>
      </c>
      <c r="EJ70" s="173"/>
      <c r="EK70" s="528">
        <f t="shared" si="269"/>
        <v>9.8769205515014225E-2</v>
      </c>
      <c r="EL70" s="528">
        <f t="shared" si="270"/>
        <v>2.8094328011184038</v>
      </c>
      <c r="EM70" s="528">
        <f t="shared" si="271"/>
        <v>4.0250000000000001E-2</v>
      </c>
      <c r="EN70" s="528">
        <f t="shared" si="272"/>
        <v>0.54831797999999998</v>
      </c>
      <c r="EO70">
        <f t="shared" si="273"/>
        <v>1.26E-2</v>
      </c>
      <c r="EP70" s="460">
        <f t="shared" ref="EP70:EP105" si="306">(EO70+EM70)*1000</f>
        <v>52.85</v>
      </c>
      <c r="EQ70" s="528">
        <f t="shared" si="274"/>
        <v>3.6210140482580147</v>
      </c>
      <c r="ER70" s="460">
        <f t="shared" ref="ER70:ER105" si="307">EQ70*1000</f>
        <v>3621.0140482580146</v>
      </c>
      <c r="ES70" s="528">
        <f t="shared" ref="ES70:ES105" si="308">Vfwd2*CJ70*(1+Diode_TC/1000*(Ta-25))</f>
        <v>1.0897249999999998</v>
      </c>
      <c r="ET70" s="528"/>
      <c r="EV70" s="460">
        <f t="shared" ref="EV70:EV105" si="309">SUM(ES70:EU70)*1000</f>
        <v>1089.7249999999999</v>
      </c>
      <c r="EW70" s="528">
        <f t="shared" si="275"/>
        <v>0.1152307397675166</v>
      </c>
      <c r="EX70" s="528">
        <f t="shared" si="276"/>
        <v>0.1466132318636891</v>
      </c>
      <c r="EY70" s="528">
        <f t="shared" si="277"/>
        <v>17.596847229405835</v>
      </c>
      <c r="EZ70" s="528">
        <f t="shared" si="278"/>
        <v>18.304977596997986</v>
      </c>
      <c r="FA70" s="528">
        <f t="shared" si="279"/>
        <v>1.9638297872340429</v>
      </c>
      <c r="FB70" s="460">
        <f t="shared" ref="FB70:FB105" si="310">1000*(EZ70+FA70)</f>
        <v>20268.80738423203</v>
      </c>
      <c r="FC70" s="173">
        <f t="shared" ref="FC70:FC105" si="311">SUM(EQ70,ES70:EU70,EZ70, FA70)</f>
        <v>24.979546432490043</v>
      </c>
      <c r="FD70" s="5">
        <f t="shared" ref="FD70:FD105" si="312">MIN(CL70,CS70)</f>
        <v>45.5</v>
      </c>
      <c r="FE70" s="173">
        <f t="shared" ref="FE70:FE105" si="313">FD70/(FD70+FC70)</f>
        <v>0.64557736681212763</v>
      </c>
      <c r="FF70" s="5">
        <f t="shared" ref="FF70:FF105" si="314">FE70*100</f>
        <v>64.557736681212759</v>
      </c>
      <c r="FI70" s="562">
        <f t="shared" si="280"/>
        <v>-50</v>
      </c>
      <c r="FJ70">
        <f t="shared" si="281"/>
        <v>-50</v>
      </c>
      <c r="FL70">
        <f t="shared" si="282"/>
        <v>0.43387583412379599</v>
      </c>
    </row>
    <row r="71" spans="5:168">
      <c r="E71" s="170">
        <v>66</v>
      </c>
      <c r="F71" s="217">
        <f t="shared" si="283"/>
        <v>1.6500000000000001</v>
      </c>
      <c r="G71" s="217"/>
      <c r="H71" s="217">
        <f t="shared" si="183"/>
        <v>46.2</v>
      </c>
      <c r="I71" s="541">
        <f t="shared" si="184"/>
        <v>27.902569173474475</v>
      </c>
      <c r="J71" s="172">
        <f t="shared" si="185"/>
        <v>28.452462752744513</v>
      </c>
      <c r="K71" s="172">
        <f t="shared" si="186"/>
        <v>56.452462752744509</v>
      </c>
      <c r="L71" s="443"/>
      <c r="M71" s="217">
        <f t="shared" si="187"/>
        <v>0.5048821136244408</v>
      </c>
      <c r="N71" s="172">
        <f t="shared" si="188"/>
        <v>118.65478453467333</v>
      </c>
      <c r="O71" s="172">
        <f t="shared" si="284"/>
        <v>46.2</v>
      </c>
      <c r="P71" s="217">
        <f t="shared" si="189"/>
        <v>4.2376708762383331</v>
      </c>
      <c r="Q71" s="217">
        <f t="shared" si="190"/>
        <v>28</v>
      </c>
      <c r="R71" s="217">
        <f t="shared" si="191"/>
        <v>4.1927107440047502</v>
      </c>
      <c r="S71" s="172">
        <f t="shared" si="192"/>
        <v>113.1178169707821</v>
      </c>
      <c r="T71" s="172">
        <f t="shared" si="193"/>
        <v>28</v>
      </c>
      <c r="U71" s="217">
        <f t="shared" si="194"/>
        <v>6.6650793493993632</v>
      </c>
      <c r="V71" s="217">
        <f t="shared" si="195"/>
        <v>1.1226877620988711</v>
      </c>
      <c r="W71" s="217">
        <f t="shared" si="196"/>
        <v>1.1009898585722717</v>
      </c>
      <c r="X71" s="197">
        <f t="shared" si="197"/>
        <v>350</v>
      </c>
      <c r="Y71" s="443">
        <f t="shared" si="198"/>
        <v>350</v>
      </c>
      <c r="AA71" s="217">
        <f t="shared" si="199"/>
        <v>8.5637790650963304</v>
      </c>
      <c r="AB71" s="173">
        <f t="shared" si="200"/>
        <v>1.4146319057063093</v>
      </c>
      <c r="AC71" s="173">
        <f t="shared" si="201"/>
        <v>2.1200541423083776</v>
      </c>
      <c r="AD71" s="173"/>
      <c r="AE71" s="173">
        <f t="shared" si="202"/>
        <v>0.55062603201740301</v>
      </c>
      <c r="AF71" s="545">
        <f t="shared" si="203"/>
        <v>1797.9534973542811</v>
      </c>
      <c r="AG71" s="528">
        <f t="shared" si="204"/>
        <v>0.32119851867681842</v>
      </c>
      <c r="AI71" s="173">
        <f t="shared" si="205"/>
        <v>7.5549909864206866</v>
      </c>
      <c r="AJ71" s="173">
        <f t="shared" si="153"/>
        <v>7.5549909864206866</v>
      </c>
      <c r="AK71" s="173">
        <f t="shared" si="207"/>
        <v>4.3271538171017436</v>
      </c>
      <c r="AM71" s="545">
        <f t="shared" si="208"/>
        <v>1650.0000000000002</v>
      </c>
      <c r="AN71" s="460">
        <f t="shared" si="209"/>
        <v>350</v>
      </c>
      <c r="AP71">
        <f t="shared" si="210"/>
        <v>1650.0000000000002</v>
      </c>
      <c r="AQ71">
        <f t="shared" si="211"/>
        <v>350</v>
      </c>
      <c r="AS71" s="5">
        <f t="shared" si="285"/>
        <v>2.8571428571428572</v>
      </c>
      <c r="AT71" s="5">
        <f t="shared" si="212"/>
        <v>1.2725873884736489</v>
      </c>
      <c r="AU71" s="5">
        <f t="shared" si="286"/>
        <v>1.5845554686692083</v>
      </c>
      <c r="AV71" s="5">
        <f t="shared" si="213"/>
        <v>1.2479924126340205</v>
      </c>
      <c r="AW71" s="173">
        <f t="shared" si="287"/>
        <v>0.44540558596577712</v>
      </c>
      <c r="AX71" s="173">
        <f t="shared" si="214"/>
        <v>46.946563542028457</v>
      </c>
      <c r="AY71" s="173">
        <f t="shared" si="215"/>
        <v>2.0949778995739083</v>
      </c>
      <c r="AZ71" s="173">
        <f t="shared" si="288"/>
        <v>22.409097275716743</v>
      </c>
      <c r="BA71" s="460">
        <f t="shared" si="216"/>
        <v>7.4991756820768609</v>
      </c>
      <c r="BB71" s="5">
        <f t="shared" si="217"/>
        <v>1.8740328226045069</v>
      </c>
      <c r="BC71" s="5"/>
      <c r="BD71" s="173">
        <f t="shared" si="289"/>
        <v>2.9110599735511564</v>
      </c>
      <c r="BE71" s="173">
        <f t="shared" si="218"/>
        <v>3.2483369230044903</v>
      </c>
      <c r="BF71" s="173"/>
      <c r="BG71" s="528">
        <f t="shared" si="219"/>
        <v>0.10169124203533991</v>
      </c>
      <c r="BH71" s="528">
        <f t="shared" si="220"/>
        <v>2.7242549993619716</v>
      </c>
      <c r="BI71" s="528">
        <f t="shared" si="221"/>
        <v>4.0250000000000001E-2</v>
      </c>
      <c r="BJ71" s="528">
        <f t="shared" si="222"/>
        <v>0.54933853495276985</v>
      </c>
      <c r="BK71">
        <f t="shared" si="223"/>
        <v>1.2556156128063514E-2</v>
      </c>
      <c r="BL71" s="460">
        <f t="shared" si="290"/>
        <v>52.806156128063513</v>
      </c>
      <c r="BM71" s="528">
        <f t="shared" si="224"/>
        <v>3.4869935897852349</v>
      </c>
      <c r="BN71" s="460">
        <f t="shared" si="291"/>
        <v>3486.9935897852347</v>
      </c>
      <c r="BO71" s="528">
        <f t="shared" si="225"/>
        <v>1.10649</v>
      </c>
      <c r="BP71" s="528"/>
      <c r="BR71" s="460">
        <f t="shared" si="292"/>
        <v>1106.49</v>
      </c>
      <c r="BS71" s="528">
        <f t="shared" si="226"/>
        <v>0.11863978237456323</v>
      </c>
      <c r="BT71" s="528">
        <f t="shared" si="227"/>
        <v>0.14772369871495994</v>
      </c>
      <c r="BU71" s="528">
        <f t="shared" si="228"/>
        <v>17.977321760302832</v>
      </c>
      <c r="BV71" s="528">
        <f t="shared" si="229"/>
        <v>18.706224891260206</v>
      </c>
      <c r="BW71" s="528">
        <f t="shared" si="230"/>
        <v>1.9977261081714242</v>
      </c>
      <c r="BX71" s="460">
        <f t="shared" si="293"/>
        <v>20703.950999431629</v>
      </c>
      <c r="BY71" s="173">
        <f t="shared" si="231"/>
        <v>25.35024074534493</v>
      </c>
      <c r="BZ71" s="5">
        <f t="shared" si="294"/>
        <v>46.2</v>
      </c>
      <c r="CA71" s="173">
        <f t="shared" si="295"/>
        <v>0.64570013348286015</v>
      </c>
      <c r="CB71" s="5">
        <f t="shared" si="296"/>
        <v>64.570013348286011</v>
      </c>
      <c r="CE71" s="562">
        <f t="shared" si="232"/>
        <v>-50</v>
      </c>
      <c r="CF71">
        <f t="shared" si="233"/>
        <v>-50</v>
      </c>
      <c r="CG71" s="173">
        <f t="shared" si="234"/>
        <v>0.44031238910573484</v>
      </c>
      <c r="CI71" s="170">
        <v>66</v>
      </c>
      <c r="CJ71" s="217">
        <f t="shared" si="297"/>
        <v>1.6500000000000001</v>
      </c>
      <c r="CK71" s="217"/>
      <c r="CL71" s="217">
        <f t="shared" si="235"/>
        <v>46.2</v>
      </c>
      <c r="CM71" s="541">
        <f t="shared" si="236"/>
        <v>28</v>
      </c>
      <c r="CN71" s="172">
        <f t="shared" si="237"/>
        <v>28.4</v>
      </c>
      <c r="CO71" s="443">
        <f t="shared" si="238"/>
        <v>56.4</v>
      </c>
      <c r="CP71" s="443"/>
      <c r="CQ71" s="217">
        <f t="shared" si="239"/>
        <v>0.50354609929078009</v>
      </c>
      <c r="CR71" s="172">
        <f t="shared" si="240"/>
        <v>118.75402645742166</v>
      </c>
      <c r="CS71" s="172">
        <f t="shared" si="298"/>
        <v>46.2</v>
      </c>
      <c r="CT71" s="217">
        <f t="shared" si="241"/>
        <v>4.2412152306222017</v>
      </c>
      <c r="CU71" s="217">
        <f t="shared" si="242"/>
        <v>28</v>
      </c>
      <c r="CV71" s="217">
        <f t="shared" si="243"/>
        <v>4.1962174940898347</v>
      </c>
      <c r="CW71" s="172">
        <f t="shared" si="244"/>
        <v>113.5124625262622</v>
      </c>
      <c r="CX71" s="172">
        <f t="shared" si="245"/>
        <v>28</v>
      </c>
      <c r="CY71" s="217">
        <f t="shared" si="246"/>
        <v>6.5535211267605646</v>
      </c>
      <c r="CZ71" s="217">
        <f t="shared" si="247"/>
        <v>1.1000553319919519</v>
      </c>
      <c r="DA71" s="217">
        <f t="shared" si="248"/>
        <v>1.0845615949216429</v>
      </c>
      <c r="DB71" s="197">
        <f t="shared" si="249"/>
        <v>350</v>
      </c>
      <c r="DC71" s="443">
        <f t="shared" si="299"/>
        <v>350</v>
      </c>
      <c r="DE71" s="217">
        <f t="shared" si="250"/>
        <v>8.5709974347366842</v>
      </c>
      <c r="DF71" s="173">
        <f t="shared" si="251"/>
        <v>1.418439716312057</v>
      </c>
      <c r="DG71" s="173">
        <f t="shared" si="252"/>
        <v>2.1275525547218721</v>
      </c>
      <c r="DH71" s="173"/>
      <c r="DI71" s="173">
        <f t="shared" si="253"/>
        <v>0.55164319248826299</v>
      </c>
      <c r="DJ71" s="545">
        <f t="shared" si="300"/>
        <v>1794.6382978723402</v>
      </c>
      <c r="DK71" s="528">
        <f t="shared" si="254"/>
        <v>0.3217918622848201</v>
      </c>
      <c r="DM71" s="173">
        <f t="shared" si="255"/>
        <v>7.5480225474557043</v>
      </c>
      <c r="DN71" s="173">
        <f t="shared" si="256"/>
        <v>7.5480225474557043</v>
      </c>
      <c r="DO71" s="173">
        <f t="shared" si="257"/>
        <v>4.3219920104610159</v>
      </c>
      <c r="DQ71" s="545">
        <f t="shared" si="258"/>
        <v>1650.0000000000002</v>
      </c>
      <c r="DR71" s="460">
        <f t="shared" si="259"/>
        <v>350</v>
      </c>
      <c r="DT71">
        <f t="shared" si="260"/>
        <v>1650.0000000000002</v>
      </c>
      <c r="DU71">
        <f t="shared" si="261"/>
        <v>350</v>
      </c>
      <c r="DW71" s="5">
        <f t="shared" si="301"/>
        <v>2.8571428571428572</v>
      </c>
      <c r="DX71" s="5">
        <f t="shared" si="262"/>
        <v>1.2669894990372075</v>
      </c>
      <c r="DY71" s="5">
        <f t="shared" si="302"/>
        <v>1.5901533581056497</v>
      </c>
      <c r="DZ71" s="5">
        <f t="shared" si="263"/>
        <v>1.2491445765155567</v>
      </c>
      <c r="EA71" s="173">
        <f t="shared" si="303"/>
        <v>0.44344632466302258</v>
      </c>
      <c r="EB71" s="173">
        <f t="shared" si="264"/>
        <v>46.860000000000007</v>
      </c>
      <c r="EC71" s="173">
        <f t="shared" si="265"/>
        <v>2.1004398451564237</v>
      </c>
      <c r="ED71" s="173">
        <f t="shared" si="304"/>
        <v>22.309612964188581</v>
      </c>
      <c r="EE71" s="460">
        <f t="shared" si="266"/>
        <v>7.4661881193264019</v>
      </c>
      <c r="EF71" s="5">
        <f t="shared" si="267"/>
        <v>1.8741093149102301</v>
      </c>
      <c r="EG71" s="5"/>
      <c r="EH71" s="173">
        <f t="shared" si="305"/>
        <v>2.9019711551098961</v>
      </c>
      <c r="EI71" s="173">
        <f t="shared" si="268"/>
        <v>3.2510682665666533</v>
      </c>
      <c r="EJ71" s="173"/>
      <c r="EK71" s="528">
        <f t="shared" si="269"/>
        <v>0.10105723902107838</v>
      </c>
      <c r="EL71" s="528">
        <f t="shared" si="270"/>
        <v>2.8309613366487367</v>
      </c>
      <c r="EM71" s="528">
        <f t="shared" si="271"/>
        <v>4.0250000000000001E-2</v>
      </c>
      <c r="EN71" s="528">
        <f t="shared" si="272"/>
        <v>0.54831797999999998</v>
      </c>
      <c r="EO71">
        <f t="shared" si="273"/>
        <v>1.26E-2</v>
      </c>
      <c r="EP71" s="460">
        <f t="shared" si="306"/>
        <v>52.85</v>
      </c>
      <c r="EQ71" s="528">
        <f t="shared" si="274"/>
        <v>3.6480664636460611</v>
      </c>
      <c r="ER71" s="460">
        <f t="shared" si="307"/>
        <v>3648.066463646061</v>
      </c>
      <c r="ES71" s="528">
        <f t="shared" si="308"/>
        <v>1.10649</v>
      </c>
      <c r="ET71" s="528"/>
      <c r="EV71" s="460">
        <f t="shared" si="309"/>
        <v>1106.49</v>
      </c>
      <c r="EW71" s="528">
        <f t="shared" si="275"/>
        <v>0.11790011219125811</v>
      </c>
      <c r="EX71" s="528">
        <f t="shared" si="276"/>
        <v>0.14797222823427386</v>
      </c>
      <c r="EY71" s="528">
        <f t="shared" si="277"/>
        <v>17.935896422381447</v>
      </c>
      <c r="EZ71" s="528">
        <f t="shared" si="278"/>
        <v>18.662526083556113</v>
      </c>
      <c r="FA71" s="528">
        <f t="shared" si="279"/>
        <v>1.9940425531914896</v>
      </c>
      <c r="FB71" s="460">
        <f t="shared" si="310"/>
        <v>20656.568636747605</v>
      </c>
      <c r="FC71" s="173">
        <f t="shared" si="311"/>
        <v>25.411125100393665</v>
      </c>
      <c r="FD71" s="5">
        <f t="shared" si="312"/>
        <v>46.2</v>
      </c>
      <c r="FE71" s="173">
        <f t="shared" si="313"/>
        <v>0.64515115403131729</v>
      </c>
      <c r="FF71" s="5">
        <f t="shared" si="314"/>
        <v>64.51511540313173</v>
      </c>
      <c r="FI71" s="562">
        <f t="shared" si="280"/>
        <v>-50</v>
      </c>
      <c r="FJ71">
        <f t="shared" si="281"/>
        <v>-50</v>
      </c>
      <c r="FL71">
        <f t="shared" si="282"/>
        <v>0.43720060178044484</v>
      </c>
    </row>
    <row r="72" spans="5:168">
      <c r="E72" s="170">
        <v>67</v>
      </c>
      <c r="F72" s="217">
        <f t="shared" si="283"/>
        <v>1.675</v>
      </c>
      <c r="G72" s="217"/>
      <c r="H72" s="217">
        <f t="shared" si="183"/>
        <v>46.9</v>
      </c>
      <c r="I72" s="541">
        <f t="shared" si="184"/>
        <v>27.901833836049885</v>
      </c>
      <c r="J72" s="172">
        <f t="shared" si="185"/>
        <v>28.452858703665445</v>
      </c>
      <c r="K72" s="172">
        <f t="shared" si="186"/>
        <v>56.452858703665441</v>
      </c>
      <c r="L72" s="443"/>
      <c r="M72" s="217">
        <f t="shared" si="187"/>
        <v>0.50489220493380793</v>
      </c>
      <c r="N72" s="172">
        <f t="shared" si="188"/>
        <v>118.65402908061643</v>
      </c>
      <c r="O72" s="172">
        <f t="shared" si="284"/>
        <v>46.9</v>
      </c>
      <c r="P72" s="217">
        <f t="shared" si="189"/>
        <v>4.2376438957363005</v>
      </c>
      <c r="Q72" s="217">
        <f t="shared" si="190"/>
        <v>28</v>
      </c>
      <c r="R72" s="217">
        <f t="shared" si="191"/>
        <v>4.1926840497559397</v>
      </c>
      <c r="S72" s="172">
        <f t="shared" si="192"/>
        <v>111.01343391338861</v>
      </c>
      <c r="T72" s="172">
        <f t="shared" si="193"/>
        <v>28</v>
      </c>
      <c r="U72" s="217">
        <f t="shared" si="194"/>
        <v>6.7662033063974114</v>
      </c>
      <c r="V72" s="217">
        <f t="shared" si="195"/>
        <v>1.1397514488449116</v>
      </c>
      <c r="W72" s="217">
        <f t="shared" si="196"/>
        <v>1.1176787496565694</v>
      </c>
      <c r="X72" s="197">
        <f t="shared" si="197"/>
        <v>350</v>
      </c>
      <c r="Y72" s="443">
        <f t="shared" si="198"/>
        <v>350</v>
      </c>
      <c r="AA72" s="217">
        <f t="shared" si="199"/>
        <v>8.5637241229795951</v>
      </c>
      <c r="AB72" s="173">
        <f t="shared" si="200"/>
        <v>1.4146031440003934</v>
      </c>
      <c r="AC72" s="173">
        <f t="shared" si="201"/>
        <v>2.1199974370258161</v>
      </c>
      <c r="AD72" s="173"/>
      <c r="AE72" s="173">
        <f t="shared" si="202"/>
        <v>0.55061836948736564</v>
      </c>
      <c r="AF72" s="545">
        <f t="shared" si="203"/>
        <v>1825.2206168415173</v>
      </c>
      <c r="AG72" s="528">
        <f t="shared" si="204"/>
        <v>0.32119404886762998</v>
      </c>
      <c r="AI72" s="173">
        <f t="shared" si="205"/>
        <v>7.6120635602813023</v>
      </c>
      <c r="AJ72" s="173">
        <f t="shared" si="206"/>
        <v>7.6120635602813023</v>
      </c>
      <c r="AK72" s="173">
        <f t="shared" si="207"/>
        <v>4.3694297977392367</v>
      </c>
      <c r="AM72" s="545">
        <f t="shared" si="208"/>
        <v>1675</v>
      </c>
      <c r="AN72" s="460">
        <f t="shared" si="209"/>
        <v>350</v>
      </c>
      <c r="AP72">
        <f t="shared" si="210"/>
        <v>1675</v>
      </c>
      <c r="AQ72">
        <f t="shared" si="211"/>
        <v>350</v>
      </c>
      <c r="AS72" s="5">
        <f t="shared" si="285"/>
        <v>2.8571428571428572</v>
      </c>
      <c r="AT72" s="5">
        <f t="shared" si="212"/>
        <v>1.2822346711526074</v>
      </c>
      <c r="AU72" s="5">
        <f t="shared" si="286"/>
        <v>1.5749081859902498</v>
      </c>
      <c r="AV72" s="5">
        <f t="shared" si="213"/>
        <v>1.2574026077988847</v>
      </c>
      <c r="AW72" s="173">
        <f t="shared" si="287"/>
        <v>0.44878213490341257</v>
      </c>
      <c r="AX72" s="173">
        <f t="shared" si="214"/>
        <v>47.658538328639615</v>
      </c>
      <c r="AY72" s="173">
        <f t="shared" si="215"/>
        <v>2.0979527123388939</v>
      </c>
      <c r="AZ72" s="173">
        <f t="shared" si="288"/>
        <v>22.716688535609407</v>
      </c>
      <c r="BA72" s="460">
        <f t="shared" si="216"/>
        <v>7.6705109792164912</v>
      </c>
      <c r="BB72" s="5">
        <f t="shared" si="217"/>
        <v>1.8908945032317854</v>
      </c>
      <c r="BC72" s="5"/>
      <c r="BD72" s="173">
        <f t="shared" si="289"/>
        <v>2.9441474634822002</v>
      </c>
      <c r="BE72" s="173">
        <f t="shared" si="218"/>
        <v>3.2628974233328489</v>
      </c>
      <c r="BF72" s="173"/>
      <c r="BG72" s="528">
        <f t="shared" si="219"/>
        <v>0.10401605144074409</v>
      </c>
      <c r="BH72" s="528">
        <f t="shared" si="220"/>
        <v>2.7448540567583892</v>
      </c>
      <c r="BI72" s="528">
        <f t="shared" si="221"/>
        <v>4.0250000000000001E-2</v>
      </c>
      <c r="BJ72" s="528">
        <f t="shared" si="222"/>
        <v>0.54934624097128559</v>
      </c>
      <c r="BK72">
        <f t="shared" si="223"/>
        <v>1.2555825226222448E-2</v>
      </c>
      <c r="BL72" s="460">
        <f t="shared" si="290"/>
        <v>52.805825226222453</v>
      </c>
      <c r="BM72" s="528">
        <f t="shared" si="224"/>
        <v>3.513124800565083</v>
      </c>
      <c r="BN72" s="460">
        <f t="shared" si="291"/>
        <v>3513.1248005650832</v>
      </c>
      <c r="BO72" s="528">
        <f t="shared" si="225"/>
        <v>1.1232549999999999</v>
      </c>
      <c r="BP72" s="528"/>
      <c r="BR72" s="460">
        <f t="shared" si="292"/>
        <v>1123.2549999999999</v>
      </c>
      <c r="BS72" s="528">
        <f t="shared" si="226"/>
        <v>0.12135206001420144</v>
      </c>
      <c r="BT72" s="528">
        <f t="shared" si="227"/>
        <v>0.14905099433269003</v>
      </c>
      <c r="BU72" s="528">
        <f t="shared" si="228"/>
        <v>18.318762415310292</v>
      </c>
      <c r="BV72" s="528">
        <f t="shared" si="229"/>
        <v>19.066513685607237</v>
      </c>
      <c r="BW72" s="528">
        <f t="shared" si="230"/>
        <v>2.0280229076016862</v>
      </c>
      <c r="BX72" s="460">
        <f t="shared" si="293"/>
        <v>21094.536593208923</v>
      </c>
      <c r="BY72" s="173">
        <f t="shared" si="231"/>
        <v>25.783722219000232</v>
      </c>
      <c r="BZ72" s="5">
        <f t="shared" si="294"/>
        <v>46.9</v>
      </c>
      <c r="CA72" s="173">
        <f t="shared" si="295"/>
        <v>0.64526139509872105</v>
      </c>
      <c r="CB72" s="5">
        <f t="shared" si="296"/>
        <v>64.52613950987211</v>
      </c>
      <c r="CE72" s="562">
        <f t="shared" si="232"/>
        <v>-50</v>
      </c>
      <c r="CF72">
        <f t="shared" si="233"/>
        <v>-50</v>
      </c>
      <c r="CG72" s="173">
        <f t="shared" si="234"/>
        <v>0.44363554862071186</v>
      </c>
      <c r="CI72" s="170">
        <v>67</v>
      </c>
      <c r="CJ72" s="217">
        <f t="shared" si="297"/>
        <v>1.675</v>
      </c>
      <c r="CK72" s="217"/>
      <c r="CL72" s="217">
        <f t="shared" si="235"/>
        <v>46.9</v>
      </c>
      <c r="CM72" s="541">
        <f t="shared" si="236"/>
        <v>28</v>
      </c>
      <c r="CN72" s="172">
        <f t="shared" si="237"/>
        <v>28.4</v>
      </c>
      <c r="CO72" s="443">
        <f t="shared" si="238"/>
        <v>56.4</v>
      </c>
      <c r="CP72" s="443"/>
      <c r="CQ72" s="217">
        <f t="shared" si="239"/>
        <v>0.50354609929078009</v>
      </c>
      <c r="CR72" s="172">
        <f t="shared" si="240"/>
        <v>118.75402645742166</v>
      </c>
      <c r="CS72" s="172">
        <f t="shared" si="298"/>
        <v>46.9</v>
      </c>
      <c r="CT72" s="217">
        <f t="shared" si="241"/>
        <v>4.2412152306222017</v>
      </c>
      <c r="CU72" s="217">
        <f t="shared" si="242"/>
        <v>28</v>
      </c>
      <c r="CV72" s="217">
        <f t="shared" si="243"/>
        <v>4.1962174940898347</v>
      </c>
      <c r="CW72" s="172">
        <f t="shared" si="244"/>
        <v>111.40365820010192</v>
      </c>
      <c r="CX72" s="172">
        <f t="shared" si="245"/>
        <v>28</v>
      </c>
      <c r="CY72" s="217">
        <f t="shared" si="246"/>
        <v>6.6528169014084515</v>
      </c>
      <c r="CZ72" s="217">
        <f t="shared" si="247"/>
        <v>1.1167228370221329</v>
      </c>
      <c r="DA72" s="217">
        <f t="shared" si="248"/>
        <v>1.1009943463598495</v>
      </c>
      <c r="DB72" s="197">
        <f t="shared" si="249"/>
        <v>350</v>
      </c>
      <c r="DC72" s="443">
        <f t="shared" si="299"/>
        <v>350</v>
      </c>
      <c r="DE72" s="217">
        <f t="shared" si="250"/>
        <v>8.5709974347366842</v>
      </c>
      <c r="DF72" s="173">
        <f t="shared" si="251"/>
        <v>1.418439716312057</v>
      </c>
      <c r="DG72" s="173">
        <f t="shared" si="252"/>
        <v>2.1275525547218721</v>
      </c>
      <c r="DH72" s="173"/>
      <c r="DI72" s="173">
        <f t="shared" si="253"/>
        <v>0.55164319248826299</v>
      </c>
      <c r="DJ72" s="545">
        <f t="shared" si="300"/>
        <v>1821.8297872340422</v>
      </c>
      <c r="DK72" s="528">
        <f t="shared" si="254"/>
        <v>0.3217918622848201</v>
      </c>
      <c r="DM72" s="173">
        <f t="shared" si="255"/>
        <v>7.6049895635298661</v>
      </c>
      <c r="DN72" s="173">
        <f t="shared" si="256"/>
        <v>7.6049895635298661</v>
      </c>
      <c r="DO72" s="173">
        <f t="shared" si="257"/>
        <v>4.3641898001455797</v>
      </c>
      <c r="DQ72" s="545">
        <f t="shared" si="258"/>
        <v>1675</v>
      </c>
      <c r="DR72" s="460">
        <f t="shared" si="259"/>
        <v>350</v>
      </c>
      <c r="DT72">
        <f t="shared" si="260"/>
        <v>1675</v>
      </c>
      <c r="DU72">
        <f t="shared" si="261"/>
        <v>350</v>
      </c>
      <c r="DW72" s="5">
        <f t="shared" si="301"/>
        <v>2.8571428571428572</v>
      </c>
      <c r="DX72" s="5">
        <f t="shared" si="262"/>
        <v>1.2765518195925134</v>
      </c>
      <c r="DY72" s="5">
        <f t="shared" si="302"/>
        <v>1.5805910375503438</v>
      </c>
      <c r="DZ72" s="5">
        <f t="shared" si="263"/>
        <v>1.2585722164996611</v>
      </c>
      <c r="EA72" s="173">
        <f t="shared" si="303"/>
        <v>0.4467931368573797</v>
      </c>
      <c r="EB72" s="173">
        <f t="shared" si="264"/>
        <v>47.57</v>
      </c>
      <c r="EC72" s="173">
        <f t="shared" si="265"/>
        <v>2.1035662103363615</v>
      </c>
      <c r="ED72" s="173">
        <f t="shared" si="304"/>
        <v>22.613977999006519</v>
      </c>
      <c r="EE72" s="460">
        <f t="shared" si="266"/>
        <v>7.6365153493480724</v>
      </c>
      <c r="EF72" s="5">
        <f t="shared" si="267"/>
        <v>1.8910642770691612</v>
      </c>
      <c r="EG72" s="5"/>
      <c r="EH72" s="173">
        <f t="shared" si="305"/>
        <v>2.9348860346865253</v>
      </c>
      <c r="EI72" s="173">
        <f t="shared" si="268"/>
        <v>3.2657412712177205</v>
      </c>
      <c r="EJ72" s="173"/>
      <c r="EK72" s="528">
        <f t="shared" si="269"/>
        <v>0.10336267243917596</v>
      </c>
      <c r="EL72" s="528">
        <f t="shared" si="270"/>
        <v>2.8523273856975115</v>
      </c>
      <c r="EM72" s="528">
        <f t="shared" si="271"/>
        <v>4.0250000000000001E-2</v>
      </c>
      <c r="EN72" s="528">
        <f t="shared" si="272"/>
        <v>0.54831797999999998</v>
      </c>
      <c r="EO72">
        <f t="shared" si="273"/>
        <v>1.26E-2</v>
      </c>
      <c r="EP72" s="460">
        <f t="shared" si="306"/>
        <v>52.85</v>
      </c>
      <c r="EQ72" s="528">
        <f t="shared" si="274"/>
        <v>3.6750206860436503</v>
      </c>
      <c r="ER72" s="460">
        <f t="shared" si="307"/>
        <v>3675.0206860436501</v>
      </c>
      <c r="ES72" s="528">
        <f t="shared" si="308"/>
        <v>1.1232549999999999</v>
      </c>
      <c r="ET72" s="528"/>
      <c r="EV72" s="460">
        <f t="shared" si="309"/>
        <v>1123.2549999999999</v>
      </c>
      <c r="EW72" s="528">
        <f t="shared" si="275"/>
        <v>0.12058978451237196</v>
      </c>
      <c r="EX72" s="528">
        <f t="shared" si="276"/>
        <v>0.14931092470748628</v>
      </c>
      <c r="EY72" s="528">
        <f t="shared" si="277"/>
        <v>18.276232371183163</v>
      </c>
      <c r="EZ72" s="528">
        <f t="shared" si="278"/>
        <v>19.021625262525387</v>
      </c>
      <c r="FA72" s="528">
        <f t="shared" si="279"/>
        <v>2.0242553191489363</v>
      </c>
      <c r="FB72" s="460">
        <f t="shared" si="310"/>
        <v>21045.880581674322</v>
      </c>
      <c r="FC72" s="173">
        <f t="shared" si="311"/>
        <v>25.84415626771797</v>
      </c>
      <c r="FD72" s="5">
        <f t="shared" si="312"/>
        <v>46.9</v>
      </c>
      <c r="FE72" s="173">
        <f t="shared" si="313"/>
        <v>0.64472532786545</v>
      </c>
      <c r="FF72" s="5">
        <f t="shared" si="314"/>
        <v>64.472532786545003</v>
      </c>
      <c r="FI72" s="562">
        <f t="shared" si="280"/>
        <v>-50</v>
      </c>
      <c r="FJ72">
        <f t="shared" si="281"/>
        <v>-50</v>
      </c>
      <c r="FL72">
        <f t="shared" si="282"/>
        <v>0.44050027577488132</v>
      </c>
    </row>
    <row r="73" spans="5:168">
      <c r="E73" s="170">
        <v>68</v>
      </c>
      <c r="F73" s="217">
        <f t="shared" si="283"/>
        <v>1.7000000000000002</v>
      </c>
      <c r="G73" s="217"/>
      <c r="H73" s="217">
        <f t="shared" si="183"/>
        <v>47.600000000000009</v>
      </c>
      <c r="I73" s="541">
        <f t="shared" si="184"/>
        <v>27.901103966045575</v>
      </c>
      <c r="J73" s="172">
        <f t="shared" si="185"/>
        <v>28.453251710590845</v>
      </c>
      <c r="K73" s="172">
        <f t="shared" si="186"/>
        <v>56.453251710590848</v>
      </c>
      <c r="L73" s="443"/>
      <c r="M73" s="217">
        <f t="shared" si="187"/>
        <v>0.50490222133092622</v>
      </c>
      <c r="N73" s="172">
        <f t="shared" si="188"/>
        <v>118.6532791479526</v>
      </c>
      <c r="O73" s="172">
        <f t="shared" si="284"/>
        <v>47.600000000000009</v>
      </c>
      <c r="P73" s="217">
        <f t="shared" si="189"/>
        <v>4.2376171124268787</v>
      </c>
      <c r="Q73" s="217">
        <f t="shared" si="190"/>
        <v>28</v>
      </c>
      <c r="R73" s="217">
        <f t="shared" si="191"/>
        <v>4.1926575506075974</v>
      </c>
      <c r="S73" s="172">
        <f t="shared" si="192"/>
        <v>108.97105551767213</v>
      </c>
      <c r="T73" s="172">
        <f t="shared" si="193"/>
        <v>28</v>
      </c>
      <c r="U73" s="217">
        <f t="shared" si="194"/>
        <v>6.8673303466234703</v>
      </c>
      <c r="V73" s="217">
        <f t="shared" si="195"/>
        <v>1.156816327712672</v>
      </c>
      <c r="W73" s="217">
        <f t="shared" si="196"/>
        <v>1.1343678029290549</v>
      </c>
      <c r="X73" s="197">
        <f t="shared" si="197"/>
        <v>350</v>
      </c>
      <c r="Y73" s="443">
        <f t="shared" si="198"/>
        <v>350</v>
      </c>
      <c r="AA73" s="217">
        <f t="shared" si="199"/>
        <v>8.5636695825053977</v>
      </c>
      <c r="AB73" s="173">
        <f t="shared" si="200"/>
        <v>1.4145745958024836</v>
      </c>
      <c r="AC73" s="173">
        <f t="shared" si="201"/>
        <v>2.119941151695254</v>
      </c>
      <c r="AD73" s="173"/>
      <c r="AE73" s="173">
        <f t="shared" si="202"/>
        <v>0.55061076414107124</v>
      </c>
      <c r="AF73" s="545">
        <f t="shared" si="203"/>
        <v>1852.4883028597442</v>
      </c>
      <c r="AG73" s="528">
        <f t="shared" si="204"/>
        <v>0.32118961241562494</v>
      </c>
      <c r="AI73" s="173">
        <f t="shared" si="205"/>
        <v>7.6687125693781164</v>
      </c>
      <c r="AJ73" s="173">
        <f t="shared" si="206"/>
        <v>7.6687125693781164</v>
      </c>
      <c r="AK73" s="173">
        <f t="shared" si="207"/>
        <v>4.411392026699839</v>
      </c>
      <c r="AM73" s="545">
        <f t="shared" si="208"/>
        <v>1700.0000000000002</v>
      </c>
      <c r="AN73" s="460">
        <f t="shared" si="209"/>
        <v>350</v>
      </c>
      <c r="AP73">
        <f t="shared" si="210"/>
        <v>1700.0000000000002</v>
      </c>
      <c r="AQ73">
        <f t="shared" si="211"/>
        <v>350</v>
      </c>
      <c r="AS73" s="5">
        <f t="shared" si="285"/>
        <v>2.8571428571428572</v>
      </c>
      <c r="AT73" s="5">
        <f t="shared" si="212"/>
        <v>1.2918108588083053</v>
      </c>
      <c r="AU73" s="5">
        <f t="shared" si="286"/>
        <v>1.5653319983345519</v>
      </c>
      <c r="AV73" s="5">
        <f t="shared" si="213"/>
        <v>1.2667427063410566</v>
      </c>
      <c r="AW73" s="173">
        <f t="shared" si="287"/>
        <v>0.45213380058290681</v>
      </c>
      <c r="AX73" s="173">
        <f t="shared" si="214"/>
        <v>48.370527908004433</v>
      </c>
      <c r="AY73" s="173">
        <f t="shared" si="215"/>
        <v>2.1007142049036402</v>
      </c>
      <c r="AZ73" s="173">
        <f t="shared" si="288"/>
        <v>23.025753715138602</v>
      </c>
      <c r="BA73" s="460">
        <f t="shared" si="216"/>
        <v>7.8431373570504261</v>
      </c>
      <c r="BB73" s="5">
        <f t="shared" si="217"/>
        <v>1.9074975674132018</v>
      </c>
      <c r="BC73" s="5"/>
      <c r="BD73" s="173">
        <f t="shared" si="289"/>
        <v>2.9771130096177911</v>
      </c>
      <c r="BE73" s="173">
        <f t="shared" si="218"/>
        <v>3.2771708762097127</v>
      </c>
      <c r="BF73" s="173"/>
      <c r="BG73" s="528">
        <f t="shared" si="219"/>
        <v>0.10635842246442602</v>
      </c>
      <c r="BH73" s="528">
        <f t="shared" si="220"/>
        <v>2.7653005232295675</v>
      </c>
      <c r="BI73" s="528">
        <f t="shared" si="221"/>
        <v>4.0250000000000001E-2</v>
      </c>
      <c r="BJ73" s="528">
        <f t="shared" si="222"/>
        <v>0.54935388974704669</v>
      </c>
      <c r="BK73">
        <f t="shared" si="223"/>
        <v>1.2555496784720508E-2</v>
      </c>
      <c r="BL73" s="460">
        <f t="shared" si="290"/>
        <v>52.805496784720511</v>
      </c>
      <c r="BM73" s="528">
        <f t="shared" si="224"/>
        <v>3.5391670549187308</v>
      </c>
      <c r="BN73" s="460">
        <f t="shared" si="291"/>
        <v>3539.1670549187306</v>
      </c>
      <c r="BO73" s="528">
        <f t="shared" si="225"/>
        <v>1.1400199999999998</v>
      </c>
      <c r="BP73" s="528"/>
      <c r="BR73" s="460">
        <f t="shared" si="292"/>
        <v>1140.0199999999998</v>
      </c>
      <c r="BS73" s="528">
        <f t="shared" si="226"/>
        <v>0.12408482620849702</v>
      </c>
      <c r="BT73" s="528">
        <f t="shared" si="227"/>
        <v>0.15035788532627989</v>
      </c>
      <c r="BU73" s="528">
        <f t="shared" si="228"/>
        <v>18.661487832539372</v>
      </c>
      <c r="BV73" s="528">
        <f t="shared" si="229"/>
        <v>19.428354416173153</v>
      </c>
      <c r="BW73" s="528">
        <f t="shared" si="230"/>
        <v>2.0583203365108274</v>
      </c>
      <c r="BX73" s="460">
        <f t="shared" si="293"/>
        <v>21486.674752683983</v>
      </c>
      <c r="BY73" s="173">
        <f t="shared" si="231"/>
        <v>26.218667304387434</v>
      </c>
      <c r="BZ73" s="5">
        <f t="shared" si="294"/>
        <v>47.600000000000009</v>
      </c>
      <c r="CA73" s="173">
        <f t="shared" si="295"/>
        <v>0.64482334534331098</v>
      </c>
      <c r="CB73" s="5">
        <f t="shared" si="296"/>
        <v>64.482334534331102</v>
      </c>
      <c r="CE73" s="562">
        <f t="shared" si="232"/>
        <v>-50</v>
      </c>
      <c r="CF73">
        <f t="shared" si="233"/>
        <v>-50</v>
      </c>
      <c r="CG73" s="173">
        <f t="shared" si="234"/>
        <v>0.44693399960173091</v>
      </c>
      <c r="CI73" s="170">
        <v>68</v>
      </c>
      <c r="CJ73" s="217">
        <f t="shared" si="297"/>
        <v>1.7000000000000002</v>
      </c>
      <c r="CK73" s="217"/>
      <c r="CL73" s="217">
        <f t="shared" si="235"/>
        <v>47.600000000000009</v>
      </c>
      <c r="CM73" s="541">
        <f t="shared" si="236"/>
        <v>28</v>
      </c>
      <c r="CN73" s="172">
        <f t="shared" si="237"/>
        <v>28.4</v>
      </c>
      <c r="CO73" s="443">
        <f t="shared" si="238"/>
        <v>56.4</v>
      </c>
      <c r="CP73" s="443"/>
      <c r="CQ73" s="217">
        <f t="shared" si="239"/>
        <v>0.50354609929078009</v>
      </c>
      <c r="CR73" s="172">
        <f t="shared" si="240"/>
        <v>118.75402645742166</v>
      </c>
      <c r="CS73" s="172">
        <f t="shared" si="298"/>
        <v>47.600000000000009</v>
      </c>
      <c r="CT73" s="217">
        <f t="shared" si="241"/>
        <v>4.2412152306222017</v>
      </c>
      <c r="CU73" s="217">
        <f t="shared" si="242"/>
        <v>28</v>
      </c>
      <c r="CV73" s="217">
        <f t="shared" si="243"/>
        <v>4.1962174940898347</v>
      </c>
      <c r="CW73" s="172">
        <f t="shared" si="244"/>
        <v>109.3569456167649</v>
      </c>
      <c r="CX73" s="172">
        <f t="shared" si="245"/>
        <v>28</v>
      </c>
      <c r="CY73" s="217">
        <f t="shared" si="246"/>
        <v>6.7521126760563401</v>
      </c>
      <c r="CZ73" s="217">
        <f t="shared" si="247"/>
        <v>1.1333903420523141</v>
      </c>
      <c r="DA73" s="217">
        <f t="shared" si="248"/>
        <v>1.1174270977980565</v>
      </c>
      <c r="DB73" s="197">
        <f t="shared" si="249"/>
        <v>350</v>
      </c>
      <c r="DC73" s="443">
        <f t="shared" si="299"/>
        <v>350</v>
      </c>
      <c r="DE73" s="217">
        <f t="shared" si="250"/>
        <v>8.5709974347366842</v>
      </c>
      <c r="DF73" s="173">
        <f t="shared" si="251"/>
        <v>1.418439716312057</v>
      </c>
      <c r="DG73" s="173">
        <f t="shared" si="252"/>
        <v>2.1275525547218721</v>
      </c>
      <c r="DH73" s="173"/>
      <c r="DI73" s="173">
        <f t="shared" si="253"/>
        <v>0.55164319248826299</v>
      </c>
      <c r="DJ73" s="545">
        <f t="shared" si="300"/>
        <v>1849.0212765957447</v>
      </c>
      <c r="DK73" s="528">
        <f t="shared" si="254"/>
        <v>0.3217918622848201</v>
      </c>
      <c r="DM73" s="173">
        <f t="shared" si="255"/>
        <v>7.6615330153890655</v>
      </c>
      <c r="DN73" s="173">
        <f t="shared" si="256"/>
        <v>7.6615330153890655</v>
      </c>
      <c r="DO73" s="173">
        <f t="shared" si="257"/>
        <v>4.4060738385598013</v>
      </c>
      <c r="DQ73" s="545">
        <f t="shared" si="258"/>
        <v>1700.0000000000002</v>
      </c>
      <c r="DR73" s="460">
        <f t="shared" si="259"/>
        <v>350</v>
      </c>
      <c r="DT73">
        <f t="shared" si="260"/>
        <v>1700.0000000000002</v>
      </c>
      <c r="DU73">
        <f t="shared" si="261"/>
        <v>350</v>
      </c>
      <c r="DW73" s="5">
        <f t="shared" si="301"/>
        <v>2.8571428571428572</v>
      </c>
      <c r="DX73" s="5">
        <f t="shared" si="262"/>
        <v>1.2860430418688791</v>
      </c>
      <c r="DY73" s="5">
        <f t="shared" si="302"/>
        <v>1.5710998152739781</v>
      </c>
      <c r="DZ73" s="5">
        <f t="shared" si="263"/>
        <v>1.2679297595890355</v>
      </c>
      <c r="EA73" s="173">
        <f t="shared" si="303"/>
        <v>0.45011506465410767</v>
      </c>
      <c r="EB73" s="173">
        <f t="shared" si="264"/>
        <v>48.28</v>
      </c>
      <c r="EC73" s="173">
        <f t="shared" si="265"/>
        <v>2.1064807934088181</v>
      </c>
      <c r="ED73" s="173">
        <f t="shared" si="304"/>
        <v>22.919743750367058</v>
      </c>
      <c r="EE73" s="460">
        <f t="shared" si="266"/>
        <v>7.8081184684896243</v>
      </c>
      <c r="EF73" s="5">
        <f t="shared" si="267"/>
        <v>1.9077640614041165</v>
      </c>
      <c r="EG73" s="5"/>
      <c r="EH73" s="173">
        <f t="shared" si="305"/>
        <v>2.9676783212879525</v>
      </c>
      <c r="EI73" s="173">
        <f t="shared" si="268"/>
        <v>3.2801292804791107</v>
      </c>
      <c r="EJ73" s="173"/>
      <c r="EK73" s="528">
        <f t="shared" si="269"/>
        <v>0.10568537542370976</v>
      </c>
      <c r="EL73" s="528">
        <f t="shared" si="270"/>
        <v>2.8735345727518231</v>
      </c>
      <c r="EM73" s="528">
        <f t="shared" si="271"/>
        <v>4.0250000000000001E-2</v>
      </c>
      <c r="EN73" s="528">
        <f t="shared" si="272"/>
        <v>0.54831797999999998</v>
      </c>
      <c r="EO73">
        <f t="shared" si="273"/>
        <v>1.26E-2</v>
      </c>
      <c r="EP73" s="460">
        <f t="shared" si="306"/>
        <v>52.85</v>
      </c>
      <c r="EQ73" s="528">
        <f t="shared" si="274"/>
        <v>3.7018803232894752</v>
      </c>
      <c r="ER73" s="460">
        <f t="shared" si="307"/>
        <v>3701.8803232894752</v>
      </c>
      <c r="ES73" s="528">
        <f t="shared" si="308"/>
        <v>1.1400199999999998</v>
      </c>
      <c r="ET73" s="528"/>
      <c r="EV73" s="460">
        <f t="shared" si="309"/>
        <v>1140.0199999999998</v>
      </c>
      <c r="EW73" s="528">
        <f t="shared" si="275"/>
        <v>0.12329960466099472</v>
      </c>
      <c r="EX73" s="528">
        <f t="shared" si="276"/>
        <v>0.15062947335318971</v>
      </c>
      <c r="EY73" s="528">
        <f t="shared" si="277"/>
        <v>18.617840643839575</v>
      </c>
      <c r="EZ73" s="528">
        <f t="shared" si="278"/>
        <v>19.382261911394583</v>
      </c>
      <c r="FA73" s="528">
        <f t="shared" si="279"/>
        <v>2.0544680851063837</v>
      </c>
      <c r="FB73" s="460">
        <f t="shared" si="310"/>
        <v>21436.729996500966</v>
      </c>
      <c r="FC73" s="173">
        <f t="shared" si="311"/>
        <v>26.278630319790441</v>
      </c>
      <c r="FD73" s="5">
        <f t="shared" si="312"/>
        <v>47.600000000000009</v>
      </c>
      <c r="FE73" s="173">
        <f t="shared" si="313"/>
        <v>0.6442999794928389</v>
      </c>
      <c r="FF73" s="5">
        <f t="shared" si="314"/>
        <v>64.429997949283887</v>
      </c>
      <c r="FI73" s="562">
        <f t="shared" si="280"/>
        <v>-50</v>
      </c>
      <c r="FJ73">
        <f t="shared" si="281"/>
        <v>-50</v>
      </c>
      <c r="FL73">
        <f t="shared" si="282"/>
        <v>0.44377541585616243</v>
      </c>
    </row>
    <row r="74" spans="5:168">
      <c r="E74" s="170">
        <v>69</v>
      </c>
      <c r="F74" s="217">
        <f t="shared" si="283"/>
        <v>1.7249999999999999</v>
      </c>
      <c r="G74" s="217"/>
      <c r="H74" s="217">
        <f t="shared" si="183"/>
        <v>48.3</v>
      </c>
      <c r="I74" s="541">
        <f t="shared" si="184"/>
        <v>27.900379443290309</v>
      </c>
      <c r="J74" s="172">
        <f t="shared" si="185"/>
        <v>28.453641838228293</v>
      </c>
      <c r="K74" s="172">
        <f t="shared" si="186"/>
        <v>56.453641838228293</v>
      </c>
      <c r="L74" s="443"/>
      <c r="M74" s="217">
        <f t="shared" si="187"/>
        <v>0.50491216446233234</v>
      </c>
      <c r="N74" s="172">
        <f t="shared" si="188"/>
        <v>118.65253461532262</v>
      </c>
      <c r="O74" s="172">
        <f t="shared" si="284"/>
        <v>48.3</v>
      </c>
      <c r="P74" s="217">
        <f t="shared" si="189"/>
        <v>4.2375905219758083</v>
      </c>
      <c r="Q74" s="217">
        <f t="shared" si="190"/>
        <v>28</v>
      </c>
      <c r="R74" s="217">
        <f t="shared" si="191"/>
        <v>4.1926312422714505</v>
      </c>
      <c r="S74" s="172">
        <f t="shared" si="192"/>
        <v>106.98798596461951</v>
      </c>
      <c r="T74" s="172">
        <f t="shared" si="193"/>
        <v>28</v>
      </c>
      <c r="U74" s="217">
        <f t="shared" si="194"/>
        <v>6.9684604475351009</v>
      </c>
      <c r="V74" s="217">
        <f t="shared" si="195"/>
        <v>1.1738823900221673</v>
      </c>
      <c r="W74" s="217">
        <f t="shared" si="196"/>
        <v>1.1510570172220285</v>
      </c>
      <c r="X74" s="197">
        <f t="shared" si="197"/>
        <v>350</v>
      </c>
      <c r="Y74" s="443">
        <f t="shared" si="198"/>
        <v>350</v>
      </c>
      <c r="AA74" s="217">
        <f t="shared" si="199"/>
        <v>8.5636154348457083</v>
      </c>
      <c r="AB74" s="173">
        <f t="shared" si="200"/>
        <v>1.4145462564197717</v>
      </c>
      <c r="AC74" s="173">
        <f t="shared" si="201"/>
        <v>2.1198852770864249</v>
      </c>
      <c r="AD74" s="173"/>
      <c r="AE74" s="173">
        <f t="shared" si="202"/>
        <v>0.55060321472164053</v>
      </c>
      <c r="AF74" s="545">
        <f t="shared" si="203"/>
        <v>1879.7565512276351</v>
      </c>
      <c r="AG74" s="528">
        <f t="shared" si="204"/>
        <v>0.32118520858762362</v>
      </c>
      <c r="AI74" s="173">
        <f t="shared" si="205"/>
        <v>7.7249473234504098</v>
      </c>
      <c r="AJ74" s="173">
        <f t="shared" si="206"/>
        <v>7.7249473234504098</v>
      </c>
      <c r="AK74" s="173">
        <f t="shared" si="207"/>
        <v>4.4530474000867235</v>
      </c>
      <c r="AM74" s="545">
        <f t="shared" si="208"/>
        <v>1724.9999999999998</v>
      </c>
      <c r="AN74" s="460">
        <f t="shared" si="209"/>
        <v>350</v>
      </c>
      <c r="AP74">
        <f t="shared" si="210"/>
        <v>1724.9999999999998</v>
      </c>
      <c r="AQ74">
        <f t="shared" si="211"/>
        <v>350</v>
      </c>
      <c r="AS74" s="5">
        <f t="shared" si="285"/>
        <v>2.8571428571428572</v>
      </c>
      <c r="AT74" s="5">
        <f t="shared" si="212"/>
        <v>1.3013175141224957</v>
      </c>
      <c r="AU74" s="5">
        <f t="shared" si="286"/>
        <v>1.5558253430203615</v>
      </c>
      <c r="AV74" s="5">
        <f t="shared" si="213"/>
        <v>1.2760142489541386</v>
      </c>
      <c r="AW74" s="173">
        <f t="shared" si="287"/>
        <v>0.45546112994287352</v>
      </c>
      <c r="AX74" s="173">
        <f t="shared" si="214"/>
        <v>49.0825321709438</v>
      </c>
      <c r="AY74" s="173">
        <f t="shared" si="215"/>
        <v>2.1032670433812553</v>
      </c>
      <c r="AZ74" s="173">
        <f t="shared" si="288"/>
        <v>23.336329224289901</v>
      </c>
      <c r="BA74" s="460">
        <f t="shared" si="216"/>
        <v>8.01704539950466</v>
      </c>
      <c r="BB74" s="5">
        <f t="shared" si="217"/>
        <v>1.9238438833171805</v>
      </c>
      <c r="BC74" s="5"/>
      <c r="BD74" s="173">
        <f t="shared" si="289"/>
        <v>3.0099588544001001</v>
      </c>
      <c r="BE74" s="173">
        <f t="shared" si="218"/>
        <v>3.2911626230730362</v>
      </c>
      <c r="BF74" s="173"/>
      <c r="BG74" s="528">
        <f t="shared" si="219"/>
        <v>0.10871822766217876</v>
      </c>
      <c r="BH74" s="528">
        <f t="shared" si="220"/>
        <v>2.7855977526526829</v>
      </c>
      <c r="BI74" s="528">
        <f t="shared" si="221"/>
        <v>4.0250000000000001E-2</v>
      </c>
      <c r="BJ74" s="528">
        <f t="shared" si="222"/>
        <v>0.54936148253822081</v>
      </c>
      <c r="BK74">
        <f t="shared" si="223"/>
        <v>1.2555170749480638E-2</v>
      </c>
      <c r="BL74" s="460">
        <f t="shared" si="290"/>
        <v>52.805170749480645</v>
      </c>
      <c r="BM74" s="528">
        <f t="shared" si="224"/>
        <v>3.5651237021600251</v>
      </c>
      <c r="BN74" s="460">
        <f t="shared" si="291"/>
        <v>3565.123702160025</v>
      </c>
      <c r="BO74" s="528">
        <f t="shared" si="225"/>
        <v>1.1567849999999997</v>
      </c>
      <c r="BP74" s="528"/>
      <c r="BR74" s="460">
        <f t="shared" si="292"/>
        <v>1156.7849999999996</v>
      </c>
      <c r="BS74" s="528">
        <f t="shared" si="226"/>
        <v>0.12683793227254189</v>
      </c>
      <c r="BT74" s="528">
        <f t="shared" si="227"/>
        <v>0.15164451976118185</v>
      </c>
      <c r="BU74" s="528">
        <f t="shared" si="228"/>
        <v>19.005483906215975</v>
      </c>
      <c r="BV74" s="528">
        <f t="shared" si="229"/>
        <v>19.791734200346774</v>
      </c>
      <c r="BW74" s="528">
        <f t="shared" si="230"/>
        <v>2.0886183902529281</v>
      </c>
      <c r="BX74" s="460">
        <f t="shared" si="293"/>
        <v>21880.352590599701</v>
      </c>
      <c r="BY74" s="173">
        <f t="shared" si="231"/>
        <v>26.655066463509208</v>
      </c>
      <c r="BZ74" s="5">
        <f t="shared" si="294"/>
        <v>48.3</v>
      </c>
      <c r="CA74" s="173">
        <f t="shared" si="295"/>
        <v>0.6443860605942382</v>
      </c>
      <c r="CB74" s="5">
        <f t="shared" si="296"/>
        <v>64.438606059423819</v>
      </c>
      <c r="CE74" s="562">
        <f t="shared" si="232"/>
        <v>-50</v>
      </c>
      <c r="CF74">
        <f t="shared" si="233"/>
        <v>-50</v>
      </c>
      <c r="CG74" s="173">
        <f t="shared" si="234"/>
        <v>0.45020828513033828</v>
      </c>
      <c r="CI74" s="170">
        <v>69</v>
      </c>
      <c r="CJ74" s="217">
        <f t="shared" si="297"/>
        <v>1.7249999999999999</v>
      </c>
      <c r="CK74" s="217"/>
      <c r="CL74" s="217">
        <f t="shared" si="235"/>
        <v>48.3</v>
      </c>
      <c r="CM74" s="541">
        <f t="shared" si="236"/>
        <v>28</v>
      </c>
      <c r="CN74" s="172">
        <f t="shared" si="237"/>
        <v>28.4</v>
      </c>
      <c r="CO74" s="443">
        <f t="shared" si="238"/>
        <v>56.4</v>
      </c>
      <c r="CP74" s="443"/>
      <c r="CQ74" s="217">
        <f t="shared" si="239"/>
        <v>0.50354609929078009</v>
      </c>
      <c r="CR74" s="172">
        <f t="shared" si="240"/>
        <v>118.75402645742166</v>
      </c>
      <c r="CS74" s="172">
        <f t="shared" si="298"/>
        <v>48.3</v>
      </c>
      <c r="CT74" s="217">
        <f t="shared" si="241"/>
        <v>4.2412152306222017</v>
      </c>
      <c r="CU74" s="217">
        <f t="shared" si="242"/>
        <v>28</v>
      </c>
      <c r="CV74" s="217">
        <f t="shared" si="243"/>
        <v>4.1962174940898347</v>
      </c>
      <c r="CW74" s="172">
        <f t="shared" si="244"/>
        <v>107.36962586939288</v>
      </c>
      <c r="CX74" s="172">
        <f t="shared" si="245"/>
        <v>28</v>
      </c>
      <c r="CY74" s="217">
        <f t="shared" si="246"/>
        <v>6.8514084507042252</v>
      </c>
      <c r="CZ74" s="217">
        <f t="shared" si="247"/>
        <v>1.1500578470824949</v>
      </c>
      <c r="DA74" s="217">
        <f t="shared" si="248"/>
        <v>1.1338598492362626</v>
      </c>
      <c r="DB74" s="197">
        <f t="shared" si="249"/>
        <v>350</v>
      </c>
      <c r="DC74" s="443">
        <f t="shared" si="299"/>
        <v>350</v>
      </c>
      <c r="DE74" s="217">
        <f t="shared" si="250"/>
        <v>8.5709974347366842</v>
      </c>
      <c r="DF74" s="173">
        <f t="shared" si="251"/>
        <v>1.418439716312057</v>
      </c>
      <c r="DG74" s="173">
        <f t="shared" si="252"/>
        <v>2.1275525547218721</v>
      </c>
      <c r="DH74" s="173"/>
      <c r="DI74" s="173">
        <f t="shared" si="253"/>
        <v>0.55164319248826299</v>
      </c>
      <c r="DJ74" s="545">
        <f t="shared" si="300"/>
        <v>1876.2127659574464</v>
      </c>
      <c r="DK74" s="528">
        <f t="shared" si="254"/>
        <v>0.3217918622848201</v>
      </c>
      <c r="DM74" s="173">
        <f t="shared" si="255"/>
        <v>7.7176622127685226</v>
      </c>
      <c r="DN74" s="173">
        <f t="shared" si="256"/>
        <v>7.7176622127685226</v>
      </c>
      <c r="DO74" s="173">
        <f t="shared" si="257"/>
        <v>4.4476510218038445</v>
      </c>
      <c r="DQ74" s="545">
        <f t="shared" si="258"/>
        <v>1724.9999999999998</v>
      </c>
      <c r="DR74" s="460">
        <f t="shared" si="259"/>
        <v>350</v>
      </c>
      <c r="DT74">
        <f t="shared" si="260"/>
        <v>1724.9999999999998</v>
      </c>
      <c r="DU74">
        <f t="shared" si="261"/>
        <v>350</v>
      </c>
      <c r="DW74" s="5">
        <f t="shared" si="301"/>
        <v>2.8571428571428572</v>
      </c>
      <c r="DX74" s="5">
        <f t="shared" si="262"/>
        <v>1.2954647285718592</v>
      </c>
      <c r="DY74" s="5">
        <f t="shared" si="302"/>
        <v>1.561678128570998</v>
      </c>
      <c r="DZ74" s="5">
        <f t="shared" si="263"/>
        <v>1.2772187464792979</v>
      </c>
      <c r="EA74" s="173">
        <f t="shared" si="303"/>
        <v>0.45341265500015071</v>
      </c>
      <c r="EB74" s="173">
        <f t="shared" si="264"/>
        <v>48.989999999999995</v>
      </c>
      <c r="EC74" s="173">
        <f t="shared" si="265"/>
        <v>2.1091882492414045</v>
      </c>
      <c r="ED74" s="173">
        <f t="shared" si="304"/>
        <v>23.22694525612868</v>
      </c>
      <c r="EE74" s="460">
        <f t="shared" si="266"/>
        <v>7.9809880599516321</v>
      </c>
      <c r="EF74" s="5">
        <f t="shared" si="267"/>
        <v>1.9242105512749792</v>
      </c>
      <c r="EG74" s="5"/>
      <c r="EH74" s="173">
        <f t="shared" si="305"/>
        <v>3.0003502644871074</v>
      </c>
      <c r="EI74" s="173">
        <f t="shared" si="268"/>
        <v>3.2942376407686784</v>
      </c>
      <c r="EJ74" s="173"/>
      <c r="EK74" s="528">
        <f t="shared" si="269"/>
        <v>0.10802522051529426</v>
      </c>
      <c r="EL74" s="528">
        <f t="shared" si="270"/>
        <v>2.8945863895209625</v>
      </c>
      <c r="EM74" s="528">
        <f t="shared" si="271"/>
        <v>4.0250000000000001E-2</v>
      </c>
      <c r="EN74" s="528">
        <f t="shared" si="272"/>
        <v>0.54831797999999998</v>
      </c>
      <c r="EO74">
        <f t="shared" si="273"/>
        <v>1.26E-2</v>
      </c>
      <c r="EP74" s="460">
        <f t="shared" si="306"/>
        <v>52.85</v>
      </c>
      <c r="EQ74" s="528">
        <f t="shared" si="274"/>
        <v>3.7286488556654955</v>
      </c>
      <c r="ER74" s="460">
        <f t="shared" si="307"/>
        <v>3728.6488556654954</v>
      </c>
      <c r="ES74" s="528">
        <f t="shared" si="308"/>
        <v>1.1567849999999997</v>
      </c>
      <c r="ET74" s="528"/>
      <c r="EV74" s="460">
        <f t="shared" si="309"/>
        <v>1156.7849999999996</v>
      </c>
      <c r="EW74" s="528">
        <f t="shared" si="275"/>
        <v>0.12602942393450997</v>
      </c>
      <c r="EX74" s="528">
        <f t="shared" si="276"/>
        <v>0.15192802287400065</v>
      </c>
      <c r="EY74" s="528">
        <f t="shared" si="277"/>
        <v>18.960707180516469</v>
      </c>
      <c r="EZ74" s="528">
        <f t="shared" si="278"/>
        <v>19.744423170820465</v>
      </c>
      <c r="FA74" s="528">
        <f t="shared" si="279"/>
        <v>2.0846808510638297</v>
      </c>
      <c r="FB74" s="460">
        <f t="shared" si="310"/>
        <v>21829.104021884294</v>
      </c>
      <c r="FC74" s="173">
        <f t="shared" si="311"/>
        <v>26.714537877549787</v>
      </c>
      <c r="FD74" s="5">
        <f t="shared" si="312"/>
        <v>48.3</v>
      </c>
      <c r="FE74" s="173">
        <f t="shared" si="313"/>
        <v>0.64387519228396306</v>
      </c>
      <c r="FF74" s="5">
        <f t="shared" si="314"/>
        <v>64.3875192283963</v>
      </c>
      <c r="FI74" s="562">
        <f t="shared" si="280"/>
        <v>-50</v>
      </c>
      <c r="FJ74">
        <f t="shared" si="281"/>
        <v>-50</v>
      </c>
      <c r="FL74">
        <f t="shared" si="282"/>
        <v>0.44702656126775425</v>
      </c>
    </row>
    <row r="75" spans="5:168">
      <c r="E75" s="170">
        <v>70</v>
      </c>
      <c r="F75" s="217">
        <f t="shared" si="283"/>
        <v>1.75</v>
      </c>
      <c r="G75" s="217"/>
      <c r="H75" s="217">
        <f t="shared" si="183"/>
        <v>49</v>
      </c>
      <c r="I75" s="541">
        <f t="shared" si="184"/>
        <v>27.899660151951565</v>
      </c>
      <c r="J75" s="172">
        <f t="shared" si="185"/>
        <v>28.454029148949157</v>
      </c>
      <c r="K75" s="172">
        <f t="shared" si="186"/>
        <v>56.454029148949161</v>
      </c>
      <c r="L75" s="443"/>
      <c r="M75" s="217">
        <f t="shared" si="187"/>
        <v>0.50492203591511597</v>
      </c>
      <c r="N75" s="172">
        <f t="shared" si="188"/>
        <v>118.65179536574892</v>
      </c>
      <c r="O75" s="172">
        <f t="shared" si="284"/>
        <v>49</v>
      </c>
      <c r="P75" s="217">
        <f t="shared" si="189"/>
        <v>4.2375641202053185</v>
      </c>
      <c r="Q75" s="217">
        <f t="shared" si="190"/>
        <v>28</v>
      </c>
      <c r="R75" s="217">
        <f t="shared" si="191"/>
        <v>4.1926051206140533</v>
      </c>
      <c r="S75" s="172">
        <f t="shared" si="192"/>
        <v>105.06168351553977</v>
      </c>
      <c r="T75" s="172">
        <f t="shared" si="193"/>
        <v>28</v>
      </c>
      <c r="U75" s="217">
        <f t="shared" si="194"/>
        <v>7.069593587081779</v>
      </c>
      <c r="V75" s="217">
        <f t="shared" si="195"/>
        <v>1.1909496272828306</v>
      </c>
      <c r="W75" s="217">
        <f t="shared" si="196"/>
        <v>1.1677463913932722</v>
      </c>
      <c r="X75" s="197">
        <f t="shared" si="197"/>
        <v>350</v>
      </c>
      <c r="Y75" s="443">
        <f t="shared" si="198"/>
        <v>350</v>
      </c>
      <c r="AA75" s="217">
        <f t="shared" si="199"/>
        <v>8.5635616714912377</v>
      </c>
      <c r="AB75" s="173">
        <f t="shared" si="200"/>
        <v>1.4145181213288822</v>
      </c>
      <c r="AC75" s="173">
        <f t="shared" si="201"/>
        <v>2.1198298043023165</v>
      </c>
      <c r="AD75" s="173"/>
      <c r="AE75" s="173">
        <f t="shared" si="202"/>
        <v>0.55059572001757284</v>
      </c>
      <c r="AF75" s="545">
        <f t="shared" si="203"/>
        <v>1907.025357855103</v>
      </c>
      <c r="AG75" s="528">
        <f t="shared" si="204"/>
        <v>0.32118083667691749</v>
      </c>
      <c r="AI75" s="173">
        <f t="shared" si="205"/>
        <v>7.7807767961146173</v>
      </c>
      <c r="AJ75" s="173">
        <f t="shared" si="206"/>
        <v>7.7807767961146173</v>
      </c>
      <c r="AK75" s="173">
        <f t="shared" si="207"/>
        <v>4.4944025650231731</v>
      </c>
      <c r="AM75" s="545">
        <f t="shared" si="208"/>
        <v>1750</v>
      </c>
      <c r="AN75" s="460">
        <f t="shared" si="209"/>
        <v>350</v>
      </c>
      <c r="AP75">
        <f t="shared" si="210"/>
        <v>1750</v>
      </c>
      <c r="AQ75">
        <f t="shared" si="211"/>
        <v>350</v>
      </c>
      <c r="AS75" s="5">
        <f t="shared" si="285"/>
        <v>2.8571428571428572</v>
      </c>
      <c r="AT75" s="5">
        <f t="shared" si="212"/>
        <v>1.3107561433568455</v>
      </c>
      <c r="AU75" s="5">
        <f t="shared" si="286"/>
        <v>1.5463867137860117</v>
      </c>
      <c r="AV75" s="5">
        <f t="shared" si="213"/>
        <v>1.2852187207058252</v>
      </c>
      <c r="AW75" s="173">
        <f t="shared" si="287"/>
        <v>0.45876465017489593</v>
      </c>
      <c r="AX75" s="173">
        <f t="shared" si="214"/>
        <v>49.79455101066101</v>
      </c>
      <c r="AY75" s="173">
        <f t="shared" si="215"/>
        <v>2.1056157255780739</v>
      </c>
      <c r="AZ75" s="173">
        <f t="shared" si="288"/>
        <v>23.648451332206147</v>
      </c>
      <c r="BA75" s="460">
        <f t="shared" si="216"/>
        <v>8.1922258959802843</v>
      </c>
      <c r="BB75" s="5">
        <f t="shared" si="217"/>
        <v>1.9399352783415356</v>
      </c>
      <c r="BC75" s="5"/>
      <c r="BD75" s="173">
        <f t="shared" si="289"/>
        <v>3.0426871672219722</v>
      </c>
      <c r="BE75" s="173">
        <f t="shared" si="218"/>
        <v>3.3048778070312896</v>
      </c>
      <c r="BF75" s="173"/>
      <c r="BG75" s="528">
        <f t="shared" si="219"/>
        <v>0.11109534237092723</v>
      </c>
      <c r="BH75" s="528">
        <f t="shared" si="220"/>
        <v>2.805748977815044</v>
      </c>
      <c r="BI75" s="528">
        <f t="shared" si="221"/>
        <v>4.0250000000000001E-2</v>
      </c>
      <c r="BJ75" s="528">
        <f t="shared" si="222"/>
        <v>0.54936902055755055</v>
      </c>
      <c r="BK75">
        <f t="shared" si="223"/>
        <v>1.2554847068378203E-2</v>
      </c>
      <c r="BL75" s="460">
        <f t="shared" si="290"/>
        <v>52.804847068378209</v>
      </c>
      <c r="BM75" s="528">
        <f t="shared" si="224"/>
        <v>3.5909979755151267</v>
      </c>
      <c r="BN75" s="460">
        <f t="shared" si="291"/>
        <v>3590.9979755151267</v>
      </c>
      <c r="BO75" s="528">
        <f t="shared" si="225"/>
        <v>1.1735499999999999</v>
      </c>
      <c r="BP75" s="528"/>
      <c r="BR75" s="460">
        <f t="shared" si="292"/>
        <v>1173.55</v>
      </c>
      <c r="BS75" s="528">
        <f t="shared" si="226"/>
        <v>0.12961123276608177</v>
      </c>
      <c r="BT75" s="528">
        <f t="shared" si="227"/>
        <v>0.15291104247171125</v>
      </c>
      <c r="BU75" s="528">
        <f t="shared" si="228"/>
        <v>19.350736888679521</v>
      </c>
      <c r="BV75" s="528">
        <f t="shared" si="229"/>
        <v>20.156640504901997</v>
      </c>
      <c r="BW75" s="528">
        <f t="shared" si="230"/>
        <v>2.1189170642834481</v>
      </c>
      <c r="BX75" s="460">
        <f t="shared" si="293"/>
        <v>22275.557569185443</v>
      </c>
      <c r="BY75" s="173">
        <f t="shared" si="231"/>
        <v>27.09291039176895</v>
      </c>
      <c r="BZ75" s="5">
        <f t="shared" si="294"/>
        <v>49</v>
      </c>
      <c r="CA75" s="173">
        <f t="shared" si="295"/>
        <v>0.6439496103870983</v>
      </c>
      <c r="CB75" s="5">
        <f t="shared" si="296"/>
        <v>64.394961038709823</v>
      </c>
      <c r="CE75" s="562">
        <f t="shared" si="232"/>
        <v>-50</v>
      </c>
      <c r="CF75">
        <f t="shared" si="233"/>
        <v>-50</v>
      </c>
      <c r="CG75" s="173">
        <f t="shared" si="234"/>
        <v>0.45345892868042637</v>
      </c>
      <c r="CI75" s="170">
        <v>70</v>
      </c>
      <c r="CJ75" s="217">
        <f t="shared" si="297"/>
        <v>1.75</v>
      </c>
      <c r="CK75" s="217"/>
      <c r="CL75" s="217">
        <f t="shared" si="235"/>
        <v>49</v>
      </c>
      <c r="CM75" s="541">
        <f t="shared" si="236"/>
        <v>28</v>
      </c>
      <c r="CN75" s="172">
        <f t="shared" si="237"/>
        <v>28.4</v>
      </c>
      <c r="CO75" s="443">
        <f t="shared" si="238"/>
        <v>56.4</v>
      </c>
      <c r="CP75" s="443"/>
      <c r="CQ75" s="217">
        <f t="shared" si="239"/>
        <v>0.50354609929078009</v>
      </c>
      <c r="CR75" s="172">
        <f t="shared" si="240"/>
        <v>118.75402645742166</v>
      </c>
      <c r="CS75" s="172">
        <f t="shared" si="298"/>
        <v>49</v>
      </c>
      <c r="CT75" s="217">
        <f t="shared" si="241"/>
        <v>4.2412152306222017</v>
      </c>
      <c r="CU75" s="217">
        <f t="shared" si="242"/>
        <v>28</v>
      </c>
      <c r="CV75" s="217">
        <f t="shared" si="243"/>
        <v>4.1962174940898347</v>
      </c>
      <c r="CW75" s="172">
        <f t="shared" si="244"/>
        <v>105.43915428471652</v>
      </c>
      <c r="CX75" s="172">
        <f t="shared" si="245"/>
        <v>28</v>
      </c>
      <c r="CY75" s="217">
        <f t="shared" si="246"/>
        <v>6.950704225352113</v>
      </c>
      <c r="CZ75" s="217">
        <f t="shared" si="247"/>
        <v>1.1667253521126759</v>
      </c>
      <c r="DA75" s="217">
        <f t="shared" si="248"/>
        <v>1.1502926006744694</v>
      </c>
      <c r="DB75" s="197">
        <f t="shared" si="249"/>
        <v>350</v>
      </c>
      <c r="DC75" s="443">
        <f t="shared" si="299"/>
        <v>350</v>
      </c>
      <c r="DE75" s="217">
        <f t="shared" si="250"/>
        <v>8.5709974347366842</v>
      </c>
      <c r="DF75" s="173">
        <f t="shared" si="251"/>
        <v>1.418439716312057</v>
      </c>
      <c r="DG75" s="173">
        <f t="shared" si="252"/>
        <v>2.1275525547218721</v>
      </c>
      <c r="DH75" s="173"/>
      <c r="DI75" s="173">
        <f t="shared" si="253"/>
        <v>0.55164319248826299</v>
      </c>
      <c r="DJ75" s="545">
        <f t="shared" si="300"/>
        <v>1903.4042553191487</v>
      </c>
      <c r="DK75" s="528">
        <f t="shared" si="254"/>
        <v>0.3217918622848201</v>
      </c>
      <c r="DM75" s="173">
        <f t="shared" si="255"/>
        <v>7.7733861292807021</v>
      </c>
      <c r="DN75" s="173">
        <f t="shared" si="256"/>
        <v>7.7733861292807021</v>
      </c>
      <c r="DO75" s="173">
        <f t="shared" si="257"/>
        <v>4.4889279969980498</v>
      </c>
      <c r="DQ75" s="545">
        <f t="shared" si="258"/>
        <v>1750</v>
      </c>
      <c r="DR75" s="460">
        <f t="shared" si="259"/>
        <v>350</v>
      </c>
      <c r="DT75">
        <f t="shared" si="260"/>
        <v>1750</v>
      </c>
      <c r="DU75">
        <f t="shared" si="261"/>
        <v>350</v>
      </c>
      <c r="DW75" s="5">
        <f t="shared" si="301"/>
        <v>2.8571428571428572</v>
      </c>
      <c r="DX75" s="5">
        <f t="shared" si="262"/>
        <v>1.3048183859864033</v>
      </c>
      <c r="DY75" s="5">
        <f t="shared" si="302"/>
        <v>1.5523244711564539</v>
      </c>
      <c r="DZ75" s="5">
        <f t="shared" si="263"/>
        <v>1.2864406622401163</v>
      </c>
      <c r="EA75" s="173">
        <f t="shared" si="303"/>
        <v>0.45668643509524115</v>
      </c>
      <c r="EB75" s="173">
        <f t="shared" si="264"/>
        <v>49.7</v>
      </c>
      <c r="EC75" s="173">
        <f t="shared" si="265"/>
        <v>2.1116930646403516</v>
      </c>
      <c r="ED75" s="173">
        <f t="shared" si="304"/>
        <v>23.535617383137332</v>
      </c>
      <c r="EE75" s="460">
        <f t="shared" si="266"/>
        <v>8.1551149124150211</v>
      </c>
      <c r="EF75" s="5">
        <f t="shared" si="267"/>
        <v>1.9404055889455674</v>
      </c>
      <c r="EG75" s="5"/>
      <c r="EH75" s="173">
        <f t="shared" si="305"/>
        <v>3.0329040406265459</v>
      </c>
      <c r="EI75" s="173">
        <f t="shared" si="268"/>
        <v>3.3080715004338068</v>
      </c>
      <c r="EJ75" s="173"/>
      <c r="EK75" s="528">
        <f t="shared" si="269"/>
        <v>0.11038208303578594</v>
      </c>
      <c r="EL75" s="528">
        <f t="shared" si="270"/>
        <v>2.9154862016480201</v>
      </c>
      <c r="EM75" s="528">
        <f t="shared" si="271"/>
        <v>4.0250000000000001E-2</v>
      </c>
      <c r="EN75" s="528">
        <f t="shared" si="272"/>
        <v>0.54831797999999998</v>
      </c>
      <c r="EO75">
        <f t="shared" si="273"/>
        <v>1.26E-2</v>
      </c>
      <c r="EP75" s="460">
        <f t="shared" si="306"/>
        <v>52.85</v>
      </c>
      <c r="EQ75" s="528">
        <f t="shared" si="274"/>
        <v>3.755329642464357</v>
      </c>
      <c r="ER75" s="460">
        <f t="shared" si="307"/>
        <v>3755.3296424643568</v>
      </c>
      <c r="ES75" s="528">
        <f t="shared" si="308"/>
        <v>1.1735499999999999</v>
      </c>
      <c r="ET75" s="528"/>
      <c r="EV75" s="460">
        <f t="shared" si="309"/>
        <v>1173.55</v>
      </c>
      <c r="EW75" s="528">
        <f t="shared" si="275"/>
        <v>0.1287790968750836</v>
      </c>
      <c r="EX75" s="528">
        <f t="shared" si="276"/>
        <v>0.15320671872775329</v>
      </c>
      <c r="EY75" s="528">
        <f t="shared" si="277"/>
        <v>19.304818278656189</v>
      </c>
      <c r="EZ75" s="528">
        <f t="shared" si="278"/>
        <v>20.108096530022831</v>
      </c>
      <c r="FA75" s="528">
        <f t="shared" si="279"/>
        <v>2.1148936170212767</v>
      </c>
      <c r="FB75" s="460">
        <f t="shared" si="310"/>
        <v>22222.990147044107</v>
      </c>
      <c r="FC75" s="173">
        <f t="shared" si="311"/>
        <v>27.151869789508464</v>
      </c>
      <c r="FD75" s="5">
        <f t="shared" si="312"/>
        <v>49</v>
      </c>
      <c r="FE75" s="173">
        <f t="shared" si="313"/>
        <v>0.64345104244243767</v>
      </c>
      <c r="FF75" s="5">
        <f t="shared" si="314"/>
        <v>64.345104244243771</v>
      </c>
      <c r="FI75" s="562">
        <f t="shared" si="280"/>
        <v>-50</v>
      </c>
      <c r="FJ75">
        <f t="shared" si="281"/>
        <v>-50</v>
      </c>
      <c r="FL75">
        <f t="shared" si="282"/>
        <v>0.45025423178404073</v>
      </c>
    </row>
    <row r="76" spans="5:168">
      <c r="E76" s="170">
        <v>71</v>
      </c>
      <c r="F76" s="217">
        <f t="shared" si="283"/>
        <v>1.7749999999999999</v>
      </c>
      <c r="G76" s="217"/>
      <c r="H76" s="217">
        <f t="shared" si="183"/>
        <v>49.699999999999996</v>
      </c>
      <c r="I76" s="541">
        <f t="shared" si="184"/>
        <v>27.89894598031935</v>
      </c>
      <c r="J76" s="172">
        <f t="shared" si="185"/>
        <v>28.454413702904965</v>
      </c>
      <c r="K76" s="172">
        <f t="shared" si="186"/>
        <v>56.454413702904965</v>
      </c>
      <c r="L76" s="443"/>
      <c r="M76" s="217">
        <f t="shared" si="187"/>
        <v>0.50493183721988122</v>
      </c>
      <c r="N76" s="172">
        <f t="shared" si="188"/>
        <v>118.65106128641715</v>
      </c>
      <c r="O76" s="172">
        <f t="shared" si="284"/>
        <v>49.699999999999996</v>
      </c>
      <c r="P76" s="217">
        <f t="shared" si="189"/>
        <v>4.2375379030863263</v>
      </c>
      <c r="Q76" s="217">
        <f t="shared" si="190"/>
        <v>28</v>
      </c>
      <c r="R76" s="217">
        <f t="shared" si="191"/>
        <v>4.1925791816490694</v>
      </c>
      <c r="S76" s="172">
        <f t="shared" si="192"/>
        <v>103.18974966041063</v>
      </c>
      <c r="T76" s="172">
        <f t="shared" si="193"/>
        <v>28</v>
      </c>
      <c r="U76" s="217">
        <f t="shared" si="194"/>
        <v>7.1707297436872546</v>
      </c>
      <c r="V76" s="217">
        <f t="shared" si="195"/>
        <v>1.2080180311867221</v>
      </c>
      <c r="W76" s="217">
        <f t="shared" si="196"/>
        <v>1.1844359243251372</v>
      </c>
      <c r="X76" s="197">
        <f t="shared" si="197"/>
        <v>350</v>
      </c>
      <c r="Y76" s="443">
        <f t="shared" si="198"/>
        <v>350</v>
      </c>
      <c r="AA76" s="217">
        <f t="shared" si="199"/>
        <v>8.5635082842355299</v>
      </c>
      <c r="AB76" s="173">
        <f t="shared" si="200"/>
        <v>1.4144901861674257</v>
      </c>
      <c r="AC76" s="173">
        <f t="shared" si="201"/>
        <v>2.1197747247625562</v>
      </c>
      <c r="AD76" s="173"/>
      <c r="AE76" s="173">
        <f t="shared" si="202"/>
        <v>0.55058827886048578</v>
      </c>
      <c r="AF76" s="545">
        <f t="shared" si="203"/>
        <v>1934.2947187400291</v>
      </c>
      <c r="AG76" s="528">
        <f t="shared" si="204"/>
        <v>0.32117649600195003</v>
      </c>
      <c r="AI76" s="173">
        <f t="shared" si="205"/>
        <v>7.8362096416126148</v>
      </c>
      <c r="AJ76" s="173">
        <f t="shared" si="206"/>
        <v>7.8362096416126148</v>
      </c>
      <c r="AK76" s="173">
        <f t="shared" si="207"/>
        <v>4.5354639320587271</v>
      </c>
      <c r="AM76" s="545">
        <f t="shared" si="208"/>
        <v>1775</v>
      </c>
      <c r="AN76" s="460">
        <f t="shared" si="209"/>
        <v>350</v>
      </c>
      <c r="AP76">
        <f t="shared" si="210"/>
        <v>1775</v>
      </c>
      <c r="AQ76">
        <f t="shared" si="211"/>
        <v>350</v>
      </c>
      <c r="AS76" s="5">
        <f t="shared" si="285"/>
        <v>2.8571428571428572</v>
      </c>
      <c r="AT76" s="5">
        <f t="shared" si="212"/>
        <v>1.320128199164236</v>
      </c>
      <c r="AU76" s="5">
        <f t="shared" si="286"/>
        <v>1.5370146579786212</v>
      </c>
      <c r="AV76" s="5">
        <f t="shared" si="213"/>
        <v>1.2943575538096299</v>
      </c>
      <c r="AW76" s="173">
        <f t="shared" si="287"/>
        <v>0.4620448697074826</v>
      </c>
      <c r="AX76" s="173">
        <f t="shared" si="214"/>
        <v>50.506584322656309</v>
      </c>
      <c r="AY76" s="173">
        <f t="shared" si="215"/>
        <v>2.1077645893765977</v>
      </c>
      <c r="AZ76" s="173">
        <f t="shared" si="288"/>
        <v>23.962156199613531</v>
      </c>
      <c r="BA76" s="460">
        <f t="shared" si="216"/>
        <v>8.3686698339875676</v>
      </c>
      <c r="BB76" s="5">
        <f t="shared" si="217"/>
        <v>1.9557735405750434</v>
      </c>
      <c r="BC76" s="5"/>
      <c r="BD76" s="173">
        <f t="shared" si="289"/>
        <v>3.0753000478141646</v>
      </c>
      <c r="BE76" s="173">
        <f t="shared" si="218"/>
        <v>3.3183213826192852</v>
      </c>
      <c r="BF76" s="173"/>
      <c r="BG76" s="528">
        <f t="shared" si="219"/>
        <v>0.11348964460902963</v>
      </c>
      <c r="BH76" s="528">
        <f t="shared" si="220"/>
        <v>2.825757316447735</v>
      </c>
      <c r="BI76" s="528">
        <f t="shared" si="221"/>
        <v>4.0250000000000001E-2</v>
      </c>
      <c r="BJ76" s="528">
        <f t="shared" si="222"/>
        <v>0.54937650497461599</v>
      </c>
      <c r="BK76">
        <f t="shared" si="223"/>
        <v>1.2554525691143707E-2</v>
      </c>
      <c r="BL76" s="460">
        <f t="shared" si="290"/>
        <v>52.804525691143709</v>
      </c>
      <c r="BM76" s="528">
        <f t="shared" si="224"/>
        <v>3.6167929980239291</v>
      </c>
      <c r="BN76" s="460">
        <f t="shared" si="291"/>
        <v>3616.7929980239292</v>
      </c>
      <c r="BO76" s="528">
        <f t="shared" si="225"/>
        <v>1.1903149999999998</v>
      </c>
      <c r="BP76" s="528"/>
      <c r="BR76" s="460">
        <f t="shared" si="292"/>
        <v>1190.3149999999998</v>
      </c>
      <c r="BS76" s="528">
        <f t="shared" si="226"/>
        <v>0.13240458537720123</v>
      </c>
      <c r="BT76" s="528">
        <f t="shared" si="227"/>
        <v>0.1541575951768771</v>
      </c>
      <c r="BU76" s="528">
        <f t="shared" si="228"/>
        <v>19.697233376293003</v>
      </c>
      <c r="BV76" s="528">
        <f t="shared" si="229"/>
        <v>20.523061132154037</v>
      </c>
      <c r="BW76" s="528">
        <f t="shared" si="230"/>
        <v>2.1492163541555875</v>
      </c>
      <c r="BX76" s="460">
        <f t="shared" si="293"/>
        <v>22672.277486309624</v>
      </c>
      <c r="BY76" s="173">
        <f t="shared" si="231"/>
        <v>27.532190010024696</v>
      </c>
      <c r="BZ76" s="5">
        <f t="shared" si="294"/>
        <v>49.699999999999996</v>
      </c>
      <c r="CA76" s="173">
        <f t="shared" si="295"/>
        <v>0.6435140579795674</v>
      </c>
      <c r="CB76" s="5">
        <f t="shared" si="296"/>
        <v>64.351405797956744</v>
      </c>
      <c r="CE76" s="562">
        <f t="shared" si="232"/>
        <v>-50</v>
      </c>
      <c r="CF76">
        <f t="shared" si="233"/>
        <v>-50</v>
      </c>
      <c r="CG76" s="173">
        <f t="shared" si="234"/>
        <v>0.45668643509524121</v>
      </c>
      <c r="CI76" s="170">
        <v>71</v>
      </c>
      <c r="CJ76" s="217">
        <f t="shared" si="297"/>
        <v>1.7749999999999999</v>
      </c>
      <c r="CK76" s="217"/>
      <c r="CL76" s="217">
        <f t="shared" si="235"/>
        <v>49.699999999999996</v>
      </c>
      <c r="CM76" s="541">
        <f t="shared" si="236"/>
        <v>28</v>
      </c>
      <c r="CN76" s="172">
        <f t="shared" si="237"/>
        <v>28.4</v>
      </c>
      <c r="CO76" s="443">
        <f t="shared" si="238"/>
        <v>56.4</v>
      </c>
      <c r="CP76" s="443"/>
      <c r="CQ76" s="217">
        <f t="shared" si="239"/>
        <v>0.50354609929078009</v>
      </c>
      <c r="CR76" s="172">
        <f t="shared" si="240"/>
        <v>118.75402645742166</v>
      </c>
      <c r="CS76" s="172">
        <f t="shared" si="298"/>
        <v>49.699999999999996</v>
      </c>
      <c r="CT76" s="217">
        <f t="shared" si="241"/>
        <v>4.2412152306222017</v>
      </c>
      <c r="CU76" s="217">
        <f t="shared" si="242"/>
        <v>28</v>
      </c>
      <c r="CV76" s="217">
        <f t="shared" si="243"/>
        <v>4.1962174940898347</v>
      </c>
      <c r="CW76" s="172">
        <f t="shared" si="244"/>
        <v>103.56312956171342</v>
      </c>
      <c r="CX76" s="172">
        <f t="shared" si="245"/>
        <v>28</v>
      </c>
      <c r="CY76" s="217">
        <f t="shared" si="246"/>
        <v>7.05</v>
      </c>
      <c r="CZ76" s="217">
        <f t="shared" si="247"/>
        <v>1.1833928571428571</v>
      </c>
      <c r="DA76" s="217">
        <f t="shared" si="248"/>
        <v>1.1667253521126761</v>
      </c>
      <c r="DB76" s="197">
        <f t="shared" si="249"/>
        <v>350</v>
      </c>
      <c r="DC76" s="443">
        <f t="shared" si="299"/>
        <v>350</v>
      </c>
      <c r="DE76" s="217">
        <f t="shared" si="250"/>
        <v>8.5709974347366842</v>
      </c>
      <c r="DF76" s="173">
        <f t="shared" si="251"/>
        <v>1.418439716312057</v>
      </c>
      <c r="DG76" s="173">
        <f t="shared" si="252"/>
        <v>2.1275525547218721</v>
      </c>
      <c r="DH76" s="173"/>
      <c r="DI76" s="173">
        <f t="shared" si="253"/>
        <v>0.55164319248826299</v>
      </c>
      <c r="DJ76" s="545">
        <f t="shared" si="300"/>
        <v>1930.5957446808507</v>
      </c>
      <c r="DK76" s="528">
        <f t="shared" si="254"/>
        <v>0.3217918622848201</v>
      </c>
      <c r="DM76" s="173">
        <f t="shared" si="255"/>
        <v>7.8287134191635914</v>
      </c>
      <c r="DN76" s="173">
        <f t="shared" si="256"/>
        <v>7.8287134191635914</v>
      </c>
      <c r="DO76" s="173">
        <f t="shared" si="257"/>
        <v>4.5299111746890794</v>
      </c>
      <c r="DQ76" s="545">
        <f t="shared" si="258"/>
        <v>1775</v>
      </c>
      <c r="DR76" s="460">
        <f t="shared" si="259"/>
        <v>350</v>
      </c>
      <c r="DT76">
        <f t="shared" si="260"/>
        <v>1775</v>
      </c>
      <c r="DU76">
        <f t="shared" si="261"/>
        <v>350</v>
      </c>
      <c r="DW76" s="5">
        <f t="shared" si="301"/>
        <v>2.8571428571428572</v>
      </c>
      <c r="DX76" s="5">
        <f t="shared" si="262"/>
        <v>1.314105466788174</v>
      </c>
      <c r="DY76" s="5">
        <f t="shared" si="302"/>
        <v>1.5430373903546832</v>
      </c>
      <c r="DZ76" s="5">
        <f t="shared" si="263"/>
        <v>1.2955969390869324</v>
      </c>
      <c r="EA76" s="173">
        <f t="shared" si="303"/>
        <v>0.4599369133758609</v>
      </c>
      <c r="EB76" s="173">
        <f t="shared" si="264"/>
        <v>50.41</v>
      </c>
      <c r="EC76" s="173">
        <f t="shared" si="265"/>
        <v>2.1139995667246536</v>
      </c>
      <c r="ED76" s="173">
        <f t="shared" si="304"/>
        <v>23.845794858938042</v>
      </c>
      <c r="EE76" s="460">
        <f t="shared" si="266"/>
        <v>8.3304900126750301</v>
      </c>
      <c r="EF76" s="5">
        <f t="shared" si="267"/>
        <v>1.9563509770568301</v>
      </c>
      <c r="EG76" s="5"/>
      <c r="EH76" s="173">
        <f t="shared" si="305"/>
        <v>3.065341756212808</v>
      </c>
      <c r="EI76" s="173">
        <f t="shared" si="268"/>
        <v>3.3216358195045319</v>
      </c>
      <c r="EJ76" s="173"/>
      <c r="EK76" s="528">
        <f t="shared" si="269"/>
        <v>0.11275584098858187</v>
      </c>
      <c r="EL76" s="528">
        <f t="shared" si="270"/>
        <v>2.9362372549914966</v>
      </c>
      <c r="EM76" s="528">
        <f t="shared" si="271"/>
        <v>4.0250000000000001E-2</v>
      </c>
      <c r="EN76" s="528">
        <f t="shared" si="272"/>
        <v>0.54831797999999998</v>
      </c>
      <c r="EO76">
        <f t="shared" si="273"/>
        <v>1.26E-2</v>
      </c>
      <c r="EP76" s="460">
        <f t="shared" si="306"/>
        <v>52.85</v>
      </c>
      <c r="EQ76" s="528">
        <f t="shared" si="274"/>
        <v>3.7819259281343913</v>
      </c>
      <c r="ER76" s="460">
        <f t="shared" si="307"/>
        <v>3781.9259281343911</v>
      </c>
      <c r="ES76" s="528">
        <f t="shared" si="308"/>
        <v>1.1903149999999998</v>
      </c>
      <c r="ET76" s="528"/>
      <c r="EV76" s="460">
        <f t="shared" si="309"/>
        <v>1190.3149999999998</v>
      </c>
      <c r="EW76" s="528">
        <f t="shared" si="275"/>
        <v>0.1315484811533455</v>
      </c>
      <c r="EX76" s="528">
        <f t="shared" si="276"/>
        <v>0.15446570324381761</v>
      </c>
      <c r="EY76" s="528">
        <f t="shared" si="277"/>
        <v>19.650160578914548</v>
      </c>
      <c r="EZ76" s="528">
        <f t="shared" si="278"/>
        <v>20.473269812966933</v>
      </c>
      <c r="FA76" s="528">
        <f t="shared" si="279"/>
        <v>2.1451063829787231</v>
      </c>
      <c r="FB76" s="460">
        <f t="shared" si="310"/>
        <v>22618.376195945657</v>
      </c>
      <c r="FC76" s="173">
        <f t="shared" si="311"/>
        <v>27.590617124080048</v>
      </c>
      <c r="FD76" s="5">
        <f t="shared" si="312"/>
        <v>49.699999999999996</v>
      </c>
      <c r="FE76" s="173">
        <f t="shared" si="313"/>
        <v>0.64302759958835753</v>
      </c>
      <c r="FF76" s="5">
        <f t="shared" si="314"/>
        <v>64.30275995883575</v>
      </c>
      <c r="FI76" s="562">
        <f t="shared" si="280"/>
        <v>-50</v>
      </c>
      <c r="FJ76">
        <f t="shared" si="281"/>
        <v>-50</v>
      </c>
      <c r="FL76">
        <f t="shared" si="282"/>
        <v>0.45345892868042637</v>
      </c>
    </row>
    <row r="77" spans="5:168">
      <c r="E77" s="170">
        <v>72</v>
      </c>
      <c r="F77" s="217">
        <f t="shared" si="283"/>
        <v>1.7999999999999998</v>
      </c>
      <c r="G77" s="217"/>
      <c r="H77" s="217">
        <f t="shared" si="183"/>
        <v>50.399999999999991</v>
      </c>
      <c r="I77" s="541">
        <f t="shared" si="184"/>
        <v>27.898236820603664</v>
      </c>
      <c r="J77" s="172">
        <f t="shared" si="185"/>
        <v>28.454795558136489</v>
      </c>
      <c r="K77" s="172">
        <f t="shared" si="186"/>
        <v>56.454795558136489</v>
      </c>
      <c r="L77" s="443"/>
      <c r="M77" s="217">
        <f t="shared" si="187"/>
        <v>0.50494156985352268</v>
      </c>
      <c r="N77" s="172">
        <f t="shared" si="188"/>
        <v>118.65033226847183</v>
      </c>
      <c r="O77" s="172">
        <f t="shared" si="284"/>
        <v>50.399999999999991</v>
      </c>
      <c r="P77" s="217">
        <f t="shared" si="189"/>
        <v>4.2375118667311371</v>
      </c>
      <c r="Q77" s="217">
        <f t="shared" si="190"/>
        <v>28</v>
      </c>
      <c r="R77" s="217">
        <f t="shared" si="191"/>
        <v>4.1925534215300493</v>
      </c>
      <c r="S77" s="172">
        <f t="shared" si="192"/>
        <v>101.36991917060061</v>
      </c>
      <c r="T77" s="172">
        <f t="shared" si="193"/>
        <v>28</v>
      </c>
      <c r="U77" s="217">
        <f t="shared" si="194"/>
        <v>7.2718688962327862</v>
      </c>
      <c r="V77" s="217">
        <f t="shared" si="195"/>
        <v>1.2250875936020733</v>
      </c>
      <c r="W77" s="217">
        <f t="shared" si="196"/>
        <v>1.2011256149236733</v>
      </c>
      <c r="X77" s="197">
        <f t="shared" si="197"/>
        <v>350</v>
      </c>
      <c r="Y77" s="443">
        <f t="shared" si="198"/>
        <v>350</v>
      </c>
      <c r="AA77" s="217">
        <f t="shared" si="199"/>
        <v>8.5634552651601155</v>
      </c>
      <c r="AB77" s="173">
        <f t="shared" si="200"/>
        <v>1.4144624467260942</v>
      </c>
      <c r="AC77" s="173">
        <f t="shared" si="201"/>
        <v>2.1197200301878705</v>
      </c>
      <c r="AD77" s="173"/>
      <c r="AE77" s="173">
        <f t="shared" si="202"/>
        <v>0.55058089012299616</v>
      </c>
      <c r="AF77" s="545">
        <f t="shared" si="203"/>
        <v>1961.5646299651535</v>
      </c>
      <c r="AG77" s="528">
        <f t="shared" si="204"/>
        <v>0.32117218590508106</v>
      </c>
      <c r="AI77" s="173">
        <f t="shared" si="205"/>
        <v>7.8912542105020789</v>
      </c>
      <c r="AJ77" s="173">
        <f t="shared" si="206"/>
        <v>7.8912542105020789</v>
      </c>
      <c r="AK77" s="173">
        <f t="shared" si="207"/>
        <v>4.5762376867916634</v>
      </c>
      <c r="AM77" s="545">
        <f t="shared" si="208"/>
        <v>1799.9999999999998</v>
      </c>
      <c r="AN77" s="460">
        <f t="shared" si="209"/>
        <v>350</v>
      </c>
      <c r="AP77">
        <f t="shared" si="210"/>
        <v>1799.9999999999998</v>
      </c>
      <c r="AQ77">
        <f t="shared" si="211"/>
        <v>350</v>
      </c>
      <c r="AS77" s="5">
        <f t="shared" si="285"/>
        <v>2.8571428571428572</v>
      </c>
      <c r="AT77" s="5">
        <f t="shared" si="212"/>
        <v>1.329435083222483</v>
      </c>
      <c r="AU77" s="5">
        <f t="shared" si="286"/>
        <v>1.5277077739203742</v>
      </c>
      <c r="AV77" s="5">
        <f t="shared" si="213"/>
        <v>1.3034321302215228</v>
      </c>
      <c r="AW77" s="173">
        <f t="shared" si="287"/>
        <v>0.46530227912786903</v>
      </c>
      <c r="AX77" s="173">
        <f t="shared" si="214"/>
        <v>51.218632004645677</v>
      </c>
      <c r="AY77" s="173">
        <f t="shared" si="215"/>
        <v>2.1097178205890343</v>
      </c>
      <c r="AZ77" s="173">
        <f t="shared" si="288"/>
        <v>24.277479909775522</v>
      </c>
      <c r="BA77" s="460">
        <f t="shared" si="216"/>
        <v>8.5463683921445348</v>
      </c>
      <c r="BB77" s="5">
        <f t="shared" si="217"/>
        <v>1.9713604201867054</v>
      </c>
      <c r="BC77" s="5"/>
      <c r="BD77" s="173">
        <f t="shared" si="289"/>
        <v>3.107799529430098</v>
      </c>
      <c r="BE77" s="173">
        <f t="shared" si="218"/>
        <v>3.331498124937637</v>
      </c>
      <c r="BF77" s="173"/>
      <c r="BG77" s="528">
        <f t="shared" si="219"/>
        <v>0.11590101498151126</v>
      </c>
      <c r="BH77" s="528">
        <f t="shared" si="220"/>
        <v>2.8456257768781534</v>
      </c>
      <c r="BI77" s="528">
        <f t="shared" si="221"/>
        <v>4.0250000000000001E-2</v>
      </c>
      <c r="BJ77" s="528">
        <f t="shared" si="222"/>
        <v>0.54938393691795651</v>
      </c>
      <c r="BK77">
        <f t="shared" si="223"/>
        <v>1.2554206569271649E-2</v>
      </c>
      <c r="BL77" s="460">
        <f t="shared" si="290"/>
        <v>52.804206569271649</v>
      </c>
      <c r="BM77" s="528">
        <f t="shared" si="224"/>
        <v>3.6425117880672513</v>
      </c>
      <c r="BN77" s="460">
        <f t="shared" si="291"/>
        <v>3642.5117880672515</v>
      </c>
      <c r="BO77" s="528">
        <f t="shared" si="225"/>
        <v>1.2070799999999997</v>
      </c>
      <c r="BP77" s="528"/>
      <c r="BR77" s="460">
        <f t="shared" si="292"/>
        <v>1207.0799999999997</v>
      </c>
      <c r="BS77" s="528">
        <f t="shared" si="226"/>
        <v>0.13521785081176313</v>
      </c>
      <c r="BT77" s="528">
        <f t="shared" si="227"/>
        <v>0.15538431659048185</v>
      </c>
      <c r="BU77" s="528">
        <f t="shared" si="228"/>
        <v>20.044960296098107</v>
      </c>
      <c r="BV77" s="528">
        <f t="shared" si="229"/>
        <v>20.890984206851048</v>
      </c>
      <c r="BW77" s="528">
        <f t="shared" si="230"/>
        <v>2.1795162555168375</v>
      </c>
      <c r="BX77" s="460">
        <f t="shared" si="293"/>
        <v>23070.500462367887</v>
      </c>
      <c r="BY77" s="173">
        <f t="shared" si="231"/>
        <v>27.97289645700441</v>
      </c>
      <c r="BZ77" s="5">
        <f t="shared" si="294"/>
        <v>50.399999999999991</v>
      </c>
      <c r="CA77" s="173">
        <f t="shared" si="295"/>
        <v>0.64307946086501444</v>
      </c>
      <c r="CB77" s="5">
        <f t="shared" si="296"/>
        <v>64.307946086501445</v>
      </c>
      <c r="CE77" s="562">
        <f t="shared" si="232"/>
        <v>-50</v>
      </c>
      <c r="CF77">
        <f t="shared" si="233"/>
        <v>-50</v>
      </c>
      <c r="CG77" s="173">
        <f t="shared" si="234"/>
        <v>0.45989129150267677</v>
      </c>
      <c r="CI77" s="170">
        <v>72</v>
      </c>
      <c r="CJ77" s="217">
        <f t="shared" si="297"/>
        <v>1.7999999999999998</v>
      </c>
      <c r="CK77" s="217"/>
      <c r="CL77" s="217">
        <f t="shared" si="235"/>
        <v>50.399999999999991</v>
      </c>
      <c r="CM77" s="541">
        <f t="shared" si="236"/>
        <v>28</v>
      </c>
      <c r="CN77" s="172">
        <f t="shared" si="237"/>
        <v>28.4</v>
      </c>
      <c r="CO77" s="443">
        <f t="shared" si="238"/>
        <v>56.4</v>
      </c>
      <c r="CP77" s="443"/>
      <c r="CQ77" s="217">
        <f t="shared" si="239"/>
        <v>0.50354609929078009</v>
      </c>
      <c r="CR77" s="172">
        <f t="shared" si="240"/>
        <v>118.75402645742166</v>
      </c>
      <c r="CS77" s="172">
        <f t="shared" si="298"/>
        <v>50.399999999999991</v>
      </c>
      <c r="CT77" s="217">
        <f t="shared" si="241"/>
        <v>4.2412152306222017</v>
      </c>
      <c r="CU77" s="217">
        <f t="shared" si="242"/>
        <v>28</v>
      </c>
      <c r="CV77" s="217">
        <f t="shared" si="243"/>
        <v>4.1962174940898347</v>
      </c>
      <c r="CW77" s="172">
        <f t="shared" si="244"/>
        <v>101.73928381538099</v>
      </c>
      <c r="CX77" s="172">
        <f t="shared" si="245"/>
        <v>28</v>
      </c>
      <c r="CY77" s="217">
        <f t="shared" si="246"/>
        <v>7.1492957746478867</v>
      </c>
      <c r="CZ77" s="217">
        <f t="shared" si="247"/>
        <v>1.2000603621730379</v>
      </c>
      <c r="DA77" s="217">
        <f t="shared" si="248"/>
        <v>1.1831581035508827</v>
      </c>
      <c r="DB77" s="197">
        <f t="shared" si="249"/>
        <v>350</v>
      </c>
      <c r="DC77" s="443">
        <f t="shared" si="299"/>
        <v>350</v>
      </c>
      <c r="DE77" s="217">
        <f t="shared" si="250"/>
        <v>8.5709974347366842</v>
      </c>
      <c r="DF77" s="173">
        <f t="shared" si="251"/>
        <v>1.418439716312057</v>
      </c>
      <c r="DG77" s="173">
        <f t="shared" si="252"/>
        <v>2.1275525547218721</v>
      </c>
      <c r="DH77" s="173"/>
      <c r="DI77" s="173">
        <f t="shared" si="253"/>
        <v>0.55164319248826299</v>
      </c>
      <c r="DJ77" s="545">
        <f t="shared" si="300"/>
        <v>1957.7872340425527</v>
      </c>
      <c r="DK77" s="528">
        <f t="shared" si="254"/>
        <v>0.3217918622848201</v>
      </c>
      <c r="DM77" s="173">
        <f t="shared" si="255"/>
        <v>7.8836524329710631</v>
      </c>
      <c r="DN77" s="173">
        <f t="shared" si="256"/>
        <v>7.8836524329710631</v>
      </c>
      <c r="DO77" s="173">
        <f t="shared" si="257"/>
        <v>4.5706067404723916</v>
      </c>
      <c r="DQ77" s="545">
        <f t="shared" si="258"/>
        <v>1799.9999999999998</v>
      </c>
      <c r="DR77" s="460">
        <f t="shared" si="259"/>
        <v>350</v>
      </c>
      <c r="DT77">
        <f t="shared" si="260"/>
        <v>1799.9999999999998</v>
      </c>
      <c r="DU77">
        <f t="shared" si="261"/>
        <v>350</v>
      </c>
      <c r="DW77" s="5">
        <f t="shared" si="301"/>
        <v>2.8571428571428572</v>
      </c>
      <c r="DX77" s="5">
        <f t="shared" si="262"/>
        <v>1.3233273726772856</v>
      </c>
      <c r="DY77" s="5">
        <f t="shared" si="302"/>
        <v>1.5338154844655716</v>
      </c>
      <c r="DZ77" s="5">
        <f t="shared" si="263"/>
        <v>1.3046889589776056</v>
      </c>
      <c r="EA77" s="173">
        <f t="shared" si="303"/>
        <v>0.46316458043704994</v>
      </c>
      <c r="EB77" s="173">
        <f t="shared" si="264"/>
        <v>51.119999999999983</v>
      </c>
      <c r="EC77" s="173">
        <f t="shared" si="265"/>
        <v>2.1161119307712464</v>
      </c>
      <c r="ED77" s="173">
        <f t="shared" si="304"/>
        <v>24.157512301992735</v>
      </c>
      <c r="EE77" s="460">
        <f t="shared" si="266"/>
        <v>8.5071045386396911</v>
      </c>
      <c r="EF77" s="5">
        <f t="shared" si="267"/>
        <v>1.9720484800271627</v>
      </c>
      <c r="EG77" s="5"/>
      <c r="EH77" s="173">
        <f t="shared" si="305"/>
        <v>3.09766545110792</v>
      </c>
      <c r="EI77" s="173">
        <f t="shared" si="268"/>
        <v>3.3349353788305836</v>
      </c>
      <c r="EJ77" s="173"/>
      <c r="EK77" s="528">
        <f t="shared" si="269"/>
        <v>0.11514637496385161</v>
      </c>
      <c r="EL77" s="528">
        <f t="shared" si="270"/>
        <v>2.9568426815101265</v>
      </c>
      <c r="EM77" s="528">
        <f t="shared" si="271"/>
        <v>4.0250000000000001E-2</v>
      </c>
      <c r="EN77" s="528">
        <f t="shared" si="272"/>
        <v>0.54831797999999998</v>
      </c>
      <c r="EO77">
        <f t="shared" si="273"/>
        <v>1.26E-2</v>
      </c>
      <c r="EP77" s="460">
        <f t="shared" si="306"/>
        <v>52.85</v>
      </c>
      <c r="EQ77" s="528">
        <f t="shared" si="274"/>
        <v>3.8084408480349357</v>
      </c>
      <c r="ER77" s="460">
        <f t="shared" si="307"/>
        <v>3808.4408480349357</v>
      </c>
      <c r="ES77" s="528">
        <f t="shared" si="308"/>
        <v>1.2070799999999997</v>
      </c>
      <c r="ET77" s="528"/>
      <c r="EV77" s="460">
        <f t="shared" si="309"/>
        <v>1207.0799999999997</v>
      </c>
      <c r="EW77" s="528">
        <f t="shared" si="275"/>
        <v>0.13433743745782686</v>
      </c>
      <c r="EX77" s="528">
        <f t="shared" si="276"/>
        <v>0.15570511573366244</v>
      </c>
      <c r="EY77" s="528">
        <f t="shared" si="277"/>
        <v>19.996721051841934</v>
      </c>
      <c r="EZ77" s="528">
        <f t="shared" si="278"/>
        <v>20.839931165280408</v>
      </c>
      <c r="FA77" s="528">
        <f t="shared" si="279"/>
        <v>2.1753191489361696</v>
      </c>
      <c r="FB77" s="460">
        <f t="shared" si="310"/>
        <v>23015.250314216577</v>
      </c>
      <c r="FC77" s="173">
        <f t="shared" si="311"/>
        <v>28.030771162251511</v>
      </c>
      <c r="FD77" s="5">
        <f t="shared" si="312"/>
        <v>50.399999999999991</v>
      </c>
      <c r="FE77" s="173">
        <f t="shared" si="313"/>
        <v>0.64260492728977991</v>
      </c>
      <c r="FF77" s="5">
        <f t="shared" si="314"/>
        <v>64.260492728977994</v>
      </c>
      <c r="FI77" s="562">
        <f t="shared" si="280"/>
        <v>-50</v>
      </c>
      <c r="FJ77">
        <f t="shared" si="281"/>
        <v>-50</v>
      </c>
      <c r="FL77">
        <f t="shared" si="282"/>
        <v>0.45664113564216202</v>
      </c>
    </row>
    <row r="78" spans="5:168">
      <c r="E78" s="170">
        <v>73</v>
      </c>
      <c r="F78" s="217">
        <f t="shared" si="283"/>
        <v>1.825</v>
      </c>
      <c r="G78" s="217"/>
      <c r="H78" s="217">
        <f t="shared" si="183"/>
        <v>51.1</v>
      </c>
      <c r="I78" s="541">
        <f t="shared" si="184"/>
        <v>27.897532568744577</v>
      </c>
      <c r="J78" s="172">
        <f t="shared" si="185"/>
        <v>28.455174770675995</v>
      </c>
      <c r="K78" s="172">
        <f t="shared" si="186"/>
        <v>56.455174770675995</v>
      </c>
      <c r="L78" s="443"/>
      <c r="M78" s="217">
        <f t="shared" si="187"/>
        <v>0.50495123524182639</v>
      </c>
      <c r="N78" s="172">
        <f t="shared" si="188"/>
        <v>118.64960820682434</v>
      </c>
      <c r="O78" s="172">
        <f t="shared" si="284"/>
        <v>51.1</v>
      </c>
      <c r="P78" s="217">
        <f t="shared" si="189"/>
        <v>4.2374860073865834</v>
      </c>
      <c r="Q78" s="217">
        <f t="shared" si="190"/>
        <v>28</v>
      </c>
      <c r="R78" s="217">
        <f t="shared" si="191"/>
        <v>4.1925278365436487</v>
      </c>
      <c r="S78" s="172">
        <f t="shared" si="192"/>
        <v>99.600050969240911</v>
      </c>
      <c r="T78" s="172">
        <f t="shared" si="193"/>
        <v>28</v>
      </c>
      <c r="U78" s="217">
        <f t="shared" si="194"/>
        <v>7.3730110240412152</v>
      </c>
      <c r="V78" s="217">
        <f t="shared" si="195"/>
        <v>1.2421583065671511</v>
      </c>
      <c r="W78" s="217">
        <f t="shared" si="196"/>
        <v>1.2178154621178054</v>
      </c>
      <c r="X78" s="197">
        <f t="shared" si="197"/>
        <v>350</v>
      </c>
      <c r="Y78" s="443">
        <f t="shared" si="198"/>
        <v>350</v>
      </c>
      <c r="AA78" s="217">
        <f t="shared" si="199"/>
        <v>8.5634026066205351</v>
      </c>
      <c r="AB78" s="173">
        <f t="shared" si="200"/>
        <v>1.414434898941243</v>
      </c>
      <c r="AC78" s="173">
        <f t="shared" si="201"/>
        <v>2.1196657125854861</v>
      </c>
      <c r="AD78" s="173"/>
      <c r="AE78" s="173">
        <f t="shared" si="202"/>
        <v>0.55057355271673425</v>
      </c>
      <c r="AF78" s="545">
        <f t="shared" si="203"/>
        <v>1988.8350876951199</v>
      </c>
      <c r="AG78" s="528">
        <f t="shared" si="204"/>
        <v>0.32116790575142828</v>
      </c>
      <c r="AI78" s="173">
        <f t="shared" si="205"/>
        <v>7.9459185643694532</v>
      </c>
      <c r="AJ78" s="173">
        <f t="shared" si="206"/>
        <v>7.9459185643694532</v>
      </c>
      <c r="AK78" s="173">
        <f t="shared" si="207"/>
        <v>4.6167298007674962</v>
      </c>
      <c r="AM78" s="545">
        <f t="shared" si="208"/>
        <v>1825</v>
      </c>
      <c r="AN78" s="460">
        <f t="shared" si="209"/>
        <v>350</v>
      </c>
      <c r="AP78">
        <f t="shared" si="210"/>
        <v>1825</v>
      </c>
      <c r="AQ78">
        <f t="shared" si="211"/>
        <v>350</v>
      </c>
      <c r="AS78" s="5">
        <f t="shared" si="285"/>
        <v>2.8571428571428572</v>
      </c>
      <c r="AT78" s="5">
        <f t="shared" si="212"/>
        <v>1.338678148703996</v>
      </c>
      <c r="AU78" s="5">
        <f t="shared" si="286"/>
        <v>1.5184647084388612</v>
      </c>
      <c r="AV78" s="5">
        <f t="shared" si="213"/>
        <v>1.3124437840748227</v>
      </c>
      <c r="AW78" s="173">
        <f t="shared" si="287"/>
        <v>0.46853735204639863</v>
      </c>
      <c r="AX78" s="173">
        <f t="shared" si="214"/>
        <v>51.930693956483687</v>
      </c>
      <c r="AY78" s="173">
        <f t="shared" si="215"/>
        <v>2.1114794603217342</v>
      </c>
      <c r="AZ78" s="173">
        <f t="shared" si="288"/>
        <v>24.594458498104835</v>
      </c>
      <c r="BA78" s="460">
        <f t="shared" si="216"/>
        <v>8.7253129335171167</v>
      </c>
      <c r="BB78" s="5">
        <f t="shared" si="217"/>
        <v>1.9866976307472262</v>
      </c>
      <c r="BC78" s="5"/>
      <c r="BD78" s="173">
        <f t="shared" si="289"/>
        <v>3.1401875818428739</v>
      </c>
      <c r="BE78" s="173">
        <f t="shared" si="218"/>
        <v>3.3444126382226682</v>
      </c>
      <c r="BF78" s="173"/>
      <c r="BG78" s="528">
        <f t="shared" si="219"/>
        <v>0.11832933658992235</v>
      </c>
      <c r="BH78" s="528">
        <f t="shared" si="220"/>
        <v>2.8653572633304205</v>
      </c>
      <c r="BI78" s="528">
        <f t="shared" si="221"/>
        <v>4.0250000000000001E-2</v>
      </c>
      <c r="BJ78" s="528">
        <f t="shared" si="222"/>
        <v>0.54939131747705761</v>
      </c>
      <c r="BK78">
        <f t="shared" si="223"/>
        <v>1.2553889655935058E-2</v>
      </c>
      <c r="BL78" s="460">
        <f t="shared" si="290"/>
        <v>52.803889655935066</v>
      </c>
      <c r="BM78" s="528">
        <f t="shared" si="224"/>
        <v>3.6681572645483498</v>
      </c>
      <c r="BN78" s="460">
        <f t="shared" si="291"/>
        <v>3668.1572645483498</v>
      </c>
      <c r="BO78" s="528">
        <f t="shared" si="225"/>
        <v>1.2238449999999998</v>
      </c>
      <c r="BP78" s="528"/>
      <c r="BR78" s="460">
        <f t="shared" si="292"/>
        <v>1223.8449999999998</v>
      </c>
      <c r="BS78" s="528">
        <f t="shared" si="226"/>
        <v>0.13805089268824275</v>
      </c>
      <c r="BT78" s="528">
        <f t="shared" si="227"/>
        <v>0.15659134252584911</v>
      </c>
      <c r="BU78" s="528">
        <f t="shared" si="228"/>
        <v>20.393904893166983</v>
      </c>
      <c r="BV78" s="528">
        <f t="shared" si="229"/>
        <v>21.260398163753244</v>
      </c>
      <c r="BW78" s="528">
        <f t="shared" si="230"/>
        <v>2.2098167641056894</v>
      </c>
      <c r="BX78" s="460">
        <f t="shared" si="293"/>
        <v>23470.214927858935</v>
      </c>
      <c r="BY78" s="173">
        <f t="shared" si="231"/>
        <v>28.415021082063216</v>
      </c>
      <c r="BZ78" s="5">
        <f t="shared" si="294"/>
        <v>51.1</v>
      </c>
      <c r="CA78" s="173">
        <f t="shared" si="295"/>
        <v>0.64264587124063532</v>
      </c>
      <c r="CB78" s="5">
        <f t="shared" si="296"/>
        <v>64.264587124063539</v>
      </c>
      <c r="CE78" s="562">
        <f t="shared" si="232"/>
        <v>-50</v>
      </c>
      <c r="CF78">
        <f t="shared" si="233"/>
        <v>-50</v>
      </c>
      <c r="CG78" s="173">
        <f t="shared" si="234"/>
        <v>0.46307396817355218</v>
      </c>
      <c r="CI78" s="170">
        <v>73</v>
      </c>
      <c r="CJ78" s="217">
        <f t="shared" si="297"/>
        <v>1.825</v>
      </c>
      <c r="CK78" s="217"/>
      <c r="CL78" s="217">
        <f t="shared" si="235"/>
        <v>51.1</v>
      </c>
      <c r="CM78" s="541">
        <f t="shared" si="236"/>
        <v>28</v>
      </c>
      <c r="CN78" s="172">
        <f t="shared" si="237"/>
        <v>28.4</v>
      </c>
      <c r="CO78" s="443">
        <f t="shared" si="238"/>
        <v>56.4</v>
      </c>
      <c r="CP78" s="443"/>
      <c r="CQ78" s="217">
        <f t="shared" si="239"/>
        <v>0.50354609929078009</v>
      </c>
      <c r="CR78" s="172">
        <f t="shared" si="240"/>
        <v>118.75402645742166</v>
      </c>
      <c r="CS78" s="172">
        <f t="shared" si="298"/>
        <v>51.1</v>
      </c>
      <c r="CT78" s="217">
        <f t="shared" si="241"/>
        <v>4.2412152306222017</v>
      </c>
      <c r="CU78" s="217">
        <f t="shared" si="242"/>
        <v>28</v>
      </c>
      <c r="CV78" s="217">
        <f t="shared" si="243"/>
        <v>4.1962174940898347</v>
      </c>
      <c r="CW78" s="172">
        <f t="shared" si="244"/>
        <v>99.965473438833129</v>
      </c>
      <c r="CX78" s="172">
        <f t="shared" si="245"/>
        <v>28</v>
      </c>
      <c r="CY78" s="217">
        <f t="shared" si="246"/>
        <v>7.2485915492957753</v>
      </c>
      <c r="CZ78" s="217">
        <f t="shared" si="247"/>
        <v>1.2167278672032193</v>
      </c>
      <c r="DA78" s="217">
        <f t="shared" si="248"/>
        <v>1.1995908549890897</v>
      </c>
      <c r="DB78" s="197">
        <f t="shared" si="249"/>
        <v>350</v>
      </c>
      <c r="DC78" s="443">
        <f t="shared" si="299"/>
        <v>350</v>
      </c>
      <c r="DE78" s="217">
        <f t="shared" si="250"/>
        <v>8.5709974347366842</v>
      </c>
      <c r="DF78" s="173">
        <f t="shared" si="251"/>
        <v>1.418439716312057</v>
      </c>
      <c r="DG78" s="173">
        <f t="shared" si="252"/>
        <v>2.1275525547218721</v>
      </c>
      <c r="DH78" s="173"/>
      <c r="DI78" s="173">
        <f t="shared" si="253"/>
        <v>0.55164319248826299</v>
      </c>
      <c r="DJ78" s="545">
        <f t="shared" si="300"/>
        <v>1984.9787234042551</v>
      </c>
      <c r="DK78" s="528">
        <f t="shared" si="254"/>
        <v>0.3217918622848201</v>
      </c>
      <c r="DM78" s="173">
        <f t="shared" si="255"/>
        <v>7.9382112322858385</v>
      </c>
      <c r="DN78" s="173">
        <f t="shared" si="256"/>
        <v>7.9382112322858385</v>
      </c>
      <c r="DO78" s="173">
        <f t="shared" si="257"/>
        <v>4.6110206658907442</v>
      </c>
      <c r="DQ78" s="545">
        <f t="shared" si="258"/>
        <v>1825</v>
      </c>
      <c r="DR78" s="460">
        <f t="shared" si="259"/>
        <v>350</v>
      </c>
      <c r="DT78">
        <f t="shared" si="260"/>
        <v>1825</v>
      </c>
      <c r="DU78">
        <f t="shared" si="261"/>
        <v>350</v>
      </c>
      <c r="DW78" s="5">
        <f t="shared" si="301"/>
        <v>2.8571428571428572</v>
      </c>
      <c r="DX78" s="5">
        <f t="shared" si="262"/>
        <v>1.3324854568479798</v>
      </c>
      <c r="DY78" s="5">
        <f t="shared" si="302"/>
        <v>1.5246574002948774</v>
      </c>
      <c r="DZ78" s="5">
        <f t="shared" si="263"/>
        <v>1.3137180560473043</v>
      </c>
      <c r="EA78" s="173">
        <f t="shared" si="303"/>
        <v>0.46636990989679294</v>
      </c>
      <c r="EB78" s="173">
        <f t="shared" si="264"/>
        <v>51.829999999999991</v>
      </c>
      <c r="EC78" s="173">
        <f t="shared" si="265"/>
        <v>2.118034187571491</v>
      </c>
      <c r="ED78" s="173">
        <f t="shared" si="304"/>
        <v>24.470804250533632</v>
      </c>
      <c r="EE78" s="460">
        <f t="shared" si="266"/>
        <v>8.6849498526698685</v>
      </c>
      <c r="EF78" s="5">
        <f t="shared" si="267"/>
        <v>1.9874998253843936</v>
      </c>
      <c r="EG78" s="5"/>
      <c r="EH78" s="173">
        <f t="shared" si="305"/>
        <v>3.1298771015328066</v>
      </c>
      <c r="EI78" s="173">
        <f t="shared" si="268"/>
        <v>3.347974788649144</v>
      </c>
      <c r="EJ78" s="173"/>
      <c r="EK78" s="528">
        <f t="shared" si="269"/>
        <v>0.11755356804839284</v>
      </c>
      <c r="EL78" s="528">
        <f t="shared" si="270"/>
        <v>2.977305504781127</v>
      </c>
      <c r="EM78" s="528">
        <f t="shared" si="271"/>
        <v>4.0250000000000001E-2</v>
      </c>
      <c r="EN78" s="528">
        <f t="shared" si="272"/>
        <v>0.54831797999999998</v>
      </c>
      <c r="EO78">
        <f t="shared" si="273"/>
        <v>1.26E-2</v>
      </c>
      <c r="EP78" s="460">
        <f t="shared" si="306"/>
        <v>52.85</v>
      </c>
      <c r="EQ78" s="528">
        <f t="shared" si="274"/>
        <v>3.8348774338317293</v>
      </c>
      <c r="ER78" s="460">
        <f t="shared" si="307"/>
        <v>3834.8774338317294</v>
      </c>
      <c r="ES78" s="528">
        <f t="shared" si="308"/>
        <v>1.2238449999999998</v>
      </c>
      <c r="ET78" s="528"/>
      <c r="EV78" s="460">
        <f t="shared" si="309"/>
        <v>1223.8449999999998</v>
      </c>
      <c r="EW78" s="528">
        <f t="shared" si="275"/>
        <v>0.13714582938979164</v>
      </c>
      <c r="EX78" s="528">
        <f t="shared" si="276"/>
        <v>0.15692509259602394</v>
      </c>
      <c r="EY78" s="528">
        <f t="shared" si="277"/>
        <v>20.344486985259703</v>
      </c>
      <c r="EZ78" s="528">
        <f t="shared" si="278"/>
        <v>21.208069041856316</v>
      </c>
      <c r="FA78" s="528">
        <f t="shared" si="279"/>
        <v>2.2055319148936166</v>
      </c>
      <c r="FB78" s="460">
        <f t="shared" si="310"/>
        <v>23413.600956749931</v>
      </c>
      <c r="FC78" s="173">
        <f t="shared" si="311"/>
        <v>28.472323390581661</v>
      </c>
      <c r="FD78" s="5">
        <f t="shared" si="312"/>
        <v>51.1</v>
      </c>
      <c r="FE78" s="173">
        <f t="shared" si="313"/>
        <v>0.64218308354746745</v>
      </c>
      <c r="FF78" s="5">
        <f t="shared" si="314"/>
        <v>64.218308354746739</v>
      </c>
      <c r="FI78" s="562">
        <f t="shared" si="280"/>
        <v>-50</v>
      </c>
      <c r="FJ78">
        <f t="shared" si="281"/>
        <v>-50</v>
      </c>
      <c r="FL78">
        <f t="shared" si="282"/>
        <v>0.45980131961655651</v>
      </c>
    </row>
    <row r="79" spans="5:168">
      <c r="E79" s="170">
        <v>74</v>
      </c>
      <c r="F79" s="217">
        <f t="shared" si="283"/>
        <v>1.85</v>
      </c>
      <c r="G79" s="217"/>
      <c r="H79" s="217">
        <f t="shared" si="183"/>
        <v>51.800000000000004</v>
      </c>
      <c r="I79" s="541">
        <f t="shared" si="184"/>
        <v>27.896833124233989</v>
      </c>
      <c r="J79" s="172">
        <f t="shared" si="185"/>
        <v>28.455551394643233</v>
      </c>
      <c r="K79" s="172">
        <f t="shared" si="186"/>
        <v>56.455551394643237</v>
      </c>
      <c r="L79" s="443"/>
      <c r="M79" s="217">
        <f t="shared" si="187"/>
        <v>0.504960834761913</v>
      </c>
      <c r="N79" s="172">
        <f t="shared" si="188"/>
        <v>118.64888899997307</v>
      </c>
      <c r="O79" s="172">
        <f t="shared" si="284"/>
        <v>51.800000000000004</v>
      </c>
      <c r="P79" s="217">
        <f t="shared" si="189"/>
        <v>4.2374603214276094</v>
      </c>
      <c r="Q79" s="217">
        <f t="shared" si="190"/>
        <v>28</v>
      </c>
      <c r="R79" s="217">
        <f t="shared" si="191"/>
        <v>4.192502423103269</v>
      </c>
      <c r="S79" s="172">
        <f t="shared" si="192"/>
        <v>97.878119741897194</v>
      </c>
      <c r="T79" s="172">
        <f t="shared" si="193"/>
        <v>28</v>
      </c>
      <c r="U79" s="217">
        <f t="shared" si="194"/>
        <v>7.4741561068617699</v>
      </c>
      <c r="V79" s="217">
        <f t="shared" si="195"/>
        <v>1.2592301622844115</v>
      </c>
      <c r="W79" s="217">
        <f t="shared" si="196"/>
        <v>1.2345054648585467</v>
      </c>
      <c r="X79" s="197">
        <f t="shared" si="197"/>
        <v>350</v>
      </c>
      <c r="Y79" s="443">
        <f t="shared" si="198"/>
        <v>350</v>
      </c>
      <c r="AA79" s="217">
        <f t="shared" si="199"/>
        <v>8.5633503012332604</v>
      </c>
      <c r="AB79" s="173">
        <f t="shared" si="200"/>
        <v>1.4144075388879294</v>
      </c>
      <c r="AC79" s="173">
        <f t="shared" si="201"/>
        <v>2.1196117642354451</v>
      </c>
      <c r="AD79" s="173"/>
      <c r="AE79" s="173">
        <f t="shared" si="202"/>
        <v>0.55056626559047883</v>
      </c>
      <c r="AF79" s="545">
        <f t="shared" si="203"/>
        <v>2016.1060881736591</v>
      </c>
      <c r="AG79" s="528">
        <f t="shared" si="204"/>
        <v>0.32116365492777932</v>
      </c>
      <c r="AI79" s="173">
        <f t="shared" si="205"/>
        <v>8.0002104896389348</v>
      </c>
      <c r="AJ79" s="173">
        <f t="shared" si="206"/>
        <v>8.0002104896389348</v>
      </c>
      <c r="AK79" s="173">
        <f t="shared" si="207"/>
        <v>4.6569460417078528</v>
      </c>
      <c r="AM79" s="545">
        <f t="shared" si="208"/>
        <v>1850</v>
      </c>
      <c r="AN79" s="460">
        <f t="shared" si="209"/>
        <v>350</v>
      </c>
      <c r="AP79">
        <f t="shared" si="210"/>
        <v>1850</v>
      </c>
      <c r="AQ79">
        <f t="shared" si="211"/>
        <v>350</v>
      </c>
      <c r="AS79" s="5">
        <f t="shared" si="285"/>
        <v>2.8571428571428572</v>
      </c>
      <c r="AT79" s="5">
        <f t="shared" si="212"/>
        <v>1.3478587025937006</v>
      </c>
      <c r="AU79" s="5">
        <f t="shared" si="286"/>
        <v>1.5092841545491567</v>
      </c>
      <c r="AV79" s="5">
        <f t="shared" si="213"/>
        <v>1.3213938039654853</v>
      </c>
      <c r="AW79" s="173">
        <f t="shared" si="287"/>
        <v>0.47175054590779519</v>
      </c>
      <c r="AX79" s="173">
        <f t="shared" si="214"/>
        <v>52.642770080089974</v>
      </c>
      <c r="AY79" s="173">
        <f t="shared" si="215"/>
        <v>2.113053411887249</v>
      </c>
      <c r="AZ79" s="173">
        <f t="shared" si="288"/>
        <v>24.913127980552417</v>
      </c>
      <c r="BA79" s="460">
        <f t="shared" si="216"/>
        <v>8.9054949992798083</v>
      </c>
      <c r="BB79" s="5">
        <f t="shared" si="217"/>
        <v>2.001786850486893</v>
      </c>
      <c r="BC79" s="5"/>
      <c r="BD79" s="173">
        <f t="shared" si="289"/>
        <v>3.1724661141680421</v>
      </c>
      <c r="BE79" s="173">
        <f t="shared" si="218"/>
        <v>3.3570693638894533</v>
      </c>
      <c r="BF79" s="173"/>
      <c r="BG79" s="528">
        <f t="shared" si="219"/>
        <v>0.12077449494653374</v>
      </c>
      <c r="BH79" s="528">
        <f t="shared" si="220"/>
        <v>2.8849545809001369</v>
      </c>
      <c r="BI79" s="528">
        <f t="shared" si="221"/>
        <v>4.0250000000000001E-2</v>
      </c>
      <c r="BJ79" s="528">
        <f t="shared" si="222"/>
        <v>0.54939864770421853</v>
      </c>
      <c r="BK79">
        <f t="shared" si="223"/>
        <v>1.2553574905905295E-2</v>
      </c>
      <c r="BL79" s="460">
        <f t="shared" si="290"/>
        <v>52.803574905905293</v>
      </c>
      <c r="BM79" s="528">
        <f t="shared" si="224"/>
        <v>3.6937322517548568</v>
      </c>
      <c r="BN79" s="460">
        <f t="shared" si="291"/>
        <v>3693.7322517548569</v>
      </c>
      <c r="BO79" s="528">
        <f t="shared" si="225"/>
        <v>1.24061</v>
      </c>
      <c r="BP79" s="528"/>
      <c r="BR79" s="460">
        <f t="shared" si="292"/>
        <v>1240.6099999999999</v>
      </c>
      <c r="BS79" s="528">
        <f t="shared" si="226"/>
        <v>0.14090357743762269</v>
      </c>
      <c r="BT79" s="528">
        <f t="shared" si="227"/>
        <v>0.15777880599551194</v>
      </c>
      <c r="BU79" s="528">
        <f t="shared" si="228"/>
        <v>20.744054718604524</v>
      </c>
      <c r="BV79" s="528">
        <f t="shared" si="229"/>
        <v>21.631291735853793</v>
      </c>
      <c r="BW79" s="528">
        <f t="shared" si="230"/>
        <v>2.2401178757485098</v>
      </c>
      <c r="BX79" s="460">
        <f t="shared" si="293"/>
        <v>23871.409611602303</v>
      </c>
      <c r="BY79" s="173">
        <f t="shared" si="231"/>
        <v>28.858555438263064</v>
      </c>
      <c r="BZ79" s="5">
        <f t="shared" si="294"/>
        <v>51.800000000000004</v>
      </c>
      <c r="CA79" s="173">
        <f t="shared" si="295"/>
        <v>0.64221333643457434</v>
      </c>
      <c r="CB79" s="5">
        <f t="shared" si="296"/>
        <v>64.221333643457427</v>
      </c>
      <c r="CE79" s="562">
        <f t="shared" si="232"/>
        <v>-50</v>
      </c>
      <c r="CF79">
        <f t="shared" si="233"/>
        <v>-50</v>
      </c>
      <c r="CG79" s="173">
        <f t="shared" si="234"/>
        <v>0.46623491932715638</v>
      </c>
      <c r="CI79" s="170">
        <v>74</v>
      </c>
      <c r="CJ79" s="217">
        <f t="shared" si="297"/>
        <v>1.85</v>
      </c>
      <c r="CK79" s="217"/>
      <c r="CL79" s="217">
        <f t="shared" si="235"/>
        <v>51.800000000000004</v>
      </c>
      <c r="CM79" s="541">
        <f t="shared" si="236"/>
        <v>28</v>
      </c>
      <c r="CN79" s="172">
        <f t="shared" si="237"/>
        <v>28.4</v>
      </c>
      <c r="CO79" s="443">
        <f t="shared" si="238"/>
        <v>56.4</v>
      </c>
      <c r="CP79" s="443"/>
      <c r="CQ79" s="217">
        <f t="shared" si="239"/>
        <v>0.50354609929078009</v>
      </c>
      <c r="CR79" s="172">
        <f t="shared" si="240"/>
        <v>118.75402645742166</v>
      </c>
      <c r="CS79" s="172">
        <f t="shared" si="298"/>
        <v>51.800000000000004</v>
      </c>
      <c r="CT79" s="217">
        <f t="shared" si="241"/>
        <v>4.2412152306222017</v>
      </c>
      <c r="CU79" s="217">
        <f t="shared" si="242"/>
        <v>28</v>
      </c>
      <c r="CV79" s="217">
        <f t="shared" si="243"/>
        <v>4.1962174940898347</v>
      </c>
      <c r="CW79" s="172">
        <f t="shared" si="244"/>
        <v>98.239670706311784</v>
      </c>
      <c r="CX79" s="172">
        <f t="shared" si="245"/>
        <v>28</v>
      </c>
      <c r="CY79" s="217">
        <f t="shared" si="246"/>
        <v>7.3478873239436631</v>
      </c>
      <c r="CZ79" s="217">
        <f t="shared" si="247"/>
        <v>1.2333953722334006</v>
      </c>
      <c r="DA79" s="217">
        <f t="shared" si="248"/>
        <v>1.2160236064272962</v>
      </c>
      <c r="DB79" s="197">
        <f t="shared" si="249"/>
        <v>350</v>
      </c>
      <c r="DC79" s="443">
        <f t="shared" si="299"/>
        <v>350</v>
      </c>
      <c r="DE79" s="217">
        <f t="shared" si="250"/>
        <v>8.5709974347366842</v>
      </c>
      <c r="DF79" s="173">
        <f t="shared" si="251"/>
        <v>1.418439716312057</v>
      </c>
      <c r="DG79" s="173">
        <f t="shared" si="252"/>
        <v>2.1275525547218721</v>
      </c>
      <c r="DH79" s="173"/>
      <c r="DI79" s="173">
        <f t="shared" si="253"/>
        <v>0.55164319248826299</v>
      </c>
      <c r="DJ79" s="545">
        <f t="shared" si="300"/>
        <v>2012.1702127659573</v>
      </c>
      <c r="DK79" s="528">
        <f t="shared" si="254"/>
        <v>0.3217918622848201</v>
      </c>
      <c r="DM79" s="173">
        <f t="shared" si="255"/>
        <v>7.9923976035284641</v>
      </c>
      <c r="DN79" s="173">
        <f t="shared" si="256"/>
        <v>7.9923976035284641</v>
      </c>
      <c r="DO79" s="173">
        <f t="shared" si="257"/>
        <v>4.6511587186630603</v>
      </c>
      <c r="DQ79" s="545">
        <f t="shared" si="258"/>
        <v>1850</v>
      </c>
      <c r="DR79" s="460">
        <f t="shared" si="259"/>
        <v>350</v>
      </c>
      <c r="DT79">
        <f t="shared" si="260"/>
        <v>1850</v>
      </c>
      <c r="DU79">
        <f t="shared" si="261"/>
        <v>350</v>
      </c>
      <c r="DW79" s="5">
        <f t="shared" si="301"/>
        <v>2.8571428571428572</v>
      </c>
      <c r="DX79" s="5">
        <f t="shared" si="262"/>
        <v>1.3415810263065637</v>
      </c>
      <c r="DY79" s="5">
        <f t="shared" si="302"/>
        <v>1.5155618308362935</v>
      </c>
      <c r="DZ79" s="5">
        <f t="shared" si="263"/>
        <v>1.3226855188937952</v>
      </c>
      <c r="EA79" s="173">
        <f t="shared" si="303"/>
        <v>0.46955335920729729</v>
      </c>
      <c r="EB79" s="173">
        <f t="shared" si="264"/>
        <v>52.539999999999992</v>
      </c>
      <c r="EC79" s="173">
        <f t="shared" si="265"/>
        <v>2.1197702303356603</v>
      </c>
      <c r="ED79" s="173">
        <f t="shared" si="304"/>
        <v>24.785705190170738</v>
      </c>
      <c r="EE79" s="460">
        <f t="shared" si="266"/>
        <v>8.8640174952397963</v>
      </c>
      <c r="EF79" s="5">
        <f t="shared" si="267"/>
        <v>2.0027067050336731</v>
      </c>
      <c r="EG79" s="5"/>
      <c r="EH79" s="173">
        <f t="shared" si="305"/>
        <v>3.1619786228961191</v>
      </c>
      <c r="EI79" s="173">
        <f t="shared" si="268"/>
        <v>3.3607584966259934</v>
      </c>
      <c r="EJ79" s="173"/>
      <c r="EK79" s="528">
        <f t="shared" si="269"/>
        <v>0.11997730573982446</v>
      </c>
      <c r="EL79" s="528">
        <f t="shared" si="270"/>
        <v>2.9976286451793857</v>
      </c>
      <c r="EM79" s="528">
        <f t="shared" si="271"/>
        <v>4.0250000000000001E-2</v>
      </c>
      <c r="EN79" s="528">
        <f t="shared" si="272"/>
        <v>0.54831797999999998</v>
      </c>
      <c r="EO79">
        <f t="shared" si="273"/>
        <v>1.26E-2</v>
      </c>
      <c r="EP79" s="460">
        <f t="shared" si="306"/>
        <v>52.85</v>
      </c>
      <c r="EQ79" s="528">
        <f t="shared" si="274"/>
        <v>3.8612386185595065</v>
      </c>
      <c r="ER79" s="460">
        <f t="shared" si="307"/>
        <v>3861.2386185595064</v>
      </c>
      <c r="ES79" s="528">
        <f t="shared" si="308"/>
        <v>1.24061</v>
      </c>
      <c r="ET79" s="528"/>
      <c r="EV79" s="460">
        <f t="shared" si="309"/>
        <v>1240.6099999999999</v>
      </c>
      <c r="EW79" s="528">
        <f t="shared" si="275"/>
        <v>0.13997352336312854</v>
      </c>
      <c r="EX79" s="528">
        <f t="shared" si="276"/>
        <v>0.15812576741701329</v>
      </c>
      <c r="EY79" s="528">
        <f t="shared" si="277"/>
        <v>20.693445972285794</v>
      </c>
      <c r="EZ79" s="528">
        <f t="shared" si="278"/>
        <v>21.577672195096746</v>
      </c>
      <c r="FA79" s="528">
        <f t="shared" si="279"/>
        <v>2.2357446808510639</v>
      </c>
      <c r="FB79" s="460">
        <f t="shared" si="310"/>
        <v>23813.416875947809</v>
      </c>
      <c r="FC79" s="173">
        <f t="shared" si="311"/>
        <v>28.915265494507317</v>
      </c>
      <c r="FD79" s="5">
        <f t="shared" si="312"/>
        <v>51.800000000000004</v>
      </c>
      <c r="FE79" s="173">
        <f t="shared" si="313"/>
        <v>0.64176212123746279</v>
      </c>
      <c r="FF79" s="5">
        <f t="shared" si="314"/>
        <v>64.176212123746282</v>
      </c>
      <c r="FI79" s="562">
        <f t="shared" si="280"/>
        <v>-50</v>
      </c>
      <c r="FJ79">
        <f t="shared" si="281"/>
        <v>-50</v>
      </c>
      <c r="FL79">
        <f t="shared" si="282"/>
        <v>0.46293993161282831</v>
      </c>
    </row>
    <row r="80" spans="5:168">
      <c r="E80" s="170">
        <v>75</v>
      </c>
      <c r="F80" s="217">
        <f t="shared" si="283"/>
        <v>1.875</v>
      </c>
      <c r="G80" s="217"/>
      <c r="H80" s="217">
        <f t="shared" si="183"/>
        <v>52.5</v>
      </c>
      <c r="I80" s="541">
        <f t="shared" si="184"/>
        <v>27.896138389948195</v>
      </c>
      <c r="J80" s="172">
        <f t="shared" si="185"/>
        <v>28.455925482335587</v>
      </c>
      <c r="K80" s="172">
        <f t="shared" si="186"/>
        <v>56.455925482335587</v>
      </c>
      <c r="L80" s="443"/>
      <c r="M80" s="217">
        <f t="shared" si="187"/>
        <v>0.50497036974453158</v>
      </c>
      <c r="N80" s="172">
        <f t="shared" si="188"/>
        <v>118.64817454983424</v>
      </c>
      <c r="O80" s="172">
        <f t="shared" si="284"/>
        <v>52.5</v>
      </c>
      <c r="P80" s="217">
        <f t="shared" si="189"/>
        <v>4.2374348053512225</v>
      </c>
      <c r="Q80" s="217">
        <f t="shared" si="190"/>
        <v>28</v>
      </c>
      <c r="R80" s="217">
        <f t="shared" si="191"/>
        <v>4.1924771777430845</v>
      </c>
      <c r="S80" s="172">
        <f t="shared" si="192"/>
        <v>96.202208218443062</v>
      </c>
      <c r="T80" s="172">
        <f t="shared" si="193"/>
        <v>28</v>
      </c>
      <c r="U80" s="217">
        <f t="shared" si="194"/>
        <v>7.5753041248556139</v>
      </c>
      <c r="V80" s="217">
        <f t="shared" si="195"/>
        <v>1.276303153114932</v>
      </c>
      <c r="W80" s="217">
        <f t="shared" si="196"/>
        <v>1.2511956221182481</v>
      </c>
      <c r="X80" s="197">
        <f t="shared" si="197"/>
        <v>350</v>
      </c>
      <c r="Y80" s="443">
        <f t="shared" si="198"/>
        <v>350</v>
      </c>
      <c r="AA80" s="217">
        <f t="shared" si="199"/>
        <v>8.5632983418633888</v>
      </c>
      <c r="AB80" s="173">
        <f t="shared" si="200"/>
        <v>1.4143803627733749</v>
      </c>
      <c r="AC80" s="173">
        <f t="shared" si="201"/>
        <v>2.1195581776777415</v>
      </c>
      <c r="AD80" s="173"/>
      <c r="AE80" s="173">
        <f t="shared" si="202"/>
        <v>0.55055902772840648</v>
      </c>
      <c r="AF80" s="545">
        <f t="shared" si="203"/>
        <v>2043.3776277209065</v>
      </c>
      <c r="AG80" s="528">
        <f t="shared" si="204"/>
        <v>0.3211594328415705</v>
      </c>
      <c r="AI80" s="173">
        <f t="shared" si="205"/>
        <v>8.0541375105444359</v>
      </c>
      <c r="AJ80" s="173">
        <f t="shared" si="206"/>
        <v>8.0541375105444359</v>
      </c>
      <c r="AK80" s="173">
        <f t="shared" si="207"/>
        <v>4.6968919831193352</v>
      </c>
      <c r="AM80" s="545">
        <f t="shared" si="208"/>
        <v>1875</v>
      </c>
      <c r="AN80" s="460">
        <f t="shared" si="209"/>
        <v>350</v>
      </c>
      <c r="AP80">
        <f t="shared" si="210"/>
        <v>1875</v>
      </c>
      <c r="AQ80">
        <f t="shared" si="211"/>
        <v>350</v>
      </c>
      <c r="AS80" s="5">
        <f t="shared" si="285"/>
        <v>2.8571428571428572</v>
      </c>
      <c r="AT80" s="5">
        <f t="shared" si="212"/>
        <v>1.3569780078664553</v>
      </c>
      <c r="AU80" s="5">
        <f t="shared" si="286"/>
        <v>1.5001648492764019</v>
      </c>
      <c r="AV80" s="5">
        <f t="shared" si="213"/>
        <v>1.3302834350988697</v>
      </c>
      <c r="AW80" s="173">
        <f t="shared" si="287"/>
        <v>0.47494230275325933</v>
      </c>
      <c r="AX80" s="173">
        <f t="shared" si="214"/>
        <v>53.35486027937921</v>
      </c>
      <c r="AY80" s="173">
        <f t="shared" si="215"/>
        <v>2.1144434472975289</v>
      </c>
      <c r="AZ80" s="173">
        <f t="shared" si="288"/>
        <v>25.233524380882393</v>
      </c>
      <c r="BA80" s="460">
        <f t="shared" si="216"/>
        <v>9.086906302677157</v>
      </c>
      <c r="BB80" s="5">
        <f t="shared" si="217"/>
        <v>2.0166297234937662</v>
      </c>
      <c r="BC80" s="5"/>
      <c r="BD80" s="173">
        <f t="shared" si="289"/>
        <v>3.2046369775244483</v>
      </c>
      <c r="BE80" s="173">
        <f t="shared" si="218"/>
        <v>3.3694725880869365</v>
      </c>
      <c r="BF80" s="173"/>
      <c r="BG80" s="528">
        <f t="shared" si="219"/>
        <v>0.12323637789260439</v>
      </c>
      <c r="BH80" s="528">
        <f t="shared" si="220"/>
        <v>2.9044204402275988</v>
      </c>
      <c r="BI80" s="528">
        <f t="shared" si="221"/>
        <v>4.0250000000000001E-2</v>
      </c>
      <c r="BJ80" s="528">
        <f t="shared" si="222"/>
        <v>0.54940592861630411</v>
      </c>
      <c r="BK80">
        <f t="shared" si="223"/>
        <v>1.2553262275476687E-2</v>
      </c>
      <c r="BL80" s="460">
        <f t="shared" si="290"/>
        <v>52.803262275476683</v>
      </c>
      <c r="BM80" s="528">
        <f t="shared" si="224"/>
        <v>3.7192394839248504</v>
      </c>
      <c r="BN80" s="460">
        <f t="shared" si="291"/>
        <v>3719.2394839248504</v>
      </c>
      <c r="BO80" s="528">
        <f t="shared" si="225"/>
        <v>1.2573749999999999</v>
      </c>
      <c r="BP80" s="528"/>
      <c r="BR80" s="460">
        <f t="shared" si="292"/>
        <v>1257.375</v>
      </c>
      <c r="BS80" s="528">
        <f t="shared" si="226"/>
        <v>0.14377577420803844</v>
      </c>
      <c r="BT80" s="528">
        <f t="shared" si="227"/>
        <v>0.1589468373061699</v>
      </c>
      <c r="BU80" s="528">
        <f t="shared" si="228"/>
        <v>21.095397618159652</v>
      </c>
      <c r="BV80" s="528">
        <f t="shared" si="229"/>
        <v>22.003653943200515</v>
      </c>
      <c r="BW80" s="528">
        <f t="shared" si="230"/>
        <v>2.2704195863565624</v>
      </c>
      <c r="BX80" s="460">
        <f t="shared" si="293"/>
        <v>24274.073529557078</v>
      </c>
      <c r="BY80" s="173">
        <f t="shared" si="231"/>
        <v>29.303491275757409</v>
      </c>
      <c r="BZ80" s="5">
        <f t="shared" si="294"/>
        <v>52.5</v>
      </c>
      <c r="CA80" s="173">
        <f t="shared" si="295"/>
        <v>0.64178189929600782</v>
      </c>
      <c r="CB80" s="5">
        <f t="shared" si="296"/>
        <v>64.178189929600777</v>
      </c>
      <c r="CE80" s="562">
        <f t="shared" si="232"/>
        <v>-50</v>
      </c>
      <c r="CF80">
        <f t="shared" si="233"/>
        <v>-50</v>
      </c>
      <c r="CG80" s="173">
        <f t="shared" si="234"/>
        <v>0.46937458388796471</v>
      </c>
      <c r="CI80" s="170">
        <v>75</v>
      </c>
      <c r="CJ80" s="217">
        <f t="shared" si="297"/>
        <v>1.875</v>
      </c>
      <c r="CK80" s="217"/>
      <c r="CL80" s="217">
        <f t="shared" si="235"/>
        <v>52.5</v>
      </c>
      <c r="CM80" s="541">
        <f t="shared" si="236"/>
        <v>28</v>
      </c>
      <c r="CN80" s="172">
        <f t="shared" si="237"/>
        <v>28.4</v>
      </c>
      <c r="CO80" s="443">
        <f t="shared" si="238"/>
        <v>56.4</v>
      </c>
      <c r="CP80" s="443"/>
      <c r="CQ80" s="217">
        <f t="shared" si="239"/>
        <v>0.50354609929078009</v>
      </c>
      <c r="CR80" s="172">
        <f t="shared" si="240"/>
        <v>118.75402645742166</v>
      </c>
      <c r="CS80" s="172">
        <f t="shared" si="298"/>
        <v>52.5</v>
      </c>
      <c r="CT80" s="217">
        <f t="shared" si="241"/>
        <v>4.2412152306222017</v>
      </c>
      <c r="CU80" s="217">
        <f t="shared" si="242"/>
        <v>28</v>
      </c>
      <c r="CV80" s="217">
        <f t="shared" si="243"/>
        <v>4.1962174940898347</v>
      </c>
      <c r="CW80" s="172">
        <f t="shared" si="244"/>
        <v>96.559956047961066</v>
      </c>
      <c r="CX80" s="172">
        <f t="shared" si="245"/>
        <v>28</v>
      </c>
      <c r="CY80" s="217">
        <f t="shared" si="246"/>
        <v>7.4471830985915499</v>
      </c>
      <c r="CZ80" s="217">
        <f t="shared" si="247"/>
        <v>1.2500628772635816</v>
      </c>
      <c r="DA80" s="217">
        <f t="shared" si="248"/>
        <v>1.2324563578655032</v>
      </c>
      <c r="DB80" s="197">
        <f t="shared" si="249"/>
        <v>350</v>
      </c>
      <c r="DC80" s="443">
        <f t="shared" si="299"/>
        <v>350</v>
      </c>
      <c r="DE80" s="217">
        <f t="shared" si="250"/>
        <v>8.5709974347366842</v>
      </c>
      <c r="DF80" s="173">
        <f t="shared" si="251"/>
        <v>1.418439716312057</v>
      </c>
      <c r="DG80" s="173">
        <f t="shared" si="252"/>
        <v>2.1275525547218721</v>
      </c>
      <c r="DH80" s="173"/>
      <c r="DI80" s="173">
        <f t="shared" si="253"/>
        <v>0.55164319248826299</v>
      </c>
      <c r="DJ80" s="545">
        <f t="shared" si="300"/>
        <v>2039.3617021276596</v>
      </c>
      <c r="DK80" s="528">
        <f t="shared" si="254"/>
        <v>0.3217918622848201</v>
      </c>
      <c r="DM80" s="173">
        <f t="shared" si="255"/>
        <v>8.0462190709292774</v>
      </c>
      <c r="DN80" s="173">
        <f t="shared" si="256"/>
        <v>8.0462190709292774</v>
      </c>
      <c r="DO80" s="173">
        <f t="shared" si="257"/>
        <v>4.6910264722932915</v>
      </c>
      <c r="DQ80" s="545">
        <f t="shared" si="258"/>
        <v>1875</v>
      </c>
      <c r="DR80" s="460">
        <f t="shared" si="259"/>
        <v>350</v>
      </c>
      <c r="DT80">
        <f t="shared" si="260"/>
        <v>1875</v>
      </c>
      <c r="DU80">
        <f t="shared" si="261"/>
        <v>350</v>
      </c>
      <c r="DW80" s="5">
        <f t="shared" si="301"/>
        <v>2.8571428571428572</v>
      </c>
      <c r="DX80" s="5">
        <f t="shared" si="262"/>
        <v>1.3506153440488431</v>
      </c>
      <c r="DY80" s="5">
        <f t="shared" si="302"/>
        <v>1.5065275130940141</v>
      </c>
      <c r="DZ80" s="5">
        <f t="shared" si="263"/>
        <v>1.3315925927242116</v>
      </c>
      <c r="EA80" s="173">
        <f t="shared" si="303"/>
        <v>0.47271537041709505</v>
      </c>
      <c r="EB80" s="173">
        <f t="shared" si="264"/>
        <v>53.249999999999986</v>
      </c>
      <c r="EC80" s="173">
        <f t="shared" si="265"/>
        <v>2.1213238211789252</v>
      </c>
      <c r="ED80" s="173">
        <f t="shared" si="304"/>
        <v>25.102249580361715</v>
      </c>
      <c r="EE80" s="460">
        <f t="shared" si="266"/>
        <v>9.0442991788985019</v>
      </c>
      <c r="EF80" s="5">
        <f t="shared" si="267"/>
        <v>2.0176707764651973</v>
      </c>
      <c r="EG80" s="5"/>
      <c r="EH80" s="173">
        <f t="shared" si="305"/>
        <v>3.1939718724608466</v>
      </c>
      <c r="EI80" s="173">
        <f t="shared" si="268"/>
        <v>3.3732907954089812</v>
      </c>
      <c r="EJ80" s="173"/>
      <c r="EK80" s="528">
        <f t="shared" si="269"/>
        <v>0.12241747586485255</v>
      </c>
      <c r="EL80" s="528">
        <f t="shared" si="270"/>
        <v>3.0178149247427348</v>
      </c>
      <c r="EM80" s="528">
        <f t="shared" si="271"/>
        <v>4.0250000000000001E-2</v>
      </c>
      <c r="EN80" s="528">
        <f t="shared" si="272"/>
        <v>0.54831797999999998</v>
      </c>
      <c r="EO80">
        <f t="shared" si="273"/>
        <v>1.26E-2</v>
      </c>
      <c r="EP80" s="460">
        <f t="shared" si="306"/>
        <v>52.85</v>
      </c>
      <c r="EQ80" s="528">
        <f t="shared" si="274"/>
        <v>3.8875272413765498</v>
      </c>
      <c r="ER80" s="460">
        <f t="shared" si="307"/>
        <v>3887.5272413765497</v>
      </c>
      <c r="ES80" s="528">
        <f t="shared" si="308"/>
        <v>1.2573749999999999</v>
      </c>
      <c r="ET80" s="528"/>
      <c r="EV80" s="460">
        <f t="shared" si="309"/>
        <v>1257.375</v>
      </c>
      <c r="EW80" s="528">
        <f t="shared" si="275"/>
        <v>0.14282038850899464</v>
      </c>
      <c r="EX80" s="528">
        <f t="shared" si="276"/>
        <v>0.1593072710654734</v>
      </c>
      <c r="EY80" s="528">
        <f t="shared" si="277"/>
        <v>21.043585899968807</v>
      </c>
      <c r="EZ80" s="528">
        <f t="shared" si="278"/>
        <v>21.948729663756627</v>
      </c>
      <c r="FA80" s="528">
        <f t="shared" si="279"/>
        <v>2.2659574468085104</v>
      </c>
      <c r="FB80" s="460">
        <f t="shared" si="310"/>
        <v>24214.687110565137</v>
      </c>
      <c r="FC80" s="173">
        <f t="shared" si="311"/>
        <v>29.359589351941686</v>
      </c>
      <c r="FD80" s="5">
        <f t="shared" si="312"/>
        <v>52.5</v>
      </c>
      <c r="FE80" s="173">
        <f t="shared" si="313"/>
        <v>0.64134208851555541</v>
      </c>
      <c r="FF80" s="5">
        <f t="shared" si="314"/>
        <v>64.134208851555542</v>
      </c>
      <c r="FI80" s="562">
        <f t="shared" si="280"/>
        <v>-50</v>
      </c>
      <c r="FJ80">
        <f t="shared" si="281"/>
        <v>-50</v>
      </c>
      <c r="FL80">
        <f t="shared" si="282"/>
        <v>0.46605740745347407</v>
      </c>
    </row>
    <row r="81" spans="5:168">
      <c r="E81" s="170">
        <v>76</v>
      </c>
      <c r="F81" s="217">
        <f t="shared" si="283"/>
        <v>1.9</v>
      </c>
      <c r="G81" s="217"/>
      <c r="H81" s="217">
        <f t="shared" si="183"/>
        <v>53.199999999999996</v>
      </c>
      <c r="I81" s="541">
        <f t="shared" si="184"/>
        <v>27.895448271990428</v>
      </c>
      <c r="J81" s="172">
        <f t="shared" si="185"/>
        <v>28.456297084312844</v>
      </c>
      <c r="K81" s="172">
        <f t="shared" si="186"/>
        <v>56.456297084312844</v>
      </c>
      <c r="L81" s="443"/>
      <c r="M81" s="217">
        <f t="shared" si="187"/>
        <v>0.50497984147621666</v>
      </c>
      <c r="N81" s="172">
        <f t="shared" si="188"/>
        <v>118.64746476158285</v>
      </c>
      <c r="O81" s="172">
        <f t="shared" si="284"/>
        <v>53.199999999999996</v>
      </c>
      <c r="P81" s="217">
        <f t="shared" si="189"/>
        <v>4.2374094557708162</v>
      </c>
      <c r="Q81" s="217">
        <f t="shared" si="190"/>
        <v>28</v>
      </c>
      <c r="R81" s="217">
        <f t="shared" si="191"/>
        <v>4.1924520971124206</v>
      </c>
      <c r="S81" s="172">
        <f t="shared" si="192"/>
        <v>94.570500064309684</v>
      </c>
      <c r="T81" s="172">
        <f t="shared" si="193"/>
        <v>28</v>
      </c>
      <c r="U81" s="217">
        <f t="shared" si="194"/>
        <v>7.6764550585820812</v>
      </c>
      <c r="V81" s="217">
        <f t="shared" si="195"/>
        <v>1.2933772715731091</v>
      </c>
      <c r="W81" s="217">
        <f t="shared" si="196"/>
        <v>1.2678859328898875</v>
      </c>
      <c r="X81" s="197">
        <f t="shared" si="197"/>
        <v>350</v>
      </c>
      <c r="Y81" s="443">
        <f t="shared" si="198"/>
        <v>350</v>
      </c>
      <c r="AA81" s="217">
        <f t="shared" si="199"/>
        <v>8.5632467216130692</v>
      </c>
      <c r="AB81" s="173">
        <f t="shared" si="200"/>
        <v>1.4143533669308155</v>
      </c>
      <c r="AC81" s="173">
        <f t="shared" si="201"/>
        <v>2.1195049457002249</v>
      </c>
      <c r="AD81" s="173"/>
      <c r="AE81" s="173">
        <f t="shared" si="202"/>
        <v>0.55055183814844477</v>
      </c>
      <c r="AF81" s="545">
        <f t="shared" si="203"/>
        <v>2070.6497027308492</v>
      </c>
      <c r="AG81" s="528">
        <f t="shared" si="204"/>
        <v>0.32115523891992614</v>
      </c>
      <c r="AI81" s="173">
        <f t="shared" si="205"/>
        <v>8.1077069013257219</v>
      </c>
      <c r="AJ81" s="173">
        <f t="shared" si="206"/>
        <v>8.1077069013257219</v>
      </c>
      <c r="AK81" s="173">
        <f t="shared" si="207"/>
        <v>4.7365730133276953</v>
      </c>
      <c r="AM81" s="545">
        <f t="shared" si="208"/>
        <v>1900</v>
      </c>
      <c r="AN81" s="460">
        <f t="shared" si="209"/>
        <v>350</v>
      </c>
      <c r="AP81">
        <f t="shared" si="210"/>
        <v>1900</v>
      </c>
      <c r="AQ81">
        <f t="shared" si="211"/>
        <v>350</v>
      </c>
      <c r="AS81" s="5">
        <f t="shared" si="285"/>
        <v>2.8571428571428572</v>
      </c>
      <c r="AT81" s="5">
        <f t="shared" si="212"/>
        <v>1.3660372855342502</v>
      </c>
      <c r="AU81" s="5">
        <f t="shared" si="286"/>
        <v>1.491105571608607</v>
      </c>
      <c r="AV81" s="5">
        <f t="shared" si="213"/>
        <v>1.3391138813081123</v>
      </c>
      <c r="AW81" s="173">
        <f t="shared" si="287"/>
        <v>0.47811304993698756</v>
      </c>
      <c r="AX81" s="173">
        <f t="shared" si="214"/>
        <v>54.066964460194392</v>
      </c>
      <c r="AY81" s="173">
        <f t="shared" si="215"/>
        <v>2.115653213368859</v>
      </c>
      <c r="AZ81" s="173">
        <f t="shared" si="288"/>
        <v>25.555683756933348</v>
      </c>
      <c r="BA81" s="460">
        <f t="shared" si="216"/>
        <v>9.2695387232681252</v>
      </c>
      <c r="BB81" s="5">
        <f t="shared" si="217"/>
        <v>2.0312278608557399</v>
      </c>
      <c r="BC81" s="5"/>
      <c r="BD81" s="173">
        <f t="shared" si="289"/>
        <v>3.2367019675445077</v>
      </c>
      <c r="BE81" s="173">
        <f t="shared" si="218"/>
        <v>3.3816264488006991</v>
      </c>
      <c r="BF81" s="173"/>
      <c r="BG81" s="528">
        <f t="shared" si="219"/>
        <v>0.12571487552047786</v>
      </c>
      <c r="BH81" s="528">
        <f t="shared" si="220"/>
        <v>2.9237574618915101</v>
      </c>
      <c r="BI81" s="528">
        <f t="shared" si="221"/>
        <v>4.0250000000000001E-2</v>
      </c>
      <c r="BJ81" s="528">
        <f t="shared" si="222"/>
        <v>0.54941316119639394</v>
      </c>
      <c r="BK81">
        <f t="shared" si="223"/>
        <v>1.2552951722395693E-2</v>
      </c>
      <c r="BL81" s="460">
        <f t="shared" si="290"/>
        <v>52.80295172239569</v>
      </c>
      <c r="BM81" s="528">
        <f t="shared" si="224"/>
        <v>3.7446816095388127</v>
      </c>
      <c r="BN81" s="460">
        <f t="shared" si="291"/>
        <v>3744.6816095388126</v>
      </c>
      <c r="BO81" s="528">
        <f t="shared" si="225"/>
        <v>1.2741399999999998</v>
      </c>
      <c r="BP81" s="528"/>
      <c r="BR81" s="460">
        <f t="shared" si="292"/>
        <v>1274.1399999999999</v>
      </c>
      <c r="BS81" s="528">
        <f t="shared" si="226"/>
        <v>0.14666735477389081</v>
      </c>
      <c r="BT81" s="528">
        <f t="shared" si="227"/>
        <v>0.16009556414919798</v>
      </c>
      <c r="BU81" s="528">
        <f t="shared" si="228"/>
        <v>21.44792172140702</v>
      </c>
      <c r="BV81" s="528">
        <f t="shared" si="229"/>
        <v>22.377474082280131</v>
      </c>
      <c r="BW81" s="528">
        <f t="shared" si="230"/>
        <v>2.3007218919231658</v>
      </c>
      <c r="BX81" s="460">
        <f t="shared" si="293"/>
        <v>24678.1959742033</v>
      </c>
      <c r="BY81" s="173">
        <f t="shared" si="231"/>
        <v>29.749820535464504</v>
      </c>
      <c r="BZ81" s="5">
        <f t="shared" si="294"/>
        <v>53.199999999999996</v>
      </c>
      <c r="CA81" s="173">
        <f t="shared" si="295"/>
        <v>0.64135159855173873</v>
      </c>
      <c r="CB81" s="5">
        <f t="shared" si="296"/>
        <v>64.135159855173868</v>
      </c>
      <c r="CE81" s="562">
        <f t="shared" si="232"/>
        <v>-50</v>
      </c>
      <c r="CF81">
        <f t="shared" si="233"/>
        <v>-50</v>
      </c>
      <c r="CG81" s="173">
        <f t="shared" si="234"/>
        <v>0.47249338619709796</v>
      </c>
      <c r="CI81" s="170">
        <v>76</v>
      </c>
      <c r="CJ81" s="217">
        <f t="shared" si="297"/>
        <v>1.9</v>
      </c>
      <c r="CK81" s="217"/>
      <c r="CL81" s="217">
        <f t="shared" si="235"/>
        <v>53.199999999999996</v>
      </c>
      <c r="CM81" s="541">
        <f t="shared" si="236"/>
        <v>28</v>
      </c>
      <c r="CN81" s="172">
        <f t="shared" si="237"/>
        <v>28.4</v>
      </c>
      <c r="CO81" s="443">
        <f t="shared" si="238"/>
        <v>56.4</v>
      </c>
      <c r="CP81" s="443"/>
      <c r="CQ81" s="217">
        <f t="shared" si="239"/>
        <v>0.50354609929078009</v>
      </c>
      <c r="CR81" s="172">
        <f t="shared" si="240"/>
        <v>118.75402645742166</v>
      </c>
      <c r="CS81" s="172">
        <f t="shared" si="298"/>
        <v>53.199999999999996</v>
      </c>
      <c r="CT81" s="217">
        <f t="shared" si="241"/>
        <v>4.2412152306222017</v>
      </c>
      <c r="CU81" s="217">
        <f t="shared" si="242"/>
        <v>28</v>
      </c>
      <c r="CV81" s="217">
        <f t="shared" si="243"/>
        <v>4.1962174940898347</v>
      </c>
      <c r="CW81" s="172">
        <f t="shared" si="244"/>
        <v>94.924510934491352</v>
      </c>
      <c r="CX81" s="172">
        <f t="shared" si="245"/>
        <v>28</v>
      </c>
      <c r="CY81" s="217">
        <f t="shared" si="246"/>
        <v>7.5464788732394368</v>
      </c>
      <c r="CZ81" s="217">
        <f t="shared" si="247"/>
        <v>1.2667303822937626</v>
      </c>
      <c r="DA81" s="217">
        <f t="shared" si="248"/>
        <v>1.2488891093037096</v>
      </c>
      <c r="DB81" s="197">
        <f t="shared" si="249"/>
        <v>350</v>
      </c>
      <c r="DC81" s="443">
        <f t="shared" si="299"/>
        <v>350</v>
      </c>
      <c r="DE81" s="217">
        <f t="shared" si="250"/>
        <v>8.5709974347366842</v>
      </c>
      <c r="DF81" s="173">
        <f t="shared" si="251"/>
        <v>1.418439716312057</v>
      </c>
      <c r="DG81" s="173">
        <f t="shared" si="252"/>
        <v>2.1275525547218721</v>
      </c>
      <c r="DH81" s="173"/>
      <c r="DI81" s="173">
        <f t="shared" si="253"/>
        <v>0.55164319248826299</v>
      </c>
      <c r="DJ81" s="545">
        <f t="shared" si="300"/>
        <v>2066.5531914893613</v>
      </c>
      <c r="DK81" s="528">
        <f t="shared" si="254"/>
        <v>0.3217918622848201</v>
      </c>
      <c r="DM81" s="173">
        <f t="shared" si="255"/>
        <v>8.0996829087245441</v>
      </c>
      <c r="DN81" s="173">
        <f t="shared" si="256"/>
        <v>8.0996829087245441</v>
      </c>
      <c r="DO81" s="173">
        <f t="shared" si="257"/>
        <v>4.7306293151045997</v>
      </c>
      <c r="DQ81" s="545">
        <f t="shared" si="258"/>
        <v>1900</v>
      </c>
      <c r="DR81" s="460">
        <f t="shared" si="259"/>
        <v>350</v>
      </c>
      <c r="DT81">
        <f t="shared" si="260"/>
        <v>1900</v>
      </c>
      <c r="DU81">
        <f t="shared" si="261"/>
        <v>350</v>
      </c>
      <c r="DW81" s="5">
        <f t="shared" si="301"/>
        <v>2.8571428571428572</v>
      </c>
      <c r="DX81" s="5">
        <f t="shared" si="262"/>
        <v>1.3595896311073339</v>
      </c>
      <c r="DY81" s="5">
        <f t="shared" si="302"/>
        <v>1.4975532260355233</v>
      </c>
      <c r="DZ81" s="5">
        <f t="shared" si="263"/>
        <v>1.3404404813734279</v>
      </c>
      <c r="EA81" s="173">
        <f t="shared" si="303"/>
        <v>0.47585637088756683</v>
      </c>
      <c r="EB81" s="173">
        <f t="shared" si="264"/>
        <v>53.959999999999994</v>
      </c>
      <c r="EC81" s="173">
        <f t="shared" si="265"/>
        <v>2.1226985972194159</v>
      </c>
      <c r="ED81" s="173">
        <f t="shared" si="304"/>
        <v>25.420471879843777</v>
      </c>
      <c r="EE81" s="460">
        <f t="shared" si="266"/>
        <v>9.2257867825140512</v>
      </c>
      <c r="EF81" s="5">
        <f t="shared" si="267"/>
        <v>2.0323936639053528</v>
      </c>
      <c r="EG81" s="5"/>
      <c r="EH81" s="173">
        <f t="shared" si="305"/>
        <v>3.2258586518600572</v>
      </c>
      <c r="EI81" s="173">
        <f t="shared" si="268"/>
        <v>3.3855758297293792</v>
      </c>
      <c r="EJ81" s="173"/>
      <c r="EK81" s="528">
        <f t="shared" si="269"/>
        <v>0.12487396850136463</v>
      </c>
      <c r="EL81" s="528">
        <f t="shared" si="270"/>
        <v>3.0378670717462279</v>
      </c>
      <c r="EM81" s="528">
        <f t="shared" si="271"/>
        <v>4.0250000000000001E-2</v>
      </c>
      <c r="EN81" s="528">
        <f t="shared" si="272"/>
        <v>0.54831797999999998</v>
      </c>
      <c r="EO81">
        <f t="shared" si="273"/>
        <v>1.26E-2</v>
      </c>
      <c r="EP81" s="460">
        <f t="shared" si="306"/>
        <v>52.85</v>
      </c>
      <c r="EQ81" s="528">
        <f t="shared" si="274"/>
        <v>3.9137460520337846</v>
      </c>
      <c r="ER81" s="460">
        <f t="shared" si="307"/>
        <v>3913.7460520337845</v>
      </c>
      <c r="ES81" s="528">
        <f t="shared" si="308"/>
        <v>1.2741399999999998</v>
      </c>
      <c r="ET81" s="528"/>
      <c r="EV81" s="460">
        <f t="shared" si="309"/>
        <v>1274.1399999999999</v>
      </c>
      <c r="EW81" s="528">
        <f t="shared" si="275"/>
        <v>0.14568629658492541</v>
      </c>
      <c r="EX81" s="528">
        <f t="shared" si="276"/>
        <v>0.16046973178386884</v>
      </c>
      <c r="EY81" s="528">
        <f t="shared" si="277"/>
        <v>21.394894938491046</v>
      </c>
      <c r="EZ81" s="528">
        <f t="shared" si="278"/>
        <v>22.321230762348669</v>
      </c>
      <c r="FA81" s="528">
        <f t="shared" si="279"/>
        <v>2.2961702127659573</v>
      </c>
      <c r="FB81" s="460">
        <f t="shared" si="310"/>
        <v>24617.400975114626</v>
      </c>
      <c r="FC81" s="173">
        <f t="shared" si="311"/>
        <v>29.80528702714841</v>
      </c>
      <c r="FD81" s="5">
        <f t="shared" si="312"/>
        <v>53.199999999999996</v>
      </c>
      <c r="FE81" s="173">
        <f t="shared" si="313"/>
        <v>0.64092302918728494</v>
      </c>
      <c r="FF81" s="5">
        <f t="shared" si="314"/>
        <v>64.092302918728493</v>
      </c>
      <c r="FI81" s="562">
        <f t="shared" si="280"/>
        <v>-50</v>
      </c>
      <c r="FJ81">
        <f t="shared" si="281"/>
        <v>-50</v>
      </c>
      <c r="FL81">
        <f t="shared" si="282"/>
        <v>0.46915416848069985</v>
      </c>
    </row>
    <row r="82" spans="5:168">
      <c r="E82" s="170">
        <v>77</v>
      </c>
      <c r="F82" s="217">
        <f t="shared" si="283"/>
        <v>1.925</v>
      </c>
      <c r="G82" s="217"/>
      <c r="H82" s="217">
        <f t="shared" si="183"/>
        <v>53.9</v>
      </c>
      <c r="I82" s="541">
        <f t="shared" si="184"/>
        <v>27.894762679542755</v>
      </c>
      <c r="J82" s="172">
        <f t="shared" si="185"/>
        <v>28.456666249476978</v>
      </c>
      <c r="K82" s="172">
        <f t="shared" si="186"/>
        <v>56.456666249476982</v>
      </c>
      <c r="L82" s="443"/>
      <c r="M82" s="217">
        <f t="shared" si="187"/>
        <v>0.50498925120131843</v>
      </c>
      <c r="N82" s="172">
        <f t="shared" si="188"/>
        <v>118.64675954350335</v>
      </c>
      <c r="O82" s="172">
        <f t="shared" si="284"/>
        <v>53.9</v>
      </c>
      <c r="P82" s="217">
        <f t="shared" si="189"/>
        <v>4.2373842694108337</v>
      </c>
      <c r="Q82" s="217">
        <f t="shared" si="190"/>
        <v>28</v>
      </c>
      <c r="R82" s="217">
        <f t="shared" si="191"/>
        <v>4.1924271779704707</v>
      </c>
      <c r="S82" s="172">
        <f t="shared" si="192"/>
        <v>92.981273325711456</v>
      </c>
      <c r="T82" s="172">
        <f t="shared" si="193"/>
        <v>28</v>
      </c>
      <c r="U82" s="217">
        <f t="shared" si="194"/>
        <v>7.7776088889855126</v>
      </c>
      <c r="V82" s="217">
        <f t="shared" si="195"/>
        <v>1.3104525103215938</v>
      </c>
      <c r="W82" s="217">
        <f t="shared" si="196"/>
        <v>1.2845763961863863</v>
      </c>
      <c r="X82" s="197">
        <f t="shared" si="197"/>
        <v>350</v>
      </c>
      <c r="Y82" s="443">
        <f t="shared" si="198"/>
        <v>350</v>
      </c>
      <c r="AA82" s="217">
        <f t="shared" si="199"/>
        <v>8.5631954338106393</v>
      </c>
      <c r="AB82" s="173">
        <f t="shared" si="200"/>
        <v>1.4143265478137212</v>
      </c>
      <c r="AC82" s="173">
        <f t="shared" si="201"/>
        <v>2.1194520613272338</v>
      </c>
      <c r="AD82" s="173"/>
      <c r="AE82" s="173">
        <f t="shared" si="202"/>
        <v>0.55054469590072286</v>
      </c>
      <c r="AF82" s="545">
        <f t="shared" si="203"/>
        <v>2097.9223096688879</v>
      </c>
      <c r="AG82" s="528">
        <f t="shared" si="204"/>
        <v>0.32115107260875497</v>
      </c>
      <c r="AI82" s="173">
        <f t="shared" si="205"/>
        <v>8.1609256977046893</v>
      </c>
      <c r="AJ82" s="173">
        <f t="shared" si="206"/>
        <v>8.1609256977046893</v>
      </c>
      <c r="AK82" s="173">
        <f t="shared" si="207"/>
        <v>4.7759943439787822</v>
      </c>
      <c r="AM82" s="545">
        <f t="shared" si="208"/>
        <v>1925</v>
      </c>
      <c r="AN82" s="460">
        <f t="shared" si="209"/>
        <v>350</v>
      </c>
      <c r="AP82">
        <f t="shared" si="210"/>
        <v>1925</v>
      </c>
      <c r="AQ82">
        <f t="shared" si="211"/>
        <v>350</v>
      </c>
      <c r="AS82" s="5">
        <f t="shared" si="285"/>
        <v>2.8571428571428572</v>
      </c>
      <c r="AT82" s="5">
        <f t="shared" si="212"/>
        <v>1.3750377165725636</v>
      </c>
      <c r="AU82" s="5">
        <f t="shared" si="286"/>
        <v>1.4821051405702936</v>
      </c>
      <c r="AV82" s="5">
        <f t="shared" si="213"/>
        <v>1.3478863069533666</v>
      </c>
      <c r="AW82" s="173">
        <f t="shared" si="287"/>
        <v>0.48126320080039725</v>
      </c>
      <c r="AX82" s="173">
        <f t="shared" si="214"/>
        <v>54.779082530243187</v>
      </c>
      <c r="AY82" s="173">
        <f t="shared" si="215"/>
        <v>2.116686237466558</v>
      </c>
      <c r="AZ82" s="173">
        <f t="shared" si="288"/>
        <v>25.87964222595776</v>
      </c>
      <c r="BA82" s="460">
        <f t="shared" si="216"/>
        <v>9.4533843014363761</v>
      </c>
      <c r="BB82" s="5">
        <f t="shared" si="217"/>
        <v>2.0455828417498343</v>
      </c>
      <c r="BC82" s="5"/>
      <c r="BD82" s="173">
        <f t="shared" si="289"/>
        <v>3.2686628267442641</v>
      </c>
      <c r="BE82" s="173">
        <f t="shared" si="218"/>
        <v>3.3935349425359469</v>
      </c>
      <c r="BF82" s="173"/>
      <c r="BG82" s="528">
        <f t="shared" si="219"/>
        <v>0.12820988009927764</v>
      </c>
      <c r="BH82" s="528">
        <f t="shared" si="220"/>
        <v>2.9429681805433741</v>
      </c>
      <c r="BI82" s="528">
        <f t="shared" si="221"/>
        <v>4.0250000000000001E-2</v>
      </c>
      <c r="BJ82" s="528">
        <f t="shared" si="222"/>
        <v>0.5494203463953331</v>
      </c>
      <c r="BK82">
        <f t="shared" si="223"/>
        <v>1.255264320579424E-2</v>
      </c>
      <c r="BL82" s="460">
        <f t="shared" si="290"/>
        <v>52.80264320579424</v>
      </c>
      <c r="BM82" s="528">
        <f t="shared" si="224"/>
        <v>3.7700611953573002</v>
      </c>
      <c r="BN82" s="460">
        <f t="shared" si="291"/>
        <v>3770.0611953573002</v>
      </c>
      <c r="BO82" s="528">
        <f t="shared" si="225"/>
        <v>1.290905</v>
      </c>
      <c r="BP82" s="528"/>
      <c r="BR82" s="460">
        <f t="shared" si="292"/>
        <v>1290.905</v>
      </c>
      <c r="BS82" s="528">
        <f t="shared" si="226"/>
        <v>0.14957819344915724</v>
      </c>
      <c r="BT82" s="528">
        <f t="shared" si="227"/>
        <v>0.16122511168697432</v>
      </c>
      <c r="BU82" s="528">
        <f t="shared" si="228"/>
        <v>21.801615431463354</v>
      </c>
      <c r="BV82" s="528">
        <f t="shared" si="229"/>
        <v>22.752741715929734</v>
      </c>
      <c r="BW82" s="528">
        <f t="shared" si="230"/>
        <v>2.3310247885209869</v>
      </c>
      <c r="BX82" s="460">
        <f t="shared" si="293"/>
        <v>25083.766504450723</v>
      </c>
      <c r="BY82" s="173">
        <f t="shared" si="231"/>
        <v>30.197535343013815</v>
      </c>
      <c r="BZ82" s="5">
        <f t="shared" si="294"/>
        <v>53.9</v>
      </c>
      <c r="CA82" s="173">
        <f t="shared" si="295"/>
        <v>0.64092246913247497</v>
      </c>
      <c r="CB82" s="5">
        <f t="shared" si="296"/>
        <v>64.092246913247493</v>
      </c>
      <c r="CE82" s="562">
        <f t="shared" si="232"/>
        <v>-50</v>
      </c>
      <c r="CF82">
        <f t="shared" si="233"/>
        <v>-50</v>
      </c>
      <c r="CG82" s="173">
        <f t="shared" si="234"/>
        <v>0.47559173668178889</v>
      </c>
      <c r="CI82" s="170">
        <v>77</v>
      </c>
      <c r="CJ82" s="217">
        <f t="shared" si="297"/>
        <v>1.925</v>
      </c>
      <c r="CK82" s="217"/>
      <c r="CL82" s="217">
        <f t="shared" si="235"/>
        <v>53.9</v>
      </c>
      <c r="CM82" s="541">
        <f t="shared" si="236"/>
        <v>28</v>
      </c>
      <c r="CN82" s="172">
        <f t="shared" si="237"/>
        <v>28.4</v>
      </c>
      <c r="CO82" s="443">
        <f t="shared" si="238"/>
        <v>56.4</v>
      </c>
      <c r="CP82" s="443"/>
      <c r="CQ82" s="217">
        <f t="shared" si="239"/>
        <v>0.50354609929078009</v>
      </c>
      <c r="CR82" s="172">
        <f t="shared" si="240"/>
        <v>118.75402645742166</v>
      </c>
      <c r="CS82" s="172">
        <f t="shared" si="298"/>
        <v>53.9</v>
      </c>
      <c r="CT82" s="217">
        <f t="shared" si="241"/>
        <v>4.2412152306222017</v>
      </c>
      <c r="CU82" s="217">
        <f t="shared" si="242"/>
        <v>28</v>
      </c>
      <c r="CV82" s="217">
        <f t="shared" si="243"/>
        <v>4.1962174940898347</v>
      </c>
      <c r="CW82" s="172">
        <f t="shared" si="244"/>
        <v>93.331611316289028</v>
      </c>
      <c r="CX82" s="172">
        <f t="shared" si="245"/>
        <v>28</v>
      </c>
      <c r="CY82" s="217">
        <f t="shared" si="246"/>
        <v>7.6457746478873245</v>
      </c>
      <c r="CZ82" s="217">
        <f t="shared" si="247"/>
        <v>1.2833978873239436</v>
      </c>
      <c r="DA82" s="217">
        <f t="shared" si="248"/>
        <v>1.2653218607419165</v>
      </c>
      <c r="DB82" s="197">
        <f t="shared" si="249"/>
        <v>350</v>
      </c>
      <c r="DC82" s="443">
        <f t="shared" si="299"/>
        <v>350</v>
      </c>
      <c r="DE82" s="217">
        <f t="shared" si="250"/>
        <v>8.5709974347366842</v>
      </c>
      <c r="DF82" s="173">
        <f t="shared" si="251"/>
        <v>1.418439716312057</v>
      </c>
      <c r="DG82" s="173">
        <f t="shared" si="252"/>
        <v>2.1275525547218721</v>
      </c>
      <c r="DH82" s="173"/>
      <c r="DI82" s="173">
        <f t="shared" si="253"/>
        <v>0.55164319248826299</v>
      </c>
      <c r="DJ82" s="545">
        <f t="shared" si="300"/>
        <v>2093.7446808510635</v>
      </c>
      <c r="DK82" s="528">
        <f t="shared" si="254"/>
        <v>0.3217918622848201</v>
      </c>
      <c r="DM82" s="173">
        <f t="shared" si="255"/>
        <v>8.1527961526327264</v>
      </c>
      <c r="DN82" s="173">
        <f t="shared" si="256"/>
        <v>8.1527961526327264</v>
      </c>
      <c r="DO82" s="173">
        <f t="shared" si="257"/>
        <v>4.7699724587402903</v>
      </c>
      <c r="DQ82" s="545">
        <f t="shared" si="258"/>
        <v>1925</v>
      </c>
      <c r="DR82" s="460">
        <f t="shared" si="259"/>
        <v>350</v>
      </c>
      <c r="DT82">
        <f t="shared" si="260"/>
        <v>1925</v>
      </c>
      <c r="DU82">
        <f t="shared" si="261"/>
        <v>350</v>
      </c>
      <c r="DW82" s="5">
        <f t="shared" si="301"/>
        <v>2.8571428571428572</v>
      </c>
      <c r="DX82" s="5">
        <f t="shared" si="262"/>
        <v>1.3685050684776363</v>
      </c>
      <c r="DY82" s="5">
        <f t="shared" si="302"/>
        <v>1.4886377886652209</v>
      </c>
      <c r="DZ82" s="5">
        <f t="shared" si="263"/>
        <v>1.3492303492033033</v>
      </c>
      <c r="EA82" s="173">
        <f t="shared" si="303"/>
        <v>0.4789767739671727</v>
      </c>
      <c r="EB82" s="173">
        <f t="shared" si="264"/>
        <v>54.67</v>
      </c>
      <c r="EC82" s="173">
        <f t="shared" si="265"/>
        <v>2.1238980763163631</v>
      </c>
      <c r="ED82" s="173">
        <f t="shared" si="304"/>
        <v>25.740406571118665</v>
      </c>
      <c r="EE82" s="460">
        <f t="shared" si="266"/>
        <v>9.4084723457837498</v>
      </c>
      <c r="EF82" s="5">
        <f t="shared" si="267"/>
        <v>2.0468769594146785</v>
      </c>
      <c r="EG82" s="5"/>
      <c r="EH82" s="173">
        <f t="shared" si="305"/>
        <v>3.2576407094721587</v>
      </c>
      <c r="EI82" s="173">
        <f t="shared" si="268"/>
        <v>3.3976176030836758</v>
      </c>
      <c r="EJ82" s="173"/>
      <c r="EK82" s="528">
        <f t="shared" si="269"/>
        <v>0.12734667590412321</v>
      </c>
      <c r="EL82" s="528">
        <f t="shared" si="270"/>
        <v>3.0577877250064307</v>
      </c>
      <c r="EM82" s="528">
        <f t="shared" si="271"/>
        <v>4.0250000000000001E-2</v>
      </c>
      <c r="EN82" s="528">
        <f t="shared" si="272"/>
        <v>0.54831797999999998</v>
      </c>
      <c r="EO82">
        <f t="shared" si="273"/>
        <v>1.26E-2</v>
      </c>
      <c r="EP82" s="460">
        <f t="shared" si="306"/>
        <v>52.85</v>
      </c>
      <c r="EQ82" s="528">
        <f t="shared" si="274"/>
        <v>3.9398977150790819</v>
      </c>
      <c r="ER82" s="460">
        <f t="shared" si="307"/>
        <v>3939.897715079082</v>
      </c>
      <c r="ES82" s="528">
        <f t="shared" si="308"/>
        <v>1.290905</v>
      </c>
      <c r="ET82" s="528"/>
      <c r="EV82" s="460">
        <f t="shared" si="309"/>
        <v>1290.905</v>
      </c>
      <c r="EW82" s="528">
        <f t="shared" si="275"/>
        <v>0.14857112188814375</v>
      </c>
      <c r="EX82" s="528">
        <f t="shared" si="276"/>
        <v>0.16161327527497688</v>
      </c>
      <c r="EY82" s="528">
        <f t="shared" si="277"/>
        <v>21.747361530905376</v>
      </c>
      <c r="EZ82" s="528">
        <f t="shared" si="278"/>
        <v>22.695165071074754</v>
      </c>
      <c r="FA82" s="528">
        <f t="shared" si="279"/>
        <v>2.3263829787234047</v>
      </c>
      <c r="FB82" s="460">
        <f t="shared" si="310"/>
        <v>25021.548049798159</v>
      </c>
      <c r="FC82" s="173">
        <f t="shared" si="311"/>
        <v>30.252350764877242</v>
      </c>
      <c r="FD82" s="5">
        <f t="shared" si="312"/>
        <v>53.9</v>
      </c>
      <c r="FE82" s="173">
        <f t="shared" si="313"/>
        <v>0.64050498304672787</v>
      </c>
      <c r="FF82" s="5">
        <f t="shared" si="314"/>
        <v>64.050498304672786</v>
      </c>
      <c r="FI82" s="562">
        <f t="shared" si="280"/>
        <v>-50</v>
      </c>
      <c r="FJ82">
        <f t="shared" si="281"/>
        <v>-50</v>
      </c>
      <c r="FL82">
        <f t="shared" si="282"/>
        <v>0.47223062222115619</v>
      </c>
    </row>
    <row r="83" spans="5:168">
      <c r="E83" s="170">
        <v>78</v>
      </c>
      <c r="F83" s="217">
        <f t="shared" si="283"/>
        <v>1.9500000000000002</v>
      </c>
      <c r="G83" s="217"/>
      <c r="H83" s="217">
        <f t="shared" si="183"/>
        <v>54.600000000000009</v>
      </c>
      <c r="I83" s="541">
        <f t="shared" si="184"/>
        <v>27.894081524726538</v>
      </c>
      <c r="J83" s="172">
        <f t="shared" si="185"/>
        <v>28.457033025147247</v>
      </c>
      <c r="K83" s="172">
        <f t="shared" si="186"/>
        <v>56.457033025147247</v>
      </c>
      <c r="L83" s="443"/>
      <c r="M83" s="217">
        <f t="shared" si="187"/>
        <v>0.50499860012391362</v>
      </c>
      <c r="N83" s="172">
        <f t="shared" si="188"/>
        <v>118.64605880684842</v>
      </c>
      <c r="O83" s="172">
        <f t="shared" si="284"/>
        <v>54.600000000000009</v>
      </c>
      <c r="P83" s="217">
        <f t="shared" si="189"/>
        <v>4.2373592431017295</v>
      </c>
      <c r="Q83" s="217">
        <f t="shared" si="190"/>
        <v>28</v>
      </c>
      <c r="R83" s="217">
        <f t="shared" si="191"/>
        <v>4.1924024171813166</v>
      </c>
      <c r="S83" s="172">
        <f t="shared" si="192"/>
        <v>91.432894379128314</v>
      </c>
      <c r="T83" s="172">
        <f t="shared" si="193"/>
        <v>28</v>
      </c>
      <c r="U83" s="217">
        <f t="shared" si="194"/>
        <v>7.8787655973827277</v>
      </c>
      <c r="V83" s="217">
        <f t="shared" si="195"/>
        <v>1.3275288621664645</v>
      </c>
      <c r="W83" s="217">
        <f t="shared" si="196"/>
        <v>1.3012670110399609</v>
      </c>
      <c r="X83" s="197">
        <f t="shared" si="197"/>
        <v>350</v>
      </c>
      <c r="Y83" s="443">
        <f t="shared" si="198"/>
        <v>350</v>
      </c>
      <c r="AA83" s="217">
        <f t="shared" si="199"/>
        <v>8.5631444720003493</v>
      </c>
      <c r="AB83" s="173">
        <f t="shared" si="200"/>
        <v>1.4142999019903406</v>
      </c>
      <c r="AC83" s="173">
        <f t="shared" si="201"/>
        <v>2.1193995178088638</v>
      </c>
      <c r="AD83" s="173"/>
      <c r="AE83" s="173">
        <f t="shared" si="202"/>
        <v>0.55053760006611241</v>
      </c>
      <c r="AF83" s="545">
        <f t="shared" si="203"/>
        <v>2125.1954450695071</v>
      </c>
      <c r="AG83" s="528">
        <f t="shared" si="204"/>
        <v>0.32114693337189892</v>
      </c>
      <c r="AI83" s="173">
        <f t="shared" si="205"/>
        <v>8.2138007076930375</v>
      </c>
      <c r="AJ83" s="173">
        <f t="shared" si="206"/>
        <v>8.2138007076930375</v>
      </c>
      <c r="AK83" s="173">
        <f t="shared" si="207"/>
        <v>4.8151610180442246</v>
      </c>
      <c r="AM83" s="545">
        <f t="shared" si="208"/>
        <v>1950.0000000000002</v>
      </c>
      <c r="AN83" s="460">
        <f t="shared" si="209"/>
        <v>350</v>
      </c>
      <c r="AP83">
        <f t="shared" si="210"/>
        <v>1950.0000000000002</v>
      </c>
      <c r="AQ83">
        <f t="shared" si="211"/>
        <v>350</v>
      </c>
      <c r="AS83" s="5">
        <f t="shared" si="285"/>
        <v>2.8571428571428572</v>
      </c>
      <c r="AT83" s="5">
        <f t="shared" si="212"/>
        <v>1.3839804437344971</v>
      </c>
      <c r="AU83" s="5">
        <f t="shared" si="286"/>
        <v>1.4731624134083601</v>
      </c>
      <c r="AV83" s="5">
        <f t="shared" si="213"/>
        <v>1.356601838710398</v>
      </c>
      <c r="AW83" s="173">
        <f t="shared" si="287"/>
        <v>0.484393155307074</v>
      </c>
      <c r="AX83" s="173">
        <f t="shared" si="214"/>
        <v>55.491214399037133</v>
      </c>
      <c r="AY83" s="173">
        <f t="shared" si="215"/>
        <v>2.117545932915065</v>
      </c>
      <c r="AZ83" s="173">
        <f t="shared" si="288"/>
        <v>26.205435989124723</v>
      </c>
      <c r="BA83" s="460">
        <f t="shared" si="216"/>
        <v>9.6384352331509628</v>
      </c>
      <c r="BB83" s="5">
        <f t="shared" si="217"/>
        <v>2.0596962144818032</v>
      </c>
      <c r="BC83" s="5"/>
      <c r="BD83" s="173">
        <f t="shared" si="289"/>
        <v>3.3005212467628047</v>
      </c>
      <c r="BE83" s="173">
        <f t="shared" si="218"/>
        <v>3.4052019306105059</v>
      </c>
      <c r="BF83" s="173"/>
      <c r="BG83" s="528">
        <f t="shared" si="219"/>
        <v>0.13072128600399238</v>
      </c>
      <c r="BH83" s="528">
        <f t="shared" si="220"/>
        <v>2.9620550488010009</v>
      </c>
      <c r="BI83" s="528">
        <f t="shared" si="221"/>
        <v>4.0250000000000001E-2</v>
      </c>
      <c r="BJ83" s="528">
        <f t="shared" si="222"/>
        <v>0.54942748513319251</v>
      </c>
      <c r="BK83">
        <f t="shared" si="223"/>
        <v>1.2552336686126942E-2</v>
      </c>
      <c r="BL83" s="460">
        <f t="shared" si="290"/>
        <v>52.802336686126942</v>
      </c>
      <c r="BM83" s="528">
        <f t="shared" si="224"/>
        <v>3.7953807302225027</v>
      </c>
      <c r="BN83" s="460">
        <f t="shared" si="291"/>
        <v>3795.3807302225027</v>
      </c>
      <c r="BO83" s="528">
        <f t="shared" si="225"/>
        <v>1.3076699999999999</v>
      </c>
      <c r="BP83" s="528"/>
      <c r="BR83" s="460">
        <f t="shared" si="292"/>
        <v>1307.6699999999998</v>
      </c>
      <c r="BS83" s="528">
        <f t="shared" si="226"/>
        <v>0.15250816700465777</v>
      </c>
      <c r="BT83" s="528">
        <f t="shared" si="227"/>
        <v>0.16233560263526925</v>
      </c>
      <c r="BU83" s="528">
        <f t="shared" si="228"/>
        <v>22.15646741520516</v>
      </c>
      <c r="BV83" s="528">
        <f t="shared" si="229"/>
        <v>23.129446663742538</v>
      </c>
      <c r="BW83" s="528">
        <f t="shared" si="230"/>
        <v>2.3613282722994526</v>
      </c>
      <c r="BX83" s="460">
        <f t="shared" si="293"/>
        <v>25490.774936041991</v>
      </c>
      <c r="BY83" s="173">
        <f t="shared" si="231"/>
        <v>30.646628002950621</v>
      </c>
      <c r="BZ83" s="5">
        <f t="shared" si="294"/>
        <v>54.600000000000009</v>
      </c>
      <c r="CA83" s="173">
        <f t="shared" si="295"/>
        <v>0.64049454247164062</v>
      </c>
      <c r="CB83" s="5">
        <f t="shared" si="296"/>
        <v>64.049454247164064</v>
      </c>
      <c r="CE83" s="562">
        <f t="shared" si="232"/>
        <v>-50</v>
      </c>
      <c r="CF83">
        <f t="shared" si="233"/>
        <v>-50</v>
      </c>
      <c r="CG83" s="173">
        <f t="shared" si="234"/>
        <v>0.47867003248584516</v>
      </c>
      <c r="CI83" s="170">
        <v>78</v>
      </c>
      <c r="CJ83" s="217">
        <f t="shared" si="297"/>
        <v>1.9500000000000002</v>
      </c>
      <c r="CK83" s="217"/>
      <c r="CL83" s="217">
        <f t="shared" si="235"/>
        <v>54.600000000000009</v>
      </c>
      <c r="CM83" s="541">
        <f t="shared" si="236"/>
        <v>28</v>
      </c>
      <c r="CN83" s="172">
        <f t="shared" si="237"/>
        <v>28.4</v>
      </c>
      <c r="CO83" s="443">
        <f t="shared" si="238"/>
        <v>56.4</v>
      </c>
      <c r="CP83" s="443"/>
      <c r="CQ83" s="217">
        <f t="shared" si="239"/>
        <v>0.50354609929078009</v>
      </c>
      <c r="CR83" s="172">
        <f t="shared" si="240"/>
        <v>118.75402645742166</v>
      </c>
      <c r="CS83" s="172">
        <f t="shared" si="298"/>
        <v>54.600000000000009</v>
      </c>
      <c r="CT83" s="217">
        <f t="shared" si="241"/>
        <v>4.2412152306222017</v>
      </c>
      <c r="CU83" s="217">
        <f t="shared" si="242"/>
        <v>28</v>
      </c>
      <c r="CV83" s="217">
        <f t="shared" si="243"/>
        <v>4.1962174940898347</v>
      </c>
      <c r="CW83" s="172">
        <f t="shared" si="244"/>
        <v>91.779621567213894</v>
      </c>
      <c r="CX83" s="172">
        <f t="shared" si="245"/>
        <v>28</v>
      </c>
      <c r="CY83" s="217">
        <f t="shared" si="246"/>
        <v>7.7450704225352132</v>
      </c>
      <c r="CZ83" s="217">
        <f t="shared" si="247"/>
        <v>1.300065392354125</v>
      </c>
      <c r="DA83" s="217">
        <f t="shared" si="248"/>
        <v>1.2817546121801233</v>
      </c>
      <c r="DB83" s="197">
        <f t="shared" si="249"/>
        <v>350</v>
      </c>
      <c r="DC83" s="443">
        <f t="shared" si="299"/>
        <v>350</v>
      </c>
      <c r="DE83" s="217">
        <f t="shared" si="250"/>
        <v>8.5709974347366842</v>
      </c>
      <c r="DF83" s="173">
        <f t="shared" si="251"/>
        <v>1.418439716312057</v>
      </c>
      <c r="DG83" s="173">
        <f t="shared" si="252"/>
        <v>2.1275525547218721</v>
      </c>
      <c r="DH83" s="173"/>
      <c r="DI83" s="173">
        <f t="shared" si="253"/>
        <v>0.55164319248826299</v>
      </c>
      <c r="DJ83" s="545">
        <f t="shared" si="300"/>
        <v>2120.9361702127658</v>
      </c>
      <c r="DK83" s="528">
        <f t="shared" si="254"/>
        <v>0.3217918622848201</v>
      </c>
      <c r="DM83" s="173">
        <f t="shared" si="255"/>
        <v>8.2055656106621608</v>
      </c>
      <c r="DN83" s="173">
        <f t="shared" si="256"/>
        <v>8.2055656106621608</v>
      </c>
      <c r="DO83" s="173">
        <f t="shared" si="257"/>
        <v>4.8090609461695015</v>
      </c>
      <c r="DQ83" s="545">
        <f t="shared" si="258"/>
        <v>1950.0000000000002</v>
      </c>
      <c r="DR83" s="460">
        <f t="shared" si="259"/>
        <v>350</v>
      </c>
      <c r="DT83">
        <f t="shared" si="260"/>
        <v>1950.0000000000002</v>
      </c>
      <c r="DU83">
        <f t="shared" si="261"/>
        <v>350</v>
      </c>
      <c r="DW83" s="5">
        <f t="shared" si="301"/>
        <v>2.8571428571428572</v>
      </c>
      <c r="DX83" s="5">
        <f t="shared" si="262"/>
        <v>1.3773627989325767</v>
      </c>
      <c r="DY83" s="5">
        <f t="shared" si="302"/>
        <v>1.4797800582102805</v>
      </c>
      <c r="DZ83" s="5">
        <f t="shared" si="263"/>
        <v>1.3579633228912731</v>
      </c>
      <c r="EA83" s="173">
        <f t="shared" si="303"/>
        <v>0.48207697962640184</v>
      </c>
      <c r="EB83" s="173">
        <f t="shared" si="264"/>
        <v>55.380000000000017</v>
      </c>
      <c r="EC83" s="173">
        <f t="shared" si="265"/>
        <v>2.1249256624739372</v>
      </c>
      <c r="ED83" s="173">
        <f t="shared" si="304"/>
        <v>26.06208818407513</v>
      </c>
      <c r="EE83" s="460">
        <f t="shared" si="266"/>
        <v>9.5923480639947325</v>
      </c>
      <c r="EF83" s="5">
        <f t="shared" si="267"/>
        <v>2.0611222239357483</v>
      </c>
      <c r="EG83" s="5"/>
      <c r="EH83" s="173">
        <f t="shared" si="305"/>
        <v>3.289319742665251</v>
      </c>
      <c r="EI83" s="173">
        <f t="shared" si="268"/>
        <v>3.4094199840255968</v>
      </c>
      <c r="EJ83" s="173"/>
      <c r="EK83" s="528">
        <f t="shared" si="269"/>
        <v>0.1298354924338487</v>
      </c>
      <c r="EL83" s="528">
        <f t="shared" si="270"/>
        <v>3.0775794379349501</v>
      </c>
      <c r="EM83" s="528">
        <f t="shared" si="271"/>
        <v>4.0250000000000001E-2</v>
      </c>
      <c r="EN83" s="528">
        <f t="shared" si="272"/>
        <v>0.54831797999999998</v>
      </c>
      <c r="EO83">
        <f t="shared" si="273"/>
        <v>1.26E-2</v>
      </c>
      <c r="EP83" s="460">
        <f t="shared" si="306"/>
        <v>52.85</v>
      </c>
      <c r="EQ83" s="528">
        <f t="shared" si="274"/>
        <v>3.9659848138157123</v>
      </c>
      <c r="ER83" s="460">
        <f t="shared" si="307"/>
        <v>3965.9848138157122</v>
      </c>
      <c r="ES83" s="528">
        <f t="shared" si="308"/>
        <v>1.3076699999999999</v>
      </c>
      <c r="ET83" s="528"/>
      <c r="EV83" s="460">
        <f t="shared" si="309"/>
        <v>1307.6699999999998</v>
      </c>
      <c r="EW83" s="528">
        <f t="shared" si="275"/>
        <v>0.1514747411728235</v>
      </c>
      <c r="EX83" s="528">
        <f t="shared" si="276"/>
        <v>0.1627380247846234</v>
      </c>
      <c r="EY83" s="528">
        <f t="shared" si="277"/>
        <v>22.100974383372925</v>
      </c>
      <c r="EZ83" s="528">
        <f t="shared" si="278"/>
        <v>23.07052242625101</v>
      </c>
      <c r="FA83" s="528">
        <f t="shared" si="279"/>
        <v>2.3565957446808525</v>
      </c>
      <c r="FB83" s="460">
        <f t="shared" si="310"/>
        <v>25427.118170931863</v>
      </c>
      <c r="FC83" s="173">
        <f t="shared" si="311"/>
        <v>30.700772984747573</v>
      </c>
      <c r="FD83" s="5">
        <f t="shared" si="312"/>
        <v>54.600000000000009</v>
      </c>
      <c r="FE83" s="173">
        <f t="shared" si="313"/>
        <v>0.64008798618698215</v>
      </c>
      <c r="FF83" s="5">
        <f t="shared" si="314"/>
        <v>64.008798618698222</v>
      </c>
      <c r="FI83" s="562">
        <f t="shared" si="280"/>
        <v>-50</v>
      </c>
      <c r="FJ83">
        <f t="shared" si="281"/>
        <v>-50</v>
      </c>
      <c r="FL83">
        <f t="shared" si="282"/>
        <v>0.47528716301194557</v>
      </c>
    </row>
    <row r="84" spans="5:168">
      <c r="E84" s="170">
        <v>79</v>
      </c>
      <c r="F84" s="217">
        <f t="shared" si="283"/>
        <v>1.9750000000000001</v>
      </c>
      <c r="G84" s="217"/>
      <c r="H84" s="217">
        <f t="shared" si="183"/>
        <v>55.300000000000004</v>
      </c>
      <c r="I84" s="541">
        <f t="shared" si="184"/>
        <v>27.893404722470976</v>
      </c>
      <c r="J84" s="172">
        <f t="shared" si="185"/>
        <v>28.457397457131012</v>
      </c>
      <c r="K84" s="172">
        <f t="shared" si="186"/>
        <v>56.457397457131009</v>
      </c>
      <c r="L84" s="443"/>
      <c r="M84" s="217">
        <f t="shared" si="187"/>
        <v>0.50500788940960717</v>
      </c>
      <c r="N84" s="172">
        <f t="shared" si="188"/>
        <v>118.64536246570633</v>
      </c>
      <c r="O84" s="172">
        <f t="shared" si="284"/>
        <v>55.300000000000004</v>
      </c>
      <c r="P84" s="217">
        <f t="shared" si="189"/>
        <v>4.2373343737752256</v>
      </c>
      <c r="Q84" s="217">
        <f t="shared" si="190"/>
        <v>28</v>
      </c>
      <c r="R84" s="217">
        <f t="shared" si="191"/>
        <v>4.1923778117092372</v>
      </c>
      <c r="S84" s="172">
        <f t="shared" si="192"/>
        <v>89.923812340361152</v>
      </c>
      <c r="T84" s="172">
        <f t="shared" si="193"/>
        <v>28</v>
      </c>
      <c r="U84" s="217">
        <f t="shared" si="194"/>
        <v>7.9799251654510392</v>
      </c>
      <c r="V84" s="217">
        <f t="shared" si="195"/>
        <v>1.3446063200526133</v>
      </c>
      <c r="W84" s="217">
        <f t="shared" si="196"/>
        <v>1.317957776501502</v>
      </c>
      <c r="X84" s="197">
        <f t="shared" si="197"/>
        <v>350</v>
      </c>
      <c r="Y84" s="443">
        <f t="shared" si="198"/>
        <v>349.3371558749638</v>
      </c>
      <c r="AA84" s="217">
        <f t="shared" si="199"/>
        <v>8.5630938299327344</v>
      </c>
      <c r="AB84" s="173">
        <f t="shared" si="200"/>
        <v>1.414273426138575</v>
      </c>
      <c r="AC84" s="173">
        <f t="shared" si="201"/>
        <v>2.1193473086108856</v>
      </c>
      <c r="AD84" s="173"/>
      <c r="AE84" s="173">
        <f t="shared" si="202"/>
        <v>0.55053054975485205</v>
      </c>
      <c r="AF84" s="545">
        <f t="shared" si="203"/>
        <v>2152.4691055340586</v>
      </c>
      <c r="AG84" s="528">
        <f t="shared" si="204"/>
        <v>0.3211428206903304</v>
      </c>
      <c r="AI84" s="173">
        <f t="shared" si="205"/>
        <v>8.2663385217783567</v>
      </c>
      <c r="AJ84" s="173">
        <f t="shared" si="206"/>
        <v>8.2663385217783567</v>
      </c>
      <c r="AK84" s="173">
        <f t="shared" si="207"/>
        <v>4.8540779173666833</v>
      </c>
      <c r="AM84" s="545">
        <f t="shared" si="208"/>
        <v>1975</v>
      </c>
      <c r="AN84" s="460">
        <f t="shared" si="209"/>
        <v>349.3371558749638</v>
      </c>
      <c r="AP84">
        <f t="shared" si="210"/>
        <v>1975</v>
      </c>
      <c r="AQ84">
        <f t="shared" si="211"/>
        <v>349.3371558749638</v>
      </c>
      <c r="AS84" s="5">
        <f t="shared" si="285"/>
        <v>2.8625640965541157</v>
      </c>
      <c r="AT84" s="5">
        <f t="shared" si="212"/>
        <v>1.3928665732605672</v>
      </c>
      <c r="AU84" s="5">
        <f t="shared" si="286"/>
        <v>1.4696975232935485</v>
      </c>
      <c r="AV84" s="5">
        <f t="shared" si="213"/>
        <v>1.3652615672563049</v>
      </c>
      <c r="AW84" s="173">
        <f t="shared" si="287"/>
        <v>0.48658004721615344</v>
      </c>
      <c r="AX84" s="173">
        <f t="shared" si="214"/>
        <v>56.096919786494901</v>
      </c>
      <c r="AY84" s="173">
        <f t="shared" si="215"/>
        <v>2.1220515667733677</v>
      </c>
      <c r="AZ84" s="173">
        <f t="shared" si="288"/>
        <v>26.435229315276096</v>
      </c>
      <c r="BA84" s="460">
        <f t="shared" si="216"/>
        <v>9.8246838649629282</v>
      </c>
      <c r="BB84" s="5">
        <f t="shared" si="217"/>
        <v>2.0812465436794643</v>
      </c>
      <c r="BC84" s="5"/>
      <c r="BD84" s="173">
        <f t="shared" si="289"/>
        <v>3.3291219730032506</v>
      </c>
      <c r="BE84" s="173">
        <f t="shared" si="218"/>
        <v>3.4197072595588067</v>
      </c>
      <c r="BF84" s="173"/>
      <c r="BG84" s="528">
        <f t="shared" si="219"/>
        <v>0.13299663733359668</v>
      </c>
      <c r="BH84" s="528">
        <f t="shared" si="220"/>
        <v>2.9753748641013171</v>
      </c>
      <c r="BI84" s="528">
        <f t="shared" si="221"/>
        <v>4.017377292562084E-2</v>
      </c>
      <c r="BJ84" s="528">
        <f t="shared" si="222"/>
        <v>0.54839403692259348</v>
      </c>
      <c r="BK84">
        <f t="shared" si="223"/>
        <v>1.2552032125111939E-2</v>
      </c>
      <c r="BL84" s="460">
        <f t="shared" si="290"/>
        <v>52.725805050732781</v>
      </c>
      <c r="BM84" s="528">
        <f t="shared" si="224"/>
        <v>3.813170832679583</v>
      </c>
      <c r="BN84" s="460">
        <f t="shared" si="291"/>
        <v>3813.1708326795829</v>
      </c>
      <c r="BO84" s="528">
        <f t="shared" si="225"/>
        <v>1.324435</v>
      </c>
      <c r="BP84" s="528"/>
      <c r="BR84" s="460">
        <f t="shared" si="292"/>
        <v>1324.4349999999999</v>
      </c>
      <c r="BS84" s="528">
        <f t="shared" si="226"/>
        <v>0.15516274355586279</v>
      </c>
      <c r="BT84" s="528">
        <f t="shared" si="227"/>
        <v>0.16372156837510884</v>
      </c>
      <c r="BU84" s="528">
        <f t="shared" si="228"/>
        <v>22.406030396563175</v>
      </c>
      <c r="BV84" s="528">
        <f t="shared" si="229"/>
        <v>23.398356447031766</v>
      </c>
      <c r="BW84" s="528">
        <f t="shared" si="230"/>
        <v>2.387102969638081</v>
      </c>
      <c r="BX84" s="460">
        <f t="shared" si="293"/>
        <v>25785.459416669848</v>
      </c>
      <c r="BY84" s="173">
        <f t="shared" si="231"/>
        <v>30.975791054400162</v>
      </c>
      <c r="BZ84" s="5">
        <f t="shared" si="294"/>
        <v>55.300000000000004</v>
      </c>
      <c r="CA84" s="173">
        <f t="shared" si="295"/>
        <v>0.64096775380629367</v>
      </c>
      <c r="CB84" s="5">
        <f t="shared" si="296"/>
        <v>64.096775380629367</v>
      </c>
      <c r="CE84" s="562">
        <f t="shared" si="232"/>
        <v>-50</v>
      </c>
      <c r="CF84">
        <f t="shared" si="233"/>
        <v>-50</v>
      </c>
      <c r="CG84" s="173">
        <f t="shared" si="234"/>
        <v>0.48172865806385234</v>
      </c>
      <c r="CI84" s="170">
        <v>79</v>
      </c>
      <c r="CJ84" s="217">
        <f t="shared" si="297"/>
        <v>1.9750000000000001</v>
      </c>
      <c r="CK84" s="217"/>
      <c r="CL84" s="217">
        <f t="shared" si="235"/>
        <v>55.300000000000004</v>
      </c>
      <c r="CM84" s="541">
        <f t="shared" si="236"/>
        <v>28</v>
      </c>
      <c r="CN84" s="172">
        <f t="shared" si="237"/>
        <v>28.4</v>
      </c>
      <c r="CO84" s="443">
        <f t="shared" si="238"/>
        <v>56.4</v>
      </c>
      <c r="CP84" s="443"/>
      <c r="CQ84" s="217">
        <f t="shared" si="239"/>
        <v>0.50354609929078009</v>
      </c>
      <c r="CR84" s="172">
        <f t="shared" si="240"/>
        <v>118.75402645742166</v>
      </c>
      <c r="CS84" s="172">
        <f t="shared" si="298"/>
        <v>55.300000000000004</v>
      </c>
      <c r="CT84" s="217">
        <f t="shared" si="241"/>
        <v>4.2412152306222017</v>
      </c>
      <c r="CU84" s="217">
        <f t="shared" si="242"/>
        <v>28</v>
      </c>
      <c r="CV84" s="217">
        <f t="shared" si="243"/>
        <v>4.1962174940898347</v>
      </c>
      <c r="CW84" s="172">
        <f t="shared" si="244"/>
        <v>90.266988888364949</v>
      </c>
      <c r="CX84" s="172">
        <f t="shared" si="245"/>
        <v>28</v>
      </c>
      <c r="CY84" s="217">
        <f t="shared" si="246"/>
        <v>7.8443661971831</v>
      </c>
      <c r="CZ84" s="217">
        <f t="shared" si="247"/>
        <v>1.3167328973843058</v>
      </c>
      <c r="DA84" s="217">
        <f t="shared" si="248"/>
        <v>1.2981873636183299</v>
      </c>
      <c r="DB84" s="197">
        <f t="shared" si="249"/>
        <v>350</v>
      </c>
      <c r="DC84" s="443">
        <f t="shared" si="299"/>
        <v>350</v>
      </c>
      <c r="DE84" s="217">
        <f t="shared" si="250"/>
        <v>8.5709974347366842</v>
      </c>
      <c r="DF84" s="173">
        <f t="shared" si="251"/>
        <v>1.418439716312057</v>
      </c>
      <c r="DG84" s="173">
        <f t="shared" si="252"/>
        <v>2.1275525547218721</v>
      </c>
      <c r="DH84" s="173"/>
      <c r="DI84" s="173">
        <f t="shared" si="253"/>
        <v>0.55164319248826299</v>
      </c>
      <c r="DJ84" s="545">
        <f t="shared" si="300"/>
        <v>2148.127659574468</v>
      </c>
      <c r="DK84" s="528">
        <f t="shared" si="254"/>
        <v>0.3217918622848201</v>
      </c>
      <c r="DM84" s="173">
        <f t="shared" si="255"/>
        <v>8.257997873297132</v>
      </c>
      <c r="DN84" s="173">
        <f t="shared" si="256"/>
        <v>8.257997873297132</v>
      </c>
      <c r="DO84" s="173">
        <f t="shared" si="257"/>
        <v>4.8478996592324428</v>
      </c>
      <c r="DQ84" s="545">
        <f t="shared" si="258"/>
        <v>1975</v>
      </c>
      <c r="DR84" s="460">
        <f t="shared" si="259"/>
        <v>350</v>
      </c>
      <c r="DT84">
        <f t="shared" si="260"/>
        <v>1975</v>
      </c>
      <c r="DU84">
        <f t="shared" si="261"/>
        <v>350</v>
      </c>
      <c r="DW84" s="5">
        <f t="shared" si="301"/>
        <v>2.8571428571428572</v>
      </c>
      <c r="DX84" s="5">
        <f t="shared" si="262"/>
        <v>1.3861639287320187</v>
      </c>
      <c r="DY84" s="5">
        <f t="shared" si="302"/>
        <v>1.4709789284108385</v>
      </c>
      <c r="DZ84" s="5">
        <f t="shared" si="263"/>
        <v>1.3666404931160747</v>
      </c>
      <c r="EA84" s="173">
        <f t="shared" si="303"/>
        <v>0.48515737505620654</v>
      </c>
      <c r="EB84" s="173">
        <f t="shared" si="264"/>
        <v>56.090000000000025</v>
      </c>
      <c r="EC84" s="173">
        <f t="shared" si="265"/>
        <v>2.1257846509342793</v>
      </c>
      <c r="ED84" s="173">
        <f t="shared" si="304"/>
        <v>26.385551318826462</v>
      </c>
      <c r="EE84" s="460">
        <f t="shared" si="266"/>
        <v>9.7774062830204898</v>
      </c>
      <c r="EF84" s="5">
        <f t="shared" si="267"/>
        <v>2.0751309882938616</v>
      </c>
      <c r="EG84" s="5"/>
      <c r="EH84" s="173">
        <f t="shared" si="305"/>
        <v>3.320897399919386</v>
      </c>
      <c r="EI84" s="173">
        <f t="shared" si="268"/>
        <v>3.4209867120956949</v>
      </c>
      <c r="EJ84" s="173"/>
      <c r="EK84" s="528">
        <f t="shared" si="269"/>
        <v>0.13234031448949607</v>
      </c>
      <c r="EL84" s="528">
        <f t="shared" si="270"/>
        <v>3.0972446823588222</v>
      </c>
      <c r="EM84" s="528">
        <f t="shared" si="271"/>
        <v>4.0250000000000001E-2</v>
      </c>
      <c r="EN84" s="528">
        <f t="shared" si="272"/>
        <v>0.54831797999999998</v>
      </c>
      <c r="EO84">
        <f t="shared" si="273"/>
        <v>1.26E-2</v>
      </c>
      <c r="EP84" s="460">
        <f t="shared" si="306"/>
        <v>52.85</v>
      </c>
      <c r="EQ84" s="528">
        <f t="shared" si="274"/>
        <v>3.9920098540322879</v>
      </c>
      <c r="ER84" s="460">
        <f t="shared" si="307"/>
        <v>3992.0098540322879</v>
      </c>
      <c r="ES84" s="528">
        <f t="shared" si="308"/>
        <v>1.324435</v>
      </c>
      <c r="ET84" s="528"/>
      <c r="EV84" s="460">
        <f t="shared" si="309"/>
        <v>1324.4349999999999</v>
      </c>
      <c r="EW84" s="528">
        <f t="shared" si="275"/>
        <v>0.15439703357107876</v>
      </c>
      <c r="EX84" s="528">
        <f t="shared" si="276"/>
        <v>0.1638441011806944</v>
      </c>
      <c r="EY84" s="528">
        <f t="shared" si="277"/>
        <v>22.455722455870784</v>
      </c>
      <c r="EZ84" s="528">
        <f t="shared" si="278"/>
        <v>23.447292911196289</v>
      </c>
      <c r="FA84" s="528">
        <f t="shared" si="279"/>
        <v>2.386808510638299</v>
      </c>
      <c r="FB84" s="460">
        <f t="shared" si="310"/>
        <v>25834.101421834588</v>
      </c>
      <c r="FC84" s="173">
        <f t="shared" si="311"/>
        <v>31.150546275866876</v>
      </c>
      <c r="FD84" s="5">
        <f t="shared" si="312"/>
        <v>55.300000000000004</v>
      </c>
      <c r="FE84" s="173">
        <f t="shared" si="313"/>
        <v>0.6396720712849594</v>
      </c>
      <c r="FF84" s="5">
        <f t="shared" si="314"/>
        <v>63.967207128495943</v>
      </c>
      <c r="FI84" s="562">
        <f t="shared" si="280"/>
        <v>-50</v>
      </c>
      <c r="FJ84">
        <f t="shared" si="281"/>
        <v>-50</v>
      </c>
      <c r="FL84">
        <f t="shared" si="282"/>
        <v>0.4783241725906261</v>
      </c>
    </row>
    <row r="85" spans="5:168">
      <c r="E85" s="170">
        <v>80</v>
      </c>
      <c r="F85" s="217">
        <f t="shared" si="283"/>
        <v>2</v>
      </c>
      <c r="G85" s="217"/>
      <c r="H85" s="217">
        <f t="shared" si="183"/>
        <v>56</v>
      </c>
      <c r="I85" s="541">
        <f t="shared" si="184"/>
        <v>27.892732190389086</v>
      </c>
      <c r="J85" s="172">
        <f t="shared" si="185"/>
        <v>28.457759589790491</v>
      </c>
      <c r="K85" s="172">
        <f t="shared" si="186"/>
        <v>56.457759589790491</v>
      </c>
      <c r="L85" s="443"/>
      <c r="M85" s="217">
        <f t="shared" si="187"/>
        <v>0.50501712018723155</v>
      </c>
      <c r="N85" s="172">
        <f t="shared" si="188"/>
        <v>118.64467043687576</v>
      </c>
      <c r="O85" s="172">
        <f t="shared" si="284"/>
        <v>56</v>
      </c>
      <c r="P85" s="217">
        <f t="shared" si="189"/>
        <v>4.2373096584598482</v>
      </c>
      <c r="Q85" s="217">
        <f t="shared" si="190"/>
        <v>28</v>
      </c>
      <c r="R85" s="217">
        <f t="shared" si="191"/>
        <v>4.192353358614282</v>
      </c>
      <c r="S85" s="172">
        <f t="shared" si="192"/>
        <v>88.452553892945687</v>
      </c>
      <c r="T85" s="172">
        <f t="shared" si="193"/>
        <v>28</v>
      </c>
      <c r="U85" s="217">
        <f t="shared" si="194"/>
        <v>8.0810875752168148</v>
      </c>
      <c r="V85" s="217">
        <f t="shared" si="195"/>
        <v>1.361684877059339</v>
      </c>
      <c r="W85" s="217">
        <f t="shared" si="196"/>
        <v>1.334648691639982</v>
      </c>
      <c r="X85" s="197">
        <f t="shared" si="197"/>
        <v>350</v>
      </c>
      <c r="Y85" s="443">
        <f t="shared" si="198"/>
        <v>345.26409899985299</v>
      </c>
      <c r="AA85" s="217">
        <f t="shared" si="199"/>
        <v>8.5630435015554784</v>
      </c>
      <c r="AB85" s="173">
        <f t="shared" si="200"/>
        <v>1.4142471170411293</v>
      </c>
      <c r="AC85" s="173">
        <f t="shared" si="201"/>
        <v>2.1192954274052074</v>
      </c>
      <c r="AD85" s="173"/>
      <c r="AE85" s="173">
        <f t="shared" si="202"/>
        <v>0.55052354410525139</v>
      </c>
      <c r="AF85" s="545">
        <f t="shared" si="203"/>
        <v>2179.7432877286333</v>
      </c>
      <c r="AG85" s="528">
        <f t="shared" si="204"/>
        <v>0.32113873406139665</v>
      </c>
      <c r="AI85" s="173">
        <f t="shared" si="205"/>
        <v>8.3185455225317373</v>
      </c>
      <c r="AJ85" s="173">
        <f t="shared" si="206"/>
        <v>8.3185455225317373</v>
      </c>
      <c r="AK85" s="173">
        <f t="shared" si="207"/>
        <v>4.8927497697765956</v>
      </c>
      <c r="AM85" s="545">
        <f t="shared" si="208"/>
        <v>2000</v>
      </c>
      <c r="AN85" s="460">
        <f t="shared" si="209"/>
        <v>345.26409899985299</v>
      </c>
      <c r="AP85">
        <f t="shared" si="210"/>
        <v>2000</v>
      </c>
      <c r="AQ85">
        <f t="shared" si="211"/>
        <v>345.26409899985299</v>
      </c>
      <c r="AS85" s="5">
        <f t="shared" si="285"/>
        <v>2.8963335686993212</v>
      </c>
      <c r="AT85" s="5">
        <f t="shared" si="212"/>
        <v>1.4016971764913999</v>
      </c>
      <c r="AU85" s="5">
        <f t="shared" si="286"/>
        <v>1.4946363922079213</v>
      </c>
      <c r="AV85" s="5">
        <f t="shared" si="213"/>
        <v>1.3738665488595128</v>
      </c>
      <c r="AW85" s="173">
        <f t="shared" si="287"/>
        <v>0.48395571271194116</v>
      </c>
      <c r="AX85" s="173">
        <f t="shared" si="214"/>
        <v>56.145386996133936</v>
      </c>
      <c r="AY85" s="173">
        <f t="shared" si="215"/>
        <v>2.1463689477240817</v>
      </c>
      <c r="AZ85" s="173">
        <f t="shared" si="288"/>
        <v>26.158311251971902</v>
      </c>
      <c r="BA85" s="460">
        <f t="shared" si="216"/>
        <v>10.012122689224284</v>
      </c>
      <c r="BB85" s="5">
        <f t="shared" si="217"/>
        <v>2.1434062206683699</v>
      </c>
      <c r="BC85" s="5"/>
      <c r="BD85" s="173">
        <f t="shared" si="289"/>
        <v>3.3411008171384764</v>
      </c>
      <c r="BE85" s="173">
        <f t="shared" si="218"/>
        <v>3.4500886751687334</v>
      </c>
      <c r="BF85" s="173"/>
      <c r="BG85" s="528">
        <f t="shared" si="219"/>
        <v>0.13395545604340073</v>
      </c>
      <c r="BH85" s="528">
        <f t="shared" si="220"/>
        <v>2.9592750233951373</v>
      </c>
      <c r="BI85" s="528">
        <f t="shared" si="221"/>
        <v>3.9705371384983097E-2</v>
      </c>
      <c r="BJ85" s="528">
        <f t="shared" si="222"/>
        <v>0.54200705204684951</v>
      </c>
      <c r="BK85">
        <f t="shared" si="223"/>
        <v>1.2551729485675088E-2</v>
      </c>
      <c r="BL85" s="460">
        <f t="shared" si="290"/>
        <v>52.257100870658185</v>
      </c>
      <c r="BM85" s="528">
        <f t="shared" si="224"/>
        <v>3.7920997593613568</v>
      </c>
      <c r="BN85" s="460">
        <f t="shared" si="291"/>
        <v>3792.099759361357</v>
      </c>
      <c r="BO85" s="528">
        <f t="shared" si="225"/>
        <v>1.3411999999999999</v>
      </c>
      <c r="BP85" s="528"/>
      <c r="BR85" s="460">
        <f t="shared" si="292"/>
        <v>1341.2</v>
      </c>
      <c r="BS85" s="528">
        <f t="shared" si="226"/>
        <v>0.15628136538396753</v>
      </c>
      <c r="BT85" s="528">
        <f t="shared" si="227"/>
        <v>0.16664356613138565</v>
      </c>
      <c r="BU85" s="528">
        <f t="shared" si="228"/>
        <v>22.103805674723183</v>
      </c>
      <c r="BV85" s="528">
        <f t="shared" si="229"/>
        <v>23.101024325666245</v>
      </c>
      <c r="BW85" s="528">
        <f t="shared" si="230"/>
        <v>2.3891654040908064</v>
      </c>
      <c r="BX85" s="460">
        <f t="shared" si="293"/>
        <v>25490.18972975705</v>
      </c>
      <c r="BY85" s="173">
        <f t="shared" si="231"/>
        <v>30.675746589989068</v>
      </c>
      <c r="BZ85" s="5">
        <f t="shared" si="294"/>
        <v>56</v>
      </c>
      <c r="CA85" s="173">
        <f t="shared" si="295"/>
        <v>0.64608615677580927</v>
      </c>
      <c r="CB85" s="5">
        <f t="shared" si="296"/>
        <v>64.608615677580929</v>
      </c>
      <c r="CE85" s="562">
        <f t="shared" si="232"/>
        <v>-50</v>
      </c>
      <c r="CF85">
        <f t="shared" si="233"/>
        <v>-50</v>
      </c>
      <c r="CG85" s="173">
        <f t="shared" si="234"/>
        <v>0.48476798574163293</v>
      </c>
      <c r="CI85" s="170">
        <v>80</v>
      </c>
      <c r="CJ85" s="217">
        <f t="shared" si="297"/>
        <v>2</v>
      </c>
      <c r="CK85" s="217"/>
      <c r="CL85" s="217">
        <f t="shared" si="235"/>
        <v>56</v>
      </c>
      <c r="CM85" s="541">
        <f t="shared" si="236"/>
        <v>28</v>
      </c>
      <c r="CN85" s="172">
        <f t="shared" si="237"/>
        <v>28.4</v>
      </c>
      <c r="CO85" s="443">
        <f t="shared" si="238"/>
        <v>56.4</v>
      </c>
      <c r="CP85" s="443"/>
      <c r="CQ85" s="217">
        <f t="shared" si="239"/>
        <v>0.50354609929078009</v>
      </c>
      <c r="CR85" s="172">
        <f t="shared" si="240"/>
        <v>118.75402645742166</v>
      </c>
      <c r="CS85" s="172">
        <f t="shared" si="298"/>
        <v>56</v>
      </c>
      <c r="CT85" s="217">
        <f t="shared" si="241"/>
        <v>4.2412152306222017</v>
      </c>
      <c r="CU85" s="217">
        <f t="shared" si="242"/>
        <v>28</v>
      </c>
      <c r="CV85" s="217">
        <f t="shared" si="243"/>
        <v>4.1962174940898347</v>
      </c>
      <c r="CW85" s="172">
        <f t="shared" si="244"/>
        <v>88.792238131567899</v>
      </c>
      <c r="CX85" s="172">
        <f t="shared" si="245"/>
        <v>28</v>
      </c>
      <c r="CY85" s="217">
        <f t="shared" si="246"/>
        <v>7.9436619718309869</v>
      </c>
      <c r="CZ85" s="217">
        <f t="shared" si="247"/>
        <v>1.333400402414487</v>
      </c>
      <c r="DA85" s="217">
        <f t="shared" si="248"/>
        <v>1.3146201150565366</v>
      </c>
      <c r="DB85" s="197">
        <f t="shared" si="249"/>
        <v>350</v>
      </c>
      <c r="DC85" s="443">
        <f t="shared" si="299"/>
        <v>350</v>
      </c>
      <c r="DE85" s="217">
        <f t="shared" si="250"/>
        <v>8.5709974347366842</v>
      </c>
      <c r="DF85" s="173">
        <f t="shared" si="251"/>
        <v>1.418439716312057</v>
      </c>
      <c r="DG85" s="173">
        <f t="shared" si="252"/>
        <v>2.1275525547218721</v>
      </c>
      <c r="DH85" s="173"/>
      <c r="DI85" s="173">
        <f t="shared" si="253"/>
        <v>0.55164319248826299</v>
      </c>
      <c r="DJ85" s="545">
        <f t="shared" si="300"/>
        <v>2175.3191489361702</v>
      </c>
      <c r="DK85" s="528">
        <f t="shared" si="254"/>
        <v>0.3217918622848201</v>
      </c>
      <c r="DM85" s="173">
        <f t="shared" si="255"/>
        <v>8.3100993231054954</v>
      </c>
      <c r="DN85" s="173">
        <f t="shared" si="256"/>
        <v>8.3100993231054954</v>
      </c>
      <c r="DO85" s="173">
        <f t="shared" si="257"/>
        <v>4.886493325757157</v>
      </c>
      <c r="DQ85" s="545">
        <f t="shared" si="258"/>
        <v>2000</v>
      </c>
      <c r="DR85" s="460">
        <f t="shared" si="259"/>
        <v>350</v>
      </c>
      <c r="DT85">
        <f t="shared" si="260"/>
        <v>2000</v>
      </c>
      <c r="DU85">
        <f t="shared" si="261"/>
        <v>350</v>
      </c>
      <c r="DW85" s="5">
        <f t="shared" si="301"/>
        <v>2.8571428571428572</v>
      </c>
      <c r="DX85" s="5">
        <f t="shared" si="262"/>
        <v>1.3949095292355653</v>
      </c>
      <c r="DY85" s="5">
        <f t="shared" si="302"/>
        <v>1.4622333279072919</v>
      </c>
      <c r="DZ85" s="5">
        <f t="shared" si="263"/>
        <v>1.3752629161477405</v>
      </c>
      <c r="EA85" s="173">
        <f t="shared" si="303"/>
        <v>0.48821833523244784</v>
      </c>
      <c r="EB85" s="173">
        <f t="shared" si="264"/>
        <v>56.8</v>
      </c>
      <c r="EC85" s="173">
        <f t="shared" si="265"/>
        <v>2.1264782329813192</v>
      </c>
      <c r="ED85" s="173">
        <f t="shared" si="304"/>
        <v>26.710830667834529</v>
      </c>
      <c r="EE85" s="460">
        <f t="shared" si="266"/>
        <v>9.963639494539752</v>
      </c>
      <c r="EF85" s="5">
        <f t="shared" si="267"/>
        <v>2.0889047541532739</v>
      </c>
      <c r="EG85" s="5"/>
      <c r="EH85" s="173">
        <f t="shared" si="305"/>
        <v>3.3523752828348017</v>
      </c>
      <c r="EI85" s="173">
        <f t="shared" si="268"/>
        <v>3.4323214034135976</v>
      </c>
      <c r="EJ85" s="173"/>
      <c r="EK85" s="528">
        <f t="shared" si="269"/>
        <v>0.13486104044354061</v>
      </c>
      <c r="EL85" s="528">
        <f t="shared" si="270"/>
        <v>3.1167858521239475</v>
      </c>
      <c r="EM85" s="528">
        <f t="shared" si="271"/>
        <v>4.0250000000000001E-2</v>
      </c>
      <c r="EN85" s="528">
        <f t="shared" si="272"/>
        <v>0.54831797999999998</v>
      </c>
      <c r="EO85">
        <f t="shared" si="273"/>
        <v>1.26E-2</v>
      </c>
      <c r="EP85" s="460">
        <f t="shared" si="306"/>
        <v>52.85</v>
      </c>
      <c r="EQ85" s="528">
        <f t="shared" si="274"/>
        <v>4.0179752675201161</v>
      </c>
      <c r="ER85" s="460">
        <f t="shared" si="307"/>
        <v>4017.9752675201162</v>
      </c>
      <c r="ES85" s="528">
        <f t="shared" si="308"/>
        <v>1.3411999999999999</v>
      </c>
      <c r="ET85" s="528"/>
      <c r="EV85" s="460">
        <f t="shared" si="309"/>
        <v>1341.2</v>
      </c>
      <c r="EW85" s="528">
        <f t="shared" si="275"/>
        <v>0.15733788051746403</v>
      </c>
      <c r="EX85" s="528">
        <f t="shared" si="276"/>
        <v>0.16493162302863523</v>
      </c>
      <c r="EY85" s="528">
        <f t="shared" si="277"/>
        <v>22.811594953341547</v>
      </c>
      <c r="EZ85" s="528">
        <f t="shared" si="278"/>
        <v>23.825466847555983</v>
      </c>
      <c r="FA85" s="528">
        <f t="shared" si="279"/>
        <v>2.4170212765957446</v>
      </c>
      <c r="FB85" s="460">
        <f t="shared" si="310"/>
        <v>26242.488124151729</v>
      </c>
      <c r="FC85" s="173">
        <f t="shared" si="311"/>
        <v>31.601663391671842</v>
      </c>
      <c r="FD85" s="5">
        <f t="shared" si="312"/>
        <v>56</v>
      </c>
      <c r="FE85" s="173">
        <f t="shared" si="313"/>
        <v>0.63925726786283643</v>
      </c>
      <c r="FF85" s="5">
        <f t="shared" si="314"/>
        <v>63.92572678628364</v>
      </c>
      <c r="FI85" s="562">
        <f t="shared" si="280"/>
        <v>-50</v>
      </c>
      <c r="FJ85">
        <f t="shared" si="281"/>
        <v>-50</v>
      </c>
      <c r="FL85">
        <f t="shared" si="282"/>
        <v>0.48134202065170917</v>
      </c>
    </row>
    <row r="86" spans="5:168">
      <c r="E86" s="170">
        <v>81</v>
      </c>
      <c r="F86" s="217">
        <f t="shared" si="283"/>
        <v>2.0250000000000004</v>
      </c>
      <c r="G86" s="217"/>
      <c r="H86" s="217">
        <f t="shared" si="183"/>
        <v>56.70000000000001</v>
      </c>
      <c r="I86" s="541">
        <f t="shared" si="184"/>
        <v>27.892063848660619</v>
      </c>
      <c r="J86" s="172">
        <f t="shared" si="185"/>
        <v>28.458119466105817</v>
      </c>
      <c r="K86" s="172">
        <f t="shared" si="186"/>
        <v>56.458119466105813</v>
      </c>
      <c r="L86" s="443"/>
      <c r="M86" s="217">
        <f t="shared" si="187"/>
        <v>0.50502629355045103</v>
      </c>
      <c r="N86" s="172">
        <f t="shared" si="188"/>
        <v>118.64398263974751</v>
      </c>
      <c r="O86" s="172">
        <f t="shared" si="284"/>
        <v>56.70000000000001</v>
      </c>
      <c r="P86" s="217">
        <f t="shared" si="189"/>
        <v>4.2372850942766966</v>
      </c>
      <c r="Q86" s="217">
        <f t="shared" si="190"/>
        <v>28</v>
      </c>
      <c r="R86" s="217">
        <f t="shared" si="191"/>
        <v>4.1923290550480949</v>
      </c>
      <c r="S86" s="172">
        <f t="shared" si="192"/>
        <v>87.01771849968128</v>
      </c>
      <c r="T86" s="172">
        <f t="shared" si="193"/>
        <v>28</v>
      </c>
      <c r="U86" s="217">
        <f t="shared" si="194"/>
        <v>8.1822528090445186</v>
      </c>
      <c r="V86" s="217">
        <f t="shared" si="195"/>
        <v>1.3787645263961319</v>
      </c>
      <c r="W86" s="217">
        <f t="shared" si="196"/>
        <v>1.3513397555418865</v>
      </c>
      <c r="X86" s="197">
        <f t="shared" si="197"/>
        <v>350</v>
      </c>
      <c r="Y86" s="443">
        <f t="shared" si="198"/>
        <v>341.28478162510442</v>
      </c>
      <c r="AA86" s="217">
        <f t="shared" si="199"/>
        <v>8.5629934810048276</v>
      </c>
      <c r="AB86" s="173">
        <f t="shared" si="200"/>
        <v>1.4142209715809422</v>
      </c>
      <c r="AC86" s="173">
        <f t="shared" si="201"/>
        <v>2.1192438680608863</v>
      </c>
      <c r="AD86" s="173"/>
      <c r="AE86" s="173">
        <f t="shared" si="202"/>
        <v>0.55051658228246514</v>
      </c>
      <c r="AF86" s="545">
        <f t="shared" si="203"/>
        <v>2207.0179883820369</v>
      </c>
      <c r="AG86" s="528">
        <f t="shared" si="204"/>
        <v>0.32113467299810466</v>
      </c>
      <c r="AI86" s="173">
        <f t="shared" si="205"/>
        <v>8.3704278936765988</v>
      </c>
      <c r="AJ86" s="173">
        <f t="shared" si="206"/>
        <v>8.3704278936765988</v>
      </c>
      <c r="AK86" s="173">
        <f t="shared" si="207"/>
        <v>4.931181155809826</v>
      </c>
      <c r="AM86" s="545">
        <f t="shared" si="208"/>
        <v>2025.0000000000005</v>
      </c>
      <c r="AN86" s="460">
        <f t="shared" si="209"/>
        <v>341.28478162510442</v>
      </c>
      <c r="AP86">
        <f t="shared" si="210"/>
        <v>2025.0000000000005</v>
      </c>
      <c r="AQ86">
        <f t="shared" si="211"/>
        <v>341.28478162510442</v>
      </c>
      <c r="AS86" s="5">
        <f t="shared" si="285"/>
        <v>2.9301042819380183</v>
      </c>
      <c r="AT86" s="5">
        <f t="shared" si="212"/>
        <v>1.4104732913899869</v>
      </c>
      <c r="AU86" s="5">
        <f t="shared" si="286"/>
        <v>1.5196309905480314</v>
      </c>
      <c r="AV86" s="5">
        <f t="shared" si="213"/>
        <v>1.3824178068805963</v>
      </c>
      <c r="AW86" s="173">
        <f t="shared" si="287"/>
        <v>0.48137306924007395</v>
      </c>
      <c r="AX86" s="173">
        <f t="shared" si="214"/>
        <v>56.192726434538265</v>
      </c>
      <c r="AY86" s="173">
        <f t="shared" si="215"/>
        <v>2.1705646638223834</v>
      </c>
      <c r="AZ86" s="173">
        <f t="shared" si="288"/>
        <v>25.888529086980704</v>
      </c>
      <c r="BA86" s="460">
        <f t="shared" si="216"/>
        <v>10.20074433951687</v>
      </c>
      <c r="BB86" s="5">
        <f t="shared" si="217"/>
        <v>2.2065436050602858</v>
      </c>
      <c r="BC86" s="5"/>
      <c r="BD86" s="173">
        <f t="shared" si="289"/>
        <v>3.3529565614575625</v>
      </c>
      <c r="BE86" s="173">
        <f t="shared" si="218"/>
        <v>3.4802830351460061</v>
      </c>
      <c r="BF86" s="173"/>
      <c r="BG86" s="528">
        <f t="shared" si="219"/>
        <v>0.13490781243625585</v>
      </c>
      <c r="BH86" s="528">
        <f t="shared" si="220"/>
        <v>2.9434310006405653</v>
      </c>
      <c r="BI86" s="528">
        <f t="shared" si="221"/>
        <v>3.9247749886887014E-2</v>
      </c>
      <c r="BJ86" s="528">
        <f t="shared" si="222"/>
        <v>0.53576701761066459</v>
      </c>
      <c r="BK86">
        <f t="shared" si="223"/>
        <v>1.2551428731897279E-2</v>
      </c>
      <c r="BL86" s="460">
        <f t="shared" si="290"/>
        <v>51.799178618784289</v>
      </c>
      <c r="BM86" s="528">
        <f t="shared" si="224"/>
        <v>3.7714204129025477</v>
      </c>
      <c r="BN86" s="460">
        <f t="shared" si="291"/>
        <v>3771.4204129025479</v>
      </c>
      <c r="BO86" s="528">
        <f t="shared" si="225"/>
        <v>1.3579650000000001</v>
      </c>
      <c r="BP86" s="528"/>
      <c r="BR86" s="460">
        <f t="shared" si="292"/>
        <v>1357.9650000000001</v>
      </c>
      <c r="BS86" s="528">
        <f t="shared" si="226"/>
        <v>0.1573924478422985</v>
      </c>
      <c r="BT86" s="528">
        <f t="shared" si="227"/>
        <v>0.16957318006615135</v>
      </c>
      <c r="BU86" s="528">
        <f t="shared" si="228"/>
        <v>21.808784469139919</v>
      </c>
      <c r="BV86" s="528">
        <f t="shared" si="229"/>
        <v>22.810892059374005</v>
      </c>
      <c r="BW86" s="528">
        <f t="shared" si="230"/>
        <v>2.3911798482782243</v>
      </c>
      <c r="BX86" s="460">
        <f t="shared" si="293"/>
        <v>25202.071907652229</v>
      </c>
      <c r="BY86" s="173">
        <f t="shared" si="231"/>
        <v>30.383256499173559</v>
      </c>
      <c r="BZ86" s="5">
        <f t="shared" si="294"/>
        <v>56.70000000000001</v>
      </c>
      <c r="CA86" s="173">
        <f t="shared" si="295"/>
        <v>0.65110105293935694</v>
      </c>
      <c r="CB86" s="5">
        <f t="shared" si="296"/>
        <v>65.110105293935689</v>
      </c>
      <c r="CE86" s="562">
        <f t="shared" si="232"/>
        <v>-50</v>
      </c>
      <c r="CF86">
        <f t="shared" si="233"/>
        <v>-50</v>
      </c>
      <c r="CG86" s="173">
        <f t="shared" si="234"/>
        <v>0.48778837624527299</v>
      </c>
      <c r="CI86" s="170">
        <v>81</v>
      </c>
      <c r="CJ86" s="217">
        <f t="shared" si="297"/>
        <v>2.0250000000000004</v>
      </c>
      <c r="CK86" s="217"/>
      <c r="CL86" s="217">
        <f t="shared" si="235"/>
        <v>56.70000000000001</v>
      </c>
      <c r="CM86" s="541">
        <f t="shared" si="236"/>
        <v>28</v>
      </c>
      <c r="CN86" s="172">
        <f t="shared" si="237"/>
        <v>28.4</v>
      </c>
      <c r="CO86" s="443">
        <f t="shared" si="238"/>
        <v>56.4</v>
      </c>
      <c r="CP86" s="443"/>
      <c r="CQ86" s="217">
        <f t="shared" si="239"/>
        <v>0.50354609929078009</v>
      </c>
      <c r="CR86" s="172">
        <f t="shared" si="240"/>
        <v>118.75402645742166</v>
      </c>
      <c r="CS86" s="172">
        <f t="shared" si="298"/>
        <v>56.70000000000001</v>
      </c>
      <c r="CT86" s="217">
        <f t="shared" si="241"/>
        <v>4.2412152306222017</v>
      </c>
      <c r="CU86" s="217">
        <f t="shared" si="242"/>
        <v>28</v>
      </c>
      <c r="CV86" s="217">
        <f t="shared" si="243"/>
        <v>4.1962174940898347</v>
      </c>
      <c r="CW86" s="172">
        <f t="shared" si="244"/>
        <v>87.353967006311663</v>
      </c>
      <c r="CX86" s="172">
        <f t="shared" si="245"/>
        <v>28</v>
      </c>
      <c r="CY86" s="217">
        <f t="shared" si="246"/>
        <v>8.0429577464788746</v>
      </c>
      <c r="CZ86" s="217">
        <f t="shared" si="247"/>
        <v>1.3500679074446682</v>
      </c>
      <c r="DA86" s="217">
        <f t="shared" si="248"/>
        <v>1.3310528664947434</v>
      </c>
      <c r="DB86" s="197">
        <f t="shared" si="249"/>
        <v>350</v>
      </c>
      <c r="DC86" s="443">
        <f t="shared" si="299"/>
        <v>350</v>
      </c>
      <c r="DE86" s="217">
        <f t="shared" si="250"/>
        <v>8.5709974347366842</v>
      </c>
      <c r="DF86" s="173">
        <f t="shared" si="251"/>
        <v>1.418439716312057</v>
      </c>
      <c r="DG86" s="173">
        <f t="shared" si="252"/>
        <v>2.1275525547218721</v>
      </c>
      <c r="DH86" s="173"/>
      <c r="DI86" s="173">
        <f t="shared" si="253"/>
        <v>0.55164319248826299</v>
      </c>
      <c r="DJ86" s="545">
        <f t="shared" si="300"/>
        <v>2202.5106382978724</v>
      </c>
      <c r="DK86" s="528">
        <f t="shared" si="254"/>
        <v>0.3217918622848201</v>
      </c>
      <c r="DM86" s="173">
        <f t="shared" si="255"/>
        <v>8.3618761438074962</v>
      </c>
      <c r="DN86" s="173">
        <f t="shared" si="256"/>
        <v>8.3618761438074962</v>
      </c>
      <c r="DO86" s="173">
        <f t="shared" si="257"/>
        <v>4.9248465262771566</v>
      </c>
      <c r="DQ86" s="545">
        <f t="shared" si="258"/>
        <v>2025.0000000000005</v>
      </c>
      <c r="DR86" s="460">
        <f t="shared" si="259"/>
        <v>350</v>
      </c>
      <c r="DT86">
        <f t="shared" si="260"/>
        <v>2025.0000000000005</v>
      </c>
      <c r="DU86">
        <f t="shared" si="261"/>
        <v>350</v>
      </c>
      <c r="DW86" s="5">
        <f t="shared" si="301"/>
        <v>2.8571428571428572</v>
      </c>
      <c r="DX86" s="5">
        <f t="shared" si="262"/>
        <v>1.4036006384248296</v>
      </c>
      <c r="DY86" s="5">
        <f t="shared" si="302"/>
        <v>1.4535422187180276</v>
      </c>
      <c r="DZ86" s="5">
        <f t="shared" si="263"/>
        <v>1.3838316153484236</v>
      </c>
      <c r="EA86" s="173">
        <f t="shared" si="303"/>
        <v>0.49126022344869036</v>
      </c>
      <c r="EB86" s="173">
        <f t="shared" si="264"/>
        <v>57.510000000000005</v>
      </c>
      <c r="EC86" s="173">
        <f t="shared" si="265"/>
        <v>2.1270095004751761</v>
      </c>
      <c r="ED86" s="173">
        <f t="shared" si="304"/>
        <v>27.037961037387099</v>
      </c>
      <c r="EE86" s="460">
        <f t="shared" si="266"/>
        <v>10.151040331465287</v>
      </c>
      <c r="EF86" s="5">
        <f t="shared" si="267"/>
        <v>2.102444994931433</v>
      </c>
      <c r="EG86" s="5"/>
      <c r="EH86" s="173">
        <f t="shared" si="305"/>
        <v>3.3837549480336375</v>
      </c>
      <c r="EI86" s="173">
        <f t="shared" si="268"/>
        <v>3.4434275559559619</v>
      </c>
      <c r="EJ86" s="173"/>
      <c r="EK86" s="528">
        <f t="shared" si="269"/>
        <v>0.13739757058010552</v>
      </c>
      <c r="EL86" s="528">
        <f t="shared" si="270"/>
        <v>3.1362052664964395</v>
      </c>
      <c r="EM86" s="528">
        <f t="shared" si="271"/>
        <v>4.0250000000000001E-2</v>
      </c>
      <c r="EN86" s="528">
        <f t="shared" si="272"/>
        <v>0.54831797999999998</v>
      </c>
      <c r="EO86">
        <f t="shared" si="273"/>
        <v>1.26E-2</v>
      </c>
      <c r="EP86" s="460">
        <f t="shared" si="306"/>
        <v>52.85</v>
      </c>
      <c r="EQ86" s="528">
        <f t="shared" si="274"/>
        <v>4.0438834153926004</v>
      </c>
      <c r="ER86" s="460">
        <f t="shared" si="307"/>
        <v>4043.8834153926005</v>
      </c>
      <c r="ES86" s="528">
        <f t="shared" si="308"/>
        <v>1.3579650000000001</v>
      </c>
      <c r="ET86" s="528"/>
      <c r="EV86" s="460">
        <f t="shared" si="309"/>
        <v>1357.9650000000001</v>
      </c>
      <c r="EW86" s="528">
        <f t="shared" si="275"/>
        <v>0.16029716567678975</v>
      </c>
      <c r="EX86" s="528">
        <f t="shared" si="276"/>
        <v>0.16600070666363589</v>
      </c>
      <c r="EY86" s="528">
        <f t="shared" si="277"/>
        <v>23.168581317258688</v>
      </c>
      <c r="EZ86" s="528">
        <f t="shared" si="278"/>
        <v>24.205034787035675</v>
      </c>
      <c r="FA86" s="528">
        <f t="shared" si="279"/>
        <v>2.4472340425531924</v>
      </c>
      <c r="FB86" s="460">
        <f t="shared" si="310"/>
        <v>26652.268829588866</v>
      </c>
      <c r="FC86" s="173">
        <f t="shared" si="311"/>
        <v>32.05411724498147</v>
      </c>
      <c r="FD86" s="5">
        <f t="shared" si="312"/>
        <v>56.70000000000001</v>
      </c>
      <c r="FE86" s="173">
        <f t="shared" si="313"/>
        <v>0.63884360252826544</v>
      </c>
      <c r="FF86" s="5">
        <f t="shared" si="314"/>
        <v>63.884360252826546</v>
      </c>
      <c r="FI86" s="562">
        <f t="shared" si="280"/>
        <v>-50</v>
      </c>
      <c r="FJ86">
        <f t="shared" si="281"/>
        <v>-50</v>
      </c>
      <c r="FL86">
        <f t="shared" si="282"/>
        <v>0.48434106537194827</v>
      </c>
    </row>
    <row r="87" spans="5:168">
      <c r="E87" s="170">
        <v>82</v>
      </c>
      <c r="F87" s="217">
        <f t="shared" si="283"/>
        <v>2.0499999999999998</v>
      </c>
      <c r="G87" s="217"/>
      <c r="H87" s="217">
        <f t="shared" si="183"/>
        <v>57.399999999999991</v>
      </c>
      <c r="I87" s="541">
        <f t="shared" si="184"/>
        <v>27.89082714699396</v>
      </c>
      <c r="J87" s="172">
        <f t="shared" si="185"/>
        <v>28.458785382387866</v>
      </c>
      <c r="K87" s="172">
        <f t="shared" si="186"/>
        <v>56.458785382387866</v>
      </c>
      <c r="L87" s="443"/>
      <c r="M87" s="217">
        <f t="shared" si="187"/>
        <v>0.50504054135846166</v>
      </c>
      <c r="N87" s="172">
        <f t="shared" si="188"/>
        <v>118.64206914065385</v>
      </c>
      <c r="O87" s="172">
        <f t="shared" si="284"/>
        <v>57.399999999999991</v>
      </c>
      <c r="P87" s="217">
        <f t="shared" si="189"/>
        <v>4.2372167550233515</v>
      </c>
      <c r="Q87" s="217">
        <f t="shared" si="190"/>
        <v>28</v>
      </c>
      <c r="R87" s="217">
        <f t="shared" si="191"/>
        <v>4.1922614408491397</v>
      </c>
      <c r="S87" s="172">
        <f t="shared" si="192"/>
        <v>85.616219295405358</v>
      </c>
      <c r="T87" s="172">
        <f t="shared" si="193"/>
        <v>28</v>
      </c>
      <c r="U87" s="217">
        <f t="shared" si="194"/>
        <v>8.2835067163941574</v>
      </c>
      <c r="V87" s="217">
        <f t="shared" si="195"/>
        <v>1.3958883815766876</v>
      </c>
      <c r="W87" s="217">
        <f t="shared" si="196"/>
        <v>1.3680303303157297</v>
      </c>
      <c r="X87" s="197">
        <f t="shared" si="197"/>
        <v>350</v>
      </c>
      <c r="Y87" s="443">
        <f t="shared" si="198"/>
        <v>337.39116932849856</v>
      </c>
      <c r="AA87" s="217">
        <f t="shared" si="199"/>
        <v>8.5629009076883698</v>
      </c>
      <c r="AB87" s="173">
        <f t="shared" si="200"/>
        <v>1.4141725911831056</v>
      </c>
      <c r="AC87" s="173">
        <f t="shared" si="201"/>
        <v>2.1191484588172202</v>
      </c>
      <c r="AD87" s="173"/>
      <c r="AE87" s="173">
        <f t="shared" si="202"/>
        <v>0.55050370056770626</v>
      </c>
      <c r="AF87" s="545">
        <f t="shared" si="203"/>
        <v>2234.3174055534305</v>
      </c>
      <c r="AG87" s="528">
        <f t="shared" si="204"/>
        <v>0.32112715866449532</v>
      </c>
      <c r="AI87" s="173">
        <f t="shared" si="205"/>
        <v>8.4220372409180477</v>
      </c>
      <c r="AJ87" s="173">
        <f t="shared" si="206"/>
        <v>8.4220372409180477</v>
      </c>
      <c r="AK87" s="173">
        <f t="shared" si="207"/>
        <v>4.9694103019146025</v>
      </c>
      <c r="AM87" s="545">
        <f t="shared" si="208"/>
        <v>2050</v>
      </c>
      <c r="AN87" s="460">
        <f t="shared" si="209"/>
        <v>337.39116932849856</v>
      </c>
      <c r="AP87">
        <f t="shared" si="210"/>
        <v>2050</v>
      </c>
      <c r="AQ87">
        <f t="shared" si="211"/>
        <v>337.39116932849856</v>
      </c>
      <c r="AS87" s="5">
        <f t="shared" si="285"/>
        <v>2.9639187118924175</v>
      </c>
      <c r="AT87" s="5">
        <f t="shared" si="212"/>
        <v>1.4192327399863827</v>
      </c>
      <c r="AU87" s="5">
        <f t="shared" si="286"/>
        <v>1.5446859719060348</v>
      </c>
      <c r="AV87" s="5">
        <f t="shared" si="213"/>
        <v>1.3909088002333261</v>
      </c>
      <c r="AW87" s="173">
        <f t="shared" si="287"/>
        <v>0.47883659369329462</v>
      </c>
      <c r="AX87" s="173">
        <f t="shared" si="214"/>
        <v>56.238779713019653</v>
      </c>
      <c r="AY87" s="173">
        <f t="shared" si="215"/>
        <v>2.1946288082593886</v>
      </c>
      <c r="AZ87" s="173">
        <f t="shared" si="288"/>
        <v>25.625645440070546</v>
      </c>
      <c r="BA87" s="460">
        <f t="shared" si="216"/>
        <v>10.390811132043158</v>
      </c>
      <c r="BB87" s="5">
        <f t="shared" si="217"/>
        <v>2.2707151894193021</v>
      </c>
      <c r="BC87" s="5"/>
      <c r="BD87" s="173">
        <f t="shared" si="289"/>
        <v>3.3647298148640976</v>
      </c>
      <c r="BE87" s="173">
        <f t="shared" si="218"/>
        <v>3.5102939623486575</v>
      </c>
      <c r="BF87" s="173"/>
      <c r="BG87" s="528">
        <f t="shared" si="219"/>
        <v>0.13585688072442462</v>
      </c>
      <c r="BH87" s="528">
        <f t="shared" si="220"/>
        <v>2.9278260360725823</v>
      </c>
      <c r="BI87" s="528">
        <f t="shared" si="221"/>
        <v>3.8799984472777341E-2</v>
      </c>
      <c r="BJ87" s="528">
        <f t="shared" si="222"/>
        <v>0.52966711225137031</v>
      </c>
      <c r="BK87">
        <f t="shared" si="223"/>
        <v>1.2550872216147282E-2</v>
      </c>
      <c r="BL87" s="460">
        <f t="shared" si="290"/>
        <v>51.350856688924623</v>
      </c>
      <c r="BM87" s="528">
        <f t="shared" si="224"/>
        <v>3.7511158879813826</v>
      </c>
      <c r="BN87" s="460">
        <f t="shared" si="291"/>
        <v>3751.1158879813825</v>
      </c>
      <c r="BO87" s="528">
        <f t="shared" si="225"/>
        <v>1.3747299999999998</v>
      </c>
      <c r="BP87" s="528"/>
      <c r="BR87" s="460">
        <f t="shared" si="292"/>
        <v>1374.7299999999998</v>
      </c>
      <c r="BS87" s="528">
        <f t="shared" si="226"/>
        <v>0.15849969417849538</v>
      </c>
      <c r="BT87" s="528">
        <f t="shared" si="227"/>
        <v>0.17251029182942013</v>
      </c>
      <c r="BU87" s="528">
        <f t="shared" si="228"/>
        <v>21.520243281137144</v>
      </c>
      <c r="BV87" s="528">
        <f t="shared" si="229"/>
        <v>22.527234838892465</v>
      </c>
      <c r="BW87" s="528">
        <f t="shared" si="230"/>
        <v>2.393139562256156</v>
      </c>
      <c r="BX87" s="460">
        <f t="shared" si="293"/>
        <v>24920.37440114862</v>
      </c>
      <c r="BY87" s="173">
        <f t="shared" si="231"/>
        <v>30.097571145818925</v>
      </c>
      <c r="BZ87" s="5">
        <f t="shared" si="294"/>
        <v>57.399999999999991</v>
      </c>
      <c r="CA87" s="173">
        <f t="shared" si="295"/>
        <v>0.65601820997225324</v>
      </c>
      <c r="CB87" s="5">
        <f t="shared" si="296"/>
        <v>65.601820997225317</v>
      </c>
      <c r="CE87" s="562">
        <f t="shared" si="232"/>
        <v>-50</v>
      </c>
      <c r="CF87">
        <f t="shared" si="233"/>
        <v>-50</v>
      </c>
      <c r="CG87" s="173">
        <f t="shared" si="234"/>
        <v>0.48821660818051821</v>
      </c>
      <c r="CI87" s="170">
        <v>82</v>
      </c>
      <c r="CJ87" s="217">
        <f t="shared" si="297"/>
        <v>2.0499999999999998</v>
      </c>
      <c r="CK87" s="217"/>
      <c r="CL87" s="217">
        <f t="shared" si="235"/>
        <v>57.399999999999991</v>
      </c>
      <c r="CM87" s="541">
        <f t="shared" si="236"/>
        <v>28</v>
      </c>
      <c r="CN87" s="172">
        <f t="shared" si="237"/>
        <v>28.4</v>
      </c>
      <c r="CO87" s="443">
        <f t="shared" si="238"/>
        <v>56.4</v>
      </c>
      <c r="CP87" s="443"/>
      <c r="CQ87" s="217">
        <f t="shared" si="239"/>
        <v>0.50354609929078009</v>
      </c>
      <c r="CR87" s="172">
        <f t="shared" si="240"/>
        <v>118.75402645742166</v>
      </c>
      <c r="CS87" s="172">
        <f t="shared" si="298"/>
        <v>57.399999999999991</v>
      </c>
      <c r="CT87" s="217">
        <f t="shared" si="241"/>
        <v>4.2412152306222017</v>
      </c>
      <c r="CU87" s="217">
        <f t="shared" si="242"/>
        <v>28</v>
      </c>
      <c r="CV87" s="217">
        <f t="shared" si="243"/>
        <v>4.1962174940898347</v>
      </c>
      <c r="CW87" s="172">
        <f t="shared" si="244"/>
        <v>85.950841637401197</v>
      </c>
      <c r="CX87" s="172">
        <f t="shared" si="245"/>
        <v>28</v>
      </c>
      <c r="CY87" s="217">
        <f t="shared" si="246"/>
        <v>8.1422535211267597</v>
      </c>
      <c r="CZ87" s="217">
        <f t="shared" si="247"/>
        <v>1.366735412474849</v>
      </c>
      <c r="DA87" s="217">
        <f t="shared" si="248"/>
        <v>1.3474856179329497</v>
      </c>
      <c r="DB87" s="197">
        <f t="shared" si="249"/>
        <v>350</v>
      </c>
      <c r="DC87" s="443">
        <f t="shared" si="299"/>
        <v>350</v>
      </c>
      <c r="DE87" s="217">
        <f t="shared" si="250"/>
        <v>8.5709974347366842</v>
      </c>
      <c r="DF87" s="173">
        <f t="shared" si="251"/>
        <v>1.418439716312057</v>
      </c>
      <c r="DG87" s="173">
        <f t="shared" si="252"/>
        <v>2.1275525547218721</v>
      </c>
      <c r="DH87" s="173"/>
      <c r="DI87" s="173">
        <f t="shared" si="253"/>
        <v>0.55164319248826299</v>
      </c>
      <c r="DJ87" s="545">
        <f t="shared" si="300"/>
        <v>2229.7021276595742</v>
      </c>
      <c r="DK87" s="528">
        <f t="shared" si="254"/>
        <v>0.3217918622848201</v>
      </c>
      <c r="DM87" s="173">
        <f t="shared" si="255"/>
        <v>8.4133343288422449</v>
      </c>
      <c r="DN87" s="173">
        <f t="shared" si="256"/>
        <v>8.4133343288422449</v>
      </c>
      <c r="DO87" s="173">
        <f t="shared" si="257"/>
        <v>4.9629637003769709</v>
      </c>
      <c r="DQ87" s="545">
        <f t="shared" si="258"/>
        <v>2050</v>
      </c>
      <c r="DR87" s="460">
        <f t="shared" si="259"/>
        <v>350</v>
      </c>
      <c r="DT87">
        <f t="shared" si="260"/>
        <v>2050</v>
      </c>
      <c r="DU87">
        <f t="shared" si="261"/>
        <v>350</v>
      </c>
      <c r="DW87" s="5">
        <f t="shared" si="301"/>
        <v>2.8571428571428572</v>
      </c>
      <c r="DX87" s="5">
        <f t="shared" si="262"/>
        <v>1.4122382623413765</v>
      </c>
      <c r="DY87" s="5">
        <f t="shared" si="302"/>
        <v>1.4449045948014807</v>
      </c>
      <c r="DZ87" s="5">
        <f t="shared" si="263"/>
        <v>1.3923475825900897</v>
      </c>
      <c r="EA87" s="173">
        <f t="shared" si="303"/>
        <v>0.49428339181948178</v>
      </c>
      <c r="EB87" s="173">
        <f t="shared" si="264"/>
        <v>58.220000000000006</v>
      </c>
      <c r="EC87" s="173">
        <f t="shared" si="265"/>
        <v>2.1273814501354082</v>
      </c>
      <c r="ED87" s="173">
        <f t="shared" si="304"/>
        <v>27.366977368489461</v>
      </c>
      <c r="EE87" s="460">
        <f t="shared" si="266"/>
        <v>10.339601563570792</v>
      </c>
      <c r="EF87" s="5">
        <f t="shared" si="267"/>
        <v>2.1157531566735965</v>
      </c>
      <c r="EG87" s="5"/>
      <c r="EH87" s="173">
        <f t="shared" si="305"/>
        <v>3.415037908961994</v>
      </c>
      <c r="EI87" s="173">
        <f t="shared" si="268"/>
        <v>3.4543085545413601</v>
      </c>
      <c r="EJ87" s="173"/>
      <c r="EK87" s="528">
        <f t="shared" si="269"/>
        <v>0.13994980703577009</v>
      </c>
      <c r="EL87" s="528">
        <f t="shared" si="270"/>
        <v>3.1555051733755723</v>
      </c>
      <c r="EM87" s="528">
        <f t="shared" si="271"/>
        <v>4.0250000000000001E-2</v>
      </c>
      <c r="EN87" s="528">
        <f t="shared" si="272"/>
        <v>0.54831797999999998</v>
      </c>
      <c r="EO87">
        <f t="shared" si="273"/>
        <v>1.26E-2</v>
      </c>
      <c r="EP87" s="460">
        <f t="shared" si="306"/>
        <v>52.85</v>
      </c>
      <c r="EQ87" s="528">
        <f t="shared" si="274"/>
        <v>4.0697365912201349</v>
      </c>
      <c r="ER87" s="460">
        <f t="shared" si="307"/>
        <v>4069.7365912201349</v>
      </c>
      <c r="ES87" s="528">
        <f t="shared" si="308"/>
        <v>1.3747299999999998</v>
      </c>
      <c r="ET87" s="528"/>
      <c r="EV87" s="460">
        <f t="shared" si="309"/>
        <v>1374.7299999999998</v>
      </c>
      <c r="EW87" s="528">
        <f t="shared" si="275"/>
        <v>0.16327477487506512</v>
      </c>
      <c r="EX87" s="528">
        <f t="shared" si="276"/>
        <v>0.1670514662596867</v>
      </c>
      <c r="EY87" s="528">
        <f t="shared" si="277"/>
        <v>23.526671217582617</v>
      </c>
      <c r="EZ87" s="528">
        <f t="shared" si="278"/>
        <v>24.585987503519597</v>
      </c>
      <c r="FA87" s="528">
        <f t="shared" si="279"/>
        <v>2.4774468085106389</v>
      </c>
      <c r="FB87" s="460">
        <f t="shared" si="310"/>
        <v>27063.434312030236</v>
      </c>
      <c r="FC87" s="173">
        <f t="shared" si="311"/>
        <v>32.507900903250373</v>
      </c>
      <c r="FD87" s="5">
        <f t="shared" si="312"/>
        <v>57.399999999999991</v>
      </c>
      <c r="FE87" s="173">
        <f t="shared" si="313"/>
        <v>0.63843109919525276</v>
      </c>
      <c r="FF87" s="5">
        <f t="shared" si="314"/>
        <v>63.843109919525276</v>
      </c>
      <c r="FI87" s="562">
        <f t="shared" si="280"/>
        <v>-50</v>
      </c>
      <c r="FJ87">
        <f t="shared" si="281"/>
        <v>-50</v>
      </c>
      <c r="FL87">
        <f t="shared" si="282"/>
        <v>0.48732165390653137</v>
      </c>
    </row>
    <row r="88" spans="5:168">
      <c r="E88" s="170">
        <v>83</v>
      </c>
      <c r="F88" s="217">
        <f t="shared" si="283"/>
        <v>2.0749999999999997</v>
      </c>
      <c r="G88" s="217"/>
      <c r="H88" s="217">
        <f t="shared" si="183"/>
        <v>58.099999999999994</v>
      </c>
      <c r="I88" s="541">
        <f t="shared" si="184"/>
        <v>27.888811446936188</v>
      </c>
      <c r="J88" s="172">
        <f t="shared" si="185"/>
        <v>28.459870759342049</v>
      </c>
      <c r="K88" s="172">
        <f t="shared" si="186"/>
        <v>56.459870759342053</v>
      </c>
      <c r="L88" s="443"/>
      <c r="M88" s="217">
        <f t="shared" si="187"/>
        <v>0.50506175263616915</v>
      </c>
      <c r="N88" s="172">
        <f t="shared" si="188"/>
        <v>118.63847725772919</v>
      </c>
      <c r="O88" s="172">
        <f t="shared" si="284"/>
        <v>58.099999999999994</v>
      </c>
      <c r="P88" s="217">
        <f t="shared" si="189"/>
        <v>4.2370884734903287</v>
      </c>
      <c r="Q88" s="217">
        <f t="shared" si="190"/>
        <v>28</v>
      </c>
      <c r="R88" s="217">
        <f t="shared" si="191"/>
        <v>4.1921345203360865</v>
      </c>
      <c r="S88" s="172">
        <f t="shared" si="192"/>
        <v>84.246237340183157</v>
      </c>
      <c r="T88" s="172">
        <f t="shared" si="193"/>
        <v>28</v>
      </c>
      <c r="U88" s="217">
        <f t="shared" si="194"/>
        <v>8.3848844216505274</v>
      </c>
      <c r="V88" s="217">
        <f t="shared" si="195"/>
        <v>1.4130740873177967</v>
      </c>
      <c r="W88" s="217">
        <f t="shared" si="196"/>
        <v>1.3847201596592407</v>
      </c>
      <c r="X88" s="197">
        <f t="shared" si="197"/>
        <v>350</v>
      </c>
      <c r="Y88" s="443">
        <f t="shared" si="198"/>
        <v>333.57859733315439</v>
      </c>
      <c r="AA88" s="217">
        <f t="shared" si="199"/>
        <v>8.5627499803361502</v>
      </c>
      <c r="AB88" s="173">
        <f t="shared" si="200"/>
        <v>1.4140937338715556</v>
      </c>
      <c r="AC88" s="173">
        <f t="shared" si="201"/>
        <v>2.1189929410828734</v>
      </c>
      <c r="AD88" s="173"/>
      <c r="AE88" s="173">
        <f t="shared" si="202"/>
        <v>0.55048270595269766</v>
      </c>
      <c r="AF88" s="545">
        <f t="shared" si="203"/>
        <v>2261.6514316200542</v>
      </c>
      <c r="AG88" s="528">
        <f t="shared" si="204"/>
        <v>0.32111491180574037</v>
      </c>
      <c r="AI88" s="173">
        <f t="shared" si="205"/>
        <v>8.4733970842082211</v>
      </c>
      <c r="AJ88" s="173">
        <f t="shared" si="206"/>
        <v>8.4733970842082211</v>
      </c>
      <c r="AK88" s="173">
        <f t="shared" si="207"/>
        <v>5.0074546302776941</v>
      </c>
      <c r="AM88" s="545">
        <f t="shared" si="208"/>
        <v>2074.9999999999995</v>
      </c>
      <c r="AN88" s="460">
        <f t="shared" si="209"/>
        <v>333.57859733315439</v>
      </c>
      <c r="AP88">
        <f t="shared" si="210"/>
        <v>2074.9999999999995</v>
      </c>
      <c r="AQ88">
        <f t="shared" si="211"/>
        <v>333.57859733315439</v>
      </c>
      <c r="AS88" s="5">
        <f t="shared" si="285"/>
        <v>2.9977942469770378</v>
      </c>
      <c r="AT88" s="5">
        <f t="shared" si="212"/>
        <v>1.4279908045401388</v>
      </c>
      <c r="AU88" s="5">
        <f t="shared" si="286"/>
        <v>1.569803442436899</v>
      </c>
      <c r="AV88" s="5">
        <f t="shared" si="213"/>
        <v>1.3993375666579919</v>
      </c>
      <c r="AW88" s="173">
        <f t="shared" si="287"/>
        <v>0.4763471695831421</v>
      </c>
      <c r="AX88" s="173">
        <f t="shared" si="214"/>
        <v>56.283508054234751</v>
      </c>
      <c r="AY88" s="173">
        <f t="shared" si="215"/>
        <v>2.2185591831957931</v>
      </c>
      <c r="AZ88" s="173">
        <f t="shared" si="288"/>
        <v>25.369396715015466</v>
      </c>
      <c r="BA88" s="460">
        <f t="shared" si="216"/>
        <v>10.582431855074242</v>
      </c>
      <c r="BB88" s="5">
        <f t="shared" si="217"/>
        <v>2.3359490591804408</v>
      </c>
      <c r="BC88" s="5"/>
      <c r="BD88" s="173">
        <f t="shared" si="289"/>
        <v>3.3764375861055678</v>
      </c>
      <c r="BE88" s="173">
        <f t="shared" si="218"/>
        <v>3.5401255075712221</v>
      </c>
      <c r="BF88" s="173"/>
      <c r="BG88" s="528">
        <f t="shared" si="219"/>
        <v>0.13680396927439673</v>
      </c>
      <c r="BH88" s="528">
        <f t="shared" si="220"/>
        <v>2.9124500494577465</v>
      </c>
      <c r="BI88" s="528">
        <f t="shared" si="221"/>
        <v>3.8361538693312755E-2</v>
      </c>
      <c r="BJ88" s="528">
        <f t="shared" si="222"/>
        <v>0.52370192754813749</v>
      </c>
      <c r="BK88">
        <f t="shared" si="223"/>
        <v>1.2549965151121284E-2</v>
      </c>
      <c r="BL88" s="460">
        <f t="shared" si="290"/>
        <v>50.911503844434037</v>
      </c>
      <c r="BM88" s="528">
        <f t="shared" si="224"/>
        <v>3.7311734031737709</v>
      </c>
      <c r="BN88" s="460">
        <f t="shared" si="291"/>
        <v>3731.173403173771</v>
      </c>
      <c r="BO88" s="528">
        <f t="shared" si="225"/>
        <v>1.3914949999999997</v>
      </c>
      <c r="BP88" s="528"/>
      <c r="BR88" s="460">
        <f t="shared" si="292"/>
        <v>1391.4949999999997</v>
      </c>
      <c r="BS88" s="528">
        <f t="shared" si="226"/>
        <v>0.15960463082012952</v>
      </c>
      <c r="BT88" s="528">
        <f t="shared" si="227"/>
        <v>0.17545484053098964</v>
      </c>
      <c r="BU88" s="528">
        <f t="shared" si="228"/>
        <v>21.237791227393011</v>
      </c>
      <c r="BV88" s="528">
        <f t="shared" si="229"/>
        <v>22.249661764554219</v>
      </c>
      <c r="BW88" s="528">
        <f t="shared" si="230"/>
        <v>2.3950428959248833</v>
      </c>
      <c r="BX88" s="460">
        <f t="shared" si="293"/>
        <v>24644.704660479103</v>
      </c>
      <c r="BY88" s="173">
        <f t="shared" si="231"/>
        <v>29.818284567497304</v>
      </c>
      <c r="BZ88" s="5">
        <f t="shared" si="294"/>
        <v>58.099999999999994</v>
      </c>
      <c r="CA88" s="173">
        <f t="shared" si="295"/>
        <v>0.66084091933567035</v>
      </c>
      <c r="CB88" s="5">
        <f t="shared" si="296"/>
        <v>66.084091933567038</v>
      </c>
      <c r="CE88" s="562">
        <f t="shared" si="232"/>
        <v>-50</v>
      </c>
      <c r="CF88">
        <f t="shared" si="233"/>
        <v>-50</v>
      </c>
      <c r="CG88" s="173">
        <f t="shared" si="234"/>
        <v>0.4852118182439023</v>
      </c>
      <c r="CI88" s="170">
        <v>83</v>
      </c>
      <c r="CJ88" s="217">
        <f t="shared" si="297"/>
        <v>2.0749999999999997</v>
      </c>
      <c r="CK88" s="217"/>
      <c r="CL88" s="217">
        <f t="shared" si="235"/>
        <v>58.099999999999994</v>
      </c>
      <c r="CM88" s="541">
        <f t="shared" si="236"/>
        <v>28</v>
      </c>
      <c r="CN88" s="172">
        <f t="shared" si="237"/>
        <v>28.4</v>
      </c>
      <c r="CO88" s="443">
        <f t="shared" si="238"/>
        <v>56.4</v>
      </c>
      <c r="CP88" s="443"/>
      <c r="CQ88" s="217">
        <f t="shared" si="239"/>
        <v>0.50354609929078009</v>
      </c>
      <c r="CR88" s="172">
        <f t="shared" si="240"/>
        <v>118.75402645742166</v>
      </c>
      <c r="CS88" s="172">
        <f t="shared" si="298"/>
        <v>58.099999999999994</v>
      </c>
      <c r="CT88" s="217">
        <f t="shared" si="241"/>
        <v>4.2412152306222017</v>
      </c>
      <c r="CU88" s="217">
        <f t="shared" si="242"/>
        <v>28</v>
      </c>
      <c r="CV88" s="217">
        <f t="shared" si="243"/>
        <v>4.1962174940898347</v>
      </c>
      <c r="CW88" s="172">
        <f t="shared" si="244"/>
        <v>84.581592443747255</v>
      </c>
      <c r="CX88" s="172">
        <f t="shared" si="245"/>
        <v>28</v>
      </c>
      <c r="CY88" s="217">
        <f t="shared" si="246"/>
        <v>8.2415492957746483</v>
      </c>
      <c r="CZ88" s="217">
        <f t="shared" si="247"/>
        <v>1.3834029175050302</v>
      </c>
      <c r="DA88" s="217">
        <f t="shared" si="248"/>
        <v>1.3639183693711565</v>
      </c>
      <c r="DB88" s="197">
        <f t="shared" si="249"/>
        <v>350</v>
      </c>
      <c r="DC88" s="443">
        <f t="shared" si="299"/>
        <v>350</v>
      </c>
      <c r="DE88" s="217">
        <f t="shared" si="250"/>
        <v>8.5709974347366842</v>
      </c>
      <c r="DF88" s="173">
        <f t="shared" si="251"/>
        <v>1.418439716312057</v>
      </c>
      <c r="DG88" s="173">
        <f t="shared" si="252"/>
        <v>2.1275525547218721</v>
      </c>
      <c r="DH88" s="173"/>
      <c r="DI88" s="173">
        <f t="shared" si="253"/>
        <v>0.55164319248826299</v>
      </c>
      <c r="DJ88" s="545">
        <f t="shared" si="300"/>
        <v>2256.893617021276</v>
      </c>
      <c r="DK88" s="528">
        <f t="shared" si="254"/>
        <v>0.3217918622848201</v>
      </c>
      <c r="DM88" s="173">
        <f t="shared" si="255"/>
        <v>8.4644796894654935</v>
      </c>
      <c r="DN88" s="173">
        <f t="shared" si="256"/>
        <v>8.4644796894654935</v>
      </c>
      <c r="DO88" s="173">
        <f t="shared" si="257"/>
        <v>5.0008491526904884</v>
      </c>
      <c r="DQ88" s="545">
        <f t="shared" si="258"/>
        <v>2074.9999999999995</v>
      </c>
      <c r="DR88" s="460">
        <f t="shared" si="259"/>
        <v>350</v>
      </c>
      <c r="DT88">
        <f t="shared" si="260"/>
        <v>2074.9999999999995</v>
      </c>
      <c r="DU88">
        <f t="shared" si="261"/>
        <v>350</v>
      </c>
      <c r="DW88" s="5">
        <f t="shared" si="301"/>
        <v>2.8571428571428572</v>
      </c>
      <c r="DX88" s="5">
        <f t="shared" si="262"/>
        <v>1.4208233764459934</v>
      </c>
      <c r="DY88" s="5">
        <f t="shared" si="302"/>
        <v>1.4363194806968638</v>
      </c>
      <c r="DZ88" s="5">
        <f t="shared" si="263"/>
        <v>1.4008117795946415</v>
      </c>
      <c r="EA88" s="173">
        <f t="shared" si="303"/>
        <v>0.49728818175609768</v>
      </c>
      <c r="EB88" s="173">
        <f t="shared" si="264"/>
        <v>58.93</v>
      </c>
      <c r="EC88" s="173">
        <f t="shared" si="265"/>
        <v>2.1275969875898899</v>
      </c>
      <c r="ED88" s="173">
        <f t="shared" si="304"/>
        <v>27.69791475722807</v>
      </c>
      <c r="EE88" s="460">
        <f t="shared" si="266"/>
        <v>10.529316093305129</v>
      </c>
      <c r="EF88" s="5">
        <f t="shared" si="267"/>
        <v>2.1288306588899939</v>
      </c>
      <c r="EG88" s="5"/>
      <c r="EH88" s="173">
        <f t="shared" si="305"/>
        <v>3.4462256375987472</v>
      </c>
      <c r="EI88" s="173">
        <f t="shared" si="268"/>
        <v>3.4649676755416343</v>
      </c>
      <c r="EJ88" s="173"/>
      <c r="EK88" s="528">
        <f t="shared" si="269"/>
        <v>0.1425176537429147</v>
      </c>
      <c r="EL88" s="528">
        <f t="shared" si="270"/>
        <v>3.1746877523309283</v>
      </c>
      <c r="EM88" s="528">
        <f t="shared" si="271"/>
        <v>4.0250000000000001E-2</v>
      </c>
      <c r="EN88" s="528">
        <f t="shared" si="272"/>
        <v>0.54831797999999998</v>
      </c>
      <c r="EO88">
        <f t="shared" si="273"/>
        <v>1.26E-2</v>
      </c>
      <c r="EP88" s="460">
        <f t="shared" si="306"/>
        <v>52.85</v>
      </c>
      <c r="EQ88" s="528">
        <f t="shared" si="274"/>
        <v>4.0955370239928959</v>
      </c>
      <c r="ER88" s="460">
        <f t="shared" si="307"/>
        <v>4095.5370239928957</v>
      </c>
      <c r="ES88" s="528">
        <f t="shared" si="308"/>
        <v>1.3914949999999997</v>
      </c>
      <c r="ET88" s="528"/>
      <c r="EV88" s="460">
        <f t="shared" si="309"/>
        <v>1391.4949999999997</v>
      </c>
      <c r="EW88" s="528">
        <f t="shared" si="275"/>
        <v>0.1662705960334005</v>
      </c>
      <c r="EX88" s="528">
        <f t="shared" si="276"/>
        <v>0.16808401389567754</v>
      </c>
      <c r="EY88" s="528">
        <f t="shared" si="277"/>
        <v>23.885854545085788</v>
      </c>
      <c r="EZ88" s="528">
        <f t="shared" si="278"/>
        <v>24.968315985552682</v>
      </c>
      <c r="FA88" s="528">
        <f t="shared" si="279"/>
        <v>2.5076595744680854</v>
      </c>
      <c r="FB88" s="460">
        <f t="shared" si="310"/>
        <v>27475.975560020768</v>
      </c>
      <c r="FC88" s="173">
        <f t="shared" si="311"/>
        <v>32.96300758401366</v>
      </c>
      <c r="FD88" s="5">
        <f t="shared" si="312"/>
        <v>58.099999999999994</v>
      </c>
      <c r="FE88" s="173">
        <f t="shared" si="313"/>
        <v>0.63801977928740838</v>
      </c>
      <c r="FF88" s="5">
        <f t="shared" si="314"/>
        <v>63.80197792874084</v>
      </c>
      <c r="FI88" s="562">
        <f t="shared" si="280"/>
        <v>-50</v>
      </c>
      <c r="FJ88">
        <f t="shared" si="281"/>
        <v>-50</v>
      </c>
      <c r="FL88">
        <f t="shared" si="282"/>
        <v>0.4902841228581245</v>
      </c>
    </row>
    <row r="89" spans="5:168">
      <c r="E89" s="170">
        <v>84</v>
      </c>
      <c r="F89" s="217">
        <f t="shared" si="283"/>
        <v>2.1</v>
      </c>
      <c r="G89" s="217"/>
      <c r="H89" s="217">
        <f t="shared" si="183"/>
        <v>58.800000000000004</v>
      </c>
      <c r="I89" s="541">
        <f t="shared" si="184"/>
        <v>27.886774863513804</v>
      </c>
      <c r="J89" s="172">
        <f t="shared" si="185"/>
        <v>28.460967381184872</v>
      </c>
      <c r="K89" s="172">
        <f t="shared" si="186"/>
        <v>56.460967381184872</v>
      </c>
      <c r="L89" s="443"/>
      <c r="M89" s="217">
        <f t="shared" si="187"/>
        <v>0.50508313347095501</v>
      </c>
      <c r="N89" s="172">
        <f t="shared" si="188"/>
        <v>118.63483563927235</v>
      </c>
      <c r="O89" s="172">
        <f t="shared" si="284"/>
        <v>58.800000000000004</v>
      </c>
      <c r="P89" s="217">
        <f t="shared" si="189"/>
        <v>4.2369584156882985</v>
      </c>
      <c r="Q89" s="217">
        <f t="shared" si="190"/>
        <v>28</v>
      </c>
      <c r="R89" s="217">
        <f t="shared" si="191"/>
        <v>4.1920058423995883</v>
      </c>
      <c r="S89" s="172">
        <f t="shared" si="192"/>
        <v>82.908925886411566</v>
      </c>
      <c r="T89" s="172">
        <f t="shared" si="193"/>
        <v>28</v>
      </c>
      <c r="U89" s="217">
        <f t="shared" si="194"/>
        <v>8.4862737240205099</v>
      </c>
      <c r="V89" s="217">
        <f t="shared" si="195"/>
        <v>1.4302653031090138</v>
      </c>
      <c r="W89" s="217">
        <f t="shared" si="196"/>
        <v>1.4014100774826124</v>
      </c>
      <c r="X89" s="197">
        <f t="shared" si="197"/>
        <v>350</v>
      </c>
      <c r="Y89" s="443">
        <f t="shared" si="198"/>
        <v>329.85061870471486</v>
      </c>
      <c r="AA89" s="217">
        <f t="shared" si="199"/>
        <v>8.562597436319999</v>
      </c>
      <c r="AB89" s="173">
        <f t="shared" si="200"/>
        <v>1.4140140569258672</v>
      </c>
      <c r="AC89" s="173">
        <f t="shared" si="201"/>
        <v>2.118835799281928</v>
      </c>
      <c r="AD89" s="173"/>
      <c r="AE89" s="173">
        <f t="shared" si="202"/>
        <v>0.55046149545231793</v>
      </c>
      <c r="AF89" s="545">
        <f t="shared" si="203"/>
        <v>2288.98844044423</v>
      </c>
      <c r="AG89" s="528">
        <f t="shared" si="204"/>
        <v>0.32110253901385216</v>
      </c>
      <c r="AI89" s="173">
        <f t="shared" si="205"/>
        <v>8.5244530438405395</v>
      </c>
      <c r="AJ89" s="173">
        <f t="shared" si="206"/>
        <v>8.5244530438405395</v>
      </c>
      <c r="AK89" s="173">
        <f t="shared" si="207"/>
        <v>5.0452738596349667</v>
      </c>
      <c r="AM89" s="545">
        <f t="shared" si="208"/>
        <v>2100</v>
      </c>
      <c r="AN89" s="460">
        <f t="shared" si="209"/>
        <v>329.85061870471486</v>
      </c>
      <c r="AP89">
        <f t="shared" si="210"/>
        <v>2100</v>
      </c>
      <c r="AQ89">
        <f t="shared" si="211"/>
        <v>329.85061870471486</v>
      </c>
      <c r="AS89" s="5">
        <f t="shared" si="285"/>
        <v>3.031675380591627</v>
      </c>
      <c r="AT89" s="5">
        <f t="shared" si="212"/>
        <v>1.4366999949667989</v>
      </c>
      <c r="AU89" s="5">
        <f t="shared" si="286"/>
        <v>1.5949753856248281</v>
      </c>
      <c r="AV89" s="5">
        <f t="shared" si="213"/>
        <v>1.4077149511276583</v>
      </c>
      <c r="AW89" s="173">
        <f t="shared" si="287"/>
        <v>0.47389638223285929</v>
      </c>
      <c r="AX89" s="173">
        <f t="shared" si="214"/>
        <v>56.327206197711241</v>
      </c>
      <c r="AY89" s="173">
        <f t="shared" si="215"/>
        <v>2.2423727929253112</v>
      </c>
      <c r="AZ89" s="173">
        <f t="shared" si="288"/>
        <v>25.119465583699395</v>
      </c>
      <c r="BA89" s="460">
        <f t="shared" si="216"/>
        <v>10.775249962250992</v>
      </c>
      <c r="BB89" s="5">
        <f t="shared" si="217"/>
        <v>2.4021768929575673</v>
      </c>
      <c r="BC89" s="5"/>
      <c r="BD89" s="173">
        <f t="shared" si="289"/>
        <v>3.3880326905392302</v>
      </c>
      <c r="BE89" s="173">
        <f t="shared" si="218"/>
        <v>3.5697807196966953</v>
      </c>
      <c r="BF89" s="173"/>
      <c r="BG89" s="528">
        <f t="shared" si="219"/>
        <v>0.13774518614594994</v>
      </c>
      <c r="BH89" s="528">
        <f t="shared" si="220"/>
        <v>2.8973102948481126</v>
      </c>
      <c r="BI89" s="528">
        <f t="shared" si="221"/>
        <v>3.7932821151042212E-2</v>
      </c>
      <c r="BJ89" s="528">
        <f t="shared" si="222"/>
        <v>0.51786930176577195</v>
      </c>
      <c r="BK89">
        <f t="shared" si="223"/>
        <v>1.2549048688581211E-2</v>
      </c>
      <c r="BL89" s="460">
        <f t="shared" si="290"/>
        <v>50.481869839623428</v>
      </c>
      <c r="BM89" s="528">
        <f t="shared" si="224"/>
        <v>3.711589846530774</v>
      </c>
      <c r="BN89" s="460">
        <f t="shared" si="291"/>
        <v>3711.5898465307741</v>
      </c>
      <c r="BO89" s="528">
        <f t="shared" si="225"/>
        <v>1.4082599999999998</v>
      </c>
      <c r="BP89" s="528"/>
      <c r="BR89" s="460">
        <f t="shared" si="292"/>
        <v>1408.2599999999998</v>
      </c>
      <c r="BS89" s="528">
        <f t="shared" si="226"/>
        <v>0.16070271717027493</v>
      </c>
      <c r="BT89" s="528">
        <f t="shared" si="227"/>
        <v>0.17840668141405561</v>
      </c>
      <c r="BU89" s="528">
        <f t="shared" si="228"/>
        <v>20.961848073581944</v>
      </c>
      <c r="BV89" s="528">
        <f t="shared" si="229"/>
        <v>21.978595594529647</v>
      </c>
      <c r="BW89" s="528">
        <f t="shared" si="230"/>
        <v>2.3969023913919676</v>
      </c>
      <c r="BX89" s="460">
        <f t="shared" si="293"/>
        <v>24375.497985921615</v>
      </c>
      <c r="BY89" s="173">
        <f t="shared" si="231"/>
        <v>29.545829702292011</v>
      </c>
      <c r="BZ89" s="5">
        <f t="shared" si="294"/>
        <v>58.800000000000004</v>
      </c>
      <c r="CA89" s="173">
        <f t="shared" si="295"/>
        <v>0.66556622081816863</v>
      </c>
      <c r="CB89" s="5">
        <f t="shared" si="296"/>
        <v>66.556622081816869</v>
      </c>
      <c r="CE89" s="562">
        <f t="shared" si="232"/>
        <v>-50</v>
      </c>
      <c r="CF89">
        <f t="shared" si="233"/>
        <v>-50</v>
      </c>
      <c r="CG89" s="173">
        <f t="shared" si="234"/>
        <v>0.4822250755834348</v>
      </c>
      <c r="CI89" s="170">
        <v>84</v>
      </c>
      <c r="CJ89" s="217">
        <f t="shared" si="297"/>
        <v>2.1</v>
      </c>
      <c r="CK89" s="217"/>
      <c r="CL89" s="217">
        <f t="shared" si="235"/>
        <v>58.800000000000004</v>
      </c>
      <c r="CM89" s="541">
        <f t="shared" si="236"/>
        <v>28</v>
      </c>
      <c r="CN89" s="172">
        <f t="shared" si="237"/>
        <v>28.4</v>
      </c>
      <c r="CO89" s="443">
        <f t="shared" si="238"/>
        <v>56.4</v>
      </c>
      <c r="CP89" s="443"/>
      <c r="CQ89" s="217">
        <f t="shared" si="239"/>
        <v>0.50354609929078009</v>
      </c>
      <c r="CR89" s="172">
        <f t="shared" si="240"/>
        <v>118.75402645742166</v>
      </c>
      <c r="CS89" s="172">
        <f t="shared" si="298"/>
        <v>58.800000000000004</v>
      </c>
      <c r="CT89" s="217">
        <f t="shared" si="241"/>
        <v>4.2412152306222017</v>
      </c>
      <c r="CU89" s="217">
        <f t="shared" si="242"/>
        <v>28</v>
      </c>
      <c r="CV89" s="217">
        <f t="shared" si="243"/>
        <v>4.1962174940898347</v>
      </c>
      <c r="CW89" s="172">
        <f t="shared" si="244"/>
        <v>83.245010311533065</v>
      </c>
      <c r="CX89" s="172">
        <f t="shared" si="245"/>
        <v>28</v>
      </c>
      <c r="CY89" s="217">
        <f t="shared" si="246"/>
        <v>8.340845070422537</v>
      </c>
      <c r="CZ89" s="217">
        <f t="shared" si="247"/>
        <v>1.4000704225352116</v>
      </c>
      <c r="DA89" s="217">
        <f t="shared" si="248"/>
        <v>1.3803511208093635</v>
      </c>
      <c r="DB89" s="197">
        <f t="shared" si="249"/>
        <v>350</v>
      </c>
      <c r="DC89" s="443">
        <f t="shared" si="299"/>
        <v>350</v>
      </c>
      <c r="DE89" s="217">
        <f t="shared" si="250"/>
        <v>8.5709974347366842</v>
      </c>
      <c r="DF89" s="173">
        <f t="shared" si="251"/>
        <v>1.418439716312057</v>
      </c>
      <c r="DG89" s="173">
        <f t="shared" si="252"/>
        <v>2.1275525547218721</v>
      </c>
      <c r="DH89" s="173"/>
      <c r="DI89" s="173">
        <f t="shared" si="253"/>
        <v>0.55164319248826299</v>
      </c>
      <c r="DJ89" s="545">
        <f t="shared" si="300"/>
        <v>2284.0851063829787</v>
      </c>
      <c r="DK89" s="528">
        <f t="shared" si="254"/>
        <v>0.3217918622848201</v>
      </c>
      <c r="DM89" s="173">
        <f t="shared" si="255"/>
        <v>8.5153178624096206</v>
      </c>
      <c r="DN89" s="173">
        <f t="shared" si="256"/>
        <v>8.5153178624096206</v>
      </c>
      <c r="DO89" s="173">
        <f t="shared" si="257"/>
        <v>5.0385070585750276</v>
      </c>
      <c r="DQ89" s="545">
        <f t="shared" si="258"/>
        <v>2100</v>
      </c>
      <c r="DR89" s="460">
        <f t="shared" si="259"/>
        <v>350</v>
      </c>
      <c r="DT89">
        <f t="shared" si="260"/>
        <v>2100</v>
      </c>
      <c r="DU89">
        <f t="shared" si="261"/>
        <v>350</v>
      </c>
      <c r="DW89" s="5">
        <f t="shared" si="301"/>
        <v>2.8571428571428572</v>
      </c>
      <c r="DX89" s="5">
        <f t="shared" si="262"/>
        <v>1.4293569269044721</v>
      </c>
      <c r="DY89" s="5">
        <f t="shared" si="302"/>
        <v>1.4277859302383851</v>
      </c>
      <c r="DZ89" s="5">
        <f t="shared" si="263"/>
        <v>1.4092251392015924</v>
      </c>
      <c r="EA89" s="173">
        <f t="shared" si="303"/>
        <v>0.50027492441656518</v>
      </c>
      <c r="EB89" s="173">
        <f t="shared" si="264"/>
        <v>59.640000000000008</v>
      </c>
      <c r="EC89" s="173">
        <f t="shared" si="265"/>
        <v>2.12765893120481</v>
      </c>
      <c r="ED89" s="173">
        <f t="shared" si="304"/>
        <v>28.030808474659146</v>
      </c>
      <c r="EE89" s="460">
        <f t="shared" si="266"/>
        <v>10.720176951783541</v>
      </c>
      <c r="EF89" s="5">
        <f t="shared" si="267"/>
        <v>2.1416788953575776</v>
      </c>
      <c r="EG89" s="5"/>
      <c r="EH89" s="173">
        <f t="shared" si="305"/>
        <v>3.4773195660769605</v>
      </c>
      <c r="EI89" s="173">
        <f t="shared" si="268"/>
        <v>3.4754080913377337</v>
      </c>
      <c r="EJ89" s="173"/>
      <c r="EK89" s="528">
        <f t="shared" si="269"/>
        <v>0.14510101637545994</v>
      </c>
      <c r="EL89" s="528">
        <f t="shared" si="270"/>
        <v>3.1937551174753525</v>
      </c>
      <c r="EM89" s="528">
        <f t="shared" si="271"/>
        <v>4.0250000000000001E-2</v>
      </c>
      <c r="EN89" s="528">
        <f t="shared" si="272"/>
        <v>0.54831797999999998</v>
      </c>
      <c r="EO89">
        <f t="shared" si="273"/>
        <v>1.26E-2</v>
      </c>
      <c r="EP89" s="460">
        <f t="shared" si="306"/>
        <v>52.85</v>
      </c>
      <c r="EQ89" s="528">
        <f t="shared" si="274"/>
        <v>4.1212868809229386</v>
      </c>
      <c r="ER89" s="460">
        <f t="shared" si="307"/>
        <v>4121.2868809229385</v>
      </c>
      <c r="ES89" s="528">
        <f t="shared" si="308"/>
        <v>1.4082599999999998</v>
      </c>
      <c r="ET89" s="528"/>
      <c r="EV89" s="460">
        <f t="shared" si="309"/>
        <v>1408.2599999999998</v>
      </c>
      <c r="EW89" s="528">
        <f t="shared" si="275"/>
        <v>0.16928451910470327</v>
      </c>
      <c r="EX89" s="528">
        <f t="shared" si="276"/>
        <v>0.16909845961870104</v>
      </c>
      <c r="EY89" s="528">
        <f t="shared" si="277"/>
        <v>24.246121404024713</v>
      </c>
      <c r="EZ89" s="528">
        <f t="shared" si="278"/>
        <v>25.352011429164161</v>
      </c>
      <c r="FA89" s="528">
        <f t="shared" si="279"/>
        <v>2.5378723404255323</v>
      </c>
      <c r="FB89" s="460">
        <f t="shared" si="310"/>
        <v>27889.883769589695</v>
      </c>
      <c r="FC89" s="173">
        <f t="shared" si="311"/>
        <v>33.419430650512631</v>
      </c>
      <c r="FD89" s="5">
        <f t="shared" si="312"/>
        <v>58.800000000000004</v>
      </c>
      <c r="FE89" s="173">
        <f t="shared" si="313"/>
        <v>0.63760966192511559</v>
      </c>
      <c r="FF89" s="5">
        <f t="shared" si="314"/>
        <v>63.76096619251156</v>
      </c>
      <c r="FI89" s="562">
        <f t="shared" si="280"/>
        <v>-50</v>
      </c>
      <c r="FJ89">
        <f t="shared" si="281"/>
        <v>-50</v>
      </c>
      <c r="FL89">
        <f t="shared" si="282"/>
        <v>0.49322879872055725</v>
      </c>
    </row>
    <row r="90" spans="5:168">
      <c r="E90" s="170">
        <v>85</v>
      </c>
      <c r="F90" s="217">
        <f t="shared" si="283"/>
        <v>2.125</v>
      </c>
      <c r="G90" s="217"/>
      <c r="H90" s="217">
        <f t="shared" si="183"/>
        <v>59.5</v>
      </c>
      <c r="I90" s="541">
        <f t="shared" si="184"/>
        <v>27.884717159068455</v>
      </c>
      <c r="J90" s="172">
        <f t="shared" si="185"/>
        <v>28.462075375886215</v>
      </c>
      <c r="K90" s="172">
        <f t="shared" si="186"/>
        <v>56.462075375886215</v>
      </c>
      <c r="L90" s="443"/>
      <c r="M90" s="217">
        <f t="shared" si="187"/>
        <v>0.50510468637099537</v>
      </c>
      <c r="N90" s="172">
        <f t="shared" si="188"/>
        <v>118.63114384327694</v>
      </c>
      <c r="O90" s="172">
        <f t="shared" si="284"/>
        <v>59.5</v>
      </c>
      <c r="P90" s="217">
        <f t="shared" si="189"/>
        <v>4.2368265658313193</v>
      </c>
      <c r="Q90" s="217">
        <f t="shared" si="190"/>
        <v>28</v>
      </c>
      <c r="R90" s="217">
        <f t="shared" si="191"/>
        <v>4.1918753914211857</v>
      </c>
      <c r="S90" s="172">
        <f t="shared" si="192"/>
        <v>81.603132651512766</v>
      </c>
      <c r="T90" s="172">
        <f t="shared" si="193"/>
        <v>28</v>
      </c>
      <c r="U90" s="217">
        <f t="shared" si="194"/>
        <v>8.5876747727419112</v>
      </c>
      <c r="V90" s="217">
        <f t="shared" si="195"/>
        <v>1.4474621062728168</v>
      </c>
      <c r="W90" s="217">
        <f t="shared" si="196"/>
        <v>1.4181000822618417</v>
      </c>
      <c r="X90" s="197">
        <f t="shared" si="197"/>
        <v>350</v>
      </c>
      <c r="Y90" s="443">
        <f t="shared" si="198"/>
        <v>326.20444097987803</v>
      </c>
      <c r="AA90" s="217">
        <f t="shared" si="199"/>
        <v>8.5624432561878425</v>
      </c>
      <c r="AB90" s="173">
        <f t="shared" si="200"/>
        <v>1.4139335509657931</v>
      </c>
      <c r="AC90" s="173">
        <f t="shared" si="201"/>
        <v>2.1186770146788372</v>
      </c>
      <c r="AD90" s="173"/>
      <c r="AE90" s="173">
        <f t="shared" si="202"/>
        <v>0.55044006664179734</v>
      </c>
      <c r="AF90" s="545">
        <f t="shared" si="203"/>
        <v>2316.328474739676</v>
      </c>
      <c r="AG90" s="528">
        <f t="shared" si="204"/>
        <v>0.32109003887438176</v>
      </c>
      <c r="AI90" s="173">
        <f t="shared" si="205"/>
        <v>8.575210626761482</v>
      </c>
      <c r="AJ90" s="173">
        <f t="shared" si="206"/>
        <v>8.5876747727419112</v>
      </c>
      <c r="AK90" s="173">
        <f t="shared" si="207"/>
        <v>5.0921047699322797</v>
      </c>
      <c r="AM90" s="545">
        <f t="shared" si="208"/>
        <v>2125</v>
      </c>
      <c r="AN90" s="460">
        <f t="shared" si="209"/>
        <v>326.20444097987803</v>
      </c>
      <c r="AP90">
        <f t="shared" si="210"/>
        <v>2125</v>
      </c>
      <c r="AQ90">
        <f t="shared" si="211"/>
        <v>326.20444097987803</v>
      </c>
      <c r="AS90" s="5">
        <f t="shared" si="285"/>
        <v>3.0655621885346593</v>
      </c>
      <c r="AT90" s="5">
        <f t="shared" si="212"/>
        <v>1.4474621062728168</v>
      </c>
      <c r="AU90" s="5">
        <f t="shared" si="286"/>
        <v>1.6181000822618425</v>
      </c>
      <c r="AV90" s="5">
        <f t="shared" si="213"/>
        <v>1.4181000822618417</v>
      </c>
      <c r="AW90" s="173">
        <f t="shared" si="287"/>
        <v>0.47216856721628098</v>
      </c>
      <c r="AX90" s="173">
        <f t="shared" si="214"/>
        <v>56.533895137991912</v>
      </c>
      <c r="AY90" s="173">
        <f t="shared" si="215"/>
        <v>2.2664223397884808</v>
      </c>
      <c r="AZ90" s="173">
        <f t="shared" si="288"/>
        <v>24.94411308320764</v>
      </c>
      <c r="BA90" s="460">
        <f t="shared" si="216"/>
        <v>10.985203485106199</v>
      </c>
      <c r="BB90" s="5">
        <f t="shared" si="217"/>
        <v>2.4661987103485359</v>
      </c>
      <c r="BC90" s="5"/>
      <c r="BD90" s="173">
        <f t="shared" si="289"/>
        <v>3.4069322514948532</v>
      </c>
      <c r="BE90" s="173">
        <f t="shared" si="218"/>
        <v>3.6021565718127091</v>
      </c>
      <c r="BF90" s="173"/>
      <c r="BG90" s="528">
        <f t="shared" si="219"/>
        <v>0.13928624839530948</v>
      </c>
      <c r="BH90" s="528">
        <f t="shared" si="220"/>
        <v>2.8865904087592757</v>
      </c>
      <c r="BI90" s="528">
        <f t="shared" si="221"/>
        <v>3.751351071268598E-2</v>
      </c>
      <c r="BJ90" s="528">
        <f t="shared" si="222"/>
        <v>0.51216486133608075</v>
      </c>
      <c r="BK90">
        <f t="shared" si="223"/>
        <v>1.2548122721580804E-2</v>
      </c>
      <c r="BL90" s="460">
        <f t="shared" si="290"/>
        <v>50.061633434266781</v>
      </c>
      <c r="BM90" s="528">
        <f t="shared" si="224"/>
        <v>3.6980330367533942</v>
      </c>
      <c r="BN90" s="460">
        <f t="shared" si="291"/>
        <v>3698.0330367533943</v>
      </c>
      <c r="BO90" s="528">
        <f t="shared" si="225"/>
        <v>1.4250249999999998</v>
      </c>
      <c r="BP90" s="528"/>
      <c r="BR90" s="460">
        <f t="shared" si="292"/>
        <v>1425.0249999999999</v>
      </c>
      <c r="BS90" s="528">
        <f t="shared" si="226"/>
        <v>0.16250062312786107</v>
      </c>
      <c r="BT90" s="528">
        <f t="shared" si="227"/>
        <v>0.18165744754994884</v>
      </c>
      <c r="BU90" s="528">
        <f t="shared" si="228"/>
        <v>20.767472753807727</v>
      </c>
      <c r="BV90" s="528">
        <f t="shared" si="229"/>
        <v>21.794283033497379</v>
      </c>
      <c r="BW90" s="528">
        <f t="shared" si="230"/>
        <v>2.4056976654464646</v>
      </c>
      <c r="BX90" s="460">
        <f t="shared" si="293"/>
        <v>24199.980698943844</v>
      </c>
      <c r="BY90" s="173">
        <f t="shared" si="231"/>
        <v>29.3731003691315</v>
      </c>
      <c r="BZ90" s="5">
        <f t="shared" si="294"/>
        <v>59.5</v>
      </c>
      <c r="CA90" s="173">
        <f t="shared" si="295"/>
        <v>0.66949391607661612</v>
      </c>
      <c r="CB90" s="5">
        <f t="shared" si="296"/>
        <v>66.94939160766161</v>
      </c>
      <c r="CE90" s="562">
        <f t="shared" si="232"/>
        <v>-50</v>
      </c>
      <c r="CF90">
        <f t="shared" si="233"/>
        <v>-50</v>
      </c>
      <c r="CG90" s="173">
        <f t="shared" si="234"/>
        <v>0.47925605886835126</v>
      </c>
      <c r="CI90" s="170">
        <v>85</v>
      </c>
      <c r="CJ90" s="217">
        <f t="shared" si="297"/>
        <v>2.125</v>
      </c>
      <c r="CK90" s="217"/>
      <c r="CL90" s="217">
        <f t="shared" si="235"/>
        <v>59.5</v>
      </c>
      <c r="CM90" s="541">
        <f t="shared" si="236"/>
        <v>28</v>
      </c>
      <c r="CN90" s="172">
        <f t="shared" si="237"/>
        <v>28.4</v>
      </c>
      <c r="CO90" s="443">
        <f t="shared" si="238"/>
        <v>56.4</v>
      </c>
      <c r="CP90" s="443"/>
      <c r="CQ90" s="217">
        <f t="shared" si="239"/>
        <v>0.50354609929078009</v>
      </c>
      <c r="CR90" s="172">
        <f t="shared" si="240"/>
        <v>118.75402645742166</v>
      </c>
      <c r="CS90" s="172">
        <f t="shared" si="298"/>
        <v>59.5</v>
      </c>
      <c r="CT90" s="217">
        <f t="shared" si="241"/>
        <v>4.2412152306222017</v>
      </c>
      <c r="CU90" s="217">
        <f t="shared" si="242"/>
        <v>28</v>
      </c>
      <c r="CV90" s="217">
        <f t="shared" si="243"/>
        <v>4.1962174940898347</v>
      </c>
      <c r="CW90" s="172">
        <f t="shared" si="244"/>
        <v>81.939943037514041</v>
      </c>
      <c r="CX90" s="172">
        <f t="shared" si="245"/>
        <v>28</v>
      </c>
      <c r="CY90" s="217">
        <f t="shared" si="246"/>
        <v>8.4401408450704238</v>
      </c>
      <c r="CZ90" s="217">
        <f t="shared" si="247"/>
        <v>1.4167379275653926</v>
      </c>
      <c r="DA90" s="217">
        <f t="shared" si="248"/>
        <v>1.3967838722475701</v>
      </c>
      <c r="DB90" s="197">
        <f t="shared" si="249"/>
        <v>350</v>
      </c>
      <c r="DC90" s="443">
        <f t="shared" si="299"/>
        <v>350</v>
      </c>
      <c r="DE90" s="217">
        <f t="shared" si="250"/>
        <v>8.5709974347366842</v>
      </c>
      <c r="DF90" s="173">
        <f t="shared" si="251"/>
        <v>1.418439716312057</v>
      </c>
      <c r="DG90" s="173">
        <f t="shared" si="252"/>
        <v>2.1275525547218721</v>
      </c>
      <c r="DH90" s="173"/>
      <c r="DI90" s="173">
        <f t="shared" si="253"/>
        <v>0.55164319248826299</v>
      </c>
      <c r="DJ90" s="545">
        <f t="shared" si="300"/>
        <v>2311.2765957446804</v>
      </c>
      <c r="DK90" s="528">
        <f t="shared" si="254"/>
        <v>0.3217918622848201</v>
      </c>
      <c r="DM90" s="173">
        <f t="shared" si="255"/>
        <v>8.5658543171344448</v>
      </c>
      <c r="DN90" s="173">
        <f t="shared" si="256"/>
        <v>8.5658543171344448</v>
      </c>
      <c r="DO90" s="173">
        <f t="shared" si="257"/>
        <v>5.0759414694823048</v>
      </c>
      <c r="DQ90" s="545">
        <f t="shared" si="258"/>
        <v>2125</v>
      </c>
      <c r="DR90" s="460">
        <f t="shared" si="259"/>
        <v>350</v>
      </c>
      <c r="DT90">
        <f t="shared" si="260"/>
        <v>2125</v>
      </c>
      <c r="DU90">
        <f t="shared" si="261"/>
        <v>350</v>
      </c>
      <c r="DW90" s="5">
        <f t="shared" si="301"/>
        <v>2.8571428571428572</v>
      </c>
      <c r="DX90" s="5">
        <f t="shared" si="262"/>
        <v>1.4378398318047105</v>
      </c>
      <c r="DY90" s="5">
        <f t="shared" si="302"/>
        <v>1.4193030253381467</v>
      </c>
      <c r="DZ90" s="5">
        <f t="shared" si="263"/>
        <v>1.4175885665680243</v>
      </c>
      <c r="EA90" s="173">
        <f t="shared" si="303"/>
        <v>0.50324394113164872</v>
      </c>
      <c r="EB90" s="173">
        <f t="shared" si="264"/>
        <v>60.349999999999987</v>
      </c>
      <c r="EC90" s="173">
        <f t="shared" si="265"/>
        <v>2.1275700157100794</v>
      </c>
      <c r="ED90" s="173">
        <f t="shared" si="304"/>
        <v>28.365693986271982</v>
      </c>
      <c r="EE90" s="460">
        <f t="shared" si="266"/>
        <v>10.912177294946463</v>
      </c>
      <c r="EF90" s="5">
        <f t="shared" si="267"/>
        <v>2.1542992348882581</v>
      </c>
      <c r="EG90" s="5"/>
      <c r="EH90" s="173">
        <f t="shared" si="305"/>
        <v>3.5083210882233891</v>
      </c>
      <c r="EI90" s="173">
        <f t="shared" si="268"/>
        <v>3.485632874536654</v>
      </c>
      <c r="EJ90" s="173"/>
      <c r="EK90" s="528">
        <f t="shared" si="269"/>
        <v>0.14769980229687535</v>
      </c>
      <c r="EL90" s="528">
        <f t="shared" si="270"/>
        <v>3.2127093201844446</v>
      </c>
      <c r="EM90" s="528">
        <f t="shared" si="271"/>
        <v>4.0250000000000001E-2</v>
      </c>
      <c r="EN90" s="528">
        <f t="shared" si="272"/>
        <v>0.54831797999999998</v>
      </c>
      <c r="EO90">
        <f t="shared" si="273"/>
        <v>1.26E-2</v>
      </c>
      <c r="EP90" s="460">
        <f t="shared" si="306"/>
        <v>52.85</v>
      </c>
      <c r="EQ90" s="528">
        <f t="shared" si="274"/>
        <v>4.1469882700961449</v>
      </c>
      <c r="ER90" s="460">
        <f t="shared" si="307"/>
        <v>4146.9882700961452</v>
      </c>
      <c r="ES90" s="528">
        <f t="shared" si="308"/>
        <v>1.4250249999999998</v>
      </c>
      <c r="ET90" s="528"/>
      <c r="EV90" s="460">
        <f t="shared" si="309"/>
        <v>1425.0249999999999</v>
      </c>
      <c r="EW90" s="528">
        <f t="shared" si="275"/>
        <v>0.17231643601302124</v>
      </c>
      <c r="EX90" s="528">
        <f t="shared" si="276"/>
        <v>0.17009491150470921</v>
      </c>
      <c r="EY90" s="528">
        <f t="shared" si="277"/>
        <v>24.607462105139639</v>
      </c>
      <c r="EZ90" s="528">
        <f t="shared" si="278"/>
        <v>25.737065231013883</v>
      </c>
      <c r="FA90" s="528">
        <f t="shared" si="279"/>
        <v>2.5680851063829784</v>
      </c>
      <c r="FB90" s="460">
        <f t="shared" si="310"/>
        <v>28305.150337396859</v>
      </c>
      <c r="FC90" s="173">
        <f t="shared" si="311"/>
        <v>33.87716360749301</v>
      </c>
      <c r="FD90" s="5">
        <f t="shared" si="312"/>
        <v>59.5</v>
      </c>
      <c r="FE90" s="173">
        <f t="shared" si="313"/>
        <v>0.63720076409801607</v>
      </c>
      <c r="FF90" s="5">
        <f t="shared" si="314"/>
        <v>63.720076409801607</v>
      </c>
      <c r="FI90" s="562">
        <f t="shared" si="280"/>
        <v>-50</v>
      </c>
      <c r="FJ90">
        <f t="shared" si="281"/>
        <v>-50</v>
      </c>
      <c r="FL90">
        <f t="shared" si="282"/>
        <v>0.49615599829880852</v>
      </c>
    </row>
    <row r="91" spans="5:168">
      <c r="E91" s="170">
        <v>86</v>
      </c>
      <c r="F91" s="217">
        <f t="shared" si="283"/>
        <v>2.15</v>
      </c>
      <c r="G91" s="217"/>
      <c r="H91" s="217">
        <f t="shared" si="183"/>
        <v>60.199999999999996</v>
      </c>
      <c r="I91" s="541">
        <f t="shared" si="184"/>
        <v>27.883737399258145</v>
      </c>
      <c r="J91" s="172">
        <f t="shared" si="185"/>
        <v>28.462602938860996</v>
      </c>
      <c r="K91" s="172">
        <f t="shared" si="186"/>
        <v>56.462602938860996</v>
      </c>
      <c r="L91" s="443"/>
      <c r="M91" s="217">
        <f t="shared" si="187"/>
        <v>0.50511736428073373</v>
      </c>
      <c r="N91" s="172">
        <f t="shared" si="188"/>
        <v>118.6299530951617</v>
      </c>
      <c r="O91" s="172">
        <f t="shared" si="284"/>
        <v>60.199999999999996</v>
      </c>
      <c r="P91" s="217">
        <f t="shared" si="189"/>
        <v>4.2367840391129175</v>
      </c>
      <c r="Q91" s="217">
        <f t="shared" si="190"/>
        <v>28</v>
      </c>
      <c r="R91" s="217">
        <f t="shared" si="191"/>
        <v>4.1918333158956536</v>
      </c>
      <c r="S91" s="172">
        <f t="shared" si="192"/>
        <v>80.330920568138922</v>
      </c>
      <c r="T91" s="172">
        <f t="shared" si="193"/>
        <v>28</v>
      </c>
      <c r="U91" s="217">
        <f t="shared" si="194"/>
        <v>8.6889288280449506</v>
      </c>
      <c r="V91" s="217">
        <f t="shared" si="195"/>
        <v>1.4645800491901695</v>
      </c>
      <c r="W91" s="217">
        <f t="shared" si="196"/>
        <v>1.4347937741159207</v>
      </c>
      <c r="X91" s="197">
        <f t="shared" si="197"/>
        <v>350</v>
      </c>
      <c r="Y91" s="443">
        <f t="shared" si="198"/>
        <v>322.64581719068138</v>
      </c>
      <c r="AA91" s="217">
        <f t="shared" si="199"/>
        <v>8.5623698254139988</v>
      </c>
      <c r="AB91" s="173">
        <f t="shared" si="200"/>
        <v>1.4138952177314892</v>
      </c>
      <c r="AC91" s="173">
        <f t="shared" si="201"/>
        <v>2.1186014060052201</v>
      </c>
      <c r="AD91" s="173"/>
      <c r="AE91" s="173">
        <f t="shared" si="202"/>
        <v>0.55042986406827943</v>
      </c>
      <c r="AF91" s="545">
        <f t="shared" si="203"/>
        <v>2343.6228377317457</v>
      </c>
      <c r="AG91" s="528">
        <f t="shared" si="204"/>
        <v>0.32108408737316296</v>
      </c>
      <c r="AI91" s="173">
        <f t="shared" si="205"/>
        <v>8.6255854878006399</v>
      </c>
      <c r="AJ91" s="173">
        <f t="shared" si="206"/>
        <v>8.6889288280449506</v>
      </c>
      <c r="AK91" s="173">
        <f t="shared" si="207"/>
        <v>5.1671077738604572</v>
      </c>
      <c r="AM91" s="545">
        <f t="shared" si="208"/>
        <v>2150</v>
      </c>
      <c r="AN91" s="460">
        <f t="shared" si="209"/>
        <v>322.64581719068138</v>
      </c>
      <c r="AP91">
        <f t="shared" si="210"/>
        <v>2150</v>
      </c>
      <c r="AQ91">
        <f t="shared" si="211"/>
        <v>322.64581719068138</v>
      </c>
      <c r="AS91" s="5">
        <f t="shared" si="285"/>
        <v>3.0993738233060903</v>
      </c>
      <c r="AT91" s="5">
        <f t="shared" si="212"/>
        <v>1.4645800491901695</v>
      </c>
      <c r="AU91" s="5">
        <f t="shared" si="286"/>
        <v>1.6347937741159209</v>
      </c>
      <c r="AV91" s="5">
        <f t="shared" si="213"/>
        <v>1.4347937741159207</v>
      </c>
      <c r="AW91" s="173">
        <f t="shared" si="287"/>
        <v>0.47254062681213055</v>
      </c>
      <c r="AX91" s="173">
        <f t="shared" si="214"/>
        <v>57.243526574990447</v>
      </c>
      <c r="AY91" s="173">
        <f t="shared" si="215"/>
        <v>2.291528476657299</v>
      </c>
      <c r="AZ91" s="173">
        <f t="shared" si="288"/>
        <v>24.980499766030746</v>
      </c>
      <c r="BA91" s="460">
        <f t="shared" si="216"/>
        <v>11.245882520567372</v>
      </c>
      <c r="BB91" s="5">
        <f t="shared" si="217"/>
        <v>2.5210441226166056</v>
      </c>
      <c r="BC91" s="5"/>
      <c r="BD91" s="173">
        <f t="shared" si="289"/>
        <v>3.4484599701220988</v>
      </c>
      <c r="BE91" s="173">
        <f t="shared" si="218"/>
        <v>3.6433435048147311</v>
      </c>
      <c r="BF91" s="173"/>
      <c r="BG91" s="528">
        <f t="shared" si="219"/>
        <v>0.14270251398641409</v>
      </c>
      <c r="BH91" s="528">
        <f t="shared" si="220"/>
        <v>2.8887904737865817</v>
      </c>
      <c r="BI91" s="528">
        <f t="shared" si="221"/>
        <v>3.7104268976928367E-2</v>
      </c>
      <c r="BJ91" s="528">
        <f t="shared" si="222"/>
        <v>0.50658702800850874</v>
      </c>
      <c r="BK91">
        <f t="shared" si="223"/>
        <v>1.2547681829666165E-2</v>
      </c>
      <c r="BL91" s="460">
        <f t="shared" si="290"/>
        <v>49.651950806594535</v>
      </c>
      <c r="BM91" s="528">
        <f t="shared" si="224"/>
        <v>3.7021347083244729</v>
      </c>
      <c r="BN91" s="460">
        <f t="shared" si="291"/>
        <v>3702.1347083244727</v>
      </c>
      <c r="BO91" s="528">
        <f t="shared" si="225"/>
        <v>1.4417899999999999</v>
      </c>
      <c r="BP91" s="528"/>
      <c r="BR91" s="460">
        <f t="shared" si="292"/>
        <v>1441.79</v>
      </c>
      <c r="BS91" s="528">
        <f t="shared" si="226"/>
        <v>0.16648626631748309</v>
      </c>
      <c r="BT91" s="528">
        <f t="shared" si="227"/>
        <v>0.18583532651705964</v>
      </c>
      <c r="BU91" s="528">
        <f t="shared" si="228"/>
        <v>20.806580073744826</v>
      </c>
      <c r="BV91" s="528">
        <f t="shared" si="229"/>
        <v>21.859587215785346</v>
      </c>
      <c r="BW91" s="528">
        <f t="shared" si="230"/>
        <v>2.4358947478719344</v>
      </c>
      <c r="BX91" s="460">
        <f t="shared" si="293"/>
        <v>24295.481963657279</v>
      </c>
      <c r="BY91" s="173">
        <f t="shared" si="231"/>
        <v>29.489058622788349</v>
      </c>
      <c r="BZ91" s="5">
        <f t="shared" si="294"/>
        <v>60.199999999999996</v>
      </c>
      <c r="CA91" s="173">
        <f t="shared" si="295"/>
        <v>0.67120784769508424</v>
      </c>
      <c r="CB91" s="5">
        <f t="shared" si="296"/>
        <v>67.120784769508418</v>
      </c>
      <c r="CE91" s="562">
        <f t="shared" si="232"/>
        <v>-50</v>
      </c>
      <c r="CF91">
        <f t="shared" si="233"/>
        <v>-50</v>
      </c>
      <c r="CG91" s="173">
        <f t="shared" si="234"/>
        <v>0.48080809859154922</v>
      </c>
      <c r="CI91" s="170">
        <v>86</v>
      </c>
      <c r="CJ91" s="217">
        <f t="shared" si="297"/>
        <v>2.15</v>
      </c>
      <c r="CK91" s="217"/>
      <c r="CL91" s="217">
        <f t="shared" si="235"/>
        <v>60.199999999999996</v>
      </c>
      <c r="CM91" s="541">
        <f t="shared" si="236"/>
        <v>28</v>
      </c>
      <c r="CN91" s="172">
        <f t="shared" si="237"/>
        <v>28.4</v>
      </c>
      <c r="CO91" s="443">
        <f t="shared" si="238"/>
        <v>56.4</v>
      </c>
      <c r="CP91" s="443"/>
      <c r="CQ91" s="217">
        <f t="shared" si="239"/>
        <v>0.50354609929078009</v>
      </c>
      <c r="CR91" s="172">
        <f t="shared" si="240"/>
        <v>118.75402645742166</v>
      </c>
      <c r="CS91" s="172">
        <f t="shared" si="298"/>
        <v>60.199999999999996</v>
      </c>
      <c r="CT91" s="217">
        <f t="shared" si="241"/>
        <v>4.2412152306222017</v>
      </c>
      <c r="CU91" s="217">
        <f t="shared" si="242"/>
        <v>28</v>
      </c>
      <c r="CV91" s="217">
        <f t="shared" si="243"/>
        <v>4.1962174940898347</v>
      </c>
      <c r="CW91" s="172">
        <f t="shared" si="244"/>
        <v>80.665292020463582</v>
      </c>
      <c r="CX91" s="172">
        <f t="shared" si="245"/>
        <v>28</v>
      </c>
      <c r="CY91" s="217">
        <f t="shared" si="246"/>
        <v>8.5394366197183107</v>
      </c>
      <c r="CZ91" s="217">
        <f t="shared" si="247"/>
        <v>1.4334054325955736</v>
      </c>
      <c r="DA91" s="217">
        <f t="shared" si="248"/>
        <v>1.4132166236857768</v>
      </c>
      <c r="DB91" s="197">
        <f t="shared" si="249"/>
        <v>350</v>
      </c>
      <c r="DC91" s="443">
        <f t="shared" si="299"/>
        <v>350</v>
      </c>
      <c r="DE91" s="217">
        <f t="shared" si="250"/>
        <v>8.5709974347366842</v>
      </c>
      <c r="DF91" s="173">
        <f t="shared" si="251"/>
        <v>1.418439716312057</v>
      </c>
      <c r="DG91" s="173">
        <f t="shared" si="252"/>
        <v>2.1275525547218721</v>
      </c>
      <c r="DH91" s="173"/>
      <c r="DI91" s="173">
        <f t="shared" si="253"/>
        <v>0.55164319248826299</v>
      </c>
      <c r="DJ91" s="545">
        <f t="shared" si="300"/>
        <v>2338.4680851063827</v>
      </c>
      <c r="DK91" s="528">
        <f t="shared" si="254"/>
        <v>0.3217918622848201</v>
      </c>
      <c r="DM91" s="173">
        <f t="shared" si="255"/>
        <v>8.6160943626952751</v>
      </c>
      <c r="DN91" s="173">
        <f t="shared" si="256"/>
        <v>8.5394366197183107</v>
      </c>
      <c r="DO91" s="173">
        <f t="shared" si="257"/>
        <v>5.0563728047296124</v>
      </c>
      <c r="DQ91" s="545">
        <f t="shared" si="258"/>
        <v>2150</v>
      </c>
      <c r="DR91" s="460">
        <f t="shared" si="259"/>
        <v>350</v>
      </c>
      <c r="DT91">
        <f t="shared" si="260"/>
        <v>2150</v>
      </c>
      <c r="DU91">
        <f t="shared" si="261"/>
        <v>350</v>
      </c>
      <c r="DW91" s="5">
        <f t="shared" si="301"/>
        <v>2.8571428571428572</v>
      </c>
      <c r="DX91" s="5">
        <f t="shared" si="262"/>
        <v>1.4334054325955736</v>
      </c>
      <c r="DY91" s="5">
        <f t="shared" si="302"/>
        <v>1.4237374245472836</v>
      </c>
      <c r="DZ91" s="5">
        <f t="shared" si="263"/>
        <v>1.4132166236857768</v>
      </c>
      <c r="EA91" s="173">
        <f t="shared" si="303"/>
        <v>0.50169190140845077</v>
      </c>
      <c r="EB91" s="173">
        <f t="shared" si="264"/>
        <v>59.978326725848063</v>
      </c>
      <c r="EC91" s="173">
        <f t="shared" si="265"/>
        <v>2.1276352125074389</v>
      </c>
      <c r="ED91" s="173">
        <f t="shared" si="304"/>
        <v>28.190136341634908</v>
      </c>
      <c r="EE91" s="460">
        <f t="shared" si="266"/>
        <v>11.006506000287439</v>
      </c>
      <c r="EF91" s="5">
        <f t="shared" si="267"/>
        <v>2.1864539019833282</v>
      </c>
      <c r="EG91" s="5"/>
      <c r="EH91" s="173">
        <f t="shared" si="305"/>
        <v>3.4921037445456733</v>
      </c>
      <c r="EI91" s="173">
        <f t="shared" si="268"/>
        <v>3.4803070790844663</v>
      </c>
      <c r="EJ91" s="173"/>
      <c r="EK91" s="528">
        <f t="shared" si="269"/>
        <v>0.14633746275203896</v>
      </c>
      <c r="EL91" s="528">
        <f t="shared" si="270"/>
        <v>3.20280109859155</v>
      </c>
      <c r="EM91" s="528">
        <f t="shared" si="271"/>
        <v>4.0250000000000001E-2</v>
      </c>
      <c r="EN91" s="528">
        <f t="shared" si="272"/>
        <v>0.54831797999999998</v>
      </c>
      <c r="EO91">
        <f t="shared" si="273"/>
        <v>1.26E-2</v>
      </c>
      <c r="EP91" s="460">
        <f t="shared" si="306"/>
        <v>52.85</v>
      </c>
      <c r="EQ91" s="528">
        <f t="shared" si="274"/>
        <v>4.1335399352081339</v>
      </c>
      <c r="ER91" s="460">
        <f t="shared" si="307"/>
        <v>4133.539935208134</v>
      </c>
      <c r="ES91" s="528">
        <f t="shared" si="308"/>
        <v>1.4417899999999999</v>
      </c>
      <c r="ET91" s="528"/>
      <c r="EV91" s="460">
        <f t="shared" si="309"/>
        <v>1441.79</v>
      </c>
      <c r="EW91" s="528">
        <f t="shared" si="275"/>
        <v>0.17072703987737878</v>
      </c>
      <c r="EX91" s="528">
        <f t="shared" si="276"/>
        <v>0.16957552310615628</v>
      </c>
      <c r="EY91" s="528">
        <f t="shared" si="277"/>
        <v>24.418172868688831</v>
      </c>
      <c r="EZ91" s="528">
        <f t="shared" si="278"/>
        <v>25.535327025459338</v>
      </c>
      <c r="FA91" s="528">
        <f t="shared" si="279"/>
        <v>2.5522692223765131</v>
      </c>
      <c r="FB91" s="460">
        <f t="shared" si="310"/>
        <v>28087.596247835852</v>
      </c>
      <c r="FC91" s="173">
        <f t="shared" si="311"/>
        <v>33.662926183043986</v>
      </c>
      <c r="FD91" s="5">
        <f t="shared" si="312"/>
        <v>60.199999999999996</v>
      </c>
      <c r="FE91" s="173">
        <f t="shared" si="313"/>
        <v>0.64136078479593495</v>
      </c>
      <c r="FF91" s="5">
        <f t="shared" si="314"/>
        <v>64.136078479593493</v>
      </c>
      <c r="FI91" s="562">
        <f t="shared" si="280"/>
        <v>-50</v>
      </c>
      <c r="FJ91">
        <f t="shared" si="281"/>
        <v>-50</v>
      </c>
      <c r="FL91">
        <f t="shared" si="282"/>
        <v>0.49830809859154923</v>
      </c>
    </row>
    <row r="92" spans="5:168">
      <c r="E92" s="170">
        <v>87</v>
      </c>
      <c r="F92" s="217">
        <f t="shared" si="283"/>
        <v>2.1749999999999998</v>
      </c>
      <c r="G92" s="217"/>
      <c r="H92" s="217">
        <f t="shared" si="183"/>
        <v>60.899999999999991</v>
      </c>
      <c r="I92" s="541">
        <f t="shared" si="184"/>
        <v>27.881963997721261</v>
      </c>
      <c r="J92" s="172">
        <f t="shared" si="185"/>
        <v>28.463557847380859</v>
      </c>
      <c r="K92" s="172">
        <f t="shared" si="186"/>
        <v>56.463557847380855</v>
      </c>
      <c r="L92" s="443"/>
      <c r="M92" s="217">
        <f t="shared" si="187"/>
        <v>0.50514143662675992</v>
      </c>
      <c r="N92" s="172">
        <f t="shared" si="188"/>
        <v>118.62806142839781</v>
      </c>
      <c r="O92" s="172">
        <f t="shared" si="284"/>
        <v>60.899999999999991</v>
      </c>
      <c r="P92" s="217">
        <f t="shared" si="189"/>
        <v>4.2367164795856365</v>
      </c>
      <c r="Q92" s="217">
        <f t="shared" si="190"/>
        <v>28</v>
      </c>
      <c r="R92" s="217">
        <f t="shared" si="191"/>
        <v>4.1917664731501532</v>
      </c>
      <c r="S92" s="172">
        <f t="shared" si="192"/>
        <v>79.085795949828096</v>
      </c>
      <c r="T92" s="172">
        <f t="shared" si="193"/>
        <v>28</v>
      </c>
      <c r="U92" s="217">
        <f t="shared" si="194"/>
        <v>8.7903904710628868</v>
      </c>
      <c r="V92" s="217">
        <f t="shared" si="195"/>
        <v>1.4817763632924907</v>
      </c>
      <c r="W92" s="217">
        <f t="shared" si="196"/>
        <v>1.4514993324278767</v>
      </c>
      <c r="X92" s="197">
        <f t="shared" si="197"/>
        <v>350</v>
      </c>
      <c r="Y92" s="443">
        <f t="shared" si="198"/>
        <v>319.15480701741797</v>
      </c>
      <c r="AA92" s="217">
        <f t="shared" si="199"/>
        <v>8.5622368816327725</v>
      </c>
      <c r="AB92" s="173">
        <f t="shared" si="200"/>
        <v>1.4138258315931873</v>
      </c>
      <c r="AC92" s="173">
        <f t="shared" si="201"/>
        <v>2.1184645439076548</v>
      </c>
      <c r="AD92" s="173"/>
      <c r="AE92" s="173">
        <f t="shared" si="202"/>
        <v>0.55041139799423466</v>
      </c>
      <c r="AF92" s="545">
        <f t="shared" si="203"/>
        <v>2370.953807925448</v>
      </c>
      <c r="AG92" s="528">
        <f t="shared" si="204"/>
        <v>0.32107331549663692</v>
      </c>
      <c r="AI92" s="173">
        <f t="shared" si="205"/>
        <v>8.6757348308241955</v>
      </c>
      <c r="AJ92" s="173">
        <f t="shared" si="206"/>
        <v>8.7903904710628868</v>
      </c>
      <c r="AK92" s="173">
        <f t="shared" si="207"/>
        <v>5.2422645464663358</v>
      </c>
      <c r="AM92" s="545">
        <f t="shared" si="208"/>
        <v>2175</v>
      </c>
      <c r="AN92" s="460">
        <f t="shared" si="209"/>
        <v>319.15480701741797</v>
      </c>
      <c r="AP92">
        <f t="shared" si="210"/>
        <v>2175</v>
      </c>
      <c r="AQ92">
        <f t="shared" si="211"/>
        <v>319.15480701741797</v>
      </c>
      <c r="AS92" s="5">
        <f t="shared" si="285"/>
        <v>3.1332756957203678</v>
      </c>
      <c r="AT92" s="5">
        <f t="shared" si="212"/>
        <v>1.4817763632924907</v>
      </c>
      <c r="AU92" s="5">
        <f t="shared" si="286"/>
        <v>1.6514993324278771</v>
      </c>
      <c r="AV92" s="5">
        <f t="shared" si="213"/>
        <v>1.4514993324278767</v>
      </c>
      <c r="AW92" s="173">
        <f t="shared" si="287"/>
        <v>0.4729160492695863</v>
      </c>
      <c r="AX92" s="173">
        <f t="shared" si="214"/>
        <v>57.954289543477792</v>
      </c>
      <c r="AY92" s="173">
        <f t="shared" si="215"/>
        <v>2.3166368689754044</v>
      </c>
      <c r="AZ92" s="173">
        <f t="shared" si="288"/>
        <v>25.016561861553058</v>
      </c>
      <c r="BA92" s="460">
        <f t="shared" si="216"/>
        <v>11.510227107718455</v>
      </c>
      <c r="BB92" s="5">
        <f t="shared" si="217"/>
        <v>2.5765839510618402</v>
      </c>
      <c r="BC92" s="5"/>
      <c r="BD92" s="173">
        <f t="shared" si="289"/>
        <v>3.4901136236443882</v>
      </c>
      <c r="BE92" s="173">
        <f t="shared" si="218"/>
        <v>3.6845752951056525</v>
      </c>
      <c r="BF92" s="173"/>
      <c r="BG92" s="528">
        <f t="shared" si="219"/>
        <v>0.14617071727137795</v>
      </c>
      <c r="BH92" s="528">
        <f t="shared" si="220"/>
        <v>2.8909505691244575</v>
      </c>
      <c r="BI92" s="528">
        <f t="shared" si="221"/>
        <v>3.6702802807003068E-2</v>
      </c>
      <c r="BJ92" s="528">
        <f t="shared" si="222"/>
        <v>0.5011227337259212</v>
      </c>
      <c r="BK92">
        <f t="shared" si="223"/>
        <v>1.2546883798974567E-2</v>
      </c>
      <c r="BL92" s="460">
        <f t="shared" si="290"/>
        <v>49.249686605977637</v>
      </c>
      <c r="BM92" s="528">
        <f t="shared" si="224"/>
        <v>3.706435210664242</v>
      </c>
      <c r="BN92" s="460">
        <f t="shared" si="291"/>
        <v>3706.4352106642418</v>
      </c>
      <c r="BO92" s="528">
        <f t="shared" si="225"/>
        <v>1.4585549999999996</v>
      </c>
      <c r="BP92" s="528"/>
      <c r="BR92" s="460">
        <f t="shared" si="292"/>
        <v>1458.5549999999996</v>
      </c>
      <c r="BS92" s="528">
        <f t="shared" si="226"/>
        <v>0.17053250348327426</v>
      </c>
      <c r="BT92" s="528">
        <f t="shared" si="227"/>
        <v>0.19006533147424071</v>
      </c>
      <c r="BU92" s="528">
        <f t="shared" si="228"/>
        <v>20.844615897301093</v>
      </c>
      <c r="BV92" s="528">
        <f t="shared" si="229"/>
        <v>21.924223412296328</v>
      </c>
      <c r="BW92" s="528">
        <f t="shared" si="230"/>
        <v>2.4661399805735229</v>
      </c>
      <c r="BX92" s="460">
        <f t="shared" si="293"/>
        <v>24390.363392869851</v>
      </c>
      <c r="BY92" s="173">
        <f t="shared" si="231"/>
        <v>29.604603290140073</v>
      </c>
      <c r="BZ92" s="5">
        <f t="shared" si="294"/>
        <v>60.899999999999991</v>
      </c>
      <c r="CA92" s="173">
        <f t="shared" si="295"/>
        <v>0.67289394998800778</v>
      </c>
      <c r="CB92" s="5">
        <f t="shared" si="296"/>
        <v>67.289394998800773</v>
      </c>
      <c r="CE92" s="562">
        <f t="shared" si="232"/>
        <v>-50</v>
      </c>
      <c r="CF92">
        <f t="shared" si="233"/>
        <v>-50</v>
      </c>
      <c r="CG92" s="173">
        <f t="shared" si="234"/>
        <v>0.4790911154925242</v>
      </c>
      <c r="CI92" s="170">
        <v>87</v>
      </c>
      <c r="CJ92" s="217">
        <f t="shared" si="297"/>
        <v>2.1749999999999998</v>
      </c>
      <c r="CK92" s="217"/>
      <c r="CL92" s="217">
        <f t="shared" si="235"/>
        <v>60.899999999999991</v>
      </c>
      <c r="CM92" s="541">
        <f t="shared" si="236"/>
        <v>28</v>
      </c>
      <c r="CN92" s="172">
        <f t="shared" si="237"/>
        <v>28.4</v>
      </c>
      <c r="CO92" s="443">
        <f t="shared" si="238"/>
        <v>56.4</v>
      </c>
      <c r="CP92" s="443"/>
      <c r="CQ92" s="217">
        <f t="shared" si="239"/>
        <v>0.50354609929078009</v>
      </c>
      <c r="CR92" s="172">
        <f t="shared" si="240"/>
        <v>118.75402645742166</v>
      </c>
      <c r="CS92" s="172">
        <f t="shared" si="298"/>
        <v>60.899999999999991</v>
      </c>
      <c r="CT92" s="217">
        <f t="shared" si="241"/>
        <v>4.2412152306222017</v>
      </c>
      <c r="CU92" s="217">
        <f t="shared" si="242"/>
        <v>28</v>
      </c>
      <c r="CV92" s="217">
        <f t="shared" si="243"/>
        <v>4.1962174940898347</v>
      </c>
      <c r="CW92" s="172">
        <f t="shared" si="244"/>
        <v>79.420009180799397</v>
      </c>
      <c r="CX92" s="172">
        <f t="shared" si="245"/>
        <v>28</v>
      </c>
      <c r="CY92" s="217">
        <f t="shared" si="246"/>
        <v>8.6387323943661976</v>
      </c>
      <c r="CZ92" s="217">
        <f t="shared" si="247"/>
        <v>1.4500729376257546</v>
      </c>
      <c r="DA92" s="217">
        <f t="shared" si="248"/>
        <v>1.4296493751239834</v>
      </c>
      <c r="DB92" s="197">
        <f t="shared" si="249"/>
        <v>350</v>
      </c>
      <c r="DC92" s="443">
        <f t="shared" si="299"/>
        <v>347.25570433391465</v>
      </c>
      <c r="DE92" s="217">
        <f t="shared" si="250"/>
        <v>8.5709974347366842</v>
      </c>
      <c r="DF92" s="173">
        <f t="shared" si="251"/>
        <v>1.418439716312057</v>
      </c>
      <c r="DG92" s="173">
        <f t="shared" si="252"/>
        <v>2.1275525547218721</v>
      </c>
      <c r="DH92" s="173"/>
      <c r="DI92" s="173">
        <f t="shared" si="253"/>
        <v>0.55164319248826299</v>
      </c>
      <c r="DJ92" s="545">
        <f t="shared" si="300"/>
        <v>2365.6595744680844</v>
      </c>
      <c r="DK92" s="528">
        <f t="shared" si="254"/>
        <v>0.3217918622848201</v>
      </c>
      <c r="DM92" s="173">
        <f t="shared" si="255"/>
        <v>8.6660431542525664</v>
      </c>
      <c r="DN92" s="173">
        <f t="shared" si="256"/>
        <v>8.6387323943661976</v>
      </c>
      <c r="DO92" s="173">
        <f t="shared" si="257"/>
        <v>5.129925230394714</v>
      </c>
      <c r="DQ92" s="545">
        <f t="shared" si="258"/>
        <v>2175</v>
      </c>
      <c r="DR92" s="460">
        <f t="shared" si="259"/>
        <v>347.25570433391465</v>
      </c>
      <c r="DT92">
        <f t="shared" si="260"/>
        <v>2175</v>
      </c>
      <c r="DU92">
        <f t="shared" si="261"/>
        <v>347.25570433391465</v>
      </c>
      <c r="DW92" s="5">
        <f t="shared" si="301"/>
        <v>2.8797223127497382</v>
      </c>
      <c r="DX92" s="5">
        <f t="shared" si="262"/>
        <v>1.4500729376257546</v>
      </c>
      <c r="DY92" s="5">
        <f t="shared" si="302"/>
        <v>1.4296493751239836</v>
      </c>
      <c r="DZ92" s="5">
        <f t="shared" si="263"/>
        <v>1.4296493751239834</v>
      </c>
      <c r="EA92" s="173">
        <f t="shared" si="303"/>
        <v>0.50354609929078009</v>
      </c>
      <c r="EB92" s="173">
        <f t="shared" si="264"/>
        <v>60.9</v>
      </c>
      <c r="EC92" s="173">
        <f t="shared" si="265"/>
        <v>2.144366197183099</v>
      </c>
      <c r="ED92" s="173">
        <f t="shared" si="304"/>
        <v>28.399999999999995</v>
      </c>
      <c r="EE92" s="460">
        <f t="shared" si="266"/>
        <v>11.263959426200056</v>
      </c>
      <c r="EF92" s="5">
        <f t="shared" si="267"/>
        <v>2.2210624220676167</v>
      </c>
      <c r="EG92" s="5"/>
      <c r="EH92" s="173">
        <f t="shared" si="305"/>
        <v>3.5392318335806978</v>
      </c>
      <c r="EI92" s="173">
        <f t="shared" si="268"/>
        <v>3.5142192810532364</v>
      </c>
      <c r="EJ92" s="173"/>
      <c r="EK92" s="528">
        <f t="shared" si="269"/>
        <v>0.15031394366197187</v>
      </c>
      <c r="EL92" s="528">
        <f t="shared" si="270"/>
        <v>3.2146382978723405</v>
      </c>
      <c r="EM92" s="528">
        <f t="shared" si="271"/>
        <v>3.9934405998400188E-2</v>
      </c>
      <c r="EN92" s="528">
        <f t="shared" si="272"/>
        <v>0.54401870383956952</v>
      </c>
      <c r="EO92">
        <f t="shared" si="273"/>
        <v>1.26E-2</v>
      </c>
      <c r="EP92" s="460">
        <f t="shared" si="306"/>
        <v>52.534405998400189</v>
      </c>
      <c r="EQ92" s="528">
        <f t="shared" si="274"/>
        <v>4.150316998647134</v>
      </c>
      <c r="ER92" s="460">
        <f t="shared" si="307"/>
        <v>4150.3169986471339</v>
      </c>
      <c r="ES92" s="528">
        <f t="shared" si="308"/>
        <v>1.4585549999999996</v>
      </c>
      <c r="ET92" s="528"/>
      <c r="EV92" s="460">
        <f t="shared" si="309"/>
        <v>1458.5549999999996</v>
      </c>
      <c r="EW92" s="528">
        <f t="shared" si="275"/>
        <v>0.17536626760563384</v>
      </c>
      <c r="EX92" s="528">
        <f t="shared" si="276"/>
        <v>0.17289632017456855</v>
      </c>
      <c r="EY92" s="528">
        <f t="shared" si="277"/>
        <v>24.64441582395283</v>
      </c>
      <c r="EZ92" s="528">
        <f t="shared" si="278"/>
        <v>25.794934277858459</v>
      </c>
      <c r="FA92" s="528">
        <f t="shared" si="279"/>
        <v>2.5914893617021275</v>
      </c>
      <c r="FB92" s="460">
        <f t="shared" si="310"/>
        <v>28386.423639560588</v>
      </c>
      <c r="FC92" s="173">
        <f t="shared" si="311"/>
        <v>33.995295638207722</v>
      </c>
      <c r="FD92" s="5">
        <f t="shared" si="312"/>
        <v>60.899999999999991</v>
      </c>
      <c r="FE92" s="173">
        <f t="shared" si="313"/>
        <v>0.64175994806090064</v>
      </c>
      <c r="FF92" s="5">
        <f t="shared" si="314"/>
        <v>64.17599480609006</v>
      </c>
      <c r="FI92" s="562">
        <f t="shared" si="280"/>
        <v>-50</v>
      </c>
      <c r="FJ92">
        <f t="shared" si="281"/>
        <v>-50</v>
      </c>
      <c r="FL92">
        <f t="shared" si="282"/>
        <v>0.49645390070921991</v>
      </c>
    </row>
    <row r="93" spans="5:168">
      <c r="E93" s="170">
        <v>88</v>
      </c>
      <c r="F93" s="217">
        <f t="shared" si="283"/>
        <v>2.2000000000000002</v>
      </c>
      <c r="G93" s="217"/>
      <c r="H93" s="217">
        <f t="shared" si="183"/>
        <v>61.600000000000009</v>
      </c>
      <c r="I93" s="541">
        <f t="shared" si="184"/>
        <v>27.880656411403564</v>
      </c>
      <c r="J93" s="172">
        <f t="shared" si="185"/>
        <v>28.464261932321158</v>
      </c>
      <c r="K93" s="172">
        <f t="shared" si="186"/>
        <v>56.464261932321158</v>
      </c>
      <c r="L93" s="443"/>
      <c r="M93" s="217">
        <f t="shared" si="187"/>
        <v>0.50515935183818039</v>
      </c>
      <c r="N93" s="172">
        <f t="shared" si="188"/>
        <v>118.62670513717181</v>
      </c>
      <c r="O93" s="172">
        <f t="shared" si="284"/>
        <v>61.600000000000009</v>
      </c>
      <c r="P93" s="217">
        <f t="shared" si="189"/>
        <v>4.2366680406132788</v>
      </c>
      <c r="Q93" s="217">
        <f t="shared" si="190"/>
        <v>28</v>
      </c>
      <c r="R93" s="217">
        <f t="shared" si="191"/>
        <v>4.1917185480975103</v>
      </c>
      <c r="S93" s="172">
        <f t="shared" si="192"/>
        <v>77.870374429448617</v>
      </c>
      <c r="T93" s="172">
        <f t="shared" si="193"/>
        <v>28</v>
      </c>
      <c r="U93" s="217">
        <f t="shared" si="194"/>
        <v>8.8917513473168466</v>
      </c>
      <c r="V93" s="217">
        <f t="shared" si="195"/>
        <v>1.4989328341385824</v>
      </c>
      <c r="W93" s="217">
        <f t="shared" si="196"/>
        <v>1.4682000689761519</v>
      </c>
      <c r="X93" s="197">
        <f t="shared" si="197"/>
        <v>350</v>
      </c>
      <c r="Y93" s="443">
        <f t="shared" si="198"/>
        <v>315.74298603527006</v>
      </c>
      <c r="AA93" s="217">
        <f t="shared" si="199"/>
        <v>8.5621388320044307</v>
      </c>
      <c r="AB93" s="173">
        <f t="shared" si="200"/>
        <v>1.4137746696578135</v>
      </c>
      <c r="AC93" s="173">
        <f t="shared" si="201"/>
        <v>2.1183636247867454</v>
      </c>
      <c r="AD93" s="173"/>
      <c r="AE93" s="173">
        <f t="shared" si="202"/>
        <v>0.55039778315408117</v>
      </c>
      <c r="AF93" s="545">
        <f t="shared" si="203"/>
        <v>2398.2654734466337</v>
      </c>
      <c r="AG93" s="528">
        <f t="shared" si="204"/>
        <v>0.32106537350654735</v>
      </c>
      <c r="AI93" s="173">
        <f t="shared" si="205"/>
        <v>8.7255608332902419</v>
      </c>
      <c r="AJ93" s="173">
        <f t="shared" si="206"/>
        <v>8.8917513473168466</v>
      </c>
      <c r="AK93" s="173">
        <f t="shared" si="207"/>
        <v>5.3173466770248243</v>
      </c>
      <c r="AM93" s="545">
        <f t="shared" si="208"/>
        <v>2200</v>
      </c>
      <c r="AN93" s="460">
        <f t="shared" si="209"/>
        <v>315.74298603527006</v>
      </c>
      <c r="AP93">
        <f t="shared" si="210"/>
        <v>2200</v>
      </c>
      <c r="AQ93">
        <f t="shared" si="211"/>
        <v>315.74298603527006</v>
      </c>
      <c r="AS93" s="5">
        <f t="shared" si="285"/>
        <v>3.1671329031147346</v>
      </c>
      <c r="AT93" s="5">
        <f t="shared" si="212"/>
        <v>1.4989328341385824</v>
      </c>
      <c r="AU93" s="5">
        <f t="shared" si="286"/>
        <v>1.6682000689761523</v>
      </c>
      <c r="AV93" s="5">
        <f t="shared" si="213"/>
        <v>1.4682000689761519</v>
      </c>
      <c r="AW93" s="173">
        <f t="shared" si="287"/>
        <v>0.47327752891722619</v>
      </c>
      <c r="AX93" s="173">
        <f t="shared" si="214"/>
        <v>58.664610686269612</v>
      </c>
      <c r="AY93" s="173">
        <f t="shared" si="215"/>
        <v>2.3417426209561563</v>
      </c>
      <c r="AZ93" s="173">
        <f t="shared" si="288"/>
        <v>25.051690207660943</v>
      </c>
      <c r="BA93" s="460">
        <f t="shared" si="216"/>
        <v>11.777329411088862</v>
      </c>
      <c r="BB93" s="5">
        <f t="shared" si="217"/>
        <v>2.6326784402726182</v>
      </c>
      <c r="BC93" s="5"/>
      <c r="BD93" s="173">
        <f t="shared" si="289"/>
        <v>3.531706660742489</v>
      </c>
      <c r="BE93" s="173">
        <f t="shared" si="218"/>
        <v>3.7257834169434472</v>
      </c>
      <c r="BF93" s="173"/>
      <c r="BG93" s="528">
        <f t="shared" si="219"/>
        <v>0.14967542325039435</v>
      </c>
      <c r="BH93" s="528">
        <f t="shared" si="220"/>
        <v>2.8930606995627812</v>
      </c>
      <c r="BI93" s="528">
        <f t="shared" si="221"/>
        <v>3.6310443394056056E-2</v>
      </c>
      <c r="BJ93" s="528">
        <f t="shared" si="222"/>
        <v>0.49577800782213977</v>
      </c>
      <c r="BK93">
        <f t="shared" si="223"/>
        <v>1.2546295385131603E-2</v>
      </c>
      <c r="BL93" s="460">
        <f t="shared" si="290"/>
        <v>48.856738779187658</v>
      </c>
      <c r="BM93" s="528">
        <f t="shared" si="224"/>
        <v>3.710896669973629</v>
      </c>
      <c r="BN93" s="460">
        <f t="shared" si="291"/>
        <v>3710.8966699736288</v>
      </c>
      <c r="BO93" s="528">
        <f t="shared" si="225"/>
        <v>1.47532</v>
      </c>
      <c r="BP93" s="528"/>
      <c r="BR93" s="460">
        <f t="shared" si="292"/>
        <v>1475.32</v>
      </c>
      <c r="BS93" s="528">
        <f t="shared" si="226"/>
        <v>0.17462132712546008</v>
      </c>
      <c r="BT93" s="528">
        <f t="shared" si="227"/>
        <v>0.19434046897959106</v>
      </c>
      <c r="BU93" s="528">
        <f t="shared" si="228"/>
        <v>20.882022408264859</v>
      </c>
      <c r="BV93" s="528">
        <f t="shared" si="229"/>
        <v>21.988570430624371</v>
      </c>
      <c r="BW93" s="528">
        <f t="shared" si="230"/>
        <v>2.4963664121816858</v>
      </c>
      <c r="BX93" s="460">
        <f t="shared" si="293"/>
        <v>24484.936842806059</v>
      </c>
      <c r="BY93" s="173">
        <f t="shared" si="231"/>
        <v>29.720010251558875</v>
      </c>
      <c r="BZ93" s="5">
        <f t="shared" si="294"/>
        <v>61.600000000000009</v>
      </c>
      <c r="CA93" s="173">
        <f t="shared" si="295"/>
        <v>0.67455095362243966</v>
      </c>
      <c r="CB93" s="5">
        <f t="shared" si="296"/>
        <v>67.455095362243966</v>
      </c>
      <c r="CE93" s="562">
        <f t="shared" si="232"/>
        <v>-50</v>
      </c>
      <c r="CF93">
        <f t="shared" si="233"/>
        <v>-50</v>
      </c>
      <c r="CG93" s="173">
        <f t="shared" si="234"/>
        <v>0.4792884198699866</v>
      </c>
      <c r="CI93" s="170">
        <v>88</v>
      </c>
      <c r="CJ93" s="217">
        <f t="shared" si="297"/>
        <v>2.2000000000000002</v>
      </c>
      <c r="CK93" s="217"/>
      <c r="CL93" s="217">
        <f t="shared" si="235"/>
        <v>61.600000000000009</v>
      </c>
      <c r="CM93" s="541">
        <f t="shared" si="236"/>
        <v>28</v>
      </c>
      <c r="CN93" s="172">
        <f t="shared" si="237"/>
        <v>28.4</v>
      </c>
      <c r="CO93" s="443">
        <f t="shared" si="238"/>
        <v>56.4</v>
      </c>
      <c r="CP93" s="443"/>
      <c r="CQ93" s="217">
        <f t="shared" si="239"/>
        <v>0.50354609929078009</v>
      </c>
      <c r="CR93" s="172">
        <f t="shared" si="240"/>
        <v>118.75402645742166</v>
      </c>
      <c r="CS93" s="172">
        <f t="shared" si="298"/>
        <v>61.600000000000009</v>
      </c>
      <c r="CT93" s="217">
        <f t="shared" si="241"/>
        <v>4.2412152306222017</v>
      </c>
      <c r="CU93" s="217">
        <f t="shared" si="242"/>
        <v>28</v>
      </c>
      <c r="CV93" s="217">
        <f t="shared" si="243"/>
        <v>4.1962174940898347</v>
      </c>
      <c r="CW93" s="172">
        <f t="shared" si="244"/>
        <v>78.203094090239361</v>
      </c>
      <c r="CX93" s="172">
        <f t="shared" si="245"/>
        <v>28</v>
      </c>
      <c r="CY93" s="217">
        <f t="shared" si="246"/>
        <v>8.7380281690140862</v>
      </c>
      <c r="CZ93" s="217">
        <f t="shared" si="247"/>
        <v>1.4667404426559358</v>
      </c>
      <c r="DA93" s="217">
        <f t="shared" si="248"/>
        <v>1.4460821265621904</v>
      </c>
      <c r="DB93" s="197">
        <f t="shared" si="249"/>
        <v>350</v>
      </c>
      <c r="DC93" s="443">
        <f t="shared" si="299"/>
        <v>343.30961678466559</v>
      </c>
      <c r="DE93" s="217">
        <f t="shared" si="250"/>
        <v>8.5709974347366842</v>
      </c>
      <c r="DF93" s="173">
        <f t="shared" si="251"/>
        <v>1.418439716312057</v>
      </c>
      <c r="DG93" s="173">
        <f t="shared" si="252"/>
        <v>2.1275525547218721</v>
      </c>
      <c r="DH93" s="173"/>
      <c r="DI93" s="173">
        <f t="shared" si="253"/>
        <v>0.55164319248826299</v>
      </c>
      <c r="DJ93" s="545">
        <f t="shared" si="300"/>
        <v>2392.8510638297871</v>
      </c>
      <c r="DK93" s="528">
        <f t="shared" si="254"/>
        <v>0.3217918622848201</v>
      </c>
      <c r="DM93" s="173">
        <f t="shared" si="255"/>
        <v>8.7157056992458308</v>
      </c>
      <c r="DN93" s="173">
        <f t="shared" si="256"/>
        <v>8.7380281690140862</v>
      </c>
      <c r="DO93" s="173">
        <f t="shared" si="257"/>
        <v>5.2034776560598166</v>
      </c>
      <c r="DQ93" s="545">
        <f t="shared" si="258"/>
        <v>2200</v>
      </c>
      <c r="DR93" s="460">
        <f t="shared" si="259"/>
        <v>343.30961678466559</v>
      </c>
      <c r="DT93">
        <f t="shared" si="260"/>
        <v>2200</v>
      </c>
      <c r="DU93">
        <f t="shared" si="261"/>
        <v>343.30961678466559</v>
      </c>
      <c r="DW93" s="5">
        <f t="shared" si="301"/>
        <v>2.9128225692181262</v>
      </c>
      <c r="DX93" s="5">
        <f t="shared" si="262"/>
        <v>1.4667404426559358</v>
      </c>
      <c r="DY93" s="5">
        <f t="shared" si="302"/>
        <v>1.4460821265621904</v>
      </c>
      <c r="DZ93" s="5">
        <f t="shared" si="263"/>
        <v>1.4460821265621904</v>
      </c>
      <c r="EA93" s="173">
        <f t="shared" si="303"/>
        <v>0.50354609929078009</v>
      </c>
      <c r="EB93" s="173">
        <f t="shared" si="264"/>
        <v>61.600000000000009</v>
      </c>
      <c r="EC93" s="173">
        <f t="shared" si="265"/>
        <v>2.1690140845070429</v>
      </c>
      <c r="ED93" s="173">
        <f t="shared" si="304"/>
        <v>28.399999999999995</v>
      </c>
      <c r="EE93" s="460">
        <f t="shared" si="266"/>
        <v>11.524389192296638</v>
      </c>
      <c r="EF93" s="5">
        <f t="shared" si="267"/>
        <v>2.2724147703120132</v>
      </c>
      <c r="EG93" s="5"/>
      <c r="EH93" s="173">
        <f t="shared" si="305"/>
        <v>3.5799126592540396</v>
      </c>
      <c r="EI93" s="173">
        <f t="shared" si="268"/>
        <v>3.5546126061228143</v>
      </c>
      <c r="EJ93" s="173"/>
      <c r="EK93" s="528">
        <f t="shared" si="269"/>
        <v>0.15378929577464795</v>
      </c>
      <c r="EL93" s="528">
        <f t="shared" si="270"/>
        <v>3.2146382978723405</v>
      </c>
      <c r="EM93" s="528">
        <f t="shared" si="271"/>
        <v>3.9480605930236549E-2</v>
      </c>
      <c r="EN93" s="528">
        <f t="shared" si="272"/>
        <v>0.53783667311411987</v>
      </c>
      <c r="EO93">
        <f t="shared" si="273"/>
        <v>1.26E-2</v>
      </c>
      <c r="EP93" s="460">
        <f t="shared" si="306"/>
        <v>52.080605930236551</v>
      </c>
      <c r="EQ93" s="528">
        <f t="shared" si="274"/>
        <v>4.1515676626781888</v>
      </c>
      <c r="ER93" s="460">
        <f t="shared" si="307"/>
        <v>4151.5676626781888</v>
      </c>
      <c r="ES93" s="528">
        <f t="shared" si="308"/>
        <v>1.47532</v>
      </c>
      <c r="ET93" s="528"/>
      <c r="EV93" s="460">
        <f t="shared" si="309"/>
        <v>1475.32</v>
      </c>
      <c r="EW93" s="528">
        <f t="shared" si="275"/>
        <v>0.17942084507042261</v>
      </c>
      <c r="EX93" s="528">
        <f t="shared" si="276"/>
        <v>0.17689379091450116</v>
      </c>
      <c r="EY93" s="528">
        <f t="shared" si="277"/>
        <v>24.644415823952833</v>
      </c>
      <c r="EZ93" s="528">
        <f t="shared" si="278"/>
        <v>25.822315488047046</v>
      </c>
      <c r="FA93" s="528">
        <f t="shared" si="279"/>
        <v>2.6212765957446815</v>
      </c>
      <c r="FB93" s="460">
        <f t="shared" si="310"/>
        <v>28443.592083791729</v>
      </c>
      <c r="FC93" s="173">
        <f t="shared" si="311"/>
        <v>34.070479746469914</v>
      </c>
      <c r="FD93" s="5">
        <f t="shared" si="312"/>
        <v>61.600000000000009</v>
      </c>
      <c r="FE93" s="173">
        <f t="shared" si="313"/>
        <v>0.64387677539866151</v>
      </c>
      <c r="FF93" s="5">
        <f t="shared" si="314"/>
        <v>64.387677539866147</v>
      </c>
      <c r="FI93" s="562">
        <f t="shared" si="280"/>
        <v>-50</v>
      </c>
      <c r="FJ93">
        <f t="shared" si="281"/>
        <v>-50</v>
      </c>
      <c r="FL93">
        <f t="shared" si="282"/>
        <v>0.49645390070921991</v>
      </c>
    </row>
    <row r="94" spans="5:168">
      <c r="E94" s="170">
        <v>89</v>
      </c>
      <c r="F94" s="217">
        <f t="shared" si="283"/>
        <v>2.2250000000000001</v>
      </c>
      <c r="G94" s="217"/>
      <c r="H94" s="217">
        <f t="shared" si="183"/>
        <v>62.300000000000004</v>
      </c>
      <c r="I94" s="541">
        <f t="shared" si="184"/>
        <v>27.879348785545382</v>
      </c>
      <c r="J94" s="172">
        <f t="shared" si="185"/>
        <v>28.464966038552486</v>
      </c>
      <c r="K94" s="172">
        <f t="shared" si="186"/>
        <v>56.46496603855249</v>
      </c>
      <c r="L94" s="443"/>
      <c r="M94" s="217">
        <f t="shared" si="187"/>
        <v>0.50517726778734207</v>
      </c>
      <c r="N94" s="172">
        <f t="shared" si="188"/>
        <v>118.62534845632389</v>
      </c>
      <c r="O94" s="172">
        <f t="shared" si="284"/>
        <v>62.300000000000004</v>
      </c>
      <c r="P94" s="217">
        <f t="shared" si="189"/>
        <v>4.236619587725853</v>
      </c>
      <c r="Q94" s="217">
        <f t="shared" si="190"/>
        <v>28</v>
      </c>
      <c r="R94" s="217">
        <f t="shared" si="191"/>
        <v>4.1916706092774314</v>
      </c>
      <c r="S94" s="172">
        <f t="shared" si="192"/>
        <v>76.682360904849034</v>
      </c>
      <c r="T94" s="172">
        <f t="shared" si="193"/>
        <v>28</v>
      </c>
      <c r="U94" s="217">
        <f t="shared" si="194"/>
        <v>8.9931195765831173</v>
      </c>
      <c r="V94" s="217">
        <f t="shared" si="195"/>
        <v>1.5160921560641036</v>
      </c>
      <c r="W94" s="217">
        <f t="shared" si="196"/>
        <v>1.4849011923180944</v>
      </c>
      <c r="X94" s="197">
        <f t="shared" si="197"/>
        <v>350</v>
      </c>
      <c r="Y94" s="443">
        <f t="shared" si="198"/>
        <v>312.40302342565195</v>
      </c>
      <c r="AA94" s="217">
        <f t="shared" si="199"/>
        <v>8.5620407574437749</v>
      </c>
      <c r="AB94" s="173">
        <f t="shared" si="200"/>
        <v>1.4137235050793029</v>
      </c>
      <c r="AC94" s="173">
        <f t="shared" si="201"/>
        <v>2.1182626972929213</v>
      </c>
      <c r="AD94" s="173"/>
      <c r="AE94" s="173">
        <f t="shared" si="202"/>
        <v>0.55038416857578509</v>
      </c>
      <c r="AF94" s="545">
        <f t="shared" si="203"/>
        <v>2425.5784890298446</v>
      </c>
      <c r="AG94" s="528">
        <f t="shared" si="204"/>
        <v>0.32105743166920797</v>
      </c>
      <c r="AI94" s="173">
        <f t="shared" si="205"/>
        <v>8.7751063648957093</v>
      </c>
      <c r="AJ94" s="173">
        <f t="shared" si="206"/>
        <v>8.9931195765831173</v>
      </c>
      <c r="AK94" s="173">
        <f t="shared" si="207"/>
        <v>5.3924342542590988</v>
      </c>
      <c r="AM94" s="545">
        <f t="shared" si="208"/>
        <v>2225</v>
      </c>
      <c r="AN94" s="460">
        <f t="shared" si="209"/>
        <v>312.40302342565195</v>
      </c>
      <c r="AP94">
        <f t="shared" si="210"/>
        <v>2225</v>
      </c>
      <c r="AQ94">
        <f t="shared" si="211"/>
        <v>312.40302342565195</v>
      </c>
      <c r="AS94" s="5">
        <f t="shared" si="285"/>
        <v>3.2009933483821986</v>
      </c>
      <c r="AT94" s="5">
        <f t="shared" si="212"/>
        <v>1.5160921560641036</v>
      </c>
      <c r="AU94" s="5">
        <f t="shared" si="286"/>
        <v>1.684901192318095</v>
      </c>
      <c r="AV94" s="5">
        <f t="shared" si="213"/>
        <v>1.4849011923180944</v>
      </c>
      <c r="AW94" s="173">
        <f t="shared" si="287"/>
        <v>0.47363177334634132</v>
      </c>
      <c r="AX94" s="173">
        <f t="shared" si="214"/>
        <v>59.375027890968568</v>
      </c>
      <c r="AY94" s="173">
        <f t="shared" si="215"/>
        <v>2.3668462018051786</v>
      </c>
      <c r="AZ94" s="173">
        <f t="shared" si="288"/>
        <v>25.086136921648567</v>
      </c>
      <c r="BA94" s="460">
        <f t="shared" si="216"/>
        <v>12.047518025866538</v>
      </c>
      <c r="BB94" s="5">
        <f t="shared" si="217"/>
        <v>2.6893778486328617</v>
      </c>
      <c r="BC94" s="5"/>
      <c r="BD94" s="173">
        <f t="shared" si="289"/>
        <v>3.5733055608820345</v>
      </c>
      <c r="BE94" s="173">
        <f t="shared" si="218"/>
        <v>3.7669909222274081</v>
      </c>
      <c r="BF94" s="173"/>
      <c r="BG94" s="528">
        <f t="shared" si="219"/>
        <v>0.15322215157716568</v>
      </c>
      <c r="BH94" s="528">
        <f t="shared" si="220"/>
        <v>2.8951264453752064</v>
      </c>
      <c r="BI94" s="528">
        <f t="shared" si="221"/>
        <v>3.5926347693949978E-2</v>
      </c>
      <c r="BJ94" s="528">
        <f t="shared" si="222"/>
        <v>0.49054584969320142</v>
      </c>
      <c r="BK94">
        <f t="shared" si="223"/>
        <v>1.2545706953495422E-2</v>
      </c>
      <c r="BL94" s="460">
        <f t="shared" si="290"/>
        <v>48.472054647445404</v>
      </c>
      <c r="BM94" s="528">
        <f t="shared" si="224"/>
        <v>3.7155304817101911</v>
      </c>
      <c r="BN94" s="460">
        <f t="shared" si="291"/>
        <v>3715.530481710191</v>
      </c>
      <c r="BO94" s="528">
        <f t="shared" si="225"/>
        <v>1.4920849999999999</v>
      </c>
      <c r="BP94" s="528"/>
      <c r="BR94" s="460">
        <f t="shared" si="292"/>
        <v>1492.0849999999998</v>
      </c>
      <c r="BS94" s="528">
        <f t="shared" si="226"/>
        <v>0.1787591768400266</v>
      </c>
      <c r="BT94" s="528">
        <f t="shared" si="227"/>
        <v>0.19866308851401179</v>
      </c>
      <c r="BU94" s="528">
        <f t="shared" si="228"/>
        <v>20.918666453413024</v>
      </c>
      <c r="BV94" s="528">
        <f t="shared" si="229"/>
        <v>22.052518996567841</v>
      </c>
      <c r="BW94" s="528">
        <f t="shared" si="230"/>
        <v>2.5265969315305776</v>
      </c>
      <c r="BX94" s="460">
        <f t="shared" si="293"/>
        <v>24579.115928098417</v>
      </c>
      <c r="BY94" s="173">
        <f t="shared" si="231"/>
        <v>29.835203464456058</v>
      </c>
      <c r="BZ94" s="5">
        <f t="shared" si="294"/>
        <v>62.300000000000004</v>
      </c>
      <c r="CA94" s="173">
        <f t="shared" si="295"/>
        <v>0.67618019668273832</v>
      </c>
      <c r="CB94" s="5">
        <f t="shared" si="296"/>
        <v>67.618019668273831</v>
      </c>
      <c r="CE94" s="562">
        <f t="shared" si="232"/>
        <v>-50</v>
      </c>
      <c r="CF94">
        <f t="shared" si="233"/>
        <v>-50</v>
      </c>
      <c r="CG94" s="173">
        <f t="shared" si="234"/>
        <v>0.47948129044121396</v>
      </c>
      <c r="CI94" s="170">
        <v>89</v>
      </c>
      <c r="CJ94" s="217">
        <f t="shared" si="297"/>
        <v>2.2250000000000001</v>
      </c>
      <c r="CK94" s="217"/>
      <c r="CL94" s="217">
        <f t="shared" si="235"/>
        <v>62.300000000000004</v>
      </c>
      <c r="CM94" s="541">
        <f t="shared" si="236"/>
        <v>28</v>
      </c>
      <c r="CN94" s="172">
        <f t="shared" si="237"/>
        <v>28.4</v>
      </c>
      <c r="CO94" s="443">
        <f t="shared" si="238"/>
        <v>56.4</v>
      </c>
      <c r="CP94" s="443"/>
      <c r="CQ94" s="217">
        <f t="shared" si="239"/>
        <v>0.50354609929078009</v>
      </c>
      <c r="CR94" s="172">
        <f t="shared" si="240"/>
        <v>118.75402645742166</v>
      </c>
      <c r="CS94" s="172">
        <f t="shared" si="298"/>
        <v>62.300000000000004</v>
      </c>
      <c r="CT94" s="217">
        <f t="shared" si="241"/>
        <v>4.2412152306222017</v>
      </c>
      <c r="CU94" s="217">
        <f t="shared" si="242"/>
        <v>28</v>
      </c>
      <c r="CV94" s="217">
        <f t="shared" si="243"/>
        <v>4.1962174940898347</v>
      </c>
      <c r="CW94" s="172">
        <f t="shared" si="244"/>
        <v>77.013591294968265</v>
      </c>
      <c r="CX94" s="172">
        <f t="shared" si="245"/>
        <v>28</v>
      </c>
      <c r="CY94" s="217">
        <f t="shared" si="246"/>
        <v>8.837323943661973</v>
      </c>
      <c r="CZ94" s="217">
        <f t="shared" si="247"/>
        <v>1.4834079476861171</v>
      </c>
      <c r="DA94" s="217">
        <f t="shared" si="248"/>
        <v>1.4625148780003969</v>
      </c>
      <c r="DB94" s="197">
        <f t="shared" si="249"/>
        <v>350</v>
      </c>
      <c r="DC94" s="443">
        <f t="shared" si="299"/>
        <v>339.4522053601188</v>
      </c>
      <c r="DE94" s="217">
        <f t="shared" si="250"/>
        <v>8.5709974347366842</v>
      </c>
      <c r="DF94" s="173">
        <f t="shared" si="251"/>
        <v>1.418439716312057</v>
      </c>
      <c r="DG94" s="173">
        <f t="shared" si="252"/>
        <v>2.1275525547218721</v>
      </c>
      <c r="DH94" s="173"/>
      <c r="DI94" s="173">
        <f t="shared" si="253"/>
        <v>0.55164319248826299</v>
      </c>
      <c r="DJ94" s="545">
        <f t="shared" si="300"/>
        <v>2420.0425531914889</v>
      </c>
      <c r="DK94" s="528">
        <f t="shared" si="254"/>
        <v>0.3217918622848201</v>
      </c>
      <c r="DM94" s="173">
        <f t="shared" si="255"/>
        <v>8.7650868632526819</v>
      </c>
      <c r="DN94" s="173">
        <f t="shared" si="256"/>
        <v>8.837323943661973</v>
      </c>
      <c r="DO94" s="173">
        <f t="shared" si="257"/>
        <v>5.2770300817249183</v>
      </c>
      <c r="DQ94" s="545">
        <f t="shared" si="258"/>
        <v>2225</v>
      </c>
      <c r="DR94" s="460">
        <f t="shared" si="259"/>
        <v>339.4522053601188</v>
      </c>
      <c r="DT94">
        <f t="shared" si="260"/>
        <v>2225</v>
      </c>
      <c r="DU94">
        <f t="shared" si="261"/>
        <v>339.4522053601188</v>
      </c>
      <c r="DW94" s="5">
        <f t="shared" si="301"/>
        <v>2.9459228256865142</v>
      </c>
      <c r="DX94" s="5">
        <f t="shared" si="262"/>
        <v>1.4834079476861171</v>
      </c>
      <c r="DY94" s="5">
        <f t="shared" si="302"/>
        <v>1.4625148780003971</v>
      </c>
      <c r="DZ94" s="5">
        <f t="shared" si="263"/>
        <v>1.4625148780003969</v>
      </c>
      <c r="EA94" s="173">
        <f t="shared" si="303"/>
        <v>0.50354609929078009</v>
      </c>
      <c r="EB94" s="173">
        <f t="shared" si="264"/>
        <v>62.3</v>
      </c>
      <c r="EC94" s="173">
        <f t="shared" si="265"/>
        <v>2.1936619718309864</v>
      </c>
      <c r="ED94" s="173">
        <f t="shared" si="304"/>
        <v>28.399999999999991</v>
      </c>
      <c r="EE94" s="460">
        <f t="shared" si="266"/>
        <v>11.78779529857718</v>
      </c>
      <c r="EF94" s="5">
        <f t="shared" si="267"/>
        <v>2.3243540025363454</v>
      </c>
      <c r="EG94" s="5"/>
      <c r="EH94" s="173">
        <f t="shared" si="305"/>
        <v>3.6205934849273809</v>
      </c>
      <c r="EI94" s="173">
        <f t="shared" si="268"/>
        <v>3.5950059311923916</v>
      </c>
      <c r="EJ94" s="173"/>
      <c r="EK94" s="528">
        <f t="shared" si="269"/>
        <v>0.15730436619718316</v>
      </c>
      <c r="EL94" s="528">
        <f t="shared" si="270"/>
        <v>3.2146382978723405</v>
      </c>
      <c r="EM94" s="528">
        <f t="shared" si="271"/>
        <v>3.9037003616413664E-2</v>
      </c>
      <c r="EN94" s="528">
        <f t="shared" si="272"/>
        <v>0.53179356442744441</v>
      </c>
      <c r="EO94">
        <f t="shared" si="273"/>
        <v>1.26E-2</v>
      </c>
      <c r="EP94" s="460">
        <f t="shared" si="306"/>
        <v>51.637003616413665</v>
      </c>
      <c r="EQ94" s="528">
        <f t="shared" si="274"/>
        <v>4.1530684948129926</v>
      </c>
      <c r="ER94" s="460">
        <f t="shared" si="307"/>
        <v>4153.0684948129929</v>
      </c>
      <c r="ES94" s="528">
        <f t="shared" si="308"/>
        <v>1.4920849999999999</v>
      </c>
      <c r="ET94" s="528"/>
      <c r="EV94" s="460">
        <f t="shared" si="309"/>
        <v>1492.0849999999998</v>
      </c>
      <c r="EW94" s="528">
        <f t="shared" si="275"/>
        <v>0.18352176056338035</v>
      </c>
      <c r="EX94" s="528">
        <f t="shared" si="276"/>
        <v>0.18093694703431865</v>
      </c>
      <c r="EY94" s="528">
        <f t="shared" si="277"/>
        <v>24.644415823952787</v>
      </c>
      <c r="EZ94" s="528">
        <f t="shared" si="278"/>
        <v>25.85004658700927</v>
      </c>
      <c r="FA94" s="528">
        <f t="shared" si="279"/>
        <v>2.6510638297872346</v>
      </c>
      <c r="FB94" s="460">
        <f t="shared" si="310"/>
        <v>28501.110416796502</v>
      </c>
      <c r="FC94" s="173">
        <f t="shared" si="311"/>
        <v>34.146263911609495</v>
      </c>
      <c r="FD94" s="5">
        <f t="shared" si="312"/>
        <v>62.300000000000004</v>
      </c>
      <c r="FE94" s="173">
        <f t="shared" si="313"/>
        <v>0.64595555569779606</v>
      </c>
      <c r="FF94" s="5">
        <f t="shared" si="314"/>
        <v>64.595555569779606</v>
      </c>
      <c r="FI94" s="562">
        <f t="shared" si="280"/>
        <v>-50</v>
      </c>
      <c r="FJ94">
        <f t="shared" si="281"/>
        <v>-50</v>
      </c>
      <c r="FL94">
        <f t="shared" si="282"/>
        <v>0.49645390070921991</v>
      </c>
    </row>
    <row r="95" spans="5:168">
      <c r="E95" s="170">
        <v>90</v>
      </c>
      <c r="F95" s="217">
        <f t="shared" si="283"/>
        <v>2.25</v>
      </c>
      <c r="G95" s="217"/>
      <c r="H95" s="217">
        <f t="shared" si="183"/>
        <v>63</v>
      </c>
      <c r="I95" s="541">
        <f t="shared" si="184"/>
        <v>27.878041121510851</v>
      </c>
      <c r="J95" s="172">
        <f t="shared" si="185"/>
        <v>28.46567016534031</v>
      </c>
      <c r="K95" s="172">
        <f t="shared" si="186"/>
        <v>56.465670165340313</v>
      </c>
      <c r="L95" s="443"/>
      <c r="M95" s="217">
        <f t="shared" si="187"/>
        <v>0.50519518446207434</v>
      </c>
      <c r="N95" s="172">
        <f t="shared" si="188"/>
        <v>118.62399138875857</v>
      </c>
      <c r="O95" s="172">
        <f t="shared" si="284"/>
        <v>63</v>
      </c>
      <c r="P95" s="217">
        <f t="shared" si="189"/>
        <v>4.236571121027092</v>
      </c>
      <c r="Q95" s="217">
        <f t="shared" si="190"/>
        <v>28</v>
      </c>
      <c r="R95" s="217">
        <f t="shared" si="191"/>
        <v>4.1916226567925507</v>
      </c>
      <c r="S95" s="172">
        <f t="shared" si="192"/>
        <v>75.520842546140273</v>
      </c>
      <c r="T95" s="172">
        <f t="shared" si="193"/>
        <v>28</v>
      </c>
      <c r="U95" s="217">
        <f t="shared" si="194"/>
        <v>9.094495159890144</v>
      </c>
      <c r="V95" s="217">
        <f t="shared" si="195"/>
        <v>1.5332543296416214</v>
      </c>
      <c r="W95" s="217">
        <f t="shared" si="196"/>
        <v>1.5016027025960823</v>
      </c>
      <c r="X95" s="197">
        <f t="shared" si="197"/>
        <v>350</v>
      </c>
      <c r="Y95" s="443">
        <f t="shared" si="198"/>
        <v>309.13267264496466</v>
      </c>
      <c r="AA95" s="217">
        <f t="shared" si="199"/>
        <v>8.5619426580504587</v>
      </c>
      <c r="AB95" s="173">
        <f t="shared" si="200"/>
        <v>1.4136723379108986</v>
      </c>
      <c r="AC95" s="173">
        <f t="shared" si="201"/>
        <v>2.1181617615314181</v>
      </c>
      <c r="AD95" s="173"/>
      <c r="AE95" s="173">
        <f t="shared" si="202"/>
        <v>0.5503705542735593</v>
      </c>
      <c r="AF95" s="545">
        <f t="shared" si="203"/>
        <v>2452.8928546729412</v>
      </c>
      <c r="AG95" s="528">
        <f t="shared" si="204"/>
        <v>0.32104948999290961</v>
      </c>
      <c r="AI95" s="173">
        <f t="shared" si="205"/>
        <v>8.8243761498511404</v>
      </c>
      <c r="AJ95" s="173">
        <f t="shared" si="206"/>
        <v>9.094495159890144</v>
      </c>
      <c r="AK95" s="173">
        <f t="shared" si="207"/>
        <v>5.4675272789309703</v>
      </c>
      <c r="AM95" s="545">
        <f t="shared" si="208"/>
        <v>2250</v>
      </c>
      <c r="AN95" s="460">
        <f t="shared" si="209"/>
        <v>309.13267264496466</v>
      </c>
      <c r="AP95">
        <f t="shared" si="210"/>
        <v>2250</v>
      </c>
      <c r="AQ95">
        <f t="shared" si="211"/>
        <v>309.13267264496466</v>
      </c>
      <c r="AS95" s="5">
        <f t="shared" si="285"/>
        <v>3.2348570322377039</v>
      </c>
      <c r="AT95" s="5">
        <f t="shared" si="212"/>
        <v>1.5332543296416214</v>
      </c>
      <c r="AU95" s="5">
        <f t="shared" si="286"/>
        <v>1.7016027025960825</v>
      </c>
      <c r="AV95" s="5">
        <f t="shared" si="213"/>
        <v>1.5016027025960823</v>
      </c>
      <c r="AW95" s="173">
        <f t="shared" si="287"/>
        <v>0.47397900876657811</v>
      </c>
      <c r="AX95" s="173">
        <f t="shared" si="214"/>
        <v>60.085539256960516</v>
      </c>
      <c r="AY95" s="173">
        <f t="shared" si="215"/>
        <v>2.3919476793864858</v>
      </c>
      <c r="AZ95" s="173">
        <f t="shared" si="288"/>
        <v>25.11992205129334</v>
      </c>
      <c r="BA95" s="460">
        <f t="shared" si="216"/>
        <v>12.320793720334459</v>
      </c>
      <c r="BB95" s="5">
        <f t="shared" si="217"/>
        <v>2.7466822824125985</v>
      </c>
      <c r="BC95" s="5"/>
      <c r="BD95" s="173">
        <f t="shared" si="289"/>
        <v>3.6149102813893617</v>
      </c>
      <c r="BE95" s="173">
        <f t="shared" si="218"/>
        <v>3.808197875889229</v>
      </c>
      <c r="BF95" s="173"/>
      <c r="BG95" s="528">
        <f t="shared" si="219"/>
        <v>0.15681091610993417</v>
      </c>
      <c r="BH95" s="528">
        <f t="shared" si="220"/>
        <v>2.8971491939033949</v>
      </c>
      <c r="BI95" s="528">
        <f t="shared" si="221"/>
        <v>3.5550257354170937E-2</v>
      </c>
      <c r="BJ95" s="528">
        <f t="shared" si="222"/>
        <v>0.48542274006468589</v>
      </c>
      <c r="BK95">
        <f t="shared" si="223"/>
        <v>1.2545118504679882E-2</v>
      </c>
      <c r="BL95" s="460">
        <f t="shared" si="290"/>
        <v>48.095375858850822</v>
      </c>
      <c r="BM95" s="528">
        <f t="shared" si="224"/>
        <v>3.7203350591989461</v>
      </c>
      <c r="BN95" s="460">
        <f t="shared" si="291"/>
        <v>3720.3350591989461</v>
      </c>
      <c r="BO95" s="528">
        <f t="shared" si="225"/>
        <v>1.5088499999999998</v>
      </c>
      <c r="BP95" s="528"/>
      <c r="BR95" s="460">
        <f t="shared" si="292"/>
        <v>1508.85</v>
      </c>
      <c r="BS95" s="528">
        <f t="shared" si="226"/>
        <v>0.1829460687949232</v>
      </c>
      <c r="BT95" s="528">
        <f t="shared" si="227"/>
        <v>0.20303319486698129</v>
      </c>
      <c r="BU95" s="528">
        <f t="shared" si="228"/>
        <v>20.954570631040031</v>
      </c>
      <c r="BV95" s="528">
        <f t="shared" si="229"/>
        <v>22.116093187054172</v>
      </c>
      <c r="BW95" s="528">
        <f t="shared" si="230"/>
        <v>2.5568314577430011</v>
      </c>
      <c r="BX95" s="460">
        <f t="shared" si="293"/>
        <v>24672.924644797175</v>
      </c>
      <c r="BY95" s="173">
        <f t="shared" si="231"/>
        <v>29.950205079854967</v>
      </c>
      <c r="BZ95" s="5">
        <f t="shared" si="294"/>
        <v>63</v>
      </c>
      <c r="CA95" s="173">
        <f t="shared" si="295"/>
        <v>0.67778225928469682</v>
      </c>
      <c r="CB95" s="5">
        <f t="shared" si="296"/>
        <v>67.778225928469681</v>
      </c>
      <c r="CE95" s="562">
        <f t="shared" si="232"/>
        <v>-50</v>
      </c>
      <c r="CF95">
        <f t="shared" si="233"/>
        <v>-50</v>
      </c>
      <c r="CG95" s="173">
        <f t="shared" si="234"/>
        <v>0.47966987499974739</v>
      </c>
      <c r="CI95" s="170">
        <v>90</v>
      </c>
      <c r="CJ95" s="217">
        <f t="shared" si="297"/>
        <v>2.25</v>
      </c>
      <c r="CK95" s="217"/>
      <c r="CL95" s="217">
        <f t="shared" si="235"/>
        <v>63</v>
      </c>
      <c r="CM95" s="541">
        <f t="shared" si="236"/>
        <v>28</v>
      </c>
      <c r="CN95" s="172">
        <f t="shared" si="237"/>
        <v>28.4</v>
      </c>
      <c r="CO95" s="443">
        <f t="shared" si="238"/>
        <v>56.4</v>
      </c>
      <c r="CP95" s="443"/>
      <c r="CQ95" s="217">
        <f t="shared" si="239"/>
        <v>0.50354609929078009</v>
      </c>
      <c r="CR95" s="172">
        <f t="shared" si="240"/>
        <v>118.75402645742166</v>
      </c>
      <c r="CS95" s="172">
        <f t="shared" si="298"/>
        <v>63</v>
      </c>
      <c r="CT95" s="217">
        <f t="shared" si="241"/>
        <v>4.2412152306222017</v>
      </c>
      <c r="CU95" s="217">
        <f t="shared" si="242"/>
        <v>28</v>
      </c>
      <c r="CV95" s="217">
        <f t="shared" si="243"/>
        <v>4.1962174940898347</v>
      </c>
      <c r="CW95" s="172">
        <f t="shared" si="244"/>
        <v>75.850587817264142</v>
      </c>
      <c r="CX95" s="172">
        <f t="shared" si="245"/>
        <v>28</v>
      </c>
      <c r="CY95" s="217">
        <f t="shared" si="246"/>
        <v>8.9366197183098599</v>
      </c>
      <c r="CZ95" s="217">
        <f t="shared" si="247"/>
        <v>1.5000754527162978</v>
      </c>
      <c r="DA95" s="217">
        <f t="shared" si="248"/>
        <v>1.4789476294386037</v>
      </c>
      <c r="DB95" s="197">
        <f t="shared" si="249"/>
        <v>350</v>
      </c>
      <c r="DC95" s="443">
        <f t="shared" si="299"/>
        <v>335.68051418945089</v>
      </c>
      <c r="DE95" s="217">
        <f t="shared" si="250"/>
        <v>8.5709974347366842</v>
      </c>
      <c r="DF95" s="173">
        <f t="shared" si="251"/>
        <v>1.418439716312057</v>
      </c>
      <c r="DG95" s="173">
        <f t="shared" si="252"/>
        <v>2.1275525547218721</v>
      </c>
      <c r="DH95" s="173"/>
      <c r="DI95" s="173">
        <f t="shared" si="253"/>
        <v>0.55164319248826299</v>
      </c>
      <c r="DJ95" s="545">
        <f t="shared" si="300"/>
        <v>2447.2340425531911</v>
      </c>
      <c r="DK95" s="528">
        <f t="shared" si="254"/>
        <v>0.3217918622848201</v>
      </c>
      <c r="DM95" s="173">
        <f t="shared" si="255"/>
        <v>8.8141913755524524</v>
      </c>
      <c r="DN95" s="173">
        <f t="shared" si="256"/>
        <v>8.9366197183098599</v>
      </c>
      <c r="DO95" s="173">
        <f t="shared" si="257"/>
        <v>5.3505825073900191</v>
      </c>
      <c r="DQ95" s="545">
        <f t="shared" si="258"/>
        <v>2250</v>
      </c>
      <c r="DR95" s="460">
        <f t="shared" si="259"/>
        <v>335.68051418945089</v>
      </c>
      <c r="DT95">
        <f t="shared" si="260"/>
        <v>2250</v>
      </c>
      <c r="DU95">
        <f t="shared" si="261"/>
        <v>335.68051418945089</v>
      </c>
      <c r="DW95" s="5">
        <f t="shared" si="301"/>
        <v>2.9790230821549013</v>
      </c>
      <c r="DX95" s="5">
        <f t="shared" si="262"/>
        <v>1.5000754527162978</v>
      </c>
      <c r="DY95" s="5">
        <f t="shared" si="302"/>
        <v>1.4789476294386035</v>
      </c>
      <c r="DZ95" s="5">
        <f t="shared" si="263"/>
        <v>1.4789476294386037</v>
      </c>
      <c r="EA95" s="173">
        <f t="shared" si="303"/>
        <v>0.50354609929078009</v>
      </c>
      <c r="EB95" s="173">
        <f t="shared" si="264"/>
        <v>63.000000000000014</v>
      </c>
      <c r="EC95" s="173">
        <f t="shared" si="265"/>
        <v>2.21830985915493</v>
      </c>
      <c r="ED95" s="173">
        <f t="shared" si="304"/>
        <v>28.400000000000002</v>
      </c>
      <c r="EE95" s="460">
        <f t="shared" si="266"/>
        <v>12.054177745041679</v>
      </c>
      <c r="EF95" s="5">
        <f t="shared" si="267"/>
        <v>2.3768801187406128</v>
      </c>
      <c r="EG95" s="5"/>
      <c r="EH95" s="173">
        <f t="shared" si="305"/>
        <v>3.6612743106007217</v>
      </c>
      <c r="EI95" s="173">
        <f t="shared" si="268"/>
        <v>3.635399256261969</v>
      </c>
      <c r="EJ95" s="173"/>
      <c r="EK95" s="528">
        <f t="shared" si="269"/>
        <v>0.16085915492957747</v>
      </c>
      <c r="EL95" s="528">
        <f t="shared" si="270"/>
        <v>3.2146382978723409</v>
      </c>
      <c r="EM95" s="528">
        <f t="shared" si="271"/>
        <v>3.860325913178686E-2</v>
      </c>
      <c r="EN95" s="528">
        <f t="shared" si="272"/>
        <v>0.52588474704491739</v>
      </c>
      <c r="EO95">
        <f t="shared" si="273"/>
        <v>1.26E-2</v>
      </c>
      <c r="EP95" s="460">
        <f t="shared" si="306"/>
        <v>51.203259131786858</v>
      </c>
      <c r="EQ95" s="528">
        <f t="shared" si="274"/>
        <v>4.1548150227571945</v>
      </c>
      <c r="ER95" s="460">
        <f t="shared" si="307"/>
        <v>4154.8150227571941</v>
      </c>
      <c r="ES95" s="528">
        <f t="shared" si="308"/>
        <v>1.5088499999999998</v>
      </c>
      <c r="ET95" s="528"/>
      <c r="EV95" s="460">
        <f t="shared" si="309"/>
        <v>1508.85</v>
      </c>
      <c r="EW95" s="528">
        <f t="shared" si="275"/>
        <v>0.18766901408450706</v>
      </c>
      <c r="EX95" s="528">
        <f t="shared" si="276"/>
        <v>0.1850257885340211</v>
      </c>
      <c r="EY95" s="528">
        <f t="shared" si="277"/>
        <v>24.644415823952809</v>
      </c>
      <c r="EZ95" s="528">
        <f t="shared" si="278"/>
        <v>25.878128910927376</v>
      </c>
      <c r="FA95" s="528">
        <f t="shared" si="279"/>
        <v>2.6808510638297878</v>
      </c>
      <c r="FB95" s="460">
        <f t="shared" si="310"/>
        <v>28558.979974757163</v>
      </c>
      <c r="FC95" s="173">
        <f t="shared" si="311"/>
        <v>34.222644997514358</v>
      </c>
      <c r="FD95" s="5">
        <f t="shared" si="312"/>
        <v>63</v>
      </c>
      <c r="FE95" s="173">
        <f t="shared" si="313"/>
        <v>0.64799718215453506</v>
      </c>
      <c r="FF95" s="5">
        <f t="shared" si="314"/>
        <v>64.79971821545351</v>
      </c>
      <c r="FI95" s="562">
        <f t="shared" si="280"/>
        <v>-50</v>
      </c>
      <c r="FJ95">
        <f t="shared" si="281"/>
        <v>-50</v>
      </c>
      <c r="FL95">
        <f t="shared" si="282"/>
        <v>0.49645390070921991</v>
      </c>
    </row>
    <row r="96" spans="5:168">
      <c r="E96" s="170">
        <v>91</v>
      </c>
      <c r="F96" s="217">
        <f t="shared" si="283"/>
        <v>2.2749999999999999</v>
      </c>
      <c r="G96" s="217"/>
      <c r="H96" s="217">
        <f t="shared" si="183"/>
        <v>63.699999999999996</v>
      </c>
      <c r="I96" s="541">
        <f t="shared" si="184"/>
        <v>27.876733420602065</v>
      </c>
      <c r="J96" s="172">
        <f t="shared" si="185"/>
        <v>28.4663743119835</v>
      </c>
      <c r="K96" s="172">
        <f t="shared" si="186"/>
        <v>56.4663743119835</v>
      </c>
      <c r="L96" s="443"/>
      <c r="M96" s="217">
        <f t="shared" si="187"/>
        <v>0.50521310185076107</v>
      </c>
      <c r="N96" s="172">
        <f t="shared" si="188"/>
        <v>118.62263393724788</v>
      </c>
      <c r="O96" s="172">
        <f t="shared" si="284"/>
        <v>63.699999999999996</v>
      </c>
      <c r="P96" s="217">
        <f t="shared" si="189"/>
        <v>4.2365226406159957</v>
      </c>
      <c r="Q96" s="217">
        <f t="shared" si="190"/>
        <v>28</v>
      </c>
      <c r="R96" s="217">
        <f t="shared" si="191"/>
        <v>4.1915746907408185</v>
      </c>
      <c r="S96" s="172">
        <f t="shared" si="192"/>
        <v>74.384946659143395</v>
      </c>
      <c r="T96" s="217">
        <f t="shared" si="193"/>
        <v>28</v>
      </c>
      <c r="U96" s="217">
        <f t="shared" si="194"/>
        <v>9.1958780982668973</v>
      </c>
      <c r="V96" s="217">
        <f t="shared" si="195"/>
        <v>1.5504193554440127</v>
      </c>
      <c r="W96" s="217">
        <f t="shared" si="196"/>
        <v>1.5183045999525064</v>
      </c>
      <c r="X96" s="197">
        <f t="shared" si="197"/>
        <v>350</v>
      </c>
      <c r="Y96" s="443">
        <f t="shared" si="198"/>
        <v>305.9297798301518</v>
      </c>
      <c r="AA96" s="217">
        <f t="shared" si="199"/>
        <v>8.5618445339195617</v>
      </c>
      <c r="AB96" s="173">
        <f t="shared" si="200"/>
        <v>1.4136211682034199</v>
      </c>
      <c r="AC96" s="173">
        <f t="shared" si="201"/>
        <v>2.1180608176027014</v>
      </c>
      <c r="AD96" s="173"/>
      <c r="AE96" s="173">
        <f t="shared" si="202"/>
        <v>0.55035694026096837</v>
      </c>
      <c r="AF96" s="545">
        <f t="shared" si="203"/>
        <v>2480.2085703738817</v>
      </c>
      <c r="AG96" s="528">
        <f t="shared" si="204"/>
        <v>0.32104154848556482</v>
      </c>
      <c r="AI96" s="173">
        <f t="shared" si="205"/>
        <v>8.8733747814385282</v>
      </c>
      <c r="AJ96" s="173">
        <f t="shared" si="206"/>
        <v>9.1958780982668973</v>
      </c>
      <c r="AK96" s="173">
        <f t="shared" si="207"/>
        <v>5.5426257518026389</v>
      </c>
      <c r="AM96" s="545">
        <f t="shared" si="208"/>
        <v>2275</v>
      </c>
      <c r="AN96" s="460">
        <f t="shared" si="209"/>
        <v>305.9297798301518</v>
      </c>
      <c r="AP96">
        <f t="shared" si="210"/>
        <v>2275</v>
      </c>
      <c r="AQ96">
        <f t="shared" si="211"/>
        <v>305.9297798301518</v>
      </c>
      <c r="AS96" s="5">
        <f t="shared" si="285"/>
        <v>3.2687239553965193</v>
      </c>
      <c r="AT96" s="5">
        <f t="shared" si="212"/>
        <v>1.5504193554440127</v>
      </c>
      <c r="AU96" s="5">
        <f t="shared" si="286"/>
        <v>1.7183045999525066</v>
      </c>
      <c r="AV96" s="5">
        <f t="shared" si="213"/>
        <v>1.5183045999525064</v>
      </c>
      <c r="AW96" s="173">
        <f t="shared" si="287"/>
        <v>0.47431945205539261</v>
      </c>
      <c r="AX96" s="173">
        <f t="shared" si="214"/>
        <v>60.796142962040811</v>
      </c>
      <c r="AY96" s="173">
        <f t="shared" si="215"/>
        <v>2.4170471187643785</v>
      </c>
      <c r="AZ96" s="173">
        <f t="shared" si="288"/>
        <v>25.153064865827059</v>
      </c>
      <c r="BA96" s="460">
        <f t="shared" si="216"/>
        <v>12.597157262982602</v>
      </c>
      <c r="BB96" s="5">
        <f t="shared" si="217"/>
        <v>2.8045918479120888</v>
      </c>
      <c r="BC96" s="5"/>
      <c r="BD96" s="173">
        <f t="shared" si="289"/>
        <v>3.6565207813957015</v>
      </c>
      <c r="BE96" s="173">
        <f t="shared" si="218"/>
        <v>3.8494043402345124</v>
      </c>
      <c r="BF96" s="173"/>
      <c r="BG96" s="528">
        <f t="shared" si="219"/>
        <v>0.16044173069734358</v>
      </c>
      <c r="BH96" s="528">
        <f t="shared" si="220"/>
        <v>2.899130275254596</v>
      </c>
      <c r="BI96" s="528">
        <f t="shared" si="221"/>
        <v>3.5181924680467457E-2</v>
      </c>
      <c r="BJ96" s="528">
        <f t="shared" si="222"/>
        <v>0.48040530484944777</v>
      </c>
      <c r="BK96">
        <f t="shared" si="223"/>
        <v>1.2544530039270928E-2</v>
      </c>
      <c r="BL96" s="460">
        <f t="shared" si="290"/>
        <v>47.726454719738385</v>
      </c>
      <c r="BM96" s="528">
        <f t="shared" si="224"/>
        <v>3.7253089122923218</v>
      </c>
      <c r="BN96" s="460">
        <f t="shared" si="291"/>
        <v>3725.3089122923216</v>
      </c>
      <c r="BO96" s="528">
        <f t="shared" si="225"/>
        <v>1.5256149999999997</v>
      </c>
      <c r="BP96" s="528"/>
      <c r="BR96" s="460">
        <f t="shared" si="292"/>
        <v>1525.6149999999998</v>
      </c>
      <c r="BS96" s="528">
        <f t="shared" si="226"/>
        <v>0.18718201914690083</v>
      </c>
      <c r="BT96" s="528">
        <f t="shared" si="227"/>
        <v>0.20745079284462822</v>
      </c>
      <c r="BU96" s="528">
        <f t="shared" si="228"/>
        <v>20.989756656995169</v>
      </c>
      <c r="BV96" s="528">
        <f t="shared" si="229"/>
        <v>22.179316218038576</v>
      </c>
      <c r="BW96" s="528">
        <f t="shared" si="230"/>
        <v>2.5870699132783326</v>
      </c>
      <c r="BX96" s="460">
        <f t="shared" si="293"/>
        <v>24766.386131316907</v>
      </c>
      <c r="BY96" s="173">
        <f t="shared" si="231"/>
        <v>30.065036498328968</v>
      </c>
      <c r="BZ96" s="5">
        <f t="shared" si="294"/>
        <v>63.699999999999996</v>
      </c>
      <c r="CA96" s="173">
        <f t="shared" si="295"/>
        <v>0.67935770494938408</v>
      </c>
      <c r="CB96" s="5">
        <f t="shared" si="296"/>
        <v>67.93577049493841</v>
      </c>
      <c r="CE96" s="562">
        <f t="shared" si="232"/>
        <v>-50</v>
      </c>
      <c r="CF96">
        <f t="shared" si="233"/>
        <v>-50</v>
      </c>
      <c r="CG96" s="173">
        <f t="shared" si="234"/>
        <v>0.47985431484270852</v>
      </c>
      <c r="CI96" s="170">
        <v>91</v>
      </c>
      <c r="CJ96" s="217">
        <f t="shared" si="297"/>
        <v>2.2749999999999999</v>
      </c>
      <c r="CK96" s="217"/>
      <c r="CL96" s="217">
        <f t="shared" si="235"/>
        <v>63.699999999999996</v>
      </c>
      <c r="CM96" s="541">
        <f t="shared" si="236"/>
        <v>28</v>
      </c>
      <c r="CN96" s="172">
        <f t="shared" si="237"/>
        <v>28.4</v>
      </c>
      <c r="CO96" s="443">
        <f t="shared" si="238"/>
        <v>56.4</v>
      </c>
      <c r="CP96" s="443"/>
      <c r="CQ96" s="217">
        <f t="shared" si="239"/>
        <v>0.50354609929078009</v>
      </c>
      <c r="CR96" s="172">
        <f t="shared" si="240"/>
        <v>118.75402645742166</v>
      </c>
      <c r="CS96" s="172">
        <f t="shared" si="298"/>
        <v>63.699999999999996</v>
      </c>
      <c r="CT96" s="217">
        <f t="shared" si="241"/>
        <v>4.2412152306222017</v>
      </c>
      <c r="CU96" s="217">
        <f t="shared" si="242"/>
        <v>28</v>
      </c>
      <c r="CV96" s="217">
        <f t="shared" si="243"/>
        <v>4.1962174940898347</v>
      </c>
      <c r="CW96" s="172">
        <f t="shared" si="244"/>
        <v>74.71321082185716</v>
      </c>
      <c r="CX96" s="217">
        <f t="shared" si="245"/>
        <v>28</v>
      </c>
      <c r="CY96" s="217">
        <f t="shared" si="246"/>
        <v>9.0359154929577468</v>
      </c>
      <c r="CZ96" s="217">
        <f t="shared" si="247"/>
        <v>1.516742957746479</v>
      </c>
      <c r="DA96" s="217">
        <f t="shared" si="248"/>
        <v>1.4953803808768102</v>
      </c>
      <c r="DB96" s="197">
        <f t="shared" si="249"/>
        <v>350</v>
      </c>
      <c r="DC96" s="443">
        <f t="shared" si="299"/>
        <v>331.99171733022609</v>
      </c>
      <c r="DE96" s="217">
        <f t="shared" si="250"/>
        <v>8.5709974347366842</v>
      </c>
      <c r="DF96" s="173">
        <f t="shared" si="251"/>
        <v>1.418439716312057</v>
      </c>
      <c r="DG96" s="173">
        <f t="shared" si="252"/>
        <v>2.1275525547218721</v>
      </c>
      <c r="DH96" s="173"/>
      <c r="DI96" s="173">
        <f t="shared" si="253"/>
        <v>0.55164319248826299</v>
      </c>
      <c r="DJ96" s="545">
        <f t="shared" si="300"/>
        <v>2474.4255319148929</v>
      </c>
      <c r="DK96" s="528">
        <f t="shared" si="254"/>
        <v>0.3217918622848201</v>
      </c>
      <c r="DM96" s="173">
        <f t="shared" si="255"/>
        <v>8.8630238344123669</v>
      </c>
      <c r="DN96" s="173">
        <f t="shared" si="256"/>
        <v>9.0359154929577468</v>
      </c>
      <c r="DO96" s="173">
        <f t="shared" si="257"/>
        <v>5.4241349330551207</v>
      </c>
      <c r="DQ96" s="545">
        <f t="shared" si="258"/>
        <v>2275</v>
      </c>
      <c r="DR96" s="460">
        <f t="shared" si="259"/>
        <v>331.99171733022609</v>
      </c>
      <c r="DT96">
        <f t="shared" si="260"/>
        <v>2275</v>
      </c>
      <c r="DU96">
        <f t="shared" si="261"/>
        <v>331.99171733022609</v>
      </c>
      <c r="DW96" s="5">
        <f t="shared" si="301"/>
        <v>3.0121233386232893</v>
      </c>
      <c r="DX96" s="5">
        <f t="shared" si="262"/>
        <v>1.516742957746479</v>
      </c>
      <c r="DY96" s="5">
        <f t="shared" si="302"/>
        <v>1.4953803808768102</v>
      </c>
      <c r="DZ96" s="5">
        <f t="shared" si="263"/>
        <v>1.4953803808768102</v>
      </c>
      <c r="EA96" s="173">
        <f t="shared" si="303"/>
        <v>0.5035460992907802</v>
      </c>
      <c r="EB96" s="173">
        <f t="shared" si="264"/>
        <v>63.699999999999996</v>
      </c>
      <c r="EC96" s="173">
        <f t="shared" si="265"/>
        <v>2.242957746478873</v>
      </c>
      <c r="ED96" s="173">
        <f t="shared" si="304"/>
        <v>28.400000000000002</v>
      </c>
      <c r="EE96" s="460">
        <f t="shared" si="266"/>
        <v>12.323536531690142</v>
      </c>
      <c r="EF96" s="5">
        <f t="shared" si="267"/>
        <v>2.4299931189248163</v>
      </c>
      <c r="EG96" s="5"/>
      <c r="EH96" s="173">
        <f t="shared" si="305"/>
        <v>3.701955136274063</v>
      </c>
      <c r="EI96" s="173">
        <f t="shared" si="268"/>
        <v>3.675792581331546</v>
      </c>
      <c r="EJ96" s="173"/>
      <c r="EK96" s="528">
        <f t="shared" si="269"/>
        <v>0.16445366197183101</v>
      </c>
      <c r="EL96" s="528">
        <f t="shared" si="270"/>
        <v>3.21463829787234</v>
      </c>
      <c r="EM96" s="528">
        <f t="shared" si="271"/>
        <v>3.8179047492976008E-2</v>
      </c>
      <c r="EN96" s="528">
        <f t="shared" si="272"/>
        <v>0.52010579378068733</v>
      </c>
      <c r="EO96">
        <f t="shared" si="273"/>
        <v>1.26E-2</v>
      </c>
      <c r="EP96" s="460">
        <f t="shared" si="306"/>
        <v>50.779047492976005</v>
      </c>
      <c r="EQ96" s="528">
        <f t="shared" si="274"/>
        <v>4.1568030004329977</v>
      </c>
      <c r="ER96" s="460">
        <f t="shared" si="307"/>
        <v>4156.8030004329976</v>
      </c>
      <c r="ES96" s="528">
        <f t="shared" si="308"/>
        <v>1.5256149999999997</v>
      </c>
      <c r="ET96" s="528"/>
      <c r="EV96" s="460">
        <f t="shared" si="309"/>
        <v>1525.6149999999998</v>
      </c>
      <c r="EW96" s="528">
        <f t="shared" si="275"/>
        <v>0.19186260563380284</v>
      </c>
      <c r="EX96" s="528">
        <f t="shared" si="276"/>
        <v>0.18916031541360842</v>
      </c>
      <c r="EY96" s="528">
        <f t="shared" si="277"/>
        <v>24.644415823952787</v>
      </c>
      <c r="EZ96" s="528">
        <f t="shared" si="278"/>
        <v>25.906563815597174</v>
      </c>
      <c r="FA96" s="528">
        <f t="shared" si="279"/>
        <v>2.7106382978723409</v>
      </c>
      <c r="FB96" s="460">
        <f t="shared" si="310"/>
        <v>28617.202113469513</v>
      </c>
      <c r="FC96" s="173">
        <f t="shared" si="311"/>
        <v>34.299620113902513</v>
      </c>
      <c r="FD96" s="5">
        <f t="shared" si="312"/>
        <v>63.699999999999996</v>
      </c>
      <c r="FE96" s="173">
        <f t="shared" si="313"/>
        <v>0.65000251966245459</v>
      </c>
      <c r="FF96" s="5">
        <f t="shared" si="314"/>
        <v>65.000251966245457</v>
      </c>
      <c r="FI96" s="562">
        <f t="shared" si="280"/>
        <v>-50</v>
      </c>
      <c r="FJ96">
        <f t="shared" si="281"/>
        <v>-50</v>
      </c>
      <c r="FL96">
        <f t="shared" si="282"/>
        <v>0.4964539007092198</v>
      </c>
    </row>
    <row r="97" spans="5:168" ht="13">
      <c r="E97" s="170">
        <v>92</v>
      </c>
      <c r="F97" s="217">
        <f t="shared" si="283"/>
        <v>2.3000000000000003</v>
      </c>
      <c r="G97" s="217"/>
      <c r="H97" s="217">
        <f t="shared" si="183"/>
        <v>64.400000000000006</v>
      </c>
      <c r="I97" s="541">
        <f t="shared" si="184"/>
        <v>27.875425684062577</v>
      </c>
      <c r="J97" s="172">
        <f t="shared" si="185"/>
        <v>28.467078477812457</v>
      </c>
      <c r="K97" s="172">
        <f t="shared" si="186"/>
        <v>56.467078477812457</v>
      </c>
      <c r="L97" s="443"/>
      <c r="M97" s="217">
        <f t="shared" si="187"/>
        <v>0.50523101994230879</v>
      </c>
      <c r="N97" s="172">
        <f t="shared" si="188"/>
        <v>118.62127610443878</v>
      </c>
      <c r="O97" s="172">
        <f t="shared" si="284"/>
        <v>64.400000000000006</v>
      </c>
      <c r="P97" s="217">
        <f t="shared" si="189"/>
        <v>4.2364741465870992</v>
      </c>
      <c r="Q97" s="217">
        <f t="shared" si="190"/>
        <v>28</v>
      </c>
      <c r="R97" s="217">
        <f t="shared" si="191"/>
        <v>4.191526711215765</v>
      </c>
      <c r="S97" s="172">
        <f t="shared" si="192"/>
        <v>73.273838504325312</v>
      </c>
      <c r="T97" s="532">
        <f t="shared" si="193"/>
        <v>28</v>
      </c>
      <c r="U97" s="217">
        <f t="shared" si="194"/>
        <v>9.2972683927428736</v>
      </c>
      <c r="V97" s="217">
        <f t="shared" si="195"/>
        <v>1.5675872340444583</v>
      </c>
      <c r="W97" s="217">
        <f t="shared" si="196"/>
        <v>1.5350068845297749</v>
      </c>
      <c r="X97" s="197">
        <f t="shared" si="197"/>
        <v>350</v>
      </c>
      <c r="Y97" s="443">
        <f t="shared" si="198"/>
        <v>302.79227906810155</v>
      </c>
      <c r="AA97" s="217">
        <f t="shared" si="199"/>
        <v>8.5617463851418663</v>
      </c>
      <c r="AB97" s="173">
        <f t="shared" si="200"/>
        <v>1.4135699960054002</v>
      </c>
      <c r="AC97" s="173">
        <f t="shared" si="201"/>
        <v>2.1179598656027414</v>
      </c>
      <c r="AD97" s="173"/>
      <c r="AE97" s="173">
        <f t="shared" si="202"/>
        <v>0.55034332655096418</v>
      </c>
      <c r="AF97" s="545">
        <f t="shared" si="203"/>
        <v>2507.5256361307147</v>
      </c>
      <c r="AG97" s="528">
        <f t="shared" si="204"/>
        <v>0.32103360715472912</v>
      </c>
      <c r="AI97" s="173">
        <f t="shared" si="205"/>
        <v>8.9221067270344907</v>
      </c>
      <c r="AJ97" s="173">
        <f t="shared" si="206"/>
        <v>9.2972683927428736</v>
      </c>
      <c r="AK97" s="173">
        <f t="shared" si="207"/>
        <v>5.6177296736366955</v>
      </c>
      <c r="AM97" s="545">
        <f t="shared" si="208"/>
        <v>2300.0000000000005</v>
      </c>
      <c r="AN97" s="460">
        <f t="shared" si="209"/>
        <v>302.79227906810155</v>
      </c>
      <c r="AP97">
        <f t="shared" si="210"/>
        <v>2300.0000000000005</v>
      </c>
      <c r="AQ97">
        <f t="shared" si="211"/>
        <v>302.79227906810155</v>
      </c>
      <c r="AS97" s="5">
        <f t="shared" si="285"/>
        <v>3.3025941185742327</v>
      </c>
      <c r="AT97" s="5">
        <f t="shared" si="212"/>
        <v>1.5675872340444583</v>
      </c>
      <c r="AU97" s="5">
        <f t="shared" si="286"/>
        <v>1.7350068845297744</v>
      </c>
      <c r="AV97" s="5">
        <f t="shared" si="213"/>
        <v>1.5350068845297749</v>
      </c>
      <c r="AW97" s="173">
        <f t="shared" si="287"/>
        <v>0.47465331123438309</v>
      </c>
      <c r="AX97" s="173">
        <f t="shared" si="214"/>
        <v>61.506837258412254</v>
      </c>
      <c r="AY97" s="173">
        <f t="shared" si="215"/>
        <v>2.4421445823463488</v>
      </c>
      <c r="AZ97" s="173">
        <f t="shared" si="288"/>
        <v>25.185583893365596</v>
      </c>
      <c r="BA97" s="460">
        <f t="shared" si="216"/>
        <v>12.876609422508052</v>
      </c>
      <c r="BB97" s="5">
        <f t="shared" si="217"/>
        <v>2.8631066514618349</v>
      </c>
      <c r="BC97" s="5"/>
      <c r="BD97" s="173">
        <f t="shared" si="289"/>
        <v>3.6981370217440452</v>
      </c>
      <c r="BE97" s="173">
        <f t="shared" si="218"/>
        <v>3.8906103750745804</v>
      </c>
      <c r="BF97" s="173"/>
      <c r="BG97" s="528">
        <f t="shared" si="219"/>
        <v>0.16411460917912701</v>
      </c>
      <c r="BH97" s="528">
        <f t="shared" si="220"/>
        <v>2.9010709652229916</v>
      </c>
      <c r="BI97" s="528">
        <f t="shared" si="221"/>
        <v>3.4821112092831681E-2</v>
      </c>
      <c r="BJ97" s="528">
        <f t="shared" si="222"/>
        <v>0.4754903077369399</v>
      </c>
      <c r="BK97">
        <f t="shared" si="223"/>
        <v>1.254394155782816E-2</v>
      </c>
      <c r="BL97" s="460">
        <f t="shared" si="290"/>
        <v>47.365053650659846</v>
      </c>
      <c r="BM97" s="528">
        <f t="shared" si="224"/>
        <v>3.7304506429793176</v>
      </c>
      <c r="BN97" s="460">
        <f t="shared" si="291"/>
        <v>3730.4506429793178</v>
      </c>
      <c r="BO97" s="528">
        <f t="shared" si="225"/>
        <v>1.5423800000000001</v>
      </c>
      <c r="BP97" s="528"/>
      <c r="BR97" s="460">
        <f t="shared" si="292"/>
        <v>1542.38</v>
      </c>
      <c r="BS97" s="528">
        <f t="shared" si="226"/>
        <v>0.19146704404231485</v>
      </c>
      <c r="BT97" s="528">
        <f t="shared" si="227"/>
        <v>0.21191588726893157</v>
      </c>
      <c r="BU97" s="528">
        <f t="shared" si="228"/>
        <v>21.024245407234826</v>
      </c>
      <c r="BV97" s="528">
        <f t="shared" si="229"/>
        <v>22.242210487276726</v>
      </c>
      <c r="BW97" s="528">
        <f t="shared" si="230"/>
        <v>2.6173122237622235</v>
      </c>
      <c r="BX97" s="460">
        <f t="shared" si="293"/>
        <v>24859.52271103895</v>
      </c>
      <c r="BY97" s="173">
        <f t="shared" si="231"/>
        <v>30.179718407668929</v>
      </c>
      <c r="BZ97" s="5">
        <f t="shared" si="294"/>
        <v>64.400000000000006</v>
      </c>
      <c r="CA97" s="173">
        <f t="shared" si="295"/>
        <v>0.68090708118219745</v>
      </c>
      <c r="CB97" s="5">
        <f t="shared" si="296"/>
        <v>68.090708118219752</v>
      </c>
      <c r="CE97" s="562">
        <f t="shared" si="232"/>
        <v>-50</v>
      </c>
      <c r="CF97">
        <f t="shared" si="233"/>
        <v>-50</v>
      </c>
      <c r="CG97" s="173">
        <f t="shared" si="234"/>
        <v>0.48003474512386624</v>
      </c>
      <c r="CI97" s="170">
        <v>92</v>
      </c>
      <c r="CJ97" s="217">
        <f t="shared" si="297"/>
        <v>2.3000000000000003</v>
      </c>
      <c r="CK97" s="217"/>
      <c r="CL97" s="217">
        <f t="shared" si="235"/>
        <v>64.400000000000006</v>
      </c>
      <c r="CM97" s="541">
        <f t="shared" si="236"/>
        <v>28</v>
      </c>
      <c r="CN97" s="172">
        <f t="shared" si="237"/>
        <v>28.4</v>
      </c>
      <c r="CO97" s="443">
        <f t="shared" si="238"/>
        <v>56.4</v>
      </c>
      <c r="CP97" s="443"/>
      <c r="CQ97" s="217">
        <f t="shared" si="239"/>
        <v>0.50354609929078009</v>
      </c>
      <c r="CR97" s="172">
        <f t="shared" si="240"/>
        <v>118.75402645742166</v>
      </c>
      <c r="CS97" s="172">
        <f t="shared" si="298"/>
        <v>64.400000000000006</v>
      </c>
      <c r="CT97" s="217">
        <f t="shared" si="241"/>
        <v>4.2412152306222017</v>
      </c>
      <c r="CU97" s="217">
        <f t="shared" si="242"/>
        <v>28</v>
      </c>
      <c r="CV97" s="217">
        <f t="shared" si="243"/>
        <v>4.1962174940898347</v>
      </c>
      <c r="CW97" s="172">
        <f t="shared" si="244"/>
        <v>73.600625434487</v>
      </c>
      <c r="CX97" s="532">
        <f t="shared" si="245"/>
        <v>28</v>
      </c>
      <c r="CY97" s="217">
        <f t="shared" si="246"/>
        <v>9.1352112676056354</v>
      </c>
      <c r="CZ97" s="217">
        <f t="shared" si="247"/>
        <v>1.53341046277666</v>
      </c>
      <c r="DA97" s="217">
        <f t="shared" si="248"/>
        <v>1.511813132315017</v>
      </c>
      <c r="DB97" s="197">
        <f t="shared" si="249"/>
        <v>350</v>
      </c>
      <c r="DC97" s="443">
        <f t="shared" si="299"/>
        <v>328.38311170707146</v>
      </c>
      <c r="DE97" s="217">
        <f t="shared" si="250"/>
        <v>8.5709974347366842</v>
      </c>
      <c r="DF97" s="173">
        <f t="shared" si="251"/>
        <v>1.418439716312057</v>
      </c>
      <c r="DG97" s="173">
        <f t="shared" si="252"/>
        <v>2.1275525547218721</v>
      </c>
      <c r="DH97" s="173"/>
      <c r="DI97" s="173">
        <f t="shared" si="253"/>
        <v>0.55164319248826299</v>
      </c>
      <c r="DJ97" s="545">
        <f t="shared" si="300"/>
        <v>2501.6170212765956</v>
      </c>
      <c r="DK97" s="528">
        <f t="shared" si="254"/>
        <v>0.3217918622848201</v>
      </c>
      <c r="DM97" s="173">
        <f t="shared" si="255"/>
        <v>8.9115887121130193</v>
      </c>
      <c r="DN97" s="173">
        <f t="shared" si="256"/>
        <v>9.1352112676056354</v>
      </c>
      <c r="DO97" s="173">
        <f t="shared" si="257"/>
        <v>5.4976873587202233</v>
      </c>
      <c r="DQ97" s="545">
        <f t="shared" si="258"/>
        <v>2300.0000000000005</v>
      </c>
      <c r="DR97" s="460">
        <f t="shared" si="259"/>
        <v>328.38311170707146</v>
      </c>
      <c r="DT97">
        <f t="shared" si="260"/>
        <v>2300.0000000000005</v>
      </c>
      <c r="DU97">
        <f t="shared" si="261"/>
        <v>328.38311170707146</v>
      </c>
      <c r="DW97" s="5">
        <f t="shared" si="301"/>
        <v>3.0452235950916768</v>
      </c>
      <c r="DX97" s="5">
        <f t="shared" si="262"/>
        <v>1.53341046277666</v>
      </c>
      <c r="DY97" s="5">
        <f t="shared" si="302"/>
        <v>1.5118131323150168</v>
      </c>
      <c r="DZ97" s="5">
        <f t="shared" si="263"/>
        <v>1.511813132315017</v>
      </c>
      <c r="EA97" s="173">
        <f t="shared" si="303"/>
        <v>0.5035460992907802</v>
      </c>
      <c r="EB97" s="173">
        <f t="shared" si="264"/>
        <v>64.400000000000006</v>
      </c>
      <c r="EC97" s="173">
        <f t="shared" si="265"/>
        <v>2.267605633802817</v>
      </c>
      <c r="ED97" s="173">
        <f t="shared" si="304"/>
        <v>28.400000000000002</v>
      </c>
      <c r="EE97" s="460">
        <f t="shared" si="266"/>
        <v>12.595871658522567</v>
      </c>
      <c r="EF97" s="5">
        <f t="shared" si="267"/>
        <v>2.4836930030889564</v>
      </c>
      <c r="EG97" s="5"/>
      <c r="EH97" s="173">
        <f t="shared" si="305"/>
        <v>3.7426359619474048</v>
      </c>
      <c r="EI97" s="173">
        <f t="shared" si="268"/>
        <v>3.7161859064011242</v>
      </c>
      <c r="EJ97" s="173"/>
      <c r="EK97" s="528">
        <f t="shared" si="269"/>
        <v>0.16808788732394372</v>
      </c>
      <c r="EL97" s="528">
        <f t="shared" si="270"/>
        <v>3.2146382978723409</v>
      </c>
      <c r="EM97" s="528">
        <f t="shared" si="271"/>
        <v>3.7764057846313225E-2</v>
      </c>
      <c r="EN97" s="528">
        <f t="shared" si="272"/>
        <v>0.51445246993524507</v>
      </c>
      <c r="EO97">
        <f t="shared" si="273"/>
        <v>1.26E-2</v>
      </c>
      <c r="EP97" s="460">
        <f t="shared" si="306"/>
        <v>50.364057846313223</v>
      </c>
      <c r="EQ97" s="528">
        <f t="shared" si="274"/>
        <v>4.1590283961884058</v>
      </c>
      <c r="ER97" s="460">
        <f t="shared" si="307"/>
        <v>4159.0283961884061</v>
      </c>
      <c r="ES97" s="528">
        <f t="shared" si="308"/>
        <v>1.5423800000000001</v>
      </c>
      <c r="ET97" s="528"/>
      <c r="EV97" s="460">
        <f t="shared" si="309"/>
        <v>1542.38</v>
      </c>
      <c r="EW97" s="528">
        <f t="shared" si="275"/>
        <v>0.19610253521126766</v>
      </c>
      <c r="EX97" s="528">
        <f t="shared" si="276"/>
        <v>0.19334052767308085</v>
      </c>
      <c r="EY97" s="528">
        <f t="shared" si="277"/>
        <v>24.644415823952787</v>
      </c>
      <c r="EZ97" s="528">
        <f t="shared" si="278"/>
        <v>25.935352676598193</v>
      </c>
      <c r="FA97" s="528">
        <f t="shared" si="279"/>
        <v>2.740425531914894</v>
      </c>
      <c r="FB97" s="460">
        <f t="shared" si="310"/>
        <v>28675.778208513086</v>
      </c>
      <c r="FC97" s="173">
        <f t="shared" si="311"/>
        <v>34.377186604701492</v>
      </c>
      <c r="FD97" s="5">
        <f t="shared" si="312"/>
        <v>64.400000000000006</v>
      </c>
      <c r="FE97" s="173">
        <f t="shared" si="313"/>
        <v>0.65197240591315608</v>
      </c>
      <c r="FF97" s="5">
        <f t="shared" si="314"/>
        <v>65.197240591315605</v>
      </c>
      <c r="FI97" s="562">
        <f t="shared" si="280"/>
        <v>-50</v>
      </c>
      <c r="FJ97">
        <f t="shared" si="281"/>
        <v>-50</v>
      </c>
      <c r="FL97">
        <f t="shared" si="282"/>
        <v>0.4964539007092198</v>
      </c>
    </row>
    <row r="98" spans="5:168" ht="13">
      <c r="E98" s="170">
        <v>93</v>
      </c>
      <c r="F98" s="217">
        <f t="shared" si="283"/>
        <v>2.3250000000000002</v>
      </c>
      <c r="G98" s="217"/>
      <c r="H98" s="217">
        <f t="shared" si="183"/>
        <v>65.100000000000009</v>
      </c>
      <c r="I98" s="541">
        <f t="shared" si="184"/>
        <v>27.874117913080642</v>
      </c>
      <c r="J98" s="172">
        <f t="shared" si="185"/>
        <v>28.467782662187346</v>
      </c>
      <c r="K98" s="172">
        <f t="shared" si="186"/>
        <v>56.467782662187346</v>
      </c>
      <c r="L98" s="443"/>
      <c r="M98" s="217">
        <f t="shared" si="187"/>
        <v>0.50524893872611809</v>
      </c>
      <c r="N98" s="172">
        <f t="shared" si="188"/>
        <v>118.61991789286012</v>
      </c>
      <c r="O98" s="172">
        <f t="shared" si="284"/>
        <v>65.100000000000009</v>
      </c>
      <c r="P98" s="217">
        <f t="shared" si="189"/>
        <v>4.2364256390307187</v>
      </c>
      <c r="Q98" s="217">
        <f t="shared" si="190"/>
        <v>28</v>
      </c>
      <c r="R98" s="217">
        <f t="shared" si="191"/>
        <v>4.1914787183067475</v>
      </c>
      <c r="S98" s="172">
        <f t="shared" si="192"/>
        <v>72.186719256451809</v>
      </c>
      <c r="T98" s="532">
        <f t="shared" si="193"/>
        <v>28</v>
      </c>
      <c r="U98" s="217">
        <f t="shared" si="194"/>
        <v>9.3986660443480563</v>
      </c>
      <c r="V98" s="217">
        <f t="shared" si="195"/>
        <v>1.5847579660164317</v>
      </c>
      <c r="W98" s="217">
        <f t="shared" si="196"/>
        <v>1.5517095564703083</v>
      </c>
      <c r="X98" s="197">
        <f t="shared" si="197"/>
        <v>350</v>
      </c>
      <c r="Y98" s="443">
        <f t="shared" si="198"/>
        <v>299.71818795187278</v>
      </c>
      <c r="AA98" s="217">
        <f t="shared" si="199"/>
        <v>8.5616482118040746</v>
      </c>
      <c r="AB98" s="173">
        <f t="shared" si="200"/>
        <v>1.4135188213632124</v>
      </c>
      <c r="AC98" s="173">
        <f t="shared" si="201"/>
        <v>2.1178589056232564</v>
      </c>
      <c r="AD98" s="173"/>
      <c r="AE98" s="173">
        <f t="shared" si="202"/>
        <v>0.55032971315592116</v>
      </c>
      <c r="AF98" s="545">
        <f t="shared" si="203"/>
        <v>2534.8440519415753</v>
      </c>
      <c r="AG98" s="528">
        <f t="shared" si="204"/>
        <v>0.32102566600762067</v>
      </c>
      <c r="AI98" s="173">
        <f t="shared" si="205"/>
        <v>8.9705763328883723</v>
      </c>
      <c r="AJ98" s="173">
        <f t="shared" si="206"/>
        <v>9.3986660443480563</v>
      </c>
      <c r="AK98" s="173">
        <f t="shared" si="207"/>
        <v>5.6928390451960906</v>
      </c>
      <c r="AM98" s="545">
        <f t="shared" si="208"/>
        <v>2325</v>
      </c>
      <c r="AN98" s="460">
        <f t="shared" si="209"/>
        <v>299.71818795187278</v>
      </c>
      <c r="AP98">
        <f t="shared" si="210"/>
        <v>2325</v>
      </c>
      <c r="AQ98">
        <f t="shared" si="211"/>
        <v>299.71818795187278</v>
      </c>
      <c r="AS98" s="5">
        <f t="shared" si="285"/>
        <v>3.3364675224867395</v>
      </c>
      <c r="AT98" s="5">
        <f t="shared" si="212"/>
        <v>1.5847579660164317</v>
      </c>
      <c r="AU98" s="5">
        <f t="shared" si="286"/>
        <v>1.7517095564703078</v>
      </c>
      <c r="AV98" s="5">
        <f t="shared" si="213"/>
        <v>1.5517095564703083</v>
      </c>
      <c r="AW98" s="173">
        <f t="shared" si="287"/>
        <v>0.47498078591674053</v>
      </c>
      <c r="AX98" s="173">
        <f t="shared" si="214"/>
        <v>62.217620468925368</v>
      </c>
      <c r="AY98" s="173">
        <f t="shared" si="215"/>
        <v>2.4672401300173168</v>
      </c>
      <c r="AZ98" s="173">
        <f t="shared" si="288"/>
        <v>25.217496956199671</v>
      </c>
      <c r="BA98" s="460">
        <f t="shared" si="216"/>
        <v>13.159150967815014</v>
      </c>
      <c r="BB98" s="5">
        <f t="shared" si="217"/>
        <v>2.9222267994225821</v>
      </c>
      <c r="BC98" s="5"/>
      <c r="BD98" s="173">
        <f t="shared" si="289"/>
        <v>3.7397589649016982</v>
      </c>
      <c r="BE98" s="173">
        <f t="shared" si="218"/>
        <v>3.9318160378504183</v>
      </c>
      <c r="BF98" s="173"/>
      <c r="BG98" s="528">
        <f t="shared" si="219"/>
        <v>0.16782956538675145</v>
      </c>
      <c r="BH98" s="528">
        <f t="shared" si="220"/>
        <v>2.9029724880339352</v>
      </c>
      <c r="BI98" s="528">
        <f t="shared" si="221"/>
        <v>3.4467591614465373E-2</v>
      </c>
      <c r="BJ98" s="528">
        <f t="shared" si="222"/>
        <v>0.47067464323185959</v>
      </c>
      <c r="BK98">
        <f t="shared" si="223"/>
        <v>1.2543353060886289E-2</v>
      </c>
      <c r="BL98" s="460">
        <f t="shared" si="290"/>
        <v>47.010944675351659</v>
      </c>
      <c r="BM98" s="528">
        <f t="shared" si="224"/>
        <v>3.735758941268839</v>
      </c>
      <c r="BN98" s="460">
        <f t="shared" si="291"/>
        <v>3735.758941268839</v>
      </c>
      <c r="BO98" s="528">
        <f t="shared" si="225"/>
        <v>1.5591449999999998</v>
      </c>
      <c r="BP98" s="528"/>
      <c r="BR98" s="460">
        <f t="shared" si="292"/>
        <v>1559.1449999999998</v>
      </c>
      <c r="BS98" s="528">
        <f t="shared" si="226"/>
        <v>0.1958011596178767</v>
      </c>
      <c r="BT98" s="528">
        <f t="shared" si="227"/>
        <v>0.21642848297696865</v>
      </c>
      <c r="BU98" s="528">
        <f t="shared" si="228"/>
        <v>21.058056957942043</v>
      </c>
      <c r="BV98" s="528">
        <f t="shared" si="229"/>
        <v>22.304797614667219</v>
      </c>
      <c r="BW98" s="528">
        <f t="shared" si="230"/>
        <v>2.6475583178266118</v>
      </c>
      <c r="BX98" s="460">
        <f t="shared" si="293"/>
        <v>24952.355932493829</v>
      </c>
      <c r="BY98" s="173">
        <f t="shared" si="231"/>
        <v>30.294270818438022</v>
      </c>
      <c r="BZ98" s="5">
        <f t="shared" si="294"/>
        <v>65.100000000000009</v>
      </c>
      <c r="CA98" s="173">
        <f t="shared" si="295"/>
        <v>0.68243092002771855</v>
      </c>
      <c r="CB98" s="5">
        <f t="shared" si="296"/>
        <v>68.24309200277186</v>
      </c>
      <c r="CE98" s="562">
        <f t="shared" si="232"/>
        <v>-50</v>
      </c>
      <c r="CF98">
        <f t="shared" si="233"/>
        <v>-50</v>
      </c>
      <c r="CG98" s="173">
        <f t="shared" si="234"/>
        <v>0.48021129518392391</v>
      </c>
      <c r="CI98" s="170">
        <v>93</v>
      </c>
      <c r="CJ98" s="217">
        <f t="shared" si="297"/>
        <v>2.3250000000000002</v>
      </c>
      <c r="CK98" s="217"/>
      <c r="CL98" s="217">
        <f t="shared" si="235"/>
        <v>65.100000000000009</v>
      </c>
      <c r="CM98" s="541">
        <f t="shared" si="236"/>
        <v>28</v>
      </c>
      <c r="CN98" s="172">
        <f t="shared" si="237"/>
        <v>28.4</v>
      </c>
      <c r="CO98" s="443">
        <f t="shared" si="238"/>
        <v>56.4</v>
      </c>
      <c r="CP98" s="443"/>
      <c r="CQ98" s="217">
        <f t="shared" si="239"/>
        <v>0.50354609929078009</v>
      </c>
      <c r="CR98" s="172">
        <f t="shared" si="240"/>
        <v>118.75402645742166</v>
      </c>
      <c r="CS98" s="172">
        <f t="shared" si="298"/>
        <v>65.100000000000009</v>
      </c>
      <c r="CT98" s="217">
        <f t="shared" si="241"/>
        <v>4.2412152306222017</v>
      </c>
      <c r="CU98" s="217">
        <f t="shared" si="242"/>
        <v>28</v>
      </c>
      <c r="CV98" s="217">
        <f t="shared" si="243"/>
        <v>4.1962174940898347</v>
      </c>
      <c r="CW98" s="172">
        <f t="shared" si="244"/>
        <v>72.512032701202941</v>
      </c>
      <c r="CX98" s="532">
        <f t="shared" si="245"/>
        <v>28</v>
      </c>
      <c r="CY98" s="217">
        <f t="shared" si="246"/>
        <v>9.234507042253524</v>
      </c>
      <c r="CZ98" s="217">
        <f t="shared" si="247"/>
        <v>1.5500779678068415</v>
      </c>
      <c r="DA98" s="217">
        <f t="shared" si="248"/>
        <v>1.528245883753224</v>
      </c>
      <c r="DB98" s="197">
        <f t="shared" si="249"/>
        <v>350</v>
      </c>
      <c r="DC98" s="443">
        <f t="shared" si="299"/>
        <v>324.85211050592011</v>
      </c>
      <c r="DE98" s="217">
        <f t="shared" si="250"/>
        <v>8.5709974347366842</v>
      </c>
      <c r="DF98" s="173">
        <f t="shared" si="251"/>
        <v>1.418439716312057</v>
      </c>
      <c r="DG98" s="173">
        <f t="shared" si="252"/>
        <v>2.1275525547218721</v>
      </c>
      <c r="DH98" s="173"/>
      <c r="DI98" s="173">
        <f t="shared" si="253"/>
        <v>0.55164319248826299</v>
      </c>
      <c r="DJ98" s="545">
        <f t="shared" si="300"/>
        <v>2528.8085106382978</v>
      </c>
      <c r="DK98" s="528">
        <f t="shared" si="254"/>
        <v>0.3217918622848201</v>
      </c>
      <c r="DM98" s="173">
        <f t="shared" si="255"/>
        <v>8.9598903597286643</v>
      </c>
      <c r="DN98" s="173">
        <f t="shared" si="256"/>
        <v>9.234507042253524</v>
      </c>
      <c r="DO98" s="173">
        <f t="shared" si="257"/>
        <v>5.5712397843853267</v>
      </c>
      <c r="DQ98" s="545">
        <f t="shared" si="258"/>
        <v>2325</v>
      </c>
      <c r="DR98" s="460">
        <f t="shared" si="259"/>
        <v>324.85211050592011</v>
      </c>
      <c r="DT98">
        <f t="shared" si="260"/>
        <v>2325</v>
      </c>
      <c r="DU98">
        <f t="shared" si="261"/>
        <v>324.85211050592011</v>
      </c>
      <c r="DW98" s="5">
        <f t="shared" si="301"/>
        <v>3.0783238515600657</v>
      </c>
      <c r="DX98" s="5">
        <f t="shared" si="262"/>
        <v>1.5500779678068415</v>
      </c>
      <c r="DY98" s="5">
        <f t="shared" si="302"/>
        <v>1.5282458837532242</v>
      </c>
      <c r="DZ98" s="5">
        <f t="shared" si="263"/>
        <v>1.528245883753224</v>
      </c>
      <c r="EA98" s="173">
        <f t="shared" si="303"/>
        <v>0.50354609929078009</v>
      </c>
      <c r="EB98" s="173">
        <f t="shared" si="264"/>
        <v>65.100000000000023</v>
      </c>
      <c r="EC98" s="173">
        <f t="shared" si="265"/>
        <v>2.2922535211267614</v>
      </c>
      <c r="ED98" s="173">
        <f t="shared" si="304"/>
        <v>28.4</v>
      </c>
      <c r="EE98" s="460">
        <f t="shared" si="266"/>
        <v>12.871183125538952</v>
      </c>
      <c r="EF98" s="5">
        <f t="shared" si="267"/>
        <v>2.537979771233033</v>
      </c>
      <c r="EG98" s="5"/>
      <c r="EH98" s="173">
        <f t="shared" si="305"/>
        <v>3.783316787620747</v>
      </c>
      <c r="EI98" s="173">
        <f t="shared" si="268"/>
        <v>3.7565792314707021</v>
      </c>
      <c r="EJ98" s="173"/>
      <c r="EK98" s="528">
        <f t="shared" si="269"/>
        <v>0.17176183098591563</v>
      </c>
      <c r="EL98" s="528">
        <f t="shared" si="270"/>
        <v>3.2146382978723409</v>
      </c>
      <c r="EM98" s="528">
        <f t="shared" si="271"/>
        <v>3.7357992708180819E-2</v>
      </c>
      <c r="EN98" s="528">
        <f t="shared" si="272"/>
        <v>0.50892072294669399</v>
      </c>
      <c r="EO98">
        <f t="shared" si="273"/>
        <v>1.26E-2</v>
      </c>
      <c r="EP98" s="460">
        <f t="shared" si="306"/>
        <v>49.957992708180818</v>
      </c>
      <c r="EQ98" s="528">
        <f t="shared" si="274"/>
        <v>4.16148738177416</v>
      </c>
      <c r="ER98" s="460">
        <f t="shared" si="307"/>
        <v>4161.48738177416</v>
      </c>
      <c r="ES98" s="528">
        <f t="shared" si="308"/>
        <v>1.5591449999999998</v>
      </c>
      <c r="ET98" s="528"/>
      <c r="EV98" s="460">
        <f t="shared" si="309"/>
        <v>1559.1449999999998</v>
      </c>
      <c r="EW98" s="528">
        <f t="shared" si="275"/>
        <v>0.20038880281690155</v>
      </c>
      <c r="EX98" s="528">
        <f t="shared" si="276"/>
        <v>0.19756642531243815</v>
      </c>
      <c r="EY98" s="528">
        <f t="shared" si="277"/>
        <v>24.644415823952787</v>
      </c>
      <c r="EZ98" s="528">
        <f t="shared" si="278"/>
        <v>25.964496889466048</v>
      </c>
      <c r="FA98" s="528">
        <f t="shared" si="279"/>
        <v>2.770212765957448</v>
      </c>
      <c r="FB98" s="460">
        <f t="shared" si="310"/>
        <v>28734.709655423496</v>
      </c>
      <c r="FC98" s="173">
        <f t="shared" si="311"/>
        <v>34.455342037197653</v>
      </c>
      <c r="FD98" s="5">
        <f t="shared" si="312"/>
        <v>65.100000000000009</v>
      </c>
      <c r="FE98" s="173">
        <f t="shared" si="313"/>
        <v>0.65390765244597493</v>
      </c>
      <c r="FF98" s="5">
        <f t="shared" si="314"/>
        <v>65.390765244597489</v>
      </c>
      <c r="FI98" s="562">
        <f t="shared" si="280"/>
        <v>-50</v>
      </c>
      <c r="FJ98">
        <f t="shared" si="281"/>
        <v>-50</v>
      </c>
      <c r="FL98">
        <f t="shared" si="282"/>
        <v>0.49645390070921991</v>
      </c>
    </row>
    <row r="99" spans="5:168" ht="13">
      <c r="E99" s="170">
        <v>94</v>
      </c>
      <c r="F99" s="217">
        <f t="shared" si="283"/>
        <v>2.3499999999999996</v>
      </c>
      <c r="G99" s="217"/>
      <c r="H99" s="217">
        <f t="shared" si="183"/>
        <v>65.799999999999983</v>
      </c>
      <c r="I99" s="541">
        <f t="shared" si="184"/>
        <v>27.872810108792255</v>
      </c>
      <c r="J99" s="172">
        <f t="shared" si="185"/>
        <v>28.468486864496477</v>
      </c>
      <c r="K99" s="172">
        <f t="shared" si="186"/>
        <v>56.468486864496477</v>
      </c>
      <c r="L99" s="443"/>
      <c r="M99" s="217">
        <f t="shared" si="187"/>
        <v>0.50526685819205563</v>
      </c>
      <c r="N99" s="172">
        <f t="shared" si="188"/>
        <v>118.61855930492891</v>
      </c>
      <c r="O99" s="172">
        <f t="shared" si="284"/>
        <v>65.799999999999983</v>
      </c>
      <c r="P99" s="217">
        <f t="shared" si="189"/>
        <v>4.2363771180331753</v>
      </c>
      <c r="Q99" s="217">
        <f t="shared" si="190"/>
        <v>28</v>
      </c>
      <c r="R99" s="217">
        <f t="shared" si="191"/>
        <v>4.1914307120991756</v>
      </c>
      <c r="S99" s="172">
        <f t="shared" si="192"/>
        <v>71.122824094479213</v>
      </c>
      <c r="T99" s="532">
        <f t="shared" si="193"/>
        <v>28</v>
      </c>
      <c r="U99" s="217">
        <f t="shared" si="194"/>
        <v>9.5000710541129312</v>
      </c>
      <c r="V99" s="217">
        <f t="shared" si="195"/>
        <v>1.6019315519336956</v>
      </c>
      <c r="W99" s="217">
        <f t="shared" si="196"/>
        <v>1.568412615916547</v>
      </c>
      <c r="X99" s="197">
        <f t="shared" si="197"/>
        <v>350</v>
      </c>
      <c r="Y99" s="443">
        <f t="shared" si="198"/>
        <v>296.70560340365626</v>
      </c>
      <c r="AA99" s="217">
        <f t="shared" si="199"/>
        <v>8.5615500139890575</v>
      </c>
      <c r="AB99" s="173">
        <f t="shared" si="200"/>
        <v>1.4134676443211895</v>
      </c>
      <c r="AC99" s="173">
        <f t="shared" si="201"/>
        <v>2.1177579377519526</v>
      </c>
      <c r="AD99" s="173"/>
      <c r="AE99" s="173">
        <f t="shared" si="202"/>
        <v>0.55031610008766663</v>
      </c>
      <c r="AF99" s="545">
        <f t="shared" si="203"/>
        <v>2562.1638178046824</v>
      </c>
      <c r="AG99" s="528">
        <f t="shared" si="204"/>
        <v>0.32101772505113885</v>
      </c>
      <c r="AI99" s="173">
        <f t="shared" si="205"/>
        <v>9.0187878286697352</v>
      </c>
      <c r="AJ99" s="173">
        <f t="shared" si="206"/>
        <v>9.5000710541129312</v>
      </c>
      <c r="AK99" s="173">
        <f t="shared" si="207"/>
        <v>5.7679538672441462</v>
      </c>
      <c r="AM99" s="545">
        <f t="shared" si="208"/>
        <v>2349.9999999999995</v>
      </c>
      <c r="AN99" s="460">
        <f t="shared" si="209"/>
        <v>296.70560340365626</v>
      </c>
      <c r="AP99">
        <f t="shared" si="210"/>
        <v>2349.9999999999995</v>
      </c>
      <c r="AQ99">
        <f t="shared" si="211"/>
        <v>296.70560340365626</v>
      </c>
      <c r="AS99" s="5">
        <f t="shared" si="285"/>
        <v>3.3703441678502428</v>
      </c>
      <c r="AT99" s="5">
        <f t="shared" si="212"/>
        <v>1.6019315519336956</v>
      </c>
      <c r="AU99" s="5">
        <f t="shared" si="286"/>
        <v>1.7684126159165472</v>
      </c>
      <c r="AV99" s="5">
        <f t="shared" si="213"/>
        <v>1.568412615916547</v>
      </c>
      <c r="AW99" s="173">
        <f t="shared" si="287"/>
        <v>0.47530206772784267</v>
      </c>
      <c r="AX99" s="173">
        <f t="shared" si="214"/>
        <v>62.928490983544805</v>
      </c>
      <c r="AY99" s="173">
        <f t="shared" si="215"/>
        <v>2.4923338192658147</v>
      </c>
      <c r="AZ99" s="173">
        <f t="shared" si="288"/>
        <v>25.248821204088191</v>
      </c>
      <c r="BA99" s="460">
        <f t="shared" si="216"/>
        <v>13.444782668014943</v>
      </c>
      <c r="BB99" s="5">
        <f t="shared" si="217"/>
        <v>2.9819523981853417</v>
      </c>
      <c r="BC99" s="5"/>
      <c r="BD99" s="173">
        <f t="shared" si="289"/>
        <v>3.7813865748781708</v>
      </c>
      <c r="BE99" s="173">
        <f t="shared" si="218"/>
        <v>3.9730213837493076</v>
      </c>
      <c r="BF99" s="173"/>
      <c r="BG99" s="528">
        <f t="shared" si="219"/>
        <v>0.17158661314402637</v>
      </c>
      <c r="BH99" s="528">
        <f t="shared" si="220"/>
        <v>2.9048360189234623</v>
      </c>
      <c r="BI99" s="528">
        <f t="shared" si="221"/>
        <v>3.4121144391420472E-2</v>
      </c>
      <c r="BJ99" s="528">
        <f t="shared" si="222"/>
        <v>0.46595533011064943</v>
      </c>
      <c r="BK99">
        <f t="shared" si="223"/>
        <v>1.2542764548956514E-2</v>
      </c>
      <c r="BL99" s="460">
        <f t="shared" si="290"/>
        <v>46.663908940376992</v>
      </c>
      <c r="BM99" s="528">
        <f t="shared" si="224"/>
        <v>3.7412325813281551</v>
      </c>
      <c r="BN99" s="460">
        <f t="shared" si="291"/>
        <v>3741.232581328155</v>
      </c>
      <c r="BO99" s="528">
        <f t="shared" si="225"/>
        <v>1.5759099999999995</v>
      </c>
      <c r="BP99" s="528"/>
      <c r="BR99" s="460">
        <f t="shared" si="292"/>
        <v>1575.9099999999994</v>
      </c>
      <c r="BS99" s="528">
        <f t="shared" si="226"/>
        <v>0.2001843820013641</v>
      </c>
      <c r="BT99" s="528">
        <f t="shared" si="227"/>
        <v>0.22098858482020969</v>
      </c>
      <c r="BU99" s="528">
        <f t="shared" si="228"/>
        <v>21.09121062337443</v>
      </c>
      <c r="BV99" s="528">
        <f t="shared" si="229"/>
        <v>22.36709848032509</v>
      </c>
      <c r="BW99" s="528">
        <f t="shared" si="230"/>
        <v>2.6778081269593534</v>
      </c>
      <c r="BX99" s="460">
        <f t="shared" si="293"/>
        <v>25044.906607284443</v>
      </c>
      <c r="BY99" s="173">
        <f t="shared" si="231"/>
        <v>30.408713097552976</v>
      </c>
      <c r="BZ99" s="5">
        <f t="shared" si="294"/>
        <v>65.799999999999983</v>
      </c>
      <c r="CA99" s="173">
        <f t="shared" si="295"/>
        <v>0.68392973860154027</v>
      </c>
      <c r="CB99" s="5">
        <f t="shared" si="296"/>
        <v>68.392973860154029</v>
      </c>
      <c r="CE99" s="562">
        <f t="shared" si="232"/>
        <v>-50</v>
      </c>
      <c r="CF99">
        <f t="shared" si="233"/>
        <v>-50</v>
      </c>
      <c r="CG99" s="173">
        <f t="shared" si="234"/>
        <v>0.48038408885972494</v>
      </c>
      <c r="CI99" s="170">
        <v>94</v>
      </c>
      <c r="CJ99" s="217">
        <f t="shared" si="297"/>
        <v>2.3499999999999996</v>
      </c>
      <c r="CK99" s="217"/>
      <c r="CL99" s="217">
        <f t="shared" si="235"/>
        <v>65.799999999999983</v>
      </c>
      <c r="CM99" s="541">
        <f t="shared" si="236"/>
        <v>28</v>
      </c>
      <c r="CN99" s="172">
        <f t="shared" si="237"/>
        <v>28.4</v>
      </c>
      <c r="CO99" s="443">
        <f t="shared" si="238"/>
        <v>56.4</v>
      </c>
      <c r="CP99" s="443"/>
      <c r="CQ99" s="217">
        <f t="shared" si="239"/>
        <v>0.50354609929078009</v>
      </c>
      <c r="CR99" s="172">
        <f t="shared" si="240"/>
        <v>118.75402645742166</v>
      </c>
      <c r="CS99" s="172">
        <f t="shared" si="298"/>
        <v>65.799999999999983</v>
      </c>
      <c r="CT99" s="217">
        <f t="shared" si="241"/>
        <v>4.2412152306222017</v>
      </c>
      <c r="CU99" s="217">
        <f t="shared" si="242"/>
        <v>28</v>
      </c>
      <c r="CV99" s="217">
        <f t="shared" si="243"/>
        <v>4.1962174940898347</v>
      </c>
      <c r="CW99" s="172">
        <f t="shared" si="244"/>
        <v>71.446667677925802</v>
      </c>
      <c r="CX99" s="532">
        <f t="shared" si="245"/>
        <v>28</v>
      </c>
      <c r="CY99" s="217">
        <f t="shared" si="246"/>
        <v>9.3338028169014073</v>
      </c>
      <c r="CZ99" s="217">
        <f t="shared" si="247"/>
        <v>1.5667454728370218</v>
      </c>
      <c r="DA99" s="217">
        <f t="shared" si="248"/>
        <v>1.5446786351914301</v>
      </c>
      <c r="DB99" s="197">
        <f t="shared" si="249"/>
        <v>350</v>
      </c>
      <c r="DC99" s="443">
        <f t="shared" si="299"/>
        <v>321.39623698989982</v>
      </c>
      <c r="DE99" s="217">
        <f t="shared" si="250"/>
        <v>8.5709974347366842</v>
      </c>
      <c r="DF99" s="173">
        <f t="shared" si="251"/>
        <v>1.418439716312057</v>
      </c>
      <c r="DG99" s="173">
        <f t="shared" si="252"/>
        <v>2.1275525547218721</v>
      </c>
      <c r="DH99" s="173"/>
      <c r="DI99" s="173">
        <f t="shared" si="253"/>
        <v>0.55164319248826299</v>
      </c>
      <c r="DJ99" s="545">
        <f t="shared" si="300"/>
        <v>2555.9999999999995</v>
      </c>
      <c r="DK99" s="528">
        <f t="shared" si="254"/>
        <v>0.3217918622848201</v>
      </c>
      <c r="DM99" s="173">
        <f t="shared" si="255"/>
        <v>9.0079330116768261</v>
      </c>
      <c r="DN99" s="173">
        <f t="shared" si="256"/>
        <v>9.3338028169014073</v>
      </c>
      <c r="DO99" s="173">
        <f t="shared" si="257"/>
        <v>5.6447922100504249</v>
      </c>
      <c r="DQ99" s="545">
        <f t="shared" si="258"/>
        <v>2349.9999999999995</v>
      </c>
      <c r="DR99" s="460">
        <f t="shared" si="259"/>
        <v>321.39623698989982</v>
      </c>
      <c r="DT99">
        <f t="shared" si="260"/>
        <v>2349.9999999999995</v>
      </c>
      <c r="DU99">
        <f t="shared" si="261"/>
        <v>321.39623698989982</v>
      </c>
      <c r="DW99" s="5">
        <f t="shared" si="301"/>
        <v>3.1114241080284519</v>
      </c>
      <c r="DX99" s="5">
        <f t="shared" si="262"/>
        <v>1.5667454728370218</v>
      </c>
      <c r="DY99" s="5">
        <f t="shared" si="302"/>
        <v>1.5446786351914301</v>
      </c>
      <c r="DZ99" s="5">
        <f t="shared" si="263"/>
        <v>1.5446786351914301</v>
      </c>
      <c r="EA99" s="173">
        <f t="shared" si="303"/>
        <v>0.50354609929078009</v>
      </c>
      <c r="EB99" s="173">
        <f t="shared" si="264"/>
        <v>65.8</v>
      </c>
      <c r="EC99" s="173">
        <f t="shared" si="265"/>
        <v>2.316901408450704</v>
      </c>
      <c r="ED99" s="173">
        <f t="shared" si="304"/>
        <v>28.400000000000002</v>
      </c>
      <c r="EE99" s="460">
        <f t="shared" si="266"/>
        <v>13.149470932739289</v>
      </c>
      <c r="EF99" s="5">
        <f t="shared" si="267"/>
        <v>2.5928534233570422</v>
      </c>
      <c r="EG99" s="5"/>
      <c r="EH99" s="173">
        <f t="shared" si="305"/>
        <v>3.8239976132940865</v>
      </c>
      <c r="EI99" s="173">
        <f t="shared" si="268"/>
        <v>3.7969725565402777</v>
      </c>
      <c r="EJ99" s="173"/>
      <c r="EK99" s="528">
        <f t="shared" si="269"/>
        <v>0.17547549295774645</v>
      </c>
      <c r="EL99" s="528">
        <f t="shared" si="270"/>
        <v>3.2146382978723409</v>
      </c>
      <c r="EM99" s="528">
        <f t="shared" si="271"/>
        <v>3.6960567253838485E-2</v>
      </c>
      <c r="EN99" s="528">
        <f t="shared" si="272"/>
        <v>0.50350667270258043</v>
      </c>
      <c r="EO99">
        <f t="shared" si="273"/>
        <v>1.26E-2</v>
      </c>
      <c r="EP99" s="460">
        <f t="shared" si="306"/>
        <v>49.560567253838485</v>
      </c>
      <c r="EQ99" s="528">
        <f t="shared" si="274"/>
        <v>4.1641763220313486</v>
      </c>
      <c r="ER99" s="460">
        <f t="shared" si="307"/>
        <v>4164.1763220313487</v>
      </c>
      <c r="ES99" s="528">
        <f t="shared" si="308"/>
        <v>1.5759099999999995</v>
      </c>
      <c r="ET99" s="528"/>
      <c r="EV99" s="460">
        <f t="shared" si="309"/>
        <v>1575.9099999999994</v>
      </c>
      <c r="EW99" s="528">
        <f t="shared" si="275"/>
        <v>0.20472140845070416</v>
      </c>
      <c r="EX99" s="528">
        <f t="shared" si="276"/>
        <v>0.20183800833168017</v>
      </c>
      <c r="EY99" s="528">
        <f t="shared" si="277"/>
        <v>24.644415823952833</v>
      </c>
      <c r="EZ99" s="528">
        <f t="shared" si="278"/>
        <v>25.993997869868284</v>
      </c>
      <c r="FA99" s="528">
        <f t="shared" si="279"/>
        <v>2.8</v>
      </c>
      <c r="FB99" s="460">
        <f t="shared" si="310"/>
        <v>28793.997869868286</v>
      </c>
      <c r="FC99" s="173">
        <f t="shared" si="311"/>
        <v>34.53408419189963</v>
      </c>
      <c r="FD99" s="5">
        <f t="shared" si="312"/>
        <v>65.799999999999983</v>
      </c>
      <c r="FE99" s="173">
        <f t="shared" si="313"/>
        <v>0.65580904564943732</v>
      </c>
      <c r="FF99" s="5">
        <f t="shared" si="314"/>
        <v>65.580904564943737</v>
      </c>
      <c r="FI99" s="562">
        <f t="shared" si="280"/>
        <v>-50</v>
      </c>
      <c r="FJ99">
        <f t="shared" si="281"/>
        <v>-50</v>
      </c>
      <c r="FL99">
        <f t="shared" si="282"/>
        <v>0.49645390070921991</v>
      </c>
    </row>
    <row r="100" spans="5:168" ht="13">
      <c r="E100" s="170">
        <v>95</v>
      </c>
      <c r="F100" s="217">
        <f t="shared" si="283"/>
        <v>2.375</v>
      </c>
      <c r="G100" s="217"/>
      <c r="H100" s="217">
        <f t="shared" si="183"/>
        <v>66.5</v>
      </c>
      <c r="I100" s="541">
        <f t="shared" si="184"/>
        <v>27.871502272284001</v>
      </c>
      <c r="J100" s="172">
        <f t="shared" si="185"/>
        <v>28.469191084154765</v>
      </c>
      <c r="K100" s="172">
        <f t="shared" si="186"/>
        <v>56.469191084154765</v>
      </c>
      <c r="L100" s="443"/>
      <c r="M100" s="217">
        <f t="shared" si="187"/>
        <v>0.50528477833043017</v>
      </c>
      <c r="N100" s="172">
        <f t="shared" si="188"/>
        <v>118.61720034295691</v>
      </c>
      <c r="O100" s="172">
        <f t="shared" si="284"/>
        <v>66.5</v>
      </c>
      <c r="P100" s="217">
        <f t="shared" si="189"/>
        <v>4.2363285836770324</v>
      </c>
      <c r="Q100" s="217">
        <f t="shared" si="190"/>
        <v>28</v>
      </c>
      <c r="R100" s="217">
        <f t="shared" si="191"/>
        <v>4.1913826926747335</v>
      </c>
      <c r="S100" s="172">
        <f t="shared" si="192"/>
        <v>70.081420412088619</v>
      </c>
      <c r="T100" s="532">
        <f t="shared" si="193"/>
        <v>28</v>
      </c>
      <c r="U100" s="217">
        <f t="shared" si="194"/>
        <v>9.6014834230684336</v>
      </c>
      <c r="V100" s="217">
        <f t="shared" si="195"/>
        <v>1.6191079923702867</v>
      </c>
      <c r="W100" s="217">
        <f t="shared" si="196"/>
        <v>1.5851160630109429</v>
      </c>
      <c r="X100" s="197">
        <f t="shared" si="197"/>
        <v>350</v>
      </c>
      <c r="Y100" s="443">
        <f t="shared" si="198"/>
        <v>293.75269774598098</v>
      </c>
      <c r="AA100" s="217">
        <f t="shared" si="199"/>
        <v>8.561451791776042</v>
      </c>
      <c r="AB100" s="173">
        <f t="shared" si="200"/>
        <v>1.4134164649217349</v>
      </c>
      <c r="AC100" s="173">
        <f t="shared" si="201"/>
        <v>2.1176569620727403</v>
      </c>
      <c r="AD100" s="173"/>
      <c r="AE100" s="173">
        <f t="shared" si="202"/>
        <v>0.55030248735751186</v>
      </c>
      <c r="AF100" s="545">
        <f t="shared" si="203"/>
        <v>2589.4849337183327</v>
      </c>
      <c r="AG100" s="528">
        <f t="shared" si="204"/>
        <v>0.32100978429188193</v>
      </c>
      <c r="AI100" s="173">
        <f t="shared" si="205"/>
        <v>9.0667453317986766</v>
      </c>
      <c r="AJ100" s="173">
        <f t="shared" si="206"/>
        <v>9.6014834230684336</v>
      </c>
      <c r="AK100" s="173">
        <f t="shared" si="207"/>
        <v>5.8430741405445188</v>
      </c>
      <c r="AM100" s="545">
        <f t="shared" si="208"/>
        <v>2375</v>
      </c>
      <c r="AN100" s="460">
        <f t="shared" si="209"/>
        <v>293.75269774598098</v>
      </c>
      <c r="AP100">
        <f t="shared" si="210"/>
        <v>2375</v>
      </c>
      <c r="AQ100">
        <f t="shared" si="211"/>
        <v>293.75269774598098</v>
      </c>
      <c r="AS100" s="5">
        <f t="shared" si="285"/>
        <v>3.40422405538123</v>
      </c>
      <c r="AT100" s="5">
        <f t="shared" si="212"/>
        <v>1.6191079923702867</v>
      </c>
      <c r="AU100" s="5">
        <f t="shared" si="286"/>
        <v>1.7851160630109433</v>
      </c>
      <c r="AV100" s="5">
        <f t="shared" si="213"/>
        <v>1.5851160630109429</v>
      </c>
      <c r="AW100" s="173">
        <f t="shared" si="287"/>
        <v>0.47561734070085088</v>
      </c>
      <c r="AX100" s="173">
        <f t="shared" si="214"/>
        <v>63.639447256025242</v>
      </c>
      <c r="AY100" s="173">
        <f t="shared" si="215"/>
        <v>2.5174257053026614</v>
      </c>
      <c r="AZ100" s="173">
        <f t="shared" si="288"/>
        <v>25.279573145684587</v>
      </c>
      <c r="BA100" s="460">
        <f t="shared" si="216"/>
        <v>13.733505292426537</v>
      </c>
      <c r="BB100" s="5">
        <f t="shared" si="217"/>
        <v>3.0422835541713775</v>
      </c>
      <c r="BC100" s="5"/>
      <c r="BD100" s="173">
        <f t="shared" si="289"/>
        <v>3.8230198171479661</v>
      </c>
      <c r="BE100" s="173">
        <f t="shared" si="218"/>
        <v>4.0142264658146258</v>
      </c>
      <c r="BF100" s="173"/>
      <c r="BG100" s="528">
        <f t="shared" si="219"/>
        <v>0.17538576626767283</v>
      </c>
      <c r="BH100" s="528">
        <f t="shared" si="220"/>
        <v>2.9066626865644918</v>
      </c>
      <c r="BI100" s="528">
        <f t="shared" si="221"/>
        <v>3.3781560240787815E-2</v>
      </c>
      <c r="BJ100" s="528">
        <f t="shared" si="222"/>
        <v>0.46132950526688482</v>
      </c>
      <c r="BK100">
        <f t="shared" si="223"/>
        <v>1.2542176022527799E-2</v>
      </c>
      <c r="BL100" s="460">
        <f t="shared" si="290"/>
        <v>46.323736263315617</v>
      </c>
      <c r="BM100" s="528">
        <f t="shared" si="224"/>
        <v>3.7468704178589483</v>
      </c>
      <c r="BN100" s="460">
        <f t="shared" si="291"/>
        <v>3746.8704178589483</v>
      </c>
      <c r="BO100" s="528">
        <f t="shared" si="225"/>
        <v>1.5926749999999998</v>
      </c>
      <c r="BP100" s="528"/>
      <c r="BR100" s="460">
        <f t="shared" si="292"/>
        <v>1592.6749999999997</v>
      </c>
      <c r="BS100" s="528">
        <f t="shared" si="226"/>
        <v>0.20461672731228497</v>
      </c>
      <c r="BT100" s="528">
        <f t="shared" si="227"/>
        <v>0.22559619766385211</v>
      </c>
      <c r="BU100" s="528">
        <f t="shared" si="228"/>
        <v>21.12372499158808</v>
      </c>
      <c r="BV100" s="528">
        <f t="shared" si="229"/>
        <v>22.429133260534002</v>
      </c>
      <c r="BW100" s="528">
        <f t="shared" si="230"/>
        <v>2.7080615853627763</v>
      </c>
      <c r="BX100" s="460">
        <f t="shared" si="293"/>
        <v>25137.194845896778</v>
      </c>
      <c r="BY100" s="173">
        <f t="shared" si="231"/>
        <v>30.523064000019044</v>
      </c>
      <c r="BZ100" s="5">
        <f t="shared" si="294"/>
        <v>66.5</v>
      </c>
      <c r="CA100" s="173">
        <f t="shared" si="295"/>
        <v>0.68540403960018148</v>
      </c>
      <c r="CB100" s="5">
        <f t="shared" si="296"/>
        <v>68.540403960018153</v>
      </c>
      <c r="CE100" s="562">
        <f t="shared" si="232"/>
        <v>-50</v>
      </c>
      <c r="CF100">
        <f t="shared" si="233"/>
        <v>-50</v>
      </c>
      <c r="CG100" s="173">
        <f t="shared" si="234"/>
        <v>0.48055324477393002</v>
      </c>
      <c r="CI100" s="170">
        <v>95</v>
      </c>
      <c r="CJ100" s="217">
        <f t="shared" si="297"/>
        <v>2.375</v>
      </c>
      <c r="CK100" s="217"/>
      <c r="CL100" s="217">
        <f t="shared" si="235"/>
        <v>66.5</v>
      </c>
      <c r="CM100" s="541">
        <f t="shared" si="236"/>
        <v>28</v>
      </c>
      <c r="CN100" s="172">
        <f t="shared" si="237"/>
        <v>28.4</v>
      </c>
      <c r="CO100" s="443">
        <f t="shared" si="238"/>
        <v>56.4</v>
      </c>
      <c r="CP100" s="443"/>
      <c r="CQ100" s="217">
        <f t="shared" si="239"/>
        <v>0.50354609929078009</v>
      </c>
      <c r="CR100" s="172">
        <f t="shared" si="240"/>
        <v>118.75402645742166</v>
      </c>
      <c r="CS100" s="172">
        <f t="shared" si="298"/>
        <v>66.5</v>
      </c>
      <c r="CT100" s="217">
        <f t="shared" si="241"/>
        <v>4.2412152306222017</v>
      </c>
      <c r="CU100" s="217">
        <f t="shared" si="242"/>
        <v>28</v>
      </c>
      <c r="CV100" s="217">
        <f t="shared" si="243"/>
        <v>4.1962174940898347</v>
      </c>
      <c r="CW100" s="172">
        <f t="shared" si="244"/>
        <v>70.403797640673972</v>
      </c>
      <c r="CX100" s="532">
        <f t="shared" si="245"/>
        <v>28</v>
      </c>
      <c r="CY100" s="217">
        <f t="shared" si="246"/>
        <v>9.433098591549296</v>
      </c>
      <c r="CZ100" s="217">
        <f t="shared" si="247"/>
        <v>1.5834129778672033</v>
      </c>
      <c r="DA100" s="217">
        <f t="shared" si="248"/>
        <v>1.5611113866296371</v>
      </c>
      <c r="DB100" s="197">
        <f t="shared" si="249"/>
        <v>350</v>
      </c>
      <c r="DC100" s="443">
        <f t="shared" si="299"/>
        <v>318.01311870579559</v>
      </c>
      <c r="DE100" s="217">
        <f t="shared" si="250"/>
        <v>8.5709974347366842</v>
      </c>
      <c r="DF100" s="173">
        <f t="shared" si="251"/>
        <v>1.418439716312057</v>
      </c>
      <c r="DG100" s="173">
        <f t="shared" si="252"/>
        <v>2.1275525547218721</v>
      </c>
      <c r="DH100" s="173"/>
      <c r="DI100" s="173">
        <f t="shared" si="253"/>
        <v>0.55164319248826299</v>
      </c>
      <c r="DJ100" s="545">
        <f t="shared" si="300"/>
        <v>2583.1914893617022</v>
      </c>
      <c r="DK100" s="528">
        <f t="shared" si="254"/>
        <v>0.3217918622848201</v>
      </c>
      <c r="DM100" s="173">
        <f t="shared" si="255"/>
        <v>9.0557207900506533</v>
      </c>
      <c r="DN100" s="173">
        <f t="shared" si="256"/>
        <v>9.433098591549296</v>
      </c>
      <c r="DO100" s="173">
        <f t="shared" si="257"/>
        <v>5.7183446357155274</v>
      </c>
      <c r="DQ100" s="545">
        <f t="shared" si="258"/>
        <v>2375</v>
      </c>
      <c r="DR100" s="460">
        <f t="shared" si="259"/>
        <v>318.01311870579559</v>
      </c>
      <c r="DT100">
        <f t="shared" si="260"/>
        <v>2375</v>
      </c>
      <c r="DU100">
        <f t="shared" si="261"/>
        <v>318.01311870579559</v>
      </c>
      <c r="DW100" s="5">
        <f t="shared" si="301"/>
        <v>3.1445243644968399</v>
      </c>
      <c r="DX100" s="5">
        <f t="shared" si="262"/>
        <v>1.5834129778672033</v>
      </c>
      <c r="DY100" s="5">
        <f t="shared" si="302"/>
        <v>1.5611113866296367</v>
      </c>
      <c r="DZ100" s="5">
        <f t="shared" si="263"/>
        <v>1.5611113866296371</v>
      </c>
      <c r="EA100" s="173">
        <f t="shared" si="303"/>
        <v>0.5035460992907802</v>
      </c>
      <c r="EB100" s="173">
        <f t="shared" si="264"/>
        <v>66.5</v>
      </c>
      <c r="EC100" s="173">
        <f t="shared" si="265"/>
        <v>2.3415492957746475</v>
      </c>
      <c r="ED100" s="173">
        <f t="shared" si="304"/>
        <v>28.400000000000006</v>
      </c>
      <c r="EE100" s="460">
        <f t="shared" si="266"/>
        <v>13.430735080123599</v>
      </c>
      <c r="EF100" s="5">
        <f t="shared" si="267"/>
        <v>2.6483139594609906</v>
      </c>
      <c r="EG100" s="5"/>
      <c r="EH100" s="173">
        <f t="shared" si="305"/>
        <v>3.8646784389674282</v>
      </c>
      <c r="EI100" s="173">
        <f t="shared" si="268"/>
        <v>3.8373658816098559</v>
      </c>
      <c r="EJ100" s="173"/>
      <c r="EK100" s="528">
        <f t="shared" si="269"/>
        <v>0.17922887323943662</v>
      </c>
      <c r="EL100" s="528">
        <f t="shared" si="270"/>
        <v>3.2146382978723409</v>
      </c>
      <c r="EM100" s="528">
        <f t="shared" si="271"/>
        <v>3.6571508651166491E-2</v>
      </c>
      <c r="EN100" s="528">
        <f t="shared" si="272"/>
        <v>0.49820660246360587</v>
      </c>
      <c r="EO100">
        <f t="shared" si="273"/>
        <v>1.26E-2</v>
      </c>
      <c r="EP100" s="460">
        <f t="shared" si="306"/>
        <v>49.171508651166491</v>
      </c>
      <c r="EQ100" s="528">
        <f t="shared" si="274"/>
        <v>4.1670917652374753</v>
      </c>
      <c r="ER100" s="460">
        <f t="shared" si="307"/>
        <v>4167.0917652374756</v>
      </c>
      <c r="ES100" s="528">
        <f t="shared" si="308"/>
        <v>1.5926749999999998</v>
      </c>
      <c r="ET100" s="528"/>
      <c r="EV100" s="460">
        <f t="shared" si="309"/>
        <v>1592.6749999999997</v>
      </c>
      <c r="EW100" s="528">
        <f t="shared" si="275"/>
        <v>0.20910035211267605</v>
      </c>
      <c r="EX100" s="528">
        <f t="shared" si="276"/>
        <v>0.20615527673080741</v>
      </c>
      <c r="EY100" s="528">
        <f t="shared" si="277"/>
        <v>24.644415823952812</v>
      </c>
      <c r="EZ100" s="528">
        <f t="shared" si="278"/>
        <v>26.023857053782855</v>
      </c>
      <c r="FA100" s="528">
        <f t="shared" si="279"/>
        <v>2.8297872340425538</v>
      </c>
      <c r="FB100" s="460">
        <f t="shared" si="310"/>
        <v>28853.644287825409</v>
      </c>
      <c r="FC100" s="173">
        <f t="shared" si="311"/>
        <v>34.613411053062883</v>
      </c>
      <c r="FD100" s="5">
        <f t="shared" si="312"/>
        <v>66.5</v>
      </c>
      <c r="FE100" s="173">
        <f t="shared" si="313"/>
        <v>0.65767734771702779</v>
      </c>
      <c r="FF100" s="5">
        <f t="shared" si="314"/>
        <v>65.767734771702777</v>
      </c>
      <c r="FI100" s="562">
        <f t="shared" si="280"/>
        <v>-50</v>
      </c>
      <c r="FJ100">
        <f t="shared" si="281"/>
        <v>-50</v>
      </c>
      <c r="FL100">
        <f t="shared" si="282"/>
        <v>0.4964539007092198</v>
      </c>
    </row>
    <row r="101" spans="5:168" ht="13">
      <c r="E101" s="170">
        <v>96</v>
      </c>
      <c r="F101" s="217">
        <f t="shared" si="283"/>
        <v>2.4</v>
      </c>
      <c r="G101" s="217"/>
      <c r="H101" s="217">
        <f>F101*Vout</f>
        <v>67.2</v>
      </c>
      <c r="I101" s="541">
        <f t="shared" si="184"/>
        <v>27.870194404595708</v>
      </c>
      <c r="J101" s="172">
        <f t="shared" si="185"/>
        <v>28.469895320602308</v>
      </c>
      <c r="K101" s="172">
        <f t="shared" si="186"/>
        <v>56.469895320602305</v>
      </c>
      <c r="L101" s="443"/>
      <c r="M101" s="217">
        <f t="shared" si="187"/>
        <v>0.50530269913196746</v>
      </c>
      <c r="N101" s="172">
        <f>M101*I101*(Isw_max+VIN_nom/Lmag*ILIM_delay)*0.5*Efficiency</f>
        <v>118.6158410091557</v>
      </c>
      <c r="O101" s="172">
        <f t="shared" si="284"/>
        <v>67.2</v>
      </c>
      <c r="P101" s="217">
        <f>N101/Vout</f>
        <v>4.2362800360412747</v>
      </c>
      <c r="Q101" s="217">
        <f t="shared" si="190"/>
        <v>28</v>
      </c>
      <c r="R101" s="217">
        <f>Isw_max/2*I101*Nps*(Q101+Vfwd1+F101/FL101*Rdcr_sec)/Q101/(I101+Nps*(Q101+Vfwd1+F101/FL101*Rdcr_sec))</f>
        <v>4.1913346601115684</v>
      </c>
      <c r="S101" s="172">
        <f t="shared" si="192"/>
        <v>69.061806140065727</v>
      </c>
      <c r="T101" s="532">
        <f>MIN(Vout, S101)</f>
        <v>28</v>
      </c>
      <c r="U101" s="217">
        <f t="shared" si="194"/>
        <v>9.702903152245959</v>
      </c>
      <c r="V101" s="217">
        <f t="shared" si="195"/>
        <v>1.6362872879005146</v>
      </c>
      <c r="W101" s="217">
        <f t="shared" si="196"/>
        <v>1.6018198978959652</v>
      </c>
      <c r="X101" s="197">
        <f t="shared" si="197"/>
        <v>350</v>
      </c>
      <c r="Y101" s="443">
        <f t="shared" si="198"/>
        <v>290.85771500411721</v>
      </c>
      <c r="AA101" s="217">
        <f t="shared" si="199"/>
        <v>8.5613535452408165</v>
      </c>
      <c r="AB101" s="173">
        <f>L*AA101/J101*1000000</f>
        <v>1.4133652832054233</v>
      </c>
      <c r="AC101" s="173">
        <f>0.5*AB101*AA101*Nps*X101/1000</f>
        <v>2.1175559786659321</v>
      </c>
      <c r="AD101" s="173"/>
      <c r="AE101" s="173">
        <f t="shared" si="202"/>
        <v>0.55028887497627876</v>
      </c>
      <c r="AF101" s="545">
        <f>MAX(12, F101/(0.5*AE101/1000000*Isw_min*Nps)/1000)</f>
        <v>2616.8073996808926</v>
      </c>
      <c r="AG101" s="528">
        <f t="shared" si="204"/>
        <v>0.32100184373616264</v>
      </c>
      <c r="AI101" s="173">
        <f t="shared" si="205"/>
        <v>9.1144528515715315</v>
      </c>
      <c r="AJ101" s="173">
        <f>MAX(IF(F101&gt;AC101,U101,AI101),Isw_min)</f>
        <v>9.702903152245959</v>
      </c>
      <c r="AK101" s="173">
        <f>IF(F101&gt;AG101, (AJ101-Isw_min)/1.08*0.8+1.2, AF101*0.2/350+1)</f>
        <v>5.9181998658612045</v>
      </c>
      <c r="AM101" s="545">
        <f t="shared" si="208"/>
        <v>2400</v>
      </c>
      <c r="AN101" s="460">
        <f t="shared" si="209"/>
        <v>290.85771500411721</v>
      </c>
      <c r="AP101">
        <f t="shared" si="210"/>
        <v>2400</v>
      </c>
      <c r="AQ101">
        <f t="shared" si="211"/>
        <v>290.85771500411721</v>
      </c>
      <c r="AS101" s="5">
        <f t="shared" si="285"/>
        <v>3.43810718579648</v>
      </c>
      <c r="AT101" s="5">
        <f t="shared" si="212"/>
        <v>1.6362872879005146</v>
      </c>
      <c r="AU101" s="5">
        <f t="shared" si="286"/>
        <v>1.8018198978959654</v>
      </c>
      <c r="AV101" s="5">
        <f t="shared" si="213"/>
        <v>1.6018198978959652</v>
      </c>
      <c r="AW101" s="173">
        <f t="shared" si="287"/>
        <v>0.47592678164902774</v>
      </c>
      <c r="AX101" s="173">
        <f t="shared" si="214"/>
        <v>64.350487800783284</v>
      </c>
      <c r="AY101" s="173">
        <f t="shared" si="215"/>
        <v>2.5425158411726665</v>
      </c>
      <c r="AZ101" s="173">
        <f t="shared" si="288"/>
        <v>25.309768678217306</v>
      </c>
      <c r="BA101" s="460">
        <f t="shared" si="216"/>
        <v>14.02531961057584</v>
      </c>
      <c r="BB101" s="5">
        <f t="shared" si="217"/>
        <v>3.1032203738322273</v>
      </c>
      <c r="BC101" s="5"/>
      <c r="BD101" s="173">
        <f t="shared" si="289"/>
        <v>3.864658658577989</v>
      </c>
      <c r="BE101" s="173">
        <f t="shared" si="218"/>
        <v>4.0554313350492945</v>
      </c>
      <c r="BF101" s="173"/>
      <c r="BG101" s="528">
        <f t="shared" si="219"/>
        <v>0.17922703856786185</v>
      </c>
      <c r="BH101" s="528">
        <f t="shared" si="220"/>
        <v>2.9084535753502636</v>
      </c>
      <c r="BI101" s="528">
        <f t="shared" si="221"/>
        <v>3.3448637225473483E-2</v>
      </c>
      <c r="BJ101" s="528">
        <f t="shared" si="222"/>
        <v>0.45679441791884251</v>
      </c>
      <c r="BK101">
        <f t="shared" si="223"/>
        <v>1.2541587482068068E-2</v>
      </c>
      <c r="BL101" s="460">
        <f t="shared" si="290"/>
        <v>45.99022470754155</v>
      </c>
      <c r="BM101" s="528">
        <f t="shared" si="224"/>
        <v>3.7526713826948606</v>
      </c>
      <c r="BN101" s="460">
        <f t="shared" si="291"/>
        <v>3752.6713826948608</v>
      </c>
      <c r="BO101" s="528">
        <f t="shared" si="225"/>
        <v>1.60944</v>
      </c>
      <c r="BP101" s="528"/>
      <c r="BR101" s="460">
        <f t="shared" si="292"/>
        <v>1609.44</v>
      </c>
      <c r="BS101" s="528">
        <f t="shared" si="226"/>
        <v>0.2090982116625055</v>
      </c>
      <c r="BT101" s="528">
        <f t="shared" si="227"/>
        <v>0.23025132638619586</v>
      </c>
      <c r="BU101" s="528">
        <f t="shared" si="228"/>
        <v>21.155617958174933</v>
      </c>
      <c r="BV101" s="528">
        <f>(BU101+(BS101+BT101)*(1+Ltc*(Ta-25)))/(1-(BS101+BT101)*Ltc*ThetaCa)</f>
        <v>22.490921461714848</v>
      </c>
      <c r="BW101" s="528">
        <f t="shared" si="230"/>
        <v>2.7383186298205655</v>
      </c>
      <c r="BX101" s="460">
        <f t="shared" si="293"/>
        <v>25229.240091535412</v>
      </c>
      <c r="BY101" s="173">
        <f t="shared" si="231"/>
        <v>30.637341698937814</v>
      </c>
      <c r="BZ101" s="5">
        <f t="shared" si="294"/>
        <v>67.2</v>
      </c>
      <c r="CA101" s="173">
        <f t="shared" si="295"/>
        <v>0.6868543117901329</v>
      </c>
      <c r="CB101" s="5">
        <f t="shared" si="296"/>
        <v>68.685431179013293</v>
      </c>
      <c r="CE101" s="562">
        <f t="shared" si="232"/>
        <v>-50</v>
      </c>
      <c r="CF101">
        <f t="shared" si="233"/>
        <v>-50</v>
      </c>
      <c r="CG101" s="173">
        <f t="shared" si="234"/>
        <v>0.48071887660658941</v>
      </c>
      <c r="CI101" s="170">
        <v>96</v>
      </c>
      <c r="CJ101" s="217">
        <f t="shared" si="297"/>
        <v>2.4</v>
      </c>
      <c r="CK101" s="217"/>
      <c r="CL101" s="217">
        <f t="shared" si="235"/>
        <v>67.2</v>
      </c>
      <c r="CM101" s="541">
        <f t="shared" si="236"/>
        <v>28</v>
      </c>
      <c r="CN101" s="172">
        <f t="shared" si="237"/>
        <v>28.4</v>
      </c>
      <c r="CO101" s="443">
        <f t="shared" si="238"/>
        <v>56.4</v>
      </c>
      <c r="CP101" s="443"/>
      <c r="CQ101" s="217">
        <f t="shared" si="239"/>
        <v>0.50354609929078009</v>
      </c>
      <c r="CR101" s="172">
        <f t="shared" si="240"/>
        <v>118.75402645742166</v>
      </c>
      <c r="CS101" s="172">
        <f t="shared" si="298"/>
        <v>67.2</v>
      </c>
      <c r="CT101" s="217">
        <f t="shared" si="241"/>
        <v>4.2412152306222017</v>
      </c>
      <c r="CU101" s="217">
        <f t="shared" si="242"/>
        <v>28</v>
      </c>
      <c r="CV101" s="217">
        <f t="shared" si="243"/>
        <v>4.1962174940898347</v>
      </c>
      <c r="CW101" s="172">
        <f t="shared" si="244"/>
        <v>69.382720407655142</v>
      </c>
      <c r="CX101" s="532">
        <f t="shared" si="245"/>
        <v>28</v>
      </c>
      <c r="CY101" s="217">
        <f t="shared" si="246"/>
        <v>9.5323943661971846</v>
      </c>
      <c r="CZ101" s="217">
        <f t="shared" si="247"/>
        <v>1.6000804828973847</v>
      </c>
      <c r="DA101" s="217">
        <f t="shared" si="248"/>
        <v>1.5775441380678441</v>
      </c>
      <c r="DB101" s="197">
        <f t="shared" si="249"/>
        <v>350</v>
      </c>
      <c r="DC101" s="443">
        <f t="shared" si="299"/>
        <v>314.70048205261008</v>
      </c>
      <c r="DE101" s="217">
        <f t="shared" si="250"/>
        <v>8.5709974347366842</v>
      </c>
      <c r="DF101" s="173">
        <f t="shared" si="251"/>
        <v>1.418439716312057</v>
      </c>
      <c r="DG101" s="173">
        <f t="shared" si="252"/>
        <v>2.1275525547218721</v>
      </c>
      <c r="DH101" s="173"/>
      <c r="DI101" s="173">
        <f t="shared" si="253"/>
        <v>0.55164319248826299</v>
      </c>
      <c r="DJ101" s="545">
        <f t="shared" si="300"/>
        <v>2610.382978723404</v>
      </c>
      <c r="DK101" s="528">
        <f t="shared" si="254"/>
        <v>0.3217918622848201</v>
      </c>
      <c r="DM101" s="173">
        <f t="shared" si="255"/>
        <v>9.1032577087465842</v>
      </c>
      <c r="DN101" s="173">
        <f t="shared" si="256"/>
        <v>9.5323943661971846</v>
      </c>
      <c r="DO101" s="173">
        <f t="shared" si="257"/>
        <v>5.7918970613806309</v>
      </c>
      <c r="DQ101" s="545">
        <f t="shared" si="258"/>
        <v>2400</v>
      </c>
      <c r="DR101" s="460">
        <f t="shared" si="259"/>
        <v>314.70048205261008</v>
      </c>
      <c r="DT101">
        <f t="shared" si="260"/>
        <v>2400</v>
      </c>
      <c r="DU101">
        <f t="shared" si="261"/>
        <v>314.70048205261008</v>
      </c>
      <c r="DW101" s="5">
        <f t="shared" si="301"/>
        <v>3.1776246209652288</v>
      </c>
      <c r="DX101" s="5">
        <f t="shared" si="262"/>
        <v>1.6000804828973847</v>
      </c>
      <c r="DY101" s="5">
        <f t="shared" si="302"/>
        <v>1.5775441380678441</v>
      </c>
      <c r="DZ101" s="5">
        <f t="shared" si="263"/>
        <v>1.5775441380678441</v>
      </c>
      <c r="EA101" s="173">
        <f t="shared" si="303"/>
        <v>0.50354609929078009</v>
      </c>
      <c r="EB101" s="173">
        <f t="shared" si="264"/>
        <v>67.2</v>
      </c>
      <c r="EC101" s="173">
        <f t="shared" si="265"/>
        <v>2.3661971830985919</v>
      </c>
      <c r="ED101" s="173">
        <f t="shared" si="304"/>
        <v>28.399999999999995</v>
      </c>
      <c r="EE101" s="460">
        <f t="shared" si="266"/>
        <v>13.714975567691868</v>
      </c>
      <c r="EF101" s="5">
        <f t="shared" si="267"/>
        <v>2.7043613795448751</v>
      </c>
      <c r="EG101" s="5"/>
      <c r="EH101" s="173">
        <f t="shared" si="305"/>
        <v>3.9053592646407704</v>
      </c>
      <c r="EI101" s="173">
        <f t="shared" si="268"/>
        <v>3.8777592066794337</v>
      </c>
      <c r="EJ101" s="173"/>
      <c r="EK101" s="528">
        <f t="shared" si="269"/>
        <v>0.18302197183098598</v>
      </c>
      <c r="EL101" s="528">
        <f t="shared" si="270"/>
        <v>3.21463829787234</v>
      </c>
      <c r="EM101" s="528">
        <f t="shared" si="271"/>
        <v>3.6190555436050167E-2</v>
      </c>
      <c r="EN101" s="528">
        <f t="shared" si="272"/>
        <v>0.4930169503546098</v>
      </c>
      <c r="EO101">
        <f t="shared" si="273"/>
        <v>1.26E-2</v>
      </c>
      <c r="EP101" s="460">
        <f t="shared" si="306"/>
        <v>48.79055543605017</v>
      </c>
      <c r="EQ101" s="528">
        <f t="shared" si="274"/>
        <v>4.1702304340631127</v>
      </c>
      <c r="ER101" s="460">
        <f t="shared" si="307"/>
        <v>4170.2304340631126</v>
      </c>
      <c r="ES101" s="528">
        <f t="shared" si="308"/>
        <v>1.60944</v>
      </c>
      <c r="ET101" s="528"/>
      <c r="EV101" s="460">
        <f t="shared" si="309"/>
        <v>1609.44</v>
      </c>
      <c r="EW101" s="528">
        <f t="shared" si="275"/>
        <v>0.21352563380281697</v>
      </c>
      <c r="EX101" s="528">
        <f t="shared" si="276"/>
        <v>0.21051823050981958</v>
      </c>
      <c r="EY101" s="528">
        <f t="shared" si="277"/>
        <v>24.644415823952805</v>
      </c>
      <c r="EZ101" s="528">
        <f t="shared" si="278"/>
        <v>26.054075897680239</v>
      </c>
      <c r="FA101" s="528">
        <f t="shared" si="279"/>
        <v>2.859574468085107</v>
      </c>
      <c r="FB101" s="460">
        <f t="shared" si="310"/>
        <v>28913.650365765345</v>
      </c>
      <c r="FC101" s="173">
        <f t="shared" si="311"/>
        <v>34.693320799828456</v>
      </c>
      <c r="FD101" s="5">
        <f t="shared" si="312"/>
        <v>67.2</v>
      </c>
      <c r="FE101" s="173">
        <f t="shared" si="313"/>
        <v>0.65951329755966825</v>
      </c>
      <c r="FF101" s="5">
        <f t="shared" si="314"/>
        <v>65.951329755966825</v>
      </c>
      <c r="FI101" s="562">
        <f t="shared" si="280"/>
        <v>-50</v>
      </c>
      <c r="FJ101">
        <f t="shared" si="281"/>
        <v>-50</v>
      </c>
      <c r="FL101">
        <f t="shared" si="282"/>
        <v>0.49645390070921991</v>
      </c>
    </row>
    <row r="102" spans="5:168" ht="13">
      <c r="E102" s="170">
        <v>97</v>
      </c>
      <c r="F102" s="217">
        <f>IF(PLOT_TYPE=1, E102/100*Iout_max, min_I*EXP(N102*rr/100))</f>
        <v>2.4249999999999998</v>
      </c>
      <c r="G102" s="217"/>
      <c r="H102" s="217">
        <f>F102*Vout</f>
        <v>67.899999999999991</v>
      </c>
      <c r="I102" s="541">
        <f t="shared" si="184"/>
        <v>27.868886506722937</v>
      </c>
      <c r="J102" s="172">
        <f t="shared" si="185"/>
        <v>28.47059957330303</v>
      </c>
      <c r="K102" s="172">
        <f t="shared" si="186"/>
        <v>56.470599573303033</v>
      </c>
      <c r="L102" s="443"/>
      <c r="M102" s="217">
        <f t="shared" si="187"/>
        <v>0.50532062058778904</v>
      </c>
      <c r="N102" s="172">
        <f>M102*I102*(Isw_max+VIN_nom/Lmag*ILIM_delay)*0.5*Efficiency</f>
        <v>118.6144813056425</v>
      </c>
      <c r="O102" s="172">
        <f t="shared" si="284"/>
        <v>67.899999999999991</v>
      </c>
      <c r="P102" s="217">
        <f>N102/Vout</f>
        <v>4.2362314752015182</v>
      </c>
      <c r="Q102" s="217">
        <f t="shared" si="190"/>
        <v>28</v>
      </c>
      <c r="R102" s="217">
        <f>Isw_max/2*I102*Nps*(Q102+Vfwd1+F102/FL102*Rdcr_sec)/Q102/(I102+Nps*(Q102+Vfwd1+F102/FL102*Rdcr_sec))</f>
        <v>4.1912866144844925</v>
      </c>
      <c r="S102" s="172">
        <f t="shared" si="192"/>
        <v>68.063308172455038</v>
      </c>
      <c r="T102" s="532">
        <f>MIN(Vout, S102)</f>
        <v>28</v>
      </c>
      <c r="U102" s="217">
        <f t="shared" si="194"/>
        <v>9.8043302426773433</v>
      </c>
      <c r="V102" s="217">
        <f t="shared" si="195"/>
        <v>1.6534694390989513</v>
      </c>
      <c r="W102" s="217">
        <f t="shared" si="196"/>
        <v>1.6185241207140997</v>
      </c>
      <c r="X102" s="197">
        <f t="shared" si="197"/>
        <v>350</v>
      </c>
      <c r="Y102" s="443">
        <f t="shared" si="198"/>
        <v>288.01896742396167</v>
      </c>
      <c r="AA102" s="217">
        <f t="shared" si="199"/>
        <v>8.5612552744559132</v>
      </c>
      <c r="AB102" s="173">
        <f>L*AA102/J102*1000000</f>
        <v>1.4133140992111031</v>
      </c>
      <c r="AC102" s="173">
        <f>0.5*AB102*AA102*Nps*X102/1000</f>
        <v>2.1174549876084439</v>
      </c>
      <c r="AD102" s="173"/>
      <c r="AE102" s="173">
        <f t="shared" si="202"/>
        <v>0.55027526295432672</v>
      </c>
      <c r="AF102" s="545">
        <f>MAX(12, F102/(0.5*AE102/1000000*Isw_min*Nps)/1000)</f>
        <v>2644.1312156908025</v>
      </c>
      <c r="AG102" s="528">
        <f t="shared" si="204"/>
        <v>0.32099390339002393</v>
      </c>
      <c r="AI102" s="173">
        <f t="shared" si="205"/>
        <v>9.1619142930936501</v>
      </c>
      <c r="AJ102" s="173">
        <f>MAX(IF(F102&gt;AC102,U102,AI102),Isw_min)</f>
        <v>9.8043302426773433</v>
      </c>
      <c r="AK102" s="173">
        <f>IF(F102&gt;AG102, (AJ102-Isw_min)/1.08*0.8+1.2, AF102*0.2/350+1)</f>
        <v>5.9933310439585252</v>
      </c>
      <c r="AM102" s="545">
        <f t="shared" si="208"/>
        <v>2425</v>
      </c>
      <c r="AN102" s="460">
        <f t="shared" si="209"/>
        <v>288.01896742396167</v>
      </c>
      <c r="AP102">
        <f t="shared" si="210"/>
        <v>2425</v>
      </c>
      <c r="AQ102">
        <f t="shared" si="211"/>
        <v>288.01896742396167</v>
      </c>
      <c r="AS102" s="5">
        <f t="shared" si="285"/>
        <v>3.4719935598130514</v>
      </c>
      <c r="AT102" s="5">
        <f t="shared" si="212"/>
        <v>1.6534694390989513</v>
      </c>
      <c r="AU102" s="5">
        <f t="shared" si="286"/>
        <v>1.8185241207141001</v>
      </c>
      <c r="AV102" s="5">
        <f t="shared" si="213"/>
        <v>1.6185241207140997</v>
      </c>
      <c r="AW102" s="173">
        <f t="shared" si="287"/>
        <v>0.47623056051635704</v>
      </c>
      <c r="AX102" s="173">
        <f t="shared" si="214"/>
        <v>65.061611189951478</v>
      </c>
      <c r="AY102" s="173">
        <f t="shared" si="215"/>
        <v>2.5676042778598207</v>
      </c>
      <c r="AZ102" s="173">
        <f t="shared" si="288"/>
        <v>25.339423115536473</v>
      </c>
      <c r="BA102" s="460">
        <f t="shared" si="216"/>
        <v>14.320226392196275</v>
      </c>
      <c r="BB102" s="5">
        <f t="shared" si="217"/>
        <v>3.1647629636497077</v>
      </c>
      <c r="BC102" s="5"/>
      <c r="BD102" s="173">
        <f t="shared" si="289"/>
        <v>3.9063030673592158</v>
      </c>
      <c r="BE102" s="173">
        <f t="shared" si="218"/>
        <v>4.0966360405133022</v>
      </c>
      <c r="BF102" s="173"/>
      <c r="BG102" s="528">
        <f t="shared" si="219"/>
        <v>0.18311044384872022</v>
      </c>
      <c r="BH102" s="528">
        <f t="shared" si="220"/>
        <v>2.9102097275447005</v>
      </c>
      <c r="BI102" s="528">
        <f t="shared" si="221"/>
        <v>3.3122181253755593E-2</v>
      </c>
      <c r="BJ102" s="528">
        <f t="shared" si="222"/>
        <v>0.45234742415463164</v>
      </c>
      <c r="BK102">
        <f t="shared" si="223"/>
        <v>1.2540998928025321E-2</v>
      </c>
      <c r="BL102" s="460">
        <f t="shared" si="290"/>
        <v>45.663180181780916</v>
      </c>
      <c r="BM102" s="528">
        <f t="shared" si="224"/>
        <v>3.7586344816056041</v>
      </c>
      <c r="BN102" s="460">
        <f t="shared" si="291"/>
        <v>3758.6344816056039</v>
      </c>
      <c r="BO102" s="528">
        <f t="shared" si="225"/>
        <v>1.6262049999999997</v>
      </c>
      <c r="BP102" s="528"/>
      <c r="BR102" s="460">
        <f t="shared" si="292"/>
        <v>1626.2049999999997</v>
      </c>
      <c r="BS102" s="528">
        <f t="shared" si="226"/>
        <v>0.21362885115684024</v>
      </c>
      <c r="BT102" s="528">
        <f t="shared" si="227"/>
        <v>0.23495397587805511</v>
      </c>
      <c r="BU102" s="528">
        <f t="shared" si="228"/>
        <v>21.18690675814144</v>
      </c>
      <c r="BV102" s="528">
        <f>(BU102+(BS102+BT102)*(1+Ltc*(Ta-25)))/(1-(BS102+BT102)*Ltc*ThetaCa)</f>
        <v>22.552481952538567</v>
      </c>
      <c r="BW102" s="528">
        <f t="shared" si="230"/>
        <v>2.7685791995724034</v>
      </c>
      <c r="BX102" s="460">
        <f t="shared" si="293"/>
        <v>25321.061152110971</v>
      </c>
      <c r="BY102" s="173">
        <f t="shared" si="231"/>
        <v>30.751563813898354</v>
      </c>
      <c r="BZ102" s="5">
        <f t="shared" si="294"/>
        <v>67.899999999999991</v>
      </c>
      <c r="CA102" s="173">
        <f t="shared" si="295"/>
        <v>0.68828103047702549</v>
      </c>
      <c r="CB102" s="5">
        <f t="shared" si="296"/>
        <v>68.828103047702555</v>
      </c>
      <c r="CE102" s="562">
        <f t="shared" si="232"/>
        <v>-50</v>
      </c>
      <c r="CF102">
        <f t="shared" si="233"/>
        <v>-50</v>
      </c>
      <c r="CG102" s="173">
        <f t="shared" si="234"/>
        <v>0.48088109334991525</v>
      </c>
      <c r="CI102" s="170">
        <v>97</v>
      </c>
      <c r="CJ102" s="217">
        <f t="shared" si="297"/>
        <v>2.4249999999999998</v>
      </c>
      <c r="CK102" s="217"/>
      <c r="CL102" s="217">
        <f t="shared" si="235"/>
        <v>67.899999999999991</v>
      </c>
      <c r="CM102" s="541">
        <f t="shared" si="236"/>
        <v>28</v>
      </c>
      <c r="CN102" s="172">
        <f t="shared" si="237"/>
        <v>28.4</v>
      </c>
      <c r="CO102" s="443">
        <f t="shared" si="238"/>
        <v>56.4</v>
      </c>
      <c r="CP102" s="443"/>
      <c r="CQ102" s="217">
        <f t="shared" si="239"/>
        <v>0.50354609929078009</v>
      </c>
      <c r="CR102" s="172">
        <f t="shared" si="240"/>
        <v>118.75402645742166</v>
      </c>
      <c r="CS102" s="172">
        <f t="shared" si="298"/>
        <v>67.899999999999991</v>
      </c>
      <c r="CT102" s="217">
        <f t="shared" si="241"/>
        <v>4.2412152306222017</v>
      </c>
      <c r="CU102" s="217">
        <f t="shared" si="242"/>
        <v>28</v>
      </c>
      <c r="CV102" s="217">
        <f t="shared" si="243"/>
        <v>4.1962174940898347</v>
      </c>
      <c r="CW102" s="172">
        <f t="shared" si="244"/>
        <v>68.382762765150616</v>
      </c>
      <c r="CX102" s="532">
        <f t="shared" si="245"/>
        <v>28</v>
      </c>
      <c r="CY102" s="217">
        <f t="shared" si="246"/>
        <v>9.6316901408450697</v>
      </c>
      <c r="CZ102" s="217">
        <f t="shared" si="247"/>
        <v>1.6167479879275652</v>
      </c>
      <c r="DA102" s="217">
        <f t="shared" si="248"/>
        <v>1.5939768895060504</v>
      </c>
      <c r="DB102" s="197">
        <f t="shared" si="249"/>
        <v>350</v>
      </c>
      <c r="DC102" s="443">
        <f t="shared" si="299"/>
        <v>311.45614718608851</v>
      </c>
      <c r="DE102" s="217">
        <f t="shared" si="250"/>
        <v>8.5709974347366842</v>
      </c>
      <c r="DF102" s="173">
        <f t="shared" si="251"/>
        <v>1.418439716312057</v>
      </c>
      <c r="DG102" s="173">
        <f t="shared" si="252"/>
        <v>2.1275525547218721</v>
      </c>
      <c r="DH102" s="173"/>
      <c r="DI102" s="173">
        <f t="shared" si="253"/>
        <v>0.55164319248826299</v>
      </c>
      <c r="DJ102" s="545">
        <f t="shared" si="300"/>
        <v>2637.5744680851062</v>
      </c>
      <c r="DK102" s="528">
        <f t="shared" si="254"/>
        <v>0.3217918622848201</v>
      </c>
      <c r="DM102" s="173">
        <f t="shared" si="255"/>
        <v>9.15054767739902</v>
      </c>
      <c r="DN102" s="173">
        <f t="shared" si="256"/>
        <v>9.6316901408450697</v>
      </c>
      <c r="DO102" s="173">
        <f t="shared" si="257"/>
        <v>5.8654494870457299</v>
      </c>
      <c r="DQ102" s="545">
        <f t="shared" si="258"/>
        <v>2425</v>
      </c>
      <c r="DR102" s="460">
        <f t="shared" si="259"/>
        <v>311.45614718608851</v>
      </c>
      <c r="DT102">
        <f t="shared" si="260"/>
        <v>2425</v>
      </c>
      <c r="DU102">
        <f t="shared" si="261"/>
        <v>311.45614718608851</v>
      </c>
      <c r="DW102" s="5">
        <f t="shared" si="301"/>
        <v>3.2107248774336146</v>
      </c>
      <c r="DX102" s="5">
        <f t="shared" si="262"/>
        <v>1.6167479879275652</v>
      </c>
      <c r="DY102" s="5">
        <f t="shared" si="302"/>
        <v>1.5939768895060493</v>
      </c>
      <c r="DZ102" s="5">
        <f t="shared" si="263"/>
        <v>1.5939768895060504</v>
      </c>
      <c r="EA102" s="173">
        <f t="shared" si="303"/>
        <v>0.50354609929078031</v>
      </c>
      <c r="EB102" s="173">
        <f t="shared" si="264"/>
        <v>67.900000000000006</v>
      </c>
      <c r="EC102" s="173">
        <f t="shared" si="265"/>
        <v>2.3908450704225341</v>
      </c>
      <c r="ED102" s="173">
        <f t="shared" si="304"/>
        <v>28.400000000000016</v>
      </c>
      <c r="EE102" s="460">
        <f t="shared" si="266"/>
        <v>14.002192395444091</v>
      </c>
      <c r="EF102" s="5">
        <f t="shared" si="267"/>
        <v>2.7609956836086922</v>
      </c>
      <c r="EG102" s="5"/>
      <c r="EH102" s="173">
        <f t="shared" si="305"/>
        <v>3.9460400903141113</v>
      </c>
      <c r="EI102" s="173">
        <f t="shared" si="268"/>
        <v>3.9181525317490093</v>
      </c>
      <c r="EJ102" s="173"/>
      <c r="EK102" s="528">
        <f t="shared" si="269"/>
        <v>0.18685478873239442</v>
      </c>
      <c r="EL102" s="528">
        <f t="shared" si="270"/>
        <v>3.2146382978723409</v>
      </c>
      <c r="EM102" s="528">
        <f t="shared" si="271"/>
        <v>3.5817456926400183E-2</v>
      </c>
      <c r="EN102" s="528">
        <f t="shared" si="272"/>
        <v>0.48793430138188215</v>
      </c>
      <c r="EO102">
        <f t="shared" si="273"/>
        <v>1.26E-2</v>
      </c>
      <c r="EP102" s="460">
        <f t="shared" si="306"/>
        <v>48.417456926400185</v>
      </c>
      <c r="EQ102" s="528">
        <f t="shared" si="274"/>
        <v>4.1735892170952367</v>
      </c>
      <c r="ER102" s="460">
        <f t="shared" si="307"/>
        <v>4173.5892170952366</v>
      </c>
      <c r="ES102" s="528">
        <f t="shared" si="308"/>
        <v>1.6262049999999997</v>
      </c>
      <c r="ET102" s="528"/>
      <c r="EV102" s="460">
        <f t="shared" si="309"/>
        <v>1626.2049999999997</v>
      </c>
      <c r="EW102" s="528">
        <f t="shared" si="275"/>
        <v>0.21799725352112681</v>
      </c>
      <c r="EX102" s="528">
        <f t="shared" si="276"/>
        <v>0.21492686966871641</v>
      </c>
      <c r="EY102" s="528">
        <f t="shared" si="277"/>
        <v>24.64441582395283</v>
      </c>
      <c r="EZ102" s="528">
        <f t="shared" si="278"/>
        <v>26.084655878708112</v>
      </c>
      <c r="FA102" s="528">
        <f t="shared" si="279"/>
        <v>2.8893617021276601</v>
      </c>
      <c r="FB102" s="460">
        <f t="shared" si="310"/>
        <v>28974.017580835771</v>
      </c>
      <c r="FC102" s="173">
        <f t="shared" si="311"/>
        <v>34.77381179793101</v>
      </c>
      <c r="FD102" s="5">
        <f t="shared" si="312"/>
        <v>67.899999999999991</v>
      </c>
      <c r="FE102" s="173">
        <f t="shared" si="313"/>
        <v>0.66131761167717995</v>
      </c>
      <c r="FF102" s="5">
        <f t="shared" si="314"/>
        <v>66.131761167717997</v>
      </c>
      <c r="FI102" s="562">
        <f t="shared" si="280"/>
        <v>-50</v>
      </c>
      <c r="FJ102">
        <f t="shared" si="281"/>
        <v>-50</v>
      </c>
      <c r="FL102">
        <f t="shared" si="282"/>
        <v>0.49645390070921969</v>
      </c>
    </row>
    <row r="103" spans="5:168" ht="13">
      <c r="E103" s="170">
        <v>98</v>
      </c>
      <c r="F103" s="217">
        <f>IF(PLOT_TYPE=1, E103/100*Iout_max, min_I*EXP(N103*rr/100))</f>
        <v>2.4500000000000002</v>
      </c>
      <c r="G103" s="217"/>
      <c r="H103" s="217">
        <f>F103*Vout</f>
        <v>68.600000000000009</v>
      </c>
      <c r="I103" s="541">
        <f t="shared" si="184"/>
        <v>27.867578579619313</v>
      </c>
      <c r="J103" s="172">
        <f t="shared" si="185"/>
        <v>28.471303841743445</v>
      </c>
      <c r="K103" s="172">
        <f t="shared" si="186"/>
        <v>56.471303841743449</v>
      </c>
      <c r="L103" s="443"/>
      <c r="M103" s="217">
        <f t="shared" si="187"/>
        <v>0.50533854268939049</v>
      </c>
      <c r="N103" s="172">
        <f>M103*I103*(Isw_max+VIN_nom/Lmag*ILIM_delay)*0.5*Efficiency</f>
        <v>118.61312123444478</v>
      </c>
      <c r="O103" s="172">
        <f t="shared" si="284"/>
        <v>68.600000000000009</v>
      </c>
      <c r="P103" s="217">
        <f>N103/Vout</f>
        <v>4.2361829012301708</v>
      </c>
      <c r="Q103" s="217">
        <f t="shared" si="190"/>
        <v>28</v>
      </c>
      <c r="R103" s="217">
        <f>Isw_max/2*I103*Nps*(Q103+Vfwd1+F103/FL103*Rdcr_sec)/Q103/(I103+Nps*(Q103+Vfwd1+F103/FL103*Rdcr_sec))</f>
        <v>4.1912385558651488</v>
      </c>
      <c r="S103" s="172">
        <f t="shared" si="192"/>
        <v>67.085280889076316</v>
      </c>
      <c r="T103" s="532">
        <f>MIN(Vout, S103)</f>
        <v>28</v>
      </c>
      <c r="U103" s="217">
        <f t="shared" si="194"/>
        <v>9.9057646953948453</v>
      </c>
      <c r="V103" s="217">
        <f t="shared" si="195"/>
        <v>1.6706544465404274</v>
      </c>
      <c r="W103" s="217">
        <f t="shared" si="196"/>
        <v>1.6352287316078478</v>
      </c>
      <c r="X103" s="197">
        <f t="shared" si="197"/>
        <v>350</v>
      </c>
      <c r="Y103" s="443">
        <f t="shared" si="198"/>
        <v>285.2348321908936</v>
      </c>
      <c r="AA103" s="217">
        <f t="shared" si="199"/>
        <v>8.5611569794907805</v>
      </c>
      <c r="AB103" s="173">
        <f>L*AA103/J103*1000000</f>
        <v>1.4132629129759842</v>
      </c>
      <c r="AC103" s="173">
        <f>0.5*AB103*AA103*Nps*X103/1000</f>
        <v>2.1173539889739681</v>
      </c>
      <c r="AD103" s="173"/>
      <c r="AE103" s="173">
        <f t="shared" si="202"/>
        <v>0.55026165130157656</v>
      </c>
      <c r="AF103" s="545">
        <f>MAX(12, F103/(0.5*AE103/1000000*Isw_min*Nps)/1000)</f>
        <v>2671.4563817465655</v>
      </c>
      <c r="AG103" s="528">
        <f t="shared" si="204"/>
        <v>0.32098596325925299</v>
      </c>
      <c r="AI103" s="173">
        <f t="shared" si="205"/>
        <v>9.2091334610301736</v>
      </c>
      <c r="AJ103" s="173">
        <f>MAX(IF(F103&gt;AC103,U103,AI103),Isw_min)</f>
        <v>9.9057646953948453</v>
      </c>
      <c r="AK103" s="173">
        <f>IF(F103&gt;AG103, (AJ103-Isw_min)/1.08*0.8+1.2, AF103*0.2/350+1)</f>
        <v>6.06846767560112</v>
      </c>
      <c r="AM103" s="545">
        <f t="shared" si="208"/>
        <v>2450</v>
      </c>
      <c r="AN103" s="460">
        <f t="shared" si="209"/>
        <v>285.2348321908936</v>
      </c>
      <c r="AP103">
        <f t="shared" si="210"/>
        <v>2450</v>
      </c>
      <c r="AQ103">
        <f t="shared" si="211"/>
        <v>285.2348321908936</v>
      </c>
      <c r="AS103" s="5">
        <f t="shared" si="285"/>
        <v>3.5058831781482751</v>
      </c>
      <c r="AT103" s="5">
        <f t="shared" si="212"/>
        <v>1.6706544465404274</v>
      </c>
      <c r="AU103" s="5">
        <f t="shared" si="286"/>
        <v>1.8352287316078477</v>
      </c>
      <c r="AV103" s="5">
        <f t="shared" si="213"/>
        <v>1.6352287316078478</v>
      </c>
      <c r="AW103" s="173">
        <f t="shared" si="287"/>
        <v>0.47652884070792906</v>
      </c>
      <c r="AX103" s="173">
        <f t="shared" si="214"/>
        <v>65.772816050602373</v>
      </c>
      <c r="AY103" s="173">
        <f t="shared" si="215"/>
        <v>2.5926910643864036</v>
      </c>
      <c r="AZ103" s="173">
        <f t="shared" si="288"/>
        <v>25.368551214630898</v>
      </c>
      <c r="BA103" s="460">
        <f t="shared" si="216"/>
        <v>14.61822640722874</v>
      </c>
      <c r="BB103" s="5">
        <f t="shared" si="217"/>
        <v>3.2269114301359214</v>
      </c>
      <c r="BC103" s="5"/>
      <c r="BD103" s="173">
        <f t="shared" si="289"/>
        <v>3.9479530129423566</v>
      </c>
      <c r="BE103" s="173">
        <f t="shared" si="218"/>
        <v>4.1378406294156633</v>
      </c>
      <c r="BF103" s="173"/>
      <c r="BG103" s="528">
        <f t="shared" si="219"/>
        <v>0.1870359959088076</v>
      </c>
      <c r="BH103" s="528">
        <f t="shared" si="220"/>
        <v>2.91193214530866</v>
      </c>
      <c r="BI103" s="528">
        <f t="shared" si="221"/>
        <v>3.2802005701952769E-2</v>
      </c>
      <c r="BJ103" s="528">
        <f t="shared" si="222"/>
        <v>0.44798598179215487</v>
      </c>
      <c r="BK103">
        <f t="shared" si="223"/>
        <v>1.254041036082869E-2</v>
      </c>
      <c r="BL103" s="460">
        <f t="shared" si="290"/>
        <v>45.34241606278146</v>
      </c>
      <c r="BM103" s="528">
        <f t="shared" si="224"/>
        <v>3.7647587912939375</v>
      </c>
      <c r="BN103" s="460">
        <f t="shared" si="291"/>
        <v>3764.7587912939375</v>
      </c>
      <c r="BO103" s="528">
        <f t="shared" si="225"/>
        <v>1.64297</v>
      </c>
      <c r="BP103" s="528"/>
      <c r="BR103" s="460">
        <f t="shared" si="292"/>
        <v>1642.97</v>
      </c>
      <c r="BS103" s="528">
        <f t="shared" si="226"/>
        <v>0.21820866189360885</v>
      </c>
      <c r="BT103" s="528">
        <f t="shared" si="227"/>
        <v>0.23970415104220219</v>
      </c>
      <c r="BU103" s="528">
        <f t="shared" si="228"/>
        <v>21.217607996046322</v>
      </c>
      <c r="BV103" s="528">
        <f>(BU103+(BS103+BT103)*(1+Ltc*(Ta-25)))/(1-(BS103+BT103)*Ltc*ThetaCa)</f>
        <v>22.61383299430122</v>
      </c>
      <c r="BW103" s="528">
        <f t="shared" si="230"/>
        <v>2.7988432361958453</v>
      </c>
      <c r="BX103" s="460">
        <f t="shared" si="293"/>
        <v>25412.676230497065</v>
      </c>
      <c r="BY103" s="173">
        <f t="shared" si="231"/>
        <v>30.865747437853784</v>
      </c>
      <c r="BZ103" s="5">
        <f t="shared" si="294"/>
        <v>68.600000000000009</v>
      </c>
      <c r="CA103" s="173">
        <f t="shared" si="295"/>
        <v>0.68968465795585854</v>
      </c>
      <c r="CB103" s="5">
        <f t="shared" si="296"/>
        <v>68.968465795585857</v>
      </c>
      <c r="CE103" s="562">
        <f t="shared" si="232"/>
        <v>-50</v>
      </c>
      <c r="CF103">
        <f t="shared" si="233"/>
        <v>-50</v>
      </c>
      <c r="CG103" s="173">
        <f t="shared" si="234"/>
        <v>0.48103999954745941</v>
      </c>
      <c r="CI103" s="170">
        <v>98</v>
      </c>
      <c r="CJ103" s="217">
        <f t="shared" si="297"/>
        <v>2.4500000000000002</v>
      </c>
      <c r="CK103" s="217"/>
      <c r="CL103" s="217">
        <f t="shared" si="235"/>
        <v>68.600000000000009</v>
      </c>
      <c r="CM103" s="541">
        <f t="shared" si="236"/>
        <v>28</v>
      </c>
      <c r="CN103" s="172">
        <f t="shared" si="237"/>
        <v>28.4</v>
      </c>
      <c r="CO103" s="443">
        <f t="shared" si="238"/>
        <v>56.4</v>
      </c>
      <c r="CP103" s="443"/>
      <c r="CQ103" s="217">
        <f t="shared" si="239"/>
        <v>0.50354609929078009</v>
      </c>
      <c r="CR103" s="172">
        <f t="shared" si="240"/>
        <v>118.75402645742166</v>
      </c>
      <c r="CS103" s="172">
        <f t="shared" si="298"/>
        <v>68.600000000000009</v>
      </c>
      <c r="CT103" s="217">
        <f t="shared" si="241"/>
        <v>4.2412152306222017</v>
      </c>
      <c r="CU103" s="217">
        <f t="shared" si="242"/>
        <v>28</v>
      </c>
      <c r="CV103" s="217">
        <f t="shared" si="243"/>
        <v>4.1962174940898347</v>
      </c>
      <c r="CW103" s="172">
        <f t="shared" si="244"/>
        <v>67.403278989779096</v>
      </c>
      <c r="CX103" s="532">
        <f t="shared" si="245"/>
        <v>28</v>
      </c>
      <c r="CY103" s="217">
        <f t="shared" si="246"/>
        <v>9.7309859154929601</v>
      </c>
      <c r="CZ103" s="217">
        <f t="shared" si="247"/>
        <v>1.6334154929577469</v>
      </c>
      <c r="DA103" s="217">
        <f t="shared" si="248"/>
        <v>1.6104096409442576</v>
      </c>
      <c r="DB103" s="197">
        <f t="shared" si="249"/>
        <v>350</v>
      </c>
      <c r="DC103" s="443">
        <f t="shared" si="299"/>
        <v>308.2780232352099</v>
      </c>
      <c r="DE103" s="217">
        <f t="shared" si="250"/>
        <v>8.5709974347366842</v>
      </c>
      <c r="DF103" s="173">
        <f t="shared" si="251"/>
        <v>1.418439716312057</v>
      </c>
      <c r="DG103" s="173">
        <f t="shared" si="252"/>
        <v>2.1275525547218721</v>
      </c>
      <c r="DH103" s="173"/>
      <c r="DI103" s="173">
        <f t="shared" si="253"/>
        <v>0.55164319248826299</v>
      </c>
      <c r="DJ103" s="545">
        <f t="shared" si="300"/>
        <v>2664.7659574468084</v>
      </c>
      <c r="DK103" s="528">
        <f t="shared" si="254"/>
        <v>0.3217918622848201</v>
      </c>
      <c r="DM103" s="173">
        <f t="shared" si="255"/>
        <v>9.1975945051329084</v>
      </c>
      <c r="DN103" s="173">
        <f t="shared" si="256"/>
        <v>9.7309859154929601</v>
      </c>
      <c r="DO103" s="173">
        <f t="shared" si="257"/>
        <v>5.9390019127108342</v>
      </c>
      <c r="DQ103" s="545">
        <f t="shared" si="258"/>
        <v>2450</v>
      </c>
      <c r="DR103" s="460">
        <f t="shared" si="259"/>
        <v>308.2780232352099</v>
      </c>
      <c r="DT103">
        <f t="shared" si="260"/>
        <v>2450</v>
      </c>
      <c r="DU103">
        <f t="shared" si="261"/>
        <v>308.2780232352099</v>
      </c>
      <c r="DW103" s="5">
        <f t="shared" si="301"/>
        <v>3.2438251339020048</v>
      </c>
      <c r="DX103" s="5">
        <f t="shared" si="262"/>
        <v>1.6334154929577469</v>
      </c>
      <c r="DY103" s="5">
        <f t="shared" si="302"/>
        <v>1.6104096409442579</v>
      </c>
      <c r="DZ103" s="5">
        <f t="shared" si="263"/>
        <v>1.6104096409442576</v>
      </c>
      <c r="EA103" s="173">
        <f t="shared" si="303"/>
        <v>0.50354609929078009</v>
      </c>
      <c r="EB103" s="173">
        <f t="shared" si="264"/>
        <v>68.600000000000009</v>
      </c>
      <c r="EC103" s="173">
        <f t="shared" si="265"/>
        <v>2.4154929577464799</v>
      </c>
      <c r="ED103" s="173">
        <f t="shared" si="304"/>
        <v>28.399999999999991</v>
      </c>
      <c r="EE103" s="460">
        <f t="shared" si="266"/>
        <v>14.292385563380286</v>
      </c>
      <c r="EF103" s="5">
        <f t="shared" si="267"/>
        <v>2.8182168716524512</v>
      </c>
      <c r="EG103" s="5"/>
      <c r="EH103" s="173">
        <f t="shared" si="305"/>
        <v>3.9867209159874535</v>
      </c>
      <c r="EI103" s="173">
        <f t="shared" si="268"/>
        <v>3.9585458568185889</v>
      </c>
      <c r="EJ103" s="173"/>
      <c r="EK103" s="528">
        <f t="shared" si="269"/>
        <v>0.19072732394366207</v>
      </c>
      <c r="EL103" s="528">
        <f t="shared" si="270"/>
        <v>3.2146382978723405</v>
      </c>
      <c r="EM103" s="528">
        <f t="shared" si="271"/>
        <v>3.5451972672049144E-2</v>
      </c>
      <c r="EN103" s="528">
        <f t="shared" si="272"/>
        <v>0.48295537993920962</v>
      </c>
      <c r="EO103">
        <f t="shared" si="273"/>
        <v>1.26E-2</v>
      </c>
      <c r="EP103" s="460">
        <f t="shared" si="306"/>
        <v>48.051972672049146</v>
      </c>
      <c r="EQ103" s="528">
        <f t="shared" si="274"/>
        <v>4.1771651608869114</v>
      </c>
      <c r="ER103" s="460">
        <f t="shared" si="307"/>
        <v>4177.1651608869115</v>
      </c>
      <c r="ES103" s="528">
        <f t="shared" si="308"/>
        <v>1.64297</v>
      </c>
      <c r="ET103" s="528"/>
      <c r="EV103" s="460">
        <f t="shared" si="309"/>
        <v>1642.97</v>
      </c>
      <c r="EW103" s="528">
        <f t="shared" si="275"/>
        <v>0.22251521126760576</v>
      </c>
      <c r="EX103" s="528">
        <f t="shared" si="276"/>
        <v>0.21938119420749863</v>
      </c>
      <c r="EY103" s="528">
        <f t="shared" si="277"/>
        <v>24.644415823952851</v>
      </c>
      <c r="EZ103" s="528">
        <f t="shared" si="278"/>
        <v>26.115598494879443</v>
      </c>
      <c r="FA103" s="528">
        <f t="shared" si="279"/>
        <v>2.9191489361702132</v>
      </c>
      <c r="FB103" s="460">
        <f t="shared" si="310"/>
        <v>29034.747431049655</v>
      </c>
      <c r="FC103" s="173">
        <f t="shared" si="311"/>
        <v>34.854882591936573</v>
      </c>
      <c r="FD103" s="5">
        <f t="shared" si="312"/>
        <v>68.600000000000009</v>
      </c>
      <c r="FE103" s="173">
        <f t="shared" si="313"/>
        <v>0.6630909849908504</v>
      </c>
      <c r="FF103" s="5">
        <f t="shared" si="314"/>
        <v>66.309098499085039</v>
      </c>
      <c r="FI103" s="562">
        <f t="shared" si="280"/>
        <v>-50</v>
      </c>
      <c r="FJ103">
        <f t="shared" si="281"/>
        <v>-50</v>
      </c>
      <c r="FL103">
        <f t="shared" si="282"/>
        <v>0.49645390070921991</v>
      </c>
    </row>
    <row r="104" spans="5:168" ht="13">
      <c r="E104" s="170">
        <v>99</v>
      </c>
      <c r="F104" s="217">
        <f>IF(PLOT_TYPE=1, E104/100*Iout_max, min_I*EXP(N104*rr/100))</f>
        <v>2.4750000000000001</v>
      </c>
      <c r="G104" s="217"/>
      <c r="H104" s="217">
        <f>F104*Vout</f>
        <v>69.3</v>
      </c>
      <c r="I104" s="541">
        <f t="shared" si="184"/>
        <v>27.866270624198702</v>
      </c>
      <c r="J104" s="172">
        <f t="shared" si="185"/>
        <v>28.472008125431469</v>
      </c>
      <c r="K104" s="172">
        <f t="shared" si="186"/>
        <v>56.472008125431472</v>
      </c>
      <c r="L104" s="443"/>
      <c r="M104" s="217">
        <f t="shared" si="187"/>
        <v>0.50535646542862289</v>
      </c>
      <c r="N104" s="172">
        <f>M104*I104*(Isw_max+VIN_nom/Lmag*ILIM_delay)*0.5*Efficiency</f>
        <v>118.61176079750516</v>
      </c>
      <c r="O104" s="172">
        <f t="shared" si="284"/>
        <v>69.3</v>
      </c>
      <c r="P104" s="217">
        <f>N104/Vout</f>
        <v>4.2361343141966126</v>
      </c>
      <c r="Q104" s="217">
        <f t="shared" si="190"/>
        <v>28</v>
      </c>
      <c r="R104" s="217">
        <f>Isw_max/2*I104*Nps*(Q104+Vfwd1+F104/FL104*Rdcr_sec)/Q104/(I104+Nps*(Q104+Vfwd1+F104/FL104*Rdcr_sec))</f>
        <v>4.1911904843221786</v>
      </c>
      <c r="S104" s="172">
        <f t="shared" si="192"/>
        <v>66.127104767590083</v>
      </c>
      <c r="T104" s="532">
        <f>MIN(Vout, S104)</f>
        <v>28</v>
      </c>
      <c r="U104" s="217">
        <f t="shared" si="194"/>
        <v>10.007206511431139</v>
      </c>
      <c r="V104" s="217">
        <f t="shared" si="195"/>
        <v>1.6878423108000236</v>
      </c>
      <c r="W104" s="217">
        <f t="shared" si="196"/>
        <v>1.6519337307197257</v>
      </c>
      <c r="X104" s="197">
        <f t="shared" si="197"/>
        <v>350</v>
      </c>
      <c r="Y104" s="443">
        <f t="shared" si="198"/>
        <v>282.50374833619844</v>
      </c>
      <c r="AA104" s="217">
        <f t="shared" si="199"/>
        <v>8.5610586604119447</v>
      </c>
      <c r="AB104" s="173">
        <f>L*AA104/J104*1000000</f>
        <v>1.4132117245357236</v>
      </c>
      <c r="AC104" s="173">
        <f>0.5*AB104*AA104*Nps*X104/1000</f>
        <v>2.1172529828331448</v>
      </c>
      <c r="AD104" s="173"/>
      <c r="AE104" s="173">
        <f t="shared" si="202"/>
        <v>0.55024804002753325</v>
      </c>
      <c r="AF104" s="545">
        <f>MAX(12, F104/(0.5*AE104/1000000*Isw_min*Nps)/1000)</f>
        <v>2698.7828978467492</v>
      </c>
      <c r="AG104" s="528">
        <f t="shared" si="204"/>
        <v>0.3209780233493944</v>
      </c>
      <c r="AI104" s="173">
        <f t="shared" si="205"/>
        <v>9.2561140631849632</v>
      </c>
      <c r="AJ104" s="173">
        <f>MAX(IF(F104&gt;AC104,U104,AI104),Isw_min)</f>
        <v>10.007206511431139</v>
      </c>
      <c r="AK104" s="173">
        <f>IF(F104&gt;AG104, (AJ104-Isw_min)/1.08*0.8+1.2, AF104*0.2/350+1)</f>
        <v>6.1436097615539298</v>
      </c>
      <c r="AM104" s="545">
        <f t="shared" si="208"/>
        <v>2475</v>
      </c>
      <c r="AN104" s="460">
        <f t="shared" si="209"/>
        <v>282.50374833619844</v>
      </c>
      <c r="AP104">
        <f t="shared" si="210"/>
        <v>2475</v>
      </c>
      <c r="AQ104">
        <f t="shared" si="211"/>
        <v>282.50374833619844</v>
      </c>
      <c r="AS104" s="5">
        <f t="shared" si="285"/>
        <v>3.5397760415197497</v>
      </c>
      <c r="AT104" s="5">
        <f t="shared" si="212"/>
        <v>1.6878423108000236</v>
      </c>
      <c r="AU104" s="5">
        <f t="shared" si="286"/>
        <v>1.8519337307197261</v>
      </c>
      <c r="AV104" s="5">
        <f t="shared" si="213"/>
        <v>1.6519337307197257</v>
      </c>
      <c r="AW104" s="173">
        <f t="shared" si="287"/>
        <v>0.47682177940143744</v>
      </c>
      <c r="AX104" s="173">
        <f t="shared" si="214"/>
        <v>66.484101062131273</v>
      </c>
      <c r="AY104" s="173">
        <f t="shared" si="215"/>
        <v>2.6177762479064461</v>
      </c>
      <c r="AZ104" s="173">
        <f t="shared" si="288"/>
        <v>25.397167200711525</v>
      </c>
      <c r="BA104" s="460">
        <f t="shared" si="216"/>
        <v>14.919320425821638</v>
      </c>
      <c r="BB104" s="5">
        <f t="shared" si="217"/>
        <v>3.289665879833263</v>
      </c>
      <c r="BC104" s="5"/>
      <c r="BD104" s="173">
        <f t="shared" si="289"/>
        <v>3.9896084659772262</v>
      </c>
      <c r="BE104" s="173">
        <f t="shared" si="218"/>
        <v>4.1790451472012249</v>
      </c>
      <c r="BF104" s="173"/>
      <c r="BG104" s="528">
        <f t="shared" si="219"/>
        <v>0.19100370854156587</v>
      </c>
      <c r="BH104" s="528">
        <f t="shared" si="220"/>
        <v>2.9136217926103622</v>
      </c>
      <c r="BI104" s="528">
        <f t="shared" si="221"/>
        <v>3.2487931058662822E-2</v>
      </c>
      <c r="BJ104" s="528">
        <f t="shared" si="222"/>
        <v>0.44370764553290315</v>
      </c>
      <c r="BK104">
        <f t="shared" si="223"/>
        <v>1.2539821780889415E-2</v>
      </c>
      <c r="BL104" s="460">
        <f t="shared" si="290"/>
        <v>45.027752839552235</v>
      </c>
      <c r="BM104" s="528">
        <f t="shared" si="224"/>
        <v>3.7710434565728255</v>
      </c>
      <c r="BN104" s="460">
        <f t="shared" si="291"/>
        <v>3771.0434565728256</v>
      </c>
      <c r="BO104" s="528">
        <f t="shared" si="225"/>
        <v>1.659735</v>
      </c>
      <c r="BP104" s="528"/>
      <c r="BR104" s="460">
        <f t="shared" si="292"/>
        <v>1659.7349999999999</v>
      </c>
      <c r="BS104" s="528">
        <f t="shared" si="226"/>
        <v>0.22283765996516017</v>
      </c>
      <c r="BT104" s="528">
        <f t="shared" si="227"/>
        <v>0.2445018567928455</v>
      </c>
      <c r="BU104" s="528">
        <f t="shared" si="228"/>
        <v>21.247737674506471</v>
      </c>
      <c r="BV104" s="528">
        <f>(BU104+(BS104+BT104)*(1+Ltc*(Ta-25)))/(1-(BS104+BT104)*Ltc*ThetaCa)</f>
        <v>22.674992269670337</v>
      </c>
      <c r="BW104" s="528">
        <f t="shared" si="230"/>
        <v>2.8291106834949478</v>
      </c>
      <c r="BX104" s="460">
        <f t="shared" si="293"/>
        <v>25504.102953165286</v>
      </c>
      <c r="BY104" s="173">
        <f t="shared" si="231"/>
        <v>30.979909162577666</v>
      </c>
      <c r="BZ104" s="5">
        <f t="shared" si="294"/>
        <v>69.3</v>
      </c>
      <c r="CA104" s="173">
        <f t="shared" si="295"/>
        <v>0.69106564394317671</v>
      </c>
      <c r="CB104" s="5">
        <f t="shared" si="296"/>
        <v>69.106564394317672</v>
      </c>
      <c r="CE104" s="562">
        <f t="shared" si="232"/>
        <v>-50</v>
      </c>
      <c r="CF104">
        <f t="shared" si="233"/>
        <v>-50</v>
      </c>
      <c r="CG104" s="173">
        <f t="shared" si="234"/>
        <v>0.48119569551879021</v>
      </c>
      <c r="CI104" s="170">
        <v>99</v>
      </c>
      <c r="CJ104" s="217">
        <f t="shared" si="297"/>
        <v>2.4750000000000001</v>
      </c>
      <c r="CK104" s="217"/>
      <c r="CL104" s="217">
        <f t="shared" si="235"/>
        <v>69.3</v>
      </c>
      <c r="CM104" s="541">
        <f t="shared" si="236"/>
        <v>28</v>
      </c>
      <c r="CN104" s="172">
        <f t="shared" si="237"/>
        <v>28.4</v>
      </c>
      <c r="CO104" s="443">
        <f t="shared" si="238"/>
        <v>56.4</v>
      </c>
      <c r="CP104" s="443"/>
      <c r="CQ104" s="217">
        <f t="shared" si="239"/>
        <v>0.50354609929078009</v>
      </c>
      <c r="CR104" s="172">
        <f t="shared" si="240"/>
        <v>118.75402645742166</v>
      </c>
      <c r="CS104" s="172">
        <f t="shared" si="298"/>
        <v>69.3</v>
      </c>
      <c r="CT104" s="217">
        <f t="shared" si="241"/>
        <v>4.2412152306222017</v>
      </c>
      <c r="CU104" s="217">
        <f t="shared" si="242"/>
        <v>28</v>
      </c>
      <c r="CV104" s="217">
        <f t="shared" si="243"/>
        <v>4.1962174940898347</v>
      </c>
      <c r="CW104" s="172">
        <f t="shared" si="244"/>
        <v>66.443649460325318</v>
      </c>
      <c r="CX104" s="532">
        <f t="shared" si="245"/>
        <v>28</v>
      </c>
      <c r="CY104" s="217">
        <f t="shared" si="246"/>
        <v>9.8302816901408452</v>
      </c>
      <c r="CZ104" s="217">
        <f t="shared" si="247"/>
        <v>1.6500829979879275</v>
      </c>
      <c r="DA104" s="217">
        <f t="shared" si="248"/>
        <v>1.6268423923824638</v>
      </c>
      <c r="DB104" s="197">
        <f t="shared" si="249"/>
        <v>350</v>
      </c>
      <c r="DC104" s="443">
        <f t="shared" si="299"/>
        <v>305.16410380859173</v>
      </c>
      <c r="DE104" s="217">
        <f t="shared" si="250"/>
        <v>8.5709974347366842</v>
      </c>
      <c r="DF104" s="173">
        <f t="shared" si="251"/>
        <v>1.418439716312057</v>
      </c>
      <c r="DG104" s="173">
        <f t="shared" si="252"/>
        <v>2.1275525547218721</v>
      </c>
      <c r="DH104" s="173"/>
      <c r="DI104" s="173">
        <f t="shared" si="253"/>
        <v>0.55164319248826299</v>
      </c>
      <c r="DJ104" s="545">
        <f t="shared" si="300"/>
        <v>2691.9574468085107</v>
      </c>
      <c r="DK104" s="528">
        <f t="shared" si="254"/>
        <v>0.3217918622848201</v>
      </c>
      <c r="DM104" s="173">
        <f t="shared" si="255"/>
        <v>9.2444019041444498</v>
      </c>
      <c r="DN104" s="173">
        <f t="shared" si="256"/>
        <v>9.8302816901408452</v>
      </c>
      <c r="DO104" s="173">
        <f t="shared" si="257"/>
        <v>6.012554338375935</v>
      </c>
      <c r="DQ104" s="545">
        <f t="shared" si="258"/>
        <v>2475</v>
      </c>
      <c r="DR104" s="460">
        <f t="shared" si="259"/>
        <v>305.16410380859173</v>
      </c>
      <c r="DT104">
        <f t="shared" si="260"/>
        <v>2475</v>
      </c>
      <c r="DU104">
        <f t="shared" si="261"/>
        <v>305.16410380859173</v>
      </c>
      <c r="DW104" s="5">
        <f t="shared" si="301"/>
        <v>3.276925390370391</v>
      </c>
      <c r="DX104" s="5">
        <f t="shared" si="262"/>
        <v>1.6500829979879275</v>
      </c>
      <c r="DY104" s="5">
        <f t="shared" si="302"/>
        <v>1.6268423923824635</v>
      </c>
      <c r="DZ104" s="5">
        <f t="shared" si="263"/>
        <v>1.6268423923824638</v>
      </c>
      <c r="EA104" s="173">
        <f t="shared" si="303"/>
        <v>0.5035460992907802</v>
      </c>
      <c r="EB104" s="173">
        <f t="shared" si="264"/>
        <v>69.300000000000011</v>
      </c>
      <c r="EC104" s="173">
        <f t="shared" si="265"/>
        <v>2.4401408450704221</v>
      </c>
      <c r="ED104" s="173">
        <f t="shared" si="304"/>
        <v>28.400000000000009</v>
      </c>
      <c r="EE104" s="460">
        <f t="shared" si="266"/>
        <v>14.58555507150043</v>
      </c>
      <c r="EF104" s="5">
        <f t="shared" si="267"/>
        <v>2.8760249436761405</v>
      </c>
      <c r="EG104" s="5"/>
      <c r="EH104" s="173">
        <f t="shared" si="305"/>
        <v>4.0274017416607935</v>
      </c>
      <c r="EI104" s="173">
        <f t="shared" si="268"/>
        <v>3.9989391818881654</v>
      </c>
      <c r="EJ104" s="173"/>
      <c r="EK104" s="528">
        <f t="shared" si="269"/>
        <v>0.19463957746478874</v>
      </c>
      <c r="EL104" s="528">
        <f t="shared" si="270"/>
        <v>3.2146382978723409</v>
      </c>
      <c r="EM104" s="528">
        <f t="shared" si="271"/>
        <v>3.5093871937988047E-2</v>
      </c>
      <c r="EN104" s="528">
        <f t="shared" si="272"/>
        <v>0.4780770427681067</v>
      </c>
      <c r="EO104">
        <f t="shared" si="273"/>
        <v>1.26E-2</v>
      </c>
      <c r="EP104" s="460">
        <f t="shared" si="306"/>
        <v>47.69387193798805</v>
      </c>
      <c r="EQ104" s="528">
        <f t="shared" si="274"/>
        <v>4.1809554624962812</v>
      </c>
      <c r="ER104" s="460">
        <f t="shared" si="307"/>
        <v>4180.9554624962811</v>
      </c>
      <c r="ES104" s="528">
        <f t="shared" si="308"/>
        <v>1.659735</v>
      </c>
      <c r="ET104" s="528"/>
      <c r="EV104" s="460">
        <f t="shared" si="309"/>
        <v>1659.7349999999999</v>
      </c>
      <c r="EW104" s="528">
        <f t="shared" si="275"/>
        <v>0.22707950704225352</v>
      </c>
      <c r="EX104" s="528">
        <f t="shared" si="276"/>
        <v>0.22388120412616547</v>
      </c>
      <c r="EY104" s="528">
        <f t="shared" si="277"/>
        <v>24.644415823952809</v>
      </c>
      <c r="EZ104" s="528">
        <f t="shared" si="278"/>
        <v>26.146905265263779</v>
      </c>
      <c r="FA104" s="528">
        <f t="shared" si="279"/>
        <v>2.9489361702127668</v>
      </c>
      <c r="FB104" s="460">
        <f t="shared" si="310"/>
        <v>29095.841435476548</v>
      </c>
      <c r="FC104" s="173">
        <f t="shared" si="311"/>
        <v>34.936531897972827</v>
      </c>
      <c r="FD104" s="5">
        <f t="shared" si="312"/>
        <v>69.3</v>
      </c>
      <c r="FE104" s="173">
        <f t="shared" si="313"/>
        <v>0.66483409163911111</v>
      </c>
      <c r="FF104" s="5">
        <f t="shared" si="314"/>
        <v>66.483409163911105</v>
      </c>
      <c r="FI104" s="562">
        <f t="shared" si="280"/>
        <v>-50</v>
      </c>
      <c r="FJ104">
        <f t="shared" si="281"/>
        <v>-50</v>
      </c>
      <c r="FL104">
        <f t="shared" si="282"/>
        <v>0.4964539007092198</v>
      </c>
    </row>
    <row r="105" spans="5:168" ht="13">
      <c r="E105" s="170">
        <v>100</v>
      </c>
      <c r="F105" s="217">
        <f>IF(PLOT_TYPE=1, E105/100*Iout_max, min_I*EXP(N105*rr/100))</f>
        <v>2.5</v>
      </c>
      <c r="G105" s="217"/>
      <c r="H105" s="217">
        <f>F105*Vout</f>
        <v>70</v>
      </c>
      <c r="I105" s="541">
        <f t="shared" si="184"/>
        <v>27.864962641337272</v>
      </c>
      <c r="J105" s="172">
        <f t="shared" si="185"/>
        <v>28.472712423895313</v>
      </c>
      <c r="K105" s="172">
        <f t="shared" si="186"/>
        <v>56.472712423895317</v>
      </c>
      <c r="L105" s="443"/>
      <c r="M105" s="217">
        <f t="shared" si="187"/>
        <v>0.5053743887976736</v>
      </c>
      <c r="N105" s="172">
        <f>M105*I105*(Isw_max+VIN_nom/Lmag*ILIM_delay)*0.5*Efficiency</f>
        <v>118.61039999668564</v>
      </c>
      <c r="O105" s="172">
        <f t="shared" si="284"/>
        <v>70</v>
      </c>
      <c r="P105" s="217">
        <f>N105/Vout</f>
        <v>4.236085714167344</v>
      </c>
      <c r="Q105" s="217">
        <f t="shared" si="190"/>
        <v>28</v>
      </c>
      <c r="R105" s="217">
        <f>Isw_max/2*I105*Nps*(Q105+Vfwd1+F105/FL105*Rdcr_sec)/Q105/(I105+Nps*(Q105+Vfwd1+F105/FL105*Rdcr_sec))</f>
        <v>4.1911423999213788</v>
      </c>
      <c r="S105" s="172">
        <f t="shared" si="192"/>
        <v>65.188185078843247</v>
      </c>
      <c r="T105" s="532">
        <f>MIN(Vout, S105)</f>
        <v>28</v>
      </c>
      <c r="U105" s="217">
        <f t="shared" si="194"/>
        <v>10.108655691819306</v>
      </c>
      <c r="V105" s="217">
        <f>L*U105/I105*1000000</f>
        <v>1.7050330324530678</v>
      </c>
      <c r="W105" s="217">
        <f t="shared" si="196"/>
        <v>1.6686391181922691</v>
      </c>
      <c r="X105" s="197">
        <f t="shared" si="197"/>
        <v>350</v>
      </c>
      <c r="Y105" s="443">
        <f>MIN(1/(V105+W105+0.2)*1000, 350)</f>
        <v>279.824213818668</v>
      </c>
      <c r="AA105" s="217">
        <f t="shared" si="199"/>
        <v>8.5609603172831452</v>
      </c>
      <c r="AB105" s="173">
        <f>L*AA105/J105*1000000</f>
        <v>1.4131605339245048</v>
      </c>
      <c r="AC105" s="173">
        <f>0.5*AB105*AA105*Nps*X105/1000</f>
        <v>2.1171519692537109</v>
      </c>
      <c r="AD105" s="173"/>
      <c r="AE105" s="173">
        <f t="shared" si="202"/>
        <v>0.55023442914130805</v>
      </c>
      <c r="AF105" s="545">
        <f>MAX(12, F105/(0.5*AE105/1000000*Isw_min*Nps)/1000)</f>
        <v>2726.1107639899765</v>
      </c>
      <c r="AG105" s="528">
        <f t="shared" si="204"/>
        <v>0.32097008366576307</v>
      </c>
      <c r="AI105" s="173">
        <f t="shared" si="205"/>
        <v>9.3028597139172557</v>
      </c>
      <c r="AJ105" s="173">
        <f>MAX(IF(F105&gt;AC105,U105,AI105),Isw_min)</f>
        <v>10.108655691819306</v>
      </c>
      <c r="AK105" s="173">
        <f>IF(F105&gt;AG105, (AJ105-Isw_min)/1.08*0.8+1.2, AF105*0.2/350+1)</f>
        <v>6.2187573025822021</v>
      </c>
      <c r="AM105" s="545">
        <f t="shared" si="208"/>
        <v>2500</v>
      </c>
      <c r="AN105" s="460">
        <f t="shared" si="209"/>
        <v>279.824213818668</v>
      </c>
      <c r="AP105">
        <f t="shared" si="210"/>
        <v>2500</v>
      </c>
      <c r="AQ105" s="3">
        <f t="shared" si="211"/>
        <v>279.824213818668</v>
      </c>
      <c r="AS105" s="5">
        <f t="shared" si="285"/>
        <v>3.5736721506453373</v>
      </c>
      <c r="AT105" s="5">
        <f t="shared" si="212"/>
        <v>1.7050330324530678</v>
      </c>
      <c r="AU105" s="5">
        <f t="shared" si="286"/>
        <v>1.8686391181922695</v>
      </c>
      <c r="AV105" s="5">
        <f t="shared" si="213"/>
        <v>1.6686391181922691</v>
      </c>
      <c r="AW105" s="173">
        <f t="shared" si="287"/>
        <v>0.47710952784103916</v>
      </c>
      <c r="AX105" s="173">
        <f t="shared" si="214"/>
        <v>67.195464953787322</v>
      </c>
      <c r="AY105" s="173">
        <f t="shared" si="215"/>
        <v>2.6428598737938822</v>
      </c>
      <c r="AZ105" s="173">
        <f t="shared" si="288"/>
        <v>25.425284790951398</v>
      </c>
      <c r="BA105" s="460">
        <f t="shared" si="216"/>
        <v>15.22350921833096</v>
      </c>
      <c r="BB105" s="5">
        <f t="shared" si="217"/>
        <v>3.3530264193144292</v>
      </c>
      <c r="BC105" s="5"/>
      <c r="BD105" s="173">
        <f t="shared" si="289"/>
        <v>4.0312693982555956</v>
      </c>
      <c r="BE105" s="173">
        <f t="shared" si="218"/>
        <v>4.2202496376326195</v>
      </c>
      <c r="BF105" s="173"/>
      <c r="BG105" s="528">
        <f t="shared" si="219"/>
        <v>0.19501359553574438</v>
      </c>
      <c r="BH105" s="528">
        <f t="shared" si="220"/>
        <v>2.9152795970276255</v>
      </c>
      <c r="BI105" s="528">
        <f t="shared" si="221"/>
        <v>3.2179784589146825E-2</v>
      </c>
      <c r="BJ105" s="528">
        <f t="shared" si="222"/>
        <v>0.43951006239017143</v>
      </c>
      <c r="BK105">
        <f t="shared" si="223"/>
        <v>1.2539233188601772E-2</v>
      </c>
      <c r="BL105" s="460">
        <f t="shared" si="290"/>
        <v>44.719017777748597</v>
      </c>
      <c r="BM105" s="528">
        <f t="shared" si="224"/>
        <v>3.7774876877110262</v>
      </c>
      <c r="BN105" s="460">
        <f t="shared" si="291"/>
        <v>3777.487687711026</v>
      </c>
      <c r="BO105" s="528">
        <f t="shared" si="225"/>
        <v>1.6764999999999999</v>
      </c>
      <c r="BP105" s="528"/>
      <c r="BR105" s="460">
        <f t="shared" si="292"/>
        <v>1676.4999999999998</v>
      </c>
      <c r="BS105" s="528">
        <f t="shared" si="226"/>
        <v>0.22751586145836844</v>
      </c>
      <c r="BT105" s="528">
        <f t="shared" si="227"/>
        <v>0.24934709805513558</v>
      </c>
      <c r="BU105" s="528">
        <f t="shared" si="228"/>
        <v>21.277311221174184</v>
      </c>
      <c r="BV105" s="528">
        <f>(BU105+(BS105+BT105)*(1+Ltc*(Ta-25)))/(1-(BS105+BT105)*Ltc*ThetaCa)</f>
        <v>22.735976909906004</v>
      </c>
      <c r="BW105" s="528">
        <f t="shared" si="230"/>
        <v>2.8593814873952055</v>
      </c>
      <c r="BX105" s="460">
        <f t="shared" si="293"/>
        <v>25595.358397301206</v>
      </c>
      <c r="BY105" s="173">
        <f>SUM(BM105,BO105:BQ105,BV105, BW105)+BK105+BI105</f>
        <v>31.09406510278998</v>
      </c>
      <c r="BZ105" s="5">
        <f t="shared" si="294"/>
        <v>70</v>
      </c>
      <c r="CA105" s="173">
        <f>BZ105/(BZ105+BY105)</f>
        <v>0.69242442599202736</v>
      </c>
      <c r="CB105" s="5">
        <f>CA105*100</f>
        <v>69.242442599202732</v>
      </c>
      <c r="CE105" s="562">
        <f t="shared" si="232"/>
        <v>-50</v>
      </c>
      <c r="CF105">
        <f t="shared" si="233"/>
        <v>-50</v>
      </c>
      <c r="CG105" s="173">
        <f t="shared" si="234"/>
        <v>0.48134827757069465</v>
      </c>
      <c r="CI105" s="170">
        <v>100</v>
      </c>
      <c r="CJ105" s="217">
        <f t="shared" si="297"/>
        <v>2.5</v>
      </c>
      <c r="CK105" s="217"/>
      <c r="CL105" s="217">
        <f t="shared" si="235"/>
        <v>70</v>
      </c>
      <c r="CM105" s="541">
        <f t="shared" si="236"/>
        <v>28</v>
      </c>
      <c r="CN105" s="172">
        <f t="shared" si="237"/>
        <v>28.4</v>
      </c>
      <c r="CO105" s="443">
        <f t="shared" si="238"/>
        <v>56.4</v>
      </c>
      <c r="CP105" s="443"/>
      <c r="CQ105" s="217">
        <f t="shared" si="239"/>
        <v>0.50354609929078009</v>
      </c>
      <c r="CR105" s="172">
        <f t="shared" si="240"/>
        <v>118.75402645742166</v>
      </c>
      <c r="CS105" s="172">
        <f t="shared" si="298"/>
        <v>70</v>
      </c>
      <c r="CT105" s="217">
        <f t="shared" si="241"/>
        <v>4.2412152306222017</v>
      </c>
      <c r="CU105" s="217">
        <f t="shared" si="242"/>
        <v>28</v>
      </c>
      <c r="CV105" s="217">
        <f t="shared" si="243"/>
        <v>4.1962174940898347</v>
      </c>
      <c r="CW105" s="172">
        <f t="shared" si="244"/>
        <v>65.503279352863458</v>
      </c>
      <c r="CX105" s="532">
        <f t="shared" si="245"/>
        <v>28</v>
      </c>
      <c r="CY105" s="217">
        <f t="shared" si="246"/>
        <v>9.9295774647887338</v>
      </c>
      <c r="CZ105" s="217">
        <f t="shared" si="247"/>
        <v>1.6667505030181089</v>
      </c>
      <c r="DA105" s="217">
        <f t="shared" si="248"/>
        <v>1.643275143820671</v>
      </c>
      <c r="DB105" s="197">
        <f t="shared" si="249"/>
        <v>350</v>
      </c>
      <c r="DC105" s="443">
        <f t="shared" si="299"/>
        <v>302.11246277050572</v>
      </c>
      <c r="DE105" s="217">
        <f t="shared" si="250"/>
        <v>8.5709974347366842</v>
      </c>
      <c r="DF105" s="173">
        <f t="shared" si="251"/>
        <v>1.418439716312057</v>
      </c>
      <c r="DG105" s="173">
        <f t="shared" si="252"/>
        <v>2.1275525547218721</v>
      </c>
      <c r="DH105" s="173"/>
      <c r="DI105" s="173">
        <f t="shared" si="253"/>
        <v>0.55164319248826299</v>
      </c>
      <c r="DJ105" s="545">
        <f t="shared" si="300"/>
        <v>2719.1489361702124</v>
      </c>
      <c r="DK105" s="528">
        <f t="shared" si="254"/>
        <v>0.3217918622848201</v>
      </c>
      <c r="DM105" s="173">
        <f t="shared" si="255"/>
        <v>9.2909734931194397</v>
      </c>
      <c r="DN105" s="173">
        <f t="shared" si="256"/>
        <v>9.9295774647887338</v>
      </c>
      <c r="DO105" s="173">
        <f t="shared" si="257"/>
        <v>6.0861067640410376</v>
      </c>
      <c r="DQ105" s="545">
        <f t="shared" si="258"/>
        <v>2500</v>
      </c>
      <c r="DR105" s="460">
        <f t="shared" si="259"/>
        <v>302.11246277050572</v>
      </c>
      <c r="DT105">
        <f t="shared" si="260"/>
        <v>2500</v>
      </c>
      <c r="DU105" s="3">
        <f t="shared" si="261"/>
        <v>302.11246277050572</v>
      </c>
      <c r="DW105" s="5">
        <f t="shared" si="301"/>
        <v>3.3100256468387799</v>
      </c>
      <c r="DX105" s="5">
        <f t="shared" si="262"/>
        <v>1.6667505030181089</v>
      </c>
      <c r="DY105" s="5">
        <f t="shared" si="302"/>
        <v>1.643275143820671</v>
      </c>
      <c r="DZ105" s="5">
        <f t="shared" si="263"/>
        <v>1.643275143820671</v>
      </c>
      <c r="EA105" s="173">
        <f t="shared" si="303"/>
        <v>0.50354609929078009</v>
      </c>
      <c r="EB105" s="173">
        <f t="shared" si="264"/>
        <v>70</v>
      </c>
      <c r="EC105" s="173">
        <f t="shared" si="265"/>
        <v>2.4647887323943669</v>
      </c>
      <c r="ED105" s="173">
        <f t="shared" si="304"/>
        <v>28.399999999999991</v>
      </c>
      <c r="EE105" s="460">
        <f t="shared" si="266"/>
        <v>14.881700919804544</v>
      </c>
      <c r="EF105" s="5">
        <f t="shared" si="267"/>
        <v>2.934419899679769</v>
      </c>
      <c r="EG105" s="5"/>
      <c r="EH105" s="173">
        <f t="shared" si="305"/>
        <v>4.0680825673341356</v>
      </c>
      <c r="EI105" s="173">
        <f t="shared" si="268"/>
        <v>4.0393325069577433</v>
      </c>
      <c r="EJ105" s="173"/>
      <c r="EK105" s="528">
        <f t="shared" si="269"/>
        <v>0.19859154929577469</v>
      </c>
      <c r="EL105" s="528">
        <f t="shared" si="270"/>
        <v>3.2146382978723405</v>
      </c>
      <c r="EM105" s="528">
        <f t="shared" si="271"/>
        <v>3.4742933218608156E-2</v>
      </c>
      <c r="EN105" s="528">
        <f t="shared" si="272"/>
        <v>0.47329627234042543</v>
      </c>
      <c r="EO105">
        <f t="shared" si="273"/>
        <v>1.26E-2</v>
      </c>
      <c r="EP105" s="460">
        <f t="shared" si="306"/>
        <v>47.34293321860816</v>
      </c>
      <c r="EQ105" s="528">
        <f t="shared" si="274"/>
        <v>4.1849574624807317</v>
      </c>
      <c r="ER105" s="460">
        <f t="shared" si="307"/>
        <v>4184.9574624807319</v>
      </c>
      <c r="ES105" s="528">
        <f t="shared" si="308"/>
        <v>1.6764999999999999</v>
      </c>
      <c r="ET105" s="528"/>
      <c r="EV105" s="460">
        <f t="shared" si="309"/>
        <v>1676.4999999999998</v>
      </c>
      <c r="EW105" s="528">
        <f t="shared" si="275"/>
        <v>0.23169014084507047</v>
      </c>
      <c r="EX105" s="528">
        <f t="shared" si="276"/>
        <v>0.22842689942471739</v>
      </c>
      <c r="EY105" s="528">
        <f t="shared" si="277"/>
        <v>24.644415823952851</v>
      </c>
      <c r="EZ105" s="528">
        <f t="shared" si="278"/>
        <v>26.178577730182106</v>
      </c>
      <c r="FA105" s="528">
        <f t="shared" si="279"/>
        <v>2.9787234042553199</v>
      </c>
      <c r="FB105" s="460">
        <f t="shared" si="310"/>
        <v>29157.301134437424</v>
      </c>
      <c r="FC105" s="173">
        <f t="shared" si="311"/>
        <v>35.018758596918154</v>
      </c>
      <c r="FD105" s="5">
        <f t="shared" si="312"/>
        <v>70</v>
      </c>
      <c r="FE105" s="173">
        <f t="shared" si="313"/>
        <v>0.66654758573821293</v>
      </c>
      <c r="FF105" s="5">
        <f t="shared" si="314"/>
        <v>66.654758573821297</v>
      </c>
      <c r="FI105" s="562">
        <f t="shared" si="280"/>
        <v>-50</v>
      </c>
      <c r="FJ105">
        <f t="shared" si="281"/>
        <v>-50</v>
      </c>
      <c r="FL105">
        <f t="shared" si="282"/>
        <v>0.49645390070921991</v>
      </c>
    </row>
    <row r="106" spans="5:168" ht="13">
      <c r="E106" s="170"/>
      <c r="F106" s="217"/>
      <c r="G106" s="217"/>
      <c r="H106" s="217"/>
      <c r="I106" s="541"/>
      <c r="J106" s="443"/>
      <c r="K106" s="443"/>
      <c r="L106" s="443"/>
      <c r="M106" s="217"/>
      <c r="N106" s="172"/>
      <c r="O106" s="172"/>
      <c r="P106" s="217"/>
      <c r="Q106" s="217"/>
      <c r="R106" s="217"/>
      <c r="S106" s="172"/>
      <c r="T106" s="172"/>
      <c r="U106" s="217"/>
      <c r="V106" s="217"/>
      <c r="W106" s="217"/>
      <c r="X106" s="197"/>
      <c r="Y106" s="443"/>
      <c r="AA106" s="217"/>
      <c r="AB106" s="173"/>
      <c r="AC106" s="173"/>
      <c r="AD106" s="173"/>
      <c r="AE106" s="173"/>
      <c r="AF106" s="545"/>
      <c r="AI106" s="173"/>
      <c r="AJ106" s="173"/>
      <c r="AK106" s="173"/>
      <c r="AM106" s="545"/>
      <c r="AN106" s="460"/>
      <c r="AQ106" s="3"/>
      <c r="AS106" s="5"/>
      <c r="AT106" s="5"/>
      <c r="AU106" s="5"/>
      <c r="AV106" s="5"/>
      <c r="AW106" s="173"/>
      <c r="AX106" s="173"/>
      <c r="AY106" s="173"/>
      <c r="AZ106" s="173"/>
      <c r="BA106" s="460"/>
      <c r="BB106" s="5"/>
      <c r="BC106" s="5"/>
      <c r="BD106" s="173"/>
      <c r="BE106" s="173"/>
      <c r="BF106" s="173"/>
      <c r="BG106" s="528"/>
      <c r="BH106" s="528"/>
      <c r="BI106" s="528"/>
      <c r="BJ106" s="528"/>
      <c r="BN106" s="460"/>
      <c r="BO106" s="528"/>
      <c r="BP106" s="528"/>
      <c r="BR106" s="460"/>
      <c r="BS106" s="528"/>
      <c r="BT106" s="528"/>
      <c r="BU106" s="528"/>
      <c r="BV106" s="528"/>
      <c r="BW106" s="528"/>
      <c r="BX106" s="460"/>
      <c r="BY106" s="173"/>
      <c r="BZ106" s="5"/>
      <c r="CA106" s="173"/>
      <c r="CB106" s="5"/>
      <c r="CE106" s="562"/>
      <c r="CI106" s="170"/>
      <c r="CJ106" s="217"/>
      <c r="CK106" s="217"/>
      <c r="CL106" s="217"/>
      <c r="CM106" s="541"/>
      <c r="CN106" s="443"/>
      <c r="CO106" s="443"/>
      <c r="CP106" s="443"/>
      <c r="CQ106" s="217"/>
      <c r="CR106" s="172"/>
      <c r="CS106" s="172"/>
      <c r="CT106" s="217"/>
      <c r="CU106" s="217"/>
      <c r="CV106" s="217"/>
      <c r="CW106" s="172"/>
      <c r="CX106" s="172"/>
      <c r="CY106" s="217"/>
      <c r="CZ106" s="217"/>
      <c r="DA106" s="217"/>
      <c r="DB106" s="197"/>
      <c r="DC106" s="443"/>
      <c r="DE106" s="217"/>
      <c r="DF106" s="173"/>
      <c r="DG106" s="173"/>
      <c r="DH106" s="173"/>
      <c r="DI106" s="173"/>
      <c r="DJ106" s="545"/>
      <c r="DM106" s="173"/>
      <c r="DN106" s="173"/>
      <c r="DO106" s="173"/>
      <c r="DQ106" s="545"/>
      <c r="DR106" s="460"/>
      <c r="DU106" s="3"/>
      <c r="DW106" s="5"/>
      <c r="DX106" s="5"/>
      <c r="DY106" s="5"/>
      <c r="DZ106" s="5"/>
      <c r="EA106" s="173"/>
      <c r="EB106" s="173"/>
      <c r="EC106" s="173"/>
      <c r="ED106" s="173"/>
      <c r="EE106" s="460"/>
      <c r="EF106" s="5"/>
      <c r="EG106" s="5"/>
      <c r="EH106" s="173"/>
      <c r="EI106" s="173"/>
      <c r="EJ106" s="173"/>
      <c r="EK106" s="528"/>
      <c r="EL106" s="528"/>
      <c r="EM106" s="528"/>
      <c r="EN106" s="528"/>
      <c r="ER106" s="460"/>
      <c r="ES106" s="528"/>
      <c r="ET106" s="528"/>
      <c r="EV106" s="460"/>
      <c r="EW106" s="528"/>
      <c r="EX106" s="528"/>
      <c r="EY106" s="528"/>
      <c r="EZ106" s="528"/>
      <c r="FA106" s="528"/>
      <c r="FB106" s="460"/>
      <c r="FC106" s="173"/>
      <c r="FD106" s="5"/>
      <c r="FE106" s="173"/>
      <c r="FF106" s="5"/>
      <c r="FI106" s="562"/>
      <c r="FL106" t="e">
        <f>MIN(SQRT(2*L*DJ106*1000*CJ106*CN106)/CM106, 1-EA106)</f>
        <v>#DIV/0!</v>
      </c>
    </row>
    <row r="107" spans="5:168">
      <c r="H107" s="217"/>
      <c r="I107" s="541"/>
      <c r="J107" s="443"/>
      <c r="K107" s="443"/>
      <c r="L107" s="443"/>
      <c r="M107" s="217"/>
      <c r="N107" s="172"/>
      <c r="O107" s="172"/>
      <c r="P107" s="217"/>
      <c r="Q107" s="736"/>
      <c r="R107" s="217"/>
      <c r="S107" s="172"/>
      <c r="T107" s="172"/>
      <c r="U107" s="217"/>
      <c r="V107" s="217"/>
      <c r="W107" s="217"/>
      <c r="X107" s="197"/>
      <c r="Y107" s="443"/>
      <c r="AA107" s="217"/>
      <c r="AB107" s="173"/>
      <c r="AC107" s="173"/>
      <c r="AD107" s="173"/>
      <c r="AE107" s="173"/>
      <c r="AF107" s="545"/>
      <c r="AI107" s="173"/>
      <c r="AJ107" s="173"/>
      <c r="AK107" s="173"/>
      <c r="AM107" s="545"/>
      <c r="AN107" s="460"/>
      <c r="AS107" s="5"/>
      <c r="AT107" s="5"/>
      <c r="AU107" s="5"/>
      <c r="AV107" s="5"/>
      <c r="AW107" s="173"/>
      <c r="AX107" s="173"/>
      <c r="AY107" s="173"/>
      <c r="AZ107" s="173"/>
      <c r="BA107" s="460"/>
      <c r="BB107" s="5"/>
      <c r="BD107" s="173"/>
      <c r="BE107" s="173"/>
      <c r="BG107" s="528"/>
      <c r="BH107" s="528"/>
      <c r="BI107" s="528"/>
      <c r="BJ107" s="528"/>
      <c r="BN107" s="460"/>
      <c r="BO107" s="528"/>
      <c r="BR107" s="460"/>
      <c r="BS107" s="528"/>
      <c r="BT107" s="528"/>
      <c r="BU107" s="528"/>
      <c r="BV107" s="528"/>
      <c r="BW107" s="528"/>
      <c r="BX107" s="460"/>
      <c r="BY107" s="173"/>
      <c r="BZ107" s="5"/>
      <c r="CA107" s="173"/>
      <c r="CB107" s="5"/>
      <c r="CE107" s="562"/>
      <c r="CL107" s="217"/>
      <c r="CM107" s="541"/>
      <c r="CN107" s="443"/>
      <c r="CO107" s="443"/>
      <c r="CP107" s="443"/>
      <c r="CQ107" s="217"/>
      <c r="CR107" s="172"/>
      <c r="CS107" s="172"/>
      <c r="CT107" s="217"/>
      <c r="CU107" s="736"/>
      <c r="CV107" s="217"/>
      <c r="CW107" s="172"/>
      <c r="CX107" s="172"/>
      <c r="CY107" s="217"/>
      <c r="CZ107" s="217"/>
      <c r="DA107" s="217"/>
      <c r="DB107" s="197"/>
      <c r="DC107" s="443"/>
      <c r="DE107" s="217"/>
      <c r="DF107" s="173"/>
      <c r="DG107" s="173"/>
      <c r="DH107" s="173"/>
      <c r="DI107" s="173"/>
      <c r="DJ107" s="545"/>
      <c r="DM107" s="173"/>
      <c r="DN107" s="173"/>
      <c r="DO107" s="173"/>
      <c r="DQ107" s="545"/>
      <c r="DR107" s="460"/>
      <c r="DW107" s="5"/>
      <c r="DX107" s="5"/>
      <c r="DY107" s="5"/>
      <c r="DZ107" s="5"/>
      <c r="EA107" s="173"/>
      <c r="EB107" s="173"/>
      <c r="EC107" s="173"/>
      <c r="ED107" s="173"/>
      <c r="EE107" s="460"/>
      <c r="EF107" s="5"/>
      <c r="EH107" s="173"/>
      <c r="EI107" s="173"/>
      <c r="EK107" s="528"/>
      <c r="EL107" s="528"/>
      <c r="EM107" s="528"/>
      <c r="EN107" s="528"/>
      <c r="ER107" s="460"/>
      <c r="ES107" s="528"/>
      <c r="EV107" s="460"/>
      <c r="EW107" s="528"/>
      <c r="EX107" s="528"/>
      <c r="EY107" s="528"/>
      <c r="EZ107" s="528"/>
      <c r="FA107" s="528"/>
      <c r="FB107" s="460"/>
      <c r="FC107" s="173"/>
      <c r="FD107" s="5"/>
      <c r="FE107" s="173"/>
      <c r="FF107" s="5"/>
      <c r="FI107" s="562"/>
      <c r="FL107" t="e">
        <f>MIN(SQRT(2*L*DJ107*1000*CJ107*CN107)/CM107, 1-EA107)</f>
        <v>#DIV/0!</v>
      </c>
    </row>
    <row r="108" spans="5:168" ht="13">
      <c r="E108" s="445" t="s">
        <v>434</v>
      </c>
      <c r="H108" s="217"/>
      <c r="I108" s="541"/>
      <c r="J108" s="443"/>
      <c r="K108" s="443"/>
      <c r="L108" s="443"/>
      <c r="M108" s="217"/>
      <c r="N108" s="172">
        <f>Efficiency</f>
        <v>1</v>
      </c>
      <c r="O108" s="172"/>
      <c r="P108" s="217"/>
      <c r="Q108" s="217"/>
      <c r="R108" s="217"/>
      <c r="S108" s="172"/>
      <c r="T108" s="172"/>
      <c r="U108" s="217"/>
      <c r="V108" s="217"/>
      <c r="W108" s="217"/>
      <c r="X108" s="197"/>
      <c r="Y108" s="443"/>
      <c r="AA108" s="217"/>
      <c r="AB108" s="173"/>
      <c r="AC108" s="173"/>
      <c r="AD108" s="173"/>
      <c r="AE108" s="173"/>
      <c r="AF108" s="545"/>
      <c r="AI108" s="173"/>
      <c r="AJ108" s="173"/>
      <c r="AK108" s="173"/>
      <c r="AM108" s="545"/>
      <c r="AN108" s="460"/>
      <c r="AS108" s="5"/>
      <c r="AT108" s="5"/>
      <c r="AU108" s="5"/>
      <c r="AV108" s="5"/>
      <c r="AW108" s="173"/>
      <c r="AX108" s="173"/>
      <c r="AY108" s="173"/>
      <c r="AZ108" s="173"/>
      <c r="BA108" s="460"/>
      <c r="BB108" s="5"/>
      <c r="BD108" s="173"/>
      <c r="BE108" s="173"/>
      <c r="BG108" s="528"/>
      <c r="BH108" s="528"/>
      <c r="BI108" s="528"/>
      <c r="BJ108" s="528"/>
      <c r="BN108" s="460"/>
      <c r="BO108" s="528"/>
      <c r="BR108" s="460"/>
      <c r="BS108" s="528"/>
      <c r="BT108" s="528"/>
      <c r="BU108" s="528"/>
      <c r="BV108" s="528"/>
      <c r="BW108" s="528"/>
      <c r="BX108" s="460"/>
      <c r="BY108" s="173"/>
      <c r="BZ108" s="5"/>
      <c r="CA108" s="173"/>
      <c r="CB108" s="5"/>
      <c r="CE108" s="562">
        <f>Ioutmax_Vinmin</f>
        <v>3.4127378624637865</v>
      </c>
      <c r="CI108" s="445" t="s">
        <v>434</v>
      </c>
      <c r="CL108" s="217"/>
      <c r="CM108" s="541"/>
      <c r="CN108" s="443"/>
      <c r="CO108" s="443"/>
      <c r="CP108" s="443"/>
      <c r="CQ108" s="217"/>
      <c r="CR108" s="172">
        <f>Efficiency</f>
        <v>1</v>
      </c>
      <c r="CS108" s="172"/>
      <c r="CT108" s="217"/>
      <c r="CU108" s="217"/>
      <c r="CV108" s="217"/>
      <c r="CW108" s="172"/>
      <c r="CX108" s="172"/>
      <c r="CY108" s="217"/>
      <c r="CZ108" s="217"/>
      <c r="DA108" s="217"/>
      <c r="DB108" s="197"/>
      <c r="DC108" s="443"/>
      <c r="DE108" s="217"/>
      <c r="DF108" s="173"/>
      <c r="DG108" s="173"/>
      <c r="DH108" s="173"/>
      <c r="DI108" s="173"/>
      <c r="DJ108" s="545"/>
      <c r="DM108" s="173"/>
      <c r="DN108" s="173"/>
      <c r="DO108" s="173"/>
      <c r="DQ108" s="545"/>
      <c r="DR108" s="460"/>
      <c r="DW108" s="5"/>
      <c r="DX108" s="5"/>
      <c r="DY108" s="5"/>
      <c r="DZ108" s="5"/>
      <c r="EA108" s="173"/>
      <c r="EB108" s="173"/>
      <c r="EC108" s="173"/>
      <c r="ED108" s="173"/>
      <c r="EE108" s="460"/>
      <c r="EF108" s="5"/>
      <c r="EH108" s="173"/>
      <c r="EI108" s="173"/>
      <c r="EK108" s="528"/>
      <c r="EL108" s="528"/>
      <c r="EM108" s="528"/>
      <c r="EN108" s="528"/>
      <c r="ER108" s="460"/>
      <c r="ES108" s="528"/>
      <c r="EV108" s="460"/>
      <c r="EW108" s="528"/>
      <c r="EX108" s="528"/>
      <c r="EY108" s="528"/>
      <c r="EZ108" s="528"/>
      <c r="FA108" s="528"/>
      <c r="FB108" s="460"/>
      <c r="FC108" s="173"/>
      <c r="FD108" s="5"/>
      <c r="FE108" s="173"/>
      <c r="FF108" s="5"/>
      <c r="FI108" s="562">
        <f>Ioutmax_Vinmin</f>
        <v>3.4127378624637865</v>
      </c>
      <c r="FL108" t="e">
        <f>MIN(SQRT(2*L*DJ108*1000*CJ108*CN108)/CM108, 1-EA108)</f>
        <v>#DIV/0!</v>
      </c>
    </row>
    <row r="109" spans="5:168" ht="45" customHeight="1" thickBot="1">
      <c r="E109" s="241" t="s">
        <v>25</v>
      </c>
      <c r="F109" s="444" t="s">
        <v>194</v>
      </c>
      <c r="G109" s="260"/>
      <c r="H109" s="527" t="s">
        <v>223</v>
      </c>
      <c r="I109" s="242" t="s">
        <v>412</v>
      </c>
      <c r="J109" s="243" t="s">
        <v>418</v>
      </c>
      <c r="K109" s="527" t="s">
        <v>413</v>
      </c>
      <c r="L109" s="527"/>
      <c r="M109" s="244" t="s">
        <v>48</v>
      </c>
      <c r="N109" s="527" t="s">
        <v>402</v>
      </c>
      <c r="O109" s="527" t="s">
        <v>656</v>
      </c>
      <c r="P109" s="527" t="s">
        <v>403</v>
      </c>
      <c r="Q109" s="527" t="s">
        <v>433</v>
      </c>
      <c r="R109" s="527" t="s">
        <v>654</v>
      </c>
      <c r="S109" s="527" t="s">
        <v>657</v>
      </c>
      <c r="T109" s="527" t="s">
        <v>655</v>
      </c>
      <c r="U109" s="527" t="s">
        <v>414</v>
      </c>
      <c r="V109" s="527" t="s">
        <v>466</v>
      </c>
      <c r="W109" s="527" t="s">
        <v>465</v>
      </c>
      <c r="X109" s="546" t="s">
        <v>420</v>
      </c>
      <c r="Y109" s="542" t="s">
        <v>425</v>
      </c>
      <c r="AA109" s="245" t="s">
        <v>417</v>
      </c>
      <c r="AB109" s="245" t="s">
        <v>464</v>
      </c>
      <c r="AC109" s="245" t="s">
        <v>423</v>
      </c>
      <c r="AD109" s="544"/>
      <c r="AE109" s="245" t="s">
        <v>463</v>
      </c>
      <c r="AF109" s="245" t="s">
        <v>681</v>
      </c>
      <c r="AG109" s="245" t="s">
        <v>427</v>
      </c>
      <c r="AH109" s="544"/>
      <c r="AI109" s="245" t="s">
        <v>429</v>
      </c>
      <c r="AJ109" s="547" t="s">
        <v>430</v>
      </c>
      <c r="AK109" s="547" t="s">
        <v>431</v>
      </c>
      <c r="AM109" s="543" t="s">
        <v>275</v>
      </c>
      <c r="AN109" s="543" t="s">
        <v>432</v>
      </c>
      <c r="AP109" s="245" t="s">
        <v>275</v>
      </c>
      <c r="AQ109" s="245" t="s">
        <v>432</v>
      </c>
      <c r="AR109" s="548"/>
      <c r="AS109" s="245" t="s">
        <v>467</v>
      </c>
      <c r="AT109" s="245" t="s">
        <v>461</v>
      </c>
      <c r="AU109" s="245" t="s">
        <v>462</v>
      </c>
      <c r="AV109" s="245" t="s">
        <v>653</v>
      </c>
      <c r="AW109" s="245" t="s">
        <v>48</v>
      </c>
      <c r="AX109" s="548" t="s">
        <v>651</v>
      </c>
      <c r="AY109" s="544" t="s">
        <v>650</v>
      </c>
      <c r="AZ109" s="544" t="s">
        <v>652</v>
      </c>
      <c r="BA109" s="245" t="s">
        <v>481</v>
      </c>
      <c r="BB109" s="245" t="s">
        <v>514</v>
      </c>
      <c r="BC109" s="544"/>
      <c r="BD109" s="557" t="s">
        <v>456</v>
      </c>
      <c r="BE109" s="245" t="s">
        <v>457</v>
      </c>
      <c r="BF109" s="544"/>
      <c r="BG109" s="557" t="s">
        <v>474</v>
      </c>
      <c r="BH109" s="245" t="s">
        <v>475</v>
      </c>
      <c r="BI109" s="245" t="s">
        <v>473</v>
      </c>
      <c r="BJ109" s="245" t="s">
        <v>469</v>
      </c>
      <c r="BK109" s="245" t="s">
        <v>478</v>
      </c>
      <c r="BL109" s="245" t="s">
        <v>777</v>
      </c>
      <c r="BM109" s="245" t="s">
        <v>776</v>
      </c>
      <c r="BN109" s="245" t="s">
        <v>491</v>
      </c>
      <c r="BO109" s="557" t="s">
        <v>476</v>
      </c>
      <c r="BP109" s="245" t="s">
        <v>477</v>
      </c>
      <c r="BQ109" s="245" t="s">
        <v>483</v>
      </c>
      <c r="BR109" s="245" t="s">
        <v>487</v>
      </c>
      <c r="BS109" s="557" t="s">
        <v>458</v>
      </c>
      <c r="BT109" s="245" t="s">
        <v>459</v>
      </c>
      <c r="BU109" s="245" t="s">
        <v>468</v>
      </c>
      <c r="BV109" s="245" t="s">
        <v>666</v>
      </c>
      <c r="BW109" s="245" t="s">
        <v>484</v>
      </c>
      <c r="BX109" s="245" t="s">
        <v>667</v>
      </c>
      <c r="BY109" s="557" t="s">
        <v>482</v>
      </c>
      <c r="BZ109" s="245" t="s">
        <v>223</v>
      </c>
      <c r="CA109" s="245" t="s">
        <v>47</v>
      </c>
      <c r="CB109" s="245" t="s">
        <v>485</v>
      </c>
      <c r="CC109" s="245"/>
      <c r="CE109" s="569" t="s">
        <v>664</v>
      </c>
      <c r="CF109" s="569" t="s">
        <v>665</v>
      </c>
      <c r="CG109" s="781" t="s">
        <v>828</v>
      </c>
      <c r="CI109" s="241" t="s">
        <v>25</v>
      </c>
      <c r="CJ109" s="444" t="s">
        <v>194</v>
      </c>
      <c r="CK109" s="260"/>
      <c r="CL109" s="527" t="s">
        <v>223</v>
      </c>
      <c r="CM109" s="242" t="s">
        <v>412</v>
      </c>
      <c r="CN109" s="243" t="s">
        <v>418</v>
      </c>
      <c r="CO109" s="527" t="s">
        <v>413</v>
      </c>
      <c r="CP109" s="527"/>
      <c r="CQ109" s="244" t="s">
        <v>48</v>
      </c>
      <c r="CR109" s="527" t="s">
        <v>402</v>
      </c>
      <c r="CS109" s="527" t="s">
        <v>656</v>
      </c>
      <c r="CT109" s="527" t="s">
        <v>403</v>
      </c>
      <c r="CU109" s="527" t="s">
        <v>433</v>
      </c>
      <c r="CV109" s="527" t="s">
        <v>654</v>
      </c>
      <c r="CW109" s="527" t="s">
        <v>657</v>
      </c>
      <c r="CX109" s="527" t="s">
        <v>655</v>
      </c>
      <c r="CY109" s="527" t="s">
        <v>414</v>
      </c>
      <c r="CZ109" s="527" t="s">
        <v>466</v>
      </c>
      <c r="DA109" s="527" t="s">
        <v>465</v>
      </c>
      <c r="DB109" s="546" t="s">
        <v>420</v>
      </c>
      <c r="DC109" s="542" t="s">
        <v>425</v>
      </c>
      <c r="DE109" s="245" t="s">
        <v>417</v>
      </c>
      <c r="DF109" s="245" t="s">
        <v>464</v>
      </c>
      <c r="DG109" s="245" t="s">
        <v>423</v>
      </c>
      <c r="DH109" s="544"/>
      <c r="DI109" s="245" t="s">
        <v>463</v>
      </c>
      <c r="DJ109" s="245" t="s">
        <v>681</v>
      </c>
      <c r="DK109" s="245" t="s">
        <v>427</v>
      </c>
      <c r="DL109" s="544"/>
      <c r="DM109" s="245" t="s">
        <v>429</v>
      </c>
      <c r="DN109" s="547" t="s">
        <v>430</v>
      </c>
      <c r="DO109" s="547" t="s">
        <v>431</v>
      </c>
      <c r="DQ109" s="543" t="s">
        <v>275</v>
      </c>
      <c r="DR109" s="543" t="s">
        <v>432</v>
      </c>
      <c r="DT109" s="245" t="s">
        <v>275</v>
      </c>
      <c r="DU109" s="245" t="s">
        <v>432</v>
      </c>
      <c r="DV109" s="548"/>
      <c r="DW109" s="245" t="s">
        <v>467</v>
      </c>
      <c r="DX109" s="245" t="s">
        <v>461</v>
      </c>
      <c r="DY109" s="245" t="s">
        <v>462</v>
      </c>
      <c r="DZ109" s="245" t="s">
        <v>653</v>
      </c>
      <c r="EA109" s="245" t="s">
        <v>48</v>
      </c>
      <c r="EB109" s="548" t="s">
        <v>651</v>
      </c>
      <c r="EC109" s="544" t="s">
        <v>650</v>
      </c>
      <c r="ED109" s="544" t="s">
        <v>652</v>
      </c>
      <c r="EE109" s="245" t="s">
        <v>481</v>
      </c>
      <c r="EF109" s="245" t="s">
        <v>514</v>
      </c>
      <c r="EG109" s="544"/>
      <c r="EH109" s="557" t="s">
        <v>456</v>
      </c>
      <c r="EI109" s="245" t="s">
        <v>457</v>
      </c>
      <c r="EJ109" s="544"/>
      <c r="EK109" s="557" t="s">
        <v>474</v>
      </c>
      <c r="EL109" s="245" t="s">
        <v>475</v>
      </c>
      <c r="EM109" s="245" t="s">
        <v>473</v>
      </c>
      <c r="EN109" s="245" t="s">
        <v>469</v>
      </c>
      <c r="EO109" s="245" t="s">
        <v>478</v>
      </c>
      <c r="EP109" s="245" t="s">
        <v>777</v>
      </c>
      <c r="EQ109" s="245" t="s">
        <v>776</v>
      </c>
      <c r="ER109" s="245" t="s">
        <v>491</v>
      </c>
      <c r="ES109" s="557" t="s">
        <v>476</v>
      </c>
      <c r="ET109" s="245" t="s">
        <v>477</v>
      </c>
      <c r="EU109" s="245" t="s">
        <v>483</v>
      </c>
      <c r="EV109" s="245" t="s">
        <v>487</v>
      </c>
      <c r="EW109" s="557" t="s">
        <v>458</v>
      </c>
      <c r="EX109" s="245" t="s">
        <v>459</v>
      </c>
      <c r="EY109" s="245" t="s">
        <v>468</v>
      </c>
      <c r="EZ109" s="245" t="s">
        <v>666</v>
      </c>
      <c r="FA109" s="245" t="s">
        <v>484</v>
      </c>
      <c r="FB109" s="245" t="s">
        <v>667</v>
      </c>
      <c r="FC109" s="557" t="s">
        <v>482</v>
      </c>
      <c r="FD109" s="245" t="s">
        <v>223</v>
      </c>
      <c r="FE109" s="245" t="s">
        <v>47</v>
      </c>
      <c r="FF109" s="245" t="s">
        <v>485</v>
      </c>
      <c r="FG109" s="245"/>
      <c r="FI109" s="569" t="s">
        <v>664</v>
      </c>
      <c r="FJ109" s="569" t="s">
        <v>665</v>
      </c>
      <c r="FL109" t="s">
        <v>825</v>
      </c>
    </row>
    <row r="110" spans="5:168">
      <c r="E110" s="170">
        <v>0.1</v>
      </c>
      <c r="F110" s="217">
        <v>1.0000000000000001E-9</v>
      </c>
      <c r="G110" s="217"/>
      <c r="H110" s="217">
        <f t="shared" ref="H110:H141" si="315">F110*Vout</f>
        <v>2.8000000000000003E-8</v>
      </c>
      <c r="I110" s="541">
        <f t="shared" ref="I110:I141" si="316">VIN_min-F110*(Rdcr_pri+RON/1000)/CG110/Nps</f>
        <v>18.999987046181317</v>
      </c>
      <c r="J110" s="172">
        <f t="shared" ref="J110:J141" si="317">(T110+Vfwd1+F110/CG110*Rdcr_sec)*Nps</f>
        <v>28.400006975133135</v>
      </c>
      <c r="K110" s="172">
        <f t="shared" ref="K110:K141" si="318">(Vout+Vfwd1+F110/CG110*Rdcr_sec)*Nps++I110</f>
        <v>47.399994021314455</v>
      </c>
      <c r="L110" s="443"/>
      <c r="M110" s="217">
        <f t="shared" ref="M110:M141" si="319">(Vout+Vfwd1+F110/FL110*Rdcr_sec)*Nps/((Vout+Vfwd1+F110/FL110*Rdcr_sec)*Nps+I110)</f>
        <v>0.59915634129115314</v>
      </c>
      <c r="N110" s="172">
        <f>M110*I110*(Isw_max+VIN_min/Lmag*ILIM_delay)*0.5*Efficiency</f>
        <v>95.556660148986026</v>
      </c>
      <c r="O110" s="172">
        <f t="shared" si="284"/>
        <v>2.8000000000000003E-8</v>
      </c>
      <c r="P110" s="217">
        <f t="shared" ref="P110:P141" si="320">N110/Vout</f>
        <v>3.4127378624637865</v>
      </c>
      <c r="Q110" s="217">
        <f t="shared" ref="Q110:Q141" si="321">MIN(Vout,N110/F110)</f>
        <v>28</v>
      </c>
      <c r="R110" s="217"/>
      <c r="S110" s="172">
        <f t="shared" ref="S110:S141" si="322">(SQRT(Isw_max^2*Nps^2*I110^2+4*Isw_max*F110/Efficiency*(Nps^2*Vfwd1*I110-Nps*I110^2)+4*(F110/Efficiency)^2*Nps^2*Vfwd1^2+8*(F110/Efficiency)^2*Nps*Vfwd1*I110+4*(F110/Efficiency)^2*I110^2)-2*F110/Efficiency*I110-2*F110/Efficiency*Nps*Vfwd1+Isw_max*Nps*I110)/(4*F110/Efficiency*Nps)</f>
        <v>158333225365.84433</v>
      </c>
      <c r="T110" s="172">
        <f t="shared" ref="T110:T141" si="323">MIN(Vout, S110)</f>
        <v>28</v>
      </c>
      <c r="U110" s="217">
        <f t="shared" ref="U110:U141" si="324">MIN(2*(Vout+Vfwd1+F110/FL110*Rdcr_sec)*F110/(I110*M110), Isw_max)</f>
        <v>4.989476461825985E-9</v>
      </c>
      <c r="V110" s="217">
        <f t="shared" ref="V110:V141" si="325">L*U110/I110*1000000</f>
        <v>1.2342397557210597E-9</v>
      </c>
      <c r="W110" s="217">
        <f t="shared" ref="W110:W141" si="326">L*U110/J110*1000000</f>
        <v>8.257230144737384E-10</v>
      </c>
      <c r="X110" s="197">
        <f t="shared" ref="X110:X141" si="327">IF(1/((350000*L)*(1/I110+1/J110))&gt;Isw_min, 350, 0.001/((Isw_min*L)*(1/I110+1/J110)))</f>
        <v>350</v>
      </c>
      <c r="Y110" s="443">
        <f t="shared" ref="Y110:Y173" si="328">MIN(1/(V110+W110+0.2)*1000, 350)</f>
        <v>350</v>
      </c>
      <c r="AA110" s="217">
        <f t="shared" ref="AA110:AA141" si="329">1/((X110*1000*L)*(1/I110+1/J110))</f>
        <v>6.9203420761048315</v>
      </c>
      <c r="AB110" s="173">
        <f t="shared" ref="AB110:AB141" si="330">L*AA110/J110*1000000</f>
        <v>1.1452675975105191</v>
      </c>
      <c r="AC110" s="173">
        <f t="shared" ref="AC110:AC141" si="331">0.5*AB110*AA110*Nps*X110/1000</f>
        <v>1.3869876201040192</v>
      </c>
      <c r="AD110" s="173"/>
      <c r="AE110" s="173">
        <f t="shared" ref="AE110:AE141" si="332">L*Isw_min/J110*1000000</f>
        <v>0.55164305700291905</v>
      </c>
      <c r="AF110" s="545">
        <f t="shared" ref="AF110:AF141" si="333">MAX(12000,F110/(0.5*AE110/1000000*Isw_min*Nps))/1000</f>
        <v>12</v>
      </c>
      <c r="AG110" s="528">
        <f t="shared" ref="AG110:AG141" si="334">0.5*AE110/1000000*Isw_min*Nps*X110*1000</f>
        <v>0.32179178325170277</v>
      </c>
      <c r="AI110" s="173">
        <f t="shared" ref="AI110:AI141" si="335">SQRT(F110/(0.5*L/J110*Fsw_DCM*Nps))</f>
        <v>1.8581949268132298E-4</v>
      </c>
      <c r="AJ110" s="173">
        <f t="shared" ref="AJ110:AJ141" si="336">MAX(IF(F110&gt;AC110,U110,AI110),Isw_min)</f>
        <v>3.3333333333333335</v>
      </c>
      <c r="AK110" s="173">
        <f t="shared" ref="AK110:AK141" si="337">IF(F110&gt;AG110, (AJ110-Isw_min)/1.08*0.8+1.2, AF110*0.2/350+1)</f>
        <v>1.0068571428571429</v>
      </c>
      <c r="AM110" s="545">
        <f t="shared" ref="AM110:AM141" si="338">F110*1000</f>
        <v>1.0000000000000002E-6</v>
      </c>
      <c r="AN110" s="460">
        <f t="shared" ref="AN110:AN141" si="339">IF(F110&gt;AG110, Y110, AF110)</f>
        <v>12</v>
      </c>
      <c r="AP110" s="460">
        <f t="shared" ref="AP110:AP141" si="340">IF(H110&gt;N110, "",AM110)</f>
        <v>1.0000000000000002E-6</v>
      </c>
      <c r="AQ110" s="460">
        <f t="shared" ref="AQ110:AQ141" si="341">IF(H110&gt;N110, "",AN110)</f>
        <v>12</v>
      </c>
      <c r="AS110" s="5">
        <f t="shared" si="285"/>
        <v>83.333333333333329</v>
      </c>
      <c r="AT110" s="5">
        <f t="shared" ref="AT110:AT141" si="342">L*AJ110/I110*1000000</f>
        <v>0.82456196567857176</v>
      </c>
      <c r="AU110" s="5">
        <f t="shared" ref="AU110:AU169" si="343">AS110-AT110</f>
        <v>82.508771367654759</v>
      </c>
      <c r="AV110" s="5"/>
      <c r="AW110" s="173">
        <f t="shared" ref="AW110:AW169" si="344">AT110/AS110</f>
        <v>9.8947435881428618E-3</v>
      </c>
      <c r="AX110" s="173">
        <f t="shared" si="214"/>
        <v>0.31333333333333335</v>
      </c>
      <c r="AY110" s="173">
        <f t="shared" si="215"/>
        <v>1.6501754273530953</v>
      </c>
      <c r="AZ110" s="173">
        <f t="shared" si="288"/>
        <v>0.18987880205919952</v>
      </c>
      <c r="BA110" s="460">
        <f t="shared" ref="BA110:BA116" si="345">F110*AT110/Vout_ripple*1000</f>
        <v>2.9448641631377562E-9</v>
      </c>
      <c r="BB110" s="5">
        <f t="shared" ref="BB110:BB116" si="346">H110/Efficiency/I110*AU110/Vinripple1</f>
        <v>8.6851397495281617E-8</v>
      </c>
      <c r="BD110" s="173">
        <f t="shared" si="289"/>
        <v>0.19143458014319983</v>
      </c>
      <c r="BE110" s="173">
        <f t="shared" si="218"/>
        <v>1.9149560060818893</v>
      </c>
      <c r="BG110" s="528">
        <f t="shared" ref="BG110:BG169" si="347">Rdson*BD110^2</f>
        <v>4.3976638169523842E-4</v>
      </c>
      <c r="BH110" s="528">
        <f t="shared" ref="BH110:BH141" si="348">0.5*K110*AJ110*AN110*1000*Tfall</f>
        <v>3.460199563555956E-2</v>
      </c>
      <c r="BI110" s="528">
        <f t="shared" ref="BI110:BI169" si="349">Qg*Vdd*AN110*1000</f>
        <v>1.3800000000000002E-3</v>
      </c>
      <c r="BJ110" s="528">
        <f t="shared" ref="BJ110:BJ169" si="350">0.5*(Coss+Csw)*K110^2*AN110*1000</f>
        <v>1.327834825033402E-2</v>
      </c>
      <c r="BK110">
        <f t="shared" ref="BK110:BK169" si="351">I110*IQ</f>
        <v>8.549994170781592E-3</v>
      </c>
      <c r="BL110" s="460">
        <f>(BK110+BI110)*1000</f>
        <v>9.9299941707815904</v>
      </c>
      <c r="BM110" s="528">
        <f t="shared" ref="BM110:BM141" si="352">(BH110+BI110*0+BJ110+BK110*0+BG110*(1+RdsonTC*(Ta-25)))/(1-BG110*RdsonTC*ThetaJA)</f>
        <v>4.8443909021660882E-2</v>
      </c>
      <c r="BN110" s="460">
        <f t="shared" ref="BN110:BN173" si="353">BM110*1000</f>
        <v>48.443909021660879</v>
      </c>
      <c r="BO110" s="528">
        <f t="shared" ref="BO110:BO169" si="354">Vfwd2*F110</f>
        <v>6.9999999999999996E-10</v>
      </c>
      <c r="BR110" s="460">
        <f t="shared" ref="BR110:BR169" si="355">SUM(BO110:BQ110)*1000</f>
        <v>6.9999999999999997E-7</v>
      </c>
      <c r="BS110" s="528">
        <f t="shared" ref="BS110:BS169" si="356">Rdcr_pri*BD110^2</f>
        <v>5.130607786444449E-4</v>
      </c>
      <c r="BT110" s="528">
        <f t="shared" ref="BT110:BT169" si="357">Rdcr_sec*BE110^2</f>
        <v>5.1338791073207414E-2</v>
      </c>
      <c r="BU110" s="528">
        <f t="shared" ref="BU110:BU169" si="358">AJ110^2.5*AN110^2.5*k_core</f>
        <v>5.0596442562694083E-4</v>
      </c>
      <c r="BV110" s="528"/>
      <c r="BW110" s="528">
        <f t="shared" ref="BW110:BW169" si="359">0.5*Lleak*0.000000001*AJ110^2*AN110*1000</f>
        <v>1.3333333333333334E-2</v>
      </c>
      <c r="BX110" s="460">
        <f t="shared" ref="BX110:BX169" si="360">SUM(BS110:BW110)*1000</f>
        <v>65.691149610812133</v>
      </c>
      <c r="BY110" s="173">
        <f t="shared" ref="BY110:BY169" si="361">SUM(BG110:BK110,BO110:BQ110,BS110:BW110)</f>
        <v>0.12394125474918254</v>
      </c>
      <c r="BZ110" s="5">
        <f t="shared" ref="BZ110:BZ169" si="362">MIN(H110,O110)</f>
        <v>2.8000000000000003E-8</v>
      </c>
      <c r="CA110" s="173">
        <f t="shared" ref="CA110:CA169" si="363">BZ110/(BZ110+BY110)</f>
        <v>2.2591342754345245E-7</v>
      </c>
      <c r="CB110" s="5">
        <f t="shared" ref="CB110:CB169" si="364">CA110*100</f>
        <v>2.2591342754345245E-5</v>
      </c>
      <c r="CE110" s="562">
        <f t="shared" ref="CE110:CE141" si="365">IF(ABS(F110-Ioutmax_Vinmin)&lt;Iout/200, AN110, -50)</f>
        <v>-50</v>
      </c>
      <c r="CF110">
        <f t="shared" ref="CF110:CF141" si="366">IF(ABS(F110-Ioutmax_Vinmin)&lt;Iout/200, N110*CA110, -50)</f>
        <v>-50</v>
      </c>
      <c r="CG110" s="173">
        <f t="shared" ref="CG110:CG141" si="367">MIN(SQRT(2*DU110*1000*Ls1_*CL110)/CU110,1-EA110-0.00000005*DU110*1000)</f>
        <v>2.0071301473923978E-6</v>
      </c>
      <c r="CI110" s="170">
        <v>0.1</v>
      </c>
      <c r="CJ110" s="217">
        <v>1.0000000000000001E-9</v>
      </c>
      <c r="CK110" s="217"/>
      <c r="CL110" s="217">
        <f t="shared" ref="CL110:CL173" si="368">CJ110*Vout</f>
        <v>2.8000000000000003E-8</v>
      </c>
      <c r="CM110" s="541">
        <f t="shared" ref="CM110:CM173" si="369">VIN_min</f>
        <v>19</v>
      </c>
      <c r="CN110" s="443">
        <f t="shared" ref="CN110:CN173" si="370">(CX110+Vfwd1)*Nps</f>
        <v>28.4</v>
      </c>
      <c r="CO110" s="443">
        <f t="shared" ref="CO110:CO173" si="371">(Vout+Vfwd1)*Nps+CM110</f>
        <v>47.4</v>
      </c>
      <c r="CP110" s="443"/>
      <c r="CQ110" s="217">
        <f t="shared" ref="CQ110:CQ173" si="372">(Vout+Vfwd1)*Nps/((Vout+Vfwd1)*Nps+CM110)</f>
        <v>0.59915611814345993</v>
      </c>
      <c r="CR110" s="172">
        <f>CQ110*CM110*(Isw_max+VIN_min/Lmag*ILIM_delay)*0.5*Efficiency</f>
        <v>95.556689708830859</v>
      </c>
      <c r="CS110" s="172">
        <f t="shared" ref="CS110:CS173" si="373">CX110*CJ110</f>
        <v>2.8000000000000003E-8</v>
      </c>
      <c r="CT110" s="217">
        <f t="shared" ref="CT110:CT173" si="374">CR110/Vout</f>
        <v>3.4127389181725305</v>
      </c>
      <c r="CU110" s="217">
        <f t="shared" ref="CU110:CU173" si="375">MIN(Vout,CR110/CJ110)</f>
        <v>28</v>
      </c>
      <c r="CV110" s="217"/>
      <c r="CW110" s="172">
        <f t="shared" ref="CW110:CW173" si="376">(SQRT(Isw_max^2*Nps^2*CM110^2+4*Isw_max*CJ110/Efficiency*(Nps^2*Vfwd1*CM110-Nps*CM110^2)+4*(CJ110/Efficiency)^2*Nps^2*Vfwd1^2+8*(CJ110/Efficiency)^2*Nps*Vfwd1*CM110+4*(CJ110/Efficiency)^2*CM110^2)-2*CJ110/Efficiency*CM110-2*CJ110/Efficiency*Nps*Vfwd1+Isw_max*Nps*CM110)/(4*CJ110/Efficiency*Nps)</f>
        <v>158333333314.33334</v>
      </c>
      <c r="CX110" s="172">
        <f t="shared" ref="CX110:CX173" si="377">MIN(Vout, CW110)</f>
        <v>28</v>
      </c>
      <c r="CY110" s="217">
        <f t="shared" ref="CY110:CY173" si="378">MIN(2*Vout*CJ110/(Efficiency*CM110*CQ110), Isw_max)</f>
        <v>4.9191994069681248E-9</v>
      </c>
      <c r="CZ110" s="217">
        <f t="shared" ref="CZ110:CZ173" si="379">L*CY110/CM110*1000000</f>
        <v>1.2168545901447466E-9</v>
      </c>
      <c r="DA110" s="217">
        <f t="shared" ref="DA110:DA173" si="380">L*CY110/CN110*1000000</f>
        <v>8.140928596038799E-10</v>
      </c>
      <c r="DB110" s="197">
        <f t="shared" ref="DB110:DB173" si="381">IF(1/((350000*L)*(1/CM110+1/CN110))&gt;Isw_min, 350, 0.001/((Isw_min*L)*(1/CM110+1/CN110)))</f>
        <v>350</v>
      </c>
      <c r="DC110" s="443">
        <f t="shared" ref="DC110:DC173" si="382">MIN(1/(CZ110+DA110)*1000, 350)</f>
        <v>350</v>
      </c>
      <c r="DE110" s="217">
        <f t="shared" ref="DE110:DE173" si="383">1/((DB110*1000*L)*(1/CM110+1/CN110))</f>
        <v>6.9203442217177731</v>
      </c>
      <c r="DF110" s="173">
        <f t="shared" ref="DF110:DF173" si="384">L*DE110/CN110*1000000</f>
        <v>1.1452682338758289</v>
      </c>
      <c r="DG110" s="173">
        <f t="shared" ref="DG110:DG173" si="385">0.5*DF110*DE110*Nps*DB110/1000</f>
        <v>1.3869888208084145</v>
      </c>
      <c r="DH110" s="173"/>
      <c r="DI110" s="173">
        <f t="shared" ref="DI110:DI173" si="386">L*Isw_min/CN110*1000000</f>
        <v>0.55164319248826299</v>
      </c>
      <c r="DJ110" s="545">
        <f t="shared" ref="DJ110:DJ173" si="387">MAX(12000,CJ110/(0.5*DI110/1000000*Isw_min*Nps))/1000</f>
        <v>12</v>
      </c>
      <c r="DK110" s="528">
        <f t="shared" ref="DK110:DK173" si="388">0.5*DI110/1000000*Isw_min*Nps*DB110*1000</f>
        <v>0.3217918622848201</v>
      </c>
      <c r="DM110" s="173">
        <f t="shared" ref="DM110:DM173" si="389">SQRT(CJ110/(0.5*L/CN110*Fsw_DCM*Nps))</f>
        <v>1.8581946986238879E-4</v>
      </c>
      <c r="DN110" s="173">
        <f t="shared" ref="DN110:DN173" si="390">MAX(IF(CJ110&gt;DG110,CY110,DM110),Isw_min)</f>
        <v>3.3333333333333335</v>
      </c>
      <c r="DO110" s="173">
        <f t="shared" ref="DO110:DO173" si="391">IF(CJ110&gt;DK110, (DN110-Isw_min)/1.08*0.8+1.2, DJ110*0.2/350+1)</f>
        <v>1.0068571428571429</v>
      </c>
      <c r="DQ110" s="545">
        <f t="shared" ref="DQ110:DQ173" si="392">CJ110*1000</f>
        <v>1.0000000000000002E-6</v>
      </c>
      <c r="DR110" s="460">
        <f t="shared" ref="DR110:DR173" si="393">IF(CJ110&gt;DK110, DC110, DJ110)</f>
        <v>12</v>
      </c>
      <c r="DT110" s="460">
        <f>IF(CL110&gt;CR110, "",DQ110)</f>
        <v>1.0000000000000002E-6</v>
      </c>
      <c r="DU110" s="460">
        <f>IF(CL110&gt;CR110, "",DR110)</f>
        <v>12</v>
      </c>
      <c r="DW110" s="5">
        <f t="shared" ref="DW110:DW173" si="394">1/DR110*1000</f>
        <v>83.333333333333329</v>
      </c>
      <c r="DX110" s="5">
        <f t="shared" ref="DX110:DX173" si="395">L*DN110/CM110*1000000</f>
        <v>0.82456140350877194</v>
      </c>
      <c r="DY110" s="5">
        <f t="shared" ref="DY110:DY173" si="396">DW110-DX110</f>
        <v>82.508771929824562</v>
      </c>
      <c r="DZ110" s="5"/>
      <c r="EA110" s="173">
        <f t="shared" ref="EA110:EA173" si="397">DX110/DW110</f>
        <v>9.8947368421052635E-3</v>
      </c>
      <c r="EB110" s="173">
        <f t="shared" ref="EB110:EB173" si="398">0.5*L*DN110^2*DR110*1000</f>
        <v>0.31333333333333335</v>
      </c>
      <c r="EC110" s="173">
        <f t="shared" ref="EC110:EC173" si="399">DN110*Nps/2*(1-EA110)</f>
        <v>1.6501754385964913</v>
      </c>
      <c r="ED110" s="173">
        <f t="shared" ref="ED110:ED173" si="400">EB110/EC110</f>
        <v>0.18987880076546884</v>
      </c>
      <c r="EE110" s="460">
        <f t="shared" ref="EE110:EE173" si="401">CJ110*DX110/Vout_ripple*1000</f>
        <v>2.9448621553884716E-9</v>
      </c>
      <c r="EF110" s="5">
        <f t="shared" ref="EF110:EF173" si="402">CL110/Efficiency/CM110*DY110/Vinripple1</f>
        <v>8.6851338873499547E-8</v>
      </c>
      <c r="EH110" s="173">
        <f t="shared" ref="EH110:EH173" si="403">DN110*SQRT(EA110/3)</f>
        <v>0.1914345148850613</v>
      </c>
      <c r="EI110" s="173">
        <f t="shared" ref="EI110:EI173" si="404">DN110*Nps*SQRT((1-EA110)/3)</f>
        <v>1.9149560126056224</v>
      </c>
      <c r="EK110" s="528">
        <f t="shared" ref="EK110:EK173" si="405">Rdson*EH110^2</f>
        <v>4.3976608187134506E-4</v>
      </c>
      <c r="EL110" s="528">
        <f t="shared" ref="EL110:EL173" si="406">0.5*CO110*DN110*DR110*1000*Trise</f>
        <v>3.6024E-2</v>
      </c>
      <c r="EM110" s="528">
        <f t="shared" ref="EM110:EM173" si="407">Qg*Vdd*DR110*1000</f>
        <v>1.3800000000000002E-3</v>
      </c>
      <c r="EN110" s="528">
        <f t="shared" ref="EN110:EN173" si="408">0.5*(Coss+Csw)*CO110^2*DR110*1000</f>
        <v>1.3278351599999998E-2</v>
      </c>
      <c r="EO110">
        <f t="shared" ref="EO110:EO173" si="409">CM110*IQ</f>
        <v>8.5500000000000003E-3</v>
      </c>
      <c r="EP110" s="460">
        <f t="shared" ref="EP110:EP173" si="410">(EO110+EM110)*1000</f>
        <v>9.9300000000000015</v>
      </c>
      <c r="EQ110" s="460"/>
      <c r="ER110" s="460">
        <f>SUM(EK110:EO110)*1000</f>
        <v>59.672117681871349</v>
      </c>
      <c r="ES110" s="528">
        <f t="shared" ref="ES110:ES173" si="411">Vfwd2*CJ110</f>
        <v>6.9999999999999996E-10</v>
      </c>
      <c r="EV110" s="460">
        <f t="shared" ref="EV110:EV169" si="412">SUM(ES110:EU110)*1000</f>
        <v>6.9999999999999997E-7</v>
      </c>
      <c r="EW110" s="528">
        <f t="shared" ref="EW110:EW173" si="413">Rdcr_pri*EH110^2</f>
        <v>5.1306042884990261E-4</v>
      </c>
      <c r="EX110" s="528">
        <f t="shared" ref="EX110:EX173" si="414">Rdcr_sec*EI110^2</f>
        <v>5.1338791423001948E-2</v>
      </c>
      <c r="EY110" s="528">
        <f t="shared" ref="EY110:EY173" si="415">DN110^2.5*DR110^2.5*k_core</f>
        <v>5.0596442562694083E-4</v>
      </c>
      <c r="EZ110" s="528"/>
      <c r="FA110" s="528">
        <f t="shared" ref="FA110:FA173" si="416">0.5*Lleak*0.000000001*DN110^2*DR110*1000</f>
        <v>1.3333333333333334E-2</v>
      </c>
      <c r="FB110" s="460">
        <f t="shared" ref="FB110:FB173" si="417">SUM(EW110:FA110)*1000</f>
        <v>65.691149610812133</v>
      </c>
      <c r="FC110" s="173">
        <f t="shared" ref="FC110:FC173" si="418">SUM(EK110:EO110,ES110:EU110,EW110:FA110)</f>
        <v>0.12536326799268346</v>
      </c>
      <c r="FD110" s="5">
        <f t="shared" ref="FD110:FD173" si="419">MIN(CL110,CS110)</f>
        <v>2.8000000000000003E-8</v>
      </c>
      <c r="FE110" s="173">
        <f t="shared" ref="FE110:FE173" si="420">FD110/(FD110+FC110)</f>
        <v>2.2335086022015691E-7</v>
      </c>
      <c r="FF110" s="5">
        <f t="shared" ref="FF110:FF173" si="421">FE110*100</f>
        <v>2.2335086022015691E-5</v>
      </c>
      <c r="FI110" s="562">
        <f t="shared" ref="FI110:FI173" si="422">IF(ABS(CJ110-Ioutmax_Vinmin)&lt;Iout/200, DR110, -50)</f>
        <v>-50</v>
      </c>
      <c r="FJ110">
        <f t="shared" ref="FJ110:FJ173" si="423">IF(ABS(CJ110-Ioutmax_Vinmin)&lt;Iout/200, CR110*FE110, -50)</f>
        <v>-50</v>
      </c>
      <c r="FL110">
        <f t="shared" ref="FL110:FL141" si="424">MIN(SQRT(2*L*DR110*1000*CJ110*(CX110+Vfwd1))/(Nps*(CX110+Vfwd1)), 1-EA110)</f>
        <v>1.9929453042960042E-6</v>
      </c>
    </row>
    <row r="111" spans="5:168">
      <c r="E111" s="170">
        <v>1</v>
      </c>
      <c r="F111" s="217">
        <f t="shared" ref="F111:F142" si="425">IF(PLOT_TYPE=1, E111/100*Iout_max, min_I*EXP(N111*rr/100))</f>
        <v>2.5000000000000001E-2</v>
      </c>
      <c r="G111" s="217"/>
      <c r="H111" s="217">
        <f t="shared" si="315"/>
        <v>0.70000000000000007</v>
      </c>
      <c r="I111" s="541">
        <f t="shared" si="316"/>
        <v>18.956972913142501</v>
      </c>
      <c r="J111" s="172">
        <f t="shared" si="317"/>
        <v>28.423168431384806</v>
      </c>
      <c r="K111" s="172">
        <f t="shared" si="318"/>
        <v>47.380141344527303</v>
      </c>
      <c r="L111" s="443"/>
      <c r="M111" s="217">
        <f t="shared" si="319"/>
        <v>0.59989762804556523</v>
      </c>
      <c r="N111" s="172">
        <f t="shared" ref="N111:N141" si="426">M111*I111*(Isw_max+VIN_min/Lmag*ILIM_delay)*0.5*Efficiency</f>
        <v>95.458285843014792</v>
      </c>
      <c r="O111" s="172">
        <f t="shared" si="284"/>
        <v>0.70000000000000007</v>
      </c>
      <c r="P111" s="217">
        <f t="shared" si="320"/>
        <v>3.4092244943933854</v>
      </c>
      <c r="Q111" s="217">
        <f t="shared" si="321"/>
        <v>28</v>
      </c>
      <c r="R111" s="217"/>
      <c r="S111" s="172">
        <f t="shared" si="322"/>
        <v>6300.0352016685447</v>
      </c>
      <c r="T111" s="172">
        <f t="shared" si="323"/>
        <v>28</v>
      </c>
      <c r="U111" s="217">
        <f t="shared" si="324"/>
        <v>0.12496801694965759</v>
      </c>
      <c r="V111" s="217">
        <f t="shared" si="325"/>
        <v>3.0983305317495737E-2</v>
      </c>
      <c r="W111" s="217">
        <f t="shared" si="326"/>
        <v>2.0664468884997362E-2</v>
      </c>
      <c r="X111" s="197">
        <f t="shared" si="327"/>
        <v>350</v>
      </c>
      <c r="Y111" s="443">
        <f t="shared" si="328"/>
        <v>350</v>
      </c>
      <c r="AA111" s="217">
        <f t="shared" si="329"/>
        <v>6.9132016338041229</v>
      </c>
      <c r="AB111" s="173">
        <f t="shared" si="330"/>
        <v>1.1431536127760382</v>
      </c>
      <c r="AC111" s="173">
        <f t="shared" si="331"/>
        <v>1.3829989991181688</v>
      </c>
      <c r="AD111" s="173"/>
      <c r="AE111" s="173">
        <f t="shared" si="332"/>
        <v>0.55119353440440388</v>
      </c>
      <c r="AF111" s="545">
        <f t="shared" si="333"/>
        <v>27.213671902389706</v>
      </c>
      <c r="AG111" s="528">
        <f t="shared" si="334"/>
        <v>0.3215295617359023</v>
      </c>
      <c r="AI111" s="173">
        <f t="shared" si="335"/>
        <v>0.92947624614045721</v>
      </c>
      <c r="AJ111" s="173">
        <f t="shared" si="336"/>
        <v>3.3333333333333335</v>
      </c>
      <c r="AK111" s="173">
        <f t="shared" si="337"/>
        <v>1.0155506696585084</v>
      </c>
      <c r="AM111" s="545">
        <f t="shared" si="338"/>
        <v>25</v>
      </c>
      <c r="AN111" s="460">
        <f t="shared" si="339"/>
        <v>27.213671902389706</v>
      </c>
      <c r="AP111" s="460">
        <f t="shared" si="340"/>
        <v>25</v>
      </c>
      <c r="AQ111" s="460">
        <f t="shared" si="341"/>
        <v>27.213671902389706</v>
      </c>
      <c r="AS111" s="5">
        <f t="shared" si="285"/>
        <v>36.746235626960257</v>
      </c>
      <c r="AT111" s="5">
        <f t="shared" si="342"/>
        <v>0.82643292990123285</v>
      </c>
      <c r="AU111" s="5">
        <f t="shared" si="343"/>
        <v>35.919802697059026</v>
      </c>
      <c r="AV111" s="5"/>
      <c r="AW111" s="173">
        <f t="shared" si="344"/>
        <v>2.2490274603662784E-2</v>
      </c>
      <c r="AX111" s="173">
        <f t="shared" si="214"/>
        <v>0.71057921078462016</v>
      </c>
      <c r="AY111" s="173">
        <f t="shared" si="215"/>
        <v>1.629182875660562</v>
      </c>
      <c r="AZ111" s="173">
        <f t="shared" si="288"/>
        <v>0.43615681296460446</v>
      </c>
      <c r="BA111" s="460">
        <f t="shared" si="345"/>
        <v>7.3788654455467229E-2</v>
      </c>
      <c r="BB111" s="5">
        <f t="shared" si="346"/>
        <v>0.94740343992780951</v>
      </c>
      <c r="BD111" s="173">
        <f t="shared" si="289"/>
        <v>0.28861273940507065</v>
      </c>
      <c r="BE111" s="173">
        <f t="shared" si="218"/>
        <v>1.9027365530616174</v>
      </c>
      <c r="BG111" s="528">
        <f t="shared" si="347"/>
        <v>9.995677601627906E-4</v>
      </c>
      <c r="BH111" s="528">
        <f t="shared" si="348"/>
        <v>7.8437746958694612E-2</v>
      </c>
      <c r="BI111" s="528">
        <f t="shared" si="349"/>
        <v>3.1295722687748164E-3</v>
      </c>
      <c r="BJ111" s="528">
        <f t="shared" si="350"/>
        <v>3.0087498613023119E-2</v>
      </c>
      <c r="BK111">
        <f t="shared" si="351"/>
        <v>8.5306378109141247E-3</v>
      </c>
      <c r="BL111" s="460">
        <f t="shared" ref="BL111:BL174" si="427">(BK111+BI111)*1000</f>
        <v>11.660210079688941</v>
      </c>
      <c r="BM111" s="528">
        <f t="shared" si="352"/>
        <v>0.10982077876554484</v>
      </c>
      <c r="BN111" s="460">
        <f t="shared" si="353"/>
        <v>109.82077876554484</v>
      </c>
      <c r="BO111" s="528">
        <f t="shared" si="354"/>
        <v>1.7499999999999998E-2</v>
      </c>
      <c r="BR111" s="460">
        <f t="shared" si="355"/>
        <v>17.499999999999996</v>
      </c>
      <c r="BS111" s="528">
        <f t="shared" si="356"/>
        <v>1.166162386856589E-3</v>
      </c>
      <c r="BT111" s="528">
        <f t="shared" si="357"/>
        <v>5.0685689464995271E-2</v>
      </c>
      <c r="BU111" s="528">
        <f t="shared" si="358"/>
        <v>3.9186342383187092E-3</v>
      </c>
      <c r="BV111" s="528"/>
      <c r="BW111" s="528">
        <f t="shared" si="359"/>
        <v>3.0237413224877455E-2</v>
      </c>
      <c r="BX111" s="460">
        <f t="shared" si="360"/>
        <v>86.007899315048007</v>
      </c>
      <c r="BY111" s="173">
        <f t="shared" si="361"/>
        <v>0.22469292272661751</v>
      </c>
      <c r="BZ111" s="5">
        <f t="shared" si="362"/>
        <v>0.70000000000000007</v>
      </c>
      <c r="CA111" s="173">
        <f t="shared" si="363"/>
        <v>0.7570080648351114</v>
      </c>
      <c r="CB111" s="5">
        <f t="shared" si="364"/>
        <v>75.700806483511144</v>
      </c>
      <c r="CE111" s="562">
        <f t="shared" si="365"/>
        <v>-50</v>
      </c>
      <c r="CF111">
        <f t="shared" si="366"/>
        <v>-50</v>
      </c>
      <c r="CG111" s="173">
        <f t="shared" si="367"/>
        <v>1.5106762913155344E-2</v>
      </c>
      <c r="CI111" s="170">
        <v>1</v>
      </c>
      <c r="CJ111" s="217">
        <f t="shared" ref="CJ111:CJ174" si="428">IF(PLOT_TYPE=1, CI111/100*Iout_max, min_I*EXP(CR111*rr/100))</f>
        <v>2.5000000000000001E-2</v>
      </c>
      <c r="CK111" s="217"/>
      <c r="CL111" s="217">
        <f t="shared" si="368"/>
        <v>0.70000000000000007</v>
      </c>
      <c r="CM111" s="541">
        <f t="shared" si="369"/>
        <v>19</v>
      </c>
      <c r="CN111" s="443">
        <f t="shared" si="370"/>
        <v>28.4</v>
      </c>
      <c r="CO111" s="443">
        <f t="shared" si="371"/>
        <v>47.4</v>
      </c>
      <c r="CP111" s="443"/>
      <c r="CQ111" s="217">
        <f t="shared" si="372"/>
        <v>0.59915611814345993</v>
      </c>
      <c r="CR111" s="172">
        <f t="shared" ref="CR111:CR174" si="429">CQ111*CM111*(Isw_max+VIN_min/Lmag*ILIM_delay)*0.5*Efficiency</f>
        <v>95.556689708830859</v>
      </c>
      <c r="CS111" s="172">
        <f t="shared" si="373"/>
        <v>0.70000000000000007</v>
      </c>
      <c r="CT111" s="217">
        <f t="shared" si="374"/>
        <v>3.4127389181725305</v>
      </c>
      <c r="CU111" s="217">
        <f t="shared" si="375"/>
        <v>28</v>
      </c>
      <c r="CV111" s="217"/>
      <c r="CW111" s="172">
        <f t="shared" si="376"/>
        <v>6314.3345368676955</v>
      </c>
      <c r="CX111" s="172">
        <f t="shared" si="377"/>
        <v>28</v>
      </c>
      <c r="CY111" s="217">
        <f t="shared" si="378"/>
        <v>0.12297998517420311</v>
      </c>
      <c r="CZ111" s="217">
        <f t="shared" si="379"/>
        <v>3.042136475361866E-2</v>
      </c>
      <c r="DA111" s="217">
        <f t="shared" si="380"/>
        <v>2.0352321490096994E-2</v>
      </c>
      <c r="DB111" s="197">
        <f t="shared" si="381"/>
        <v>350</v>
      </c>
      <c r="DC111" s="443">
        <f t="shared" si="382"/>
        <v>350</v>
      </c>
      <c r="DE111" s="217">
        <f t="shared" si="383"/>
        <v>6.9203442217177731</v>
      </c>
      <c r="DF111" s="173">
        <f t="shared" si="384"/>
        <v>1.1452682338758289</v>
      </c>
      <c r="DG111" s="173">
        <f t="shared" si="385"/>
        <v>1.3869888208084145</v>
      </c>
      <c r="DH111" s="173"/>
      <c r="DI111" s="173">
        <f t="shared" si="386"/>
        <v>0.55164319248826299</v>
      </c>
      <c r="DJ111" s="545">
        <f t="shared" si="387"/>
        <v>27.191489361702125</v>
      </c>
      <c r="DK111" s="528">
        <f t="shared" si="388"/>
        <v>0.3217918622848201</v>
      </c>
      <c r="DM111" s="173">
        <f t="shared" si="389"/>
        <v>0.92909734931194388</v>
      </c>
      <c r="DN111" s="173">
        <f t="shared" si="390"/>
        <v>3.3333333333333335</v>
      </c>
      <c r="DO111" s="173">
        <f t="shared" si="391"/>
        <v>1.0155379939209725</v>
      </c>
      <c r="DQ111" s="545">
        <f t="shared" si="392"/>
        <v>25</v>
      </c>
      <c r="DR111" s="460">
        <f t="shared" si="393"/>
        <v>27.191489361702125</v>
      </c>
      <c r="DT111">
        <f t="shared" ref="DT111:DT174" si="430">IF(CL111&gt;CR111, " ",DQ111)</f>
        <v>25</v>
      </c>
      <c r="DU111">
        <f t="shared" ref="DU111:DU174" si="431">IF(CL111&gt;CR111, " ",DR111)</f>
        <v>27.191489361702125</v>
      </c>
      <c r="DW111" s="5">
        <f t="shared" si="394"/>
        <v>36.776212832550861</v>
      </c>
      <c r="DX111" s="5">
        <f t="shared" si="395"/>
        <v>0.82456140350877194</v>
      </c>
      <c r="DY111" s="5">
        <f t="shared" si="396"/>
        <v>35.951651429042087</v>
      </c>
      <c r="DZ111" s="5"/>
      <c r="EA111" s="173">
        <f t="shared" si="397"/>
        <v>2.2421052631578946E-2</v>
      </c>
      <c r="EB111" s="173">
        <f t="shared" si="398"/>
        <v>0.71</v>
      </c>
      <c r="EC111" s="173">
        <f t="shared" si="399"/>
        <v>1.6292982456140352</v>
      </c>
      <c r="ED111" s="173">
        <f t="shared" si="400"/>
        <v>0.43577043178636798</v>
      </c>
      <c r="EE111" s="460">
        <f t="shared" si="401"/>
        <v>7.3621553884711782E-2</v>
      </c>
      <c r="EF111" s="5">
        <f t="shared" si="402"/>
        <v>0.94609609023794961</v>
      </c>
      <c r="EH111" s="173">
        <f t="shared" si="403"/>
        <v>0.28816824195687252</v>
      </c>
      <c r="EI111" s="173">
        <f t="shared" si="404"/>
        <v>1.902803922644472</v>
      </c>
      <c r="EK111" s="528">
        <f t="shared" si="405"/>
        <v>9.9649122807017555E-4</v>
      </c>
      <c r="EL111" s="528">
        <f t="shared" si="406"/>
        <v>8.1628851063829791E-2</v>
      </c>
      <c r="EM111" s="528">
        <f t="shared" si="407"/>
        <v>3.1270212765957444E-3</v>
      </c>
      <c r="EN111" s="528">
        <f t="shared" si="408"/>
        <v>3.0088179689361696E-2</v>
      </c>
      <c r="EO111">
        <f t="shared" si="409"/>
        <v>8.5500000000000003E-3</v>
      </c>
      <c r="EP111" s="460">
        <f t="shared" si="410"/>
        <v>11.677021276595745</v>
      </c>
      <c r="EQ111" s="460"/>
      <c r="ER111" s="460">
        <f t="shared" ref="ER111:ER174" si="432">SUM(EK111:EO111)*1000</f>
        <v>124.3905432578574</v>
      </c>
      <c r="ES111" s="528">
        <f t="shared" si="411"/>
        <v>1.7499999999999998E-2</v>
      </c>
      <c r="EV111" s="460">
        <f t="shared" si="412"/>
        <v>17.499999999999996</v>
      </c>
      <c r="EW111" s="528">
        <f t="shared" si="413"/>
        <v>1.1625730994152047E-3</v>
      </c>
      <c r="EX111" s="528">
        <f t="shared" si="414"/>
        <v>5.0689278752436652E-2</v>
      </c>
      <c r="EY111" s="528">
        <f t="shared" si="415"/>
        <v>3.9106536789738338E-3</v>
      </c>
      <c r="EZ111" s="528"/>
      <c r="FA111" s="528">
        <f t="shared" si="416"/>
        <v>3.0212765957446808E-2</v>
      </c>
      <c r="FB111" s="460">
        <f t="shared" si="417"/>
        <v>85.975271488272497</v>
      </c>
      <c r="FC111" s="173">
        <f t="shared" si="418"/>
        <v>0.22786581474612991</v>
      </c>
      <c r="FD111" s="5">
        <f t="shared" si="419"/>
        <v>0.70000000000000007</v>
      </c>
      <c r="FE111" s="173">
        <f t="shared" si="420"/>
        <v>0.75441943099447473</v>
      </c>
      <c r="FF111" s="5">
        <f t="shared" si="421"/>
        <v>75.441943099447471</v>
      </c>
      <c r="FI111" s="562">
        <f t="shared" si="422"/>
        <v>-50</v>
      </c>
      <c r="FJ111">
        <f t="shared" si="423"/>
        <v>-50</v>
      </c>
      <c r="FL111">
        <f t="shared" si="424"/>
        <v>1.5000000000000001E-2</v>
      </c>
    </row>
    <row r="112" spans="5:168">
      <c r="E112" s="170">
        <v>2</v>
      </c>
      <c r="F112" s="217">
        <f t="shared" si="425"/>
        <v>0.05</v>
      </c>
      <c r="G112" s="217"/>
      <c r="H112" s="217">
        <f t="shared" si="315"/>
        <v>1.4000000000000001</v>
      </c>
      <c r="I112" s="541">
        <f t="shared" si="316"/>
        <v>18.956972913142501</v>
      </c>
      <c r="J112" s="172">
        <f t="shared" si="317"/>
        <v>28.423168431384806</v>
      </c>
      <c r="K112" s="172">
        <f t="shared" si="318"/>
        <v>47.380141344527303</v>
      </c>
      <c r="L112" s="443"/>
      <c r="M112" s="217">
        <f t="shared" si="319"/>
        <v>0.59989762804556523</v>
      </c>
      <c r="N112" s="172">
        <f t="shared" si="426"/>
        <v>95.458285843014792</v>
      </c>
      <c r="O112" s="172">
        <f t="shared" si="284"/>
        <v>1.4000000000000001</v>
      </c>
      <c r="P112" s="217">
        <f t="shared" si="320"/>
        <v>3.4092244943933854</v>
      </c>
      <c r="Q112" s="217">
        <f t="shared" si="321"/>
        <v>28</v>
      </c>
      <c r="R112" s="217"/>
      <c r="S112" s="172">
        <f t="shared" si="322"/>
        <v>3140.5409267881873</v>
      </c>
      <c r="T112" s="172">
        <f t="shared" si="323"/>
        <v>28</v>
      </c>
      <c r="U112" s="217">
        <f t="shared" si="324"/>
        <v>0.24993603389931518</v>
      </c>
      <c r="V112" s="217">
        <f t="shared" si="325"/>
        <v>6.1966610634991474E-2</v>
      </c>
      <c r="W112" s="217">
        <f t="shared" si="326"/>
        <v>4.1328937769994724E-2</v>
      </c>
      <c r="X112" s="197">
        <f t="shared" si="327"/>
        <v>350</v>
      </c>
      <c r="Y112" s="443">
        <f t="shared" si="328"/>
        <v>350</v>
      </c>
      <c r="AA112" s="217">
        <f t="shared" si="329"/>
        <v>6.9132016338041229</v>
      </c>
      <c r="AB112" s="173">
        <f t="shared" si="330"/>
        <v>1.1431536127760382</v>
      </c>
      <c r="AC112" s="173">
        <f t="shared" si="331"/>
        <v>1.3829989991181688</v>
      </c>
      <c r="AD112" s="173"/>
      <c r="AE112" s="173">
        <f t="shared" si="332"/>
        <v>0.55119353440440388</v>
      </c>
      <c r="AF112" s="545">
        <f t="shared" si="333"/>
        <v>54.427343804779412</v>
      </c>
      <c r="AG112" s="528">
        <f t="shared" si="334"/>
        <v>0.3215295617359023</v>
      </c>
      <c r="AI112" s="173">
        <f t="shared" si="335"/>
        <v>1.3144779131954678</v>
      </c>
      <c r="AJ112" s="173">
        <f t="shared" si="336"/>
        <v>3.3333333333333335</v>
      </c>
      <c r="AK112" s="173">
        <f t="shared" si="337"/>
        <v>1.0311013393170168</v>
      </c>
      <c r="AM112" s="545">
        <f t="shared" si="338"/>
        <v>50</v>
      </c>
      <c r="AN112" s="460">
        <f t="shared" si="339"/>
        <v>54.427343804779412</v>
      </c>
      <c r="AP112" s="460">
        <f t="shared" si="340"/>
        <v>50</v>
      </c>
      <c r="AQ112" s="460">
        <f t="shared" si="341"/>
        <v>54.427343804779412</v>
      </c>
      <c r="AS112" s="5">
        <f t="shared" si="285"/>
        <v>18.373117813480128</v>
      </c>
      <c r="AT112" s="5">
        <f t="shared" si="342"/>
        <v>0.82643292990123285</v>
      </c>
      <c r="AU112" s="5">
        <f t="shared" si="343"/>
        <v>17.546684883578894</v>
      </c>
      <c r="AV112" s="5"/>
      <c r="AW112" s="173">
        <f t="shared" si="344"/>
        <v>4.4980549207325568E-2</v>
      </c>
      <c r="AX112" s="173">
        <f t="shared" si="214"/>
        <v>1.4211584215692403</v>
      </c>
      <c r="AY112" s="173">
        <f t="shared" si="215"/>
        <v>1.5916990846544574</v>
      </c>
      <c r="AZ112" s="173">
        <f t="shared" si="288"/>
        <v>0.89285621589570752</v>
      </c>
      <c r="BA112" s="460">
        <f t="shared" si="345"/>
        <v>0.14757730891093446</v>
      </c>
      <c r="BB112" s="5">
        <f t="shared" si="346"/>
        <v>0.92560584245041133</v>
      </c>
      <c r="BD112" s="173">
        <f t="shared" si="289"/>
        <v>0.40816005034030267</v>
      </c>
      <c r="BE112" s="173">
        <f t="shared" si="218"/>
        <v>1.8807203611940575</v>
      </c>
      <c r="BG112" s="528">
        <f t="shared" si="347"/>
        <v>1.9991355203255808E-3</v>
      </c>
      <c r="BH112" s="528">
        <f t="shared" si="348"/>
        <v>0.15687549391738922</v>
      </c>
      <c r="BI112" s="528">
        <f t="shared" si="349"/>
        <v>6.2591445375496328E-3</v>
      </c>
      <c r="BJ112" s="528">
        <f t="shared" si="350"/>
        <v>6.0174997226046238E-2</v>
      </c>
      <c r="BK112">
        <f t="shared" si="351"/>
        <v>8.5306378109141247E-3</v>
      </c>
      <c r="BL112" s="460">
        <f t="shared" si="427"/>
        <v>14.789782348463758</v>
      </c>
      <c r="BM112" s="528">
        <f t="shared" si="352"/>
        <v>0.21969374659745508</v>
      </c>
      <c r="BN112" s="460">
        <f t="shared" si="353"/>
        <v>219.69374659745509</v>
      </c>
      <c r="BO112" s="528">
        <f t="shared" si="354"/>
        <v>3.4999999999999996E-2</v>
      </c>
      <c r="BR112" s="460">
        <f t="shared" si="355"/>
        <v>34.999999999999993</v>
      </c>
      <c r="BS112" s="528">
        <f t="shared" si="356"/>
        <v>2.3323247737131775E-3</v>
      </c>
      <c r="BT112" s="528">
        <f t="shared" si="357"/>
        <v>4.9519527078138684E-2</v>
      </c>
      <c r="BU112" s="528">
        <f t="shared" si="358"/>
        <v>2.2167142743239557E-2</v>
      </c>
      <c r="BV112" s="528"/>
      <c r="BW112" s="528">
        <f t="shared" si="359"/>
        <v>6.0474826449754909E-2</v>
      </c>
      <c r="BX112" s="460">
        <f t="shared" si="360"/>
        <v>134.49382104484633</v>
      </c>
      <c r="BY112" s="173">
        <f>SUM(BG112:BK112,BO112:BQ112,BS112:BW112)</f>
        <v>0.40333323005707111</v>
      </c>
      <c r="BZ112" s="5">
        <f t="shared" si="362"/>
        <v>1.4000000000000001</v>
      </c>
      <c r="CA112" s="173">
        <f t="shared" si="363"/>
        <v>0.77634015536645629</v>
      </c>
      <c r="CB112" s="5">
        <f t="shared" si="364"/>
        <v>77.634015536645634</v>
      </c>
      <c r="CE112" s="562">
        <f t="shared" si="365"/>
        <v>-50</v>
      </c>
      <c r="CF112">
        <f t="shared" si="366"/>
        <v>-50</v>
      </c>
      <c r="CG112" s="173">
        <f t="shared" si="367"/>
        <v>3.0213525826310688E-2</v>
      </c>
      <c r="CI112" s="170">
        <v>2</v>
      </c>
      <c r="CJ112" s="217">
        <f t="shared" si="428"/>
        <v>0.05</v>
      </c>
      <c r="CK112" s="217"/>
      <c r="CL112" s="217">
        <f t="shared" si="368"/>
        <v>1.4000000000000001</v>
      </c>
      <c r="CM112" s="541">
        <f t="shared" si="369"/>
        <v>19</v>
      </c>
      <c r="CN112" s="443">
        <f t="shared" si="370"/>
        <v>28.4</v>
      </c>
      <c r="CO112" s="443">
        <f t="shared" si="371"/>
        <v>47.4</v>
      </c>
      <c r="CP112" s="443"/>
      <c r="CQ112" s="217">
        <f t="shared" si="372"/>
        <v>0.59915611814345993</v>
      </c>
      <c r="CR112" s="172">
        <f t="shared" si="429"/>
        <v>95.556689708830859</v>
      </c>
      <c r="CS112" s="172">
        <f t="shared" si="373"/>
        <v>1.4000000000000001</v>
      </c>
      <c r="CT112" s="217">
        <f t="shared" si="374"/>
        <v>3.4127389181725305</v>
      </c>
      <c r="CU112" s="217">
        <f t="shared" si="375"/>
        <v>28</v>
      </c>
      <c r="CV112" s="217"/>
      <c r="CW112" s="172">
        <f t="shared" si="376"/>
        <v>3147.6690808449471</v>
      </c>
      <c r="CX112" s="172">
        <f t="shared" si="377"/>
        <v>28</v>
      </c>
      <c r="CY112" s="217">
        <f t="shared" si="378"/>
        <v>0.24595997034840622</v>
      </c>
      <c r="CZ112" s="217">
        <f t="shared" si="379"/>
        <v>6.084272950723732E-2</v>
      </c>
      <c r="DA112" s="217">
        <f t="shared" si="380"/>
        <v>4.0704642980193988E-2</v>
      </c>
      <c r="DB112" s="197">
        <f t="shared" si="381"/>
        <v>350</v>
      </c>
      <c r="DC112" s="443">
        <f t="shared" si="382"/>
        <v>350</v>
      </c>
      <c r="DE112" s="217">
        <f t="shared" si="383"/>
        <v>6.9203442217177731</v>
      </c>
      <c r="DF112" s="173">
        <f t="shared" si="384"/>
        <v>1.1452682338758289</v>
      </c>
      <c r="DG112" s="173">
        <f t="shared" si="385"/>
        <v>1.3869888208084145</v>
      </c>
      <c r="DH112" s="173"/>
      <c r="DI112" s="173">
        <f t="shared" si="386"/>
        <v>0.55164319248826299</v>
      </c>
      <c r="DJ112" s="545">
        <f t="shared" si="387"/>
        <v>54.38297872340425</v>
      </c>
      <c r="DK112" s="528">
        <f t="shared" si="388"/>
        <v>0.3217918622848201</v>
      </c>
      <c r="DM112" s="173">
        <f t="shared" si="389"/>
        <v>1.313942072161844</v>
      </c>
      <c r="DN112" s="173">
        <f t="shared" si="390"/>
        <v>3.3333333333333335</v>
      </c>
      <c r="DO112" s="173">
        <f t="shared" si="391"/>
        <v>1.0310759878419453</v>
      </c>
      <c r="DQ112" s="545">
        <f t="shared" si="392"/>
        <v>50</v>
      </c>
      <c r="DR112" s="460">
        <f t="shared" si="393"/>
        <v>54.38297872340425</v>
      </c>
      <c r="DT112">
        <f t="shared" si="430"/>
        <v>50</v>
      </c>
      <c r="DU112">
        <f t="shared" si="431"/>
        <v>54.38297872340425</v>
      </c>
      <c r="DW112" s="5">
        <f t="shared" si="394"/>
        <v>18.388106416275431</v>
      </c>
      <c r="DX112" s="5">
        <f t="shared" si="395"/>
        <v>0.82456140350877194</v>
      </c>
      <c r="DY112" s="5">
        <f t="shared" si="396"/>
        <v>17.56354501276666</v>
      </c>
      <c r="DZ112" s="5"/>
      <c r="EA112" s="173">
        <f t="shared" si="397"/>
        <v>4.4842105263157891E-2</v>
      </c>
      <c r="EB112" s="173">
        <f t="shared" si="398"/>
        <v>1.42</v>
      </c>
      <c r="EC112" s="173">
        <f t="shared" si="399"/>
        <v>1.5919298245614035</v>
      </c>
      <c r="ED112" s="173">
        <f t="shared" si="400"/>
        <v>0.89199911836014978</v>
      </c>
      <c r="EE112" s="460">
        <f t="shared" si="401"/>
        <v>0.14724310776942356</v>
      </c>
      <c r="EF112" s="5">
        <f t="shared" si="402"/>
        <v>0.92439710593508739</v>
      </c>
      <c r="EH112" s="173">
        <f t="shared" si="403"/>
        <v>0.4075314360206207</v>
      </c>
      <c r="EI112" s="173">
        <f t="shared" si="404"/>
        <v>1.8808566751240445</v>
      </c>
      <c r="EK112" s="528">
        <f t="shared" si="405"/>
        <v>1.9929824561403511E-3</v>
      </c>
      <c r="EL112" s="528">
        <f t="shared" si="406"/>
        <v>0.16325770212765958</v>
      </c>
      <c r="EM112" s="528">
        <f t="shared" si="407"/>
        <v>6.2540425531914887E-3</v>
      </c>
      <c r="EN112" s="528">
        <f t="shared" si="408"/>
        <v>6.0176359378723392E-2</v>
      </c>
      <c r="EO112">
        <f t="shared" si="409"/>
        <v>8.5500000000000003E-3</v>
      </c>
      <c r="EP112" s="460">
        <f t="shared" si="410"/>
        <v>14.80404255319149</v>
      </c>
      <c r="EQ112" s="460"/>
      <c r="ER112" s="460">
        <f t="shared" si="432"/>
        <v>240.23108651571482</v>
      </c>
      <c r="ES112" s="528">
        <f t="shared" si="411"/>
        <v>3.4999999999999996E-2</v>
      </c>
      <c r="EV112" s="460">
        <f t="shared" si="412"/>
        <v>34.999999999999993</v>
      </c>
      <c r="EW112" s="528">
        <f t="shared" si="413"/>
        <v>2.3251461988304093E-3</v>
      </c>
      <c r="EX112" s="528">
        <f t="shared" si="414"/>
        <v>4.9526705653021461E-2</v>
      </c>
      <c r="EY112" s="528">
        <f t="shared" si="415"/>
        <v>2.2121997882196168E-2</v>
      </c>
      <c r="EZ112" s="528"/>
      <c r="FA112" s="528">
        <f t="shared" si="416"/>
        <v>6.0425531914893617E-2</v>
      </c>
      <c r="FB112" s="460">
        <f t="shared" si="417"/>
        <v>134.39938164894167</v>
      </c>
      <c r="FC112" s="173">
        <f t="shared" si="418"/>
        <v>0.40963046816465648</v>
      </c>
      <c r="FD112" s="5">
        <f t="shared" si="419"/>
        <v>1.4000000000000001</v>
      </c>
      <c r="FE112" s="173">
        <f t="shared" si="420"/>
        <v>0.77363860999748346</v>
      </c>
      <c r="FF112" s="5">
        <f t="shared" si="421"/>
        <v>77.36386099974834</v>
      </c>
      <c r="FI112" s="562">
        <f t="shared" si="422"/>
        <v>-50</v>
      </c>
      <c r="FJ112">
        <f t="shared" si="423"/>
        <v>-50</v>
      </c>
      <c r="FL112">
        <f t="shared" si="424"/>
        <v>3.0000000000000002E-2</v>
      </c>
    </row>
    <row r="113" spans="5:168">
      <c r="E113" s="170">
        <v>3</v>
      </c>
      <c r="F113" s="217">
        <f t="shared" si="425"/>
        <v>7.4999999999999997E-2</v>
      </c>
      <c r="G113" s="217"/>
      <c r="H113" s="217">
        <f t="shared" si="315"/>
        <v>2.1</v>
      </c>
      <c r="I113" s="541">
        <f t="shared" si="316"/>
        <v>18.956972913142501</v>
      </c>
      <c r="J113" s="172">
        <f t="shared" si="317"/>
        <v>28.423168431384806</v>
      </c>
      <c r="K113" s="172">
        <f t="shared" si="318"/>
        <v>47.380141344527303</v>
      </c>
      <c r="L113" s="443"/>
      <c r="M113" s="217">
        <f t="shared" si="319"/>
        <v>0.59989762804556523</v>
      </c>
      <c r="N113" s="172">
        <f t="shared" si="426"/>
        <v>95.458285843014792</v>
      </c>
      <c r="O113" s="172">
        <f t="shared" si="284"/>
        <v>2.1</v>
      </c>
      <c r="P113" s="217">
        <f t="shared" si="320"/>
        <v>3.4092244943933854</v>
      </c>
      <c r="Q113" s="217">
        <f t="shared" si="321"/>
        <v>28</v>
      </c>
      <c r="R113" s="217"/>
      <c r="S113" s="172">
        <f t="shared" si="322"/>
        <v>2087.3769827612932</v>
      </c>
      <c r="T113" s="172">
        <f t="shared" si="323"/>
        <v>28</v>
      </c>
      <c r="U113" s="217">
        <f t="shared" si="324"/>
        <v>0.37490405084897271</v>
      </c>
      <c r="V113" s="217">
        <f t="shared" si="325"/>
        <v>9.2949915952487194E-2</v>
      </c>
      <c r="W113" s="217">
        <f t="shared" si="326"/>
        <v>6.1993406654992082E-2</v>
      </c>
      <c r="X113" s="197">
        <f t="shared" si="327"/>
        <v>350</v>
      </c>
      <c r="Y113" s="443">
        <f t="shared" si="328"/>
        <v>350</v>
      </c>
      <c r="AA113" s="217">
        <f t="shared" si="329"/>
        <v>6.9132016338041229</v>
      </c>
      <c r="AB113" s="173">
        <f t="shared" si="330"/>
        <v>1.1431536127760382</v>
      </c>
      <c r="AC113" s="173">
        <f t="shared" si="331"/>
        <v>1.3829989991181688</v>
      </c>
      <c r="AD113" s="173"/>
      <c r="AE113" s="173">
        <f t="shared" si="332"/>
        <v>0.55119353440440388</v>
      </c>
      <c r="AF113" s="545">
        <f t="shared" si="333"/>
        <v>81.641015707169103</v>
      </c>
      <c r="AG113" s="528">
        <f t="shared" si="334"/>
        <v>0.3215295617359023</v>
      </c>
      <c r="AI113" s="173">
        <f t="shared" si="335"/>
        <v>1.6099000827436676</v>
      </c>
      <c r="AJ113" s="173">
        <f t="shared" si="336"/>
        <v>3.3333333333333335</v>
      </c>
      <c r="AK113" s="173">
        <f t="shared" si="337"/>
        <v>1.0466520089755251</v>
      </c>
      <c r="AM113" s="545">
        <f t="shared" si="338"/>
        <v>75</v>
      </c>
      <c r="AN113" s="460">
        <f t="shared" si="339"/>
        <v>81.641015707169103</v>
      </c>
      <c r="AP113" s="460">
        <f t="shared" si="340"/>
        <v>75</v>
      </c>
      <c r="AQ113" s="460">
        <f t="shared" si="341"/>
        <v>81.641015707169103</v>
      </c>
      <c r="AS113" s="5">
        <f t="shared" si="285"/>
        <v>12.248745208986755</v>
      </c>
      <c r="AT113" s="5">
        <f t="shared" si="342"/>
        <v>0.82643292990123285</v>
      </c>
      <c r="AU113" s="5">
        <f t="shared" si="343"/>
        <v>11.422312279085522</v>
      </c>
      <c r="AV113" s="5"/>
      <c r="AW113" s="173">
        <f t="shared" si="344"/>
        <v>6.7470823810988345E-2</v>
      </c>
      <c r="AX113" s="173">
        <f t="shared" si="214"/>
        <v>2.1317376323538602</v>
      </c>
      <c r="AY113" s="173">
        <f t="shared" si="215"/>
        <v>1.5542152936483529</v>
      </c>
      <c r="AZ113" s="173">
        <f t="shared" si="288"/>
        <v>1.3715845166790477</v>
      </c>
      <c r="BA113" s="460">
        <f t="shared" si="345"/>
        <v>0.22136596336640163</v>
      </c>
      <c r="BB113" s="5">
        <f t="shared" si="346"/>
        <v>0.90380824497301382</v>
      </c>
      <c r="BD113" s="173">
        <f t="shared" si="289"/>
        <v>0.49989192836121848</v>
      </c>
      <c r="BE113" s="173">
        <f t="shared" si="218"/>
        <v>1.8584433711208437</v>
      </c>
      <c r="BG113" s="528">
        <f t="shared" si="347"/>
        <v>2.9987032804883709E-3</v>
      </c>
      <c r="BH113" s="528">
        <f t="shared" si="348"/>
        <v>0.23531324087608382</v>
      </c>
      <c r="BI113" s="528">
        <f t="shared" si="349"/>
        <v>9.3887168063244483E-3</v>
      </c>
      <c r="BJ113" s="528">
        <f t="shared" si="350"/>
        <v>9.0262495839069326E-2</v>
      </c>
      <c r="BK113">
        <f t="shared" si="351"/>
        <v>8.5306378109141247E-3</v>
      </c>
      <c r="BL113" s="460">
        <f t="shared" si="427"/>
        <v>17.919354617238572</v>
      </c>
      <c r="BM113" s="528">
        <f t="shared" si="352"/>
        <v>0.32961894070653014</v>
      </c>
      <c r="BN113" s="460">
        <f t="shared" si="353"/>
        <v>329.61894070653011</v>
      </c>
      <c r="BO113" s="528">
        <f t="shared" si="354"/>
        <v>5.2499999999999998E-2</v>
      </c>
      <c r="BR113" s="460">
        <f t="shared" si="355"/>
        <v>52.5</v>
      </c>
      <c r="BS113" s="528">
        <f t="shared" si="356"/>
        <v>3.4984871605697665E-3</v>
      </c>
      <c r="BT113" s="528">
        <f t="shared" si="357"/>
        <v>4.835336469128209E-2</v>
      </c>
      <c r="BU113" s="528">
        <f t="shared" si="358"/>
        <v>6.1085462373422723E-2</v>
      </c>
      <c r="BV113" s="528"/>
      <c r="BW113" s="528">
        <f t="shared" si="359"/>
        <v>9.071223967463235E-2</v>
      </c>
      <c r="BX113" s="460">
        <f t="shared" si="360"/>
        <v>203.64955389990695</v>
      </c>
      <c r="BY113" s="173">
        <f t="shared" si="361"/>
        <v>0.60264334851278711</v>
      </c>
      <c r="BZ113" s="5">
        <f t="shared" si="362"/>
        <v>2.1</v>
      </c>
      <c r="CA113" s="173">
        <f t="shared" si="363"/>
        <v>0.77701706411080462</v>
      </c>
      <c r="CB113" s="5">
        <f t="shared" si="364"/>
        <v>77.701706411080465</v>
      </c>
      <c r="CE113" s="562">
        <f t="shared" si="365"/>
        <v>-50</v>
      </c>
      <c r="CF113">
        <f t="shared" si="366"/>
        <v>-50</v>
      </c>
      <c r="CG113" s="173">
        <f t="shared" si="367"/>
        <v>4.532028873946603E-2</v>
      </c>
      <c r="CI113" s="170">
        <v>3</v>
      </c>
      <c r="CJ113" s="217">
        <f t="shared" si="428"/>
        <v>7.4999999999999997E-2</v>
      </c>
      <c r="CK113" s="217"/>
      <c r="CL113" s="217">
        <f t="shared" si="368"/>
        <v>2.1</v>
      </c>
      <c r="CM113" s="541">
        <f t="shared" si="369"/>
        <v>19</v>
      </c>
      <c r="CN113" s="443">
        <f t="shared" si="370"/>
        <v>28.4</v>
      </c>
      <c r="CO113" s="443">
        <f t="shared" si="371"/>
        <v>47.4</v>
      </c>
      <c r="CP113" s="443"/>
      <c r="CQ113" s="217">
        <f t="shared" si="372"/>
        <v>0.59915611814345993</v>
      </c>
      <c r="CR113" s="172">
        <f t="shared" si="429"/>
        <v>95.556689708830859</v>
      </c>
      <c r="CS113" s="172">
        <f t="shared" si="373"/>
        <v>2.1</v>
      </c>
      <c r="CT113" s="217">
        <f t="shared" si="374"/>
        <v>3.4127389181725305</v>
      </c>
      <c r="CU113" s="217">
        <f t="shared" si="375"/>
        <v>28</v>
      </c>
      <c r="CV113" s="217"/>
      <c r="CW113" s="172">
        <f t="shared" si="376"/>
        <v>2092.114743104637</v>
      </c>
      <c r="CX113" s="172">
        <f t="shared" si="377"/>
        <v>28</v>
      </c>
      <c r="CY113" s="217">
        <f t="shared" si="378"/>
        <v>0.36893995552260933</v>
      </c>
      <c r="CZ113" s="217">
        <f t="shared" si="379"/>
        <v>9.126409426085598E-2</v>
      </c>
      <c r="DA113" s="217">
        <f t="shared" si="380"/>
        <v>6.1056964470290985E-2</v>
      </c>
      <c r="DB113" s="197">
        <f t="shared" si="381"/>
        <v>350</v>
      </c>
      <c r="DC113" s="443">
        <f t="shared" si="382"/>
        <v>350</v>
      </c>
      <c r="DE113" s="217">
        <f t="shared" si="383"/>
        <v>6.9203442217177731</v>
      </c>
      <c r="DF113" s="173">
        <f t="shared" si="384"/>
        <v>1.1452682338758289</v>
      </c>
      <c r="DG113" s="173">
        <f t="shared" si="385"/>
        <v>1.3869888208084145</v>
      </c>
      <c r="DH113" s="173"/>
      <c r="DI113" s="173">
        <f t="shared" si="386"/>
        <v>0.55164319248826299</v>
      </c>
      <c r="DJ113" s="545">
        <f t="shared" si="387"/>
        <v>81.574468085106375</v>
      </c>
      <c r="DK113" s="528">
        <f t="shared" si="388"/>
        <v>0.3217918622848201</v>
      </c>
      <c r="DM113" s="173">
        <f t="shared" si="389"/>
        <v>1.6092438141858556</v>
      </c>
      <c r="DN113" s="173">
        <f t="shared" si="390"/>
        <v>3.3333333333333335</v>
      </c>
      <c r="DO113" s="173">
        <f t="shared" si="391"/>
        <v>1.0466139817629179</v>
      </c>
      <c r="DQ113" s="545">
        <f t="shared" si="392"/>
        <v>75</v>
      </c>
      <c r="DR113" s="460">
        <f t="shared" si="393"/>
        <v>81.574468085106375</v>
      </c>
      <c r="DT113">
        <f t="shared" si="430"/>
        <v>75</v>
      </c>
      <c r="DU113">
        <f t="shared" si="431"/>
        <v>81.574468085106375</v>
      </c>
      <c r="DW113" s="5">
        <f t="shared" si="394"/>
        <v>12.258737610850288</v>
      </c>
      <c r="DX113" s="5">
        <f t="shared" si="395"/>
        <v>0.82456140350877194</v>
      </c>
      <c r="DY113" s="5">
        <f t="shared" si="396"/>
        <v>11.434176207341515</v>
      </c>
      <c r="DZ113" s="5"/>
      <c r="EA113" s="173">
        <f t="shared" si="397"/>
        <v>6.7263157894736844E-2</v>
      </c>
      <c r="EB113" s="173">
        <f t="shared" si="398"/>
        <v>2.13</v>
      </c>
      <c r="EC113" s="173">
        <f t="shared" si="399"/>
        <v>1.554561403508772</v>
      </c>
      <c r="ED113" s="173">
        <f t="shared" si="400"/>
        <v>1.3701613813339351</v>
      </c>
      <c r="EE113" s="460">
        <f t="shared" si="401"/>
        <v>0.22086466165413532</v>
      </c>
      <c r="EF113" s="5">
        <f t="shared" si="402"/>
        <v>0.90269812163222485</v>
      </c>
      <c r="EH113" s="173">
        <f t="shared" si="403"/>
        <v>0.49912203619710466</v>
      </c>
      <c r="EI113" s="173">
        <f t="shared" si="404"/>
        <v>1.8586502889694339</v>
      </c>
      <c r="EK113" s="528">
        <f t="shared" si="405"/>
        <v>2.9894736842105262E-3</v>
      </c>
      <c r="EL113" s="528">
        <f t="shared" si="406"/>
        <v>0.24488655319148936</v>
      </c>
      <c r="EM113" s="528">
        <f t="shared" si="407"/>
        <v>9.381063829787234E-3</v>
      </c>
      <c r="EN113" s="528">
        <f t="shared" si="408"/>
        <v>9.0264539068085098E-2</v>
      </c>
      <c r="EO113">
        <f t="shared" si="409"/>
        <v>8.5500000000000003E-3</v>
      </c>
      <c r="EP113" s="460">
        <f t="shared" si="410"/>
        <v>17.931063829787234</v>
      </c>
      <c r="EQ113" s="460"/>
      <c r="ER113" s="460">
        <f t="shared" si="432"/>
        <v>356.07162977357217</v>
      </c>
      <c r="ES113" s="528">
        <f t="shared" si="411"/>
        <v>5.2499999999999998E-2</v>
      </c>
      <c r="EV113" s="460">
        <f t="shared" si="412"/>
        <v>52.5</v>
      </c>
      <c r="EW113" s="528">
        <f t="shared" si="413"/>
        <v>3.4877192982456142E-3</v>
      </c>
      <c r="EX113" s="528">
        <f t="shared" si="414"/>
        <v>4.8364132553606241E-2</v>
      </c>
      <c r="EY113" s="528">
        <f t="shared" si="415"/>
        <v>6.0961057765099545E-2</v>
      </c>
      <c r="EZ113" s="528"/>
      <c r="FA113" s="528">
        <f t="shared" si="416"/>
        <v>9.0638297872340429E-2</v>
      </c>
      <c r="FB113" s="460">
        <f t="shared" si="417"/>
        <v>203.45120748929182</v>
      </c>
      <c r="FC113" s="173">
        <f t="shared" si="418"/>
        <v>0.61202283726286399</v>
      </c>
      <c r="FD113" s="5">
        <f t="shared" si="419"/>
        <v>2.1</v>
      </c>
      <c r="FE113" s="173">
        <f t="shared" si="420"/>
        <v>0.7743297626945671</v>
      </c>
      <c r="FF113" s="5">
        <f t="shared" si="421"/>
        <v>77.432976269456717</v>
      </c>
      <c r="FI113" s="562">
        <f t="shared" si="422"/>
        <v>-50</v>
      </c>
      <c r="FJ113">
        <f t="shared" si="423"/>
        <v>-50</v>
      </c>
      <c r="FL113">
        <f t="shared" si="424"/>
        <v>4.4999999999999998E-2</v>
      </c>
    </row>
    <row r="114" spans="5:168">
      <c r="E114" s="170">
        <v>4</v>
      </c>
      <c r="F114" s="217">
        <f t="shared" si="425"/>
        <v>0.1</v>
      </c>
      <c r="G114" s="217"/>
      <c r="H114" s="217">
        <f t="shared" si="315"/>
        <v>2.8000000000000003</v>
      </c>
      <c r="I114" s="541">
        <f t="shared" si="316"/>
        <v>18.956972913142501</v>
      </c>
      <c r="J114" s="172">
        <f t="shared" si="317"/>
        <v>28.423168431384806</v>
      </c>
      <c r="K114" s="172">
        <f t="shared" si="318"/>
        <v>47.380141344527303</v>
      </c>
      <c r="L114" s="443"/>
      <c r="M114" s="217">
        <f t="shared" si="319"/>
        <v>0.59989762804556523</v>
      </c>
      <c r="N114" s="172">
        <f t="shared" si="426"/>
        <v>95.458285843014792</v>
      </c>
      <c r="O114" s="172">
        <f t="shared" si="284"/>
        <v>2.8000000000000003</v>
      </c>
      <c r="P114" s="217">
        <f t="shared" si="320"/>
        <v>3.4092244943933854</v>
      </c>
      <c r="Q114" s="217">
        <f t="shared" si="321"/>
        <v>28</v>
      </c>
      <c r="R114" s="217"/>
      <c r="S114" s="172">
        <f t="shared" si="322"/>
        <v>1560.7956268884493</v>
      </c>
      <c r="T114" s="172">
        <f t="shared" si="323"/>
        <v>28</v>
      </c>
      <c r="U114" s="217">
        <f t="shared" si="324"/>
        <v>0.49987206779863036</v>
      </c>
      <c r="V114" s="217">
        <f t="shared" si="325"/>
        <v>0.12393322126998295</v>
      </c>
      <c r="W114" s="217">
        <f t="shared" si="326"/>
        <v>8.2657875539989448E-2</v>
      </c>
      <c r="X114" s="197">
        <f t="shared" si="327"/>
        <v>350</v>
      </c>
      <c r="Y114" s="443">
        <f t="shared" si="328"/>
        <v>350</v>
      </c>
      <c r="AA114" s="217">
        <f t="shared" si="329"/>
        <v>6.9132016338041229</v>
      </c>
      <c r="AB114" s="173">
        <f t="shared" si="330"/>
        <v>1.1431536127760382</v>
      </c>
      <c r="AC114" s="173">
        <f t="shared" si="331"/>
        <v>1.3829989991181688</v>
      </c>
      <c r="AD114" s="173"/>
      <c r="AE114" s="173">
        <f t="shared" si="332"/>
        <v>0.55119353440440388</v>
      </c>
      <c r="AF114" s="545">
        <f t="shared" si="333"/>
        <v>108.85468760955882</v>
      </c>
      <c r="AG114" s="528">
        <f t="shared" si="334"/>
        <v>0.3215295617359023</v>
      </c>
      <c r="AI114" s="173">
        <f t="shared" si="335"/>
        <v>1.8589524922809144</v>
      </c>
      <c r="AJ114" s="173">
        <f t="shared" si="336"/>
        <v>3.3333333333333335</v>
      </c>
      <c r="AK114" s="173">
        <f t="shared" si="337"/>
        <v>1.0622026786340335</v>
      </c>
      <c r="AM114" s="545">
        <f t="shared" si="338"/>
        <v>100</v>
      </c>
      <c r="AN114" s="460">
        <f t="shared" si="339"/>
        <v>108.85468760955882</v>
      </c>
      <c r="AP114" s="460">
        <f t="shared" si="340"/>
        <v>100</v>
      </c>
      <c r="AQ114" s="460">
        <f t="shared" si="341"/>
        <v>108.85468760955882</v>
      </c>
      <c r="AS114" s="5">
        <f t="shared" si="285"/>
        <v>9.1865589067400641</v>
      </c>
      <c r="AT114" s="5">
        <f t="shared" si="342"/>
        <v>0.82643292990123285</v>
      </c>
      <c r="AU114" s="5">
        <f t="shared" si="343"/>
        <v>8.3601259768388321</v>
      </c>
      <c r="AV114" s="5"/>
      <c r="AW114" s="173">
        <f t="shared" si="344"/>
        <v>8.9961098414651136E-2</v>
      </c>
      <c r="AX114" s="173">
        <f t="shared" si="214"/>
        <v>2.8423168431384807</v>
      </c>
      <c r="AY114" s="173">
        <f t="shared" si="215"/>
        <v>1.5167315026422481</v>
      </c>
      <c r="AZ114" s="173">
        <f t="shared" si="288"/>
        <v>1.8739749508643908</v>
      </c>
      <c r="BA114" s="460">
        <f t="shared" si="345"/>
        <v>0.29515461782186891</v>
      </c>
      <c r="BB114" s="5">
        <f t="shared" si="346"/>
        <v>0.88201064749561564</v>
      </c>
      <c r="BD114" s="173">
        <f t="shared" si="289"/>
        <v>0.5772254788101413</v>
      </c>
      <c r="BE114" s="173">
        <f t="shared" si="218"/>
        <v>1.8358960891935325</v>
      </c>
      <c r="BG114" s="528">
        <f t="shared" si="347"/>
        <v>3.9982710406511624E-3</v>
      </c>
      <c r="BH114" s="528">
        <f t="shared" si="348"/>
        <v>0.31375098783477845</v>
      </c>
      <c r="BI114" s="528">
        <f t="shared" si="349"/>
        <v>1.2518289075099266E-2</v>
      </c>
      <c r="BJ114" s="528">
        <f t="shared" si="350"/>
        <v>0.12034999445209248</v>
      </c>
      <c r="BK114">
        <f t="shared" si="351"/>
        <v>8.5306378109141247E-3</v>
      </c>
      <c r="BL114" s="460">
        <f t="shared" si="427"/>
        <v>21.04892688601339</v>
      </c>
      <c r="BM114" s="528">
        <f t="shared" si="352"/>
        <v>0.43959639833895292</v>
      </c>
      <c r="BN114" s="460">
        <f t="shared" si="353"/>
        <v>439.59639833895289</v>
      </c>
      <c r="BO114" s="528">
        <f t="shared" si="354"/>
        <v>6.9999999999999993E-2</v>
      </c>
      <c r="BR114" s="460">
        <f t="shared" si="355"/>
        <v>69.999999999999986</v>
      </c>
      <c r="BS114" s="528">
        <f t="shared" si="356"/>
        <v>4.6646495474263559E-3</v>
      </c>
      <c r="BT114" s="528">
        <f t="shared" si="357"/>
        <v>4.7187202304425503E-2</v>
      </c>
      <c r="BU114" s="528">
        <f t="shared" si="358"/>
        <v>0.12539629562619878</v>
      </c>
      <c r="BV114" s="528"/>
      <c r="BW114" s="528">
        <f t="shared" si="359"/>
        <v>0.12094965289950982</v>
      </c>
      <c r="BX114" s="460">
        <f t="shared" si="360"/>
        <v>298.19780037756044</v>
      </c>
      <c r="BY114" s="173">
        <f t="shared" si="361"/>
        <v>0.8273459805910961</v>
      </c>
      <c r="BZ114" s="5">
        <f t="shared" si="362"/>
        <v>2.8000000000000003</v>
      </c>
      <c r="CA114" s="173">
        <f t="shared" si="363"/>
        <v>0.77191423563729766</v>
      </c>
      <c r="CB114" s="5">
        <f t="shared" si="364"/>
        <v>77.191423563729771</v>
      </c>
      <c r="CE114" s="562">
        <f t="shared" si="365"/>
        <v>-50</v>
      </c>
      <c r="CF114">
        <f t="shared" si="366"/>
        <v>-50</v>
      </c>
      <c r="CG114" s="173">
        <f t="shared" si="367"/>
        <v>6.0427051652621376E-2</v>
      </c>
      <c r="CI114" s="170">
        <v>4</v>
      </c>
      <c r="CJ114" s="217">
        <f t="shared" si="428"/>
        <v>0.1</v>
      </c>
      <c r="CK114" s="217"/>
      <c r="CL114" s="217">
        <f t="shared" si="368"/>
        <v>2.8000000000000003</v>
      </c>
      <c r="CM114" s="541">
        <f t="shared" si="369"/>
        <v>19</v>
      </c>
      <c r="CN114" s="443">
        <f t="shared" si="370"/>
        <v>28.4</v>
      </c>
      <c r="CO114" s="443">
        <f t="shared" si="371"/>
        <v>47.4</v>
      </c>
      <c r="CP114" s="443"/>
      <c r="CQ114" s="217">
        <f t="shared" si="372"/>
        <v>0.59915611814345993</v>
      </c>
      <c r="CR114" s="172">
        <f t="shared" si="429"/>
        <v>95.556689708830859</v>
      </c>
      <c r="CS114" s="172">
        <f t="shared" si="373"/>
        <v>2.8000000000000003</v>
      </c>
      <c r="CT114" s="217">
        <f t="shared" si="374"/>
        <v>3.4127389181725305</v>
      </c>
      <c r="CU114" s="217">
        <f t="shared" si="375"/>
        <v>28</v>
      </c>
      <c r="CV114" s="217"/>
      <c r="CW114" s="172">
        <f t="shared" si="376"/>
        <v>1564.3381903759023</v>
      </c>
      <c r="CX114" s="172">
        <f t="shared" si="377"/>
        <v>28</v>
      </c>
      <c r="CY114" s="217">
        <f t="shared" si="378"/>
        <v>0.49191994069681244</v>
      </c>
      <c r="CZ114" s="217">
        <f t="shared" si="379"/>
        <v>0.12168545901447464</v>
      </c>
      <c r="DA114" s="217">
        <f t="shared" si="380"/>
        <v>8.1409285960387975E-2</v>
      </c>
      <c r="DB114" s="197">
        <f t="shared" si="381"/>
        <v>350</v>
      </c>
      <c r="DC114" s="443">
        <f t="shared" si="382"/>
        <v>350</v>
      </c>
      <c r="DE114" s="217">
        <f t="shared" si="383"/>
        <v>6.9203442217177731</v>
      </c>
      <c r="DF114" s="173">
        <f t="shared" si="384"/>
        <v>1.1452682338758289</v>
      </c>
      <c r="DG114" s="173">
        <f t="shared" si="385"/>
        <v>1.3869888208084145</v>
      </c>
      <c r="DH114" s="173"/>
      <c r="DI114" s="173">
        <f t="shared" si="386"/>
        <v>0.55164319248826299</v>
      </c>
      <c r="DJ114" s="545">
        <f t="shared" si="387"/>
        <v>108.7659574468085</v>
      </c>
      <c r="DK114" s="528">
        <f t="shared" si="388"/>
        <v>0.3217918622848201</v>
      </c>
      <c r="DM114" s="173">
        <f t="shared" si="389"/>
        <v>1.8581946986238878</v>
      </c>
      <c r="DN114" s="173">
        <f t="shared" si="390"/>
        <v>3.3333333333333335</v>
      </c>
      <c r="DO114" s="173">
        <f t="shared" si="391"/>
        <v>1.0621519756838906</v>
      </c>
      <c r="DQ114" s="545">
        <f t="shared" si="392"/>
        <v>100</v>
      </c>
      <c r="DR114" s="460">
        <f t="shared" si="393"/>
        <v>108.7659574468085</v>
      </c>
      <c r="DT114">
        <f t="shared" si="430"/>
        <v>100</v>
      </c>
      <c r="DU114">
        <f t="shared" si="431"/>
        <v>108.7659574468085</v>
      </c>
      <c r="DW114" s="5">
        <f t="shared" si="394"/>
        <v>9.1940532081377153</v>
      </c>
      <c r="DX114" s="5">
        <f t="shared" si="395"/>
        <v>0.82456140350877194</v>
      </c>
      <c r="DY114" s="5">
        <f t="shared" si="396"/>
        <v>8.369491804628943</v>
      </c>
      <c r="DZ114" s="5"/>
      <c r="EA114" s="173">
        <f t="shared" si="397"/>
        <v>8.9684210526315783E-2</v>
      </c>
      <c r="EB114" s="173">
        <f t="shared" si="398"/>
        <v>2.84</v>
      </c>
      <c r="EC114" s="173">
        <f t="shared" si="399"/>
        <v>1.5171929824561403</v>
      </c>
      <c r="ED114" s="173">
        <f t="shared" si="400"/>
        <v>1.871877890841813</v>
      </c>
      <c r="EE114" s="460">
        <f t="shared" si="401"/>
        <v>0.29448621553884713</v>
      </c>
      <c r="EF114" s="5">
        <f t="shared" si="402"/>
        <v>0.88099913732936252</v>
      </c>
      <c r="EH114" s="173">
        <f t="shared" si="403"/>
        <v>0.57633648391374503</v>
      </c>
      <c r="EI114" s="173">
        <f t="shared" si="404"/>
        <v>1.8361753622717101</v>
      </c>
      <c r="EK114" s="528">
        <f t="shared" si="405"/>
        <v>3.9859649122807022E-3</v>
      </c>
      <c r="EL114" s="528">
        <f t="shared" si="406"/>
        <v>0.32651540425531916</v>
      </c>
      <c r="EM114" s="528">
        <f t="shared" si="407"/>
        <v>1.2508085106382977E-2</v>
      </c>
      <c r="EN114" s="528">
        <f t="shared" si="408"/>
        <v>0.12035271875744678</v>
      </c>
      <c r="EO114">
        <f t="shared" si="409"/>
        <v>8.5500000000000003E-3</v>
      </c>
      <c r="EP114" s="460">
        <f t="shared" si="410"/>
        <v>21.058085106382975</v>
      </c>
      <c r="EQ114" s="460"/>
      <c r="ER114" s="460">
        <f t="shared" si="432"/>
        <v>471.91217303142963</v>
      </c>
      <c r="ES114" s="528">
        <f t="shared" si="411"/>
        <v>6.9999999999999993E-2</v>
      </c>
      <c r="EV114" s="460">
        <f t="shared" si="412"/>
        <v>69.999999999999986</v>
      </c>
      <c r="EW114" s="528">
        <f t="shared" si="413"/>
        <v>4.6502923976608187E-3</v>
      </c>
      <c r="EX114" s="528">
        <f t="shared" si="414"/>
        <v>4.7201559454191043E-2</v>
      </c>
      <c r="EY114" s="528">
        <f t="shared" si="415"/>
        <v>0.12514091772716276</v>
      </c>
      <c r="EZ114" s="528"/>
      <c r="FA114" s="528">
        <f t="shared" si="416"/>
        <v>0.12085106382978723</v>
      </c>
      <c r="FB114" s="460">
        <f t="shared" si="417"/>
        <v>297.84383340880186</v>
      </c>
      <c r="FC114" s="173">
        <f t="shared" si="418"/>
        <v>0.83975600644023141</v>
      </c>
      <c r="FD114" s="5">
        <f t="shared" si="419"/>
        <v>2.8000000000000003</v>
      </c>
      <c r="FE114" s="173">
        <f t="shared" si="420"/>
        <v>0.76928233514709332</v>
      </c>
      <c r="FF114" s="5">
        <f t="shared" si="421"/>
        <v>76.928233514709333</v>
      </c>
      <c r="FI114" s="562">
        <f t="shared" si="422"/>
        <v>-50</v>
      </c>
      <c r="FJ114">
        <f t="shared" si="423"/>
        <v>-50</v>
      </c>
      <c r="FL114">
        <f t="shared" si="424"/>
        <v>6.0000000000000005E-2</v>
      </c>
    </row>
    <row r="115" spans="5:168">
      <c r="E115" s="170">
        <v>5</v>
      </c>
      <c r="F115" s="217">
        <f t="shared" si="425"/>
        <v>0.125</v>
      </c>
      <c r="G115" s="217"/>
      <c r="H115" s="217">
        <f t="shared" si="315"/>
        <v>3.5</v>
      </c>
      <c r="I115" s="541">
        <f t="shared" si="316"/>
        <v>18.956972913142501</v>
      </c>
      <c r="J115" s="172">
        <f t="shared" si="317"/>
        <v>28.423168431384806</v>
      </c>
      <c r="K115" s="172">
        <f t="shared" si="318"/>
        <v>47.380141344527303</v>
      </c>
      <c r="L115" s="443"/>
      <c r="M115" s="217">
        <f t="shared" si="319"/>
        <v>0.59989762804556523</v>
      </c>
      <c r="N115" s="172">
        <f t="shared" si="426"/>
        <v>95.458285843014792</v>
      </c>
      <c r="O115" s="172">
        <f t="shared" si="284"/>
        <v>3.5</v>
      </c>
      <c r="P115" s="217">
        <f t="shared" si="320"/>
        <v>3.4092244943933854</v>
      </c>
      <c r="Q115" s="217">
        <f t="shared" si="321"/>
        <v>28</v>
      </c>
      <c r="R115" s="217"/>
      <c r="S115" s="172">
        <f t="shared" si="322"/>
        <v>1244.8473106804504</v>
      </c>
      <c r="T115" s="172">
        <f t="shared" si="323"/>
        <v>28</v>
      </c>
      <c r="U115" s="217">
        <f t="shared" si="324"/>
        <v>0.62484008474828789</v>
      </c>
      <c r="V115" s="217">
        <f t="shared" si="325"/>
        <v>0.15491652658747868</v>
      </c>
      <c r="W115" s="217">
        <f t="shared" si="326"/>
        <v>0.10332234442498681</v>
      </c>
      <c r="X115" s="197">
        <f t="shared" si="327"/>
        <v>350</v>
      </c>
      <c r="Y115" s="443">
        <f t="shared" si="328"/>
        <v>350</v>
      </c>
      <c r="AA115" s="217">
        <f t="shared" si="329"/>
        <v>6.9132016338041229</v>
      </c>
      <c r="AB115" s="173">
        <f t="shared" si="330"/>
        <v>1.1431536127760382</v>
      </c>
      <c r="AC115" s="173">
        <f t="shared" si="331"/>
        <v>1.3829989991181688</v>
      </c>
      <c r="AD115" s="173"/>
      <c r="AE115" s="173">
        <f t="shared" si="332"/>
        <v>0.55119353440440388</v>
      </c>
      <c r="AF115" s="545">
        <f t="shared" si="333"/>
        <v>136.0683595119485</v>
      </c>
      <c r="AG115" s="528">
        <f t="shared" si="334"/>
        <v>0.3215295617359023</v>
      </c>
      <c r="AI115" s="173">
        <f t="shared" si="335"/>
        <v>2.078372069841389</v>
      </c>
      <c r="AJ115" s="173">
        <f t="shared" si="336"/>
        <v>3.3333333333333335</v>
      </c>
      <c r="AK115" s="173">
        <f t="shared" si="337"/>
        <v>1.0777533482925421</v>
      </c>
      <c r="AM115" s="545">
        <f t="shared" si="338"/>
        <v>125</v>
      </c>
      <c r="AN115" s="460">
        <f t="shared" si="339"/>
        <v>136.0683595119485</v>
      </c>
      <c r="AP115" s="460">
        <f t="shared" si="340"/>
        <v>125</v>
      </c>
      <c r="AQ115" s="460">
        <f t="shared" si="341"/>
        <v>136.0683595119485</v>
      </c>
      <c r="AS115" s="5">
        <f t="shared" si="285"/>
        <v>7.3492471253920533</v>
      </c>
      <c r="AT115" s="5">
        <f t="shared" si="342"/>
        <v>0.82643292990123285</v>
      </c>
      <c r="AU115" s="5">
        <f t="shared" si="343"/>
        <v>6.5228141954908203</v>
      </c>
      <c r="AV115" s="5"/>
      <c r="AW115" s="173">
        <f t="shared" si="344"/>
        <v>0.11245137301831389</v>
      </c>
      <c r="AX115" s="173">
        <f t="shared" si="214"/>
        <v>3.5528960539231003</v>
      </c>
      <c r="AY115" s="173">
        <f t="shared" si="215"/>
        <v>1.4792477116361435</v>
      </c>
      <c r="AZ115" s="173">
        <f t="shared" si="288"/>
        <v>2.4018262972287228</v>
      </c>
      <c r="BA115" s="460">
        <f t="shared" si="345"/>
        <v>0.36894327227733609</v>
      </c>
      <c r="BB115" s="5">
        <f t="shared" si="346"/>
        <v>0.86021305001821768</v>
      </c>
      <c r="BD115" s="173">
        <f t="shared" si="289"/>
        <v>0.64535770448217</v>
      </c>
      <c r="BE115" s="173">
        <f t="shared" si="218"/>
        <v>1.8130684314082599</v>
      </c>
      <c r="BG115" s="528">
        <f t="shared" si="347"/>
        <v>4.99783880081395E-3</v>
      </c>
      <c r="BH115" s="528">
        <f t="shared" si="348"/>
        <v>0.39218873479347299</v>
      </c>
      <c r="BI115" s="528">
        <f t="shared" si="349"/>
        <v>1.5647861343874078E-2</v>
      </c>
      <c r="BJ115" s="528">
        <f t="shared" si="350"/>
        <v>0.15043749306511556</v>
      </c>
      <c r="BK115">
        <f t="shared" si="351"/>
        <v>8.5306378109141247E-3</v>
      </c>
      <c r="BL115" s="460">
        <f t="shared" si="427"/>
        <v>24.178499154788202</v>
      </c>
      <c r="BM115" s="528">
        <f t="shared" si="352"/>
        <v>0.54962615677633175</v>
      </c>
      <c r="BN115" s="460">
        <f t="shared" si="353"/>
        <v>549.62615677633175</v>
      </c>
      <c r="BO115" s="528">
        <f t="shared" si="354"/>
        <v>8.7499999999999994E-2</v>
      </c>
      <c r="BR115" s="460">
        <f t="shared" si="355"/>
        <v>87.5</v>
      </c>
      <c r="BS115" s="528">
        <f t="shared" si="356"/>
        <v>5.8308119342829418E-3</v>
      </c>
      <c r="BT115" s="528">
        <f t="shared" si="357"/>
        <v>4.6021039917568916E-2</v>
      </c>
      <c r="BU115" s="528">
        <f t="shared" si="358"/>
        <v>0.21905831339596862</v>
      </c>
      <c r="BV115" s="528"/>
      <c r="BW115" s="528">
        <f t="shared" si="359"/>
        <v>0.15118706612438723</v>
      </c>
      <c r="BX115" s="460">
        <f t="shared" si="360"/>
        <v>422.09723137220766</v>
      </c>
      <c r="BY115" s="173">
        <f t="shared" si="361"/>
        <v>1.0813997971863982</v>
      </c>
      <c r="BZ115" s="5">
        <f t="shared" si="362"/>
        <v>3.5</v>
      </c>
      <c r="CA115" s="173">
        <f t="shared" si="363"/>
        <v>0.76395864909006095</v>
      </c>
      <c r="CB115" s="5">
        <f t="shared" si="364"/>
        <v>76.395864909006093</v>
      </c>
      <c r="CE115" s="562">
        <f t="shared" si="365"/>
        <v>-50</v>
      </c>
      <c r="CF115">
        <f t="shared" si="366"/>
        <v>-50</v>
      </c>
      <c r="CG115" s="173">
        <f t="shared" si="367"/>
        <v>7.5533814565776708E-2</v>
      </c>
      <c r="CI115" s="170">
        <v>5</v>
      </c>
      <c r="CJ115" s="217">
        <f t="shared" si="428"/>
        <v>0.125</v>
      </c>
      <c r="CK115" s="217"/>
      <c r="CL115" s="217">
        <f t="shared" si="368"/>
        <v>3.5</v>
      </c>
      <c r="CM115" s="541">
        <f t="shared" si="369"/>
        <v>19</v>
      </c>
      <c r="CN115" s="443">
        <f t="shared" si="370"/>
        <v>28.4</v>
      </c>
      <c r="CO115" s="443">
        <f t="shared" si="371"/>
        <v>47.4</v>
      </c>
      <c r="CP115" s="443"/>
      <c r="CQ115" s="217">
        <f t="shared" si="372"/>
        <v>0.59915611814345993</v>
      </c>
      <c r="CR115" s="172">
        <f t="shared" si="429"/>
        <v>95.556689708830859</v>
      </c>
      <c r="CS115" s="172">
        <f t="shared" si="373"/>
        <v>3.5</v>
      </c>
      <c r="CT115" s="217">
        <f t="shared" si="374"/>
        <v>3.4127389181725305</v>
      </c>
      <c r="CU115" s="217">
        <f t="shared" si="375"/>
        <v>28</v>
      </c>
      <c r="CV115" s="217"/>
      <c r="CW115" s="172">
        <f t="shared" si="376"/>
        <v>1247.6727560552565</v>
      </c>
      <c r="CX115" s="172">
        <f t="shared" si="377"/>
        <v>28</v>
      </c>
      <c r="CY115" s="217">
        <f t="shared" si="378"/>
        <v>0.6148999258710155</v>
      </c>
      <c r="CZ115" s="217">
        <f t="shared" si="379"/>
        <v>0.15210682376809329</v>
      </c>
      <c r="DA115" s="217">
        <f t="shared" si="380"/>
        <v>0.10176160745048496</v>
      </c>
      <c r="DB115" s="197">
        <f t="shared" si="381"/>
        <v>350</v>
      </c>
      <c r="DC115" s="443">
        <f t="shared" si="382"/>
        <v>350</v>
      </c>
      <c r="DE115" s="217">
        <f t="shared" si="383"/>
        <v>6.9203442217177731</v>
      </c>
      <c r="DF115" s="173">
        <f t="shared" si="384"/>
        <v>1.1452682338758289</v>
      </c>
      <c r="DG115" s="173">
        <f t="shared" si="385"/>
        <v>1.3869888208084145</v>
      </c>
      <c r="DH115" s="173"/>
      <c r="DI115" s="173">
        <f t="shared" si="386"/>
        <v>0.55164319248826299</v>
      </c>
      <c r="DJ115" s="545">
        <f t="shared" si="387"/>
        <v>135.95744680851064</v>
      </c>
      <c r="DK115" s="528">
        <f t="shared" si="388"/>
        <v>0.3217918622848201</v>
      </c>
      <c r="DM115" s="173">
        <f t="shared" si="389"/>
        <v>2.0775248307763738</v>
      </c>
      <c r="DN115" s="173">
        <f t="shared" si="390"/>
        <v>3.3333333333333335</v>
      </c>
      <c r="DO115" s="173">
        <f t="shared" si="391"/>
        <v>1.0776899696048632</v>
      </c>
      <c r="DQ115" s="545">
        <f t="shared" si="392"/>
        <v>125</v>
      </c>
      <c r="DR115" s="460">
        <f t="shared" si="393"/>
        <v>135.95744680851064</v>
      </c>
      <c r="DT115">
        <f t="shared" si="430"/>
        <v>125</v>
      </c>
      <c r="DU115">
        <f t="shared" si="431"/>
        <v>135.95744680851064</v>
      </c>
      <c r="DW115" s="5">
        <f t="shared" si="394"/>
        <v>7.3552425665101717</v>
      </c>
      <c r="DX115" s="5">
        <f t="shared" si="395"/>
        <v>0.82456140350877194</v>
      </c>
      <c r="DY115" s="5">
        <f t="shared" si="396"/>
        <v>6.5306811630013994</v>
      </c>
      <c r="DZ115" s="5"/>
      <c r="EA115" s="173">
        <f t="shared" si="397"/>
        <v>0.11210526315789475</v>
      </c>
      <c r="EB115" s="173">
        <f t="shared" si="398"/>
        <v>3.5500000000000003</v>
      </c>
      <c r="EC115" s="173">
        <f t="shared" si="399"/>
        <v>1.4798245614035088</v>
      </c>
      <c r="ED115" s="173">
        <f t="shared" si="400"/>
        <v>2.3989330171902785</v>
      </c>
      <c r="EE115" s="460">
        <f t="shared" si="401"/>
        <v>0.36810776942355888</v>
      </c>
      <c r="EF115" s="5">
        <f t="shared" si="402"/>
        <v>0.85930015302649976</v>
      </c>
      <c r="EH115" s="173">
        <f t="shared" si="403"/>
        <v>0.64436377797217403</v>
      </c>
      <c r="EI115" s="173">
        <f t="shared" si="404"/>
        <v>1.8134219104613056</v>
      </c>
      <c r="EK115" s="528">
        <f t="shared" si="405"/>
        <v>4.9824561403508782E-3</v>
      </c>
      <c r="EL115" s="528">
        <f t="shared" si="406"/>
        <v>0.40814425531914905</v>
      </c>
      <c r="EM115" s="528">
        <f t="shared" si="407"/>
        <v>1.5635106382978724E-2</v>
      </c>
      <c r="EN115" s="528">
        <f t="shared" si="408"/>
        <v>0.1504408984468085</v>
      </c>
      <c r="EO115">
        <f t="shared" si="409"/>
        <v>8.5500000000000003E-3</v>
      </c>
      <c r="EP115" s="460">
        <f t="shared" si="410"/>
        <v>24.185106382978724</v>
      </c>
      <c r="EQ115" s="460"/>
      <c r="ER115" s="460">
        <f t="shared" si="432"/>
        <v>587.75271628928704</v>
      </c>
      <c r="ES115" s="528">
        <f t="shared" si="411"/>
        <v>8.7499999999999994E-2</v>
      </c>
      <c r="EV115" s="460">
        <f t="shared" si="412"/>
        <v>87.5</v>
      </c>
      <c r="EW115" s="528">
        <f t="shared" si="413"/>
        <v>5.8128654970760248E-3</v>
      </c>
      <c r="EX115" s="528">
        <f t="shared" si="414"/>
        <v>4.6038986354775845E-2</v>
      </c>
      <c r="EY115" s="528">
        <f t="shared" si="415"/>
        <v>0.21861218656612871</v>
      </c>
      <c r="EZ115" s="528"/>
      <c r="FA115" s="528">
        <f t="shared" si="416"/>
        <v>0.15106382978723407</v>
      </c>
      <c r="FB115" s="460">
        <f t="shared" si="417"/>
        <v>421.5278682052147</v>
      </c>
      <c r="FC115" s="173">
        <f t="shared" si="418"/>
        <v>1.0967805844945018</v>
      </c>
      <c r="FD115" s="5">
        <f t="shared" si="419"/>
        <v>3.5</v>
      </c>
      <c r="FE115" s="173">
        <f t="shared" si="420"/>
        <v>0.76140245018566355</v>
      </c>
      <c r="FF115" s="5">
        <f t="shared" si="421"/>
        <v>76.140245018566361</v>
      </c>
      <c r="FI115" s="562">
        <f t="shared" si="422"/>
        <v>-50</v>
      </c>
      <c r="FJ115">
        <f t="shared" si="423"/>
        <v>-50</v>
      </c>
      <c r="FL115">
        <f t="shared" si="424"/>
        <v>7.4999999999999997E-2</v>
      </c>
    </row>
    <row r="116" spans="5:168">
      <c r="E116" s="170">
        <v>6</v>
      </c>
      <c r="F116" s="217">
        <f t="shared" si="425"/>
        <v>0.15</v>
      </c>
      <c r="G116" s="217"/>
      <c r="H116" s="217">
        <f t="shared" si="315"/>
        <v>4.2</v>
      </c>
      <c r="I116" s="541">
        <f t="shared" si="316"/>
        <v>18.956972913142501</v>
      </c>
      <c r="J116" s="172">
        <f t="shared" si="317"/>
        <v>28.423168431384806</v>
      </c>
      <c r="K116" s="172">
        <f t="shared" si="318"/>
        <v>47.380141344527303</v>
      </c>
      <c r="L116" s="443"/>
      <c r="M116" s="217">
        <f t="shared" si="319"/>
        <v>0.59989762804556523</v>
      </c>
      <c r="N116" s="172">
        <f t="shared" si="426"/>
        <v>95.458285843014792</v>
      </c>
      <c r="O116" s="172">
        <f t="shared" si="284"/>
        <v>4.2</v>
      </c>
      <c r="P116" s="217">
        <f t="shared" si="320"/>
        <v>3.4092244943933854</v>
      </c>
      <c r="Q116" s="217">
        <f t="shared" si="321"/>
        <v>28</v>
      </c>
      <c r="R116" s="217"/>
      <c r="S116" s="172">
        <f t="shared" si="322"/>
        <v>1034.2155180170621</v>
      </c>
      <c r="T116" s="172">
        <f t="shared" si="323"/>
        <v>28</v>
      </c>
      <c r="U116" s="217">
        <f t="shared" si="324"/>
        <v>0.74980810169794543</v>
      </c>
      <c r="V116" s="217">
        <f t="shared" si="325"/>
        <v>0.18589983190497439</v>
      </c>
      <c r="W116" s="217">
        <f t="shared" si="326"/>
        <v>0.12398681330998416</v>
      </c>
      <c r="X116" s="197">
        <f t="shared" si="327"/>
        <v>350</v>
      </c>
      <c r="Y116" s="443">
        <f t="shared" si="328"/>
        <v>350</v>
      </c>
      <c r="AA116" s="217">
        <f t="shared" si="329"/>
        <v>6.9132016338041229</v>
      </c>
      <c r="AB116" s="173">
        <f t="shared" si="330"/>
        <v>1.1431536127760382</v>
      </c>
      <c r="AC116" s="173">
        <f t="shared" si="331"/>
        <v>1.3829989991181688</v>
      </c>
      <c r="AD116" s="173"/>
      <c r="AE116" s="173">
        <f t="shared" si="332"/>
        <v>0.55119353440440388</v>
      </c>
      <c r="AF116" s="545">
        <f t="shared" si="333"/>
        <v>163.28203141433821</v>
      </c>
      <c r="AG116" s="528">
        <f t="shared" si="334"/>
        <v>0.3215295617359023</v>
      </c>
      <c r="AI116" s="173">
        <f t="shared" si="335"/>
        <v>2.2767425310816627</v>
      </c>
      <c r="AJ116" s="173">
        <f t="shared" si="336"/>
        <v>3.3333333333333335</v>
      </c>
      <c r="AK116" s="173">
        <f t="shared" si="337"/>
        <v>1.0933040179510505</v>
      </c>
      <c r="AM116" s="545">
        <f t="shared" si="338"/>
        <v>150</v>
      </c>
      <c r="AN116" s="460">
        <f t="shared" si="339"/>
        <v>163.28203141433821</v>
      </c>
      <c r="AP116" s="460">
        <f t="shared" si="340"/>
        <v>150</v>
      </c>
      <c r="AQ116" s="460">
        <f t="shared" si="341"/>
        <v>163.28203141433821</v>
      </c>
      <c r="AS116" s="5">
        <f t="shared" si="285"/>
        <v>6.1243726044933773</v>
      </c>
      <c r="AT116" s="5">
        <f t="shared" si="342"/>
        <v>0.82643292990123285</v>
      </c>
      <c r="AU116" s="5">
        <f t="shared" si="343"/>
        <v>5.2979396745921443</v>
      </c>
      <c r="AV116" s="5"/>
      <c r="AW116" s="173">
        <f t="shared" si="344"/>
        <v>0.13494164762197669</v>
      </c>
      <c r="AX116" s="173">
        <f t="shared" si="214"/>
        <v>4.2634752647077203</v>
      </c>
      <c r="AY116" s="173">
        <f t="shared" si="215"/>
        <v>1.441763920630039</v>
      </c>
      <c r="AZ116" s="173">
        <f t="shared" si="288"/>
        <v>2.9571243972068717</v>
      </c>
      <c r="BA116" s="460">
        <f t="shared" si="345"/>
        <v>0.44273192673280326</v>
      </c>
      <c r="BB116" s="5">
        <f t="shared" si="346"/>
        <v>0.83841545254081984</v>
      </c>
      <c r="BD116" s="173">
        <f t="shared" si="289"/>
        <v>0.70695394480927476</v>
      </c>
      <c r="BE116" s="173">
        <f t="shared" si="218"/>
        <v>1.7899496706953266</v>
      </c>
      <c r="BG116" s="528">
        <f t="shared" si="347"/>
        <v>5.9974065609767419E-3</v>
      </c>
      <c r="BH116" s="528">
        <f t="shared" si="348"/>
        <v>0.47062648175216765</v>
      </c>
      <c r="BI116" s="528">
        <f t="shared" si="349"/>
        <v>1.8777433612648897E-2</v>
      </c>
      <c r="BJ116" s="528">
        <f t="shared" si="350"/>
        <v>0.18052499167813865</v>
      </c>
      <c r="BK116">
        <f t="shared" si="351"/>
        <v>8.5306378109141247E-3</v>
      </c>
      <c r="BL116" s="460">
        <f t="shared" si="427"/>
        <v>27.308071423563021</v>
      </c>
      <c r="BM116" s="528">
        <f t="shared" si="352"/>
        <v>0.65970825333574301</v>
      </c>
      <c r="BN116" s="460">
        <f t="shared" si="353"/>
        <v>659.70825333574305</v>
      </c>
      <c r="BO116" s="528">
        <f t="shared" si="354"/>
        <v>0.105</v>
      </c>
      <c r="BR116" s="460">
        <f t="shared" si="355"/>
        <v>105</v>
      </c>
      <c r="BS116" s="528">
        <f t="shared" si="356"/>
        <v>6.9969743211395321E-3</v>
      </c>
      <c r="BT116" s="528">
        <f t="shared" si="357"/>
        <v>4.4854877530712316E-2</v>
      </c>
      <c r="BU116" s="528">
        <f t="shared" si="358"/>
        <v>0.34555155740930299</v>
      </c>
      <c r="BV116" s="528"/>
      <c r="BW116" s="528">
        <f t="shared" si="359"/>
        <v>0.1814244793492647</v>
      </c>
      <c r="BX116" s="460">
        <f t="shared" si="360"/>
        <v>578.82788861041956</v>
      </c>
      <c r="BY116" s="173">
        <f t="shared" si="361"/>
        <v>1.3682848400252656</v>
      </c>
      <c r="BZ116" s="5">
        <f t="shared" si="362"/>
        <v>4.2</v>
      </c>
      <c r="CA116" s="173">
        <f t="shared" si="363"/>
        <v>0.75427175883856956</v>
      </c>
      <c r="CB116" s="5">
        <f t="shared" si="364"/>
        <v>75.427175883856961</v>
      </c>
      <c r="CE116" s="562">
        <f t="shared" si="365"/>
        <v>-50</v>
      </c>
      <c r="CF116">
        <f t="shared" si="366"/>
        <v>-50</v>
      </c>
      <c r="CG116" s="173">
        <f t="shared" si="367"/>
        <v>9.0640577478932061E-2</v>
      </c>
      <c r="CI116" s="170">
        <v>6</v>
      </c>
      <c r="CJ116" s="217">
        <f t="shared" si="428"/>
        <v>0.15</v>
      </c>
      <c r="CK116" s="217"/>
      <c r="CL116" s="217">
        <f t="shared" si="368"/>
        <v>4.2</v>
      </c>
      <c r="CM116" s="541">
        <f t="shared" si="369"/>
        <v>19</v>
      </c>
      <c r="CN116" s="443">
        <f t="shared" si="370"/>
        <v>28.4</v>
      </c>
      <c r="CO116" s="443">
        <f t="shared" si="371"/>
        <v>47.4</v>
      </c>
      <c r="CP116" s="443"/>
      <c r="CQ116" s="217">
        <f t="shared" si="372"/>
        <v>0.59915611814345993</v>
      </c>
      <c r="CR116" s="172">
        <f t="shared" si="429"/>
        <v>95.556689708830859</v>
      </c>
      <c r="CS116" s="172">
        <f t="shared" si="373"/>
        <v>4.2</v>
      </c>
      <c r="CT116" s="217">
        <f t="shared" si="374"/>
        <v>3.4127389181725305</v>
      </c>
      <c r="CU116" s="217">
        <f t="shared" si="375"/>
        <v>28</v>
      </c>
      <c r="CV116" s="217"/>
      <c r="CW116" s="172">
        <f t="shared" si="376"/>
        <v>1036.5628846510444</v>
      </c>
      <c r="CX116" s="172">
        <f t="shared" si="377"/>
        <v>28</v>
      </c>
      <c r="CY116" s="217">
        <f t="shared" si="378"/>
        <v>0.73787991104521866</v>
      </c>
      <c r="CZ116" s="217">
        <f t="shared" si="379"/>
        <v>0.18252818852171196</v>
      </c>
      <c r="DA116" s="217">
        <f t="shared" si="380"/>
        <v>0.12211392894058197</v>
      </c>
      <c r="DB116" s="197">
        <f t="shared" si="381"/>
        <v>350</v>
      </c>
      <c r="DC116" s="443">
        <f t="shared" si="382"/>
        <v>350</v>
      </c>
      <c r="DE116" s="217">
        <f t="shared" si="383"/>
        <v>6.9203442217177731</v>
      </c>
      <c r="DF116" s="173">
        <f t="shared" si="384"/>
        <v>1.1452682338758289</v>
      </c>
      <c r="DG116" s="173">
        <f t="shared" si="385"/>
        <v>1.3869888208084145</v>
      </c>
      <c r="DH116" s="173"/>
      <c r="DI116" s="173">
        <f t="shared" si="386"/>
        <v>0.55164319248826299</v>
      </c>
      <c r="DJ116" s="545">
        <f t="shared" si="387"/>
        <v>163.14893617021275</v>
      </c>
      <c r="DK116" s="528">
        <f t="shared" si="388"/>
        <v>0.3217918622848201</v>
      </c>
      <c r="DM116" s="173">
        <f t="shared" si="389"/>
        <v>2.2758144271866461</v>
      </c>
      <c r="DN116" s="173">
        <f t="shared" si="390"/>
        <v>3.3333333333333335</v>
      </c>
      <c r="DO116" s="173">
        <f t="shared" si="391"/>
        <v>1.093227963525836</v>
      </c>
      <c r="DQ116" s="545">
        <f t="shared" si="392"/>
        <v>150</v>
      </c>
      <c r="DR116" s="460">
        <f t="shared" si="393"/>
        <v>163.14893617021275</v>
      </c>
      <c r="DT116">
        <f t="shared" si="430"/>
        <v>150</v>
      </c>
      <c r="DU116">
        <f t="shared" si="431"/>
        <v>163.14893617021275</v>
      </c>
      <c r="DW116" s="5">
        <f t="shared" si="394"/>
        <v>6.1293688054251438</v>
      </c>
      <c r="DX116" s="5">
        <f t="shared" si="395"/>
        <v>0.82456140350877194</v>
      </c>
      <c r="DY116" s="5">
        <f t="shared" si="396"/>
        <v>5.3048074019163716</v>
      </c>
      <c r="DZ116" s="5"/>
      <c r="EA116" s="173">
        <f t="shared" si="397"/>
        <v>0.13452631578947369</v>
      </c>
      <c r="EB116" s="173">
        <f t="shared" si="398"/>
        <v>4.26</v>
      </c>
      <c r="EC116" s="173">
        <f t="shared" si="399"/>
        <v>1.4424561403508771</v>
      </c>
      <c r="ED116" s="173">
        <f t="shared" si="400"/>
        <v>2.9532960350279738</v>
      </c>
      <c r="EE116" s="460">
        <f t="shared" si="401"/>
        <v>0.44172932330827064</v>
      </c>
      <c r="EF116" s="5">
        <f t="shared" si="402"/>
        <v>0.83760116872363755</v>
      </c>
      <c r="EH116" s="173">
        <f t="shared" si="403"/>
        <v>0.70586515286922036</v>
      </c>
      <c r="EI116" s="173">
        <f t="shared" si="404"/>
        <v>1.7903793144662437</v>
      </c>
      <c r="EK116" s="528">
        <f t="shared" si="405"/>
        <v>5.9789473684210542E-3</v>
      </c>
      <c r="EL116" s="528">
        <f t="shared" si="406"/>
        <v>0.48977310638297872</v>
      </c>
      <c r="EM116" s="528">
        <f t="shared" si="407"/>
        <v>1.8762127659574468E-2</v>
      </c>
      <c r="EN116" s="528">
        <f t="shared" si="408"/>
        <v>0.1805290781361702</v>
      </c>
      <c r="EO116">
        <f t="shared" si="409"/>
        <v>8.5500000000000003E-3</v>
      </c>
      <c r="EP116" s="460">
        <f t="shared" si="410"/>
        <v>27.312127659574472</v>
      </c>
      <c r="EQ116" s="460"/>
      <c r="ER116" s="460">
        <f t="shared" si="432"/>
        <v>703.59325954714427</v>
      </c>
      <c r="ES116" s="528">
        <f t="shared" si="411"/>
        <v>0.105</v>
      </c>
      <c r="EV116" s="460">
        <f t="shared" si="412"/>
        <v>105</v>
      </c>
      <c r="EW116" s="528">
        <f t="shared" si="413"/>
        <v>6.9754385964912293E-3</v>
      </c>
      <c r="EX116" s="528">
        <f t="shared" si="414"/>
        <v>4.4876413255360632E-2</v>
      </c>
      <c r="EY116" s="528">
        <f t="shared" si="415"/>
        <v>0.344847818672053</v>
      </c>
      <c r="EZ116" s="528"/>
      <c r="FA116" s="528">
        <f t="shared" si="416"/>
        <v>0.18127659574468086</v>
      </c>
      <c r="FB116" s="460">
        <f t="shared" si="417"/>
        <v>577.97626626858562</v>
      </c>
      <c r="FC116" s="173">
        <f t="shared" si="418"/>
        <v>1.38656952581573</v>
      </c>
      <c r="FD116" s="5">
        <f t="shared" si="419"/>
        <v>4.2</v>
      </c>
      <c r="FE116" s="173">
        <f t="shared" si="420"/>
        <v>0.7518030484703816</v>
      </c>
      <c r="FF116" s="5">
        <f t="shared" si="421"/>
        <v>75.180304847038158</v>
      </c>
      <c r="FI116" s="562">
        <f t="shared" si="422"/>
        <v>-50</v>
      </c>
      <c r="FJ116">
        <f t="shared" si="423"/>
        <v>-50</v>
      </c>
      <c r="FL116">
        <f t="shared" si="424"/>
        <v>0.09</v>
      </c>
    </row>
    <row r="117" spans="5:168">
      <c r="E117" s="170">
        <v>7</v>
      </c>
      <c r="F117" s="217">
        <f t="shared" si="425"/>
        <v>0.17500000000000002</v>
      </c>
      <c r="G117" s="217"/>
      <c r="H117" s="217">
        <f t="shared" si="315"/>
        <v>4.9000000000000004</v>
      </c>
      <c r="I117" s="541">
        <f t="shared" si="316"/>
        <v>18.956972913142501</v>
      </c>
      <c r="J117" s="172">
        <f t="shared" si="317"/>
        <v>28.423168431384806</v>
      </c>
      <c r="K117" s="172">
        <f t="shared" si="318"/>
        <v>47.380141344527303</v>
      </c>
      <c r="L117" s="443"/>
      <c r="M117" s="217">
        <f t="shared" si="319"/>
        <v>0.59989762804556523</v>
      </c>
      <c r="N117" s="172">
        <f t="shared" si="426"/>
        <v>95.458285843014792</v>
      </c>
      <c r="O117" s="172">
        <f t="shared" si="284"/>
        <v>4.9000000000000004</v>
      </c>
      <c r="P117" s="217">
        <f t="shared" si="320"/>
        <v>3.4092244943933854</v>
      </c>
      <c r="Q117" s="217">
        <f t="shared" si="321"/>
        <v>28</v>
      </c>
      <c r="R117" s="217"/>
      <c r="S117" s="172">
        <f t="shared" si="322"/>
        <v>883.76459916970771</v>
      </c>
      <c r="T117" s="172">
        <f t="shared" si="323"/>
        <v>28</v>
      </c>
      <c r="U117" s="217">
        <f t="shared" si="324"/>
        <v>0.87477611864760318</v>
      </c>
      <c r="V117" s="217">
        <f t="shared" si="325"/>
        <v>0.21688313722247016</v>
      </c>
      <c r="W117" s="217">
        <f t="shared" si="326"/>
        <v>0.14465128219498155</v>
      </c>
      <c r="X117" s="197">
        <f t="shared" si="327"/>
        <v>350</v>
      </c>
      <c r="Y117" s="443">
        <f t="shared" si="328"/>
        <v>350</v>
      </c>
      <c r="AA117" s="217">
        <f t="shared" si="329"/>
        <v>6.9132016338041229</v>
      </c>
      <c r="AB117" s="173">
        <f t="shared" si="330"/>
        <v>1.1431536127760382</v>
      </c>
      <c r="AC117" s="173">
        <f t="shared" si="331"/>
        <v>1.3829989991181688</v>
      </c>
      <c r="AD117" s="173"/>
      <c r="AE117" s="173">
        <f t="shared" si="332"/>
        <v>0.55119353440440388</v>
      </c>
      <c r="AF117" s="545">
        <f t="shared" si="333"/>
        <v>190.49570331672794</v>
      </c>
      <c r="AG117" s="528">
        <f t="shared" si="334"/>
        <v>0.3215295617359023</v>
      </c>
      <c r="AI117" s="173">
        <f t="shared" si="335"/>
        <v>2.4591629968295088</v>
      </c>
      <c r="AJ117" s="173">
        <f t="shared" si="336"/>
        <v>3.3333333333333335</v>
      </c>
      <c r="AK117" s="173">
        <f t="shared" si="337"/>
        <v>1.1088546876095589</v>
      </c>
      <c r="AM117" s="545">
        <f t="shared" si="338"/>
        <v>175.00000000000003</v>
      </c>
      <c r="AN117" s="460">
        <f t="shared" si="339"/>
        <v>190.49570331672794</v>
      </c>
      <c r="AP117" s="460">
        <f t="shared" si="340"/>
        <v>175.00000000000003</v>
      </c>
      <c r="AQ117" s="460">
        <f t="shared" si="341"/>
        <v>190.49570331672794</v>
      </c>
      <c r="AS117" s="5">
        <f t="shared" si="285"/>
        <v>5.2494622324228946</v>
      </c>
      <c r="AT117" s="5">
        <f t="shared" si="342"/>
        <v>0.82643292990123285</v>
      </c>
      <c r="AU117" s="5">
        <f t="shared" si="343"/>
        <v>4.4230293025216616</v>
      </c>
      <c r="AV117" s="5"/>
      <c r="AW117" s="173">
        <f t="shared" si="344"/>
        <v>0.15743192222563945</v>
      </c>
      <c r="AX117" s="173">
        <f t="shared" si="214"/>
        <v>4.9740544754923413</v>
      </c>
      <c r="AY117" s="173">
        <f t="shared" si="215"/>
        <v>1.4042801296239342</v>
      </c>
      <c r="AZ117" s="173">
        <f t="shared" si="288"/>
        <v>3.5420671207705485</v>
      </c>
      <c r="BA117" s="460">
        <f t="shared" ref="BA117:BA180" si="433">F117*AT117/Vout_ripple*1000</f>
        <v>0.5165205811882706</v>
      </c>
      <c r="BB117" s="5">
        <f t="shared" ref="BB117:BB180" si="434">H117/Efficiency/I117*AU117/Vinripple1</f>
        <v>0.81661785506342188</v>
      </c>
      <c r="BD117" s="173">
        <f t="shared" si="289"/>
        <v>0.76359753367090855</v>
      </c>
      <c r="BE117" s="173">
        <f t="shared" si="218"/>
        <v>1.7665283779988958</v>
      </c>
      <c r="BG117" s="528">
        <f t="shared" si="347"/>
        <v>6.9969743211395321E-3</v>
      </c>
      <c r="BH117" s="528">
        <f t="shared" si="348"/>
        <v>0.54906422871086236</v>
      </c>
      <c r="BI117" s="528">
        <f t="shared" si="349"/>
        <v>2.1907005881423715E-2</v>
      </c>
      <c r="BJ117" s="528">
        <f t="shared" si="350"/>
        <v>0.2106124902911618</v>
      </c>
      <c r="BK117">
        <f t="shared" si="351"/>
        <v>8.5306378109141247E-3</v>
      </c>
      <c r="BL117" s="460">
        <f t="shared" si="427"/>
        <v>30.43764369233784</v>
      </c>
      <c r="BM117" s="528">
        <f t="shared" si="352"/>
        <v>0.7698427253697725</v>
      </c>
      <c r="BN117" s="460">
        <f t="shared" si="353"/>
        <v>769.84272536977255</v>
      </c>
      <c r="BO117" s="528">
        <f t="shared" si="354"/>
        <v>0.1225</v>
      </c>
      <c r="BR117" s="460">
        <f t="shared" si="355"/>
        <v>122.5</v>
      </c>
      <c r="BS117" s="528">
        <f t="shared" si="356"/>
        <v>8.1631367079961215E-3</v>
      </c>
      <c r="BT117" s="528">
        <f t="shared" si="357"/>
        <v>4.3688715143855743E-2</v>
      </c>
      <c r="BU117" s="528">
        <f t="shared" si="358"/>
        <v>0.50801885200710228</v>
      </c>
      <c r="BV117" s="528"/>
      <c r="BW117" s="528">
        <f t="shared" si="359"/>
        <v>0.21166189257414217</v>
      </c>
      <c r="BX117" s="460">
        <f t="shared" si="360"/>
        <v>771.53259643309627</v>
      </c>
      <c r="BY117" s="173">
        <f t="shared" si="361"/>
        <v>1.691143933448598</v>
      </c>
      <c r="BZ117" s="5">
        <f t="shared" si="362"/>
        <v>4.9000000000000004</v>
      </c>
      <c r="CA117" s="173">
        <f t="shared" si="363"/>
        <v>0.74342178679084581</v>
      </c>
      <c r="CB117" s="5">
        <f t="shared" si="364"/>
        <v>74.342178679084583</v>
      </c>
      <c r="CE117" s="562">
        <f t="shared" si="365"/>
        <v>-50</v>
      </c>
      <c r="CF117">
        <f t="shared" si="366"/>
        <v>-50</v>
      </c>
      <c r="CG117" s="173">
        <f t="shared" si="367"/>
        <v>0.10574734039208741</v>
      </c>
      <c r="CI117" s="170">
        <v>7</v>
      </c>
      <c r="CJ117" s="217">
        <f t="shared" si="428"/>
        <v>0.17500000000000002</v>
      </c>
      <c r="CK117" s="217"/>
      <c r="CL117" s="217">
        <f t="shared" si="368"/>
        <v>4.9000000000000004</v>
      </c>
      <c r="CM117" s="541">
        <f t="shared" si="369"/>
        <v>19</v>
      </c>
      <c r="CN117" s="443">
        <f t="shared" si="370"/>
        <v>28.4</v>
      </c>
      <c r="CO117" s="443">
        <f t="shared" si="371"/>
        <v>47.4</v>
      </c>
      <c r="CP117" s="443"/>
      <c r="CQ117" s="217">
        <f t="shared" si="372"/>
        <v>0.59915611814345993</v>
      </c>
      <c r="CR117" s="172">
        <f t="shared" si="429"/>
        <v>95.556689708830859</v>
      </c>
      <c r="CS117" s="172">
        <f t="shared" si="373"/>
        <v>4.9000000000000004</v>
      </c>
      <c r="CT117" s="217">
        <f t="shared" si="374"/>
        <v>3.4127389181725305</v>
      </c>
      <c r="CU117" s="217">
        <f t="shared" si="375"/>
        <v>28</v>
      </c>
      <c r="CV117" s="217"/>
      <c r="CW117" s="172">
        <f t="shared" si="376"/>
        <v>885.77048098980117</v>
      </c>
      <c r="CX117" s="172">
        <f t="shared" si="377"/>
        <v>28</v>
      </c>
      <c r="CY117" s="217">
        <f t="shared" si="378"/>
        <v>0.86085989621942183</v>
      </c>
      <c r="CZ117" s="217">
        <f t="shared" si="379"/>
        <v>0.21294955327533069</v>
      </c>
      <c r="DA117" s="217">
        <f t="shared" si="380"/>
        <v>0.14246625043067898</v>
      </c>
      <c r="DB117" s="197">
        <f t="shared" si="381"/>
        <v>350</v>
      </c>
      <c r="DC117" s="443">
        <f t="shared" si="382"/>
        <v>350</v>
      </c>
      <c r="DE117" s="217">
        <f t="shared" si="383"/>
        <v>6.9203442217177731</v>
      </c>
      <c r="DF117" s="173">
        <f t="shared" si="384"/>
        <v>1.1452682338758289</v>
      </c>
      <c r="DG117" s="173">
        <f t="shared" si="385"/>
        <v>1.3869888208084145</v>
      </c>
      <c r="DH117" s="173"/>
      <c r="DI117" s="173">
        <f t="shared" si="386"/>
        <v>0.55164319248826299</v>
      </c>
      <c r="DJ117" s="545">
        <f t="shared" si="387"/>
        <v>190.34042553191489</v>
      </c>
      <c r="DK117" s="528">
        <f t="shared" si="388"/>
        <v>0.3217918622848201</v>
      </c>
      <c r="DM117" s="173">
        <f t="shared" si="389"/>
        <v>2.4581605300487115</v>
      </c>
      <c r="DN117" s="173">
        <f t="shared" si="390"/>
        <v>3.3333333333333335</v>
      </c>
      <c r="DO117" s="173">
        <f t="shared" si="391"/>
        <v>1.1087659574468085</v>
      </c>
      <c r="DQ117" s="545">
        <f t="shared" si="392"/>
        <v>175.00000000000003</v>
      </c>
      <c r="DR117" s="460">
        <f t="shared" si="393"/>
        <v>190.34042553191489</v>
      </c>
      <c r="DT117">
        <f t="shared" si="430"/>
        <v>175.00000000000003</v>
      </c>
      <c r="DU117">
        <f t="shared" si="431"/>
        <v>190.34042553191489</v>
      </c>
      <c r="DW117" s="5">
        <f t="shared" si="394"/>
        <v>5.2537446903644094</v>
      </c>
      <c r="DX117" s="5">
        <f t="shared" si="395"/>
        <v>0.82456140350877194</v>
      </c>
      <c r="DY117" s="5">
        <f t="shared" si="396"/>
        <v>4.4291832868556371</v>
      </c>
      <c r="DZ117" s="5"/>
      <c r="EA117" s="173">
        <f t="shared" si="397"/>
        <v>0.15694736842105261</v>
      </c>
      <c r="EB117" s="173">
        <f t="shared" si="398"/>
        <v>4.9700000000000006</v>
      </c>
      <c r="EC117" s="173">
        <f t="shared" si="399"/>
        <v>1.4050877192982456</v>
      </c>
      <c r="ED117" s="173">
        <f t="shared" si="400"/>
        <v>3.5371457110750408</v>
      </c>
      <c r="EE117" s="460">
        <f t="shared" si="401"/>
        <v>0.51535087719298245</v>
      </c>
      <c r="EF117" s="5">
        <f t="shared" si="402"/>
        <v>0.81590218442077533</v>
      </c>
      <c r="EH117" s="173">
        <f t="shared" si="403"/>
        <v>0.76242150396457364</v>
      </c>
      <c r="EI117" s="173">
        <f t="shared" si="404"/>
        <v>1.7670362627846947</v>
      </c>
      <c r="EK117" s="528">
        <f t="shared" si="405"/>
        <v>6.9754385964912293E-3</v>
      </c>
      <c r="EL117" s="528">
        <f t="shared" si="406"/>
        <v>0.57140195744680855</v>
      </c>
      <c r="EM117" s="528">
        <f t="shared" si="407"/>
        <v>2.1889148936170215E-2</v>
      </c>
      <c r="EN117" s="528">
        <f t="shared" si="408"/>
        <v>0.2106172578255319</v>
      </c>
      <c r="EO117">
        <f t="shared" si="409"/>
        <v>8.5500000000000003E-3</v>
      </c>
      <c r="EP117" s="460">
        <f t="shared" si="410"/>
        <v>30.439148936170216</v>
      </c>
      <c r="EQ117" s="460"/>
      <c r="ER117" s="460">
        <f t="shared" si="432"/>
        <v>819.43380280500173</v>
      </c>
      <c r="ES117" s="528">
        <f t="shared" si="411"/>
        <v>0.1225</v>
      </c>
      <c r="EV117" s="460">
        <f t="shared" si="412"/>
        <v>122.5</v>
      </c>
      <c r="EW117" s="528">
        <f t="shared" si="413"/>
        <v>8.1380116959064337E-3</v>
      </c>
      <c r="EX117" s="528">
        <f t="shared" si="414"/>
        <v>4.3713840155945413E-2</v>
      </c>
      <c r="EY117" s="528">
        <f t="shared" si="415"/>
        <v>0.50698423781496538</v>
      </c>
      <c r="EZ117" s="528"/>
      <c r="FA117" s="528">
        <f t="shared" si="416"/>
        <v>0.21148936170212768</v>
      </c>
      <c r="FB117" s="460">
        <f t="shared" si="417"/>
        <v>770.32545136894487</v>
      </c>
      <c r="FC117" s="173">
        <f t="shared" si="418"/>
        <v>1.7122592541739465</v>
      </c>
      <c r="FD117" s="5">
        <f t="shared" si="419"/>
        <v>4.9000000000000004</v>
      </c>
      <c r="FE117" s="173">
        <f t="shared" si="420"/>
        <v>0.74104777378577624</v>
      </c>
      <c r="FF117" s="5">
        <f t="shared" si="421"/>
        <v>74.104777378577623</v>
      </c>
      <c r="FI117" s="562">
        <f t="shared" si="422"/>
        <v>-50</v>
      </c>
      <c r="FJ117">
        <f t="shared" si="423"/>
        <v>-50</v>
      </c>
      <c r="FL117">
        <f t="shared" si="424"/>
        <v>0.10500000000000001</v>
      </c>
    </row>
    <row r="118" spans="5:168">
      <c r="E118" s="170">
        <v>8</v>
      </c>
      <c r="F118" s="217">
        <f t="shared" si="425"/>
        <v>0.2</v>
      </c>
      <c r="G118" s="217"/>
      <c r="H118" s="217">
        <f t="shared" si="315"/>
        <v>5.6000000000000005</v>
      </c>
      <c r="I118" s="541">
        <f t="shared" si="316"/>
        <v>18.956972913142501</v>
      </c>
      <c r="J118" s="172">
        <f t="shared" si="317"/>
        <v>28.423168431384806</v>
      </c>
      <c r="K118" s="172">
        <f t="shared" si="318"/>
        <v>47.380141344527303</v>
      </c>
      <c r="L118" s="443"/>
      <c r="M118" s="217">
        <f t="shared" si="319"/>
        <v>0.59989762804556523</v>
      </c>
      <c r="N118" s="172">
        <f t="shared" si="426"/>
        <v>95.458285843014792</v>
      </c>
      <c r="O118" s="172">
        <f t="shared" si="284"/>
        <v>5.6000000000000005</v>
      </c>
      <c r="P118" s="217">
        <f t="shared" si="320"/>
        <v>3.4092244943933854</v>
      </c>
      <c r="Q118" s="217">
        <f t="shared" si="321"/>
        <v>28</v>
      </c>
      <c r="R118" s="217"/>
      <c r="S118" s="172">
        <f t="shared" si="322"/>
        <v>770.92672930714889</v>
      </c>
      <c r="T118" s="172">
        <f t="shared" si="323"/>
        <v>28</v>
      </c>
      <c r="U118" s="217">
        <f t="shared" si="324"/>
        <v>0.99974413559726072</v>
      </c>
      <c r="V118" s="217">
        <f t="shared" si="325"/>
        <v>0.2478664425399659</v>
      </c>
      <c r="W118" s="217">
        <f t="shared" si="326"/>
        <v>0.1653157510799789</v>
      </c>
      <c r="X118" s="197">
        <f t="shared" si="327"/>
        <v>350</v>
      </c>
      <c r="Y118" s="443">
        <f t="shared" si="328"/>
        <v>350</v>
      </c>
      <c r="AA118" s="217">
        <f t="shared" si="329"/>
        <v>6.9132016338041229</v>
      </c>
      <c r="AB118" s="173">
        <f t="shared" si="330"/>
        <v>1.1431536127760382</v>
      </c>
      <c r="AC118" s="173">
        <f t="shared" si="331"/>
        <v>1.3829989991181688</v>
      </c>
      <c r="AD118" s="173"/>
      <c r="AE118" s="173">
        <f t="shared" si="332"/>
        <v>0.55119353440440388</v>
      </c>
      <c r="AF118" s="545">
        <f t="shared" si="333"/>
        <v>217.70937521911765</v>
      </c>
      <c r="AG118" s="528">
        <f t="shared" si="334"/>
        <v>0.3215295617359023</v>
      </c>
      <c r="AI118" s="173">
        <f t="shared" si="335"/>
        <v>2.6289558263909356</v>
      </c>
      <c r="AJ118" s="173">
        <f t="shared" si="336"/>
        <v>3.3333333333333335</v>
      </c>
      <c r="AK118" s="173">
        <f t="shared" si="337"/>
        <v>1.1244053572680672</v>
      </c>
      <c r="AM118" s="545">
        <f t="shared" si="338"/>
        <v>200</v>
      </c>
      <c r="AN118" s="460">
        <f t="shared" si="339"/>
        <v>217.70937521911765</v>
      </c>
      <c r="AP118" s="460">
        <f t="shared" si="340"/>
        <v>200</v>
      </c>
      <c r="AQ118" s="460">
        <f t="shared" si="341"/>
        <v>217.70937521911765</v>
      </c>
      <c r="AS118" s="5">
        <f t="shared" si="285"/>
        <v>4.5932794533700321</v>
      </c>
      <c r="AT118" s="5">
        <f t="shared" si="342"/>
        <v>0.82643292990123285</v>
      </c>
      <c r="AU118" s="5">
        <f t="shared" si="343"/>
        <v>3.7668465234687991</v>
      </c>
      <c r="AV118" s="5"/>
      <c r="AW118" s="173">
        <f t="shared" si="344"/>
        <v>0.17992219682930227</v>
      </c>
      <c r="AX118" s="173">
        <f t="shared" si="214"/>
        <v>5.6846336862769613</v>
      </c>
      <c r="AY118" s="173">
        <f t="shared" si="215"/>
        <v>1.3667963386178295</v>
      </c>
      <c r="AZ118" s="173">
        <f t="shared" si="288"/>
        <v>4.1590934403771795</v>
      </c>
      <c r="BA118" s="460">
        <f t="shared" si="433"/>
        <v>0.59030923564373783</v>
      </c>
      <c r="BB118" s="5">
        <f t="shared" si="434"/>
        <v>0.7948202575860237</v>
      </c>
      <c r="BD118" s="173">
        <f t="shared" si="289"/>
        <v>0.81632010068060534</v>
      </c>
      <c r="BE118" s="173">
        <f t="shared" si="218"/>
        <v>1.7427923562285068</v>
      </c>
      <c r="BG118" s="528">
        <f t="shared" si="347"/>
        <v>7.9965420813023231E-3</v>
      </c>
      <c r="BH118" s="528">
        <f t="shared" si="348"/>
        <v>0.6275019756695569</v>
      </c>
      <c r="BI118" s="528">
        <f t="shared" si="349"/>
        <v>2.5036578150198531E-2</v>
      </c>
      <c r="BJ118" s="528">
        <f t="shared" si="350"/>
        <v>0.24069998890418495</v>
      </c>
      <c r="BK118">
        <f t="shared" si="351"/>
        <v>8.5306378109141247E-3</v>
      </c>
      <c r="BL118" s="460">
        <f t="shared" si="427"/>
        <v>33.567215961112659</v>
      </c>
      <c r="BM118" s="528">
        <f t="shared" si="352"/>
        <v>0.8800296102665579</v>
      </c>
      <c r="BN118" s="460">
        <f t="shared" si="353"/>
        <v>880.02961026655794</v>
      </c>
      <c r="BO118" s="528">
        <f t="shared" si="354"/>
        <v>0.13999999999999999</v>
      </c>
      <c r="BR118" s="460">
        <f t="shared" si="355"/>
        <v>139.99999999999997</v>
      </c>
      <c r="BS118" s="528">
        <f t="shared" si="356"/>
        <v>9.32929909485271E-3</v>
      </c>
      <c r="BT118" s="528">
        <f t="shared" si="357"/>
        <v>4.2522552756999149E-2</v>
      </c>
      <c r="BU118" s="528">
        <f t="shared" si="358"/>
        <v>0.70934856778366606</v>
      </c>
      <c r="BV118" s="528"/>
      <c r="BW118" s="528">
        <f t="shared" si="359"/>
        <v>0.24189930579901964</v>
      </c>
      <c r="BX118" s="460">
        <f t="shared" si="360"/>
        <v>1003.0997254345375</v>
      </c>
      <c r="BY118" s="173">
        <f t="shared" si="361"/>
        <v>2.0528654480506945</v>
      </c>
      <c r="BZ118" s="5">
        <f t="shared" si="362"/>
        <v>5.6000000000000005</v>
      </c>
      <c r="CA118" s="173">
        <f t="shared" si="363"/>
        <v>0.73175205261532572</v>
      </c>
      <c r="CB118" s="5">
        <f t="shared" si="364"/>
        <v>73.175205261532568</v>
      </c>
      <c r="CE118" s="562">
        <f t="shared" si="365"/>
        <v>-50</v>
      </c>
      <c r="CF118">
        <f t="shared" si="366"/>
        <v>-50</v>
      </c>
      <c r="CG118" s="173">
        <f t="shared" si="367"/>
        <v>0.12085410330524275</v>
      </c>
      <c r="CI118" s="170">
        <v>8</v>
      </c>
      <c r="CJ118" s="217">
        <f t="shared" si="428"/>
        <v>0.2</v>
      </c>
      <c r="CK118" s="217"/>
      <c r="CL118" s="217">
        <f t="shared" si="368"/>
        <v>5.6000000000000005</v>
      </c>
      <c r="CM118" s="541">
        <f t="shared" si="369"/>
        <v>19</v>
      </c>
      <c r="CN118" s="443">
        <f t="shared" si="370"/>
        <v>28.4</v>
      </c>
      <c r="CO118" s="443">
        <f t="shared" si="371"/>
        <v>47.4</v>
      </c>
      <c r="CP118" s="443"/>
      <c r="CQ118" s="217">
        <f t="shared" si="372"/>
        <v>0.59915611814345993</v>
      </c>
      <c r="CR118" s="172">
        <f t="shared" si="429"/>
        <v>95.556689708830859</v>
      </c>
      <c r="CS118" s="172">
        <f t="shared" si="373"/>
        <v>5.6000000000000005</v>
      </c>
      <c r="CT118" s="217">
        <f t="shared" si="374"/>
        <v>3.4127389181725305</v>
      </c>
      <c r="CU118" s="217">
        <f t="shared" si="375"/>
        <v>28</v>
      </c>
      <c r="CV118" s="217"/>
      <c r="CW118" s="172">
        <f t="shared" si="376"/>
        <v>772.67649751784938</v>
      </c>
      <c r="CX118" s="172">
        <f t="shared" si="377"/>
        <v>28</v>
      </c>
      <c r="CY118" s="217">
        <f t="shared" si="378"/>
        <v>0.98383988139362488</v>
      </c>
      <c r="CZ118" s="217">
        <f t="shared" si="379"/>
        <v>0.24337091802894928</v>
      </c>
      <c r="DA118" s="217">
        <f t="shared" si="380"/>
        <v>0.16281857192077595</v>
      </c>
      <c r="DB118" s="197">
        <f t="shared" si="381"/>
        <v>350</v>
      </c>
      <c r="DC118" s="443">
        <f t="shared" si="382"/>
        <v>350</v>
      </c>
      <c r="DE118" s="217">
        <f t="shared" si="383"/>
        <v>6.9203442217177731</v>
      </c>
      <c r="DF118" s="173">
        <f t="shared" si="384"/>
        <v>1.1452682338758289</v>
      </c>
      <c r="DG118" s="173">
        <f t="shared" si="385"/>
        <v>1.3869888208084145</v>
      </c>
      <c r="DH118" s="173"/>
      <c r="DI118" s="173">
        <f t="shared" si="386"/>
        <v>0.55164319248826299</v>
      </c>
      <c r="DJ118" s="545">
        <f t="shared" si="387"/>
        <v>217.531914893617</v>
      </c>
      <c r="DK118" s="528">
        <f t="shared" si="388"/>
        <v>0.3217918622848201</v>
      </c>
      <c r="DM118" s="173">
        <f t="shared" si="389"/>
        <v>2.627884144323688</v>
      </c>
      <c r="DN118" s="173">
        <f t="shared" si="390"/>
        <v>3.3333333333333335</v>
      </c>
      <c r="DO118" s="173">
        <f t="shared" si="391"/>
        <v>1.1243039513677811</v>
      </c>
      <c r="DQ118" s="545">
        <f t="shared" si="392"/>
        <v>200</v>
      </c>
      <c r="DR118" s="460">
        <f t="shared" si="393"/>
        <v>217.531914893617</v>
      </c>
      <c r="DT118">
        <f t="shared" si="430"/>
        <v>200</v>
      </c>
      <c r="DU118">
        <f t="shared" si="431"/>
        <v>217.531914893617</v>
      </c>
      <c r="DW118" s="5">
        <f t="shared" si="394"/>
        <v>4.5970266040688577</v>
      </c>
      <c r="DX118" s="5">
        <f t="shared" si="395"/>
        <v>0.82456140350877194</v>
      </c>
      <c r="DY118" s="5">
        <f t="shared" si="396"/>
        <v>3.7724652005600858</v>
      </c>
      <c r="DZ118" s="5"/>
      <c r="EA118" s="173">
        <f t="shared" si="397"/>
        <v>0.17936842105263157</v>
      </c>
      <c r="EB118" s="173">
        <f t="shared" si="398"/>
        <v>5.68</v>
      </c>
      <c r="EC118" s="173">
        <f t="shared" si="399"/>
        <v>1.3677192982456141</v>
      </c>
      <c r="ED118" s="173">
        <f t="shared" si="400"/>
        <v>4.1528989225243711</v>
      </c>
      <c r="EE118" s="460">
        <f t="shared" si="401"/>
        <v>0.58897243107769426</v>
      </c>
      <c r="EF118" s="5">
        <f t="shared" si="402"/>
        <v>0.79420320011791279</v>
      </c>
      <c r="EH118" s="173">
        <f t="shared" si="403"/>
        <v>0.81506287204124139</v>
      </c>
      <c r="EI118" s="173">
        <f t="shared" si="404"/>
        <v>1.7433806865752492</v>
      </c>
      <c r="EK118" s="528">
        <f t="shared" si="405"/>
        <v>7.9719298245614044E-3</v>
      </c>
      <c r="EL118" s="528">
        <f t="shared" si="406"/>
        <v>0.65303080851063833</v>
      </c>
      <c r="EM118" s="528">
        <f t="shared" si="407"/>
        <v>2.5016170212765955E-2</v>
      </c>
      <c r="EN118" s="528">
        <f t="shared" si="408"/>
        <v>0.24070543751489357</v>
      </c>
      <c r="EO118">
        <f t="shared" si="409"/>
        <v>8.5500000000000003E-3</v>
      </c>
      <c r="EP118" s="460">
        <f t="shared" si="410"/>
        <v>33.566170212765954</v>
      </c>
      <c r="EQ118" s="460"/>
      <c r="ER118" s="460">
        <f t="shared" si="432"/>
        <v>935.27434606285919</v>
      </c>
      <c r="ES118" s="528">
        <f t="shared" si="411"/>
        <v>0.13999999999999999</v>
      </c>
      <c r="EV118" s="460">
        <f t="shared" si="412"/>
        <v>139.99999999999997</v>
      </c>
      <c r="EW118" s="528">
        <f t="shared" si="413"/>
        <v>9.3005847953216373E-3</v>
      </c>
      <c r="EX118" s="528">
        <f t="shared" si="414"/>
        <v>4.2551267056530229E-2</v>
      </c>
      <c r="EY118" s="528">
        <f t="shared" si="415"/>
        <v>0.7079039322302777</v>
      </c>
      <c r="EZ118" s="528"/>
      <c r="FA118" s="528">
        <f t="shared" si="416"/>
        <v>0.24170212765957447</v>
      </c>
      <c r="FB118" s="460">
        <f t="shared" si="417"/>
        <v>1001.4579117417039</v>
      </c>
      <c r="FC118" s="173">
        <f t="shared" si="418"/>
        <v>2.0767322578045633</v>
      </c>
      <c r="FD118" s="5">
        <f t="shared" si="419"/>
        <v>5.6000000000000005</v>
      </c>
      <c r="FE118" s="173">
        <f t="shared" si="420"/>
        <v>0.72947704986151507</v>
      </c>
      <c r="FF118" s="5">
        <f t="shared" si="421"/>
        <v>72.947704986151507</v>
      </c>
      <c r="FI118" s="562">
        <f t="shared" si="422"/>
        <v>-50</v>
      </c>
      <c r="FJ118">
        <f t="shared" si="423"/>
        <v>-50</v>
      </c>
      <c r="FL118">
        <f t="shared" si="424"/>
        <v>0.12000000000000001</v>
      </c>
    </row>
    <row r="119" spans="5:168">
      <c r="E119" s="170">
        <v>9</v>
      </c>
      <c r="F119" s="217">
        <f t="shared" si="425"/>
        <v>0.22499999999999998</v>
      </c>
      <c r="G119" s="217"/>
      <c r="H119" s="217">
        <f t="shared" si="315"/>
        <v>6.2999999999999989</v>
      </c>
      <c r="I119" s="541">
        <f t="shared" si="316"/>
        <v>18.956972913142501</v>
      </c>
      <c r="J119" s="172">
        <f t="shared" si="317"/>
        <v>28.423168431384806</v>
      </c>
      <c r="K119" s="172">
        <f t="shared" si="318"/>
        <v>47.380141344527303</v>
      </c>
      <c r="L119" s="443"/>
      <c r="M119" s="217">
        <f t="shared" si="319"/>
        <v>0.59989762804556523</v>
      </c>
      <c r="N119" s="172">
        <f t="shared" si="426"/>
        <v>95.458285843014792</v>
      </c>
      <c r="O119" s="172">
        <f t="shared" si="284"/>
        <v>6.2999999999999989</v>
      </c>
      <c r="P119" s="217">
        <f t="shared" si="320"/>
        <v>3.4092244943933854</v>
      </c>
      <c r="Q119" s="217">
        <f t="shared" si="321"/>
        <v>28</v>
      </c>
      <c r="R119" s="217"/>
      <c r="S119" s="172">
        <f t="shared" si="322"/>
        <v>683.16422799738564</v>
      </c>
      <c r="T119" s="172">
        <f t="shared" si="323"/>
        <v>28</v>
      </c>
      <c r="U119" s="217">
        <f t="shared" si="324"/>
        <v>1.1247121525469181</v>
      </c>
      <c r="V119" s="217">
        <f t="shared" si="325"/>
        <v>0.27884974785746158</v>
      </c>
      <c r="W119" s="217">
        <f t="shared" si="326"/>
        <v>0.18598021996497624</v>
      </c>
      <c r="X119" s="197">
        <f t="shared" si="327"/>
        <v>350</v>
      </c>
      <c r="Y119" s="443">
        <f t="shared" si="328"/>
        <v>350</v>
      </c>
      <c r="AA119" s="217">
        <f t="shared" si="329"/>
        <v>6.9132016338041229</v>
      </c>
      <c r="AB119" s="173">
        <f t="shared" si="330"/>
        <v>1.1431536127760382</v>
      </c>
      <c r="AC119" s="173">
        <f t="shared" si="331"/>
        <v>1.3829989991181688</v>
      </c>
      <c r="AD119" s="173"/>
      <c r="AE119" s="173">
        <f t="shared" si="332"/>
        <v>0.55119353440440388</v>
      </c>
      <c r="AF119" s="545">
        <f t="shared" si="333"/>
        <v>244.92304712150732</v>
      </c>
      <c r="AG119" s="528">
        <f t="shared" si="334"/>
        <v>0.3215295617359023</v>
      </c>
      <c r="AI119" s="173">
        <f t="shared" si="335"/>
        <v>2.7884287384213717</v>
      </c>
      <c r="AJ119" s="173">
        <f t="shared" si="336"/>
        <v>3.3333333333333335</v>
      </c>
      <c r="AK119" s="173">
        <f t="shared" si="337"/>
        <v>1.1399560269265756</v>
      </c>
      <c r="AM119" s="545">
        <f t="shared" si="338"/>
        <v>224.99999999999997</v>
      </c>
      <c r="AN119" s="460">
        <f t="shared" si="339"/>
        <v>244.92304712150732</v>
      </c>
      <c r="AP119" s="460">
        <f t="shared" si="340"/>
        <v>224.99999999999997</v>
      </c>
      <c r="AQ119" s="460">
        <f t="shared" si="341"/>
        <v>244.92304712150732</v>
      </c>
      <c r="AS119" s="5">
        <f t="shared" si="285"/>
        <v>4.0829150696622518</v>
      </c>
      <c r="AT119" s="5">
        <f t="shared" si="342"/>
        <v>0.82643292990123285</v>
      </c>
      <c r="AU119" s="5">
        <f t="shared" si="343"/>
        <v>3.2564821397610189</v>
      </c>
      <c r="AV119" s="5"/>
      <c r="AW119" s="173">
        <f t="shared" si="344"/>
        <v>0.20241247143296501</v>
      </c>
      <c r="AX119" s="173">
        <f t="shared" si="214"/>
        <v>6.3952128970615805</v>
      </c>
      <c r="AY119" s="173">
        <f t="shared" si="215"/>
        <v>1.3293125476117249</v>
      </c>
      <c r="AZ119" s="173">
        <f t="shared" si="288"/>
        <v>4.8109174238604568</v>
      </c>
      <c r="BA119" s="460">
        <f t="shared" si="433"/>
        <v>0.66409789009920484</v>
      </c>
      <c r="BB119" s="5">
        <f t="shared" si="434"/>
        <v>0.77302266010862586</v>
      </c>
      <c r="BD119" s="173">
        <f t="shared" si="289"/>
        <v>0.86583821821521179</v>
      </c>
      <c r="BE119" s="173">
        <f t="shared" si="218"/>
        <v>1.718728565999184</v>
      </c>
      <c r="BG119" s="528">
        <f t="shared" si="347"/>
        <v>8.9961098414651115E-3</v>
      </c>
      <c r="BH119" s="528">
        <f t="shared" si="348"/>
        <v>0.70593972262825144</v>
      </c>
      <c r="BI119" s="528">
        <f t="shared" si="349"/>
        <v>2.8166150418973347E-2</v>
      </c>
      <c r="BJ119" s="528">
        <f t="shared" si="350"/>
        <v>0.27078748751720799</v>
      </c>
      <c r="BK119">
        <f t="shared" si="351"/>
        <v>8.5306378109141247E-3</v>
      </c>
      <c r="BL119" s="460">
        <f t="shared" si="427"/>
        <v>36.696788229887474</v>
      </c>
      <c r="BM119" s="528">
        <f t="shared" si="352"/>
        <v>0.99026894544983202</v>
      </c>
      <c r="BN119" s="460">
        <f t="shared" si="353"/>
        <v>990.26894544983202</v>
      </c>
      <c r="BO119" s="528">
        <f t="shared" si="354"/>
        <v>0.15749999999999997</v>
      </c>
      <c r="BR119" s="460">
        <f t="shared" si="355"/>
        <v>157.49999999999997</v>
      </c>
      <c r="BS119" s="528">
        <f t="shared" si="356"/>
        <v>1.0495461481709297E-2</v>
      </c>
      <c r="BT119" s="528">
        <f t="shared" si="357"/>
        <v>4.1356390370142562E-2</v>
      </c>
      <c r="BU119" s="528">
        <f t="shared" si="358"/>
        <v>0.9522281199114454</v>
      </c>
      <c r="BV119" s="528"/>
      <c r="BW119" s="528">
        <f t="shared" si="359"/>
        <v>0.27213671902389702</v>
      </c>
      <c r="BX119" s="460">
        <f t="shared" si="360"/>
        <v>1276.2166907871942</v>
      </c>
      <c r="BY119" s="173">
        <f t="shared" si="361"/>
        <v>2.4561367990040064</v>
      </c>
      <c r="BZ119" s="5">
        <f t="shared" si="362"/>
        <v>6.2999999999999989</v>
      </c>
      <c r="CA119" s="173">
        <f t="shared" si="363"/>
        <v>0.71949538302286598</v>
      </c>
      <c r="CB119" s="5">
        <f t="shared" si="364"/>
        <v>71.949538302286598</v>
      </c>
      <c r="CE119" s="562">
        <f t="shared" si="365"/>
        <v>-50</v>
      </c>
      <c r="CF119">
        <f t="shared" si="366"/>
        <v>-50</v>
      </c>
      <c r="CG119" s="173">
        <f t="shared" si="367"/>
        <v>0.13596086621839806</v>
      </c>
      <c r="CI119" s="170">
        <v>9</v>
      </c>
      <c r="CJ119" s="217">
        <f t="shared" si="428"/>
        <v>0.22499999999999998</v>
      </c>
      <c r="CK119" s="217"/>
      <c r="CL119" s="217">
        <f t="shared" si="368"/>
        <v>6.2999999999999989</v>
      </c>
      <c r="CM119" s="541">
        <f t="shared" si="369"/>
        <v>19</v>
      </c>
      <c r="CN119" s="443">
        <f t="shared" si="370"/>
        <v>28.4</v>
      </c>
      <c r="CO119" s="443">
        <f t="shared" si="371"/>
        <v>47.4</v>
      </c>
      <c r="CP119" s="443"/>
      <c r="CQ119" s="217">
        <f t="shared" si="372"/>
        <v>0.59915611814345993</v>
      </c>
      <c r="CR119" s="172">
        <f t="shared" si="429"/>
        <v>95.556689708830859</v>
      </c>
      <c r="CS119" s="172">
        <f t="shared" si="373"/>
        <v>6.2999999999999989</v>
      </c>
      <c r="CT119" s="217">
        <f t="shared" si="374"/>
        <v>3.4127389181725305</v>
      </c>
      <c r="CU119" s="217">
        <f t="shared" si="375"/>
        <v>28</v>
      </c>
      <c r="CV119" s="217"/>
      <c r="CW119" s="172">
        <f t="shared" si="376"/>
        <v>684.71479673517274</v>
      </c>
      <c r="CX119" s="172">
        <f t="shared" si="377"/>
        <v>28</v>
      </c>
      <c r="CY119" s="217">
        <f t="shared" si="378"/>
        <v>1.1068198665678277</v>
      </c>
      <c r="CZ119" s="217">
        <f t="shared" si="379"/>
        <v>0.2737922827825679</v>
      </c>
      <c r="DA119" s="217">
        <f t="shared" si="380"/>
        <v>0.18317089341087289</v>
      </c>
      <c r="DB119" s="197">
        <f t="shared" si="381"/>
        <v>350</v>
      </c>
      <c r="DC119" s="443">
        <f t="shared" si="382"/>
        <v>350</v>
      </c>
      <c r="DE119" s="217">
        <f t="shared" si="383"/>
        <v>6.9203442217177731</v>
      </c>
      <c r="DF119" s="173">
        <f t="shared" si="384"/>
        <v>1.1452682338758289</v>
      </c>
      <c r="DG119" s="173">
        <f t="shared" si="385"/>
        <v>1.3869888208084145</v>
      </c>
      <c r="DH119" s="173"/>
      <c r="DI119" s="173">
        <f t="shared" si="386"/>
        <v>0.55164319248826299</v>
      </c>
      <c r="DJ119" s="545">
        <f t="shared" si="387"/>
        <v>244.72340425531908</v>
      </c>
      <c r="DK119" s="528">
        <f t="shared" si="388"/>
        <v>0.3217918622848201</v>
      </c>
      <c r="DM119" s="173">
        <f t="shared" si="389"/>
        <v>2.7872920479358316</v>
      </c>
      <c r="DN119" s="173">
        <f t="shared" si="390"/>
        <v>3.3333333333333335</v>
      </c>
      <c r="DO119" s="173">
        <f t="shared" si="391"/>
        <v>1.1398419452887538</v>
      </c>
      <c r="DQ119" s="545">
        <f t="shared" si="392"/>
        <v>224.99999999999997</v>
      </c>
      <c r="DR119" s="460">
        <f t="shared" si="393"/>
        <v>244.72340425531908</v>
      </c>
      <c r="DT119">
        <f t="shared" si="430"/>
        <v>224.99999999999997</v>
      </c>
      <c r="DU119">
        <f t="shared" si="431"/>
        <v>244.72340425531908</v>
      </c>
      <c r="DW119" s="5">
        <f t="shared" si="394"/>
        <v>4.0862458702834301</v>
      </c>
      <c r="DX119" s="5">
        <f t="shared" si="395"/>
        <v>0.82456140350877194</v>
      </c>
      <c r="DY119" s="5">
        <f t="shared" si="396"/>
        <v>3.2616844667746583</v>
      </c>
      <c r="DZ119" s="5"/>
      <c r="EA119" s="173">
        <f t="shared" si="397"/>
        <v>0.20178947368421046</v>
      </c>
      <c r="EB119" s="173">
        <f t="shared" si="398"/>
        <v>6.3899999999999988</v>
      </c>
      <c r="EC119" s="173">
        <f t="shared" si="399"/>
        <v>1.3303508771929826</v>
      </c>
      <c r="ED119" s="173">
        <f t="shared" si="400"/>
        <v>4.8032440986416969</v>
      </c>
      <c r="EE119" s="460">
        <f t="shared" si="401"/>
        <v>0.66259398496240596</v>
      </c>
      <c r="EF119" s="5">
        <f t="shared" si="402"/>
        <v>0.77250421581505035</v>
      </c>
      <c r="EH119" s="173">
        <f t="shared" si="403"/>
        <v>0.86450472587061733</v>
      </c>
      <c r="EI119" s="173">
        <f t="shared" si="404"/>
        <v>1.7193996867078558</v>
      </c>
      <c r="EK119" s="528">
        <f t="shared" si="405"/>
        <v>8.9684210526315752E-3</v>
      </c>
      <c r="EL119" s="528">
        <f t="shared" si="406"/>
        <v>0.73465965957446799</v>
      </c>
      <c r="EM119" s="528">
        <f t="shared" si="407"/>
        <v>2.8143191489361698E-2</v>
      </c>
      <c r="EN119" s="528">
        <f t="shared" si="408"/>
        <v>0.27079361720425521</v>
      </c>
      <c r="EO119">
        <f t="shared" si="409"/>
        <v>8.5500000000000003E-3</v>
      </c>
      <c r="EP119" s="460">
        <f t="shared" si="410"/>
        <v>36.693191489361695</v>
      </c>
      <c r="EQ119" s="460"/>
      <c r="ER119" s="460">
        <f t="shared" si="432"/>
        <v>1051.1148893207167</v>
      </c>
      <c r="ES119" s="528">
        <f t="shared" si="411"/>
        <v>0.15749999999999997</v>
      </c>
      <c r="EV119" s="460">
        <f t="shared" si="412"/>
        <v>157.49999999999997</v>
      </c>
      <c r="EW119" s="528">
        <f t="shared" si="413"/>
        <v>1.0463157894736837E-2</v>
      </c>
      <c r="EX119" s="528">
        <f t="shared" si="414"/>
        <v>4.1388693957115023E-2</v>
      </c>
      <c r="EY119" s="528">
        <f t="shared" si="415"/>
        <v>0.9502888439906424</v>
      </c>
      <c r="EZ119" s="528"/>
      <c r="FA119" s="528">
        <f t="shared" si="416"/>
        <v>0.27191489361702126</v>
      </c>
      <c r="FB119" s="460">
        <f t="shared" si="417"/>
        <v>1274.0555894595157</v>
      </c>
      <c r="FC119" s="173">
        <f t="shared" si="418"/>
        <v>2.4826704787802321</v>
      </c>
      <c r="FD119" s="5">
        <f t="shared" si="419"/>
        <v>6.2999999999999989</v>
      </c>
      <c r="FE119" s="173">
        <f t="shared" si="420"/>
        <v>0.71732168652136041</v>
      </c>
      <c r="FF119" s="5">
        <f t="shared" si="421"/>
        <v>71.732168652136039</v>
      </c>
      <c r="FI119" s="562">
        <f t="shared" si="422"/>
        <v>-50</v>
      </c>
      <c r="FJ119">
        <f t="shared" si="423"/>
        <v>-50</v>
      </c>
      <c r="FL119">
        <f t="shared" si="424"/>
        <v>0.13499999999999998</v>
      </c>
    </row>
    <row r="120" spans="5:168">
      <c r="E120" s="170">
        <v>10</v>
      </c>
      <c r="F120" s="217">
        <f t="shared" si="425"/>
        <v>0.25</v>
      </c>
      <c r="G120" s="217"/>
      <c r="H120" s="217">
        <f t="shared" si="315"/>
        <v>7</v>
      </c>
      <c r="I120" s="541">
        <f t="shared" si="316"/>
        <v>18.956972913142501</v>
      </c>
      <c r="J120" s="172">
        <f t="shared" si="317"/>
        <v>28.423168431384806</v>
      </c>
      <c r="K120" s="172">
        <f t="shared" si="318"/>
        <v>47.380141344527303</v>
      </c>
      <c r="L120" s="443"/>
      <c r="M120" s="217">
        <f t="shared" si="319"/>
        <v>0.59989762804556523</v>
      </c>
      <c r="N120" s="172">
        <f t="shared" si="426"/>
        <v>95.458285843014792</v>
      </c>
      <c r="O120" s="172">
        <f t="shared" si="284"/>
        <v>7</v>
      </c>
      <c r="P120" s="217">
        <f t="shared" si="320"/>
        <v>3.4092244943933854</v>
      </c>
      <c r="Q120" s="217">
        <f t="shared" si="321"/>
        <v>28</v>
      </c>
      <c r="R120" s="217"/>
      <c r="S120" s="172">
        <f t="shared" si="322"/>
        <v>612.95448700842212</v>
      </c>
      <c r="T120" s="172">
        <f t="shared" si="323"/>
        <v>28</v>
      </c>
      <c r="U120" s="217">
        <f t="shared" si="324"/>
        <v>1.2496801694965758</v>
      </c>
      <c r="V120" s="217">
        <f t="shared" si="325"/>
        <v>0.30983305317495735</v>
      </c>
      <c r="W120" s="217">
        <f t="shared" si="326"/>
        <v>0.20664468884997361</v>
      </c>
      <c r="X120" s="197">
        <f t="shared" si="327"/>
        <v>350</v>
      </c>
      <c r="Y120" s="443">
        <f t="shared" si="328"/>
        <v>350</v>
      </c>
      <c r="AA120" s="217">
        <f t="shared" si="329"/>
        <v>6.9132016338041229</v>
      </c>
      <c r="AB120" s="173">
        <f t="shared" si="330"/>
        <v>1.1431536127760382</v>
      </c>
      <c r="AC120" s="173">
        <f t="shared" si="331"/>
        <v>1.3829989991181688</v>
      </c>
      <c r="AD120" s="173"/>
      <c r="AE120" s="173">
        <f t="shared" si="332"/>
        <v>0.55119353440440388</v>
      </c>
      <c r="AF120" s="545">
        <f t="shared" si="333"/>
        <v>272.136719023897</v>
      </c>
      <c r="AG120" s="528">
        <f t="shared" si="334"/>
        <v>0.3215295617359023</v>
      </c>
      <c r="AI120" s="173">
        <f t="shared" si="335"/>
        <v>2.9392619688271338</v>
      </c>
      <c r="AJ120" s="173">
        <f t="shared" si="336"/>
        <v>3.3333333333333335</v>
      </c>
      <c r="AK120" s="173">
        <f t="shared" si="337"/>
        <v>1.155506696585084</v>
      </c>
      <c r="AM120" s="545">
        <f t="shared" si="338"/>
        <v>250</v>
      </c>
      <c r="AN120" s="460">
        <f t="shared" si="339"/>
        <v>272.136719023897</v>
      </c>
      <c r="AP120" s="460">
        <f t="shared" si="340"/>
        <v>250</v>
      </c>
      <c r="AQ120" s="460">
        <f t="shared" si="341"/>
        <v>272.136719023897</v>
      </c>
      <c r="AS120" s="5">
        <f t="shared" si="285"/>
        <v>3.6746235626960266</v>
      </c>
      <c r="AT120" s="5">
        <f t="shared" si="342"/>
        <v>0.82643292990123285</v>
      </c>
      <c r="AU120" s="5">
        <f t="shared" si="343"/>
        <v>2.8481906327947937</v>
      </c>
      <c r="AV120" s="5"/>
      <c r="AW120" s="173">
        <f t="shared" si="344"/>
        <v>0.22490274603662777</v>
      </c>
      <c r="AX120" s="173">
        <f t="shared" si="214"/>
        <v>7.1057921078462005</v>
      </c>
      <c r="AY120" s="173">
        <f t="shared" si="215"/>
        <v>1.2918287566056206</v>
      </c>
      <c r="AZ120" s="173">
        <f t="shared" si="288"/>
        <v>5.5005681453610116</v>
      </c>
      <c r="BA120" s="460">
        <f t="shared" si="433"/>
        <v>0.73788654455467217</v>
      </c>
      <c r="BB120" s="5">
        <f t="shared" si="434"/>
        <v>0.7512250626312279</v>
      </c>
      <c r="BD120" s="173">
        <f t="shared" si="289"/>
        <v>0.91267361826065285</v>
      </c>
      <c r="BE120" s="173">
        <f t="shared" si="218"/>
        <v>1.6943230418768178</v>
      </c>
      <c r="BG120" s="528">
        <f t="shared" si="347"/>
        <v>9.9956776016279034E-3</v>
      </c>
      <c r="BH120" s="528">
        <f t="shared" si="348"/>
        <v>0.78437746958694599</v>
      </c>
      <c r="BI120" s="528">
        <f t="shared" si="349"/>
        <v>3.1295722687748155E-2</v>
      </c>
      <c r="BJ120" s="528">
        <f t="shared" si="350"/>
        <v>0.30087498613023111</v>
      </c>
      <c r="BK120">
        <f t="shared" si="351"/>
        <v>8.5306378109141247E-3</v>
      </c>
      <c r="BL120" s="460">
        <f t="shared" si="427"/>
        <v>39.826360498662282</v>
      </c>
      <c r="BM120" s="528">
        <f t="shared" si="352"/>
        <v>1.1005607683789642</v>
      </c>
      <c r="BN120" s="460">
        <f t="shared" si="353"/>
        <v>1100.5607683789642</v>
      </c>
      <c r="BO120" s="528">
        <f t="shared" si="354"/>
        <v>0.17499999999999999</v>
      </c>
      <c r="BR120" s="460">
        <f t="shared" si="355"/>
        <v>175</v>
      </c>
      <c r="BS120" s="528">
        <f t="shared" si="356"/>
        <v>1.1661623868565887E-2</v>
      </c>
      <c r="BT120" s="528">
        <f t="shared" si="357"/>
        <v>4.0190227983285982E-2</v>
      </c>
      <c r="BU120" s="528">
        <f t="shared" si="358"/>
        <v>1.239180951020618</v>
      </c>
      <c r="BV120" s="528"/>
      <c r="BW120" s="528">
        <f t="shared" si="359"/>
        <v>0.30237413224877446</v>
      </c>
      <c r="BX120" s="460">
        <f t="shared" si="360"/>
        <v>1593.4069351212443</v>
      </c>
      <c r="BY120" s="173">
        <f t="shared" si="361"/>
        <v>2.9034814289387119</v>
      </c>
      <c r="BZ120" s="5">
        <f t="shared" si="362"/>
        <v>7</v>
      </c>
      <c r="CA120" s="173">
        <f t="shared" si="363"/>
        <v>0.7068221463560761</v>
      </c>
      <c r="CB120" s="5">
        <f t="shared" si="364"/>
        <v>70.682214635607608</v>
      </c>
      <c r="CE120" s="562">
        <f t="shared" si="365"/>
        <v>-50</v>
      </c>
      <c r="CF120">
        <f t="shared" si="366"/>
        <v>-50</v>
      </c>
      <c r="CG120" s="173">
        <f t="shared" si="367"/>
        <v>0.15106762913155342</v>
      </c>
      <c r="CI120" s="170">
        <v>10</v>
      </c>
      <c r="CJ120" s="217">
        <f t="shared" si="428"/>
        <v>0.25</v>
      </c>
      <c r="CK120" s="217"/>
      <c r="CL120" s="217">
        <f t="shared" si="368"/>
        <v>7</v>
      </c>
      <c r="CM120" s="541">
        <f t="shared" si="369"/>
        <v>19</v>
      </c>
      <c r="CN120" s="443">
        <f t="shared" si="370"/>
        <v>28.4</v>
      </c>
      <c r="CO120" s="443">
        <f t="shared" si="371"/>
        <v>47.4</v>
      </c>
      <c r="CP120" s="443"/>
      <c r="CQ120" s="217">
        <f t="shared" si="372"/>
        <v>0.59915611814345993</v>
      </c>
      <c r="CR120" s="172">
        <f t="shared" si="429"/>
        <v>95.556689708830859</v>
      </c>
      <c r="CS120" s="172">
        <f t="shared" si="373"/>
        <v>7</v>
      </c>
      <c r="CT120" s="217">
        <f t="shared" si="374"/>
        <v>3.4127389181725305</v>
      </c>
      <c r="CU120" s="217">
        <f t="shared" si="375"/>
        <v>28</v>
      </c>
      <c r="CV120" s="217"/>
      <c r="CW120" s="172">
        <f t="shared" si="376"/>
        <v>614.34569616896988</v>
      </c>
      <c r="CX120" s="172">
        <f t="shared" si="377"/>
        <v>28</v>
      </c>
      <c r="CY120" s="217">
        <f t="shared" si="378"/>
        <v>1.229799851742031</v>
      </c>
      <c r="CZ120" s="217">
        <f t="shared" si="379"/>
        <v>0.30421364753618657</v>
      </c>
      <c r="DA120" s="217">
        <f t="shared" si="380"/>
        <v>0.20352321490096992</v>
      </c>
      <c r="DB120" s="197">
        <f t="shared" si="381"/>
        <v>350</v>
      </c>
      <c r="DC120" s="443">
        <f t="shared" si="382"/>
        <v>350</v>
      </c>
      <c r="DE120" s="217">
        <f t="shared" si="383"/>
        <v>6.9203442217177731</v>
      </c>
      <c r="DF120" s="173">
        <f t="shared" si="384"/>
        <v>1.1452682338758289</v>
      </c>
      <c r="DG120" s="173">
        <f t="shared" si="385"/>
        <v>1.3869888208084145</v>
      </c>
      <c r="DH120" s="173"/>
      <c r="DI120" s="173">
        <f t="shared" si="386"/>
        <v>0.55164319248826299</v>
      </c>
      <c r="DJ120" s="545">
        <f t="shared" si="387"/>
        <v>271.91489361702128</v>
      </c>
      <c r="DK120" s="528">
        <f t="shared" si="388"/>
        <v>0.3217918622848201</v>
      </c>
      <c r="DM120" s="173">
        <f t="shared" si="389"/>
        <v>2.938063791850817</v>
      </c>
      <c r="DN120" s="173">
        <f t="shared" si="390"/>
        <v>3.3333333333333335</v>
      </c>
      <c r="DO120" s="173">
        <f t="shared" si="391"/>
        <v>1.1553799392097264</v>
      </c>
      <c r="DQ120" s="545">
        <f t="shared" si="392"/>
        <v>250</v>
      </c>
      <c r="DR120" s="460">
        <f t="shared" si="393"/>
        <v>271.91489361702128</v>
      </c>
      <c r="DT120">
        <f t="shared" si="430"/>
        <v>250</v>
      </c>
      <c r="DU120">
        <f t="shared" si="431"/>
        <v>271.91489361702128</v>
      </c>
      <c r="DW120" s="5">
        <f t="shared" si="394"/>
        <v>3.6776212832550859</v>
      </c>
      <c r="DX120" s="5">
        <f t="shared" si="395"/>
        <v>0.82456140350877194</v>
      </c>
      <c r="DY120" s="5">
        <f t="shared" si="396"/>
        <v>2.853059879746314</v>
      </c>
      <c r="DZ120" s="5"/>
      <c r="EA120" s="173">
        <f t="shared" si="397"/>
        <v>0.2242105263157895</v>
      </c>
      <c r="EB120" s="173">
        <f t="shared" si="398"/>
        <v>7.1000000000000005</v>
      </c>
      <c r="EC120" s="173">
        <f t="shared" si="399"/>
        <v>1.2929824561403509</v>
      </c>
      <c r="ED120" s="173">
        <f t="shared" si="400"/>
        <v>5.4911804613297157</v>
      </c>
      <c r="EE120" s="460">
        <f t="shared" si="401"/>
        <v>0.73621553884711777</v>
      </c>
      <c r="EF120" s="5">
        <f t="shared" si="402"/>
        <v>0.75080523151218781</v>
      </c>
      <c r="EH120" s="173">
        <f t="shared" si="403"/>
        <v>0.9112679939102144</v>
      </c>
      <c r="EI120" s="173">
        <f t="shared" si="404"/>
        <v>1.6950794515238976</v>
      </c>
      <c r="EK120" s="528">
        <f t="shared" si="405"/>
        <v>9.9649122807017598E-3</v>
      </c>
      <c r="EL120" s="528">
        <f t="shared" si="406"/>
        <v>0.8162885106382981</v>
      </c>
      <c r="EM120" s="528">
        <f t="shared" si="407"/>
        <v>3.1270212765957449E-2</v>
      </c>
      <c r="EN120" s="528">
        <f t="shared" si="408"/>
        <v>0.30088179689361699</v>
      </c>
      <c r="EO120">
        <f t="shared" si="409"/>
        <v>8.5500000000000003E-3</v>
      </c>
      <c r="EP120" s="460">
        <f t="shared" si="410"/>
        <v>39.82021276595745</v>
      </c>
      <c r="EQ120" s="460"/>
      <c r="ER120" s="460">
        <f t="shared" si="432"/>
        <v>1166.9554325785743</v>
      </c>
      <c r="ES120" s="528">
        <f t="shared" si="411"/>
        <v>0.17499999999999999</v>
      </c>
      <c r="EV120" s="460">
        <f t="shared" si="412"/>
        <v>175</v>
      </c>
      <c r="EW120" s="528">
        <f t="shared" si="413"/>
        <v>1.1625730994152053E-2</v>
      </c>
      <c r="EX120" s="528">
        <f t="shared" si="414"/>
        <v>4.0226120857699804E-2</v>
      </c>
      <c r="EY120" s="528">
        <f t="shared" si="415"/>
        <v>1.2366572765674253</v>
      </c>
      <c r="EZ120" s="528"/>
      <c r="FA120" s="528">
        <f t="shared" si="416"/>
        <v>0.30212765957446813</v>
      </c>
      <c r="FB120" s="460">
        <f t="shared" si="417"/>
        <v>1590.6367879937452</v>
      </c>
      <c r="FC120" s="173">
        <f t="shared" si="418"/>
        <v>2.9325922205723196</v>
      </c>
      <c r="FD120" s="5">
        <f t="shared" si="419"/>
        <v>7</v>
      </c>
      <c r="FE120" s="173">
        <f t="shared" si="420"/>
        <v>0.70475056707771078</v>
      </c>
      <c r="FF120" s="5">
        <f t="shared" si="421"/>
        <v>70.475056707771074</v>
      </c>
      <c r="FI120" s="562">
        <f t="shared" si="422"/>
        <v>-50</v>
      </c>
      <c r="FJ120">
        <f t="shared" si="423"/>
        <v>-50</v>
      </c>
      <c r="FL120">
        <f t="shared" si="424"/>
        <v>0.15</v>
      </c>
    </row>
    <row r="121" spans="5:168">
      <c r="E121" s="170">
        <v>11</v>
      </c>
      <c r="F121" s="217">
        <f t="shared" si="425"/>
        <v>0.27500000000000002</v>
      </c>
      <c r="G121" s="217"/>
      <c r="H121" s="217">
        <f t="shared" si="315"/>
        <v>7.7000000000000011</v>
      </c>
      <c r="I121" s="541">
        <f t="shared" si="316"/>
        <v>18.956972913142501</v>
      </c>
      <c r="J121" s="172">
        <f t="shared" si="317"/>
        <v>28.423168431384806</v>
      </c>
      <c r="K121" s="172">
        <f t="shared" si="318"/>
        <v>47.380141344527303</v>
      </c>
      <c r="L121" s="443"/>
      <c r="M121" s="217">
        <f t="shared" si="319"/>
        <v>0.59989762804556523</v>
      </c>
      <c r="N121" s="172">
        <f t="shared" si="426"/>
        <v>95.458285843014792</v>
      </c>
      <c r="O121" s="172">
        <f t="shared" si="284"/>
        <v>7.7000000000000011</v>
      </c>
      <c r="P121" s="217">
        <f t="shared" si="320"/>
        <v>3.4092244943933854</v>
      </c>
      <c r="Q121" s="217">
        <f t="shared" si="321"/>
        <v>28</v>
      </c>
      <c r="R121" s="217"/>
      <c r="S121" s="172">
        <f t="shared" si="322"/>
        <v>555.51039203589448</v>
      </c>
      <c r="T121" s="172">
        <f t="shared" si="323"/>
        <v>28</v>
      </c>
      <c r="U121" s="217">
        <f t="shared" si="324"/>
        <v>1.3746481864462334</v>
      </c>
      <c r="V121" s="217">
        <f t="shared" si="325"/>
        <v>0.34081635849245306</v>
      </c>
      <c r="W121" s="217">
        <f t="shared" si="326"/>
        <v>0.22730915773497101</v>
      </c>
      <c r="X121" s="197">
        <f t="shared" si="327"/>
        <v>350</v>
      </c>
      <c r="Y121" s="443">
        <f t="shared" si="328"/>
        <v>350</v>
      </c>
      <c r="AA121" s="217">
        <f t="shared" si="329"/>
        <v>6.9132016338041229</v>
      </c>
      <c r="AB121" s="173">
        <f t="shared" si="330"/>
        <v>1.1431536127760382</v>
      </c>
      <c r="AC121" s="173">
        <f t="shared" si="331"/>
        <v>1.3829989991181688</v>
      </c>
      <c r="AD121" s="173"/>
      <c r="AE121" s="173">
        <f t="shared" si="332"/>
        <v>0.55119353440440388</v>
      </c>
      <c r="AF121" s="545">
        <f t="shared" si="333"/>
        <v>299.35039092628676</v>
      </c>
      <c r="AG121" s="528">
        <f t="shared" si="334"/>
        <v>0.3215295617359023</v>
      </c>
      <c r="AI121" s="173">
        <f t="shared" si="335"/>
        <v>3.0827239599959184</v>
      </c>
      <c r="AJ121" s="173">
        <f t="shared" si="336"/>
        <v>3.3333333333333335</v>
      </c>
      <c r="AK121" s="173">
        <f t="shared" si="337"/>
        <v>1.1710573662435924</v>
      </c>
      <c r="AM121" s="545">
        <f t="shared" si="338"/>
        <v>275</v>
      </c>
      <c r="AN121" s="460">
        <f t="shared" si="339"/>
        <v>299.35039092628676</v>
      </c>
      <c r="AP121" s="460">
        <f t="shared" si="340"/>
        <v>275</v>
      </c>
      <c r="AQ121" s="460">
        <f t="shared" si="341"/>
        <v>299.35039092628676</v>
      </c>
      <c r="AS121" s="5">
        <f t="shared" si="285"/>
        <v>3.3405668751782058</v>
      </c>
      <c r="AT121" s="5">
        <f t="shared" si="342"/>
        <v>0.82643292990123285</v>
      </c>
      <c r="AU121" s="5">
        <f t="shared" si="343"/>
        <v>2.5141339452769729</v>
      </c>
      <c r="AV121" s="5"/>
      <c r="AW121" s="173">
        <f t="shared" si="344"/>
        <v>0.24739302064029056</v>
      </c>
      <c r="AX121" s="173">
        <f t="shared" si="214"/>
        <v>7.8163713186308224</v>
      </c>
      <c r="AY121" s="173">
        <f t="shared" si="215"/>
        <v>1.2543449655995158</v>
      </c>
      <c r="AZ121" s="173">
        <f t="shared" si="288"/>
        <v>6.2314367522454059</v>
      </c>
      <c r="BA121" s="460">
        <f t="shared" si="433"/>
        <v>0.81167519901013951</v>
      </c>
      <c r="BB121" s="5">
        <f t="shared" si="434"/>
        <v>0.72942746515382995</v>
      </c>
      <c r="BD121" s="173">
        <f t="shared" si="289"/>
        <v>0.95722016632323992</v>
      </c>
      <c r="BE121" s="173">
        <f t="shared" si="218"/>
        <v>1.6695607976015168</v>
      </c>
      <c r="BG121" s="528">
        <f t="shared" si="347"/>
        <v>1.0995245361790694E-2</v>
      </c>
      <c r="BH121" s="528">
        <f t="shared" si="348"/>
        <v>0.86281521654564064</v>
      </c>
      <c r="BI121" s="528">
        <f t="shared" si="349"/>
        <v>3.4425294956522981E-2</v>
      </c>
      <c r="BJ121" s="528">
        <f t="shared" si="350"/>
        <v>0.33096248474325429</v>
      </c>
      <c r="BK121">
        <f t="shared" si="351"/>
        <v>8.5306378109141247E-3</v>
      </c>
      <c r="BL121" s="460">
        <f t="shared" si="427"/>
        <v>42.955932767437105</v>
      </c>
      <c r="BM121" s="528">
        <f t="shared" si="352"/>
        <v>1.210905116549003</v>
      </c>
      <c r="BN121" s="460">
        <f t="shared" si="353"/>
        <v>1210.905116549003</v>
      </c>
      <c r="BO121" s="528">
        <f t="shared" si="354"/>
        <v>0.1925</v>
      </c>
      <c r="BR121" s="460">
        <f t="shared" si="355"/>
        <v>192.5</v>
      </c>
      <c r="BS121" s="528">
        <f t="shared" si="356"/>
        <v>1.2827786255422476E-2</v>
      </c>
      <c r="BT121" s="528">
        <f t="shared" si="357"/>
        <v>3.9024065596429382E-2</v>
      </c>
      <c r="BU121" s="528">
        <f t="shared" si="358"/>
        <v>1.5725933745563392</v>
      </c>
      <c r="BV121" s="528"/>
      <c r="BW121" s="528">
        <f t="shared" si="359"/>
        <v>0.33261154547365201</v>
      </c>
      <c r="BX121" s="460">
        <f t="shared" si="360"/>
        <v>1957.0567718818429</v>
      </c>
      <c r="BY121" s="173">
        <f t="shared" si="361"/>
        <v>3.3972856512999656</v>
      </c>
      <c r="BZ121" s="5">
        <f t="shared" si="362"/>
        <v>7.7000000000000011</v>
      </c>
      <c r="CA121" s="173">
        <f t="shared" si="363"/>
        <v>0.69386336821004535</v>
      </c>
      <c r="CB121" s="5">
        <f t="shared" si="364"/>
        <v>69.386336821004534</v>
      </c>
      <c r="CE121" s="562">
        <f t="shared" si="365"/>
        <v>-50</v>
      </c>
      <c r="CF121">
        <f t="shared" si="366"/>
        <v>-50</v>
      </c>
      <c r="CG121" s="173">
        <f t="shared" si="367"/>
        <v>0.16617439204470877</v>
      </c>
      <c r="CI121" s="170">
        <v>11</v>
      </c>
      <c r="CJ121" s="217">
        <f t="shared" si="428"/>
        <v>0.27500000000000002</v>
      </c>
      <c r="CK121" s="217"/>
      <c r="CL121" s="217">
        <f t="shared" si="368"/>
        <v>7.7000000000000011</v>
      </c>
      <c r="CM121" s="541">
        <f t="shared" si="369"/>
        <v>19</v>
      </c>
      <c r="CN121" s="443">
        <f t="shared" si="370"/>
        <v>28.4</v>
      </c>
      <c r="CO121" s="443">
        <f t="shared" si="371"/>
        <v>47.4</v>
      </c>
      <c r="CP121" s="443"/>
      <c r="CQ121" s="217">
        <f t="shared" si="372"/>
        <v>0.59915611814345993</v>
      </c>
      <c r="CR121" s="172">
        <f t="shared" si="429"/>
        <v>95.556689708830859</v>
      </c>
      <c r="CS121" s="172">
        <f t="shared" si="373"/>
        <v>7.7000000000000011</v>
      </c>
      <c r="CT121" s="217">
        <f t="shared" si="374"/>
        <v>3.4127389181725305</v>
      </c>
      <c r="CU121" s="217">
        <f t="shared" si="375"/>
        <v>28</v>
      </c>
      <c r="CV121" s="217"/>
      <c r="CW121" s="172">
        <f t="shared" si="376"/>
        <v>556.77121608891468</v>
      </c>
      <c r="CX121" s="172">
        <f t="shared" si="377"/>
        <v>28</v>
      </c>
      <c r="CY121" s="217">
        <f t="shared" si="378"/>
        <v>1.3527798369162343</v>
      </c>
      <c r="CZ121" s="217">
        <f t="shared" si="379"/>
        <v>0.33463501228980536</v>
      </c>
      <c r="DA121" s="217">
        <f t="shared" si="380"/>
        <v>0.22387553639106694</v>
      </c>
      <c r="DB121" s="197">
        <f t="shared" si="381"/>
        <v>350</v>
      </c>
      <c r="DC121" s="443">
        <f t="shared" si="382"/>
        <v>350</v>
      </c>
      <c r="DE121" s="217">
        <f t="shared" si="383"/>
        <v>6.9203442217177731</v>
      </c>
      <c r="DF121" s="173">
        <f t="shared" si="384"/>
        <v>1.1452682338758289</v>
      </c>
      <c r="DG121" s="173">
        <f t="shared" si="385"/>
        <v>1.3869888208084145</v>
      </c>
      <c r="DH121" s="173"/>
      <c r="DI121" s="173">
        <f t="shared" si="386"/>
        <v>0.55164319248826299</v>
      </c>
      <c r="DJ121" s="545">
        <f t="shared" si="387"/>
        <v>299.10638297872339</v>
      </c>
      <c r="DK121" s="528">
        <f t="shared" si="388"/>
        <v>0.3217918622848201</v>
      </c>
      <c r="DM121" s="173">
        <f t="shared" si="389"/>
        <v>3.0814673013814837</v>
      </c>
      <c r="DN121" s="173">
        <f t="shared" si="390"/>
        <v>3.3333333333333335</v>
      </c>
      <c r="DO121" s="173">
        <f t="shared" si="391"/>
        <v>1.1709179331306991</v>
      </c>
      <c r="DQ121" s="545">
        <f t="shared" si="392"/>
        <v>275</v>
      </c>
      <c r="DR121" s="460">
        <f t="shared" si="393"/>
        <v>299.10638297872339</v>
      </c>
      <c r="DT121">
        <f t="shared" si="430"/>
        <v>275</v>
      </c>
      <c r="DU121">
        <f t="shared" si="431"/>
        <v>299.10638297872339</v>
      </c>
      <c r="DW121" s="5">
        <f t="shared" si="394"/>
        <v>3.3432920756864424</v>
      </c>
      <c r="DX121" s="5">
        <f t="shared" si="395"/>
        <v>0.82456140350877194</v>
      </c>
      <c r="DY121" s="5">
        <f t="shared" si="396"/>
        <v>2.5187306721776705</v>
      </c>
      <c r="DZ121" s="5"/>
      <c r="EA121" s="173">
        <f t="shared" si="397"/>
        <v>0.2466315789473684</v>
      </c>
      <c r="EB121" s="173">
        <f t="shared" si="398"/>
        <v>7.8100000000000005</v>
      </c>
      <c r="EC121" s="173">
        <f t="shared" si="399"/>
        <v>1.2556140350877194</v>
      </c>
      <c r="ED121" s="173">
        <f t="shared" si="400"/>
        <v>6.2200642727399744</v>
      </c>
      <c r="EE121" s="460">
        <f t="shared" si="401"/>
        <v>0.80983709273182958</v>
      </c>
      <c r="EF121" s="5">
        <f t="shared" si="402"/>
        <v>0.7291062472093256</v>
      </c>
      <c r="EH121" s="173">
        <f t="shared" si="403"/>
        <v>0.95574593506729644</v>
      </c>
      <c r="EI121" s="173">
        <f t="shared" si="404"/>
        <v>1.6704051638168638</v>
      </c>
      <c r="EK121" s="528">
        <f t="shared" si="405"/>
        <v>1.0961403508771931E-2</v>
      </c>
      <c r="EL121" s="528">
        <f t="shared" si="406"/>
        <v>0.89791736170212766</v>
      </c>
      <c r="EM121" s="528">
        <f t="shared" si="407"/>
        <v>3.4397234042553189E-2</v>
      </c>
      <c r="EN121" s="528">
        <f t="shared" si="408"/>
        <v>0.33096997658297866</v>
      </c>
      <c r="EO121">
        <f t="shared" si="409"/>
        <v>8.5500000000000003E-3</v>
      </c>
      <c r="EP121" s="460">
        <f t="shared" si="410"/>
        <v>42.947234042553191</v>
      </c>
      <c r="EQ121" s="460"/>
      <c r="ER121" s="460">
        <f t="shared" si="432"/>
        <v>1282.7959758364316</v>
      </c>
      <c r="ES121" s="528">
        <f t="shared" si="411"/>
        <v>0.1925</v>
      </c>
      <c r="EV121" s="460">
        <f t="shared" si="412"/>
        <v>192.5</v>
      </c>
      <c r="EW121" s="528">
        <f t="shared" si="413"/>
        <v>1.2788304093567252E-2</v>
      </c>
      <c r="EX121" s="528">
        <f t="shared" si="414"/>
        <v>3.9063547758284606E-2</v>
      </c>
      <c r="EY121" s="528">
        <f t="shared" si="415"/>
        <v>1.5693906835196809</v>
      </c>
      <c r="EZ121" s="528"/>
      <c r="FA121" s="528">
        <f t="shared" si="416"/>
        <v>0.3323404255319149</v>
      </c>
      <c r="FB121" s="460">
        <f t="shared" si="417"/>
        <v>1953.5829609034477</v>
      </c>
      <c r="FC121" s="173">
        <f t="shared" si="418"/>
        <v>3.4288789367398795</v>
      </c>
      <c r="FD121" s="5">
        <f t="shared" si="419"/>
        <v>7.7000000000000011</v>
      </c>
      <c r="FE121" s="173">
        <f t="shared" si="420"/>
        <v>0.69189358998056072</v>
      </c>
      <c r="FF121" s="5">
        <f t="shared" si="421"/>
        <v>69.189358998056065</v>
      </c>
      <c r="FI121" s="562">
        <f t="shared" si="422"/>
        <v>-50</v>
      </c>
      <c r="FJ121">
        <f t="shared" si="423"/>
        <v>-50</v>
      </c>
      <c r="FL121">
        <f t="shared" si="424"/>
        <v>0.16500000000000001</v>
      </c>
    </row>
    <row r="122" spans="5:168">
      <c r="E122" s="170">
        <v>12</v>
      </c>
      <c r="F122" s="217">
        <f t="shared" si="425"/>
        <v>0.3</v>
      </c>
      <c r="G122" s="217"/>
      <c r="H122" s="217">
        <f t="shared" si="315"/>
        <v>8.4</v>
      </c>
      <c r="I122" s="541">
        <f t="shared" si="316"/>
        <v>18.956972913142501</v>
      </c>
      <c r="J122" s="172">
        <f t="shared" si="317"/>
        <v>28.423168431384806</v>
      </c>
      <c r="K122" s="172">
        <f t="shared" si="318"/>
        <v>47.380141344527303</v>
      </c>
      <c r="L122" s="443"/>
      <c r="M122" s="217">
        <f t="shared" si="319"/>
        <v>0.59989762804556523</v>
      </c>
      <c r="N122" s="172">
        <f t="shared" si="426"/>
        <v>95.458285843014792</v>
      </c>
      <c r="O122" s="172">
        <f t="shared" si="284"/>
        <v>8.4</v>
      </c>
      <c r="P122" s="217">
        <f t="shared" si="320"/>
        <v>3.4092244943933854</v>
      </c>
      <c r="Q122" s="217">
        <f t="shared" si="321"/>
        <v>28</v>
      </c>
      <c r="R122" s="217"/>
      <c r="S122" s="172">
        <f t="shared" si="322"/>
        <v>507.64053356689016</v>
      </c>
      <c r="T122" s="172">
        <f t="shared" si="323"/>
        <v>28</v>
      </c>
      <c r="U122" s="217">
        <f t="shared" si="324"/>
        <v>1.4996162033958909</v>
      </c>
      <c r="V122" s="217">
        <f t="shared" si="325"/>
        <v>0.37179966380994878</v>
      </c>
      <c r="W122" s="217">
        <f t="shared" si="326"/>
        <v>0.24797362661996833</v>
      </c>
      <c r="X122" s="197">
        <f t="shared" si="327"/>
        <v>350</v>
      </c>
      <c r="Y122" s="443">
        <f t="shared" si="328"/>
        <v>350</v>
      </c>
      <c r="AA122" s="217">
        <f t="shared" si="329"/>
        <v>6.9132016338041229</v>
      </c>
      <c r="AB122" s="173">
        <f t="shared" si="330"/>
        <v>1.1431536127760382</v>
      </c>
      <c r="AC122" s="173">
        <f t="shared" si="331"/>
        <v>1.3829989991181688</v>
      </c>
      <c r="AD122" s="173"/>
      <c r="AE122" s="173">
        <f t="shared" si="332"/>
        <v>0.55119353440440388</v>
      </c>
      <c r="AF122" s="545">
        <f t="shared" si="333"/>
        <v>326.56406282867641</v>
      </c>
      <c r="AG122" s="528">
        <f t="shared" si="334"/>
        <v>0.3215295617359023</v>
      </c>
      <c r="AI122" s="173">
        <f t="shared" si="335"/>
        <v>3.2198001654873352</v>
      </c>
      <c r="AJ122" s="173">
        <f t="shared" si="336"/>
        <v>3.3333333333333335</v>
      </c>
      <c r="AK122" s="173">
        <f t="shared" si="337"/>
        <v>1.1866080359021007</v>
      </c>
      <c r="AM122" s="545">
        <f t="shared" si="338"/>
        <v>300</v>
      </c>
      <c r="AN122" s="460">
        <f t="shared" si="339"/>
        <v>326.56406282867641</v>
      </c>
      <c r="AP122" s="460">
        <f t="shared" si="340"/>
        <v>300</v>
      </c>
      <c r="AQ122" s="460">
        <f t="shared" si="341"/>
        <v>326.56406282867641</v>
      </c>
      <c r="AS122" s="5">
        <f t="shared" si="285"/>
        <v>3.0621863022466886</v>
      </c>
      <c r="AT122" s="5">
        <f t="shared" si="342"/>
        <v>0.82643292990123285</v>
      </c>
      <c r="AU122" s="5">
        <f t="shared" si="343"/>
        <v>2.2357533723454557</v>
      </c>
      <c r="AV122" s="5"/>
      <c r="AW122" s="173">
        <f t="shared" si="344"/>
        <v>0.26988329524395338</v>
      </c>
      <c r="AX122" s="173">
        <f t="shared" si="214"/>
        <v>8.5269505294154406</v>
      </c>
      <c r="AY122" s="173">
        <f t="shared" si="215"/>
        <v>1.216861174593411</v>
      </c>
      <c r="AZ122" s="173">
        <f t="shared" si="288"/>
        <v>7.0073322310283626</v>
      </c>
      <c r="BA122" s="460">
        <f t="shared" si="433"/>
        <v>0.88546385346560652</v>
      </c>
      <c r="BB122" s="5">
        <f t="shared" si="434"/>
        <v>0.70762986767643199</v>
      </c>
      <c r="BD122" s="173">
        <f t="shared" si="289"/>
        <v>0.99978385672243697</v>
      </c>
      <c r="BE122" s="173">
        <f t="shared" si="218"/>
        <v>1.6444257184625013</v>
      </c>
      <c r="BG122" s="528">
        <f t="shared" si="347"/>
        <v>1.1994813121953484E-2</v>
      </c>
      <c r="BH122" s="528">
        <f t="shared" si="348"/>
        <v>0.94125296350433529</v>
      </c>
      <c r="BI122" s="528">
        <f t="shared" si="349"/>
        <v>3.7554867225297793E-2</v>
      </c>
      <c r="BJ122" s="528">
        <f t="shared" si="350"/>
        <v>0.3610499833562773</v>
      </c>
      <c r="BK122">
        <f t="shared" si="351"/>
        <v>8.5306378109141247E-3</v>
      </c>
      <c r="BL122" s="460">
        <f t="shared" si="427"/>
        <v>46.08550503621192</v>
      </c>
      <c r="BM122" s="528">
        <f t="shared" si="352"/>
        <v>1.3213020274907181</v>
      </c>
      <c r="BN122" s="460">
        <f t="shared" si="353"/>
        <v>1321.302027490718</v>
      </c>
      <c r="BO122" s="528">
        <f t="shared" si="354"/>
        <v>0.21</v>
      </c>
      <c r="BR122" s="460">
        <f t="shared" si="355"/>
        <v>210</v>
      </c>
      <c r="BS122" s="528">
        <f t="shared" si="356"/>
        <v>1.3993948642279066E-2</v>
      </c>
      <c r="BT122" s="528">
        <f t="shared" si="357"/>
        <v>3.7857903209572788E-2</v>
      </c>
      <c r="BU122" s="528">
        <f t="shared" si="358"/>
        <v>1.9547347959495283</v>
      </c>
      <c r="BV122" s="528"/>
      <c r="BW122" s="528">
        <f t="shared" si="359"/>
        <v>0.3628489586985294</v>
      </c>
      <c r="BX122" s="460">
        <f t="shared" si="360"/>
        <v>2369.4356064999097</v>
      </c>
      <c r="BY122" s="173">
        <f t="shared" si="361"/>
        <v>3.9398188715186877</v>
      </c>
      <c r="BZ122" s="5">
        <f t="shared" si="362"/>
        <v>8.4</v>
      </c>
      <c r="CA122" s="173">
        <f t="shared" si="363"/>
        <v>0.68072311980104405</v>
      </c>
      <c r="CB122" s="5">
        <f t="shared" si="364"/>
        <v>68.072311980104402</v>
      </c>
      <c r="CE122" s="562">
        <f t="shared" si="365"/>
        <v>-50</v>
      </c>
      <c r="CF122">
        <f t="shared" si="366"/>
        <v>-50</v>
      </c>
      <c r="CG122" s="173">
        <f t="shared" si="367"/>
        <v>0.18128115495786412</v>
      </c>
      <c r="CI122" s="170">
        <v>12</v>
      </c>
      <c r="CJ122" s="217">
        <f t="shared" si="428"/>
        <v>0.3</v>
      </c>
      <c r="CK122" s="217"/>
      <c r="CL122" s="217">
        <f t="shared" si="368"/>
        <v>8.4</v>
      </c>
      <c r="CM122" s="541">
        <f t="shared" si="369"/>
        <v>19</v>
      </c>
      <c r="CN122" s="443">
        <f t="shared" si="370"/>
        <v>28.4</v>
      </c>
      <c r="CO122" s="443">
        <f t="shared" si="371"/>
        <v>47.4</v>
      </c>
      <c r="CP122" s="443"/>
      <c r="CQ122" s="217">
        <f t="shared" si="372"/>
        <v>0.59915611814345993</v>
      </c>
      <c r="CR122" s="172">
        <f t="shared" si="429"/>
        <v>95.556689708830859</v>
      </c>
      <c r="CS122" s="172">
        <f t="shared" si="373"/>
        <v>8.4</v>
      </c>
      <c r="CT122" s="217">
        <f t="shared" si="374"/>
        <v>3.4127389181725305</v>
      </c>
      <c r="CU122" s="217">
        <f t="shared" si="375"/>
        <v>28</v>
      </c>
      <c r="CV122" s="217"/>
      <c r="CW122" s="172">
        <f t="shared" si="376"/>
        <v>508.79270336478993</v>
      </c>
      <c r="CX122" s="172">
        <f t="shared" si="377"/>
        <v>28</v>
      </c>
      <c r="CY122" s="217">
        <f t="shared" si="378"/>
        <v>1.4757598220904373</v>
      </c>
      <c r="CZ122" s="217">
        <f t="shared" si="379"/>
        <v>0.36505637704342392</v>
      </c>
      <c r="DA122" s="217">
        <f t="shared" si="380"/>
        <v>0.24422785788116394</v>
      </c>
      <c r="DB122" s="197">
        <f t="shared" si="381"/>
        <v>350</v>
      </c>
      <c r="DC122" s="443">
        <f t="shared" si="382"/>
        <v>350</v>
      </c>
      <c r="DE122" s="217">
        <f t="shared" si="383"/>
        <v>6.9203442217177731</v>
      </c>
      <c r="DF122" s="173">
        <f t="shared" si="384"/>
        <v>1.1452682338758289</v>
      </c>
      <c r="DG122" s="173">
        <f t="shared" si="385"/>
        <v>1.3869888208084145</v>
      </c>
      <c r="DH122" s="173"/>
      <c r="DI122" s="173">
        <f t="shared" si="386"/>
        <v>0.55164319248826299</v>
      </c>
      <c r="DJ122" s="545">
        <f t="shared" si="387"/>
        <v>326.2978723404255</v>
      </c>
      <c r="DK122" s="528">
        <f t="shared" si="388"/>
        <v>0.3217918622848201</v>
      </c>
      <c r="DM122" s="173">
        <f t="shared" si="389"/>
        <v>3.2184876283717112</v>
      </c>
      <c r="DN122" s="173">
        <f t="shared" si="390"/>
        <v>3.3333333333333335</v>
      </c>
      <c r="DO122" s="173">
        <f t="shared" si="391"/>
        <v>1.1864559270516717</v>
      </c>
      <c r="DQ122" s="545">
        <f t="shared" si="392"/>
        <v>300</v>
      </c>
      <c r="DR122" s="460">
        <f t="shared" si="393"/>
        <v>326.2978723404255</v>
      </c>
      <c r="DT122">
        <f t="shared" si="430"/>
        <v>300</v>
      </c>
      <c r="DU122">
        <f t="shared" si="431"/>
        <v>326.2978723404255</v>
      </c>
      <c r="DW122" s="5">
        <f t="shared" si="394"/>
        <v>3.0646844027125719</v>
      </c>
      <c r="DX122" s="5">
        <f t="shared" si="395"/>
        <v>0.82456140350877194</v>
      </c>
      <c r="DY122" s="5">
        <f t="shared" si="396"/>
        <v>2.2401229992038001</v>
      </c>
      <c r="DZ122" s="5"/>
      <c r="EA122" s="173">
        <f t="shared" si="397"/>
        <v>0.26905263157894738</v>
      </c>
      <c r="EB122" s="173">
        <f t="shared" si="398"/>
        <v>8.52</v>
      </c>
      <c r="EC122" s="173">
        <f t="shared" si="399"/>
        <v>1.2182456140350877</v>
      </c>
      <c r="ED122" s="173">
        <f t="shared" si="400"/>
        <v>6.9936635944700463</v>
      </c>
      <c r="EE122" s="460">
        <f t="shared" si="401"/>
        <v>0.88345864661654128</v>
      </c>
      <c r="EF122" s="5">
        <f t="shared" si="402"/>
        <v>0.70740726290646316</v>
      </c>
      <c r="EH122" s="173">
        <f t="shared" si="403"/>
        <v>0.99824407239420931</v>
      </c>
      <c r="EI122" s="173">
        <f t="shared" si="404"/>
        <v>1.6453608952547547</v>
      </c>
      <c r="EK122" s="528">
        <f t="shared" si="405"/>
        <v>1.1957894736842105E-2</v>
      </c>
      <c r="EL122" s="528">
        <f t="shared" si="406"/>
        <v>0.97954621276595744</v>
      </c>
      <c r="EM122" s="528">
        <f t="shared" si="407"/>
        <v>3.7524255319148936E-2</v>
      </c>
      <c r="EN122" s="528">
        <f t="shared" si="408"/>
        <v>0.36105815627234039</v>
      </c>
      <c r="EO122">
        <f t="shared" si="409"/>
        <v>8.5500000000000003E-3</v>
      </c>
      <c r="EP122" s="460">
        <f t="shared" si="410"/>
        <v>46.074255319148939</v>
      </c>
      <c r="EQ122" s="460"/>
      <c r="ER122" s="460">
        <f t="shared" si="432"/>
        <v>1398.6365190942886</v>
      </c>
      <c r="ES122" s="528">
        <f t="shared" si="411"/>
        <v>0.21</v>
      </c>
      <c r="EV122" s="460">
        <f t="shared" si="412"/>
        <v>210</v>
      </c>
      <c r="EW122" s="528">
        <f t="shared" si="413"/>
        <v>1.3950877192982457E-2</v>
      </c>
      <c r="EX122" s="528">
        <f t="shared" si="414"/>
        <v>3.7900974658869394E-2</v>
      </c>
      <c r="EY122" s="528">
        <f t="shared" si="415"/>
        <v>1.9507538484831828</v>
      </c>
      <c r="EZ122" s="528"/>
      <c r="FA122" s="528">
        <f t="shared" si="416"/>
        <v>0.36255319148936171</v>
      </c>
      <c r="FB122" s="460">
        <f t="shared" si="417"/>
        <v>2365.1588918243965</v>
      </c>
      <c r="FC122" s="173">
        <f t="shared" si="418"/>
        <v>3.9737954109186853</v>
      </c>
      <c r="FD122" s="5">
        <f t="shared" si="419"/>
        <v>8.4</v>
      </c>
      <c r="FE122" s="173">
        <f t="shared" si="420"/>
        <v>0.67885395879325816</v>
      </c>
      <c r="FF122" s="5">
        <f t="shared" si="421"/>
        <v>67.885395879325813</v>
      </c>
      <c r="FI122" s="562">
        <f t="shared" si="422"/>
        <v>-50</v>
      </c>
      <c r="FJ122">
        <f t="shared" si="423"/>
        <v>-50</v>
      </c>
      <c r="FL122">
        <f t="shared" si="424"/>
        <v>0.18</v>
      </c>
    </row>
    <row r="123" spans="5:168">
      <c r="E123" s="170">
        <v>13</v>
      </c>
      <c r="F123" s="217">
        <f t="shared" si="425"/>
        <v>0.32500000000000001</v>
      </c>
      <c r="G123" s="217"/>
      <c r="H123" s="217">
        <f t="shared" si="315"/>
        <v>9.1</v>
      </c>
      <c r="I123" s="541">
        <f t="shared" si="316"/>
        <v>18.95675896354107</v>
      </c>
      <c r="J123" s="172">
        <f t="shared" si="317"/>
        <v>28.423283635016347</v>
      </c>
      <c r="K123" s="172">
        <f t="shared" si="318"/>
        <v>47.380042598557417</v>
      </c>
      <c r="L123" s="443"/>
      <c r="M123" s="217">
        <f t="shared" si="319"/>
        <v>0.59990131669913604</v>
      </c>
      <c r="N123" s="172">
        <f t="shared" si="426"/>
        <v>95.457795442498892</v>
      </c>
      <c r="O123" s="172">
        <f t="shared" si="284"/>
        <v>9.1</v>
      </c>
      <c r="P123" s="217">
        <f t="shared" si="320"/>
        <v>3.4092069800892459</v>
      </c>
      <c r="Q123" s="217">
        <f t="shared" si="321"/>
        <v>28</v>
      </c>
      <c r="R123" s="217"/>
      <c r="S123" s="172">
        <f t="shared" si="322"/>
        <v>467.13020233038435</v>
      </c>
      <c r="T123" s="172">
        <f t="shared" si="323"/>
        <v>28</v>
      </c>
      <c r="U123" s="217">
        <f t="shared" si="324"/>
        <v>1.6245991979714085</v>
      </c>
      <c r="V123" s="217">
        <f t="shared" si="325"/>
        <v>0.40279122845582183</v>
      </c>
      <c r="W123" s="217">
        <f t="shared" si="326"/>
        <v>0.26863948333748622</v>
      </c>
      <c r="X123" s="197">
        <f t="shared" si="327"/>
        <v>350</v>
      </c>
      <c r="Y123" s="443">
        <f t="shared" si="328"/>
        <v>350</v>
      </c>
      <c r="AA123" s="217">
        <f t="shared" si="329"/>
        <v>6.9131660388405338</v>
      </c>
      <c r="AB123" s="173">
        <f t="shared" si="330"/>
        <v>1.1431430935207576</v>
      </c>
      <c r="AC123" s="173">
        <f t="shared" si="331"/>
        <v>1.3829791520409918</v>
      </c>
      <c r="AD123" s="173"/>
      <c r="AE123" s="173">
        <f t="shared" si="332"/>
        <v>0.55119130033821861</v>
      </c>
      <c r="AF123" s="545">
        <f t="shared" si="333"/>
        <v>353.77916864860765</v>
      </c>
      <c r="AG123" s="528">
        <f t="shared" si="334"/>
        <v>0.3215282585306275</v>
      </c>
      <c r="AI123" s="173">
        <f t="shared" si="335"/>
        <v>3.3512810564026738</v>
      </c>
      <c r="AJ123" s="173">
        <f t="shared" si="336"/>
        <v>3.3512810564026738</v>
      </c>
      <c r="AK123" s="173">
        <f t="shared" si="337"/>
        <v>1.2132946096809929</v>
      </c>
      <c r="AM123" s="545">
        <f t="shared" si="338"/>
        <v>325</v>
      </c>
      <c r="AN123" s="460">
        <f t="shared" si="339"/>
        <v>350</v>
      </c>
      <c r="AP123" s="460">
        <f t="shared" si="340"/>
        <v>325</v>
      </c>
      <c r="AQ123" s="460">
        <f t="shared" si="341"/>
        <v>350</v>
      </c>
      <c r="AS123" s="5">
        <f t="shared" si="285"/>
        <v>2.8571428571428572</v>
      </c>
      <c r="AT123" s="5">
        <f t="shared" si="342"/>
        <v>0.83089208421049199</v>
      </c>
      <c r="AU123" s="5">
        <f t="shared" si="343"/>
        <v>2.0262507729323653</v>
      </c>
      <c r="AV123" s="5"/>
      <c r="AW123" s="173">
        <f t="shared" si="344"/>
        <v>0.29081222947367219</v>
      </c>
      <c r="AX123" s="173">
        <f t="shared" si="214"/>
        <v>9.2375671813803137</v>
      </c>
      <c r="AY123" s="173">
        <f t="shared" si="215"/>
        <v>1.1883437703986646</v>
      </c>
      <c r="AZ123" s="173">
        <f t="shared" si="288"/>
        <v>7.7734805461901839</v>
      </c>
      <c r="BA123" s="460">
        <f t="shared" si="433"/>
        <v>0.96442831203003543</v>
      </c>
      <c r="BB123" s="5">
        <f t="shared" si="434"/>
        <v>0.69477224716477259</v>
      </c>
      <c r="BD123" s="173">
        <f t="shared" si="289"/>
        <v>1.0434137540689976</v>
      </c>
      <c r="BE123" s="173">
        <f t="shared" si="218"/>
        <v>1.6294117478875974</v>
      </c>
      <c r="BG123" s="528">
        <f t="shared" si="347"/>
        <v>1.3064547146164304E-2</v>
      </c>
      <c r="BH123" s="528">
        <f t="shared" si="348"/>
        <v>1.0142317729672707</v>
      </c>
      <c r="BI123" s="528">
        <f t="shared" si="349"/>
        <v>4.0250000000000001E-2</v>
      </c>
      <c r="BJ123" s="528">
        <f t="shared" si="350"/>
        <v>0.3869591967660122</v>
      </c>
      <c r="BK123">
        <f t="shared" si="351"/>
        <v>8.530541533593481E-3</v>
      </c>
      <c r="BL123" s="460">
        <f t="shared" si="427"/>
        <v>48.780541533593485</v>
      </c>
      <c r="BM123" s="528">
        <f t="shared" si="352"/>
        <v>1.4221976400742029</v>
      </c>
      <c r="BN123" s="460">
        <f t="shared" si="353"/>
        <v>1422.1976400742028</v>
      </c>
      <c r="BO123" s="528">
        <f t="shared" si="354"/>
        <v>0.22749999999999998</v>
      </c>
      <c r="BR123" s="460">
        <f t="shared" si="355"/>
        <v>227.49999999999997</v>
      </c>
      <c r="BS123" s="528">
        <f t="shared" si="356"/>
        <v>1.5241971670525021E-2</v>
      </c>
      <c r="BT123" s="528">
        <f t="shared" si="357"/>
        <v>3.7169757018157612E-2</v>
      </c>
      <c r="BU123" s="528">
        <f t="shared" si="358"/>
        <v>2.3559563743259622</v>
      </c>
      <c r="BV123" s="528"/>
      <c r="BW123" s="528">
        <f t="shared" si="359"/>
        <v>0.39308796516511979</v>
      </c>
      <c r="BX123" s="460">
        <f t="shared" si="360"/>
        <v>2801.4560681797643</v>
      </c>
      <c r="BY123" s="173">
        <f t="shared" si="361"/>
        <v>4.4919921265928053</v>
      </c>
      <c r="BZ123" s="5">
        <f t="shared" si="362"/>
        <v>9.1</v>
      </c>
      <c r="CA123" s="173">
        <f t="shared" si="363"/>
        <v>0.66951186516624017</v>
      </c>
      <c r="CB123" s="5">
        <f t="shared" si="364"/>
        <v>66.95118651662402</v>
      </c>
      <c r="CE123" s="562">
        <f t="shared" si="365"/>
        <v>-50</v>
      </c>
      <c r="CF123">
        <f t="shared" si="366"/>
        <v>-50</v>
      </c>
      <c r="CG123" s="173">
        <f t="shared" si="367"/>
        <v>0.19541622245862802</v>
      </c>
      <c r="CI123" s="170">
        <v>13</v>
      </c>
      <c r="CJ123" s="217">
        <f t="shared" si="428"/>
        <v>0.32500000000000001</v>
      </c>
      <c r="CK123" s="217"/>
      <c r="CL123" s="217">
        <f t="shared" si="368"/>
        <v>9.1</v>
      </c>
      <c r="CM123" s="541">
        <f t="shared" si="369"/>
        <v>19</v>
      </c>
      <c r="CN123" s="443">
        <f t="shared" si="370"/>
        <v>28.4</v>
      </c>
      <c r="CO123" s="443">
        <f t="shared" si="371"/>
        <v>47.4</v>
      </c>
      <c r="CP123" s="443"/>
      <c r="CQ123" s="217">
        <f t="shared" si="372"/>
        <v>0.59915611814345993</v>
      </c>
      <c r="CR123" s="172">
        <f t="shared" si="429"/>
        <v>95.556689708830859</v>
      </c>
      <c r="CS123" s="172">
        <f t="shared" si="373"/>
        <v>9.1</v>
      </c>
      <c r="CT123" s="217">
        <f t="shared" si="374"/>
        <v>3.4127389181725305</v>
      </c>
      <c r="CU123" s="217">
        <f t="shared" si="375"/>
        <v>28</v>
      </c>
      <c r="CV123" s="217"/>
      <c r="CW123" s="172">
        <f t="shared" si="376"/>
        <v>468.1957058513724</v>
      </c>
      <c r="CX123" s="172">
        <f t="shared" si="377"/>
        <v>28</v>
      </c>
      <c r="CY123" s="217">
        <f t="shared" si="378"/>
        <v>1.5987398072646404</v>
      </c>
      <c r="CZ123" s="217">
        <f t="shared" si="379"/>
        <v>0.39547774179704265</v>
      </c>
      <c r="DA123" s="217">
        <f t="shared" si="380"/>
        <v>0.26458017937126094</v>
      </c>
      <c r="DB123" s="197">
        <f t="shared" si="381"/>
        <v>350</v>
      </c>
      <c r="DC123" s="443">
        <f t="shared" si="382"/>
        <v>350</v>
      </c>
      <c r="DE123" s="217">
        <f t="shared" si="383"/>
        <v>6.9203442217177731</v>
      </c>
      <c r="DF123" s="173">
        <f t="shared" si="384"/>
        <v>1.1452682338758289</v>
      </c>
      <c r="DG123" s="173">
        <f t="shared" si="385"/>
        <v>1.3869888208084145</v>
      </c>
      <c r="DH123" s="173"/>
      <c r="DI123" s="173">
        <f t="shared" si="386"/>
        <v>0.55164319248826299</v>
      </c>
      <c r="DJ123" s="545">
        <f t="shared" si="387"/>
        <v>353.48936170212761</v>
      </c>
      <c r="DK123" s="528">
        <f t="shared" si="388"/>
        <v>0.3217918622848201</v>
      </c>
      <c r="DM123" s="173">
        <f t="shared" si="389"/>
        <v>3.3499081328418909</v>
      </c>
      <c r="DN123" s="173">
        <f t="shared" si="390"/>
        <v>3.3499081328418909</v>
      </c>
      <c r="DO123" s="173">
        <f t="shared" si="391"/>
        <v>1.2122776292655981</v>
      </c>
      <c r="DQ123" s="545">
        <f t="shared" si="392"/>
        <v>325</v>
      </c>
      <c r="DR123" s="460">
        <f t="shared" si="393"/>
        <v>350</v>
      </c>
      <c r="DT123">
        <f t="shared" si="430"/>
        <v>325</v>
      </c>
      <c r="DU123">
        <f t="shared" si="431"/>
        <v>350</v>
      </c>
      <c r="DW123" s="5">
        <f t="shared" si="394"/>
        <v>2.8571428571428572</v>
      </c>
      <c r="DX123" s="5">
        <f t="shared" si="395"/>
        <v>0.82866148549246776</v>
      </c>
      <c r="DY123" s="5">
        <f t="shared" si="396"/>
        <v>2.0284813716503893</v>
      </c>
      <c r="DZ123" s="5"/>
      <c r="EA123" s="173">
        <f t="shared" si="397"/>
        <v>0.2900315199223637</v>
      </c>
      <c r="EB123" s="173">
        <f t="shared" si="398"/>
        <v>9.2300000000000022</v>
      </c>
      <c r="EC123" s="173">
        <f t="shared" si="399"/>
        <v>1.1891645927367349</v>
      </c>
      <c r="ED123" s="173">
        <f t="shared" si="400"/>
        <v>7.7617514483492531</v>
      </c>
      <c r="EE123" s="460">
        <f t="shared" si="401"/>
        <v>0.96183922423232882</v>
      </c>
      <c r="EF123" s="5">
        <f t="shared" si="402"/>
        <v>0.69395415345934364</v>
      </c>
      <c r="EH123" s="173">
        <f t="shared" si="403"/>
        <v>1.0415853649585387</v>
      </c>
      <c r="EI123" s="173">
        <f t="shared" si="404"/>
        <v>1.6296404798802309</v>
      </c>
      <c r="EK123" s="528">
        <f t="shared" si="405"/>
        <v>1.3018800869949746E-2</v>
      </c>
      <c r="EL123" s="528">
        <f t="shared" si="406"/>
        <v>1.0559245425530925</v>
      </c>
      <c r="EM123" s="528">
        <f t="shared" si="407"/>
        <v>4.0250000000000001E-2</v>
      </c>
      <c r="EN123" s="528">
        <f t="shared" si="408"/>
        <v>0.38728525499999999</v>
      </c>
      <c r="EO123">
        <f t="shared" si="409"/>
        <v>8.5500000000000003E-3</v>
      </c>
      <c r="EP123" s="460">
        <f t="shared" si="410"/>
        <v>48.800000000000004</v>
      </c>
      <c r="EQ123" s="460"/>
      <c r="ER123" s="460">
        <f t="shared" si="432"/>
        <v>1505.028598423042</v>
      </c>
      <c r="ES123" s="528">
        <f t="shared" si="411"/>
        <v>0.22749999999999998</v>
      </c>
      <c r="EV123" s="460">
        <f t="shared" si="412"/>
        <v>227.49999999999997</v>
      </c>
      <c r="EW123" s="528">
        <f t="shared" si="413"/>
        <v>1.5188601014941371E-2</v>
      </c>
      <c r="EX123" s="528">
        <f t="shared" si="414"/>
        <v>3.7180193311299771E-2</v>
      </c>
      <c r="EY123" s="528">
        <f t="shared" si="415"/>
        <v>2.3535441965632744</v>
      </c>
      <c r="EZ123" s="528"/>
      <c r="FA123" s="528">
        <f t="shared" si="416"/>
        <v>0.39276595744680859</v>
      </c>
      <c r="FB123" s="460">
        <f t="shared" si="417"/>
        <v>2798.6789483363245</v>
      </c>
      <c r="FC123" s="173">
        <f t="shared" si="418"/>
        <v>4.5312075467593669</v>
      </c>
      <c r="FD123" s="5">
        <f t="shared" si="419"/>
        <v>9.1</v>
      </c>
      <c r="FE123" s="173">
        <f t="shared" si="420"/>
        <v>0.66758575634507156</v>
      </c>
      <c r="FF123" s="5">
        <f t="shared" si="421"/>
        <v>66.758575634507153</v>
      </c>
      <c r="FI123" s="562">
        <f t="shared" si="422"/>
        <v>-50</v>
      </c>
      <c r="FJ123">
        <f t="shared" si="423"/>
        <v>-50</v>
      </c>
      <c r="FL123">
        <f t="shared" si="424"/>
        <v>0.19403517177904617</v>
      </c>
    </row>
    <row r="124" spans="5:168">
      <c r="E124" s="170">
        <v>14</v>
      </c>
      <c r="F124" s="217">
        <f t="shared" si="425"/>
        <v>0.35000000000000003</v>
      </c>
      <c r="G124" s="217"/>
      <c r="H124" s="217">
        <f t="shared" si="315"/>
        <v>9.8000000000000007</v>
      </c>
      <c r="I124" s="541">
        <f t="shared" si="316"/>
        <v>18.95512665578234</v>
      </c>
      <c r="J124" s="172">
        <f t="shared" si="317"/>
        <v>28.424162569963354</v>
      </c>
      <c r="K124" s="172">
        <f t="shared" si="318"/>
        <v>47.379289225745694</v>
      </c>
      <c r="L124" s="443"/>
      <c r="M124" s="217">
        <f t="shared" si="319"/>
        <v>0.5999294594261676</v>
      </c>
      <c r="N124" s="172">
        <f t="shared" si="426"/>
        <v>95.45405362299816</v>
      </c>
      <c r="O124" s="172">
        <f t="shared" si="284"/>
        <v>9.8000000000000007</v>
      </c>
      <c r="P124" s="217">
        <f t="shared" si="320"/>
        <v>3.4090733436785059</v>
      </c>
      <c r="Q124" s="217">
        <f t="shared" si="321"/>
        <v>28</v>
      </c>
      <c r="R124" s="217"/>
      <c r="S124" s="172">
        <f t="shared" si="322"/>
        <v>432.37493238368182</v>
      </c>
      <c r="T124" s="172">
        <f t="shared" si="323"/>
        <v>28</v>
      </c>
      <c r="U124" s="217">
        <f t="shared" si="324"/>
        <v>1.7496914394045868</v>
      </c>
      <c r="V124" s="217">
        <f t="shared" si="325"/>
        <v>0.43384303964505189</v>
      </c>
      <c r="W124" s="217">
        <f t="shared" si="326"/>
        <v>0.28931546338296082</v>
      </c>
      <c r="X124" s="197">
        <f t="shared" si="327"/>
        <v>350</v>
      </c>
      <c r="Y124" s="443">
        <f t="shared" si="328"/>
        <v>350</v>
      </c>
      <c r="AA124" s="217">
        <f t="shared" si="329"/>
        <v>6.9128944448091074</v>
      </c>
      <c r="AB124" s="173">
        <f t="shared" si="330"/>
        <v>1.1430628364381992</v>
      </c>
      <c r="AC124" s="173">
        <f t="shared" si="331"/>
        <v>1.3828277281142394</v>
      </c>
      <c r="AD124" s="173"/>
      <c r="AE124" s="173">
        <f t="shared" si="332"/>
        <v>0.55117425634280925</v>
      </c>
      <c r="AF124" s="545">
        <f t="shared" si="333"/>
        <v>381.00473232078542</v>
      </c>
      <c r="AG124" s="528">
        <f t="shared" si="334"/>
        <v>0.32151831619997212</v>
      </c>
      <c r="AI124" s="173">
        <f t="shared" si="335"/>
        <v>3.4778424817182247</v>
      </c>
      <c r="AJ124" s="173">
        <f t="shared" si="336"/>
        <v>3.4778424817182247</v>
      </c>
      <c r="AK124" s="173">
        <f t="shared" si="337"/>
        <v>1.3070438136184379</v>
      </c>
      <c r="AM124" s="545">
        <f t="shared" si="338"/>
        <v>350.00000000000006</v>
      </c>
      <c r="AN124" s="460">
        <f t="shared" si="339"/>
        <v>350</v>
      </c>
      <c r="AP124" s="460">
        <f t="shared" si="340"/>
        <v>350.00000000000006</v>
      </c>
      <c r="AQ124" s="460">
        <f t="shared" si="341"/>
        <v>350</v>
      </c>
      <c r="AS124" s="5">
        <f t="shared" si="285"/>
        <v>2.8571428571428572</v>
      </c>
      <c r="AT124" s="5">
        <f t="shared" si="342"/>
        <v>0.8623450510729922</v>
      </c>
      <c r="AU124" s="5">
        <f t="shared" si="343"/>
        <v>1.994797806069865</v>
      </c>
      <c r="AV124" s="5"/>
      <c r="AW124" s="173">
        <f t="shared" si="344"/>
        <v>0.30182076787554724</v>
      </c>
      <c r="AX124" s="173">
        <f t="shared" si="214"/>
        <v>9.9484568994871729</v>
      </c>
      <c r="AY124" s="173">
        <f t="shared" si="215"/>
        <v>1.2140786966679156</v>
      </c>
      <c r="AZ124" s="173">
        <f t="shared" si="288"/>
        <v>8.1942438548597263</v>
      </c>
      <c r="BA124" s="460">
        <f t="shared" si="433"/>
        <v>1.0779313138412403</v>
      </c>
      <c r="BB124" s="5">
        <f t="shared" si="434"/>
        <v>0.73666533049671834</v>
      </c>
      <c r="BD124" s="173">
        <f t="shared" si="289"/>
        <v>1.103122748202036</v>
      </c>
      <c r="BE124" s="173">
        <f t="shared" si="218"/>
        <v>1.6777712333968082</v>
      </c>
      <c r="BG124" s="528">
        <f t="shared" si="347"/>
        <v>1.4602557571209752E-2</v>
      </c>
      <c r="BH124" s="528">
        <f t="shared" si="348"/>
        <v>1.0525175895563563</v>
      </c>
      <c r="BI124" s="528">
        <f t="shared" si="349"/>
        <v>4.0250000000000001E-2</v>
      </c>
      <c r="BJ124" s="528">
        <f t="shared" si="350"/>
        <v>0.38694689106916658</v>
      </c>
      <c r="BK124">
        <f t="shared" si="351"/>
        <v>8.5298069951020537E-3</v>
      </c>
      <c r="BL124" s="460">
        <f t="shared" si="427"/>
        <v>48.779806995102049</v>
      </c>
      <c r="BM124" s="528">
        <f t="shared" si="352"/>
        <v>1.4630860046541871</v>
      </c>
      <c r="BN124" s="460">
        <f t="shared" si="353"/>
        <v>1463.086004654187</v>
      </c>
      <c r="BO124" s="528">
        <f t="shared" si="354"/>
        <v>0.245</v>
      </c>
      <c r="BR124" s="460">
        <f t="shared" si="355"/>
        <v>245</v>
      </c>
      <c r="BS124" s="528">
        <f t="shared" si="356"/>
        <v>1.7036317166411376E-2</v>
      </c>
      <c r="BT124" s="528">
        <f t="shared" si="357"/>
        <v>3.9408828362593858E-2</v>
      </c>
      <c r="BU124" s="528">
        <f t="shared" si="358"/>
        <v>2.5847282254211041</v>
      </c>
      <c r="BV124" s="528"/>
      <c r="BW124" s="528">
        <f t="shared" si="359"/>
        <v>0.42333859146753938</v>
      </c>
      <c r="BX124" s="460">
        <f t="shared" si="360"/>
        <v>3064.5119624176491</v>
      </c>
      <c r="BY124" s="173">
        <f t="shared" si="361"/>
        <v>4.812358807609483</v>
      </c>
      <c r="BZ124" s="5">
        <f t="shared" si="362"/>
        <v>9.8000000000000007</v>
      </c>
      <c r="CA124" s="173">
        <f t="shared" si="363"/>
        <v>0.67066516289598532</v>
      </c>
      <c r="CB124" s="5">
        <f t="shared" si="364"/>
        <v>67.066516289598539</v>
      </c>
      <c r="CE124" s="562">
        <f t="shared" si="365"/>
        <v>-50</v>
      </c>
      <c r="CF124">
        <f t="shared" si="366"/>
        <v>-50</v>
      </c>
      <c r="CG124" s="173">
        <f t="shared" si="367"/>
        <v>0.20279299790673247</v>
      </c>
      <c r="CI124" s="170">
        <v>14</v>
      </c>
      <c r="CJ124" s="217">
        <f t="shared" si="428"/>
        <v>0.35000000000000003</v>
      </c>
      <c r="CK124" s="217"/>
      <c r="CL124" s="217">
        <f t="shared" si="368"/>
        <v>9.8000000000000007</v>
      </c>
      <c r="CM124" s="541">
        <f t="shared" si="369"/>
        <v>19</v>
      </c>
      <c r="CN124" s="443">
        <f t="shared" si="370"/>
        <v>28.4</v>
      </c>
      <c r="CO124" s="443">
        <f t="shared" si="371"/>
        <v>47.4</v>
      </c>
      <c r="CP124" s="443"/>
      <c r="CQ124" s="217">
        <f t="shared" si="372"/>
        <v>0.59915611814345993</v>
      </c>
      <c r="CR124" s="172">
        <f t="shared" si="429"/>
        <v>95.556689708830859</v>
      </c>
      <c r="CS124" s="172">
        <f t="shared" si="373"/>
        <v>9.8000000000000007</v>
      </c>
      <c r="CT124" s="217">
        <f t="shared" si="374"/>
        <v>3.4127389181725305</v>
      </c>
      <c r="CU124" s="217">
        <f t="shared" si="375"/>
        <v>28</v>
      </c>
      <c r="CV124" s="217"/>
      <c r="CW124" s="172">
        <f t="shared" si="376"/>
        <v>433.39847203694455</v>
      </c>
      <c r="CX124" s="172">
        <f t="shared" si="377"/>
        <v>28</v>
      </c>
      <c r="CY124" s="217">
        <f t="shared" si="378"/>
        <v>1.7217197924388437</v>
      </c>
      <c r="CZ124" s="217">
        <f t="shared" si="379"/>
        <v>0.42589910655066138</v>
      </c>
      <c r="DA124" s="217">
        <f t="shared" si="380"/>
        <v>0.28493250086135796</v>
      </c>
      <c r="DB124" s="197">
        <f t="shared" si="381"/>
        <v>350</v>
      </c>
      <c r="DC124" s="443">
        <f t="shared" si="382"/>
        <v>350</v>
      </c>
      <c r="DE124" s="217">
        <f t="shared" si="383"/>
        <v>6.9203442217177731</v>
      </c>
      <c r="DF124" s="173">
        <f t="shared" si="384"/>
        <v>1.1452682338758289</v>
      </c>
      <c r="DG124" s="173">
        <f t="shared" si="385"/>
        <v>1.3869888208084145</v>
      </c>
      <c r="DH124" s="173"/>
      <c r="DI124" s="173">
        <f t="shared" si="386"/>
        <v>0.55164319248826299</v>
      </c>
      <c r="DJ124" s="545">
        <f t="shared" si="387"/>
        <v>380.68085106382978</v>
      </c>
      <c r="DK124" s="528">
        <f t="shared" si="388"/>
        <v>0.3217918622848201</v>
      </c>
      <c r="DM124" s="173">
        <f t="shared" si="389"/>
        <v>3.4763639600851239</v>
      </c>
      <c r="DN124" s="173">
        <f t="shared" si="390"/>
        <v>3.4763639600851239</v>
      </c>
      <c r="DO124" s="173">
        <f t="shared" si="391"/>
        <v>1.3059486124087336</v>
      </c>
      <c r="DQ124" s="545">
        <f t="shared" si="392"/>
        <v>350.00000000000006</v>
      </c>
      <c r="DR124" s="460">
        <f t="shared" si="393"/>
        <v>350</v>
      </c>
      <c r="DT124">
        <f t="shared" si="430"/>
        <v>350.00000000000006</v>
      </c>
      <c r="DU124">
        <f t="shared" si="431"/>
        <v>350</v>
      </c>
      <c r="DW124" s="5">
        <f t="shared" si="394"/>
        <v>2.8571428571428572</v>
      </c>
      <c r="DX124" s="5">
        <f t="shared" si="395"/>
        <v>0.85994266381053064</v>
      </c>
      <c r="DY124" s="5">
        <f t="shared" si="396"/>
        <v>1.9972001933323265</v>
      </c>
      <c r="DZ124" s="5"/>
      <c r="EA124" s="173">
        <f t="shared" si="397"/>
        <v>0.3009799323336857</v>
      </c>
      <c r="EB124" s="173">
        <f t="shared" si="398"/>
        <v>9.9400000000000031</v>
      </c>
      <c r="EC124" s="173">
        <f t="shared" si="399"/>
        <v>1.2150240853057199</v>
      </c>
      <c r="ED124" s="173">
        <f t="shared" si="400"/>
        <v>8.1809077862838713</v>
      </c>
      <c r="EE124" s="460">
        <f t="shared" si="401"/>
        <v>1.0749283297631633</v>
      </c>
      <c r="EF124" s="5">
        <f t="shared" si="402"/>
        <v>0.73581059754348865</v>
      </c>
      <c r="EH124" s="173">
        <f t="shared" si="403"/>
        <v>1.1011167817863112</v>
      </c>
      <c r="EI124" s="173">
        <f t="shared" si="404"/>
        <v>1.6780675276027477</v>
      </c>
      <c r="EK124" s="528">
        <f t="shared" si="405"/>
        <v>1.4549498005577316E-2</v>
      </c>
      <c r="EL124" s="528">
        <f t="shared" si="406"/>
        <v>1.0957846838584318</v>
      </c>
      <c r="EM124" s="528">
        <f t="shared" si="407"/>
        <v>4.0250000000000001E-2</v>
      </c>
      <c r="EN124" s="528">
        <f t="shared" si="408"/>
        <v>0.38728525499999999</v>
      </c>
      <c r="EO124">
        <f t="shared" si="409"/>
        <v>8.5500000000000003E-3</v>
      </c>
      <c r="EP124" s="460">
        <f t="shared" si="410"/>
        <v>48.800000000000004</v>
      </c>
      <c r="EQ124" s="460"/>
      <c r="ER124" s="460">
        <f t="shared" si="432"/>
        <v>1546.4194368640092</v>
      </c>
      <c r="ES124" s="528">
        <f t="shared" si="411"/>
        <v>0.245</v>
      </c>
      <c r="EV124" s="460">
        <f t="shared" si="412"/>
        <v>245</v>
      </c>
      <c r="EW124" s="528">
        <f t="shared" si="413"/>
        <v>1.6974414339840201E-2</v>
      </c>
      <c r="EX124" s="528">
        <f t="shared" si="414"/>
        <v>3.9422748780727178E-2</v>
      </c>
      <c r="EY124" s="528">
        <f t="shared" si="415"/>
        <v>2.5819820126365904</v>
      </c>
      <c r="EZ124" s="528"/>
      <c r="FA124" s="528">
        <f t="shared" si="416"/>
        <v>0.42297872340425546</v>
      </c>
      <c r="FB124" s="460">
        <f t="shared" si="417"/>
        <v>3061.3578991614131</v>
      </c>
      <c r="FC124" s="173">
        <f t="shared" si="418"/>
        <v>4.8527773360254223</v>
      </c>
      <c r="FD124" s="5">
        <f t="shared" si="419"/>
        <v>9.8000000000000007</v>
      </c>
      <c r="FE124" s="173">
        <f t="shared" si="420"/>
        <v>0.66881518604023626</v>
      </c>
      <c r="FF124" s="5">
        <f t="shared" si="421"/>
        <v>66.881518604023626</v>
      </c>
      <c r="FI124" s="562">
        <f t="shared" si="422"/>
        <v>-50</v>
      </c>
      <c r="FJ124">
        <f t="shared" si="423"/>
        <v>-50</v>
      </c>
      <c r="FL124">
        <f t="shared" si="424"/>
        <v>0.20135981388521229</v>
      </c>
    </row>
    <row r="125" spans="5:168">
      <c r="E125" s="170">
        <v>15</v>
      </c>
      <c r="F125" s="217">
        <f t="shared" si="425"/>
        <v>0.375</v>
      </c>
      <c r="G125" s="217"/>
      <c r="H125" s="217">
        <f t="shared" si="315"/>
        <v>10.5</v>
      </c>
      <c r="I125" s="541">
        <f t="shared" si="316"/>
        <v>18.953551675934317</v>
      </c>
      <c r="J125" s="172">
        <f t="shared" si="317"/>
        <v>28.425010636035367</v>
      </c>
      <c r="K125" s="172">
        <f t="shared" si="318"/>
        <v>47.378562311969688</v>
      </c>
      <c r="L125" s="443"/>
      <c r="M125" s="217">
        <f t="shared" si="319"/>
        <v>0.59995661460022032</v>
      </c>
      <c r="N125" s="172">
        <f t="shared" si="426"/>
        <v>95.450442621902098</v>
      </c>
      <c r="O125" s="172">
        <f t="shared" si="284"/>
        <v>10.5</v>
      </c>
      <c r="P125" s="217">
        <f t="shared" si="320"/>
        <v>3.4089443793536462</v>
      </c>
      <c r="Q125" s="217">
        <f t="shared" si="321"/>
        <v>28</v>
      </c>
      <c r="R125" s="217"/>
      <c r="S125" s="172">
        <f t="shared" si="322"/>
        <v>402.2553141293576</v>
      </c>
      <c r="T125" s="172">
        <f t="shared" si="323"/>
        <v>28</v>
      </c>
      <c r="U125" s="217">
        <f t="shared" si="324"/>
        <v>1.8747966529942601</v>
      </c>
      <c r="V125" s="217">
        <f t="shared" si="325"/>
        <v>0.46490200990990016</v>
      </c>
      <c r="W125" s="217">
        <f t="shared" si="326"/>
        <v>0.30999264633175977</v>
      </c>
      <c r="X125" s="197">
        <f t="shared" si="327"/>
        <v>350</v>
      </c>
      <c r="Y125" s="443">
        <f t="shared" si="328"/>
        <v>350</v>
      </c>
      <c r="AA125" s="217">
        <f t="shared" si="329"/>
        <v>6.9126323462829236</v>
      </c>
      <c r="AB125" s="173">
        <f t="shared" si="330"/>
        <v>1.1429853956269711</v>
      </c>
      <c r="AC125" s="173">
        <f t="shared" si="331"/>
        <v>1.3826816179994974</v>
      </c>
      <c r="AD125" s="173"/>
      <c r="AE125" s="173">
        <f t="shared" si="332"/>
        <v>0.55115781194486135</v>
      </c>
      <c r="AF125" s="545">
        <f t="shared" si="333"/>
        <v>408.23153573029521</v>
      </c>
      <c r="AG125" s="528">
        <f t="shared" si="334"/>
        <v>0.32150872363450245</v>
      </c>
      <c r="AI125" s="173">
        <f t="shared" si="335"/>
        <v>3.599962679393391</v>
      </c>
      <c r="AJ125" s="173">
        <f t="shared" si="336"/>
        <v>3.599962679393391</v>
      </c>
      <c r="AK125" s="173">
        <f t="shared" si="337"/>
        <v>1.3975032193037462</v>
      </c>
      <c r="AM125" s="545">
        <f t="shared" si="338"/>
        <v>375</v>
      </c>
      <c r="AN125" s="460">
        <f t="shared" si="339"/>
        <v>350</v>
      </c>
      <c r="AP125" s="460">
        <f t="shared" si="340"/>
        <v>375</v>
      </c>
      <c r="AQ125" s="460">
        <f t="shared" si="341"/>
        <v>350</v>
      </c>
      <c r="AS125" s="5">
        <f t="shared" si="285"/>
        <v>2.8571428571428572</v>
      </c>
      <c r="AT125" s="5">
        <f t="shared" si="342"/>
        <v>0.89269942026920257</v>
      </c>
      <c r="AU125" s="5">
        <f t="shared" si="343"/>
        <v>1.9644434368736547</v>
      </c>
      <c r="AV125" s="5"/>
      <c r="AW125" s="173">
        <f t="shared" si="344"/>
        <v>0.31244479709422091</v>
      </c>
      <c r="AX125" s="173">
        <f t="shared" si="214"/>
        <v>10.659378988513261</v>
      </c>
      <c r="AY125" s="173">
        <f t="shared" si="215"/>
        <v>1.2375865352417776</v>
      </c>
      <c r="AZ125" s="173">
        <f t="shared" si="288"/>
        <v>8.6130372987864003</v>
      </c>
      <c r="BA125" s="460">
        <f t="shared" si="433"/>
        <v>1.1955795807176821</v>
      </c>
      <c r="BB125" s="5">
        <f t="shared" si="434"/>
        <v>0.77733851831367251</v>
      </c>
      <c r="BD125" s="173">
        <f t="shared" si="289"/>
        <v>1.161780331250978</v>
      </c>
      <c r="BE125" s="173">
        <f t="shared" si="218"/>
        <v>1.7234201150406658</v>
      </c>
      <c r="BG125" s="528">
        <f t="shared" si="347"/>
        <v>1.6196802456979586E-2</v>
      </c>
      <c r="BH125" s="528">
        <f t="shared" si="348"/>
        <v>1.089458746007413</v>
      </c>
      <c r="BI125" s="528">
        <f t="shared" si="349"/>
        <v>4.0250000000000001E-2</v>
      </c>
      <c r="BJ125" s="528">
        <f t="shared" si="350"/>
        <v>0.38693501774339234</v>
      </c>
      <c r="BK125">
        <f t="shared" si="351"/>
        <v>8.5290982541704422E-3</v>
      </c>
      <c r="BL125" s="460">
        <f t="shared" si="427"/>
        <v>48.779098254170442</v>
      </c>
      <c r="BM125" s="528">
        <f t="shared" si="352"/>
        <v>1.5027468139966735</v>
      </c>
      <c r="BN125" s="460">
        <f t="shared" si="353"/>
        <v>1502.7468139966736</v>
      </c>
      <c r="BO125" s="528">
        <f t="shared" si="354"/>
        <v>0.26249999999999996</v>
      </c>
      <c r="BR125" s="460">
        <f t="shared" si="355"/>
        <v>262.49999999999994</v>
      </c>
      <c r="BS125" s="528">
        <f t="shared" si="356"/>
        <v>1.8896269533142853E-2</v>
      </c>
      <c r="BT125" s="528">
        <f t="shared" si="357"/>
        <v>4.1582476500974949E-2</v>
      </c>
      <c r="BU125" s="528">
        <f t="shared" si="358"/>
        <v>2.817637452812245</v>
      </c>
      <c r="BV125" s="528"/>
      <c r="BW125" s="528">
        <f t="shared" si="359"/>
        <v>0.45359059525588352</v>
      </c>
      <c r="BX125" s="460">
        <f t="shared" si="360"/>
        <v>3331.706794102246</v>
      </c>
      <c r="BY125" s="173">
        <f t="shared" si="361"/>
        <v>5.1355764585642021</v>
      </c>
      <c r="BZ125" s="5">
        <f t="shared" si="362"/>
        <v>10.5</v>
      </c>
      <c r="CA125" s="173">
        <f t="shared" si="363"/>
        <v>0.67154543536185063</v>
      </c>
      <c r="CB125" s="5">
        <f t="shared" si="364"/>
        <v>67.154543536185059</v>
      </c>
      <c r="CE125" s="562">
        <f t="shared" si="365"/>
        <v>-50</v>
      </c>
      <c r="CF125">
        <f t="shared" si="366"/>
        <v>-50</v>
      </c>
      <c r="CG125" s="173">
        <f t="shared" si="367"/>
        <v>0.20991069529683332</v>
      </c>
      <c r="CI125" s="170">
        <v>15</v>
      </c>
      <c r="CJ125" s="217">
        <f t="shared" si="428"/>
        <v>0.375</v>
      </c>
      <c r="CK125" s="217"/>
      <c r="CL125" s="217">
        <f t="shared" si="368"/>
        <v>10.5</v>
      </c>
      <c r="CM125" s="541">
        <f t="shared" si="369"/>
        <v>19</v>
      </c>
      <c r="CN125" s="443">
        <f t="shared" si="370"/>
        <v>28.4</v>
      </c>
      <c r="CO125" s="443">
        <f t="shared" si="371"/>
        <v>47.4</v>
      </c>
      <c r="CP125" s="443"/>
      <c r="CQ125" s="217">
        <f t="shared" si="372"/>
        <v>0.59915611814345993</v>
      </c>
      <c r="CR125" s="172">
        <f t="shared" si="429"/>
        <v>95.556689708830859</v>
      </c>
      <c r="CS125" s="172">
        <f t="shared" si="373"/>
        <v>10.5</v>
      </c>
      <c r="CT125" s="217">
        <f t="shared" si="374"/>
        <v>3.4127389181725305</v>
      </c>
      <c r="CU125" s="217">
        <f t="shared" si="375"/>
        <v>28</v>
      </c>
      <c r="CV125" s="217"/>
      <c r="CW125" s="172">
        <f t="shared" si="376"/>
        <v>403.24105083240528</v>
      </c>
      <c r="CX125" s="172">
        <f t="shared" si="377"/>
        <v>28</v>
      </c>
      <c r="CY125" s="217">
        <f t="shared" si="378"/>
        <v>1.8446997776130465</v>
      </c>
      <c r="CZ125" s="217">
        <f t="shared" si="379"/>
        <v>0.45632047130427994</v>
      </c>
      <c r="DA125" s="217">
        <f t="shared" si="380"/>
        <v>0.30528482235145488</v>
      </c>
      <c r="DB125" s="197">
        <f t="shared" si="381"/>
        <v>350</v>
      </c>
      <c r="DC125" s="443">
        <f t="shared" si="382"/>
        <v>350</v>
      </c>
      <c r="DE125" s="217">
        <f t="shared" si="383"/>
        <v>6.9203442217177731</v>
      </c>
      <c r="DF125" s="173">
        <f t="shared" si="384"/>
        <v>1.1452682338758289</v>
      </c>
      <c r="DG125" s="173">
        <f t="shared" si="385"/>
        <v>1.3869888208084145</v>
      </c>
      <c r="DH125" s="173"/>
      <c r="DI125" s="173">
        <f t="shared" si="386"/>
        <v>0.55164319248826299</v>
      </c>
      <c r="DJ125" s="545">
        <f t="shared" si="387"/>
        <v>407.87234042553183</v>
      </c>
      <c r="DK125" s="528">
        <f t="shared" si="388"/>
        <v>0.3217918622848201</v>
      </c>
      <c r="DM125" s="173">
        <f t="shared" si="389"/>
        <v>3.5983785608906134</v>
      </c>
      <c r="DN125" s="173">
        <f t="shared" si="390"/>
        <v>3.5983785608906134</v>
      </c>
      <c r="DO125" s="173">
        <f t="shared" si="391"/>
        <v>1.3963297981905776</v>
      </c>
      <c r="DQ125" s="545">
        <f t="shared" si="392"/>
        <v>375</v>
      </c>
      <c r="DR125" s="460">
        <f t="shared" si="393"/>
        <v>350</v>
      </c>
      <c r="DT125">
        <f t="shared" si="430"/>
        <v>375</v>
      </c>
      <c r="DU125">
        <f t="shared" si="431"/>
        <v>350</v>
      </c>
      <c r="DW125" s="5">
        <f t="shared" si="394"/>
        <v>2.8571428571428572</v>
      </c>
      <c r="DX125" s="5">
        <f t="shared" si="395"/>
        <v>0.89012522295715168</v>
      </c>
      <c r="DY125" s="5">
        <f t="shared" si="396"/>
        <v>1.9670176341857055</v>
      </c>
      <c r="DZ125" s="5"/>
      <c r="EA125" s="173">
        <f t="shared" si="397"/>
        <v>0.31154382803500308</v>
      </c>
      <c r="EB125" s="173">
        <f t="shared" si="398"/>
        <v>10.649999999999999</v>
      </c>
      <c r="EC125" s="173">
        <f t="shared" si="399"/>
        <v>1.2386629646558329</v>
      </c>
      <c r="ED125" s="173">
        <f t="shared" si="400"/>
        <v>8.5979804869350716</v>
      </c>
      <c r="EE125" s="460">
        <f t="shared" si="401"/>
        <v>1.1921319950318996</v>
      </c>
      <c r="EF125" s="5">
        <f t="shared" si="402"/>
        <v>0.77645432928383118</v>
      </c>
      <c r="EH125" s="173">
        <f t="shared" si="403"/>
        <v>1.1595935717747097</v>
      </c>
      <c r="EI125" s="173">
        <f t="shared" si="404"/>
        <v>1.7237900599525371</v>
      </c>
      <c r="EK125" s="528">
        <f t="shared" si="405"/>
        <v>1.6135887020414744E-2</v>
      </c>
      <c r="EL125" s="528">
        <f t="shared" si="406"/>
        <v>1.1342449061783304</v>
      </c>
      <c r="EM125" s="528">
        <f t="shared" si="407"/>
        <v>4.0250000000000001E-2</v>
      </c>
      <c r="EN125" s="528">
        <f t="shared" si="408"/>
        <v>0.38728525499999999</v>
      </c>
      <c r="EO125">
        <f t="shared" si="409"/>
        <v>8.5500000000000003E-3</v>
      </c>
      <c r="EP125" s="460">
        <f t="shared" si="410"/>
        <v>48.800000000000004</v>
      </c>
      <c r="EQ125" s="460"/>
      <c r="ER125" s="460">
        <f t="shared" si="432"/>
        <v>1586.4660481987451</v>
      </c>
      <c r="ES125" s="528">
        <f t="shared" si="411"/>
        <v>0.26249999999999996</v>
      </c>
      <c r="EV125" s="460">
        <f t="shared" si="412"/>
        <v>262.49999999999994</v>
      </c>
      <c r="EW125" s="528">
        <f t="shared" si="413"/>
        <v>1.8825201523817201E-2</v>
      </c>
      <c r="EX125" s="528">
        <f t="shared" si="414"/>
        <v>4.1600330391076405E-2</v>
      </c>
      <c r="EY125" s="528">
        <f t="shared" si="415"/>
        <v>2.8145388105085347</v>
      </c>
      <c r="EZ125" s="528"/>
      <c r="FA125" s="528">
        <f t="shared" si="416"/>
        <v>0.45319148936170206</v>
      </c>
      <c r="FB125" s="460">
        <f t="shared" si="417"/>
        <v>3328.1558317851304</v>
      </c>
      <c r="FC125" s="173">
        <f t="shared" si="418"/>
        <v>5.1771218799838756</v>
      </c>
      <c r="FD125" s="5">
        <f t="shared" si="419"/>
        <v>10.5</v>
      </c>
      <c r="FE125" s="173">
        <f t="shared" si="420"/>
        <v>0.66976579504724754</v>
      </c>
      <c r="FF125" s="5">
        <f t="shared" si="421"/>
        <v>66.976579504724754</v>
      </c>
      <c r="FI125" s="562">
        <f t="shared" si="422"/>
        <v>-50</v>
      </c>
      <c r="FJ125">
        <f t="shared" si="423"/>
        <v>-50</v>
      </c>
      <c r="FL125">
        <f t="shared" si="424"/>
        <v>0.20842720889665703</v>
      </c>
    </row>
    <row r="126" spans="5:168">
      <c r="E126" s="170">
        <v>16</v>
      </c>
      <c r="F126" s="217">
        <f t="shared" si="425"/>
        <v>0.4</v>
      </c>
      <c r="G126" s="217"/>
      <c r="H126" s="217">
        <f t="shared" si="315"/>
        <v>11.200000000000001</v>
      </c>
      <c r="I126" s="541">
        <f t="shared" si="316"/>
        <v>18.952028377182497</v>
      </c>
      <c r="J126" s="172">
        <f t="shared" si="317"/>
        <v>28.425830873824808</v>
      </c>
      <c r="K126" s="172">
        <f t="shared" si="318"/>
        <v>47.377859251007308</v>
      </c>
      <c r="L126" s="443"/>
      <c r="M126" s="217">
        <f t="shared" si="319"/>
        <v>0.59998287949556206</v>
      </c>
      <c r="N126" s="172">
        <f t="shared" si="426"/>
        <v>95.446949553537479</v>
      </c>
      <c r="O126" s="172">
        <f t="shared" si="284"/>
        <v>11.200000000000001</v>
      </c>
      <c r="P126" s="217">
        <f t="shared" si="320"/>
        <v>3.4088196269120528</v>
      </c>
      <c r="Q126" s="217">
        <f t="shared" si="321"/>
        <v>28</v>
      </c>
      <c r="R126" s="217"/>
      <c r="S126" s="172">
        <f t="shared" si="322"/>
        <v>375.90204169680118</v>
      </c>
      <c r="T126" s="172">
        <f t="shared" si="323"/>
        <v>28</v>
      </c>
      <c r="U126" s="217">
        <f t="shared" si="324"/>
        <v>1.9999144011415493</v>
      </c>
      <c r="V126" s="217">
        <f t="shared" si="325"/>
        <v>0.49596789843782796</v>
      </c>
      <c r="W126" s="217">
        <f t="shared" si="326"/>
        <v>0.33067099171481595</v>
      </c>
      <c r="X126" s="197">
        <f t="shared" si="327"/>
        <v>350</v>
      </c>
      <c r="Y126" s="443">
        <f t="shared" si="328"/>
        <v>350</v>
      </c>
      <c r="AA126" s="217">
        <f t="shared" si="329"/>
        <v>6.9123788079503257</v>
      </c>
      <c r="AB126" s="173">
        <f t="shared" si="330"/>
        <v>1.1429104936834908</v>
      </c>
      <c r="AC126" s="173">
        <f t="shared" si="331"/>
        <v>1.3825402982863162</v>
      </c>
      <c r="AD126" s="173"/>
      <c r="AE126" s="173">
        <f t="shared" si="332"/>
        <v>0.55114190808378138</v>
      </c>
      <c r="AF126" s="545">
        <f t="shared" si="333"/>
        <v>435.45953679050768</v>
      </c>
      <c r="AG126" s="528">
        <f t="shared" si="334"/>
        <v>0.32149944638220584</v>
      </c>
      <c r="AI126" s="173">
        <f t="shared" si="335"/>
        <v>3.7180791114584606</v>
      </c>
      <c r="AJ126" s="173">
        <f t="shared" si="336"/>
        <v>3.7180791114584606</v>
      </c>
      <c r="AK126" s="173">
        <f t="shared" si="337"/>
        <v>1.4849968726852794</v>
      </c>
      <c r="AM126" s="545">
        <f t="shared" si="338"/>
        <v>400</v>
      </c>
      <c r="AN126" s="460">
        <f t="shared" si="339"/>
        <v>350</v>
      </c>
      <c r="AP126" s="460">
        <f t="shared" si="340"/>
        <v>400</v>
      </c>
      <c r="AQ126" s="460">
        <f t="shared" si="341"/>
        <v>350</v>
      </c>
      <c r="AS126" s="5">
        <f t="shared" si="285"/>
        <v>2.8571428571428572</v>
      </c>
      <c r="AT126" s="5">
        <f t="shared" si="342"/>
        <v>0.92206340535527842</v>
      </c>
      <c r="AU126" s="5">
        <f t="shared" si="343"/>
        <v>1.9350794517875789</v>
      </c>
      <c r="AV126" s="5"/>
      <c r="AW126" s="173">
        <f t="shared" si="344"/>
        <v>0.32272219187434742</v>
      </c>
      <c r="AX126" s="173">
        <f t="shared" si="214"/>
        <v>11.370332349529923</v>
      </c>
      <c r="AY126" s="173">
        <f t="shared" si="215"/>
        <v>1.25908623552318</v>
      </c>
      <c r="AZ126" s="173">
        <f t="shared" si="288"/>
        <v>9.03062239005836</v>
      </c>
      <c r="BA126" s="460">
        <f t="shared" si="433"/>
        <v>1.3172334362218263</v>
      </c>
      <c r="BB126" s="5">
        <f t="shared" si="434"/>
        <v>0.81683265274859496</v>
      </c>
      <c r="BD126" s="173">
        <f t="shared" si="289"/>
        <v>1.2194736317248425</v>
      </c>
      <c r="BE126" s="173">
        <f t="shared" si="218"/>
        <v>1.7666129988999859</v>
      </c>
      <c r="BG126" s="528">
        <f t="shared" si="347"/>
        <v>1.7845391261666118E-2</v>
      </c>
      <c r="BH126" s="528">
        <f t="shared" si="348"/>
        <v>1.1251876916311165</v>
      </c>
      <c r="BI126" s="528">
        <f t="shared" si="349"/>
        <v>4.0250000000000001E-2</v>
      </c>
      <c r="BJ126" s="528">
        <f t="shared" si="350"/>
        <v>0.38692353420002368</v>
      </c>
      <c r="BK126">
        <f t="shared" si="351"/>
        <v>8.5284127697321226E-3</v>
      </c>
      <c r="BL126" s="460">
        <f t="shared" si="427"/>
        <v>48.778412769732128</v>
      </c>
      <c r="BM126" s="528">
        <f t="shared" si="352"/>
        <v>1.5413101278046675</v>
      </c>
      <c r="BN126" s="460">
        <f t="shared" si="353"/>
        <v>1541.3101278046674</v>
      </c>
      <c r="BO126" s="528">
        <f t="shared" si="354"/>
        <v>0.27999999999999997</v>
      </c>
      <c r="BR126" s="460">
        <f t="shared" si="355"/>
        <v>279.99999999999994</v>
      </c>
      <c r="BS126" s="528">
        <f t="shared" si="356"/>
        <v>2.0819623138610473E-2</v>
      </c>
      <c r="BT126" s="528">
        <f t="shared" si="357"/>
        <v>4.3692900830353626E-2</v>
      </c>
      <c r="BU126" s="528">
        <f t="shared" si="358"/>
        <v>3.0544757448220108</v>
      </c>
      <c r="BV126" s="528"/>
      <c r="BW126" s="528">
        <f t="shared" si="359"/>
        <v>0.48384392976723073</v>
      </c>
      <c r="BX126" s="460">
        <f t="shared" si="360"/>
        <v>3602.8321985582052</v>
      </c>
      <c r="BY126" s="173">
        <f t="shared" si="361"/>
        <v>5.4615672284207442</v>
      </c>
      <c r="BZ126" s="5">
        <f t="shared" si="362"/>
        <v>11.200000000000001</v>
      </c>
      <c r="CA126" s="173">
        <f t="shared" si="363"/>
        <v>0.67220567227886074</v>
      </c>
      <c r="CB126" s="5">
        <f t="shared" si="364"/>
        <v>67.220567227886079</v>
      </c>
      <c r="CE126" s="562">
        <f t="shared" si="365"/>
        <v>-50</v>
      </c>
      <c r="CF126">
        <f t="shared" si="366"/>
        <v>-50</v>
      </c>
      <c r="CG126" s="173">
        <f t="shared" si="367"/>
        <v>0.216794833886788</v>
      </c>
      <c r="CI126" s="170">
        <v>16</v>
      </c>
      <c r="CJ126" s="217">
        <f t="shared" si="428"/>
        <v>0.4</v>
      </c>
      <c r="CK126" s="217"/>
      <c r="CL126" s="217">
        <f t="shared" si="368"/>
        <v>11.200000000000001</v>
      </c>
      <c r="CM126" s="541">
        <f t="shared" si="369"/>
        <v>19</v>
      </c>
      <c r="CN126" s="443">
        <f t="shared" si="370"/>
        <v>28.4</v>
      </c>
      <c r="CO126" s="443">
        <f t="shared" si="371"/>
        <v>47.4</v>
      </c>
      <c r="CP126" s="443"/>
      <c r="CQ126" s="217">
        <f t="shared" si="372"/>
        <v>0.59915611814345993</v>
      </c>
      <c r="CR126" s="172">
        <f t="shared" si="429"/>
        <v>95.556689708830859</v>
      </c>
      <c r="CS126" s="172">
        <f t="shared" si="373"/>
        <v>11.200000000000001</v>
      </c>
      <c r="CT126" s="217">
        <f t="shared" si="374"/>
        <v>3.4127389181725305</v>
      </c>
      <c r="CU126" s="217">
        <f t="shared" si="375"/>
        <v>28</v>
      </c>
      <c r="CV126" s="217"/>
      <c r="CW126" s="172">
        <f t="shared" si="376"/>
        <v>376.85347893946897</v>
      </c>
      <c r="CX126" s="172">
        <f t="shared" si="377"/>
        <v>28</v>
      </c>
      <c r="CY126" s="217">
        <f t="shared" si="378"/>
        <v>1.9676797627872498</v>
      </c>
      <c r="CZ126" s="217">
        <f t="shared" si="379"/>
        <v>0.48674183605789856</v>
      </c>
      <c r="DA126" s="217">
        <f t="shared" si="380"/>
        <v>0.3256371438415519</v>
      </c>
      <c r="DB126" s="197">
        <f t="shared" si="381"/>
        <v>350</v>
      </c>
      <c r="DC126" s="443">
        <f t="shared" si="382"/>
        <v>350</v>
      </c>
      <c r="DE126" s="217">
        <f t="shared" si="383"/>
        <v>6.9203442217177731</v>
      </c>
      <c r="DF126" s="173">
        <f t="shared" si="384"/>
        <v>1.1452682338758289</v>
      </c>
      <c r="DG126" s="173">
        <f t="shared" si="385"/>
        <v>1.3869888208084145</v>
      </c>
      <c r="DH126" s="173"/>
      <c r="DI126" s="173">
        <f t="shared" si="386"/>
        <v>0.55164319248826299</v>
      </c>
      <c r="DJ126" s="545">
        <f t="shared" si="387"/>
        <v>435.063829787234</v>
      </c>
      <c r="DK126" s="528">
        <f t="shared" si="388"/>
        <v>0.3217918622848201</v>
      </c>
      <c r="DM126" s="173">
        <f t="shared" si="389"/>
        <v>3.7163893972477755</v>
      </c>
      <c r="DN126" s="173">
        <f t="shared" si="390"/>
        <v>3.7163893972477755</v>
      </c>
      <c r="DO126" s="173">
        <f t="shared" si="391"/>
        <v>1.4837452325292162</v>
      </c>
      <c r="DQ126" s="545">
        <f t="shared" si="392"/>
        <v>400</v>
      </c>
      <c r="DR126" s="460">
        <f t="shared" si="393"/>
        <v>350</v>
      </c>
      <c r="DT126">
        <f t="shared" si="430"/>
        <v>400</v>
      </c>
      <c r="DU126">
        <f t="shared" si="431"/>
        <v>350</v>
      </c>
      <c r="DW126" s="5">
        <f t="shared" si="394"/>
        <v>2.8571428571428572</v>
      </c>
      <c r="DX126" s="5">
        <f t="shared" si="395"/>
        <v>0.91931737721392348</v>
      </c>
      <c r="DY126" s="5">
        <f t="shared" si="396"/>
        <v>1.9378254799289336</v>
      </c>
      <c r="DZ126" s="5"/>
      <c r="EA126" s="173">
        <f t="shared" si="397"/>
        <v>0.32176108202487319</v>
      </c>
      <c r="EB126" s="173">
        <f t="shared" si="398"/>
        <v>11.36</v>
      </c>
      <c r="EC126" s="173">
        <f t="shared" si="399"/>
        <v>1.2602999617817825</v>
      </c>
      <c r="ED126" s="173">
        <f t="shared" si="400"/>
        <v>9.0137271637614731</v>
      </c>
      <c r="EE126" s="460">
        <f t="shared" si="401"/>
        <v>1.3133105388770336</v>
      </c>
      <c r="EF126" s="5">
        <f t="shared" si="402"/>
        <v>0.81592651786481407</v>
      </c>
      <c r="EH126" s="173">
        <f t="shared" si="403"/>
        <v>1.2171030251298227</v>
      </c>
      <c r="EI126" s="173">
        <f t="shared" si="404"/>
        <v>1.7670626126083919</v>
      </c>
      <c r="EK126" s="528">
        <f t="shared" si="405"/>
        <v>1.7776077285361992E-2</v>
      </c>
      <c r="EL126" s="528">
        <f t="shared" si="406"/>
        <v>1.1714431019064715</v>
      </c>
      <c r="EM126" s="528">
        <f t="shared" si="407"/>
        <v>4.0250000000000001E-2</v>
      </c>
      <c r="EN126" s="528">
        <f t="shared" si="408"/>
        <v>0.38728525499999999</v>
      </c>
      <c r="EO126">
        <f t="shared" si="409"/>
        <v>8.5500000000000003E-3</v>
      </c>
      <c r="EP126" s="460">
        <f t="shared" si="410"/>
        <v>48.800000000000004</v>
      </c>
      <c r="EQ126" s="460"/>
      <c r="ER126" s="460">
        <f t="shared" si="432"/>
        <v>1625.3044341918335</v>
      </c>
      <c r="ES126" s="528">
        <f t="shared" si="411"/>
        <v>0.27999999999999997</v>
      </c>
      <c r="EV126" s="460">
        <f t="shared" si="412"/>
        <v>279.99999999999994</v>
      </c>
      <c r="EW126" s="528">
        <f t="shared" si="413"/>
        <v>2.0738756832922322E-2</v>
      </c>
      <c r="EX126" s="528">
        <f t="shared" si="414"/>
        <v>4.3715143876297546E-2</v>
      </c>
      <c r="EY126" s="528">
        <f t="shared" si="415"/>
        <v>3.0510065932192485</v>
      </c>
      <c r="EZ126" s="528"/>
      <c r="FA126" s="528">
        <f t="shared" si="416"/>
        <v>0.48340425531914893</v>
      </c>
      <c r="FB126" s="460">
        <f t="shared" si="417"/>
        <v>3598.8647492476175</v>
      </c>
      <c r="FC126" s="173">
        <f t="shared" si="418"/>
        <v>5.5041691834394513</v>
      </c>
      <c r="FD126" s="5">
        <f t="shared" si="419"/>
        <v>11.200000000000001</v>
      </c>
      <c r="FE126" s="173">
        <f t="shared" si="420"/>
        <v>0.67049129334152713</v>
      </c>
      <c r="FF126" s="5">
        <f t="shared" si="421"/>
        <v>67.04912933415271</v>
      </c>
      <c r="FI126" s="562">
        <f t="shared" si="422"/>
        <v>-50</v>
      </c>
      <c r="FJ126">
        <f t="shared" si="423"/>
        <v>-50</v>
      </c>
      <c r="FL126">
        <f t="shared" si="424"/>
        <v>0.21526269572086587</v>
      </c>
    </row>
    <row r="127" spans="5:168">
      <c r="E127" s="170">
        <v>17</v>
      </c>
      <c r="F127" s="217">
        <f t="shared" si="425"/>
        <v>0.42500000000000004</v>
      </c>
      <c r="G127" s="217"/>
      <c r="H127" s="217">
        <f t="shared" si="315"/>
        <v>11.900000000000002</v>
      </c>
      <c r="I127" s="541">
        <f t="shared" si="316"/>
        <v>18.950551983022788</v>
      </c>
      <c r="J127" s="172">
        <f t="shared" si="317"/>
        <v>28.42662585529542</v>
      </c>
      <c r="K127" s="172">
        <f t="shared" si="318"/>
        <v>47.377177838318204</v>
      </c>
      <c r="L127" s="443"/>
      <c r="M127" s="217">
        <f t="shared" si="319"/>
        <v>0.60000833639414719</v>
      </c>
      <c r="N127" s="172">
        <f t="shared" si="426"/>
        <v>95.443563518225091</v>
      </c>
      <c r="O127" s="172">
        <f t="shared" si="284"/>
        <v>11.900000000000002</v>
      </c>
      <c r="P127" s="217">
        <f t="shared" si="320"/>
        <v>3.4086986970794677</v>
      </c>
      <c r="Q127" s="217">
        <f t="shared" si="321"/>
        <v>28</v>
      </c>
      <c r="R127" s="217"/>
      <c r="S127" s="172">
        <f t="shared" si="322"/>
        <v>352.65036931414664</v>
      </c>
      <c r="T127" s="172">
        <f t="shared" si="323"/>
        <v>28</v>
      </c>
      <c r="U127" s="217">
        <f t="shared" si="324"/>
        <v>2.1250442880169125</v>
      </c>
      <c r="V127" s="217">
        <f t="shared" si="325"/>
        <v>0.52704048740253928</v>
      </c>
      <c r="W127" s="217">
        <f t="shared" si="326"/>
        <v>0.35135046292590294</v>
      </c>
      <c r="X127" s="197">
        <f t="shared" si="327"/>
        <v>350</v>
      </c>
      <c r="Y127" s="443">
        <f t="shared" si="328"/>
        <v>350</v>
      </c>
      <c r="AA127" s="217">
        <f t="shared" si="329"/>
        <v>6.912133038653816</v>
      </c>
      <c r="AB127" s="173">
        <f t="shared" si="330"/>
        <v>1.1428378959587682</v>
      </c>
      <c r="AC127" s="173">
        <f t="shared" si="331"/>
        <v>1.3824033262343873</v>
      </c>
      <c r="AD127" s="173"/>
      <c r="AE127" s="173">
        <f t="shared" si="332"/>
        <v>0.55112649480164111</v>
      </c>
      <c r="AF127" s="545">
        <f t="shared" si="333"/>
        <v>462.68869743193608</v>
      </c>
      <c r="AG127" s="528">
        <f t="shared" si="334"/>
        <v>0.32149045530095732</v>
      </c>
      <c r="AI127" s="173">
        <f t="shared" si="335"/>
        <v>3.8325618164883295</v>
      </c>
      <c r="AJ127" s="173">
        <f t="shared" si="336"/>
        <v>3.8325618164883295</v>
      </c>
      <c r="AK127" s="173">
        <f t="shared" si="337"/>
        <v>1.5697988764111082</v>
      </c>
      <c r="AM127" s="545">
        <f t="shared" si="338"/>
        <v>425.00000000000006</v>
      </c>
      <c r="AN127" s="460">
        <f t="shared" si="339"/>
        <v>350</v>
      </c>
      <c r="AP127" s="460">
        <f t="shared" si="340"/>
        <v>425.00000000000006</v>
      </c>
      <c r="AQ127" s="460">
        <f t="shared" si="341"/>
        <v>350</v>
      </c>
      <c r="AS127" s="5">
        <f t="shared" si="285"/>
        <v>2.8571428571428572</v>
      </c>
      <c r="AT127" s="5">
        <f t="shared" si="342"/>
        <v>0.95052854152388144</v>
      </c>
      <c r="AU127" s="5">
        <f t="shared" si="343"/>
        <v>1.9066143156189757</v>
      </c>
      <c r="AV127" s="5"/>
      <c r="AW127" s="173">
        <f t="shared" si="344"/>
        <v>0.33268498953335851</v>
      </c>
      <c r="AX127" s="173">
        <f t="shared" si="214"/>
        <v>12.081315988500556</v>
      </c>
      <c r="AY127" s="173">
        <f t="shared" si="215"/>
        <v>1.2787630143419799</v>
      </c>
      <c r="AZ127" s="173">
        <f t="shared" si="288"/>
        <v>9.4476582861737715</v>
      </c>
      <c r="BA127" s="460">
        <f t="shared" si="433"/>
        <v>1.4427665362416058</v>
      </c>
      <c r="BB127" s="5">
        <f t="shared" si="434"/>
        <v>0.85518467732654679</v>
      </c>
      <c r="BD127" s="173">
        <f t="shared" si="289"/>
        <v>1.2762775919309433</v>
      </c>
      <c r="BE127" s="173">
        <f t="shared" si="218"/>
        <v>1.8075652687348231</v>
      </c>
      <c r="BG127" s="528">
        <f t="shared" si="347"/>
        <v>1.954661389998057E-2</v>
      </c>
      <c r="BH127" s="528">
        <f t="shared" si="348"/>
        <v>1.1598164621046874</v>
      </c>
      <c r="BI127" s="528">
        <f t="shared" si="349"/>
        <v>4.0250000000000001E-2</v>
      </c>
      <c r="BJ127" s="528">
        <f t="shared" si="350"/>
        <v>0.38691240441433566</v>
      </c>
      <c r="BK127">
        <f t="shared" si="351"/>
        <v>8.5277483923602536E-3</v>
      </c>
      <c r="BL127" s="460">
        <f t="shared" si="427"/>
        <v>48.777748392360252</v>
      </c>
      <c r="BM127" s="528">
        <f t="shared" si="352"/>
        <v>1.5788858469693805</v>
      </c>
      <c r="BN127" s="460">
        <f t="shared" si="353"/>
        <v>1578.8858469693805</v>
      </c>
      <c r="BO127" s="528">
        <f t="shared" si="354"/>
        <v>0.29749999999999999</v>
      </c>
      <c r="BR127" s="460">
        <f t="shared" si="355"/>
        <v>297.5</v>
      </c>
      <c r="BS127" s="528">
        <f t="shared" si="356"/>
        <v>2.2804382883310662E-2</v>
      </c>
      <c r="BT127" s="528">
        <f t="shared" si="357"/>
        <v>4.5742090810309513E-2</v>
      </c>
      <c r="BU127" s="528">
        <f t="shared" si="358"/>
        <v>3.2950577937769374</v>
      </c>
      <c r="BV127" s="528"/>
      <c r="BW127" s="528">
        <f t="shared" si="359"/>
        <v>0.51409855270215132</v>
      </c>
      <c r="BX127" s="460">
        <f t="shared" si="360"/>
        <v>3877.7028201727089</v>
      </c>
      <c r="BY127" s="173">
        <f t="shared" si="361"/>
        <v>5.7902560489840722</v>
      </c>
      <c r="BZ127" s="5">
        <f t="shared" si="362"/>
        <v>11.900000000000002</v>
      </c>
      <c r="CA127" s="173">
        <f t="shared" si="363"/>
        <v>0.6726867020493692</v>
      </c>
      <c r="CB127" s="5">
        <f t="shared" si="364"/>
        <v>67.268670204936925</v>
      </c>
      <c r="CE127" s="562">
        <f t="shared" si="365"/>
        <v>-50</v>
      </c>
      <c r="CF127">
        <f t="shared" si="366"/>
        <v>-50</v>
      </c>
      <c r="CG127" s="173">
        <f t="shared" si="367"/>
        <v>0.22346699980086546</v>
      </c>
      <c r="CI127" s="170">
        <v>17</v>
      </c>
      <c r="CJ127" s="217">
        <f t="shared" si="428"/>
        <v>0.42500000000000004</v>
      </c>
      <c r="CK127" s="217"/>
      <c r="CL127" s="217">
        <f t="shared" si="368"/>
        <v>11.900000000000002</v>
      </c>
      <c r="CM127" s="541">
        <f t="shared" si="369"/>
        <v>19</v>
      </c>
      <c r="CN127" s="443">
        <f t="shared" si="370"/>
        <v>28.4</v>
      </c>
      <c r="CO127" s="443">
        <f t="shared" si="371"/>
        <v>47.4</v>
      </c>
      <c r="CP127" s="443"/>
      <c r="CQ127" s="217">
        <f t="shared" si="372"/>
        <v>0.59915611814345993</v>
      </c>
      <c r="CR127" s="172">
        <f t="shared" si="429"/>
        <v>95.556689708830859</v>
      </c>
      <c r="CS127" s="172">
        <f t="shared" si="373"/>
        <v>11.900000000000002</v>
      </c>
      <c r="CT127" s="217">
        <f t="shared" si="374"/>
        <v>3.4127389181725305</v>
      </c>
      <c r="CU127" s="217">
        <f t="shared" si="375"/>
        <v>28</v>
      </c>
      <c r="CV127" s="217"/>
      <c r="CW127" s="172">
        <f t="shared" si="376"/>
        <v>353.57049032421008</v>
      </c>
      <c r="CX127" s="172">
        <f t="shared" si="377"/>
        <v>28</v>
      </c>
      <c r="CY127" s="217">
        <f t="shared" si="378"/>
        <v>2.0906597479614533</v>
      </c>
      <c r="CZ127" s="217">
        <f t="shared" si="379"/>
        <v>0.51716320081151745</v>
      </c>
      <c r="DA127" s="217">
        <f t="shared" si="380"/>
        <v>0.34598946533164898</v>
      </c>
      <c r="DB127" s="197">
        <f t="shared" si="381"/>
        <v>350</v>
      </c>
      <c r="DC127" s="443">
        <f t="shared" si="382"/>
        <v>350</v>
      </c>
      <c r="DE127" s="217">
        <f t="shared" si="383"/>
        <v>6.9203442217177731</v>
      </c>
      <c r="DF127" s="173">
        <f t="shared" si="384"/>
        <v>1.1452682338758289</v>
      </c>
      <c r="DG127" s="173">
        <f t="shared" si="385"/>
        <v>1.3869888208084145</v>
      </c>
      <c r="DH127" s="173"/>
      <c r="DI127" s="173">
        <f t="shared" si="386"/>
        <v>0.55164319248826299</v>
      </c>
      <c r="DJ127" s="545">
        <f t="shared" si="387"/>
        <v>462.25531914893617</v>
      </c>
      <c r="DK127" s="528">
        <f t="shared" si="388"/>
        <v>0.3217918622848201</v>
      </c>
      <c r="DM127" s="173">
        <f t="shared" si="389"/>
        <v>3.8307665076945328</v>
      </c>
      <c r="DN127" s="173">
        <f t="shared" si="390"/>
        <v>3.8307665076945328</v>
      </c>
      <c r="DO127" s="173">
        <f t="shared" si="391"/>
        <v>1.5684690180453327</v>
      </c>
      <c r="DQ127" s="545">
        <f t="shared" si="392"/>
        <v>425.00000000000006</v>
      </c>
      <c r="DR127" s="460">
        <f t="shared" si="393"/>
        <v>350</v>
      </c>
      <c r="DT127">
        <f t="shared" si="430"/>
        <v>425.00000000000006</v>
      </c>
      <c r="DU127">
        <f t="shared" si="431"/>
        <v>350</v>
      </c>
      <c r="DW127" s="5">
        <f t="shared" si="394"/>
        <v>2.8571428571428572</v>
      </c>
      <c r="DX127" s="5">
        <f t="shared" si="395"/>
        <v>0.94761066242970027</v>
      </c>
      <c r="DY127" s="5">
        <f t="shared" si="396"/>
        <v>1.9095321947131569</v>
      </c>
      <c r="DZ127" s="5"/>
      <c r="EA127" s="173">
        <f t="shared" si="397"/>
        <v>0.3316637318503951</v>
      </c>
      <c r="EB127" s="173">
        <f t="shared" si="398"/>
        <v>12.07</v>
      </c>
      <c r="EC127" s="173">
        <f t="shared" si="399"/>
        <v>1.2801200959525294</v>
      </c>
      <c r="ED127" s="173">
        <f t="shared" si="400"/>
        <v>9.4288028429229431</v>
      </c>
      <c r="EE127" s="460">
        <f t="shared" si="401"/>
        <v>1.4383376126165097</v>
      </c>
      <c r="EF127" s="5">
        <f t="shared" si="402"/>
        <v>0.85426440289799122</v>
      </c>
      <c r="EH127" s="173">
        <f t="shared" si="403"/>
        <v>1.2737202280028432</v>
      </c>
      <c r="EI127" s="173">
        <f t="shared" si="404"/>
        <v>1.8081005114763691</v>
      </c>
      <c r="EK127" s="528">
        <f t="shared" si="405"/>
        <v>1.9468358630683382E-2</v>
      </c>
      <c r="EL127" s="528">
        <f t="shared" si="406"/>
        <v>1.2074959108903938</v>
      </c>
      <c r="EM127" s="528">
        <f t="shared" si="407"/>
        <v>4.0250000000000001E-2</v>
      </c>
      <c r="EN127" s="528">
        <f t="shared" si="408"/>
        <v>0.38728525499999999</v>
      </c>
      <c r="EO127">
        <f t="shared" si="409"/>
        <v>8.5500000000000003E-3</v>
      </c>
      <c r="EP127" s="460">
        <f t="shared" si="410"/>
        <v>48.800000000000004</v>
      </c>
      <c r="EQ127" s="460"/>
      <c r="ER127" s="460">
        <f t="shared" si="432"/>
        <v>1663.0495245210773</v>
      </c>
      <c r="ES127" s="528">
        <f t="shared" si="411"/>
        <v>0.29749999999999999</v>
      </c>
      <c r="EV127" s="460">
        <f t="shared" si="412"/>
        <v>297.5</v>
      </c>
      <c r="EW127" s="528">
        <f t="shared" si="413"/>
        <v>2.2713085069130612E-2</v>
      </c>
      <c r="EX127" s="528">
        <f t="shared" si="414"/>
        <v>4.5769184434415501E-2</v>
      </c>
      <c r="EY127" s="528">
        <f t="shared" si="415"/>
        <v>3.2912003425773695</v>
      </c>
      <c r="EZ127" s="528"/>
      <c r="FA127" s="528">
        <f t="shared" si="416"/>
        <v>0.51361702127659592</v>
      </c>
      <c r="FB127" s="460">
        <f t="shared" si="417"/>
        <v>3873.2996333575115</v>
      </c>
      <c r="FC127" s="173">
        <f t="shared" si="418"/>
        <v>5.8338491578785883</v>
      </c>
      <c r="FD127" s="5">
        <f t="shared" si="419"/>
        <v>11.900000000000002</v>
      </c>
      <c r="FE127" s="173">
        <f t="shared" si="420"/>
        <v>0.67103311266822219</v>
      </c>
      <c r="FF127" s="5">
        <f t="shared" si="421"/>
        <v>67.103311266822217</v>
      </c>
      <c r="FI127" s="562">
        <f t="shared" si="422"/>
        <v>-50</v>
      </c>
      <c r="FJ127">
        <f t="shared" si="423"/>
        <v>-50</v>
      </c>
      <c r="FL127">
        <f t="shared" si="424"/>
        <v>0.22188770792808121</v>
      </c>
    </row>
    <row r="128" spans="5:168">
      <c r="E128" s="170">
        <v>18</v>
      </c>
      <c r="F128" s="217">
        <f t="shared" si="425"/>
        <v>0.44999999999999996</v>
      </c>
      <c r="G128" s="217"/>
      <c r="H128" s="217">
        <f t="shared" si="315"/>
        <v>12.599999999999998</v>
      </c>
      <c r="I128" s="541">
        <f t="shared" si="316"/>
        <v>18.949118410301832</v>
      </c>
      <c r="J128" s="172">
        <f t="shared" si="317"/>
        <v>28.427397779068244</v>
      </c>
      <c r="K128" s="172">
        <f t="shared" si="318"/>
        <v>47.376516189370079</v>
      </c>
      <c r="L128" s="443"/>
      <c r="M128" s="217">
        <f t="shared" si="319"/>
        <v>0.60003305563399389</v>
      </c>
      <c r="N128" s="172">
        <f t="shared" si="426"/>
        <v>95.440275198468697</v>
      </c>
      <c r="O128" s="172">
        <f t="shared" si="284"/>
        <v>12.599999999999998</v>
      </c>
      <c r="P128" s="217">
        <f t="shared" si="320"/>
        <v>3.4085812570881679</v>
      </c>
      <c r="Q128" s="217">
        <f t="shared" si="321"/>
        <v>28</v>
      </c>
      <c r="R128" s="217"/>
      <c r="S128" s="172">
        <f t="shared" si="322"/>
        <v>331.98328571704201</v>
      </c>
      <c r="T128" s="172">
        <f t="shared" si="323"/>
        <v>28</v>
      </c>
      <c r="U128" s="217">
        <f t="shared" si="324"/>
        <v>2.2501859533082271</v>
      </c>
      <c r="V128" s="217">
        <f t="shared" si="325"/>
        <v>0.55811957852345329</v>
      </c>
      <c r="W128" s="217">
        <f t="shared" si="326"/>
        <v>0.37203102664345628</v>
      </c>
      <c r="X128" s="197">
        <f t="shared" si="327"/>
        <v>350</v>
      </c>
      <c r="Y128" s="443">
        <f t="shared" si="328"/>
        <v>350</v>
      </c>
      <c r="AA128" s="217">
        <f t="shared" si="329"/>
        <v>6.9118943620792788</v>
      </c>
      <c r="AB128" s="173">
        <f t="shared" si="330"/>
        <v>1.1427674018651379</v>
      </c>
      <c r="AC128" s="173">
        <f t="shared" si="331"/>
        <v>1.3822703233709357</v>
      </c>
      <c r="AD128" s="173"/>
      <c r="AE128" s="173">
        <f t="shared" si="332"/>
        <v>0.55111152939233843</v>
      </c>
      <c r="AF128" s="545">
        <f t="shared" si="333"/>
        <v>489.91898300096329</v>
      </c>
      <c r="AG128" s="528">
        <f t="shared" si="334"/>
        <v>0.32148172547886411</v>
      </c>
      <c r="AI128" s="173">
        <f t="shared" si="335"/>
        <v>3.9437271187712986</v>
      </c>
      <c r="AJ128" s="173">
        <f t="shared" si="336"/>
        <v>3.9437271187712986</v>
      </c>
      <c r="AK128" s="173">
        <f t="shared" si="337"/>
        <v>1.652143544768863</v>
      </c>
      <c r="AM128" s="545">
        <f t="shared" si="338"/>
        <v>449.99999999999994</v>
      </c>
      <c r="AN128" s="460">
        <f t="shared" si="339"/>
        <v>350</v>
      </c>
      <c r="AP128" s="460">
        <f t="shared" si="340"/>
        <v>449.99999999999994</v>
      </c>
      <c r="AQ128" s="460">
        <f t="shared" si="341"/>
        <v>350</v>
      </c>
      <c r="AS128" s="5">
        <f t="shared" si="285"/>
        <v>2.8571428571428572</v>
      </c>
      <c r="AT128" s="5">
        <f t="shared" si="342"/>
        <v>0.97817307680911059</v>
      </c>
      <c r="AU128" s="5">
        <f t="shared" si="343"/>
        <v>1.8789697803337466</v>
      </c>
      <c r="AV128" s="5"/>
      <c r="AW128" s="173">
        <f t="shared" si="344"/>
        <v>0.34236057688318872</v>
      </c>
      <c r="AX128" s="173">
        <f t="shared" si="214"/>
        <v>12.792329000580709</v>
      </c>
      <c r="AY128" s="173">
        <f t="shared" si="215"/>
        <v>1.2967752136594404</v>
      </c>
      <c r="AZ128" s="173">
        <f t="shared" si="288"/>
        <v>9.8647235587433393</v>
      </c>
      <c r="BA128" s="460">
        <f t="shared" si="433"/>
        <v>1.5720638734432133</v>
      </c>
      <c r="BB128" s="5">
        <f t="shared" si="434"/>
        <v>0.89242822050286352</v>
      </c>
      <c r="BD128" s="173">
        <f t="shared" si="289"/>
        <v>1.3322572866146898</v>
      </c>
      <c r="BE128" s="173">
        <f t="shared" si="218"/>
        <v>1.8464610433762527</v>
      </c>
      <c r="BG128" s="528">
        <f t="shared" si="347"/>
        <v>2.1298913732855231E-2</v>
      </c>
      <c r="BH128" s="528">
        <f t="shared" si="348"/>
        <v>1.1934408301630166</v>
      </c>
      <c r="BI128" s="528">
        <f t="shared" si="349"/>
        <v>4.0250000000000001E-2</v>
      </c>
      <c r="BJ128" s="528">
        <f t="shared" si="350"/>
        <v>0.38690159759090353</v>
      </c>
      <c r="BK128">
        <f t="shared" si="351"/>
        <v>8.5271032846358247E-3</v>
      </c>
      <c r="BL128" s="460">
        <f t="shared" si="427"/>
        <v>48.777103284635821</v>
      </c>
      <c r="BM128" s="528">
        <f t="shared" si="352"/>
        <v>1.6155678261211786</v>
      </c>
      <c r="BN128" s="460">
        <f t="shared" si="353"/>
        <v>1615.5678261211785</v>
      </c>
      <c r="BO128" s="528">
        <f t="shared" si="354"/>
        <v>0.31499999999999995</v>
      </c>
      <c r="BR128" s="460">
        <f t="shared" si="355"/>
        <v>314.99999999999994</v>
      </c>
      <c r="BS128" s="528">
        <f t="shared" si="356"/>
        <v>2.4848732688331102E-2</v>
      </c>
      <c r="BT128" s="528">
        <f t="shared" si="357"/>
        <v>4.773185738588568E-2</v>
      </c>
      <c r="BU128" s="528">
        <f t="shared" si="358"/>
        <v>3.5392175377353503</v>
      </c>
      <c r="BV128" s="528"/>
      <c r="BW128" s="528">
        <f t="shared" si="359"/>
        <v>0.54435442555662594</v>
      </c>
      <c r="BX128" s="460">
        <f t="shared" si="360"/>
        <v>4156.1525533661934</v>
      </c>
      <c r="BY128" s="173">
        <f t="shared" si="361"/>
        <v>6.1215709981376039</v>
      </c>
      <c r="BZ128" s="5">
        <f t="shared" si="362"/>
        <v>12.599999999999998</v>
      </c>
      <c r="CA128" s="173">
        <f t="shared" si="363"/>
        <v>0.67302044263557959</v>
      </c>
      <c r="CB128" s="5">
        <f t="shared" si="364"/>
        <v>67.30204426355796</v>
      </c>
      <c r="CE128" s="562">
        <f t="shared" si="365"/>
        <v>-50</v>
      </c>
      <c r="CF128">
        <f t="shared" si="366"/>
        <v>-50</v>
      </c>
      <c r="CG128" s="173">
        <f t="shared" si="367"/>
        <v>0.22994564575133838</v>
      </c>
      <c r="CI128" s="170">
        <v>18</v>
      </c>
      <c r="CJ128" s="217">
        <f t="shared" si="428"/>
        <v>0.44999999999999996</v>
      </c>
      <c r="CK128" s="217"/>
      <c r="CL128" s="217">
        <f t="shared" si="368"/>
        <v>12.599999999999998</v>
      </c>
      <c r="CM128" s="541">
        <f t="shared" si="369"/>
        <v>19</v>
      </c>
      <c r="CN128" s="443">
        <f t="shared" si="370"/>
        <v>28.4</v>
      </c>
      <c r="CO128" s="443">
        <f t="shared" si="371"/>
        <v>47.4</v>
      </c>
      <c r="CP128" s="443"/>
      <c r="CQ128" s="217">
        <f t="shared" si="372"/>
        <v>0.59915611814345993</v>
      </c>
      <c r="CR128" s="172">
        <f t="shared" si="429"/>
        <v>95.556689708830859</v>
      </c>
      <c r="CS128" s="172">
        <f t="shared" si="373"/>
        <v>12.599999999999998</v>
      </c>
      <c r="CT128" s="217">
        <f t="shared" si="374"/>
        <v>3.4127389181725305</v>
      </c>
      <c r="CU128" s="217">
        <f t="shared" si="375"/>
        <v>28</v>
      </c>
      <c r="CV128" s="217"/>
      <c r="CW128" s="172">
        <f t="shared" si="376"/>
        <v>332.87465586609733</v>
      </c>
      <c r="CX128" s="172">
        <f t="shared" si="377"/>
        <v>28</v>
      </c>
      <c r="CY128" s="217">
        <f t="shared" si="378"/>
        <v>2.2136397331356554</v>
      </c>
      <c r="CZ128" s="217">
        <f t="shared" si="379"/>
        <v>0.54758456556513579</v>
      </c>
      <c r="DA128" s="217">
        <f t="shared" si="380"/>
        <v>0.36634178682174579</v>
      </c>
      <c r="DB128" s="197">
        <f t="shared" si="381"/>
        <v>350</v>
      </c>
      <c r="DC128" s="443">
        <f t="shared" si="382"/>
        <v>350</v>
      </c>
      <c r="DE128" s="217">
        <f t="shared" si="383"/>
        <v>6.9203442217177731</v>
      </c>
      <c r="DF128" s="173">
        <f t="shared" si="384"/>
        <v>1.1452682338758289</v>
      </c>
      <c r="DG128" s="173">
        <f t="shared" si="385"/>
        <v>1.3869888208084145</v>
      </c>
      <c r="DH128" s="173"/>
      <c r="DI128" s="173">
        <f t="shared" si="386"/>
        <v>0.55164319248826299</v>
      </c>
      <c r="DJ128" s="545">
        <f t="shared" si="387"/>
        <v>489.44680851063816</v>
      </c>
      <c r="DK128" s="528">
        <f t="shared" si="388"/>
        <v>0.3217918622848201</v>
      </c>
      <c r="DM128" s="173">
        <f t="shared" si="389"/>
        <v>3.9418262164855316</v>
      </c>
      <c r="DN128" s="173">
        <f t="shared" si="390"/>
        <v>3.9418262164855316</v>
      </c>
      <c r="DO128" s="173">
        <f t="shared" si="391"/>
        <v>1.6507354690016283</v>
      </c>
      <c r="DQ128" s="545">
        <f t="shared" si="392"/>
        <v>449.99999999999994</v>
      </c>
      <c r="DR128" s="460">
        <f t="shared" si="393"/>
        <v>350</v>
      </c>
      <c r="DT128">
        <f t="shared" si="430"/>
        <v>449.99999999999994</v>
      </c>
      <c r="DU128">
        <f t="shared" si="431"/>
        <v>350</v>
      </c>
      <c r="DW128" s="5">
        <f t="shared" si="394"/>
        <v>2.8571428571428572</v>
      </c>
      <c r="DX128" s="5">
        <f t="shared" si="395"/>
        <v>0.97508332723589464</v>
      </c>
      <c r="DY128" s="5">
        <f t="shared" si="396"/>
        <v>1.8820595299069627</v>
      </c>
      <c r="DZ128" s="5"/>
      <c r="EA128" s="173">
        <f t="shared" si="397"/>
        <v>0.34127916453256313</v>
      </c>
      <c r="EB128" s="173">
        <f t="shared" si="398"/>
        <v>12.779999999999996</v>
      </c>
      <c r="EC128" s="173">
        <f t="shared" si="399"/>
        <v>1.2982815292953975</v>
      </c>
      <c r="ED128" s="173">
        <f t="shared" si="400"/>
        <v>9.8437817311750155</v>
      </c>
      <c r="EE128" s="460">
        <f t="shared" si="401"/>
        <v>1.5670982044862591</v>
      </c>
      <c r="EF128" s="5">
        <f t="shared" si="402"/>
        <v>0.89150188258750829</v>
      </c>
      <c r="EH128" s="173">
        <f t="shared" si="403"/>
        <v>1.3295103840463962</v>
      </c>
      <c r="EI128" s="173">
        <f t="shared" si="404"/>
        <v>1.8470878283675858</v>
      </c>
      <c r="EK128" s="528">
        <f t="shared" si="405"/>
        <v>2.1211174335446351E-2</v>
      </c>
      <c r="EL128" s="528">
        <f t="shared" si="406"/>
        <v>1.2425030416984044</v>
      </c>
      <c r="EM128" s="528">
        <f t="shared" si="407"/>
        <v>4.0250000000000001E-2</v>
      </c>
      <c r="EN128" s="528">
        <f t="shared" si="408"/>
        <v>0.38728525499999999</v>
      </c>
      <c r="EO128">
        <f t="shared" si="409"/>
        <v>8.5500000000000003E-3</v>
      </c>
      <c r="EP128" s="460">
        <f t="shared" si="410"/>
        <v>48.800000000000004</v>
      </c>
      <c r="EQ128" s="460"/>
      <c r="ER128" s="460">
        <f t="shared" si="432"/>
        <v>1699.7994710338508</v>
      </c>
      <c r="ES128" s="528">
        <f t="shared" si="411"/>
        <v>0.31499999999999995</v>
      </c>
      <c r="EV128" s="460">
        <f t="shared" si="412"/>
        <v>314.99999999999994</v>
      </c>
      <c r="EW128" s="528">
        <f t="shared" si="413"/>
        <v>2.4746370058020741E-2</v>
      </c>
      <c r="EX128" s="528">
        <f t="shared" si="414"/>
        <v>4.7764268239851582E-2</v>
      </c>
      <c r="EY128" s="528">
        <f t="shared" si="415"/>
        <v>3.5349542643133081</v>
      </c>
      <c r="EZ128" s="528"/>
      <c r="FA128" s="528">
        <f t="shared" si="416"/>
        <v>0.54382978723404241</v>
      </c>
      <c r="FB128" s="460">
        <f t="shared" si="417"/>
        <v>4151.2946898452228</v>
      </c>
      <c r="FC128" s="173">
        <f t="shared" si="418"/>
        <v>6.1660941608790729</v>
      </c>
      <c r="FD128" s="5">
        <f t="shared" si="419"/>
        <v>12.599999999999998</v>
      </c>
      <c r="FE128" s="173">
        <f t="shared" si="420"/>
        <v>0.67142367996142294</v>
      </c>
      <c r="FF128" s="5">
        <f t="shared" si="421"/>
        <v>67.142367996142298</v>
      </c>
      <c r="FI128" s="562">
        <f t="shared" si="422"/>
        <v>-50</v>
      </c>
      <c r="FJ128">
        <f t="shared" si="423"/>
        <v>-50</v>
      </c>
      <c r="FL128">
        <f t="shared" si="424"/>
        <v>0.22832056782108101</v>
      </c>
    </row>
    <row r="129" spans="5:168">
      <c r="E129" s="170">
        <v>19</v>
      </c>
      <c r="F129" s="217">
        <f t="shared" si="425"/>
        <v>0.47499999999999998</v>
      </c>
      <c r="G129" s="217"/>
      <c r="H129" s="217">
        <f t="shared" si="315"/>
        <v>13.299999999999999</v>
      </c>
      <c r="I129" s="541">
        <f t="shared" si="316"/>
        <v>18.947724135995216</v>
      </c>
      <c r="J129" s="172">
        <f t="shared" si="317"/>
        <v>28.428148542156421</v>
      </c>
      <c r="K129" s="172">
        <f t="shared" si="318"/>
        <v>47.375872678151637</v>
      </c>
      <c r="L129" s="443"/>
      <c r="M129" s="217">
        <f t="shared" si="319"/>
        <v>0.60005709790411699</v>
      </c>
      <c r="N129" s="172">
        <f t="shared" si="426"/>
        <v>95.437076554951432</v>
      </c>
      <c r="O129" s="172">
        <f t="shared" si="284"/>
        <v>13.299999999999999</v>
      </c>
      <c r="P129" s="217">
        <f t="shared" si="320"/>
        <v>3.4084670198196938</v>
      </c>
      <c r="Q129" s="217">
        <f t="shared" si="321"/>
        <v>28</v>
      </c>
      <c r="R129" s="217"/>
      <c r="S129" s="172">
        <f t="shared" si="322"/>
        <v>313.49263426044422</v>
      </c>
      <c r="T129" s="172">
        <f t="shared" si="323"/>
        <v>28</v>
      </c>
      <c r="U129" s="217">
        <f t="shared" si="324"/>
        <v>2.3753390672057604</v>
      </c>
      <c r="V129" s="217">
        <f t="shared" si="325"/>
        <v>0.58920499030585483</v>
      </c>
      <c r="W129" s="217">
        <f t="shared" si="326"/>
        <v>0.39271265236678055</v>
      </c>
      <c r="X129" s="197">
        <f t="shared" si="327"/>
        <v>350</v>
      </c>
      <c r="Y129" s="443">
        <f t="shared" si="328"/>
        <v>350</v>
      </c>
      <c r="AA129" s="217">
        <f t="shared" si="329"/>
        <v>6.9116621946897308</v>
      </c>
      <c r="AB129" s="173">
        <f t="shared" si="330"/>
        <v>1.1426988383316499</v>
      </c>
      <c r="AC129" s="173">
        <f t="shared" si="331"/>
        <v>1.3821409631422288</v>
      </c>
      <c r="AD129" s="173"/>
      <c r="AE129" s="173">
        <f t="shared" si="332"/>
        <v>0.5510969750082173</v>
      </c>
      <c r="AF129" s="545">
        <f t="shared" si="333"/>
        <v>517.15036177752631</v>
      </c>
      <c r="AG129" s="528">
        <f t="shared" si="334"/>
        <v>0.32147323542146011</v>
      </c>
      <c r="AI129" s="173">
        <f t="shared" si="335"/>
        <v>4.0518479490796731</v>
      </c>
      <c r="AJ129" s="173">
        <f t="shared" si="336"/>
        <v>4.0518479490796731</v>
      </c>
      <c r="AK129" s="173">
        <f t="shared" si="337"/>
        <v>1.732233048700992</v>
      </c>
      <c r="AM129" s="545">
        <f t="shared" si="338"/>
        <v>475</v>
      </c>
      <c r="AN129" s="460">
        <f t="shared" si="339"/>
        <v>350</v>
      </c>
      <c r="AP129" s="460">
        <f t="shared" si="340"/>
        <v>475</v>
      </c>
      <c r="AQ129" s="460">
        <f t="shared" si="341"/>
        <v>350</v>
      </c>
      <c r="AS129" s="5">
        <f t="shared" si="285"/>
        <v>2.8571428571428572</v>
      </c>
      <c r="AT129" s="5">
        <f t="shared" si="342"/>
        <v>1.0050645251107995</v>
      </c>
      <c r="AU129" s="5">
        <f t="shared" si="343"/>
        <v>1.8520783320320577</v>
      </c>
      <c r="AV129" s="5"/>
      <c r="AW129" s="173">
        <f t="shared" si="344"/>
        <v>0.35177258378877979</v>
      </c>
      <c r="AX129" s="173">
        <f t="shared" si="214"/>
        <v>13.503370557524299</v>
      </c>
      <c r="AY129" s="173">
        <f t="shared" si="215"/>
        <v>1.3132594634563242</v>
      </c>
      <c r="AZ129" s="173">
        <f t="shared" si="288"/>
        <v>10.282332572715848</v>
      </c>
      <c r="BA129" s="460">
        <f t="shared" si="433"/>
        <v>1.705020176527249</v>
      </c>
      <c r="BB129" s="5">
        <f t="shared" si="434"/>
        <v>0.92859406375246945</v>
      </c>
      <c r="BD129" s="173">
        <f t="shared" si="289"/>
        <v>1.387469696393546</v>
      </c>
      <c r="BE129" s="173">
        <f t="shared" si="218"/>
        <v>1.8834591692972764</v>
      </c>
      <c r="BG129" s="528">
        <f t="shared" si="347"/>
        <v>2.3100865900924784E-2</v>
      </c>
      <c r="BH129" s="528">
        <f t="shared" si="348"/>
        <v>1.2261434303928667</v>
      </c>
      <c r="BI129" s="528">
        <f t="shared" si="349"/>
        <v>4.0250000000000001E-2</v>
      </c>
      <c r="BJ129" s="528">
        <f t="shared" si="350"/>
        <v>0.38689108715883286</v>
      </c>
      <c r="BK129">
        <f t="shared" si="351"/>
        <v>8.5264758611978478E-3</v>
      </c>
      <c r="BL129" s="460">
        <f t="shared" si="427"/>
        <v>48.776475861197852</v>
      </c>
      <c r="BM129" s="528">
        <f t="shared" si="352"/>
        <v>1.6514369678938148</v>
      </c>
      <c r="BN129" s="460">
        <f t="shared" si="353"/>
        <v>1651.4369678938149</v>
      </c>
      <c r="BO129" s="528">
        <f t="shared" si="354"/>
        <v>0.33249999999999996</v>
      </c>
      <c r="BR129" s="460">
        <f t="shared" si="355"/>
        <v>332.49999999999994</v>
      </c>
      <c r="BS129" s="528">
        <f t="shared" si="356"/>
        <v>2.6951010217745583E-2</v>
      </c>
      <c r="BT129" s="528">
        <f t="shared" si="357"/>
        <v>4.9663858193739807E-2</v>
      </c>
      <c r="BU129" s="528">
        <f t="shared" si="358"/>
        <v>3.7868051930617814</v>
      </c>
      <c r="BV129" s="528"/>
      <c r="BW129" s="528">
        <f t="shared" si="359"/>
        <v>0.57461151308614045</v>
      </c>
      <c r="BX129" s="460">
        <f t="shared" si="360"/>
        <v>4438.031574559408</v>
      </c>
      <c r="BY129" s="173">
        <f t="shared" si="361"/>
        <v>6.4554434338732296</v>
      </c>
      <c r="BZ129" s="5">
        <f t="shared" si="362"/>
        <v>13.299999999999999</v>
      </c>
      <c r="CA129" s="173">
        <f t="shared" si="363"/>
        <v>0.67323216735269287</v>
      </c>
      <c r="CB129" s="5">
        <f t="shared" si="364"/>
        <v>67.323216735269284</v>
      </c>
      <c r="CE129" s="562">
        <f t="shared" si="365"/>
        <v>-50</v>
      </c>
      <c r="CF129">
        <f t="shared" si="366"/>
        <v>-50</v>
      </c>
      <c r="CG129" s="173">
        <f t="shared" si="367"/>
        <v>0.23624669309854898</v>
      </c>
      <c r="CI129" s="170">
        <v>19</v>
      </c>
      <c r="CJ129" s="217">
        <f t="shared" si="428"/>
        <v>0.47499999999999998</v>
      </c>
      <c r="CK129" s="217"/>
      <c r="CL129" s="217">
        <f t="shared" si="368"/>
        <v>13.299999999999999</v>
      </c>
      <c r="CM129" s="541">
        <f t="shared" si="369"/>
        <v>19</v>
      </c>
      <c r="CN129" s="443">
        <f t="shared" si="370"/>
        <v>28.4</v>
      </c>
      <c r="CO129" s="443">
        <f t="shared" si="371"/>
        <v>47.4</v>
      </c>
      <c r="CP129" s="443"/>
      <c r="CQ129" s="217">
        <f t="shared" si="372"/>
        <v>0.59915611814345993</v>
      </c>
      <c r="CR129" s="172">
        <f t="shared" si="429"/>
        <v>95.556689708830859</v>
      </c>
      <c r="CS129" s="172">
        <f t="shared" si="373"/>
        <v>13.299999999999999</v>
      </c>
      <c r="CT129" s="217">
        <f t="shared" si="374"/>
        <v>3.4127389181725305</v>
      </c>
      <c r="CU129" s="217">
        <f t="shared" si="375"/>
        <v>28</v>
      </c>
      <c r="CV129" s="217"/>
      <c r="CW129" s="172">
        <f t="shared" si="376"/>
        <v>314.35747890733649</v>
      </c>
      <c r="CX129" s="172">
        <f t="shared" si="377"/>
        <v>28</v>
      </c>
      <c r="CY129" s="217">
        <f t="shared" si="378"/>
        <v>2.3366197183098589</v>
      </c>
      <c r="CZ129" s="217">
        <f t="shared" si="379"/>
        <v>0.57800593031875458</v>
      </c>
      <c r="DA129" s="217">
        <f t="shared" si="380"/>
        <v>0.38669410831184287</v>
      </c>
      <c r="DB129" s="197">
        <f t="shared" si="381"/>
        <v>350</v>
      </c>
      <c r="DC129" s="443">
        <f t="shared" si="382"/>
        <v>350</v>
      </c>
      <c r="DE129" s="217">
        <f t="shared" si="383"/>
        <v>6.9203442217177731</v>
      </c>
      <c r="DF129" s="173">
        <f t="shared" si="384"/>
        <v>1.1452682338758289</v>
      </c>
      <c r="DG129" s="173">
        <f t="shared" si="385"/>
        <v>1.3869888208084145</v>
      </c>
      <c r="DH129" s="173"/>
      <c r="DI129" s="173">
        <f t="shared" si="386"/>
        <v>0.55164319248826299</v>
      </c>
      <c r="DJ129" s="545">
        <f t="shared" si="387"/>
        <v>516.63829787234033</v>
      </c>
      <c r="DK129" s="528">
        <f t="shared" si="388"/>
        <v>0.3217918622848201</v>
      </c>
      <c r="DM129" s="173">
        <f t="shared" si="389"/>
        <v>4.0498414543622721</v>
      </c>
      <c r="DN129" s="173">
        <f t="shared" si="390"/>
        <v>4.0498414543622721</v>
      </c>
      <c r="DO129" s="173">
        <f t="shared" si="391"/>
        <v>1.7307467563177323</v>
      </c>
      <c r="DQ129" s="545">
        <f t="shared" si="392"/>
        <v>475</v>
      </c>
      <c r="DR129" s="460">
        <f t="shared" si="393"/>
        <v>350</v>
      </c>
      <c r="DT129">
        <f t="shared" si="430"/>
        <v>475</v>
      </c>
      <c r="DU129">
        <f t="shared" si="431"/>
        <v>350</v>
      </c>
      <c r="DW129" s="5">
        <f t="shared" si="394"/>
        <v>2.8571428571428572</v>
      </c>
      <c r="DX129" s="5">
        <f t="shared" si="395"/>
        <v>1.0018028860790882</v>
      </c>
      <c r="DY129" s="5">
        <f t="shared" si="396"/>
        <v>1.855339971063769</v>
      </c>
      <c r="DZ129" s="5"/>
      <c r="EA129" s="173">
        <f t="shared" si="397"/>
        <v>0.35063101012768083</v>
      </c>
      <c r="EB129" s="173">
        <f t="shared" si="398"/>
        <v>13.489999999999998</v>
      </c>
      <c r="EC129" s="173">
        <f t="shared" si="399"/>
        <v>1.3149207271811363</v>
      </c>
      <c r="ED129" s="173">
        <f t="shared" si="400"/>
        <v>10.259173592098749</v>
      </c>
      <c r="EE129" s="460">
        <f t="shared" si="401"/>
        <v>1.6994870388841674</v>
      </c>
      <c r="EF129" s="5">
        <f t="shared" si="402"/>
        <v>0.9276699855318844</v>
      </c>
      <c r="EH129" s="173">
        <f t="shared" si="403"/>
        <v>1.3845305901513365</v>
      </c>
      <c r="EI129" s="173">
        <f t="shared" si="404"/>
        <v>1.8841833722045827</v>
      </c>
      <c r="EK129" s="528">
        <f t="shared" si="405"/>
        <v>2.30030994607777E-2</v>
      </c>
      <c r="EL129" s="528">
        <f t="shared" si="406"/>
        <v>1.2765505248295319</v>
      </c>
      <c r="EM129" s="528">
        <f t="shared" si="407"/>
        <v>4.0250000000000001E-2</v>
      </c>
      <c r="EN129" s="528">
        <f t="shared" si="408"/>
        <v>0.38728525499999999</v>
      </c>
      <c r="EO129">
        <f t="shared" si="409"/>
        <v>8.5500000000000003E-3</v>
      </c>
      <c r="EP129" s="460">
        <f t="shared" si="410"/>
        <v>48.800000000000004</v>
      </c>
      <c r="EQ129" s="460"/>
      <c r="ER129" s="460">
        <f t="shared" si="432"/>
        <v>1735.6388792903097</v>
      </c>
      <c r="ES129" s="528">
        <f t="shared" si="411"/>
        <v>0.33249999999999996</v>
      </c>
      <c r="EV129" s="460">
        <f t="shared" si="412"/>
        <v>332.49999999999994</v>
      </c>
      <c r="EW129" s="528">
        <f t="shared" si="413"/>
        <v>2.6836949370907314E-2</v>
      </c>
      <c r="EX129" s="528">
        <f t="shared" si="414"/>
        <v>4.9702057721291264E-2</v>
      </c>
      <c r="EY129" s="528">
        <f t="shared" si="415"/>
        <v>3.7821188234451872</v>
      </c>
      <c r="EZ129" s="528"/>
      <c r="FA129" s="528">
        <f t="shared" si="416"/>
        <v>0.57404255319148934</v>
      </c>
      <c r="FB129" s="460">
        <f t="shared" si="417"/>
        <v>4432.7003837288748</v>
      </c>
      <c r="FC129" s="173">
        <f t="shared" si="418"/>
        <v>6.5008392630191851</v>
      </c>
      <c r="FD129" s="5">
        <f t="shared" si="419"/>
        <v>13.299999999999999</v>
      </c>
      <c r="FE129" s="173">
        <f t="shared" si="420"/>
        <v>0.67168870083398913</v>
      </c>
      <c r="FF129" s="5">
        <f t="shared" si="421"/>
        <v>67.168870083398915</v>
      </c>
      <c r="FI129" s="562">
        <f t="shared" si="422"/>
        <v>-50</v>
      </c>
      <c r="FJ129">
        <f t="shared" si="423"/>
        <v>-50</v>
      </c>
      <c r="FL129">
        <f t="shared" si="424"/>
        <v>0.23457708424034993</v>
      </c>
    </row>
    <row r="130" spans="5:168">
      <c r="E130" s="170">
        <v>20</v>
      </c>
      <c r="F130" s="217">
        <f t="shared" si="425"/>
        <v>0.5</v>
      </c>
      <c r="G130" s="217"/>
      <c r="H130" s="217">
        <f t="shared" si="315"/>
        <v>14</v>
      </c>
      <c r="I130" s="541">
        <f t="shared" si="316"/>
        <v>18.946366095194541</v>
      </c>
      <c r="J130" s="172">
        <f t="shared" si="317"/>
        <v>28.428879794895245</v>
      </c>
      <c r="K130" s="172">
        <f t="shared" si="318"/>
        <v>47.375245890089786</v>
      </c>
      <c r="L130" s="443"/>
      <c r="M130" s="217">
        <f t="shared" si="319"/>
        <v>0.60008051600184165</v>
      </c>
      <c r="N130" s="172">
        <f t="shared" si="426"/>
        <v>95.43396059374821</v>
      </c>
      <c r="O130" s="172">
        <f t="shared" si="284"/>
        <v>14</v>
      </c>
      <c r="P130" s="217">
        <f t="shared" si="320"/>
        <v>3.4083557354910075</v>
      </c>
      <c r="Q130" s="217">
        <f t="shared" si="321"/>
        <v>28</v>
      </c>
      <c r="R130" s="217"/>
      <c r="S130" s="172">
        <f t="shared" si="322"/>
        <v>296.85189752578526</v>
      </c>
      <c r="T130" s="172">
        <f t="shared" si="323"/>
        <v>28</v>
      </c>
      <c r="U130" s="217">
        <f t="shared" si="324"/>
        <v>2.5005033263260694</v>
      </c>
      <c r="V130" s="217">
        <f t="shared" si="325"/>
        <v>0.62029655579775456</v>
      </c>
      <c r="W130" s="217">
        <f t="shared" si="326"/>
        <v>0.41339531203909091</v>
      </c>
      <c r="X130" s="197">
        <f t="shared" si="327"/>
        <v>350</v>
      </c>
      <c r="Y130" s="443">
        <f t="shared" si="328"/>
        <v>350</v>
      </c>
      <c r="AA130" s="217">
        <f t="shared" si="329"/>
        <v>6.911436028828386</v>
      </c>
      <c r="AB130" s="173">
        <f t="shared" si="330"/>
        <v>1.1426320547926152</v>
      </c>
      <c r="AC130" s="173">
        <f t="shared" si="331"/>
        <v>1.3820149614578809</v>
      </c>
      <c r="AD130" s="173"/>
      <c r="AE130" s="173">
        <f t="shared" si="332"/>
        <v>0.5510827995931028</v>
      </c>
      <c r="AF130" s="545">
        <f t="shared" si="333"/>
        <v>544.38280458310044</v>
      </c>
      <c r="AG130" s="528">
        <f t="shared" si="334"/>
        <v>0.32146496642931</v>
      </c>
      <c r="AI130" s="173">
        <f t="shared" si="335"/>
        <v>4.1571617476697851</v>
      </c>
      <c r="AJ130" s="173">
        <f t="shared" si="336"/>
        <v>4.1571617476697851</v>
      </c>
      <c r="AK130" s="173">
        <f t="shared" si="337"/>
        <v>1.8102432698788529</v>
      </c>
      <c r="AM130" s="545">
        <f t="shared" si="338"/>
        <v>500</v>
      </c>
      <c r="AN130" s="460">
        <f t="shared" si="339"/>
        <v>350</v>
      </c>
      <c r="AP130" s="460">
        <f t="shared" si="340"/>
        <v>500</v>
      </c>
      <c r="AQ130" s="460">
        <f t="shared" si="341"/>
        <v>350</v>
      </c>
      <c r="AS130" s="5">
        <f t="shared" si="285"/>
        <v>2.8571428571428572</v>
      </c>
      <c r="AT130" s="5">
        <f t="shared" si="342"/>
        <v>1.0312616211403027</v>
      </c>
      <c r="AU130" s="5">
        <f t="shared" si="343"/>
        <v>1.8258812360025545</v>
      </c>
      <c r="AV130" s="5"/>
      <c r="AW130" s="173">
        <f t="shared" si="344"/>
        <v>0.36094156739910593</v>
      </c>
      <c r="AX130" s="173">
        <f t="shared" si="214"/>
        <v>14.214439897447621</v>
      </c>
      <c r="AY130" s="173">
        <f t="shared" si="215"/>
        <v>1.3283346352671233</v>
      </c>
      <c r="AZ130" s="173">
        <f t="shared" si="288"/>
        <v>10.700948029251039</v>
      </c>
      <c r="BA130" s="460">
        <f t="shared" si="433"/>
        <v>1.8415386091791122</v>
      </c>
      <c r="BB130" s="5">
        <f t="shared" si="434"/>
        <v>0.96371052202230034</v>
      </c>
      <c r="BD130" s="173">
        <f t="shared" si="289"/>
        <v>1.4419650861023117</v>
      </c>
      <c r="BE130" s="173">
        <f t="shared" si="218"/>
        <v>1.9186978108146473</v>
      </c>
      <c r="BG130" s="528">
        <f t="shared" si="347"/>
        <v>2.4951159714456567E-2</v>
      </c>
      <c r="BH130" s="528">
        <f t="shared" si="348"/>
        <v>1.2579961520046723</v>
      </c>
      <c r="BI130" s="528">
        <f t="shared" si="349"/>
        <v>4.0250000000000001E-2</v>
      </c>
      <c r="BJ130" s="528">
        <f t="shared" si="350"/>
        <v>0.38688085000237266</v>
      </c>
      <c r="BK130">
        <f t="shared" si="351"/>
        <v>8.5258647428375425E-3</v>
      </c>
      <c r="BL130" s="460">
        <f t="shared" si="427"/>
        <v>48.775864742837541</v>
      </c>
      <c r="BM130" s="528">
        <f t="shared" si="352"/>
        <v>1.6865635909285455</v>
      </c>
      <c r="BN130" s="460">
        <f t="shared" si="353"/>
        <v>1686.5635909285454</v>
      </c>
      <c r="BO130" s="528">
        <f t="shared" si="354"/>
        <v>0.35</v>
      </c>
      <c r="BR130" s="460">
        <f t="shared" si="355"/>
        <v>350</v>
      </c>
      <c r="BS130" s="528">
        <f t="shared" si="356"/>
        <v>2.9109686333532662E-2</v>
      </c>
      <c r="BT130" s="528">
        <f t="shared" si="357"/>
        <v>5.1539618049148882E-2</v>
      </c>
      <c r="BU130" s="528">
        <f t="shared" si="358"/>
        <v>4.0376848781424011</v>
      </c>
      <c r="BV130" s="528"/>
      <c r="BW130" s="528">
        <f t="shared" si="359"/>
        <v>0.60486978287011162</v>
      </c>
      <c r="BX130" s="460">
        <f t="shared" si="360"/>
        <v>4723.2039653951952</v>
      </c>
      <c r="BY130" s="173">
        <f t="shared" si="361"/>
        <v>6.7918079918595327</v>
      </c>
      <c r="BZ130" s="5">
        <f t="shared" si="362"/>
        <v>14</v>
      </c>
      <c r="CA130" s="173">
        <f t="shared" si="363"/>
        <v>0.67334211654327125</v>
      </c>
      <c r="CB130" s="5">
        <f t="shared" si="364"/>
        <v>67.33421165432712</v>
      </c>
      <c r="CE130" s="562">
        <f t="shared" si="365"/>
        <v>-50</v>
      </c>
      <c r="CF130">
        <f t="shared" si="366"/>
        <v>-50</v>
      </c>
      <c r="CG130" s="173">
        <f t="shared" si="367"/>
        <v>0.24238399287081647</v>
      </c>
      <c r="CI130" s="170">
        <v>20</v>
      </c>
      <c r="CJ130" s="217">
        <f t="shared" si="428"/>
        <v>0.5</v>
      </c>
      <c r="CK130" s="217"/>
      <c r="CL130" s="217">
        <f t="shared" si="368"/>
        <v>14</v>
      </c>
      <c r="CM130" s="541">
        <f t="shared" si="369"/>
        <v>19</v>
      </c>
      <c r="CN130" s="443">
        <f t="shared" si="370"/>
        <v>28.4</v>
      </c>
      <c r="CO130" s="443">
        <f t="shared" si="371"/>
        <v>47.4</v>
      </c>
      <c r="CP130" s="443"/>
      <c r="CQ130" s="217">
        <f t="shared" si="372"/>
        <v>0.59915611814345993</v>
      </c>
      <c r="CR130" s="172">
        <f t="shared" si="429"/>
        <v>95.556689708830859</v>
      </c>
      <c r="CS130" s="172">
        <f t="shared" si="373"/>
        <v>14</v>
      </c>
      <c r="CT130" s="217">
        <f t="shared" si="374"/>
        <v>3.4127389181725305</v>
      </c>
      <c r="CU130" s="217">
        <f t="shared" si="375"/>
        <v>28</v>
      </c>
      <c r="CV130" s="217"/>
      <c r="CW130" s="172">
        <f t="shared" si="376"/>
        <v>297.69216213741475</v>
      </c>
      <c r="CX130" s="172">
        <f t="shared" si="377"/>
        <v>28</v>
      </c>
      <c r="CY130" s="217">
        <f t="shared" si="378"/>
        <v>2.459599703484062</v>
      </c>
      <c r="CZ130" s="217">
        <f t="shared" si="379"/>
        <v>0.60842729507237314</v>
      </c>
      <c r="DA130" s="217">
        <f t="shared" si="380"/>
        <v>0.40704642980193984</v>
      </c>
      <c r="DB130" s="197">
        <f t="shared" si="381"/>
        <v>350</v>
      </c>
      <c r="DC130" s="443">
        <f t="shared" si="382"/>
        <v>350</v>
      </c>
      <c r="DE130" s="217">
        <f t="shared" si="383"/>
        <v>6.9203442217177731</v>
      </c>
      <c r="DF130" s="173">
        <f t="shared" si="384"/>
        <v>1.1452682338758289</v>
      </c>
      <c r="DG130" s="173">
        <f t="shared" si="385"/>
        <v>1.3869888208084145</v>
      </c>
      <c r="DH130" s="173"/>
      <c r="DI130" s="173">
        <f t="shared" si="386"/>
        <v>0.55164319248826299</v>
      </c>
      <c r="DJ130" s="545">
        <f t="shared" si="387"/>
        <v>543.82978723404256</v>
      </c>
      <c r="DK130" s="528">
        <f t="shared" si="388"/>
        <v>0.3217918622848201</v>
      </c>
      <c r="DM130" s="173">
        <f t="shared" si="389"/>
        <v>4.1550496615527477</v>
      </c>
      <c r="DN130" s="173">
        <f t="shared" si="390"/>
        <v>4.1550496615527477</v>
      </c>
      <c r="DO130" s="173">
        <f t="shared" si="391"/>
        <v>1.8086787616440105</v>
      </c>
      <c r="DQ130" s="545">
        <f t="shared" si="392"/>
        <v>500</v>
      </c>
      <c r="DR130" s="460">
        <f t="shared" si="393"/>
        <v>350</v>
      </c>
      <c r="DT130">
        <f t="shared" si="430"/>
        <v>500</v>
      </c>
      <c r="DU130">
        <f t="shared" si="431"/>
        <v>350</v>
      </c>
      <c r="DW130" s="5">
        <f t="shared" si="394"/>
        <v>2.8571428571428572</v>
      </c>
      <c r="DX130" s="5">
        <f t="shared" si="395"/>
        <v>1.0278280741735744</v>
      </c>
      <c r="DY130" s="5">
        <f t="shared" si="396"/>
        <v>1.8293147829692828</v>
      </c>
      <c r="DZ130" s="5"/>
      <c r="EA130" s="173">
        <f t="shared" si="397"/>
        <v>0.35973982596075099</v>
      </c>
      <c r="EB130" s="173">
        <f t="shared" si="398"/>
        <v>14.2</v>
      </c>
      <c r="EC130" s="173">
        <f t="shared" si="399"/>
        <v>1.3301564097237426</v>
      </c>
      <c r="ED130" s="173">
        <f t="shared" si="400"/>
        <v>10.675436284180421</v>
      </c>
      <c r="EE130" s="460">
        <f t="shared" si="401"/>
        <v>1.8354072753099542</v>
      </c>
      <c r="EF130" s="5">
        <f t="shared" si="402"/>
        <v>0.96279725419435924</v>
      </c>
      <c r="EH130" s="173">
        <f t="shared" si="403"/>
        <v>1.438831216636139</v>
      </c>
      <c r="EI130" s="173">
        <f t="shared" si="404"/>
        <v>1.919525278123883</v>
      </c>
      <c r="EK130" s="528">
        <f t="shared" si="405"/>
        <v>2.4842823239599583E-2</v>
      </c>
      <c r="EL130" s="528">
        <f t="shared" si="406"/>
        <v>1.3097132038180417</v>
      </c>
      <c r="EM130" s="528">
        <f t="shared" si="407"/>
        <v>4.0250000000000001E-2</v>
      </c>
      <c r="EN130" s="528">
        <f t="shared" si="408"/>
        <v>0.38728525499999999</v>
      </c>
      <c r="EO130">
        <f t="shared" si="409"/>
        <v>8.5500000000000003E-3</v>
      </c>
      <c r="EP130" s="460">
        <f t="shared" si="410"/>
        <v>48.800000000000004</v>
      </c>
      <c r="EQ130" s="460"/>
      <c r="ER130" s="460">
        <f t="shared" si="432"/>
        <v>1770.6412820576411</v>
      </c>
      <c r="ES130" s="528">
        <f t="shared" si="411"/>
        <v>0.35</v>
      </c>
      <c r="EV130" s="460">
        <f t="shared" si="412"/>
        <v>350</v>
      </c>
      <c r="EW130" s="528">
        <f t="shared" si="413"/>
        <v>2.8983293779532848E-2</v>
      </c>
      <c r="EX130" s="528">
        <f t="shared" si="414"/>
        <v>5.1584082106991981E-2</v>
      </c>
      <c r="EY130" s="528">
        <f t="shared" si="415"/>
        <v>4.032558370297159</v>
      </c>
      <c r="EZ130" s="528"/>
      <c r="FA130" s="528">
        <f t="shared" si="416"/>
        <v>0.60425531914893615</v>
      </c>
      <c r="FB130" s="460">
        <f t="shared" si="417"/>
        <v>4717.38106533262</v>
      </c>
      <c r="FC130" s="173">
        <f t="shared" si="418"/>
        <v>6.838022347390261</v>
      </c>
      <c r="FD130" s="5">
        <f t="shared" si="419"/>
        <v>14</v>
      </c>
      <c r="FE130" s="173">
        <f t="shared" si="420"/>
        <v>0.67184878519689994</v>
      </c>
      <c r="FF130" s="5">
        <f t="shared" si="421"/>
        <v>67.184878519689988</v>
      </c>
      <c r="FI130" s="562">
        <f t="shared" si="422"/>
        <v>-50</v>
      </c>
      <c r="FJ130">
        <f t="shared" si="423"/>
        <v>-50</v>
      </c>
      <c r="FL130">
        <f t="shared" si="424"/>
        <v>0.24067101032585458</v>
      </c>
    </row>
    <row r="131" spans="5:168">
      <c r="E131" s="170">
        <v>21</v>
      </c>
      <c r="F131" s="217">
        <f t="shared" si="425"/>
        <v>0.52500000000000002</v>
      </c>
      <c r="G131" s="217"/>
      <c r="H131" s="217">
        <f t="shared" si="315"/>
        <v>14.700000000000001</v>
      </c>
      <c r="I131" s="541">
        <f t="shared" si="316"/>
        <v>18.945041601807233</v>
      </c>
      <c r="J131" s="172">
        <f t="shared" si="317"/>
        <v>28.429592983642259</v>
      </c>
      <c r="K131" s="172">
        <f t="shared" si="318"/>
        <v>47.374634585449492</v>
      </c>
      <c r="L131" s="443"/>
      <c r="M131" s="217">
        <f t="shared" si="319"/>
        <v>0.60010335619886213</v>
      </c>
      <c r="N131" s="172">
        <f t="shared" si="426"/>
        <v>95.430921185368121</v>
      </c>
      <c r="O131" s="172">
        <f t="shared" si="284"/>
        <v>14.700000000000001</v>
      </c>
      <c r="P131" s="217">
        <f t="shared" si="320"/>
        <v>3.4082471851917187</v>
      </c>
      <c r="Q131" s="217">
        <f t="shared" si="321"/>
        <v>28</v>
      </c>
      <c r="R131" s="217"/>
      <c r="S131" s="172">
        <f t="shared" si="322"/>
        <v>281.79675812161952</v>
      </c>
      <c r="T131" s="172">
        <f t="shared" si="323"/>
        <v>28</v>
      </c>
      <c r="U131" s="217">
        <f t="shared" si="324"/>
        <v>2.6256784503601587</v>
      </c>
      <c r="V131" s="217">
        <f t="shared" si="325"/>
        <v>0.65139412074532077</v>
      </c>
      <c r="W131" s="217">
        <f t="shared" si="326"/>
        <v>0.43407897973753257</v>
      </c>
      <c r="X131" s="197">
        <f t="shared" si="327"/>
        <v>350</v>
      </c>
      <c r="Y131" s="443">
        <f t="shared" si="328"/>
        <v>350</v>
      </c>
      <c r="AA131" s="217">
        <f t="shared" si="329"/>
        <v>6.9112154195837281</v>
      </c>
      <c r="AB131" s="173">
        <f t="shared" si="330"/>
        <v>1.142566919291927</v>
      </c>
      <c r="AC131" s="173">
        <f t="shared" si="331"/>
        <v>1.3818920693404124</v>
      </c>
      <c r="AD131" s="173"/>
      <c r="AE131" s="173">
        <f t="shared" si="332"/>
        <v>0.55106897505289332</v>
      </c>
      <c r="AF131" s="545">
        <f t="shared" si="333"/>
        <v>571.61628445833912</v>
      </c>
      <c r="AG131" s="528">
        <f t="shared" si="334"/>
        <v>0.32145690211418781</v>
      </c>
      <c r="AI131" s="173">
        <f t="shared" si="335"/>
        <v>4.2598766077156682</v>
      </c>
      <c r="AJ131" s="173">
        <f t="shared" si="336"/>
        <v>4.2598766077156682</v>
      </c>
      <c r="AK131" s="173">
        <f t="shared" si="337"/>
        <v>1.8863283513943219</v>
      </c>
      <c r="AM131" s="545">
        <f t="shared" si="338"/>
        <v>525</v>
      </c>
      <c r="AN131" s="460">
        <f t="shared" si="339"/>
        <v>350</v>
      </c>
      <c r="AP131" s="460">
        <f t="shared" si="340"/>
        <v>525</v>
      </c>
      <c r="AQ131" s="460">
        <f t="shared" si="341"/>
        <v>350</v>
      </c>
      <c r="AS131" s="5">
        <f t="shared" si="285"/>
        <v>2.8571428571428572</v>
      </c>
      <c r="AT131" s="5">
        <f t="shared" si="342"/>
        <v>1.0568158401063488</v>
      </c>
      <c r="AU131" s="5">
        <f t="shared" si="343"/>
        <v>1.8003270170365084</v>
      </c>
      <c r="AV131" s="5"/>
      <c r="AW131" s="173">
        <f t="shared" si="344"/>
        <v>0.36988554403722207</v>
      </c>
      <c r="AX131" s="173">
        <f t="shared" si="214"/>
        <v>14.925536316412188</v>
      </c>
      <c r="AY131" s="173">
        <f t="shared" si="215"/>
        <v>1.3421049155696612</v>
      </c>
      <c r="AZ131" s="173">
        <f t="shared" si="288"/>
        <v>11.120990723796725</v>
      </c>
      <c r="BA131" s="460">
        <f t="shared" si="433"/>
        <v>1.9815297001994041</v>
      </c>
      <c r="BB131" s="5">
        <f t="shared" si="434"/>
        <v>0.99780375658188447</v>
      </c>
      <c r="BD131" s="173">
        <f t="shared" si="289"/>
        <v>1.4957880913966755</v>
      </c>
      <c r="BE131" s="173">
        <f t="shared" si="218"/>
        <v>1.9522980194180417</v>
      </c>
      <c r="BG131" s="528">
        <f t="shared" si="347"/>
        <v>2.6848584172369312E-2</v>
      </c>
      <c r="BH131" s="528">
        <f t="shared" si="348"/>
        <v>1.2890619988647871</v>
      </c>
      <c r="BI131" s="528">
        <f t="shared" si="349"/>
        <v>4.0250000000000001E-2</v>
      </c>
      <c r="BJ131" s="528">
        <f t="shared" si="350"/>
        <v>0.38687086586282643</v>
      </c>
      <c r="BK131">
        <f t="shared" si="351"/>
        <v>8.5252687208132553E-3</v>
      </c>
      <c r="BL131" s="460">
        <f t="shared" si="427"/>
        <v>48.775268720813251</v>
      </c>
      <c r="BM131" s="528">
        <f t="shared" si="352"/>
        <v>1.7210092695736956</v>
      </c>
      <c r="BN131" s="460">
        <f t="shared" si="353"/>
        <v>1721.0092695736955</v>
      </c>
      <c r="BO131" s="528">
        <f t="shared" si="354"/>
        <v>0.36749999999999999</v>
      </c>
      <c r="BR131" s="460">
        <f t="shared" si="355"/>
        <v>367.5</v>
      </c>
      <c r="BS131" s="528">
        <f t="shared" si="356"/>
        <v>3.1323348201097528E-2</v>
      </c>
      <c r="BT131" s="528">
        <f t="shared" si="357"/>
        <v>5.3360545792730522E-2</v>
      </c>
      <c r="BU131" s="528">
        <f t="shared" si="358"/>
        <v>4.291732686529679</v>
      </c>
      <c r="BV131" s="528"/>
      <c r="BW131" s="528">
        <f t="shared" si="359"/>
        <v>0.63512920495371028</v>
      </c>
      <c r="BX131" s="460">
        <f t="shared" si="360"/>
        <v>5011.5457854772176</v>
      </c>
      <c r="BY131" s="173">
        <f t="shared" si="361"/>
        <v>7.1306025030980136</v>
      </c>
      <c r="BZ131" s="5">
        <f t="shared" si="362"/>
        <v>14.700000000000001</v>
      </c>
      <c r="CA131" s="173">
        <f t="shared" si="363"/>
        <v>0.67336666488769159</v>
      </c>
      <c r="CB131" s="5">
        <f t="shared" si="364"/>
        <v>67.336666488769154</v>
      </c>
      <c r="CE131" s="562">
        <f t="shared" si="365"/>
        <v>-50</v>
      </c>
      <c r="CF131">
        <f t="shared" si="366"/>
        <v>-50</v>
      </c>
      <c r="CG131" s="173">
        <f t="shared" si="367"/>
        <v>0.24836968414039587</v>
      </c>
      <c r="CI131" s="170">
        <v>21</v>
      </c>
      <c r="CJ131" s="217">
        <f t="shared" si="428"/>
        <v>0.52500000000000002</v>
      </c>
      <c r="CK131" s="217"/>
      <c r="CL131" s="217">
        <f t="shared" si="368"/>
        <v>14.700000000000001</v>
      </c>
      <c r="CM131" s="541">
        <f t="shared" si="369"/>
        <v>19</v>
      </c>
      <c r="CN131" s="443">
        <f t="shared" si="370"/>
        <v>28.4</v>
      </c>
      <c r="CO131" s="443">
        <f t="shared" si="371"/>
        <v>47.4</v>
      </c>
      <c r="CP131" s="443"/>
      <c r="CQ131" s="217">
        <f t="shared" si="372"/>
        <v>0.59915611814345993</v>
      </c>
      <c r="CR131" s="172">
        <f t="shared" si="429"/>
        <v>95.556689708830859</v>
      </c>
      <c r="CS131" s="172">
        <f t="shared" si="373"/>
        <v>14.700000000000001</v>
      </c>
      <c r="CT131" s="217">
        <f t="shared" si="374"/>
        <v>3.4127389181725305</v>
      </c>
      <c r="CU131" s="217">
        <f t="shared" si="375"/>
        <v>28</v>
      </c>
      <c r="CV131" s="217"/>
      <c r="CW131" s="172">
        <f t="shared" si="376"/>
        <v>282.61415536777815</v>
      </c>
      <c r="CX131" s="172">
        <f t="shared" si="377"/>
        <v>28</v>
      </c>
      <c r="CY131" s="217">
        <f t="shared" si="378"/>
        <v>2.5825796886582655</v>
      </c>
      <c r="CZ131" s="217">
        <f t="shared" si="379"/>
        <v>0.63884865982599193</v>
      </c>
      <c r="DA131" s="217">
        <f t="shared" si="380"/>
        <v>0.42739875129203692</v>
      </c>
      <c r="DB131" s="197">
        <f t="shared" si="381"/>
        <v>350</v>
      </c>
      <c r="DC131" s="443">
        <f t="shared" si="382"/>
        <v>350</v>
      </c>
      <c r="DE131" s="217">
        <f t="shared" si="383"/>
        <v>6.9203442217177731</v>
      </c>
      <c r="DF131" s="173">
        <f t="shared" si="384"/>
        <v>1.1452682338758289</v>
      </c>
      <c r="DG131" s="173">
        <f t="shared" si="385"/>
        <v>1.3869888208084145</v>
      </c>
      <c r="DH131" s="173"/>
      <c r="DI131" s="173">
        <f t="shared" si="386"/>
        <v>0.55164319248826299</v>
      </c>
      <c r="DJ131" s="545">
        <f t="shared" si="387"/>
        <v>571.02127659574467</v>
      </c>
      <c r="DK131" s="528">
        <f t="shared" si="388"/>
        <v>0.3217918622848201</v>
      </c>
      <c r="DM131" s="173">
        <f t="shared" si="389"/>
        <v>4.2576589312048103</v>
      </c>
      <c r="DN131" s="173">
        <f t="shared" si="390"/>
        <v>4.2576589312048103</v>
      </c>
      <c r="DO131" s="173">
        <f t="shared" si="391"/>
        <v>1.8846856280529458</v>
      </c>
      <c r="DQ131" s="545">
        <f t="shared" si="392"/>
        <v>525</v>
      </c>
      <c r="DR131" s="460">
        <f t="shared" si="393"/>
        <v>350</v>
      </c>
      <c r="DT131">
        <f t="shared" si="430"/>
        <v>525</v>
      </c>
      <c r="DU131">
        <f t="shared" si="431"/>
        <v>350</v>
      </c>
      <c r="DW131" s="5">
        <f t="shared" si="394"/>
        <v>2.8571428571428572</v>
      </c>
      <c r="DX131" s="5">
        <f t="shared" si="395"/>
        <v>1.0532103671927691</v>
      </c>
      <c r="DY131" s="5">
        <f t="shared" si="396"/>
        <v>1.8039324899500881</v>
      </c>
      <c r="DZ131" s="5"/>
      <c r="EA131" s="173">
        <f t="shared" si="397"/>
        <v>0.36862362851746916</v>
      </c>
      <c r="EB131" s="173">
        <f t="shared" si="398"/>
        <v>14.910000000000002</v>
      </c>
      <c r="EC131" s="173">
        <f t="shared" si="399"/>
        <v>1.344092623497142</v>
      </c>
      <c r="ED131" s="173">
        <f t="shared" si="400"/>
        <v>11.092985512565537</v>
      </c>
      <c r="EE131" s="460">
        <f t="shared" si="401"/>
        <v>1.974769438486442</v>
      </c>
      <c r="EF131" s="5">
        <f t="shared" si="402"/>
        <v>0.99691006023557505</v>
      </c>
      <c r="EH131" s="173">
        <f t="shared" si="403"/>
        <v>1.4924569953458029</v>
      </c>
      <c r="EI131" s="173">
        <f t="shared" si="404"/>
        <v>1.9532345759106202</v>
      </c>
      <c r="EK131" s="528">
        <f t="shared" si="405"/>
        <v>2.6729134595479466E-2</v>
      </c>
      <c r="EL131" s="528">
        <f t="shared" si="406"/>
        <v>1.3420566717050681</v>
      </c>
      <c r="EM131" s="528">
        <f t="shared" si="407"/>
        <v>4.0250000000000001E-2</v>
      </c>
      <c r="EN131" s="528">
        <f t="shared" si="408"/>
        <v>0.38728525499999999</v>
      </c>
      <c r="EO131">
        <f t="shared" si="409"/>
        <v>8.5500000000000003E-3</v>
      </c>
      <c r="EP131" s="460">
        <f t="shared" si="410"/>
        <v>48.800000000000004</v>
      </c>
      <c r="EQ131" s="460"/>
      <c r="ER131" s="460">
        <f t="shared" si="432"/>
        <v>1804.8710613005476</v>
      </c>
      <c r="ES131" s="528">
        <f t="shared" si="411"/>
        <v>0.36749999999999999</v>
      </c>
      <c r="EV131" s="460">
        <f t="shared" si="412"/>
        <v>367.5</v>
      </c>
      <c r="EW131" s="528">
        <f t="shared" si="413"/>
        <v>3.1183990361392709E-2</v>
      </c>
      <c r="EX131" s="528">
        <f t="shared" si="414"/>
        <v>5.3411754319458368E-2</v>
      </c>
      <c r="EY131" s="528">
        <f t="shared" si="415"/>
        <v>4.2861492155645431</v>
      </c>
      <c r="EZ131" s="528"/>
      <c r="FA131" s="528">
        <f t="shared" si="416"/>
        <v>0.63446808510638308</v>
      </c>
      <c r="FB131" s="460">
        <f t="shared" si="417"/>
        <v>5005.2130453517775</v>
      </c>
      <c r="FC131" s="173">
        <f t="shared" si="418"/>
        <v>7.1775841066523256</v>
      </c>
      <c r="FD131" s="5">
        <f t="shared" si="419"/>
        <v>14.700000000000001</v>
      </c>
      <c r="FE131" s="173">
        <f t="shared" si="420"/>
        <v>0.67192062562018284</v>
      </c>
      <c r="FF131" s="5">
        <f t="shared" si="421"/>
        <v>67.192062562018279</v>
      </c>
      <c r="FI131" s="562">
        <f t="shared" si="422"/>
        <v>-50</v>
      </c>
      <c r="FJ131">
        <f t="shared" si="423"/>
        <v>-50</v>
      </c>
      <c r="FL131">
        <f t="shared" si="424"/>
        <v>0.24661439936027862</v>
      </c>
    </row>
    <row r="132" spans="5:168">
      <c r="E132" s="170">
        <v>22</v>
      </c>
      <c r="F132" s="217">
        <f t="shared" si="425"/>
        <v>0.55000000000000004</v>
      </c>
      <c r="G132" s="217"/>
      <c r="H132" s="217">
        <f t="shared" si="315"/>
        <v>15.400000000000002</v>
      </c>
      <c r="I132" s="541">
        <f t="shared" si="316"/>
        <v>18.943748286078122</v>
      </c>
      <c r="J132" s="172">
        <f t="shared" si="317"/>
        <v>28.430289384419471</v>
      </c>
      <c r="K132" s="172">
        <f t="shared" si="318"/>
        <v>47.374037670497593</v>
      </c>
      <c r="L132" s="443"/>
      <c r="M132" s="217">
        <f t="shared" si="319"/>
        <v>0.60012565931751782</v>
      </c>
      <c r="N132" s="172">
        <f t="shared" si="426"/>
        <v>95.427952922182115</v>
      </c>
      <c r="O132" s="172">
        <f t="shared" si="284"/>
        <v>15.400000000000002</v>
      </c>
      <c r="P132" s="217">
        <f t="shared" si="320"/>
        <v>3.4081411757922182</v>
      </c>
      <c r="Q132" s="217">
        <f t="shared" si="321"/>
        <v>28</v>
      </c>
      <c r="R132" s="217"/>
      <c r="S132" s="172">
        <f t="shared" si="322"/>
        <v>268.11096134377817</v>
      </c>
      <c r="T132" s="172">
        <f t="shared" si="323"/>
        <v>28</v>
      </c>
      <c r="U132" s="217">
        <f t="shared" si="324"/>
        <v>2.750864179288385</v>
      </c>
      <c r="V132" s="217">
        <f t="shared" si="325"/>
        <v>0.68249754206019808</v>
      </c>
      <c r="W132" s="217">
        <f t="shared" si="326"/>
        <v>0.45476363141561504</v>
      </c>
      <c r="X132" s="197">
        <f t="shared" si="327"/>
        <v>350</v>
      </c>
      <c r="Y132" s="443">
        <f t="shared" si="328"/>
        <v>350</v>
      </c>
      <c r="AA132" s="217">
        <f t="shared" si="329"/>
        <v>6.9109999744408857</v>
      </c>
      <c r="AB132" s="173">
        <f t="shared" si="330"/>
        <v>1.1425033154137703</v>
      </c>
      <c r="AC132" s="173">
        <f t="shared" si="331"/>
        <v>1.381772067134059</v>
      </c>
      <c r="AD132" s="173"/>
      <c r="AE132" s="173">
        <f t="shared" si="332"/>
        <v>0.55105547660209198</v>
      </c>
      <c r="AF132" s="545">
        <f t="shared" si="333"/>
        <v>598.85077639521865</v>
      </c>
      <c r="AG132" s="528">
        <f t="shared" si="334"/>
        <v>0.32144902801788694</v>
      </c>
      <c r="AI132" s="173">
        <f t="shared" si="335"/>
        <v>4.3601761155460643</v>
      </c>
      <c r="AJ132" s="173">
        <f t="shared" si="336"/>
        <v>4.3601761155460643</v>
      </c>
      <c r="AK132" s="173">
        <f t="shared" si="337"/>
        <v>1.9606242831205414</v>
      </c>
      <c r="AM132" s="545">
        <f t="shared" si="338"/>
        <v>550</v>
      </c>
      <c r="AN132" s="460">
        <f t="shared" si="339"/>
        <v>350</v>
      </c>
      <c r="AP132" s="460">
        <f t="shared" si="340"/>
        <v>550</v>
      </c>
      <c r="AQ132" s="460">
        <f t="shared" si="341"/>
        <v>350</v>
      </c>
      <c r="AS132" s="5">
        <f t="shared" si="285"/>
        <v>2.8571428571428572</v>
      </c>
      <c r="AT132" s="5">
        <f t="shared" si="342"/>
        <v>1.0817725950321462</v>
      </c>
      <c r="AU132" s="5">
        <f t="shared" si="343"/>
        <v>1.775370262110711</v>
      </c>
      <c r="AV132" s="5"/>
      <c r="AW132" s="173">
        <f t="shared" si="344"/>
        <v>0.37862040826125115</v>
      </c>
      <c r="AX132" s="173">
        <f t="shared" si="214"/>
        <v>15.636659161430707</v>
      </c>
      <c r="AY132" s="173">
        <f t="shared" si="215"/>
        <v>1.3546622272935285</v>
      </c>
      <c r="AZ132" s="173">
        <f t="shared" si="288"/>
        <v>11.542847247369622</v>
      </c>
      <c r="BA132" s="460">
        <f t="shared" si="433"/>
        <v>2.1249104545274302</v>
      </c>
      <c r="BB132" s="5">
        <f t="shared" si="434"/>
        <v>1.0308980349770513</v>
      </c>
      <c r="BD132" s="173">
        <f t="shared" si="289"/>
        <v>1.5489785862973284</v>
      </c>
      <c r="BE132" s="173">
        <f t="shared" si="218"/>
        <v>1.984366546798193</v>
      </c>
      <c r="BG132" s="528">
        <f t="shared" si="347"/>
        <v>2.8792015929692039E-2</v>
      </c>
      <c r="BH132" s="528">
        <f t="shared" si="348"/>
        <v>1.3193965549621036</v>
      </c>
      <c r="BI132" s="528">
        <f t="shared" si="349"/>
        <v>4.0250000000000001E-2</v>
      </c>
      <c r="BJ132" s="528">
        <f t="shared" si="350"/>
        <v>0.38686111686733687</v>
      </c>
      <c r="BK132">
        <f t="shared" si="351"/>
        <v>8.5246867287351556E-3</v>
      </c>
      <c r="BL132" s="460">
        <f t="shared" si="427"/>
        <v>48.774686728735155</v>
      </c>
      <c r="BM132" s="528">
        <f t="shared" si="352"/>
        <v>1.7548282824820209</v>
      </c>
      <c r="BN132" s="460">
        <f t="shared" si="353"/>
        <v>1754.828282482021</v>
      </c>
      <c r="BO132" s="528">
        <f t="shared" si="354"/>
        <v>0.38500000000000001</v>
      </c>
      <c r="BR132" s="460">
        <f t="shared" si="355"/>
        <v>385</v>
      </c>
      <c r="BS132" s="528">
        <f t="shared" si="356"/>
        <v>3.359068525130738E-2</v>
      </c>
      <c r="BT132" s="528">
        <f t="shared" si="357"/>
        <v>5.5127948288724991E-2</v>
      </c>
      <c r="BU132" s="528">
        <f t="shared" si="358"/>
        <v>4.5488351069702144</v>
      </c>
      <c r="BV132" s="528"/>
      <c r="BW132" s="528">
        <f t="shared" si="359"/>
        <v>0.66538975155024294</v>
      </c>
      <c r="BX132" s="460">
        <f t="shared" si="360"/>
        <v>5302.943492060489</v>
      </c>
      <c r="BY132" s="173">
        <f t="shared" si="361"/>
        <v>7.4717678665483573</v>
      </c>
      <c r="BZ132" s="5">
        <f t="shared" si="362"/>
        <v>15.400000000000002</v>
      </c>
      <c r="CA132" s="173">
        <f t="shared" si="363"/>
        <v>0.67331918065343921</v>
      </c>
      <c r="CB132" s="5">
        <f t="shared" si="364"/>
        <v>67.331918065343928</v>
      </c>
      <c r="CE132" s="562">
        <f t="shared" si="365"/>
        <v>-50</v>
      </c>
      <c r="CF132">
        <f t="shared" si="366"/>
        <v>-50</v>
      </c>
      <c r="CG132" s="173">
        <f t="shared" si="367"/>
        <v>0.25421447637772326</v>
      </c>
      <c r="CI132" s="170">
        <v>22</v>
      </c>
      <c r="CJ132" s="217">
        <f t="shared" si="428"/>
        <v>0.55000000000000004</v>
      </c>
      <c r="CK132" s="217"/>
      <c r="CL132" s="217">
        <f t="shared" si="368"/>
        <v>15.400000000000002</v>
      </c>
      <c r="CM132" s="541">
        <f t="shared" si="369"/>
        <v>19</v>
      </c>
      <c r="CN132" s="443">
        <f t="shared" si="370"/>
        <v>28.4</v>
      </c>
      <c r="CO132" s="443">
        <f t="shared" si="371"/>
        <v>47.4</v>
      </c>
      <c r="CP132" s="443"/>
      <c r="CQ132" s="217">
        <f t="shared" si="372"/>
        <v>0.59915611814345993</v>
      </c>
      <c r="CR132" s="172">
        <f t="shared" si="429"/>
        <v>95.556689708830859</v>
      </c>
      <c r="CS132" s="172">
        <f t="shared" si="373"/>
        <v>15.400000000000002</v>
      </c>
      <c r="CT132" s="217">
        <f t="shared" si="374"/>
        <v>3.4127389181725305</v>
      </c>
      <c r="CU132" s="217">
        <f t="shared" si="375"/>
        <v>28</v>
      </c>
      <c r="CV132" s="217"/>
      <c r="CW132" s="172">
        <f t="shared" si="376"/>
        <v>268.90700845887415</v>
      </c>
      <c r="CX132" s="172">
        <f t="shared" si="377"/>
        <v>28</v>
      </c>
      <c r="CY132" s="217">
        <f t="shared" si="378"/>
        <v>2.7055596738324685</v>
      </c>
      <c r="CZ132" s="217">
        <f t="shared" si="379"/>
        <v>0.66927002457961071</v>
      </c>
      <c r="DA132" s="217">
        <f t="shared" si="380"/>
        <v>0.44775107278213389</v>
      </c>
      <c r="DB132" s="197">
        <f t="shared" si="381"/>
        <v>350</v>
      </c>
      <c r="DC132" s="443">
        <f t="shared" si="382"/>
        <v>350</v>
      </c>
      <c r="DE132" s="217">
        <f t="shared" si="383"/>
        <v>6.9203442217177731</v>
      </c>
      <c r="DF132" s="173">
        <f t="shared" si="384"/>
        <v>1.1452682338758289</v>
      </c>
      <c r="DG132" s="173">
        <f t="shared" si="385"/>
        <v>1.3869888208084145</v>
      </c>
      <c r="DH132" s="173"/>
      <c r="DI132" s="173">
        <f t="shared" si="386"/>
        <v>0.55164319248826299</v>
      </c>
      <c r="DJ132" s="545">
        <f t="shared" si="387"/>
        <v>598.21276595744678</v>
      </c>
      <c r="DK132" s="528">
        <f t="shared" si="388"/>
        <v>0.3217918622848201</v>
      </c>
      <c r="DM132" s="173">
        <f t="shared" si="389"/>
        <v>4.3578528496229154</v>
      </c>
      <c r="DN132" s="173">
        <f t="shared" si="390"/>
        <v>4.3578528496229154</v>
      </c>
      <c r="DO132" s="173">
        <f t="shared" si="391"/>
        <v>1.9589033453996902</v>
      </c>
      <c r="DQ132" s="545">
        <f t="shared" si="392"/>
        <v>550</v>
      </c>
      <c r="DR132" s="460">
        <f t="shared" si="393"/>
        <v>350</v>
      </c>
      <c r="DT132">
        <f t="shared" si="430"/>
        <v>550</v>
      </c>
      <c r="DU132">
        <f t="shared" si="431"/>
        <v>350</v>
      </c>
      <c r="DW132" s="5">
        <f t="shared" si="394"/>
        <v>2.8571428571428572</v>
      </c>
      <c r="DX132" s="5">
        <f t="shared" si="395"/>
        <v>1.0779951785909316</v>
      </c>
      <c r="DY132" s="5">
        <f t="shared" si="396"/>
        <v>1.7791476785519256</v>
      </c>
      <c r="DZ132" s="5"/>
      <c r="EA132" s="173">
        <f t="shared" si="397"/>
        <v>0.37729831250682605</v>
      </c>
      <c r="EB132" s="173">
        <f t="shared" si="398"/>
        <v>15.62</v>
      </c>
      <c r="EC132" s="173">
        <f t="shared" si="399"/>
        <v>1.356821161653563</v>
      </c>
      <c r="ED132" s="173">
        <f t="shared" si="400"/>
        <v>11.512202522669861</v>
      </c>
      <c r="EE132" s="460">
        <f t="shared" si="401"/>
        <v>2.1174905293750448</v>
      </c>
      <c r="EF132" s="5">
        <f t="shared" si="402"/>
        <v>1.0300328665300622</v>
      </c>
      <c r="EH132" s="173">
        <f t="shared" si="403"/>
        <v>1.5454478884221294</v>
      </c>
      <c r="EI132" s="173">
        <f t="shared" si="404"/>
        <v>1.9854180022924901</v>
      </c>
      <c r="EK132" s="528">
        <f t="shared" si="405"/>
        <v>2.8660910109941026E-2</v>
      </c>
      <c r="EL132" s="528">
        <f t="shared" si="406"/>
        <v>1.3736387967296391</v>
      </c>
      <c r="EM132" s="528">
        <f t="shared" si="407"/>
        <v>4.0250000000000001E-2</v>
      </c>
      <c r="EN132" s="528">
        <f t="shared" si="408"/>
        <v>0.38728525499999999</v>
      </c>
      <c r="EO132">
        <f t="shared" si="409"/>
        <v>8.5500000000000003E-3</v>
      </c>
      <c r="EP132" s="460">
        <f t="shared" si="410"/>
        <v>48.800000000000004</v>
      </c>
      <c r="EQ132" s="460"/>
      <c r="ER132" s="460">
        <f t="shared" si="432"/>
        <v>1838.38496183958</v>
      </c>
      <c r="ES132" s="528">
        <f t="shared" si="411"/>
        <v>0.38500000000000001</v>
      </c>
      <c r="EV132" s="460">
        <f t="shared" si="412"/>
        <v>385</v>
      </c>
      <c r="EW132" s="528">
        <f t="shared" si="413"/>
        <v>3.3437728461597864E-2</v>
      </c>
      <c r="EX132" s="528">
        <f t="shared" si="414"/>
        <v>5.5186385013579434E-2</v>
      </c>
      <c r="EY132" s="528">
        <f t="shared" si="415"/>
        <v>4.5427780519587202</v>
      </c>
      <c r="EZ132" s="528"/>
      <c r="FA132" s="528">
        <f t="shared" si="416"/>
        <v>0.6646808510638299</v>
      </c>
      <c r="FB132" s="460">
        <f t="shared" si="417"/>
        <v>5296.0830164977269</v>
      </c>
      <c r="FC132" s="173">
        <f t="shared" si="418"/>
        <v>7.5194679783373068</v>
      </c>
      <c r="FD132" s="5">
        <f t="shared" si="419"/>
        <v>15.400000000000002</v>
      </c>
      <c r="FE132" s="173">
        <f t="shared" si="420"/>
        <v>0.67191786539528542</v>
      </c>
      <c r="FF132" s="5">
        <f t="shared" si="421"/>
        <v>67.191786539528536</v>
      </c>
      <c r="FI132" s="562">
        <f t="shared" si="422"/>
        <v>-50</v>
      </c>
      <c r="FJ132">
        <f t="shared" si="423"/>
        <v>-50</v>
      </c>
      <c r="FL132">
        <f t="shared" si="424"/>
        <v>0.25241788512780622</v>
      </c>
    </row>
    <row r="133" spans="5:168">
      <c r="E133" s="170">
        <v>23</v>
      </c>
      <c r="F133" s="217">
        <f t="shared" si="425"/>
        <v>0.57500000000000007</v>
      </c>
      <c r="G133" s="217"/>
      <c r="H133" s="217">
        <f t="shared" si="315"/>
        <v>16.100000000000001</v>
      </c>
      <c r="I133" s="541">
        <f t="shared" si="316"/>
        <v>18.942484044766839</v>
      </c>
      <c r="J133" s="172">
        <f t="shared" si="317"/>
        <v>28.430970129740931</v>
      </c>
      <c r="K133" s="172">
        <f t="shared" si="318"/>
        <v>47.373454174507771</v>
      </c>
      <c r="L133" s="443"/>
      <c r="M133" s="217">
        <f t="shared" si="319"/>
        <v>0.60014746158905896</v>
      </c>
      <c r="N133" s="172">
        <f t="shared" si="426"/>
        <v>95.425051004731273</v>
      </c>
      <c r="O133" s="172">
        <f t="shared" si="284"/>
        <v>16.100000000000001</v>
      </c>
      <c r="P133" s="217">
        <f t="shared" si="320"/>
        <v>3.4080375358832597</v>
      </c>
      <c r="Q133" s="217">
        <f t="shared" si="321"/>
        <v>28</v>
      </c>
      <c r="R133" s="217"/>
      <c r="S133" s="172">
        <f t="shared" si="322"/>
        <v>255.6158660242877</v>
      </c>
      <c r="T133" s="172">
        <f t="shared" si="323"/>
        <v>28</v>
      </c>
      <c r="U133" s="217">
        <f t="shared" si="324"/>
        <v>2.8760602710444938</v>
      </c>
      <c r="V133" s="217">
        <f t="shared" si="325"/>
        <v>0.71360668653399439</v>
      </c>
      <c r="W133" s="217">
        <f t="shared" si="326"/>
        <v>0.47544924468718069</v>
      </c>
      <c r="X133" s="197">
        <f t="shared" si="327"/>
        <v>350</v>
      </c>
      <c r="Y133" s="443">
        <f t="shared" si="328"/>
        <v>350</v>
      </c>
      <c r="AA133" s="217">
        <f t="shared" si="329"/>
        <v>6.9107893450292464</v>
      </c>
      <c r="AB133" s="173">
        <f t="shared" si="330"/>
        <v>1.1424411398350489</v>
      </c>
      <c r="AC133" s="173">
        <f t="shared" si="331"/>
        <v>1.3816547598866467</v>
      </c>
      <c r="AD133" s="173"/>
      <c r="AE133" s="173">
        <f t="shared" si="332"/>
        <v>0.55104228224270679</v>
      </c>
      <c r="AF133" s="545">
        <f t="shared" si="333"/>
        <v>626.08625711238017</v>
      </c>
      <c r="AG133" s="528">
        <f t="shared" si="334"/>
        <v>0.32144133130824565</v>
      </c>
      <c r="AI133" s="173">
        <f t="shared" si="335"/>
        <v>4.4582232104330322</v>
      </c>
      <c r="AJ133" s="173">
        <f t="shared" si="336"/>
        <v>4.4582232104330322</v>
      </c>
      <c r="AK133" s="173">
        <f t="shared" si="337"/>
        <v>2.0332517608145917</v>
      </c>
      <c r="AM133" s="545">
        <f t="shared" si="338"/>
        <v>575.00000000000011</v>
      </c>
      <c r="AN133" s="460">
        <f t="shared" si="339"/>
        <v>350</v>
      </c>
      <c r="AP133" s="460">
        <f t="shared" si="340"/>
        <v>575.00000000000011</v>
      </c>
      <c r="AQ133" s="460">
        <f t="shared" si="341"/>
        <v>350</v>
      </c>
      <c r="AS133" s="5">
        <f t="shared" si="285"/>
        <v>2.8571428571428572</v>
      </c>
      <c r="AT133" s="5">
        <f t="shared" si="342"/>
        <v>1.1061721915412688</v>
      </c>
      <c r="AU133" s="5">
        <f t="shared" si="343"/>
        <v>1.7509706656015884</v>
      </c>
      <c r="AV133" s="5"/>
      <c r="AW133" s="173">
        <f t="shared" si="344"/>
        <v>0.38716026703944406</v>
      </c>
      <c r="AX133" s="173">
        <f t="shared" ref="AX133:AX196" si="435">0.5*L*AJ133^2*AN133*1000</f>
        <v>16.347807824601034</v>
      </c>
      <c r="AY133" s="173">
        <f t="shared" ref="AY133:AY196" si="436">AJ133*Nps/2*(1-AW133)</f>
        <v>1.3660881608801658</v>
      </c>
      <c r="AZ133" s="173">
        <f t="shared" si="288"/>
        <v>11.966876145144395</v>
      </c>
      <c r="BA133" s="460">
        <f t="shared" si="433"/>
        <v>2.2716036076293915</v>
      </c>
      <c r="BB133" s="5">
        <f t="shared" si="434"/>
        <v>1.063015949060873</v>
      </c>
      <c r="BD133" s="173">
        <f t="shared" si="289"/>
        <v>1.6015723837712685</v>
      </c>
      <c r="BE133" s="173">
        <f t="shared" ref="BE133:BE196" si="437">AJ133*Nps*SQRT((1-AW133)/3)</f>
        <v>2.014998088722622</v>
      </c>
      <c r="BG133" s="528">
        <f t="shared" si="347"/>
        <v>3.0780409205505399E-2</v>
      </c>
      <c r="BH133" s="528">
        <f t="shared" si="348"/>
        <v>1.3490491530267379</v>
      </c>
      <c r="BI133" s="528">
        <f t="shared" si="349"/>
        <v>4.0250000000000001E-2</v>
      </c>
      <c r="BJ133" s="528">
        <f t="shared" si="350"/>
        <v>0.38685158715311935</v>
      </c>
      <c r="BK133">
        <f t="shared" si="351"/>
        <v>8.524117820145078E-3</v>
      </c>
      <c r="BL133" s="460">
        <f t="shared" si="427"/>
        <v>48.774117820145079</v>
      </c>
      <c r="BM133" s="528">
        <f t="shared" si="352"/>
        <v>1.788068767100178</v>
      </c>
      <c r="BN133" s="460">
        <f t="shared" si="353"/>
        <v>1788.0687671001781</v>
      </c>
      <c r="BO133" s="528">
        <f t="shared" si="354"/>
        <v>0.40250000000000002</v>
      </c>
      <c r="BR133" s="460">
        <f t="shared" si="355"/>
        <v>402.5</v>
      </c>
      <c r="BS133" s="528">
        <f t="shared" si="356"/>
        <v>3.5910477406422968E-2</v>
      </c>
      <c r="BT133" s="528">
        <f t="shared" si="357"/>
        <v>5.6843042165781475E-2</v>
      </c>
      <c r="BU133" s="528">
        <f t="shared" si="358"/>
        <v>4.8088877148063851</v>
      </c>
      <c r="BV133" s="528"/>
      <c r="BW133" s="528">
        <f t="shared" si="359"/>
        <v>0.69565139679153343</v>
      </c>
      <c r="BX133" s="460">
        <f t="shared" si="360"/>
        <v>5597.2926311701231</v>
      </c>
      <c r="BY133" s="173">
        <f t="shared" si="361"/>
        <v>7.8152478983756311</v>
      </c>
      <c r="BZ133" s="5">
        <f t="shared" si="362"/>
        <v>16.100000000000001</v>
      </c>
      <c r="CA133" s="173">
        <f t="shared" si="363"/>
        <v>0.67321066745427893</v>
      </c>
      <c r="CB133" s="5">
        <f t="shared" si="364"/>
        <v>67.321066745427899</v>
      </c>
      <c r="CE133" s="562">
        <f t="shared" si="365"/>
        <v>-50</v>
      </c>
      <c r="CF133">
        <f t="shared" si="366"/>
        <v>-50</v>
      </c>
      <c r="CG133" s="173">
        <f t="shared" si="367"/>
        <v>0.2599278746114006</v>
      </c>
      <c r="CI133" s="170">
        <v>23</v>
      </c>
      <c r="CJ133" s="217">
        <f t="shared" si="428"/>
        <v>0.57500000000000007</v>
      </c>
      <c r="CK133" s="217"/>
      <c r="CL133" s="217">
        <f t="shared" si="368"/>
        <v>16.100000000000001</v>
      </c>
      <c r="CM133" s="541">
        <f t="shared" si="369"/>
        <v>19</v>
      </c>
      <c r="CN133" s="443">
        <f t="shared" si="370"/>
        <v>28.4</v>
      </c>
      <c r="CO133" s="443">
        <f t="shared" si="371"/>
        <v>47.4</v>
      </c>
      <c r="CP133" s="443"/>
      <c r="CQ133" s="217">
        <f t="shared" si="372"/>
        <v>0.59915611814345993</v>
      </c>
      <c r="CR133" s="172">
        <f t="shared" si="429"/>
        <v>95.556689708830859</v>
      </c>
      <c r="CS133" s="172">
        <f t="shared" si="373"/>
        <v>16.100000000000001</v>
      </c>
      <c r="CT133" s="217">
        <f t="shared" si="374"/>
        <v>3.4127389181725305</v>
      </c>
      <c r="CU133" s="217">
        <f t="shared" si="375"/>
        <v>28</v>
      </c>
      <c r="CV133" s="217"/>
      <c r="CW133" s="172">
        <f t="shared" si="376"/>
        <v>256.39191478796874</v>
      </c>
      <c r="CX133" s="172">
        <f t="shared" si="377"/>
        <v>28</v>
      </c>
      <c r="CY133" s="217">
        <f t="shared" si="378"/>
        <v>2.8285396590066716</v>
      </c>
      <c r="CZ133" s="217">
        <f t="shared" si="379"/>
        <v>0.69969138933322927</v>
      </c>
      <c r="DA133" s="217">
        <f t="shared" si="380"/>
        <v>0.46810339427223085</v>
      </c>
      <c r="DB133" s="197">
        <f t="shared" si="381"/>
        <v>350</v>
      </c>
      <c r="DC133" s="443">
        <f t="shared" si="382"/>
        <v>350</v>
      </c>
      <c r="DE133" s="217">
        <f t="shared" si="383"/>
        <v>6.9203442217177731</v>
      </c>
      <c r="DF133" s="173">
        <f t="shared" si="384"/>
        <v>1.1452682338758289</v>
      </c>
      <c r="DG133" s="173">
        <f t="shared" si="385"/>
        <v>1.3869888208084145</v>
      </c>
      <c r="DH133" s="173"/>
      <c r="DI133" s="173">
        <f t="shared" si="386"/>
        <v>0.55164319248826299</v>
      </c>
      <c r="DJ133" s="545">
        <f t="shared" si="387"/>
        <v>625.40425531914889</v>
      </c>
      <c r="DK133" s="528">
        <f t="shared" si="388"/>
        <v>0.3217918622848201</v>
      </c>
      <c r="DM133" s="173">
        <f t="shared" si="389"/>
        <v>4.4557943560565096</v>
      </c>
      <c r="DN133" s="173">
        <f t="shared" si="390"/>
        <v>4.4557943560565096</v>
      </c>
      <c r="DO133" s="173">
        <f t="shared" si="391"/>
        <v>2.0314526094245746</v>
      </c>
      <c r="DQ133" s="545">
        <f t="shared" si="392"/>
        <v>575.00000000000011</v>
      </c>
      <c r="DR133" s="460">
        <f t="shared" si="393"/>
        <v>350</v>
      </c>
      <c r="DT133">
        <f t="shared" si="430"/>
        <v>575.00000000000011</v>
      </c>
      <c r="DU133">
        <f t="shared" si="431"/>
        <v>350</v>
      </c>
      <c r="DW133" s="5">
        <f t="shared" si="394"/>
        <v>2.8571428571428572</v>
      </c>
      <c r="DX133" s="5">
        <f t="shared" si="395"/>
        <v>1.102222814392926</v>
      </c>
      <c r="DY133" s="5">
        <f t="shared" si="396"/>
        <v>1.7549200427499312</v>
      </c>
      <c r="DZ133" s="5"/>
      <c r="EA133" s="173">
        <f t="shared" si="397"/>
        <v>0.38577798503752408</v>
      </c>
      <c r="EB133" s="173">
        <f t="shared" si="398"/>
        <v>16.329999999999998</v>
      </c>
      <c r="EC133" s="173">
        <f t="shared" si="399"/>
        <v>1.3684234938177287</v>
      </c>
      <c r="ED133" s="173">
        <f t="shared" si="400"/>
        <v>11.933440249875689</v>
      </c>
      <c r="EE133" s="460">
        <f t="shared" si="401"/>
        <v>2.263493279556902</v>
      </c>
      <c r="EF133" s="5">
        <f t="shared" si="402"/>
        <v>1.06218844692759</v>
      </c>
      <c r="EH133" s="173">
        <f t="shared" si="403"/>
        <v>1.5978397899005932</v>
      </c>
      <c r="EI133" s="173">
        <f t="shared" si="404"/>
        <v>2.0161702442085865</v>
      </c>
      <c r="EK133" s="528">
        <f t="shared" si="405"/>
        <v>3.0637103930274863E-2</v>
      </c>
      <c r="EL133" s="528">
        <f t="shared" si="406"/>
        <v>1.4045109389725725</v>
      </c>
      <c r="EM133" s="528">
        <f t="shared" si="407"/>
        <v>4.0250000000000001E-2</v>
      </c>
      <c r="EN133" s="528">
        <f t="shared" si="408"/>
        <v>0.38728525499999999</v>
      </c>
      <c r="EO133">
        <f t="shared" si="409"/>
        <v>8.5500000000000003E-3</v>
      </c>
      <c r="EP133" s="460">
        <f t="shared" si="410"/>
        <v>48.800000000000004</v>
      </c>
      <c r="EQ133" s="460"/>
      <c r="ER133" s="460">
        <f t="shared" si="432"/>
        <v>1871.2332979028474</v>
      </c>
      <c r="ES133" s="528">
        <f t="shared" si="411"/>
        <v>0.40250000000000002</v>
      </c>
      <c r="EV133" s="460">
        <f t="shared" si="412"/>
        <v>402.5</v>
      </c>
      <c r="EW133" s="528">
        <f t="shared" si="413"/>
        <v>3.5743287918654006E-2</v>
      </c>
      <c r="EX133" s="528">
        <f t="shared" si="414"/>
        <v>5.6909194350849554E-2</v>
      </c>
      <c r="EY133" s="528">
        <f t="shared" si="415"/>
        <v>4.8023406469822687</v>
      </c>
      <c r="EZ133" s="528"/>
      <c r="FA133" s="528">
        <f t="shared" si="416"/>
        <v>0.69489361702127661</v>
      </c>
      <c r="FB133" s="460">
        <f t="shared" si="417"/>
        <v>5589.8867462730486</v>
      </c>
      <c r="FC133" s="173">
        <f t="shared" si="418"/>
        <v>7.8636200441758959</v>
      </c>
      <c r="FD133" s="5">
        <f t="shared" si="419"/>
        <v>16.100000000000001</v>
      </c>
      <c r="FE133" s="173">
        <f t="shared" si="420"/>
        <v>0.67185174737040343</v>
      </c>
      <c r="FF133" s="5">
        <f t="shared" si="421"/>
        <v>67.185174737040342</v>
      </c>
      <c r="FI133" s="562">
        <f t="shared" si="422"/>
        <v>-50</v>
      </c>
      <c r="FJ133">
        <f t="shared" si="423"/>
        <v>-50</v>
      </c>
      <c r="FL133">
        <f t="shared" si="424"/>
        <v>0.25809090548285069</v>
      </c>
    </row>
    <row r="134" spans="5:168">
      <c r="E134" s="170">
        <v>24</v>
      </c>
      <c r="F134" s="217">
        <f t="shared" si="425"/>
        <v>0.6</v>
      </c>
      <c r="G134" s="217"/>
      <c r="H134" s="217">
        <f t="shared" si="315"/>
        <v>16.8</v>
      </c>
      <c r="I134" s="541">
        <f t="shared" si="316"/>
        <v>18.941247000981932</v>
      </c>
      <c r="J134" s="172">
        <f t="shared" si="317"/>
        <v>28.431636230240496</v>
      </c>
      <c r="K134" s="172">
        <f t="shared" si="318"/>
        <v>47.372883231222431</v>
      </c>
      <c r="L134" s="443"/>
      <c r="M134" s="217">
        <f t="shared" si="319"/>
        <v>0.60016879534555911</v>
      </c>
      <c r="N134" s="172">
        <f t="shared" si="426"/>
        <v>95.422211150070552</v>
      </c>
      <c r="O134" s="172">
        <f t="shared" ref="O134:O197" si="438">T134*F134</f>
        <v>16.8</v>
      </c>
      <c r="P134" s="217">
        <f t="shared" si="320"/>
        <v>3.4079361125025196</v>
      </c>
      <c r="Q134" s="217">
        <f t="shared" si="321"/>
        <v>28</v>
      </c>
      <c r="R134" s="217"/>
      <c r="S134" s="172">
        <f t="shared" si="322"/>
        <v>244.1626078049816</v>
      </c>
      <c r="T134" s="172">
        <f t="shared" si="323"/>
        <v>28</v>
      </c>
      <c r="U134" s="217">
        <f t="shared" si="324"/>
        <v>3.0012664995397613</v>
      </c>
      <c r="V134" s="217">
        <f t="shared" si="325"/>
        <v>0.74472142975093525</v>
      </c>
      <c r="W134" s="217">
        <f t="shared" si="326"/>
        <v>0.49613579864367724</v>
      </c>
      <c r="X134" s="197">
        <f t="shared" si="327"/>
        <v>350</v>
      </c>
      <c r="Y134" s="443">
        <f t="shared" si="328"/>
        <v>350</v>
      </c>
      <c r="AA134" s="217">
        <f t="shared" si="329"/>
        <v>6.9105832204695616</v>
      </c>
      <c r="AB134" s="173">
        <f t="shared" si="330"/>
        <v>1.1423803003522111</v>
      </c>
      <c r="AC134" s="173">
        <f t="shared" si="331"/>
        <v>1.3815399736265692</v>
      </c>
      <c r="AD134" s="173"/>
      <c r="AE134" s="173">
        <f t="shared" si="332"/>
        <v>0.55102937234415184</v>
      </c>
      <c r="AF134" s="545">
        <f t="shared" si="333"/>
        <v>653.32270486510072</v>
      </c>
      <c r="AG134" s="528">
        <f t="shared" si="334"/>
        <v>0.3214338005340886</v>
      </c>
      <c r="AI134" s="173">
        <f t="shared" si="335"/>
        <v>4.5541632962653873</v>
      </c>
      <c r="AJ134" s="173">
        <f t="shared" si="336"/>
        <v>4.5541632962653873</v>
      </c>
      <c r="AK134" s="173">
        <f t="shared" si="337"/>
        <v>2.1043184910607806</v>
      </c>
      <c r="AM134" s="545">
        <f t="shared" si="338"/>
        <v>600</v>
      </c>
      <c r="AN134" s="460">
        <f t="shared" si="339"/>
        <v>350</v>
      </c>
      <c r="AP134" s="460">
        <f t="shared" si="340"/>
        <v>600</v>
      </c>
      <c r="AQ134" s="460">
        <f t="shared" si="341"/>
        <v>350</v>
      </c>
      <c r="AS134" s="5">
        <f t="shared" ref="AS134:AS197" si="439">1/AN134*1000</f>
        <v>2.8571428571428572</v>
      </c>
      <c r="AT134" s="5">
        <f t="shared" si="342"/>
        <v>1.1300505975840813</v>
      </c>
      <c r="AU134" s="5">
        <f t="shared" si="343"/>
        <v>1.7270922595587759</v>
      </c>
      <c r="AV134" s="5"/>
      <c r="AW134" s="173">
        <f t="shared" si="344"/>
        <v>0.39551770915442847</v>
      </c>
      <c r="AX134" s="173">
        <f t="shared" si="435"/>
        <v>17.058981738144297</v>
      </c>
      <c r="AY134" s="173">
        <f t="shared" si="436"/>
        <v>1.3764555311056603</v>
      </c>
      <c r="AZ134" s="173">
        <f t="shared" ref="AZ134:AZ197" si="440">AX134/AY134</f>
        <v>12.393412901934719</v>
      </c>
      <c r="BA134" s="460">
        <f t="shared" si="433"/>
        <v>2.4215369948230316</v>
      </c>
      <c r="BB134" s="5">
        <f t="shared" si="434"/>
        <v>1.094178599414859</v>
      </c>
      <c r="BD134" s="173">
        <f t="shared" ref="BD134:BD197" si="441">AJ134*SQRT(AW134/3)</f>
        <v>1.6536018073330172</v>
      </c>
      <c r="BE134" s="173">
        <f t="shared" si="437"/>
        <v>2.0442770945092676</v>
      </c>
      <c r="BG134" s="528">
        <f t="shared" si="347"/>
        <v>3.2812787246580252E-2</v>
      </c>
      <c r="BH134" s="528">
        <f t="shared" si="348"/>
        <v>1.3780638166437316</v>
      </c>
      <c r="BI134" s="528">
        <f t="shared" si="349"/>
        <v>4.0250000000000001E-2</v>
      </c>
      <c r="BJ134" s="528">
        <f t="shared" si="350"/>
        <v>0.38684226256452875</v>
      </c>
      <c r="BK134">
        <f t="shared" si="351"/>
        <v>8.5235611504418697E-3</v>
      </c>
      <c r="BL134" s="460">
        <f t="shared" si="427"/>
        <v>48.773561150441871</v>
      </c>
      <c r="BM134" s="528">
        <f t="shared" si="352"/>
        <v>1.8207736498464471</v>
      </c>
      <c r="BN134" s="460">
        <f t="shared" si="353"/>
        <v>1820.7736498464471</v>
      </c>
      <c r="BO134" s="528">
        <f t="shared" si="354"/>
        <v>0.42</v>
      </c>
      <c r="BR134" s="460">
        <f t="shared" si="355"/>
        <v>420</v>
      </c>
      <c r="BS134" s="528">
        <f t="shared" si="356"/>
        <v>3.8281585121010292E-2</v>
      </c>
      <c r="BT134" s="528">
        <f t="shared" si="357"/>
        <v>5.8506963747893541E-2</v>
      </c>
      <c r="BU134" s="528">
        <f t="shared" si="358"/>
        <v>5.0717940782749134</v>
      </c>
      <c r="BV134" s="528"/>
      <c r="BW134" s="528">
        <f t="shared" si="359"/>
        <v>0.72591411651677873</v>
      </c>
      <c r="BX134" s="460">
        <f t="shared" si="360"/>
        <v>5894.4967436605966</v>
      </c>
      <c r="BY134" s="173">
        <f t="shared" si="361"/>
        <v>8.1609891712658769</v>
      </c>
      <c r="BZ134" s="5">
        <f t="shared" si="362"/>
        <v>16.8</v>
      </c>
      <c r="CA134" s="173">
        <f t="shared" si="363"/>
        <v>0.67305024992116524</v>
      </c>
      <c r="CB134" s="5">
        <f t="shared" si="364"/>
        <v>67.305024992116529</v>
      </c>
      <c r="CE134" s="562">
        <f t="shared" si="365"/>
        <v>-50</v>
      </c>
      <c r="CF134">
        <f t="shared" si="366"/>
        <v>-50</v>
      </c>
      <c r="CG134" s="173">
        <f t="shared" si="367"/>
        <v>0.26551836094703513</v>
      </c>
      <c r="CI134" s="170">
        <v>24</v>
      </c>
      <c r="CJ134" s="217">
        <f t="shared" si="428"/>
        <v>0.6</v>
      </c>
      <c r="CK134" s="217"/>
      <c r="CL134" s="217">
        <f t="shared" si="368"/>
        <v>16.8</v>
      </c>
      <c r="CM134" s="541">
        <f t="shared" si="369"/>
        <v>19</v>
      </c>
      <c r="CN134" s="443">
        <f t="shared" si="370"/>
        <v>28.4</v>
      </c>
      <c r="CO134" s="443">
        <f t="shared" si="371"/>
        <v>47.4</v>
      </c>
      <c r="CP134" s="443"/>
      <c r="CQ134" s="217">
        <f t="shared" si="372"/>
        <v>0.59915611814345993</v>
      </c>
      <c r="CR134" s="172">
        <f t="shared" si="429"/>
        <v>95.556689708830859</v>
      </c>
      <c r="CS134" s="172">
        <f t="shared" si="373"/>
        <v>16.8</v>
      </c>
      <c r="CT134" s="217">
        <f t="shared" si="374"/>
        <v>3.4127389181725305</v>
      </c>
      <c r="CU134" s="217">
        <f t="shared" si="375"/>
        <v>28</v>
      </c>
      <c r="CV134" s="217"/>
      <c r="CW134" s="172">
        <f t="shared" si="376"/>
        <v>244.91986885001324</v>
      </c>
      <c r="CX134" s="172">
        <f t="shared" si="377"/>
        <v>28</v>
      </c>
      <c r="CY134" s="217">
        <f t="shared" si="378"/>
        <v>2.9515196441808746</v>
      </c>
      <c r="CZ134" s="217">
        <f t="shared" si="379"/>
        <v>0.73011275408684784</v>
      </c>
      <c r="DA134" s="217">
        <f t="shared" si="380"/>
        <v>0.48845571576232788</v>
      </c>
      <c r="DB134" s="197">
        <f t="shared" si="381"/>
        <v>350</v>
      </c>
      <c r="DC134" s="443">
        <f t="shared" si="382"/>
        <v>350</v>
      </c>
      <c r="DE134" s="217">
        <f t="shared" si="383"/>
        <v>6.9203442217177731</v>
      </c>
      <c r="DF134" s="173">
        <f t="shared" si="384"/>
        <v>1.1452682338758289</v>
      </c>
      <c r="DG134" s="173">
        <f t="shared" si="385"/>
        <v>1.3869888208084145</v>
      </c>
      <c r="DH134" s="173"/>
      <c r="DI134" s="173">
        <f t="shared" si="386"/>
        <v>0.55164319248826299</v>
      </c>
      <c r="DJ134" s="545">
        <f t="shared" si="387"/>
        <v>652.595744680851</v>
      </c>
      <c r="DK134" s="528">
        <f t="shared" si="388"/>
        <v>0.3217918622848201</v>
      </c>
      <c r="DM134" s="173">
        <f t="shared" si="389"/>
        <v>4.5516288543732921</v>
      </c>
      <c r="DN134" s="173">
        <f t="shared" si="390"/>
        <v>4.5516288543732921</v>
      </c>
      <c r="DO134" s="173">
        <f t="shared" si="391"/>
        <v>2.1024411266962657</v>
      </c>
      <c r="DQ134" s="545">
        <f t="shared" si="392"/>
        <v>600</v>
      </c>
      <c r="DR134" s="460">
        <f t="shared" si="393"/>
        <v>350</v>
      </c>
      <c r="DT134">
        <f t="shared" si="430"/>
        <v>600</v>
      </c>
      <c r="DU134">
        <f t="shared" si="431"/>
        <v>350</v>
      </c>
      <c r="DW134" s="5">
        <f t="shared" si="394"/>
        <v>2.8571428571428572</v>
      </c>
      <c r="DX134" s="5">
        <f t="shared" si="395"/>
        <v>1.1259292429239194</v>
      </c>
      <c r="DY134" s="5">
        <f t="shared" si="396"/>
        <v>1.7312136142189378</v>
      </c>
      <c r="DZ134" s="5"/>
      <c r="EA134" s="173">
        <f t="shared" si="397"/>
        <v>0.39407523502337177</v>
      </c>
      <c r="EB134" s="173">
        <f t="shared" si="398"/>
        <v>17.04</v>
      </c>
      <c r="EC134" s="173">
        <f t="shared" si="399"/>
        <v>1.3789723219234882</v>
      </c>
      <c r="ED134" s="173">
        <f t="shared" si="400"/>
        <v>12.35702829497796</v>
      </c>
      <c r="EE134" s="460">
        <f t="shared" si="401"/>
        <v>2.4127055205512558</v>
      </c>
      <c r="EF134" s="5">
        <f t="shared" si="402"/>
        <v>1.0933980721382766</v>
      </c>
      <c r="EH134" s="173">
        <f t="shared" si="403"/>
        <v>1.6496650981603667</v>
      </c>
      <c r="EI134" s="173">
        <f t="shared" si="404"/>
        <v>2.045575747778456</v>
      </c>
      <c r="EK134" s="528">
        <f t="shared" si="405"/>
        <v>3.2656739233061428E-2</v>
      </c>
      <c r="EL134" s="528">
        <f t="shared" si="406"/>
        <v>1.4347189311870052</v>
      </c>
      <c r="EM134" s="528">
        <f t="shared" si="407"/>
        <v>4.0250000000000001E-2</v>
      </c>
      <c r="EN134" s="528">
        <f t="shared" si="408"/>
        <v>0.38728525499999999</v>
      </c>
      <c r="EO134">
        <f t="shared" si="409"/>
        <v>8.5500000000000003E-3</v>
      </c>
      <c r="EP134" s="460">
        <f t="shared" si="410"/>
        <v>48.800000000000004</v>
      </c>
      <c r="EQ134" s="460"/>
      <c r="ER134" s="460">
        <f t="shared" si="432"/>
        <v>1903.4609254200668</v>
      </c>
      <c r="ES134" s="528">
        <f t="shared" si="411"/>
        <v>0.42</v>
      </c>
      <c r="EV134" s="460">
        <f t="shared" si="412"/>
        <v>420</v>
      </c>
      <c r="EW134" s="528">
        <f t="shared" si="413"/>
        <v>3.8099529105238332E-2</v>
      </c>
      <c r="EX134" s="528">
        <f t="shared" si="414"/>
        <v>5.8581321958591448E-2</v>
      </c>
      <c r="EY134" s="528">
        <f t="shared" si="415"/>
        <v>5.0647407504033231</v>
      </c>
      <c r="EZ134" s="528"/>
      <c r="FA134" s="528">
        <f t="shared" si="416"/>
        <v>0.72510638297872354</v>
      </c>
      <c r="FB134" s="460">
        <f t="shared" si="417"/>
        <v>5886.5279844458764</v>
      </c>
      <c r="FC134" s="173">
        <f t="shared" si="418"/>
        <v>8.2099889098659418</v>
      </c>
      <c r="FD134" s="5">
        <f t="shared" si="419"/>
        <v>16.8</v>
      </c>
      <c r="FE134" s="173">
        <f t="shared" si="420"/>
        <v>0.67173160534160559</v>
      </c>
      <c r="FF134" s="5">
        <f t="shared" si="421"/>
        <v>67.173160534160559</v>
      </c>
      <c r="FI134" s="562">
        <f t="shared" si="422"/>
        <v>-50</v>
      </c>
      <c r="FJ134">
        <f t="shared" si="423"/>
        <v>-50</v>
      </c>
      <c r="FL134">
        <f t="shared" si="424"/>
        <v>0.26364188258605864</v>
      </c>
    </row>
    <row r="135" spans="5:168">
      <c r="E135" s="170">
        <v>25</v>
      </c>
      <c r="F135" s="217">
        <f t="shared" si="425"/>
        <v>0.625</v>
      </c>
      <c r="G135" s="217"/>
      <c r="H135" s="217">
        <f t="shared" si="315"/>
        <v>17.5</v>
      </c>
      <c r="I135" s="541">
        <f t="shared" si="316"/>
        <v>18.940035471478122</v>
      </c>
      <c r="J135" s="172">
        <f t="shared" si="317"/>
        <v>28.432288592281008</v>
      </c>
      <c r="K135" s="172">
        <f t="shared" si="318"/>
        <v>47.37232406375913</v>
      </c>
      <c r="L135" s="443"/>
      <c r="M135" s="217">
        <f t="shared" si="319"/>
        <v>0.60018968958326591</v>
      </c>
      <c r="N135" s="172">
        <f t="shared" si="426"/>
        <v>95.419429517143243</v>
      </c>
      <c r="O135" s="172">
        <f t="shared" si="438"/>
        <v>17.5</v>
      </c>
      <c r="P135" s="217">
        <f t="shared" si="320"/>
        <v>3.4078367684694015</v>
      </c>
      <c r="Q135" s="217">
        <f t="shared" si="321"/>
        <v>28</v>
      </c>
      <c r="R135" s="217"/>
      <c r="S135" s="172">
        <f t="shared" si="322"/>
        <v>233.62614332713366</v>
      </c>
      <c r="T135" s="172">
        <f t="shared" si="323"/>
        <v>28</v>
      </c>
      <c r="U135" s="217">
        <f t="shared" si="324"/>
        <v>3.126482652978829</v>
      </c>
      <c r="V135" s="217">
        <f t="shared" si="325"/>
        <v>0.77584165516104542</v>
      </c>
      <c r="W135" s="217">
        <f t="shared" si="326"/>
        <v>0.51682327369840531</v>
      </c>
      <c r="X135" s="197">
        <f t="shared" si="327"/>
        <v>350</v>
      </c>
      <c r="Y135" s="443">
        <f t="shared" si="328"/>
        <v>350</v>
      </c>
      <c r="AA135" s="217">
        <f t="shared" si="329"/>
        <v>6.9103813219572228</v>
      </c>
      <c r="AB135" s="173">
        <f t="shared" si="330"/>
        <v>1.1423207142747036</v>
      </c>
      <c r="AC135" s="173">
        <f t="shared" si="331"/>
        <v>1.3814275523315305</v>
      </c>
      <c r="AD135" s="173"/>
      <c r="AE135" s="173">
        <f t="shared" si="332"/>
        <v>0.55101672930120593</v>
      </c>
      <c r="AF135" s="545">
        <f t="shared" si="333"/>
        <v>680.56009928332185</v>
      </c>
      <c r="AG135" s="528">
        <f t="shared" si="334"/>
        <v>0.32142642542570343</v>
      </c>
      <c r="AI135" s="173">
        <f t="shared" si="335"/>
        <v>4.64812677504937</v>
      </c>
      <c r="AJ135" s="173">
        <f t="shared" si="336"/>
        <v>4.64812677504937</v>
      </c>
      <c r="AK135" s="173">
        <f t="shared" si="337"/>
        <v>2.1739210679378047</v>
      </c>
      <c r="AM135" s="545">
        <f t="shared" si="338"/>
        <v>625</v>
      </c>
      <c r="AN135" s="460">
        <f t="shared" si="339"/>
        <v>350</v>
      </c>
      <c r="AP135" s="460">
        <f t="shared" si="340"/>
        <v>625</v>
      </c>
      <c r="AQ135" s="460">
        <f t="shared" si="341"/>
        <v>350</v>
      </c>
      <c r="AS135" s="5">
        <f t="shared" si="439"/>
        <v>2.8571428571428572</v>
      </c>
      <c r="AT135" s="5">
        <f t="shared" si="342"/>
        <v>1.1534400701429688</v>
      </c>
      <c r="AU135" s="5">
        <f t="shared" si="343"/>
        <v>1.7037027869998884</v>
      </c>
      <c r="AV135" s="5"/>
      <c r="AW135" s="173">
        <f t="shared" si="344"/>
        <v>0.40370402455003906</v>
      </c>
      <c r="AX135" s="173">
        <f t="shared" si="435"/>
        <v>17.77018037017563</v>
      </c>
      <c r="AY135" s="173">
        <f t="shared" si="436"/>
        <v>1.3858296446715725</v>
      </c>
      <c r="AZ135" s="173">
        <f t="shared" si="440"/>
        <v>12.822774024571384</v>
      </c>
      <c r="BA135" s="460">
        <f t="shared" si="433"/>
        <v>2.574643013711984</v>
      </c>
      <c r="BB135" s="5">
        <f t="shared" si="434"/>
        <v>1.1244057525430069</v>
      </c>
      <c r="BD135" s="173">
        <f t="shared" si="441"/>
        <v>1.7050961617868434</v>
      </c>
      <c r="BE135" s="173">
        <f t="shared" si="437"/>
        <v>2.0722792406840496</v>
      </c>
      <c r="BG135" s="528">
        <f t="shared" si="347"/>
        <v>3.4888235051282704E-2</v>
      </c>
      <c r="BH135" s="528">
        <f t="shared" si="348"/>
        <v>1.4064800273148128</v>
      </c>
      <c r="BI135" s="528">
        <f t="shared" si="349"/>
        <v>4.0250000000000001E-2</v>
      </c>
      <c r="BJ135" s="528">
        <f t="shared" si="350"/>
        <v>0.38683313040641237</v>
      </c>
      <c r="BK135">
        <f t="shared" si="351"/>
        <v>8.5230159621651549E-3</v>
      </c>
      <c r="BL135" s="460">
        <f t="shared" si="427"/>
        <v>48.773015962165154</v>
      </c>
      <c r="BM135" s="528">
        <f t="shared" si="352"/>
        <v>1.8529814030107274</v>
      </c>
      <c r="BN135" s="460">
        <f t="shared" si="353"/>
        <v>1852.9814030107275</v>
      </c>
      <c r="BO135" s="528">
        <f t="shared" si="354"/>
        <v>0.4375</v>
      </c>
      <c r="BR135" s="460">
        <f t="shared" si="355"/>
        <v>437.5</v>
      </c>
      <c r="BS135" s="528">
        <f t="shared" si="356"/>
        <v>4.0702940893163155E-2</v>
      </c>
      <c r="BT135" s="528">
        <f t="shared" si="357"/>
        <v>6.0120777519180851E-2</v>
      </c>
      <c r="BU135" s="528">
        <f t="shared" si="358"/>
        <v>5.3374648368612254</v>
      </c>
      <c r="BV135" s="528"/>
      <c r="BW135" s="528">
        <f t="shared" si="359"/>
        <v>0.75617788809258002</v>
      </c>
      <c r="BX135" s="460">
        <f t="shared" si="360"/>
        <v>6194.4664433661492</v>
      </c>
      <c r="BY135" s="173">
        <f t="shared" si="361"/>
        <v>8.5089408521008227</v>
      </c>
      <c r="BZ135" s="5">
        <f t="shared" si="362"/>
        <v>17.5</v>
      </c>
      <c r="CA135" s="173">
        <f t="shared" si="363"/>
        <v>0.67284554567267096</v>
      </c>
      <c r="CB135" s="5">
        <f t="shared" si="364"/>
        <v>67.284554567267094</v>
      </c>
      <c r="CE135" s="562">
        <f t="shared" si="365"/>
        <v>-50</v>
      </c>
      <c r="CF135">
        <f t="shared" si="366"/>
        <v>-50</v>
      </c>
      <c r="CG135" s="173">
        <f t="shared" si="367"/>
        <v>0.270993542358485</v>
      </c>
      <c r="CI135" s="170">
        <v>25</v>
      </c>
      <c r="CJ135" s="217">
        <f t="shared" si="428"/>
        <v>0.625</v>
      </c>
      <c r="CK135" s="217"/>
      <c r="CL135" s="217">
        <f t="shared" si="368"/>
        <v>17.5</v>
      </c>
      <c r="CM135" s="541">
        <f t="shared" si="369"/>
        <v>19</v>
      </c>
      <c r="CN135" s="443">
        <f t="shared" si="370"/>
        <v>28.4</v>
      </c>
      <c r="CO135" s="443">
        <f t="shared" si="371"/>
        <v>47.4</v>
      </c>
      <c r="CP135" s="443"/>
      <c r="CQ135" s="217">
        <f t="shared" si="372"/>
        <v>0.59915611814345993</v>
      </c>
      <c r="CR135" s="172">
        <f t="shared" si="429"/>
        <v>95.556689708830859</v>
      </c>
      <c r="CS135" s="172">
        <f t="shared" si="373"/>
        <v>17.5</v>
      </c>
      <c r="CT135" s="217">
        <f t="shared" si="374"/>
        <v>3.4127389181725305</v>
      </c>
      <c r="CU135" s="217">
        <f t="shared" si="375"/>
        <v>28</v>
      </c>
      <c r="CV135" s="217"/>
      <c r="CW135" s="172">
        <f t="shared" si="376"/>
        <v>234.36570603430565</v>
      </c>
      <c r="CX135" s="172">
        <f t="shared" si="377"/>
        <v>28</v>
      </c>
      <c r="CY135" s="217">
        <f t="shared" si="378"/>
        <v>3.0744996293550777</v>
      </c>
      <c r="CZ135" s="217">
        <f t="shared" si="379"/>
        <v>0.76053411884046662</v>
      </c>
      <c r="DA135" s="217">
        <f t="shared" si="380"/>
        <v>0.50880803725242485</v>
      </c>
      <c r="DB135" s="197">
        <f t="shared" si="381"/>
        <v>350</v>
      </c>
      <c r="DC135" s="443">
        <f t="shared" si="382"/>
        <v>350</v>
      </c>
      <c r="DE135" s="217">
        <f t="shared" si="383"/>
        <v>6.9203442217177731</v>
      </c>
      <c r="DF135" s="173">
        <f t="shared" si="384"/>
        <v>1.1452682338758289</v>
      </c>
      <c r="DG135" s="173">
        <f t="shared" si="385"/>
        <v>1.3869888208084145</v>
      </c>
      <c r="DH135" s="173"/>
      <c r="DI135" s="173">
        <f t="shared" si="386"/>
        <v>0.55164319248826299</v>
      </c>
      <c r="DJ135" s="545">
        <f t="shared" si="387"/>
        <v>679.78723404255311</v>
      </c>
      <c r="DK135" s="528">
        <f t="shared" si="388"/>
        <v>0.3217918622848201</v>
      </c>
      <c r="DM135" s="173">
        <f t="shared" si="389"/>
        <v>4.6454867465597198</v>
      </c>
      <c r="DN135" s="173">
        <f t="shared" si="390"/>
        <v>4.6454867465597198</v>
      </c>
      <c r="DO135" s="173">
        <f t="shared" si="391"/>
        <v>2.1719654912788044</v>
      </c>
      <c r="DQ135" s="545">
        <f t="shared" si="392"/>
        <v>625</v>
      </c>
      <c r="DR135" s="460">
        <f t="shared" si="393"/>
        <v>350</v>
      </c>
      <c r="DT135">
        <f t="shared" si="430"/>
        <v>625</v>
      </c>
      <c r="DU135">
        <f t="shared" si="431"/>
        <v>350</v>
      </c>
      <c r="DW135" s="5">
        <f t="shared" si="394"/>
        <v>2.8571428571428572</v>
      </c>
      <c r="DX135" s="5">
        <f t="shared" si="395"/>
        <v>1.1491467215174045</v>
      </c>
      <c r="DY135" s="5">
        <f t="shared" si="396"/>
        <v>1.7079961356254527</v>
      </c>
      <c r="DZ135" s="5"/>
      <c r="EA135" s="173">
        <f t="shared" si="397"/>
        <v>0.40220135253109157</v>
      </c>
      <c r="EB135" s="173">
        <f t="shared" si="398"/>
        <v>17.750000000000004</v>
      </c>
      <c r="EC135" s="173">
        <f t="shared" si="399"/>
        <v>1.3885328469640701</v>
      </c>
      <c r="ED135" s="173">
        <f t="shared" si="400"/>
        <v>12.783276995433804</v>
      </c>
      <c r="EE135" s="460">
        <f t="shared" si="401"/>
        <v>2.5650596462442063</v>
      </c>
      <c r="EF135" s="5">
        <f t="shared" si="402"/>
        <v>1.1236816681746398</v>
      </c>
      <c r="EH135" s="173">
        <f t="shared" si="403"/>
        <v>1.7009531873818242</v>
      </c>
      <c r="EI135" s="173">
        <f t="shared" si="404"/>
        <v>2.0737101915382525</v>
      </c>
      <c r="EK135" s="528">
        <f t="shared" si="405"/>
        <v>3.4718900947972649E-2</v>
      </c>
      <c r="EL135" s="528">
        <f t="shared" si="406"/>
        <v>1.4643038773830894</v>
      </c>
      <c r="EM135" s="528">
        <f t="shared" si="407"/>
        <v>4.0250000000000001E-2</v>
      </c>
      <c r="EN135" s="528">
        <f t="shared" si="408"/>
        <v>0.38728525499999999</v>
      </c>
      <c r="EO135">
        <f t="shared" si="409"/>
        <v>8.5500000000000003E-3</v>
      </c>
      <c r="EP135" s="460">
        <f t="shared" si="410"/>
        <v>48.800000000000004</v>
      </c>
      <c r="EQ135" s="460"/>
      <c r="ER135" s="460">
        <f t="shared" si="432"/>
        <v>1935.108033331062</v>
      </c>
      <c r="ES135" s="528">
        <f t="shared" si="411"/>
        <v>0.4375</v>
      </c>
      <c r="EV135" s="460">
        <f t="shared" si="412"/>
        <v>437.5</v>
      </c>
      <c r="EW135" s="528">
        <f t="shared" si="413"/>
        <v>4.050538443930142E-2</v>
      </c>
      <c r="EX135" s="528">
        <f t="shared" si="414"/>
        <v>6.0203835418854629E-2</v>
      </c>
      <c r="EY135" s="528">
        <f t="shared" si="415"/>
        <v>5.3298891736236627</v>
      </c>
      <c r="EZ135" s="528"/>
      <c r="FA135" s="528">
        <f t="shared" si="416"/>
        <v>0.75531914893617058</v>
      </c>
      <c r="FB135" s="460">
        <f t="shared" si="417"/>
        <v>6185.9175424179894</v>
      </c>
      <c r="FC135" s="173">
        <f t="shared" si="418"/>
        <v>8.5585255757490515</v>
      </c>
      <c r="FD135" s="5">
        <f t="shared" si="419"/>
        <v>17.5</v>
      </c>
      <c r="FE135" s="173">
        <f t="shared" si="420"/>
        <v>0.67156524067831735</v>
      </c>
      <c r="FF135" s="5">
        <f t="shared" si="421"/>
        <v>67.156524067831739</v>
      </c>
      <c r="FI135" s="562">
        <f t="shared" si="422"/>
        <v>-50</v>
      </c>
      <c r="FJ135">
        <f t="shared" si="423"/>
        <v>-50</v>
      </c>
      <c r="FL135">
        <f t="shared" si="424"/>
        <v>0.26907836965108234</v>
      </c>
    </row>
    <row r="136" spans="5:168">
      <c r="E136" s="170">
        <v>26</v>
      </c>
      <c r="F136" s="217">
        <f t="shared" si="425"/>
        <v>0.65</v>
      </c>
      <c r="G136" s="217"/>
      <c r="H136" s="217">
        <f t="shared" si="315"/>
        <v>18.2</v>
      </c>
      <c r="I136" s="541">
        <f t="shared" si="316"/>
        <v>18.938847939788712</v>
      </c>
      <c r="J136" s="172">
        <f t="shared" si="317"/>
        <v>28.432928032421461</v>
      </c>
      <c r="K136" s="172">
        <f t="shared" si="318"/>
        <v>47.371775972210173</v>
      </c>
      <c r="L136" s="443"/>
      <c r="M136" s="217">
        <f t="shared" si="319"/>
        <v>0.60021017042543312</v>
      </c>
      <c r="N136" s="172">
        <f t="shared" si="426"/>
        <v>95.416702645470821</v>
      </c>
      <c r="O136" s="172">
        <f t="shared" si="438"/>
        <v>18.2</v>
      </c>
      <c r="P136" s="217">
        <f t="shared" si="320"/>
        <v>3.4077393801953866</v>
      </c>
      <c r="Q136" s="217">
        <f t="shared" si="321"/>
        <v>28</v>
      </c>
      <c r="R136" s="217"/>
      <c r="S136" s="172">
        <f t="shared" si="322"/>
        <v>223.90066891539354</v>
      </c>
      <c r="T136" s="172">
        <f t="shared" si="323"/>
        <v>28</v>
      </c>
      <c r="U136" s="217">
        <f t="shared" si="324"/>
        <v>3.251708532414106</v>
      </c>
      <c r="V136" s="217">
        <f t="shared" si="325"/>
        <v>0.8069672532846156</v>
      </c>
      <c r="W136" s="217">
        <f t="shared" si="326"/>
        <v>0.53751165145282909</v>
      </c>
      <c r="X136" s="197">
        <f t="shared" si="327"/>
        <v>350</v>
      </c>
      <c r="Y136" s="443">
        <f t="shared" si="328"/>
        <v>350</v>
      </c>
      <c r="AA136" s="217">
        <f t="shared" si="329"/>
        <v>6.9101833983120402</v>
      </c>
      <c r="AB136" s="173">
        <f t="shared" si="330"/>
        <v>1.142262307105085</v>
      </c>
      <c r="AC136" s="173">
        <f t="shared" si="331"/>
        <v>1.3813173554381544</v>
      </c>
      <c r="AD136" s="173"/>
      <c r="AE136" s="173">
        <f t="shared" si="332"/>
        <v>0.55100433725300113</v>
      </c>
      <c r="AF136" s="545">
        <f t="shared" si="333"/>
        <v>707.79842123261949</v>
      </c>
      <c r="AG136" s="528">
        <f t="shared" si="334"/>
        <v>0.32141919673091734</v>
      </c>
      <c r="AI136" s="173">
        <f t="shared" si="335"/>
        <v>4.7402311283567053</v>
      </c>
      <c r="AJ136" s="173">
        <f t="shared" si="336"/>
        <v>4.7402311283567053</v>
      </c>
      <c r="AK136" s="173">
        <f t="shared" si="337"/>
        <v>2.2421465148321271</v>
      </c>
      <c r="AM136" s="545">
        <f t="shared" si="338"/>
        <v>650</v>
      </c>
      <c r="AN136" s="460">
        <f t="shared" si="339"/>
        <v>350</v>
      </c>
      <c r="AP136" s="460">
        <f t="shared" si="340"/>
        <v>650</v>
      </c>
      <c r="AQ136" s="460">
        <f t="shared" si="341"/>
        <v>350</v>
      </c>
      <c r="AS136" s="5">
        <f t="shared" si="439"/>
        <v>2.8571428571428572</v>
      </c>
      <c r="AT136" s="5">
        <f t="shared" si="342"/>
        <v>1.1763696701144257</v>
      </c>
      <c r="AU136" s="5">
        <f t="shared" si="343"/>
        <v>1.6807731870284315</v>
      </c>
      <c r="AV136" s="5"/>
      <c r="AW136" s="173">
        <f t="shared" si="344"/>
        <v>0.41172938454004898</v>
      </c>
      <c r="AX136" s="173">
        <f t="shared" si="435"/>
        <v>18.481403221073947</v>
      </c>
      <c r="AY136" s="173">
        <f t="shared" si="436"/>
        <v>1.3942693416504086</v>
      </c>
      <c r="AZ136" s="173">
        <f t="shared" si="440"/>
        <v>13.255260421345385</v>
      </c>
      <c r="BA136" s="460">
        <f t="shared" si="433"/>
        <v>2.7308581627656312</v>
      </c>
      <c r="BB136" s="5">
        <f t="shared" si="434"/>
        <v>1.1537159757993902</v>
      </c>
      <c r="BD136" s="173">
        <f t="shared" si="441"/>
        <v>1.7560821242216558</v>
      </c>
      <c r="BE136" s="173">
        <f t="shared" si="437"/>
        <v>2.0990726420024437</v>
      </c>
      <c r="BG136" s="528">
        <f t="shared" si="347"/>
        <v>3.7005893124130114E-2</v>
      </c>
      <c r="BH136" s="528">
        <f t="shared" si="348"/>
        <v>1.434333354653307</v>
      </c>
      <c r="BI136" s="528">
        <f t="shared" si="349"/>
        <v>4.0250000000000001E-2</v>
      </c>
      <c r="BJ136" s="528">
        <f t="shared" si="350"/>
        <v>0.38682417924147383</v>
      </c>
      <c r="BK136">
        <f t="shared" si="351"/>
        <v>8.5224815729049198E-3</v>
      </c>
      <c r="BL136" s="460">
        <f t="shared" si="427"/>
        <v>48.772481572904923</v>
      </c>
      <c r="BM136" s="528">
        <f t="shared" si="352"/>
        <v>1.8847266662367861</v>
      </c>
      <c r="BN136" s="460">
        <f t="shared" si="353"/>
        <v>1884.7266662367861</v>
      </c>
      <c r="BO136" s="528">
        <f t="shared" si="354"/>
        <v>0.45499999999999996</v>
      </c>
      <c r="BR136" s="460">
        <f t="shared" si="355"/>
        <v>454.99999999999994</v>
      </c>
      <c r="BS136" s="528">
        <f t="shared" si="356"/>
        <v>4.3173541978151805E-2</v>
      </c>
      <c r="BT136" s="528">
        <f t="shared" si="357"/>
        <v>6.1685483389643678E-2</v>
      </c>
      <c r="BU136" s="528">
        <f t="shared" si="358"/>
        <v>5.6058169187938711</v>
      </c>
      <c r="BV136" s="528"/>
      <c r="BW136" s="528">
        <f t="shared" si="359"/>
        <v>0.78644269025846614</v>
      </c>
      <c r="BX136" s="460">
        <f t="shared" si="360"/>
        <v>6497.1186344201324</v>
      </c>
      <c r="BY136" s="173">
        <f t="shared" si="361"/>
        <v>8.8590545430119487</v>
      </c>
      <c r="BZ136" s="5">
        <f t="shared" si="362"/>
        <v>18.2</v>
      </c>
      <c r="CA136" s="173">
        <f t="shared" si="363"/>
        <v>0.67260295333194431</v>
      </c>
      <c r="CB136" s="5">
        <f t="shared" si="364"/>
        <v>67.260295333194435</v>
      </c>
      <c r="CE136" s="562">
        <f t="shared" si="365"/>
        <v>-50</v>
      </c>
      <c r="CF136">
        <f t="shared" si="366"/>
        <v>-50</v>
      </c>
      <c r="CG136" s="173">
        <f t="shared" si="367"/>
        <v>0.27636027210870956</v>
      </c>
      <c r="CI136" s="170">
        <v>26</v>
      </c>
      <c r="CJ136" s="217">
        <f t="shared" si="428"/>
        <v>0.65</v>
      </c>
      <c r="CK136" s="217"/>
      <c r="CL136" s="217">
        <f t="shared" si="368"/>
        <v>18.2</v>
      </c>
      <c r="CM136" s="541">
        <f t="shared" si="369"/>
        <v>19</v>
      </c>
      <c r="CN136" s="443">
        <f t="shared" si="370"/>
        <v>28.4</v>
      </c>
      <c r="CO136" s="443">
        <f t="shared" si="371"/>
        <v>47.4</v>
      </c>
      <c r="CP136" s="443"/>
      <c r="CQ136" s="217">
        <f t="shared" si="372"/>
        <v>0.59915611814345993</v>
      </c>
      <c r="CR136" s="172">
        <f t="shared" si="429"/>
        <v>95.556689708830859</v>
      </c>
      <c r="CS136" s="172">
        <f t="shared" si="373"/>
        <v>18.2</v>
      </c>
      <c r="CT136" s="217">
        <f t="shared" si="374"/>
        <v>3.4127389181725305</v>
      </c>
      <c r="CU136" s="217">
        <f t="shared" si="375"/>
        <v>28</v>
      </c>
      <c r="CV136" s="217"/>
      <c r="CW136" s="172">
        <f t="shared" si="376"/>
        <v>224.62351783731134</v>
      </c>
      <c r="CX136" s="172">
        <f t="shared" si="377"/>
        <v>28</v>
      </c>
      <c r="CY136" s="217">
        <f t="shared" si="378"/>
        <v>3.1974796145292808</v>
      </c>
      <c r="CZ136" s="217">
        <f t="shared" si="379"/>
        <v>0.7909554835940853</v>
      </c>
      <c r="DA136" s="217">
        <f t="shared" si="380"/>
        <v>0.52916035874252187</v>
      </c>
      <c r="DB136" s="197">
        <f t="shared" si="381"/>
        <v>350</v>
      </c>
      <c r="DC136" s="443">
        <f t="shared" si="382"/>
        <v>350</v>
      </c>
      <c r="DE136" s="217">
        <f t="shared" si="383"/>
        <v>6.9203442217177731</v>
      </c>
      <c r="DF136" s="173">
        <f t="shared" si="384"/>
        <v>1.1452682338758289</v>
      </c>
      <c r="DG136" s="173">
        <f t="shared" si="385"/>
        <v>1.3869888208084145</v>
      </c>
      <c r="DH136" s="173"/>
      <c r="DI136" s="173">
        <f t="shared" si="386"/>
        <v>0.55164319248826299</v>
      </c>
      <c r="DJ136" s="545">
        <f t="shared" si="387"/>
        <v>706.97872340425522</v>
      </c>
      <c r="DK136" s="528">
        <f t="shared" si="388"/>
        <v>0.3217918622848201</v>
      </c>
      <c r="DM136" s="173">
        <f t="shared" si="389"/>
        <v>4.7374855141689336</v>
      </c>
      <c r="DN136" s="173">
        <f t="shared" si="390"/>
        <v>4.7374855141689336</v>
      </c>
      <c r="DO136" s="173">
        <f t="shared" si="391"/>
        <v>2.240112726544889</v>
      </c>
      <c r="DQ136" s="545">
        <f t="shared" si="392"/>
        <v>650</v>
      </c>
      <c r="DR136" s="460">
        <f t="shared" si="393"/>
        <v>350</v>
      </c>
      <c r="DT136">
        <f t="shared" si="430"/>
        <v>650</v>
      </c>
      <c r="DU136">
        <f t="shared" si="431"/>
        <v>350</v>
      </c>
      <c r="DW136" s="5">
        <f t="shared" si="394"/>
        <v>2.8571428571428572</v>
      </c>
      <c r="DX136" s="5">
        <f t="shared" si="395"/>
        <v>1.1719043113996834</v>
      </c>
      <c r="DY136" s="5">
        <f t="shared" si="396"/>
        <v>1.6852385457431738</v>
      </c>
      <c r="DZ136" s="5"/>
      <c r="EA136" s="173">
        <f t="shared" si="397"/>
        <v>0.41016650898988921</v>
      </c>
      <c r="EB136" s="173">
        <f t="shared" si="398"/>
        <v>18.46</v>
      </c>
      <c r="EC136" s="173">
        <f t="shared" si="399"/>
        <v>1.3971638097160459</v>
      </c>
      <c r="ED136" s="173">
        <f t="shared" si="400"/>
        <v>13.212480792607803</v>
      </c>
      <c r="EE136" s="460">
        <f t="shared" si="401"/>
        <v>2.7204921514635512</v>
      </c>
      <c r="EF136" s="5">
        <f t="shared" si="402"/>
        <v>1.1530579523505924</v>
      </c>
      <c r="EH136" s="173">
        <f t="shared" si="403"/>
        <v>1.7517307991487341</v>
      </c>
      <c r="EI136" s="173">
        <f t="shared" si="404"/>
        <v>2.1006416971092188</v>
      </c>
      <c r="EK136" s="528">
        <f t="shared" si="405"/>
        <v>3.6822729512235149E-2</v>
      </c>
      <c r="EL136" s="528">
        <f t="shared" si="406"/>
        <v>1.4933028089211897</v>
      </c>
      <c r="EM136" s="528">
        <f t="shared" si="407"/>
        <v>4.0250000000000001E-2</v>
      </c>
      <c r="EN136" s="528">
        <f t="shared" si="408"/>
        <v>0.38728525499999999</v>
      </c>
      <c r="EO136">
        <f t="shared" si="409"/>
        <v>8.5500000000000003E-3</v>
      </c>
      <c r="EP136" s="460">
        <f t="shared" si="410"/>
        <v>48.800000000000004</v>
      </c>
      <c r="EQ136" s="460"/>
      <c r="ER136" s="460">
        <f t="shared" si="432"/>
        <v>1966.2107934334249</v>
      </c>
      <c r="ES136" s="528">
        <f t="shared" si="411"/>
        <v>0.45499999999999996</v>
      </c>
      <c r="EV136" s="460">
        <f t="shared" si="412"/>
        <v>454.99999999999994</v>
      </c>
      <c r="EW136" s="528">
        <f t="shared" si="413"/>
        <v>4.2959851097607679E-2</v>
      </c>
      <c r="EX136" s="528">
        <f t="shared" si="414"/>
        <v>6.1777737554874583E-2</v>
      </c>
      <c r="EY136" s="528">
        <f t="shared" si="415"/>
        <v>5.5977030080528163</v>
      </c>
      <c r="EZ136" s="528"/>
      <c r="FA136" s="528">
        <f t="shared" si="416"/>
        <v>0.78553191489361707</v>
      </c>
      <c r="FB136" s="460">
        <f t="shared" si="417"/>
        <v>6487.9725115989149</v>
      </c>
      <c r="FC136" s="173">
        <f t="shared" si="418"/>
        <v>8.9091833050323412</v>
      </c>
      <c r="FD136" s="5">
        <f t="shared" si="419"/>
        <v>18.2</v>
      </c>
      <c r="FE136" s="173">
        <f t="shared" si="420"/>
        <v>0.67135921415314248</v>
      </c>
      <c r="FF136" s="5">
        <f t="shared" si="421"/>
        <v>67.135921415314243</v>
      </c>
      <c r="FI136" s="562">
        <f t="shared" si="422"/>
        <v>-50</v>
      </c>
      <c r="FJ136">
        <f t="shared" si="423"/>
        <v>-50</v>
      </c>
      <c r="FL136">
        <f t="shared" si="424"/>
        <v>0.27440717150732025</v>
      </c>
    </row>
    <row r="137" spans="5:168">
      <c r="E137" s="170">
        <v>27</v>
      </c>
      <c r="F137" s="217">
        <f t="shared" si="425"/>
        <v>0.67500000000000004</v>
      </c>
      <c r="G137" s="217"/>
      <c r="H137" s="217">
        <f t="shared" si="315"/>
        <v>18.900000000000002</v>
      </c>
      <c r="I137" s="541">
        <f t="shared" si="316"/>
        <v>18.937683033968916</v>
      </c>
      <c r="J137" s="172">
        <f t="shared" si="317"/>
        <v>28.433555289401351</v>
      </c>
      <c r="K137" s="172">
        <f t="shared" si="318"/>
        <v>47.371238323370264</v>
      </c>
      <c r="L137" s="443"/>
      <c r="M137" s="217">
        <f t="shared" si="319"/>
        <v>0.60023026150572278</v>
      </c>
      <c r="N137" s="172">
        <f t="shared" si="426"/>
        <v>95.414027404364617</v>
      </c>
      <c r="O137" s="172">
        <f t="shared" si="438"/>
        <v>18.900000000000002</v>
      </c>
      <c r="P137" s="217">
        <f t="shared" si="320"/>
        <v>3.4076438358701648</v>
      </c>
      <c r="Q137" s="217">
        <f t="shared" si="321"/>
        <v>28</v>
      </c>
      <c r="R137" s="217"/>
      <c r="S137" s="172">
        <f t="shared" si="322"/>
        <v>214.89605739024597</v>
      </c>
      <c r="T137" s="172">
        <f t="shared" si="323"/>
        <v>28</v>
      </c>
      <c r="U137" s="217">
        <f t="shared" si="324"/>
        <v>3.3769439504969583</v>
      </c>
      <c r="V137" s="217">
        <f t="shared" si="325"/>
        <v>0.83809812102496473</v>
      </c>
      <c r="W137" s="217">
        <f t="shared" si="326"/>
        <v>0.55820091458108567</v>
      </c>
      <c r="X137" s="197">
        <f t="shared" si="327"/>
        <v>350</v>
      </c>
      <c r="Y137" s="443">
        <f t="shared" si="328"/>
        <v>350</v>
      </c>
      <c r="AA137" s="217">
        <f t="shared" si="329"/>
        <v>6.9099892222917445</v>
      </c>
      <c r="AB137" s="173">
        <f t="shared" si="330"/>
        <v>1.1422050114456501</v>
      </c>
      <c r="AC137" s="173">
        <f t="shared" si="331"/>
        <v>1.3812092557789859</v>
      </c>
      <c r="AD137" s="173"/>
      <c r="AE137" s="173">
        <f t="shared" si="332"/>
        <v>0.55099218185023935</v>
      </c>
      <c r="AF137" s="545">
        <f t="shared" si="333"/>
        <v>735.03765269409882</v>
      </c>
      <c r="AG137" s="528">
        <f t="shared" si="334"/>
        <v>0.32141210607930631</v>
      </c>
      <c r="AI137" s="173">
        <f t="shared" si="335"/>
        <v>4.8305826415615245</v>
      </c>
      <c r="AJ137" s="173">
        <f t="shared" si="336"/>
        <v>4.8305826415615245</v>
      </c>
      <c r="AK137" s="173">
        <f t="shared" si="337"/>
        <v>2.3090735616505116</v>
      </c>
      <c r="AM137" s="545">
        <f t="shared" si="338"/>
        <v>675</v>
      </c>
      <c r="AN137" s="460">
        <f t="shared" si="339"/>
        <v>350</v>
      </c>
      <c r="AP137" s="460">
        <f t="shared" si="340"/>
        <v>675</v>
      </c>
      <c r="AQ137" s="460">
        <f t="shared" si="341"/>
        <v>350</v>
      </c>
      <c r="AS137" s="5">
        <f t="shared" si="439"/>
        <v>2.8571428571428572</v>
      </c>
      <c r="AT137" s="5">
        <f t="shared" si="342"/>
        <v>1.198865688828723</v>
      </c>
      <c r="AU137" s="5">
        <f t="shared" si="343"/>
        <v>1.6582771683141342</v>
      </c>
      <c r="AV137" s="5"/>
      <c r="AW137" s="173">
        <f t="shared" si="344"/>
        <v>0.41960299109005306</v>
      </c>
      <c r="AX137" s="173">
        <f t="shared" si="435"/>
        <v>19.192649820345913</v>
      </c>
      <c r="AY137" s="173">
        <f t="shared" si="436"/>
        <v>1.4018278582273096</v>
      </c>
      <c r="AZ137" s="173">
        <f t="shared" si="440"/>
        <v>13.691160228914342</v>
      </c>
      <c r="BA137" s="460">
        <f t="shared" si="433"/>
        <v>2.8901226427121003</v>
      </c>
      <c r="BB137" s="5">
        <f t="shared" si="434"/>
        <v>1.1821267539479483</v>
      </c>
      <c r="BD137" s="173">
        <f t="shared" si="441"/>
        <v>1.8065840713101888</v>
      </c>
      <c r="BE137" s="173">
        <f t="shared" si="437"/>
        <v>2.1247188548778575</v>
      </c>
      <c r="BG137" s="528">
        <f t="shared" si="347"/>
        <v>3.9164952080540369E-2</v>
      </c>
      <c r="BH137" s="528">
        <f t="shared" si="348"/>
        <v>1.4616559784271106</v>
      </c>
      <c r="BI137" s="528">
        <f t="shared" si="349"/>
        <v>4.0250000000000001E-2</v>
      </c>
      <c r="BJ137" s="528">
        <f t="shared" si="350"/>
        <v>0.38681539872241005</v>
      </c>
      <c r="BK137">
        <f t="shared" si="351"/>
        <v>8.5219573652860117E-3</v>
      </c>
      <c r="BL137" s="460">
        <f t="shared" si="427"/>
        <v>48.771957365286013</v>
      </c>
      <c r="BM137" s="528">
        <f t="shared" si="352"/>
        <v>1.9160407610465693</v>
      </c>
      <c r="BN137" s="460">
        <f t="shared" si="353"/>
        <v>1916.0407610465693</v>
      </c>
      <c r="BO137" s="528">
        <f t="shared" si="354"/>
        <v>0.47249999999999998</v>
      </c>
      <c r="BR137" s="460">
        <f t="shared" si="355"/>
        <v>472.5</v>
      </c>
      <c r="BS137" s="528">
        <f t="shared" si="356"/>
        <v>4.5692444093963759E-2</v>
      </c>
      <c r="BT137" s="528">
        <f t="shared" si="357"/>
        <v>6.3202022971828642E-2</v>
      </c>
      <c r="BU137" s="528">
        <f t="shared" si="358"/>
        <v>5.8767728720931247</v>
      </c>
      <c r="BV137" s="528"/>
      <c r="BW137" s="528">
        <f t="shared" si="359"/>
        <v>0.81670850299344322</v>
      </c>
      <c r="BX137" s="460">
        <f t="shared" si="360"/>
        <v>6802.3758421523607</v>
      </c>
      <c r="BY137" s="173">
        <f t="shared" si="361"/>
        <v>9.2112841287477067</v>
      </c>
      <c r="BZ137" s="5">
        <f t="shared" si="362"/>
        <v>18.900000000000002</v>
      </c>
      <c r="CA137" s="173">
        <f t="shared" si="363"/>
        <v>0.67232787778172387</v>
      </c>
      <c r="CB137" s="5">
        <f t="shared" si="364"/>
        <v>67.232787778172394</v>
      </c>
      <c r="CE137" s="562">
        <f t="shared" si="365"/>
        <v>-50</v>
      </c>
      <c r="CF137">
        <f t="shared" si="366"/>
        <v>-50</v>
      </c>
      <c r="CG137" s="173">
        <f t="shared" si="367"/>
        <v>0.28162475033277884</v>
      </c>
      <c r="CI137" s="170">
        <v>27</v>
      </c>
      <c r="CJ137" s="217">
        <f t="shared" si="428"/>
        <v>0.67500000000000004</v>
      </c>
      <c r="CK137" s="217"/>
      <c r="CL137" s="217">
        <f t="shared" si="368"/>
        <v>18.900000000000002</v>
      </c>
      <c r="CM137" s="541">
        <f t="shared" si="369"/>
        <v>19</v>
      </c>
      <c r="CN137" s="443">
        <f t="shared" si="370"/>
        <v>28.4</v>
      </c>
      <c r="CO137" s="443">
        <f t="shared" si="371"/>
        <v>47.4</v>
      </c>
      <c r="CP137" s="443"/>
      <c r="CQ137" s="217">
        <f t="shared" si="372"/>
        <v>0.59915611814345993</v>
      </c>
      <c r="CR137" s="172">
        <f t="shared" si="429"/>
        <v>95.556689708830859</v>
      </c>
      <c r="CS137" s="172">
        <f t="shared" si="373"/>
        <v>18.900000000000002</v>
      </c>
      <c r="CT137" s="217">
        <f t="shared" si="374"/>
        <v>3.4127389181725305</v>
      </c>
      <c r="CU137" s="217">
        <f t="shared" si="375"/>
        <v>28</v>
      </c>
      <c r="CV137" s="217"/>
      <c r="CW137" s="172">
        <f t="shared" si="376"/>
        <v>215.60308591708176</v>
      </c>
      <c r="CX137" s="172">
        <f t="shared" si="377"/>
        <v>28</v>
      </c>
      <c r="CY137" s="217">
        <f t="shared" si="378"/>
        <v>3.3204595997034843</v>
      </c>
      <c r="CZ137" s="217">
        <f t="shared" si="379"/>
        <v>0.82137684834770397</v>
      </c>
      <c r="DA137" s="217">
        <f t="shared" si="380"/>
        <v>0.5495126802326189</v>
      </c>
      <c r="DB137" s="197">
        <f t="shared" si="381"/>
        <v>350</v>
      </c>
      <c r="DC137" s="443">
        <f t="shared" si="382"/>
        <v>350</v>
      </c>
      <c r="DE137" s="217">
        <f t="shared" si="383"/>
        <v>6.9203442217177731</v>
      </c>
      <c r="DF137" s="173">
        <f t="shared" si="384"/>
        <v>1.1452682338758289</v>
      </c>
      <c r="DG137" s="173">
        <f t="shared" si="385"/>
        <v>1.3869888208084145</v>
      </c>
      <c r="DH137" s="173"/>
      <c r="DI137" s="173">
        <f t="shared" si="386"/>
        <v>0.55164319248826299</v>
      </c>
      <c r="DJ137" s="545">
        <f t="shared" si="387"/>
        <v>734.17021276595744</v>
      </c>
      <c r="DK137" s="528">
        <f t="shared" si="388"/>
        <v>0.3217918622848201</v>
      </c>
      <c r="DM137" s="173">
        <f t="shared" si="389"/>
        <v>4.8277314425575675</v>
      </c>
      <c r="DN137" s="173">
        <f t="shared" si="390"/>
        <v>4.8277314425575675</v>
      </c>
      <c r="DO137" s="173">
        <f t="shared" si="391"/>
        <v>2.3069615623883215</v>
      </c>
      <c r="DQ137" s="545">
        <f t="shared" si="392"/>
        <v>675</v>
      </c>
      <c r="DR137" s="460">
        <f t="shared" si="393"/>
        <v>350</v>
      </c>
      <c r="DT137">
        <f t="shared" si="430"/>
        <v>675</v>
      </c>
      <c r="DU137">
        <f t="shared" si="431"/>
        <v>350</v>
      </c>
      <c r="DW137" s="5">
        <f t="shared" si="394"/>
        <v>2.8571428571428572</v>
      </c>
      <c r="DX137" s="5">
        <f t="shared" si="395"/>
        <v>1.1942283042116086</v>
      </c>
      <c r="DY137" s="5">
        <f t="shared" si="396"/>
        <v>1.6629145529312486</v>
      </c>
      <c r="DZ137" s="5"/>
      <c r="EA137" s="173">
        <f t="shared" si="397"/>
        <v>0.41797990647406302</v>
      </c>
      <c r="EB137" s="173">
        <f t="shared" si="398"/>
        <v>19.170000000000002</v>
      </c>
      <c r="EC137" s="173">
        <f t="shared" si="399"/>
        <v>1.4049183528577309</v>
      </c>
      <c r="ED137" s="173">
        <f t="shared" si="400"/>
        <v>13.644921045416261</v>
      </c>
      <c r="EE137" s="460">
        <f t="shared" si="401"/>
        <v>2.8789432333672709</v>
      </c>
      <c r="EF137" s="5">
        <f t="shared" si="402"/>
        <v>1.1815445507669398</v>
      </c>
      <c r="EH137" s="173">
        <f t="shared" si="403"/>
        <v>1.8020223702666274</v>
      </c>
      <c r="EI137" s="173">
        <f t="shared" si="404"/>
        <v>2.1264318323296827</v>
      </c>
      <c r="EK137" s="528">
        <f t="shared" si="405"/>
        <v>3.8967415475296245E-2</v>
      </c>
      <c r="EL137" s="528">
        <f t="shared" si="406"/>
        <v>1.5217492280085709</v>
      </c>
      <c r="EM137" s="528">
        <f t="shared" si="407"/>
        <v>4.0250000000000001E-2</v>
      </c>
      <c r="EN137" s="528">
        <f t="shared" si="408"/>
        <v>0.38728525499999999</v>
      </c>
      <c r="EO137">
        <f t="shared" si="409"/>
        <v>8.5500000000000003E-3</v>
      </c>
      <c r="EP137" s="460">
        <f t="shared" si="410"/>
        <v>48.800000000000004</v>
      </c>
      <c r="EQ137" s="460"/>
      <c r="ER137" s="460">
        <f t="shared" si="432"/>
        <v>1996.8018984838668</v>
      </c>
      <c r="ES137" s="528">
        <f t="shared" si="411"/>
        <v>0.47249999999999998</v>
      </c>
      <c r="EV137" s="460">
        <f t="shared" si="412"/>
        <v>472.5</v>
      </c>
      <c r="EW137" s="528">
        <f t="shared" si="413"/>
        <v>4.5461984721178954E-2</v>
      </c>
      <c r="EX137" s="528">
        <f t="shared" si="414"/>
        <v>6.3303972725629598E-2</v>
      </c>
      <c r="EY137" s="528">
        <f t="shared" si="415"/>
        <v>5.8681049569246397</v>
      </c>
      <c r="EZ137" s="528"/>
      <c r="FA137" s="528">
        <f t="shared" si="416"/>
        <v>0.81574468085106411</v>
      </c>
      <c r="FB137" s="460">
        <f t="shared" si="417"/>
        <v>6792.6155952225126</v>
      </c>
      <c r="FC137" s="173">
        <f t="shared" si="418"/>
        <v>9.2619174937063811</v>
      </c>
      <c r="FD137" s="5">
        <f t="shared" si="419"/>
        <v>18.900000000000002</v>
      </c>
      <c r="FE137" s="173">
        <f t="shared" si="420"/>
        <v>0.67111907433944329</v>
      </c>
      <c r="FF137" s="5">
        <f t="shared" si="421"/>
        <v>67.111907433944324</v>
      </c>
      <c r="FI137" s="562">
        <f t="shared" si="422"/>
        <v>-50</v>
      </c>
      <c r="FJ137">
        <f t="shared" si="423"/>
        <v>-50</v>
      </c>
      <c r="FL137">
        <f t="shared" si="424"/>
        <v>0.27963444447208446</v>
      </c>
    </row>
    <row r="138" spans="5:168">
      <c r="E138" s="170">
        <v>28</v>
      </c>
      <c r="F138" s="217">
        <f t="shared" si="425"/>
        <v>0.70000000000000007</v>
      </c>
      <c r="G138" s="217"/>
      <c r="H138" s="217">
        <f t="shared" si="315"/>
        <v>19.600000000000001</v>
      </c>
      <c r="I138" s="541">
        <f t="shared" si="316"/>
        <v>18.936539508018349</v>
      </c>
      <c r="J138" s="172">
        <f t="shared" si="317"/>
        <v>28.434171034143965</v>
      </c>
      <c r="K138" s="172">
        <f t="shared" si="318"/>
        <v>47.370710542162314</v>
      </c>
      <c r="L138" s="443"/>
      <c r="M138" s="217">
        <f t="shared" si="319"/>
        <v>0.60024998428822851</v>
      </c>
      <c r="N138" s="172">
        <f t="shared" si="426"/>
        <v>95.411400950533078</v>
      </c>
      <c r="O138" s="172">
        <f t="shared" si="438"/>
        <v>19.600000000000001</v>
      </c>
      <c r="P138" s="217">
        <f t="shared" si="320"/>
        <v>3.4075500339476101</v>
      </c>
      <c r="Q138" s="217">
        <f t="shared" si="321"/>
        <v>28</v>
      </c>
      <c r="R138" s="217"/>
      <c r="S138" s="172">
        <f t="shared" si="322"/>
        <v>206.53505846555055</v>
      </c>
      <c r="T138" s="172">
        <f t="shared" si="323"/>
        <v>28</v>
      </c>
      <c r="U138" s="217">
        <f t="shared" si="324"/>
        <v>3.5021887303925241</v>
      </c>
      <c r="V138" s="217">
        <f t="shared" si="325"/>
        <v>0.86923416107124729</v>
      </c>
      <c r="W138" s="217">
        <f t="shared" si="326"/>
        <v>0.57889104672962777</v>
      </c>
      <c r="X138" s="197">
        <f t="shared" si="327"/>
        <v>350</v>
      </c>
      <c r="Y138" s="443">
        <f t="shared" si="328"/>
        <v>350</v>
      </c>
      <c r="AA138" s="217">
        <f t="shared" si="329"/>
        <v>6.9097985875149011</v>
      </c>
      <c r="AB138" s="173">
        <f t="shared" si="330"/>
        <v>1.1421487660857967</v>
      </c>
      <c r="AC138" s="173">
        <f t="shared" si="331"/>
        <v>1.381103137860517</v>
      </c>
      <c r="AD138" s="173"/>
      <c r="AE138" s="173">
        <f t="shared" si="332"/>
        <v>0.55098025006088691</v>
      </c>
      <c r="AF138" s="545">
        <f t="shared" si="333"/>
        <v>762.27777666002964</v>
      </c>
      <c r="AG138" s="528">
        <f t="shared" si="334"/>
        <v>0.32140514586885066</v>
      </c>
      <c r="AI138" s="173">
        <f t="shared" si="335"/>
        <v>4.9192778430521491</v>
      </c>
      <c r="AJ138" s="173">
        <f t="shared" si="336"/>
        <v>4.9192778430521491</v>
      </c>
      <c r="AK138" s="173">
        <f t="shared" si="337"/>
        <v>2.3747737109028262</v>
      </c>
      <c r="AM138" s="545">
        <f t="shared" si="338"/>
        <v>700.00000000000011</v>
      </c>
      <c r="AN138" s="460">
        <f t="shared" si="339"/>
        <v>350</v>
      </c>
      <c r="AP138" s="460">
        <f t="shared" si="340"/>
        <v>700.00000000000011</v>
      </c>
      <c r="AQ138" s="460">
        <f t="shared" si="341"/>
        <v>350</v>
      </c>
      <c r="AS138" s="5">
        <f t="shared" si="439"/>
        <v>2.8571428571428572</v>
      </c>
      <c r="AT138" s="5">
        <f t="shared" si="342"/>
        <v>1.2209520040636295</v>
      </c>
      <c r="AU138" s="5">
        <f t="shared" si="343"/>
        <v>1.6361908530792277</v>
      </c>
      <c r="AV138" s="5"/>
      <c r="AW138" s="173">
        <f t="shared" si="344"/>
        <v>0.42733320142227033</v>
      </c>
      <c r="AX138" s="173">
        <f t="shared" si="435"/>
        <v>19.903919723900778</v>
      </c>
      <c r="AY138" s="173">
        <f t="shared" si="436"/>
        <v>1.4085535468475165</v>
      </c>
      <c r="AZ138" s="173">
        <f t="shared" si="440"/>
        <v>14.130751201079814</v>
      </c>
      <c r="BA138" s="460">
        <f t="shared" si="433"/>
        <v>3.0523800101590739</v>
      </c>
      <c r="BB138" s="5">
        <f t="shared" si="434"/>
        <v>1.2096545904498419</v>
      </c>
      <c r="BD138" s="173">
        <f t="shared" si="441"/>
        <v>1.8566243552591883</v>
      </c>
      <c r="BE138" s="173">
        <f t="shared" si="437"/>
        <v>2.1492737151201422</v>
      </c>
      <c r="BG138" s="528">
        <f t="shared" si="347"/>
        <v>4.1364647958499159E-2</v>
      </c>
      <c r="BH138" s="528">
        <f t="shared" si="348"/>
        <v>1.4884771243053081</v>
      </c>
      <c r="BI138" s="528">
        <f t="shared" si="349"/>
        <v>4.0250000000000001E-2</v>
      </c>
      <c r="BJ138" s="528">
        <f t="shared" si="350"/>
        <v>0.38680677945180036</v>
      </c>
      <c r="BK138">
        <f t="shared" si="351"/>
        <v>8.5214427786082566E-3</v>
      </c>
      <c r="BL138" s="460">
        <f t="shared" si="427"/>
        <v>48.771442778608261</v>
      </c>
      <c r="BM138" s="528">
        <f t="shared" si="352"/>
        <v>1.9469521200599103</v>
      </c>
      <c r="BN138" s="460">
        <f t="shared" si="353"/>
        <v>1946.9521200599102</v>
      </c>
      <c r="BO138" s="528">
        <f t="shared" si="354"/>
        <v>0.49</v>
      </c>
      <c r="BR138" s="460">
        <f t="shared" si="355"/>
        <v>490</v>
      </c>
      <c r="BS138" s="528">
        <f t="shared" si="356"/>
        <v>4.8258755951582355E-2</v>
      </c>
      <c r="BT138" s="528">
        <f t="shared" si="357"/>
        <v>6.4671285035088732E-2</v>
      </c>
      <c r="BU138" s="528">
        <f t="shared" si="358"/>
        <v>6.1502602890725901</v>
      </c>
      <c r="BV138" s="528"/>
      <c r="BW138" s="528">
        <f t="shared" si="359"/>
        <v>0.84697530740003335</v>
      </c>
      <c r="BX138" s="460">
        <f t="shared" si="360"/>
        <v>7110.1656374592949</v>
      </c>
      <c r="BY138" s="173">
        <f t="shared" si="361"/>
        <v>9.5655856319535104</v>
      </c>
      <c r="BZ138" s="5">
        <f t="shared" si="362"/>
        <v>19.600000000000001</v>
      </c>
      <c r="CA138" s="173">
        <f t="shared" si="363"/>
        <v>0.67202490796298109</v>
      </c>
      <c r="CB138" s="5">
        <f t="shared" si="364"/>
        <v>67.202490796298108</v>
      </c>
      <c r="CE138" s="562">
        <f t="shared" si="365"/>
        <v>-50</v>
      </c>
      <c r="CF138">
        <f t="shared" si="366"/>
        <v>-50</v>
      </c>
      <c r="CG138" s="173">
        <f t="shared" si="367"/>
        <v>0.28679260799399975</v>
      </c>
      <c r="CI138" s="170">
        <v>28</v>
      </c>
      <c r="CJ138" s="217">
        <f t="shared" si="428"/>
        <v>0.70000000000000007</v>
      </c>
      <c r="CK138" s="217"/>
      <c r="CL138" s="217">
        <f t="shared" si="368"/>
        <v>19.600000000000001</v>
      </c>
      <c r="CM138" s="541">
        <f t="shared" si="369"/>
        <v>19</v>
      </c>
      <c r="CN138" s="443">
        <f t="shared" si="370"/>
        <v>28.4</v>
      </c>
      <c r="CO138" s="443">
        <f t="shared" si="371"/>
        <v>47.4</v>
      </c>
      <c r="CP138" s="443"/>
      <c r="CQ138" s="217">
        <f t="shared" si="372"/>
        <v>0.59915611814345993</v>
      </c>
      <c r="CR138" s="172">
        <f t="shared" si="429"/>
        <v>95.556689708830859</v>
      </c>
      <c r="CS138" s="172">
        <f t="shared" si="373"/>
        <v>19.600000000000001</v>
      </c>
      <c r="CT138" s="217">
        <f t="shared" si="374"/>
        <v>3.4127389181725305</v>
      </c>
      <c r="CU138" s="217">
        <f t="shared" si="375"/>
        <v>28</v>
      </c>
      <c r="CV138" s="217"/>
      <c r="CW138" s="172">
        <f t="shared" si="376"/>
        <v>207.22708027887253</v>
      </c>
      <c r="CX138" s="172">
        <f t="shared" si="377"/>
        <v>28</v>
      </c>
      <c r="CY138" s="217">
        <f t="shared" si="378"/>
        <v>3.4434395848776873</v>
      </c>
      <c r="CZ138" s="217">
        <f t="shared" si="379"/>
        <v>0.85179821310132275</v>
      </c>
      <c r="DA138" s="217">
        <f t="shared" si="380"/>
        <v>0.56986500172271592</v>
      </c>
      <c r="DB138" s="197">
        <f t="shared" si="381"/>
        <v>350</v>
      </c>
      <c r="DC138" s="443">
        <f t="shared" si="382"/>
        <v>350</v>
      </c>
      <c r="DE138" s="217">
        <f t="shared" si="383"/>
        <v>6.9203442217177731</v>
      </c>
      <c r="DF138" s="173">
        <f t="shared" si="384"/>
        <v>1.1452682338758289</v>
      </c>
      <c r="DG138" s="173">
        <f t="shared" si="385"/>
        <v>1.3869888208084145</v>
      </c>
      <c r="DH138" s="173"/>
      <c r="DI138" s="173">
        <f t="shared" si="386"/>
        <v>0.55164319248826299</v>
      </c>
      <c r="DJ138" s="545">
        <f t="shared" si="387"/>
        <v>761.36170212765956</v>
      </c>
      <c r="DK138" s="528">
        <f t="shared" si="388"/>
        <v>0.3217918622848201</v>
      </c>
      <c r="DM138" s="173">
        <f t="shared" si="389"/>
        <v>4.916321060097423</v>
      </c>
      <c r="DN138" s="173">
        <f t="shared" si="390"/>
        <v>4.916321060097423</v>
      </c>
      <c r="DO138" s="173">
        <f t="shared" si="391"/>
        <v>2.3725835013067327</v>
      </c>
      <c r="DQ138" s="545">
        <f t="shared" si="392"/>
        <v>700.00000000000011</v>
      </c>
      <c r="DR138" s="460">
        <f t="shared" si="393"/>
        <v>350</v>
      </c>
      <c r="DT138">
        <f t="shared" si="430"/>
        <v>700.00000000000011</v>
      </c>
      <c r="DU138">
        <f t="shared" si="431"/>
        <v>350</v>
      </c>
      <c r="DW138" s="5">
        <f t="shared" si="394"/>
        <v>2.8571428571428572</v>
      </c>
      <c r="DX138" s="5">
        <f t="shared" si="395"/>
        <v>1.2161425780240993</v>
      </c>
      <c r="DY138" s="5">
        <f t="shared" si="396"/>
        <v>1.6410002791187579</v>
      </c>
      <c r="DZ138" s="5"/>
      <c r="EA138" s="173">
        <f t="shared" si="397"/>
        <v>0.42564990230843475</v>
      </c>
      <c r="EB138" s="173">
        <f t="shared" si="398"/>
        <v>19.88</v>
      </c>
      <c r="EC138" s="173">
        <f t="shared" si="399"/>
        <v>1.4118447405750272</v>
      </c>
      <c r="ED138" s="173">
        <f t="shared" si="400"/>
        <v>14.08086840476745</v>
      </c>
      <c r="EE138" s="460">
        <f t="shared" si="401"/>
        <v>3.0403564450602487</v>
      </c>
      <c r="EF138" s="5">
        <f t="shared" si="402"/>
        <v>1.2091581004032952</v>
      </c>
      <c r="EH138" s="173">
        <f t="shared" si="403"/>
        <v>1.8518503091596317</v>
      </c>
      <c r="EI138" s="173">
        <f t="shared" si="404"/>
        <v>2.1511364487446767</v>
      </c>
      <c r="EK138" s="528">
        <f t="shared" si="405"/>
        <v>4.1152194810415481E-2</v>
      </c>
      <c r="EL138" s="528">
        <f t="shared" si="406"/>
        <v>1.5496735613533088</v>
      </c>
      <c r="EM138" s="528">
        <f t="shared" si="407"/>
        <v>4.0250000000000001E-2</v>
      </c>
      <c r="EN138" s="528">
        <f t="shared" si="408"/>
        <v>0.38728525499999999</v>
      </c>
      <c r="EO138">
        <f t="shared" si="409"/>
        <v>8.5500000000000003E-3</v>
      </c>
      <c r="EP138" s="460">
        <f t="shared" si="410"/>
        <v>48.800000000000004</v>
      </c>
      <c r="EQ138" s="460"/>
      <c r="ER138" s="460">
        <f t="shared" si="432"/>
        <v>2026.9110111637242</v>
      </c>
      <c r="ES138" s="528">
        <f t="shared" si="411"/>
        <v>0.49</v>
      </c>
      <c r="EV138" s="460">
        <f t="shared" si="412"/>
        <v>490</v>
      </c>
      <c r="EW138" s="528">
        <f t="shared" si="413"/>
        <v>4.8010893945484731E-2</v>
      </c>
      <c r="EX138" s="528">
        <f t="shared" si="414"/>
        <v>6.4783432295650034E-2</v>
      </c>
      <c r="EY138" s="528">
        <f t="shared" si="415"/>
        <v>6.1410227604729579</v>
      </c>
      <c r="EZ138" s="528"/>
      <c r="FA138" s="528">
        <f t="shared" si="416"/>
        <v>0.8459574468085107</v>
      </c>
      <c r="FB138" s="460">
        <f t="shared" si="417"/>
        <v>7099.7745335226027</v>
      </c>
      <c r="FC138" s="173">
        <f t="shared" si="418"/>
        <v>9.6166855446863284</v>
      </c>
      <c r="FD138" s="5">
        <f t="shared" si="419"/>
        <v>19.600000000000001</v>
      </c>
      <c r="FE138" s="173">
        <f t="shared" si="420"/>
        <v>0.6708495380156041</v>
      </c>
      <c r="FF138" s="5">
        <f t="shared" si="421"/>
        <v>67.084953801560403</v>
      </c>
      <c r="FI138" s="562">
        <f t="shared" si="422"/>
        <v>-50</v>
      </c>
      <c r="FJ138">
        <f t="shared" si="423"/>
        <v>-50</v>
      </c>
      <c r="FL138">
        <f t="shared" si="424"/>
        <v>0.28476577971338951</v>
      </c>
    </row>
    <row r="139" spans="5:168">
      <c r="E139" s="170">
        <v>29</v>
      </c>
      <c r="F139" s="217">
        <f t="shared" si="425"/>
        <v>0.72499999999999998</v>
      </c>
      <c r="G139" s="217"/>
      <c r="H139" s="217">
        <f t="shared" si="315"/>
        <v>20.3</v>
      </c>
      <c r="I139" s="541">
        <f t="shared" si="316"/>
        <v>18.935416226265513</v>
      </c>
      <c r="J139" s="172">
        <f t="shared" si="317"/>
        <v>28.434775878164722</v>
      </c>
      <c r="K139" s="172">
        <f t="shared" si="318"/>
        <v>47.370192104430231</v>
      </c>
      <c r="L139" s="443"/>
      <c r="M139" s="217">
        <f t="shared" si="319"/>
        <v>0.60026935833647499</v>
      </c>
      <c r="N139" s="172">
        <f t="shared" si="426"/>
        <v>95.408820692448174</v>
      </c>
      <c r="O139" s="172">
        <f t="shared" si="438"/>
        <v>20.3</v>
      </c>
      <c r="P139" s="217">
        <f t="shared" si="320"/>
        <v>3.4074578818731491</v>
      </c>
      <c r="Q139" s="217">
        <f t="shared" si="321"/>
        <v>28</v>
      </c>
      <c r="R139" s="217"/>
      <c r="S139" s="172">
        <f t="shared" si="322"/>
        <v>198.75107840910746</v>
      </c>
      <c r="T139" s="172">
        <f t="shared" si="323"/>
        <v>28</v>
      </c>
      <c r="U139" s="217">
        <f t="shared" si="324"/>
        <v>3.6274427048315787</v>
      </c>
      <c r="V139" s="217">
        <f t="shared" si="325"/>
        <v>0.90037528137668299</v>
      </c>
      <c r="W139" s="217">
        <f t="shared" si="326"/>
        <v>0.59958203242953856</v>
      </c>
      <c r="X139" s="197">
        <f t="shared" si="327"/>
        <v>350</v>
      </c>
      <c r="Y139" s="443">
        <f t="shared" si="328"/>
        <v>350</v>
      </c>
      <c r="AA139" s="217">
        <f t="shared" si="329"/>
        <v>6.9096113058744315</v>
      </c>
      <c r="AB139" s="173">
        <f t="shared" si="330"/>
        <v>1.142093515234905</v>
      </c>
      <c r="AC139" s="173">
        <f t="shared" si="331"/>
        <v>1.38099889641577</v>
      </c>
      <c r="AD139" s="173"/>
      <c r="AE139" s="173">
        <f t="shared" si="332"/>
        <v>0.55096853000685042</v>
      </c>
      <c r="AF139" s="545">
        <f t="shared" si="333"/>
        <v>789.5187770426586</v>
      </c>
      <c r="AG139" s="528">
        <f t="shared" si="334"/>
        <v>0.32139830917066281</v>
      </c>
      <c r="AI139" s="173">
        <f t="shared" si="335"/>
        <v>5.0064047139723336</v>
      </c>
      <c r="AJ139" s="173">
        <f t="shared" si="336"/>
        <v>5.0064047139723336</v>
      </c>
      <c r="AK139" s="173">
        <f t="shared" si="337"/>
        <v>2.4393121338066668</v>
      </c>
      <c r="AM139" s="545">
        <f t="shared" si="338"/>
        <v>725</v>
      </c>
      <c r="AN139" s="460">
        <f t="shared" si="339"/>
        <v>350</v>
      </c>
      <c r="AP139" s="460">
        <f t="shared" si="340"/>
        <v>725</v>
      </c>
      <c r="AQ139" s="460">
        <f t="shared" si="341"/>
        <v>350</v>
      </c>
      <c r="AS139" s="5">
        <f t="shared" si="439"/>
        <v>2.8571428571428572</v>
      </c>
      <c r="AT139" s="5">
        <f t="shared" si="342"/>
        <v>1.2426503792946002</v>
      </c>
      <c r="AU139" s="5">
        <f t="shared" si="343"/>
        <v>1.614492477848257</v>
      </c>
      <c r="AV139" s="5"/>
      <c r="AW139" s="173">
        <f t="shared" si="344"/>
        <v>0.43492763275311008</v>
      </c>
      <c r="AX139" s="173">
        <f t="shared" si="435"/>
        <v>20.615212511669419</v>
      </c>
      <c r="AY139" s="173">
        <f t="shared" si="436"/>
        <v>1.4144904815601678</v>
      </c>
      <c r="AZ139" s="173">
        <f t="shared" si="440"/>
        <v>14.57430274746781</v>
      </c>
      <c r="BA139" s="460">
        <f t="shared" si="433"/>
        <v>3.2175768749592324</v>
      </c>
      <c r="BB139" s="5">
        <f t="shared" si="434"/>
        <v>1.2363150959590354</v>
      </c>
      <c r="BD139" s="173">
        <f t="shared" si="441"/>
        <v>1.906223538009185</v>
      </c>
      <c r="BE139" s="173">
        <f t="shared" si="437"/>
        <v>2.1727880422400188</v>
      </c>
      <c r="BG139" s="528">
        <f t="shared" si="347"/>
        <v>4.3604258122323054E-2</v>
      </c>
      <c r="BH139" s="528">
        <f t="shared" si="348"/>
        <v>1.5148234301285575</v>
      </c>
      <c r="BI139" s="528">
        <f t="shared" si="349"/>
        <v>4.0250000000000001E-2</v>
      </c>
      <c r="BJ139" s="528">
        <f t="shared" si="350"/>
        <v>0.38679831286433136</v>
      </c>
      <c r="BK139">
        <f t="shared" si="351"/>
        <v>8.5209373018194801E-3</v>
      </c>
      <c r="BL139" s="460">
        <f t="shared" si="427"/>
        <v>48.77093730181948</v>
      </c>
      <c r="BM139" s="528">
        <f t="shared" si="352"/>
        <v>1.9774866475678847</v>
      </c>
      <c r="BN139" s="460">
        <f t="shared" si="353"/>
        <v>1977.4866475678848</v>
      </c>
      <c r="BO139" s="528">
        <f t="shared" si="354"/>
        <v>0.50749999999999995</v>
      </c>
      <c r="BR139" s="460">
        <f t="shared" si="355"/>
        <v>507.49999999999994</v>
      </c>
      <c r="BS139" s="528">
        <f t="shared" si="356"/>
        <v>5.0871634476043565E-2</v>
      </c>
      <c r="BT139" s="528">
        <f t="shared" si="357"/>
        <v>6.6094110271016984E-2</v>
      </c>
      <c r="BU139" s="528">
        <f t="shared" si="358"/>
        <v>6.4262113083462769</v>
      </c>
      <c r="BV139" s="528"/>
      <c r="BW139" s="528">
        <f t="shared" si="359"/>
        <v>0.87724308560295405</v>
      </c>
      <c r="BX139" s="460">
        <f t="shared" si="360"/>
        <v>7420.4201386962914</v>
      </c>
      <c r="BY139" s="173">
        <f t="shared" si="361"/>
        <v>9.9219170771133225</v>
      </c>
      <c r="BZ139" s="5">
        <f t="shared" si="362"/>
        <v>20.3</v>
      </c>
      <c r="CA139" s="173">
        <f t="shared" si="363"/>
        <v>0.67169795841220592</v>
      </c>
      <c r="CB139" s="5">
        <f t="shared" si="364"/>
        <v>67.169795841220591</v>
      </c>
      <c r="CE139" s="562">
        <f t="shared" si="365"/>
        <v>-50</v>
      </c>
      <c r="CF139">
        <f t="shared" si="366"/>
        <v>-50</v>
      </c>
      <c r="CG139" s="173">
        <f t="shared" si="367"/>
        <v>0.29186897745392537</v>
      </c>
      <c r="CI139" s="170">
        <v>29</v>
      </c>
      <c r="CJ139" s="217">
        <f t="shared" si="428"/>
        <v>0.72499999999999998</v>
      </c>
      <c r="CK139" s="217"/>
      <c r="CL139" s="217">
        <f t="shared" si="368"/>
        <v>20.3</v>
      </c>
      <c r="CM139" s="541">
        <f t="shared" si="369"/>
        <v>19</v>
      </c>
      <c r="CN139" s="443">
        <f t="shared" si="370"/>
        <v>28.4</v>
      </c>
      <c r="CO139" s="443">
        <f t="shared" si="371"/>
        <v>47.4</v>
      </c>
      <c r="CP139" s="443"/>
      <c r="CQ139" s="217">
        <f t="shared" si="372"/>
        <v>0.59915611814345993</v>
      </c>
      <c r="CR139" s="172">
        <f t="shared" si="429"/>
        <v>95.556689708830859</v>
      </c>
      <c r="CS139" s="172">
        <f t="shared" si="373"/>
        <v>20.3</v>
      </c>
      <c r="CT139" s="217">
        <f t="shared" si="374"/>
        <v>3.4127389181725305</v>
      </c>
      <c r="CU139" s="217">
        <f t="shared" si="375"/>
        <v>28</v>
      </c>
      <c r="CV139" s="217"/>
      <c r="CW139" s="172">
        <f t="shared" si="376"/>
        <v>199.42883714649906</v>
      </c>
      <c r="CX139" s="172">
        <f t="shared" si="377"/>
        <v>28</v>
      </c>
      <c r="CY139" s="217">
        <f t="shared" si="378"/>
        <v>3.5664195700518904</v>
      </c>
      <c r="CZ139" s="217">
        <f t="shared" si="379"/>
        <v>0.88221957785494132</v>
      </c>
      <c r="DA139" s="217">
        <f t="shared" si="380"/>
        <v>0.59021732321281284</v>
      </c>
      <c r="DB139" s="197">
        <f t="shared" si="381"/>
        <v>350</v>
      </c>
      <c r="DC139" s="443">
        <f t="shared" si="382"/>
        <v>350</v>
      </c>
      <c r="DE139" s="217">
        <f t="shared" si="383"/>
        <v>6.9203442217177731</v>
      </c>
      <c r="DF139" s="173">
        <f t="shared" si="384"/>
        <v>1.1452682338758289</v>
      </c>
      <c r="DG139" s="173">
        <f t="shared" si="385"/>
        <v>1.3869888208084145</v>
      </c>
      <c r="DH139" s="173"/>
      <c r="DI139" s="173">
        <f t="shared" si="386"/>
        <v>0.55164319248826299</v>
      </c>
      <c r="DJ139" s="545">
        <f t="shared" si="387"/>
        <v>788.55319148936155</v>
      </c>
      <c r="DK139" s="528">
        <f t="shared" si="388"/>
        <v>0.3217918622848201</v>
      </c>
      <c r="DM139" s="173">
        <f t="shared" si="389"/>
        <v>5.0033423479166332</v>
      </c>
      <c r="DN139" s="173">
        <f t="shared" si="390"/>
        <v>5.0033423479166332</v>
      </c>
      <c r="DO139" s="173">
        <f t="shared" si="391"/>
        <v>2.4370437145061477</v>
      </c>
      <c r="DQ139" s="545">
        <f t="shared" si="392"/>
        <v>725</v>
      </c>
      <c r="DR139" s="460">
        <f t="shared" si="393"/>
        <v>350</v>
      </c>
      <c r="DT139">
        <f t="shared" si="430"/>
        <v>725</v>
      </c>
      <c r="DU139">
        <f t="shared" si="431"/>
        <v>350</v>
      </c>
      <c r="DW139" s="5">
        <f t="shared" si="394"/>
        <v>2.8571428571428572</v>
      </c>
      <c r="DX139" s="5">
        <f t="shared" si="395"/>
        <v>1.2376688965899039</v>
      </c>
      <c r="DY139" s="5">
        <f t="shared" si="396"/>
        <v>1.6194739605529533</v>
      </c>
      <c r="DZ139" s="5"/>
      <c r="EA139" s="173">
        <f t="shared" si="397"/>
        <v>0.43318411380646632</v>
      </c>
      <c r="EB139" s="173">
        <f t="shared" si="398"/>
        <v>20.59</v>
      </c>
      <c r="EC139" s="173">
        <f t="shared" si="399"/>
        <v>1.417986963432001</v>
      </c>
      <c r="ED139" s="173">
        <f t="shared" si="400"/>
        <v>14.520584836806496</v>
      </c>
      <c r="EE139" s="460">
        <f t="shared" si="401"/>
        <v>3.2046783929560014</v>
      </c>
      <c r="EF139" s="5">
        <f t="shared" si="402"/>
        <v>1.2359143383167275</v>
      </c>
      <c r="EH139" s="173">
        <f t="shared" si="403"/>
        <v>1.9012352304567539</v>
      </c>
      <c r="EI139" s="173">
        <f t="shared" si="404"/>
        <v>2.1748063857016553</v>
      </c>
      <c r="EK139" s="528">
        <f t="shared" si="405"/>
        <v>4.337634481835935E-2</v>
      </c>
      <c r="EL139" s="528">
        <f t="shared" si="406"/>
        <v>1.5771035414868022</v>
      </c>
      <c r="EM139" s="528">
        <f t="shared" si="407"/>
        <v>4.0250000000000001E-2</v>
      </c>
      <c r="EN139" s="528">
        <f t="shared" si="408"/>
        <v>0.38728525499999999</v>
      </c>
      <c r="EO139">
        <f t="shared" si="409"/>
        <v>8.5500000000000003E-3</v>
      </c>
      <c r="EP139" s="460">
        <f t="shared" si="410"/>
        <v>48.800000000000004</v>
      </c>
      <c r="EQ139" s="460"/>
      <c r="ER139" s="460">
        <f t="shared" si="432"/>
        <v>2056.5651413051614</v>
      </c>
      <c r="ES139" s="528">
        <f t="shared" si="411"/>
        <v>0.50749999999999995</v>
      </c>
      <c r="EV139" s="460">
        <f t="shared" si="412"/>
        <v>507.49999999999994</v>
      </c>
      <c r="EW139" s="528">
        <f t="shared" si="413"/>
        <v>5.0605735621419241E-2</v>
      </c>
      <c r="EX139" s="528">
        <f t="shared" si="414"/>
        <v>6.6216959414041765E-2</v>
      </c>
      <c r="EY139" s="528">
        <f t="shared" si="415"/>
        <v>6.4163886985333338</v>
      </c>
      <c r="EZ139" s="528"/>
      <c r="FA139" s="528">
        <f t="shared" si="416"/>
        <v>0.87617021276595752</v>
      </c>
      <c r="FB139" s="460">
        <f t="shared" si="417"/>
        <v>7409.3816063347531</v>
      </c>
      <c r="FC139" s="173">
        <f t="shared" si="418"/>
        <v>9.9734467476399136</v>
      </c>
      <c r="FD139" s="5">
        <f t="shared" si="419"/>
        <v>20.3</v>
      </c>
      <c r="FE139" s="173">
        <f t="shared" si="420"/>
        <v>0.67055463387506631</v>
      </c>
      <c r="FF139" s="5">
        <f t="shared" si="421"/>
        <v>67.055463387506634</v>
      </c>
      <c r="FI139" s="562">
        <f t="shared" si="422"/>
        <v>-50</v>
      </c>
      <c r="FJ139">
        <f t="shared" si="423"/>
        <v>-50</v>
      </c>
      <c r="FL139">
        <f t="shared" si="424"/>
        <v>0.28980627332122755</v>
      </c>
    </row>
    <row r="140" spans="5:168">
      <c r="E140" s="170">
        <v>30</v>
      </c>
      <c r="F140" s="217">
        <f t="shared" si="425"/>
        <v>0.75</v>
      </c>
      <c r="G140" s="217"/>
      <c r="H140" s="217">
        <f t="shared" si="315"/>
        <v>21</v>
      </c>
      <c r="I140" s="541">
        <f t="shared" si="316"/>
        <v>18.93431215015681</v>
      </c>
      <c r="J140" s="172">
        <f t="shared" si="317"/>
        <v>28.435370380684791</v>
      </c>
      <c r="K140" s="172">
        <f t="shared" si="318"/>
        <v>47.369682530841601</v>
      </c>
      <c r="L140" s="443"/>
      <c r="M140" s="217">
        <f t="shared" si="319"/>
        <v>0.60028840154099505</v>
      </c>
      <c r="N140" s="172">
        <f t="shared" si="426"/>
        <v>95.40628426019866</v>
      </c>
      <c r="O140" s="172">
        <f t="shared" si="438"/>
        <v>21</v>
      </c>
      <c r="P140" s="217">
        <f t="shared" si="320"/>
        <v>3.407367295007095</v>
      </c>
      <c r="Q140" s="217">
        <f t="shared" si="321"/>
        <v>28</v>
      </c>
      <c r="R140" s="217"/>
      <c r="S140" s="172">
        <f t="shared" si="322"/>
        <v>191.48640379854817</v>
      </c>
      <c r="T140" s="172">
        <f t="shared" si="323"/>
        <v>28</v>
      </c>
      <c r="U140" s="217">
        <f t="shared" si="324"/>
        <v>3.7527057152779686</v>
      </c>
      <c r="V140" s="217">
        <f t="shared" si="325"/>
        <v>0.93152139470038153</v>
      </c>
      <c r="W140" s="217">
        <f t="shared" si="326"/>
        <v>0.62027385701953686</v>
      </c>
      <c r="X140" s="197">
        <f t="shared" si="327"/>
        <v>350</v>
      </c>
      <c r="Y140" s="443">
        <f t="shared" si="328"/>
        <v>350</v>
      </c>
      <c r="AA140" s="217">
        <f t="shared" si="329"/>
        <v>6.9094272053493997</v>
      </c>
      <c r="AB140" s="173">
        <f t="shared" si="330"/>
        <v>1.1420392078733361</v>
      </c>
      <c r="AC140" s="173">
        <f t="shared" si="331"/>
        <v>1.3808964351797488</v>
      </c>
      <c r="AD140" s="173"/>
      <c r="AE140" s="173">
        <f t="shared" si="332"/>
        <v>0.55095701082580295</v>
      </c>
      <c r="AF140" s="545">
        <f t="shared" si="333"/>
        <v>816.76063859413762</v>
      </c>
      <c r="AG140" s="528">
        <f t="shared" si="334"/>
        <v>0.32139158964838505</v>
      </c>
      <c r="AI140" s="173">
        <f t="shared" si="335"/>
        <v>5.0920437116857755</v>
      </c>
      <c r="AJ140" s="173">
        <f t="shared" si="336"/>
        <v>5.0920437116857755</v>
      </c>
      <c r="AK140" s="173">
        <f t="shared" si="337"/>
        <v>2.5027484284092161</v>
      </c>
      <c r="AM140" s="545">
        <f t="shared" si="338"/>
        <v>750</v>
      </c>
      <c r="AN140" s="460">
        <f t="shared" si="339"/>
        <v>350</v>
      </c>
      <c r="AP140" s="460">
        <f t="shared" si="340"/>
        <v>750</v>
      </c>
      <c r="AQ140" s="460">
        <f t="shared" si="341"/>
        <v>350</v>
      </c>
      <c r="AS140" s="5">
        <f t="shared" si="439"/>
        <v>2.8571428571428572</v>
      </c>
      <c r="AT140" s="5">
        <f t="shared" si="342"/>
        <v>1.2639807168661754</v>
      </c>
      <c r="AU140" s="5">
        <f t="shared" si="343"/>
        <v>1.5931621402766818</v>
      </c>
      <c r="AV140" s="5"/>
      <c r="AW140" s="173">
        <f t="shared" si="344"/>
        <v>0.44239325090316139</v>
      </c>
      <c r="AX140" s="173">
        <f t="shared" si="435"/>
        <v>21.326527785513591</v>
      </c>
      <c r="AY140" s="173">
        <f t="shared" si="436"/>
        <v>1.4196789701660526</v>
      </c>
      <c r="AZ140" s="173">
        <f t="shared" si="440"/>
        <v>15.022077690577564</v>
      </c>
      <c r="BA140" s="460">
        <f t="shared" si="433"/>
        <v>3.3856626344629697</v>
      </c>
      <c r="BB140" s="5">
        <f t="shared" si="434"/>
        <v>1.2621230660313325</v>
      </c>
      <c r="BD140" s="173">
        <f t="shared" si="441"/>
        <v>1.9554005912195656</v>
      </c>
      <c r="BE140" s="173">
        <f t="shared" si="437"/>
        <v>2.1953082354036431</v>
      </c>
      <c r="BG140" s="528">
        <f t="shared" si="347"/>
        <v>4.5883097665701922E-2</v>
      </c>
      <c r="BH140" s="528">
        <f t="shared" si="348"/>
        <v>1.5407192557809339</v>
      </c>
      <c r="BI140" s="528">
        <f t="shared" si="349"/>
        <v>4.0250000000000001E-2</v>
      </c>
      <c r="BJ140" s="528">
        <f t="shared" si="350"/>
        <v>0.38678999112716006</v>
      </c>
      <c r="BK140">
        <f t="shared" si="351"/>
        <v>8.5204404675705645E-3</v>
      </c>
      <c r="BL140" s="460">
        <f t="shared" si="427"/>
        <v>48.770440467570566</v>
      </c>
      <c r="BM140" s="528">
        <f t="shared" si="352"/>
        <v>2.0076680244068292</v>
      </c>
      <c r="BN140" s="460">
        <f t="shared" si="353"/>
        <v>2007.6680244068293</v>
      </c>
      <c r="BO140" s="528">
        <f t="shared" si="354"/>
        <v>0.52499999999999991</v>
      </c>
      <c r="BR140" s="460">
        <f t="shared" si="355"/>
        <v>524.99999999999989</v>
      </c>
      <c r="BS140" s="528">
        <f t="shared" si="356"/>
        <v>5.3530280609985569E-2</v>
      </c>
      <c r="BT140" s="528">
        <f t="shared" si="357"/>
        <v>6.7471295478034807E-2</v>
      </c>
      <c r="BU140" s="528">
        <f t="shared" si="358"/>
        <v>6.7045621815745964</v>
      </c>
      <c r="BV140" s="528"/>
      <c r="BW140" s="528">
        <f t="shared" si="359"/>
        <v>0.9075118206601529</v>
      </c>
      <c r="BX140" s="460">
        <f t="shared" si="360"/>
        <v>7733.0755783227696</v>
      </c>
      <c r="BY140" s="173">
        <f t="shared" si="361"/>
        <v>10.280238363364136</v>
      </c>
      <c r="BZ140" s="5">
        <f t="shared" si="362"/>
        <v>21</v>
      </c>
      <c r="CA140" s="173">
        <f t="shared" si="363"/>
        <v>0.67135038282174675</v>
      </c>
      <c r="CB140" s="5">
        <f t="shared" si="364"/>
        <v>67.135038282174676</v>
      </c>
      <c r="CE140" s="562">
        <f t="shared" si="365"/>
        <v>-50</v>
      </c>
      <c r="CF140">
        <f t="shared" si="366"/>
        <v>-50</v>
      </c>
      <c r="CG140" s="173">
        <f t="shared" si="367"/>
        <v>0.29685855217594792</v>
      </c>
      <c r="CI140" s="170">
        <v>30</v>
      </c>
      <c r="CJ140" s="217">
        <f t="shared" si="428"/>
        <v>0.75</v>
      </c>
      <c r="CK140" s="217"/>
      <c r="CL140" s="217">
        <f t="shared" si="368"/>
        <v>21</v>
      </c>
      <c r="CM140" s="541">
        <f t="shared" si="369"/>
        <v>19</v>
      </c>
      <c r="CN140" s="443">
        <f t="shared" si="370"/>
        <v>28.4</v>
      </c>
      <c r="CO140" s="443">
        <f t="shared" si="371"/>
        <v>47.4</v>
      </c>
      <c r="CP140" s="443"/>
      <c r="CQ140" s="217">
        <f t="shared" si="372"/>
        <v>0.59915611814345993</v>
      </c>
      <c r="CR140" s="172">
        <f t="shared" si="429"/>
        <v>95.556689708830859</v>
      </c>
      <c r="CS140" s="172">
        <f t="shared" si="373"/>
        <v>21</v>
      </c>
      <c r="CT140" s="217">
        <f t="shared" si="374"/>
        <v>3.4127389181725305</v>
      </c>
      <c r="CU140" s="217">
        <f t="shared" si="375"/>
        <v>28</v>
      </c>
      <c r="CV140" s="217"/>
      <c r="CW140" s="172">
        <f t="shared" si="376"/>
        <v>192.15058125942377</v>
      </c>
      <c r="CX140" s="172">
        <f t="shared" si="377"/>
        <v>28</v>
      </c>
      <c r="CY140" s="217">
        <f t="shared" si="378"/>
        <v>3.689399555226093</v>
      </c>
      <c r="CZ140" s="217">
        <f t="shared" si="379"/>
        <v>0.91264094260855988</v>
      </c>
      <c r="DA140" s="217">
        <f t="shared" si="380"/>
        <v>0.61056964470290975</v>
      </c>
      <c r="DB140" s="197">
        <f t="shared" si="381"/>
        <v>350</v>
      </c>
      <c r="DC140" s="443">
        <f t="shared" si="382"/>
        <v>350</v>
      </c>
      <c r="DE140" s="217">
        <f t="shared" si="383"/>
        <v>6.9203442217177731</v>
      </c>
      <c r="DF140" s="173">
        <f t="shared" si="384"/>
        <v>1.1452682338758289</v>
      </c>
      <c r="DG140" s="173">
        <f t="shared" si="385"/>
        <v>1.3869888208084145</v>
      </c>
      <c r="DH140" s="173"/>
      <c r="DI140" s="173">
        <f t="shared" si="386"/>
        <v>0.55164319248826299</v>
      </c>
      <c r="DJ140" s="545">
        <f t="shared" si="387"/>
        <v>815.74468085106366</v>
      </c>
      <c r="DK140" s="528">
        <f t="shared" si="388"/>
        <v>0.3217918622848201</v>
      </c>
      <c r="DM140" s="173">
        <f t="shared" si="389"/>
        <v>5.0888757633640855</v>
      </c>
      <c r="DN140" s="173">
        <f t="shared" si="390"/>
        <v>5.0888757633640855</v>
      </c>
      <c r="DO140" s="173">
        <f t="shared" si="391"/>
        <v>2.5004018000227792</v>
      </c>
      <c r="DQ140" s="545">
        <f t="shared" si="392"/>
        <v>750</v>
      </c>
      <c r="DR140" s="460">
        <f t="shared" si="393"/>
        <v>350</v>
      </c>
      <c r="DT140">
        <f t="shared" si="430"/>
        <v>750</v>
      </c>
      <c r="DU140">
        <f t="shared" si="431"/>
        <v>350</v>
      </c>
      <c r="DW140" s="5">
        <f t="shared" si="394"/>
        <v>2.8571428571428572</v>
      </c>
      <c r="DX140" s="5">
        <f t="shared" si="395"/>
        <v>1.2588271625163789</v>
      </c>
      <c r="DY140" s="5">
        <f t="shared" si="396"/>
        <v>1.5983156946264783</v>
      </c>
      <c r="DZ140" s="5"/>
      <c r="EA140" s="173">
        <f t="shared" si="397"/>
        <v>0.44058950688073262</v>
      </c>
      <c r="EB140" s="173">
        <f t="shared" si="398"/>
        <v>21.299999999999997</v>
      </c>
      <c r="EC140" s="173">
        <f t="shared" si="399"/>
        <v>1.4233852501030957</v>
      </c>
      <c r="ED140" s="173">
        <f t="shared" si="400"/>
        <v>14.964325363394934</v>
      </c>
      <c r="EE140" s="460">
        <f t="shared" si="401"/>
        <v>3.3718584710260147</v>
      </c>
      <c r="EF140" s="5">
        <f t="shared" si="402"/>
        <v>1.2618281799682722</v>
      </c>
      <c r="EH140" s="173">
        <f t="shared" si="403"/>
        <v>1.9501961553132086</v>
      </c>
      <c r="EI140" s="173">
        <f t="shared" si="404"/>
        <v>2.1974880661305947</v>
      </c>
      <c r="EK140" s="528">
        <f t="shared" si="405"/>
        <v>4.5639180530381046E-2</v>
      </c>
      <c r="EL140" s="528">
        <f t="shared" si="406"/>
        <v>1.6040645293699936</v>
      </c>
      <c r="EM140" s="528">
        <f t="shared" si="407"/>
        <v>4.0250000000000001E-2</v>
      </c>
      <c r="EN140" s="528">
        <f t="shared" si="408"/>
        <v>0.38728525499999999</v>
      </c>
      <c r="EO140">
        <f t="shared" si="409"/>
        <v>8.5500000000000003E-3</v>
      </c>
      <c r="EP140" s="460">
        <f t="shared" si="410"/>
        <v>48.800000000000004</v>
      </c>
      <c r="EQ140" s="460"/>
      <c r="ER140" s="460">
        <f t="shared" si="432"/>
        <v>2085.7889649003746</v>
      </c>
      <c r="ES140" s="528">
        <f t="shared" si="411"/>
        <v>0.52499999999999991</v>
      </c>
      <c r="EV140" s="460">
        <f t="shared" si="412"/>
        <v>524.99999999999989</v>
      </c>
      <c r="EW140" s="528">
        <f t="shared" si="413"/>
        <v>5.3245710618777885E-2</v>
      </c>
      <c r="EX140" s="528">
        <f t="shared" si="414"/>
        <v>6.7605353211009328E-2</v>
      </c>
      <c r="EY140" s="528">
        <f t="shared" si="415"/>
        <v>6.694139157816088</v>
      </c>
      <c r="EZ140" s="528"/>
      <c r="FA140" s="528">
        <f t="shared" si="416"/>
        <v>0.90638297872340412</v>
      </c>
      <c r="FB140" s="460">
        <f t="shared" si="417"/>
        <v>7721.3732003692794</v>
      </c>
      <c r="FC140" s="173">
        <f t="shared" si="418"/>
        <v>10.332162165269654</v>
      </c>
      <c r="FD140" s="5">
        <f t="shared" si="419"/>
        <v>21</v>
      </c>
      <c r="FE140" s="173">
        <f t="shared" si="420"/>
        <v>0.67023781790832138</v>
      </c>
      <c r="FF140" s="5">
        <f t="shared" si="421"/>
        <v>67.023781790832132</v>
      </c>
      <c r="FI140" s="562">
        <f t="shared" si="422"/>
        <v>-50</v>
      </c>
      <c r="FJ140">
        <f t="shared" si="423"/>
        <v>-50</v>
      </c>
      <c r="FL140">
        <f t="shared" si="424"/>
        <v>0.29476058558922263</v>
      </c>
    </row>
    <row r="141" spans="5:168">
      <c r="E141" s="170">
        <v>31</v>
      </c>
      <c r="F141" s="217">
        <f t="shared" si="425"/>
        <v>0.77500000000000002</v>
      </c>
      <c r="G141" s="217"/>
      <c r="H141" s="217">
        <f t="shared" si="315"/>
        <v>21.7</v>
      </c>
      <c r="I141" s="541">
        <f t="shared" si="316"/>
        <v>18.933226327012399</v>
      </c>
      <c r="J141" s="172">
        <f t="shared" si="317"/>
        <v>28.435955054685632</v>
      </c>
      <c r="K141" s="172">
        <f t="shared" si="318"/>
        <v>47.369181381698027</v>
      </c>
      <c r="L141" s="443"/>
      <c r="M141" s="217">
        <f t="shared" si="319"/>
        <v>0.60030713031302674</v>
      </c>
      <c r="N141" s="172">
        <f t="shared" si="426"/>
        <v>95.403789479831843</v>
      </c>
      <c r="O141" s="172">
        <f t="shared" si="438"/>
        <v>21.7</v>
      </c>
      <c r="P141" s="217">
        <f t="shared" si="320"/>
        <v>3.4072781957082801</v>
      </c>
      <c r="Q141" s="217">
        <f t="shared" si="321"/>
        <v>28</v>
      </c>
      <c r="R141" s="217"/>
      <c r="S141" s="172">
        <f t="shared" si="322"/>
        <v>184.69076908815148</v>
      </c>
      <c r="T141" s="172">
        <f t="shared" si="323"/>
        <v>28</v>
      </c>
      <c r="U141" s="217">
        <f t="shared" si="324"/>
        <v>3.8779776111940927</v>
      </c>
      <c r="V141" s="217">
        <f t="shared" si="325"/>
        <v>0.96267241820313232</v>
      </c>
      <c r="W141" s="217">
        <f t="shared" si="326"/>
        <v>0.64096650657804799</v>
      </c>
      <c r="X141" s="197">
        <f t="shared" si="327"/>
        <v>350</v>
      </c>
      <c r="Y141" s="443">
        <f t="shared" si="328"/>
        <v>350</v>
      </c>
      <c r="AA141" s="217">
        <f t="shared" si="329"/>
        <v>6.909246128142593</v>
      </c>
      <c r="AB141" s="173">
        <f t="shared" si="330"/>
        <v>1.1419857972000578</v>
      </c>
      <c r="AC141" s="173">
        <f t="shared" si="331"/>
        <v>1.380795665847208</v>
      </c>
      <c r="AD141" s="173"/>
      <c r="AE141" s="173">
        <f t="shared" si="332"/>
        <v>0.5509456825535789</v>
      </c>
      <c r="AF141" s="545">
        <f t="shared" si="333"/>
        <v>844.00334683588198</v>
      </c>
      <c r="AG141" s="528">
        <f t="shared" si="334"/>
        <v>0.32138498148958772</v>
      </c>
      <c r="AI141" s="173">
        <f t="shared" si="335"/>
        <v>5.1762686408656338</v>
      </c>
      <c r="AJ141" s="173">
        <f t="shared" si="336"/>
        <v>5.1762686408656338</v>
      </c>
      <c r="AK141" s="173">
        <f t="shared" si="337"/>
        <v>2.5651372648387412</v>
      </c>
      <c r="AM141" s="545">
        <f t="shared" si="338"/>
        <v>775</v>
      </c>
      <c r="AN141" s="460">
        <f t="shared" si="339"/>
        <v>350</v>
      </c>
      <c r="AP141" s="460">
        <f t="shared" si="340"/>
        <v>775</v>
      </c>
      <c r="AQ141" s="460">
        <f t="shared" si="341"/>
        <v>350</v>
      </c>
      <c r="AS141" s="5">
        <f t="shared" si="439"/>
        <v>2.8571428571428572</v>
      </c>
      <c r="AT141" s="5">
        <f t="shared" si="342"/>
        <v>1.2849612734707869</v>
      </c>
      <c r="AU141" s="5">
        <f t="shared" si="343"/>
        <v>1.5721815836720703</v>
      </c>
      <c r="AV141" s="5"/>
      <c r="AW141" s="173">
        <f t="shared" si="344"/>
        <v>0.44973644571477539</v>
      </c>
      <c r="AX141" s="173">
        <f t="shared" si="435"/>
        <v>22.037865167381366</v>
      </c>
      <c r="AY141" s="173">
        <f t="shared" si="436"/>
        <v>1.424155990128936</v>
      </c>
      <c r="AZ141" s="173">
        <f t="shared" si="440"/>
        <v>15.47433379498419</v>
      </c>
      <c r="BA141" s="460">
        <f t="shared" si="433"/>
        <v>3.5565892390709282</v>
      </c>
      <c r="BB141" s="5">
        <f t="shared" si="434"/>
        <v>1.2870925496807497</v>
      </c>
      <c r="BD141" s="173">
        <f t="shared" si="441"/>
        <v>2.0041730680090342</v>
      </c>
      <c r="BE141" s="173">
        <f t="shared" si="437"/>
        <v>2.2168767807293452</v>
      </c>
      <c r="BG141" s="528">
        <f t="shared" si="347"/>
        <v>4.8200516238392943E-2</v>
      </c>
      <c r="BH141" s="528">
        <f t="shared" si="348"/>
        <v>1.5661869469275629</v>
      </c>
      <c r="BI141" s="528">
        <f t="shared" si="349"/>
        <v>4.0250000000000001E-2</v>
      </c>
      <c r="BJ141" s="528">
        <f t="shared" si="350"/>
        <v>0.38678180705510923</v>
      </c>
      <c r="BK141">
        <f t="shared" si="351"/>
        <v>8.5199518471555796E-3</v>
      </c>
      <c r="BL141" s="460">
        <f t="shared" si="427"/>
        <v>48.769951847155582</v>
      </c>
      <c r="BM141" s="528">
        <f t="shared" si="352"/>
        <v>2.0375179672909689</v>
      </c>
      <c r="BN141" s="460">
        <f t="shared" si="353"/>
        <v>2037.517967290969</v>
      </c>
      <c r="BO141" s="528">
        <f t="shared" si="354"/>
        <v>0.54249999999999998</v>
      </c>
      <c r="BR141" s="460">
        <f t="shared" si="355"/>
        <v>542.5</v>
      </c>
      <c r="BS141" s="528">
        <f t="shared" si="356"/>
        <v>5.6233935611458431E-2</v>
      </c>
      <c r="BT141" s="528">
        <f t="shared" si="357"/>
        <v>6.8803597253116675E-2</v>
      </c>
      <c r="BU141" s="528">
        <f t="shared" si="358"/>
        <v>6.9852528946434793</v>
      </c>
      <c r="BV141" s="528"/>
      <c r="BW141" s="528">
        <f t="shared" si="359"/>
        <v>0.93778149648431353</v>
      </c>
      <c r="BX141" s="460">
        <f t="shared" si="360"/>
        <v>8048.0719239923692</v>
      </c>
      <c r="BY141" s="173">
        <f t="shared" si="361"/>
        <v>10.640511146060589</v>
      </c>
      <c r="BZ141" s="5">
        <f t="shared" si="362"/>
        <v>21.7</v>
      </c>
      <c r="CA141" s="173">
        <f t="shared" si="363"/>
        <v>0.67098506582025008</v>
      </c>
      <c r="CB141" s="5">
        <f t="shared" si="364"/>
        <v>67.09850658202501</v>
      </c>
      <c r="CE141" s="562">
        <f t="shared" si="365"/>
        <v>-50</v>
      </c>
      <c r="CF141">
        <f t="shared" si="366"/>
        <v>-50</v>
      </c>
      <c r="CG141" s="173">
        <f t="shared" si="367"/>
        <v>0.3017656375401282</v>
      </c>
      <c r="CI141" s="170">
        <v>31</v>
      </c>
      <c r="CJ141" s="217">
        <f t="shared" si="428"/>
        <v>0.77500000000000002</v>
      </c>
      <c r="CK141" s="217"/>
      <c r="CL141" s="217">
        <f t="shared" si="368"/>
        <v>21.7</v>
      </c>
      <c r="CM141" s="541">
        <f t="shared" si="369"/>
        <v>19</v>
      </c>
      <c r="CN141" s="443">
        <f t="shared" si="370"/>
        <v>28.4</v>
      </c>
      <c r="CO141" s="443">
        <f t="shared" si="371"/>
        <v>47.4</v>
      </c>
      <c r="CP141" s="443"/>
      <c r="CQ141" s="217">
        <f t="shared" si="372"/>
        <v>0.59915611814345993</v>
      </c>
      <c r="CR141" s="172">
        <f t="shared" si="429"/>
        <v>95.556689708830859</v>
      </c>
      <c r="CS141" s="172">
        <f t="shared" si="373"/>
        <v>21.7</v>
      </c>
      <c r="CT141" s="217">
        <f t="shared" si="374"/>
        <v>3.4127389181725305</v>
      </c>
      <c r="CU141" s="217">
        <f t="shared" si="375"/>
        <v>28</v>
      </c>
      <c r="CV141" s="217"/>
      <c r="CW141" s="172">
        <f t="shared" si="376"/>
        <v>185.34199224137842</v>
      </c>
      <c r="CX141" s="172">
        <f t="shared" si="377"/>
        <v>28</v>
      </c>
      <c r="CY141" s="217">
        <f t="shared" si="378"/>
        <v>3.812379540400296</v>
      </c>
      <c r="CZ141" s="217">
        <f t="shared" si="379"/>
        <v>0.94306230736217844</v>
      </c>
      <c r="DA141" s="217">
        <f t="shared" si="380"/>
        <v>0.63092196619300678</v>
      </c>
      <c r="DB141" s="197">
        <f t="shared" si="381"/>
        <v>350</v>
      </c>
      <c r="DC141" s="443">
        <f t="shared" si="382"/>
        <v>350</v>
      </c>
      <c r="DE141" s="217">
        <f t="shared" si="383"/>
        <v>6.9203442217177731</v>
      </c>
      <c r="DF141" s="173">
        <f t="shared" si="384"/>
        <v>1.1452682338758289</v>
      </c>
      <c r="DG141" s="173">
        <f t="shared" si="385"/>
        <v>1.3869888208084145</v>
      </c>
      <c r="DH141" s="173"/>
      <c r="DI141" s="173">
        <f t="shared" si="386"/>
        <v>0.55164319248826299</v>
      </c>
      <c r="DJ141" s="545">
        <f t="shared" si="387"/>
        <v>842.93617021276589</v>
      </c>
      <c r="DK141" s="528">
        <f t="shared" si="388"/>
        <v>0.3217918622848201</v>
      </c>
      <c r="DM141" s="173">
        <f t="shared" si="389"/>
        <v>5.1729951110988779</v>
      </c>
      <c r="DN141" s="173">
        <f t="shared" si="390"/>
        <v>5.1729951110988779</v>
      </c>
      <c r="DO141" s="173">
        <f t="shared" si="391"/>
        <v>2.5627124279744775</v>
      </c>
      <c r="DQ141" s="545">
        <f t="shared" si="392"/>
        <v>775</v>
      </c>
      <c r="DR141" s="460">
        <f t="shared" si="393"/>
        <v>350</v>
      </c>
      <c r="DT141">
        <f t="shared" si="430"/>
        <v>775</v>
      </c>
      <c r="DU141">
        <f t="shared" si="431"/>
        <v>350</v>
      </c>
      <c r="DW141" s="5">
        <f t="shared" si="394"/>
        <v>2.8571428571428572</v>
      </c>
      <c r="DX141" s="5">
        <f t="shared" si="395"/>
        <v>1.2796356327455118</v>
      </c>
      <c r="DY141" s="5">
        <f t="shared" si="396"/>
        <v>1.5775072243973454</v>
      </c>
      <c r="DZ141" s="5"/>
      <c r="EA141" s="173">
        <f t="shared" si="397"/>
        <v>0.44787247146092912</v>
      </c>
      <c r="EB141" s="173">
        <f t="shared" si="398"/>
        <v>22.01</v>
      </c>
      <c r="EC141" s="173">
        <f t="shared" si="399"/>
        <v>1.4280765029178599</v>
      </c>
      <c r="ED141" s="173">
        <f t="shared" si="400"/>
        <v>15.412339573565529</v>
      </c>
      <c r="EE141" s="460">
        <f t="shared" si="401"/>
        <v>3.5418486263491844</v>
      </c>
      <c r="EF141" s="5">
        <f t="shared" si="402"/>
        <v>1.2869137883241499</v>
      </c>
      <c r="EH141" s="173">
        <f t="shared" si="403"/>
        <v>1.9987506834448987</v>
      </c>
      <c r="EI141" s="173">
        <f t="shared" si="404"/>
        <v>2.2192240036957771</v>
      </c>
      <c r="EK141" s="528">
        <f t="shared" si="405"/>
        <v>4.7940051534857399E-2</v>
      </c>
      <c r="EL141" s="528">
        <f t="shared" si="406"/>
        <v>1.6305797889694775</v>
      </c>
      <c r="EM141" s="528">
        <f t="shared" si="407"/>
        <v>4.0250000000000001E-2</v>
      </c>
      <c r="EN141" s="528">
        <f t="shared" si="408"/>
        <v>0.38728525499999999</v>
      </c>
      <c r="EO141">
        <f t="shared" si="409"/>
        <v>8.5500000000000003E-3</v>
      </c>
      <c r="EP141" s="460">
        <f t="shared" si="410"/>
        <v>48.800000000000004</v>
      </c>
      <c r="EQ141" s="460"/>
      <c r="ER141" s="460">
        <f t="shared" si="432"/>
        <v>2114.6050955043347</v>
      </c>
      <c r="ES141" s="528">
        <f t="shared" si="411"/>
        <v>0.54249999999999998</v>
      </c>
      <c r="EV141" s="460">
        <f t="shared" si="412"/>
        <v>542.5</v>
      </c>
      <c r="EW141" s="528">
        <f t="shared" si="413"/>
        <v>5.59300601240003E-2</v>
      </c>
      <c r="EX141" s="528">
        <f t="shared" si="414"/>
        <v>6.894937250011321E-2</v>
      </c>
      <c r="EY141" s="528">
        <f t="shared" si="415"/>
        <v>6.9742142535545986</v>
      </c>
      <c r="EZ141" s="528"/>
      <c r="FA141" s="528">
        <f t="shared" si="416"/>
        <v>0.93659574468085127</v>
      </c>
      <c r="FB141" s="460">
        <f t="shared" si="417"/>
        <v>8035.6894308595629</v>
      </c>
      <c r="FC141" s="173">
        <f t="shared" si="418"/>
        <v>10.692794526363897</v>
      </c>
      <c r="FD141" s="5">
        <f t="shared" si="419"/>
        <v>21.7</v>
      </c>
      <c r="FE141" s="173">
        <f t="shared" si="420"/>
        <v>0.66990206671853425</v>
      </c>
      <c r="FF141" s="5">
        <f t="shared" si="421"/>
        <v>66.990206671853429</v>
      </c>
      <c r="FI141" s="562">
        <f t="shared" si="422"/>
        <v>-50</v>
      </c>
      <c r="FJ141">
        <f t="shared" si="423"/>
        <v>-50</v>
      </c>
      <c r="FL141">
        <f t="shared" si="424"/>
        <v>0.29963299147033995</v>
      </c>
    </row>
    <row r="142" spans="5:168">
      <c r="E142" s="170">
        <v>32</v>
      </c>
      <c r="F142" s="217">
        <f t="shared" si="425"/>
        <v>0.8</v>
      </c>
      <c r="G142" s="217"/>
      <c r="H142" s="217">
        <f t="shared" ref="H142:H173" si="442">F142*Vout</f>
        <v>22.400000000000002</v>
      </c>
      <c r="I142" s="541">
        <f t="shared" ref="I142:I173" si="443">VIN_min-F142*(Rdcr_pri+RON/1000)/CG142/Nps</f>
        <v>18.932157880402443</v>
      </c>
      <c r="J142" s="172">
        <f t="shared" ref="J142:J173" si="444">(T142+Vfwd1+F142/CG142*Rdcr_sec)*Nps</f>
        <v>28.436530372090992</v>
      </c>
      <c r="K142" s="172">
        <f t="shared" ref="K142:K173" si="445">(Vout+Vfwd1+F142/CG142*Rdcr_sec)*Nps++I142</f>
        <v>47.368688252493435</v>
      </c>
      <c r="L142" s="443"/>
      <c r="M142" s="217">
        <f t="shared" ref="M142:M173" si="446">(Vout+Vfwd1+F142/FL142*Rdcr_sec)*Nps/((Vout+Vfwd1+F142/FL142*Rdcr_sec)*Nps+I142)</f>
        <v>0.60032555975029489</v>
      </c>
      <c r="N142" s="172">
        <f t="shared" ref="N142:N173" si="447">M142*I142*(Isw_max+VIN_min/Lmag*ILIM_delay)*0.5*Efficiency</f>
        <v>95.401334351392578</v>
      </c>
      <c r="O142" s="172">
        <f t="shared" si="438"/>
        <v>22.400000000000002</v>
      </c>
      <c r="P142" s="217">
        <f t="shared" ref="P142:P172" si="448">N142/Vout</f>
        <v>3.407190512549735</v>
      </c>
      <c r="Q142" s="217">
        <f t="shared" ref="Q142:Q173" si="449">MIN(Vout,N142/F142)</f>
        <v>28</v>
      </c>
      <c r="R142" s="217"/>
      <c r="S142" s="172">
        <f t="shared" ref="S142:S173" si="450">(SQRT(Isw_max^2*Nps^2*I142^2+4*Isw_max*F142/Efficiency*(Nps^2*Vfwd1*I142-Nps*I142^2)+4*(F142/Efficiency)^2*Nps^2*Vfwd1^2+8*(F142/Efficiency)^2*Nps*Vfwd1*I142+4*(F142/Efficiency)^2*I142^2)-2*F142/Efficiency*I142-2*F142/Efficiency*Nps*Vfwd1+Isw_max*Nps*I142)/(4*F142/Efficiency*Nps)</f>
        <v>178.32019277425104</v>
      </c>
      <c r="T142" s="172">
        <f t="shared" ref="T142:T173" si="451">MIN(Vout, S142)</f>
        <v>28</v>
      </c>
      <c r="U142" s="217">
        <f t="shared" ref="U142:U173" si="452">MIN(2*(Vout+Vfwd1+F142/FL142*Rdcr_sec)*F142/(I142*M142), Isw_max)</f>
        <v>4.0032582493900941</v>
      </c>
      <c r="V142" s="217">
        <f t="shared" ref="V142:V173" si="453">L*U142/I142*1000000</f>
        <v>0.99382827308925237</v>
      </c>
      <c r="W142" s="217">
        <f t="shared" ref="W142:W173" si="454">L*U142/J142*1000000</f>
        <v>0.66165996786301728</v>
      </c>
      <c r="X142" s="197">
        <f t="shared" ref="X142:X173" si="455">IF(1/((350000*L)*(1/I142+1/J142))&gt;Isw_min, 350, 0.001/((Isw_min*L)*(1/I142+1/J142)))</f>
        <v>350</v>
      </c>
      <c r="Y142" s="443">
        <f t="shared" si="328"/>
        <v>350</v>
      </c>
      <c r="AA142" s="217">
        <f t="shared" ref="AA142:AA173" si="456">1/((X142*1000*L)*(1/I142+1/J142))</f>
        <v>6.9090679290864845</v>
      </c>
      <c r="AB142" s="173">
        <f t="shared" ref="AB142:AB173" si="457">L*AA142/J142*1000000</f>
        <v>1.1419332401598719</v>
      </c>
      <c r="AC142" s="173">
        <f t="shared" ref="AC142:AC173" si="458">0.5*AB142*AA142*Nps*X142/1000</f>
        <v>1.3806965071806174</v>
      </c>
      <c r="AD142" s="173"/>
      <c r="AE142" s="173">
        <f t="shared" ref="AE142:AE173" si="459">L*Isw_min/J142*1000000</f>
        <v>0.55093453602351938</v>
      </c>
      <c r="AF142" s="545">
        <f t="shared" ref="AF142:AF173" si="460">MAX(12000,F142/(0.5*AE142/1000000*Isw_min*Nps))/1000</f>
        <v>871.24688799597925</v>
      </c>
      <c r="AG142" s="528">
        <f t="shared" ref="AG142:AG173" si="461">0.5*AE142/1000000*Isw_min*Nps*X142*1000</f>
        <v>0.32137847934705299</v>
      </c>
      <c r="AI142" s="173">
        <f t="shared" ref="AI142:AI173" si="462">SQRT(F142/(0.5*L/J142*Fsw_DCM*Nps))</f>
        <v>5.2591473990516491</v>
      </c>
      <c r="AJ142" s="173">
        <f t="shared" ref="AJ142:AJ173" si="463">MAX(IF(F142&gt;AC142,U142,AI142),Isw_min)</f>
        <v>5.2591473990516491</v>
      </c>
      <c r="AK142" s="173">
        <f t="shared" ref="AK142:AK173" si="464">IF(F142&gt;AG142, (AJ142-Isw_min)/1.08*0.8+1.2, AF142*0.2/350+1)</f>
        <v>2.6265289375691223</v>
      </c>
      <c r="AM142" s="545">
        <f t="shared" ref="AM142:AM173" si="465">F142*1000</f>
        <v>800</v>
      </c>
      <c r="AN142" s="460">
        <f t="shared" ref="AN142:AN173" si="466">IF(F142&gt;AG142, Y142, AF142)</f>
        <v>350</v>
      </c>
      <c r="AP142" s="460">
        <f t="shared" ref="AP142:AP173" si="467">IF(H142&gt;N142, "",AM142)</f>
        <v>800</v>
      </c>
      <c r="AQ142" s="460">
        <f t="shared" ref="AQ142:AQ173" si="468">IF(H142&gt;N142, "",AN142)</f>
        <v>350</v>
      </c>
      <c r="AS142" s="5">
        <f t="shared" si="439"/>
        <v>2.8571428571428572</v>
      </c>
      <c r="AT142" s="5">
        <f t="shared" ref="AT142:AT173" si="469">L*AJ142/I142*1000000</f>
        <v>1.3056088445749492</v>
      </c>
      <c r="AU142" s="5">
        <f t="shared" si="343"/>
        <v>1.551534012567908</v>
      </c>
      <c r="AV142" s="5"/>
      <c r="AW142" s="173">
        <f t="shared" si="344"/>
        <v>0.45696309560123222</v>
      </c>
      <c r="AX142" s="173">
        <f t="shared" si="435"/>
        <v>22.749224297672789</v>
      </c>
      <c r="AY142" s="173">
        <f t="shared" si="436"/>
        <v>1.4279555616789192</v>
      </c>
      <c r="AZ142" s="173">
        <f t="shared" si="440"/>
        <v>15.931325111353873</v>
      </c>
      <c r="BA142" s="460">
        <f t="shared" si="433"/>
        <v>3.7303109844998552</v>
      </c>
      <c r="BB142" s="5">
        <f t="shared" si="434"/>
        <v>1.3112369101244168</v>
      </c>
      <c r="BD142" s="173">
        <f t="shared" si="441"/>
        <v>2.0525572512211587</v>
      </c>
      <c r="BE142" s="173">
        <f t="shared" si="437"/>
        <v>2.2375326855214168</v>
      </c>
      <c r="BG142" s="528">
        <f t="shared" si="347"/>
        <v>5.0555895234486704E-2</v>
      </c>
      <c r="BH142" s="528">
        <f t="shared" ref="BH142:BH173" si="470">0.5*K142*AJ142*AN142*1000*Tfall</f>
        <v>1.5912470607451266</v>
      </c>
      <c r="BI142" s="528">
        <f t="shared" si="349"/>
        <v>4.0250000000000001E-2</v>
      </c>
      <c r="BJ142" s="528">
        <f t="shared" si="350"/>
        <v>0.38677375403808417</v>
      </c>
      <c r="BK142">
        <f t="shared" si="351"/>
        <v>8.5194710461810996E-3</v>
      </c>
      <c r="BL142" s="460">
        <f t="shared" si="427"/>
        <v>48.769471046181103</v>
      </c>
      <c r="BM142" s="528">
        <f t="shared" ref="BM142:BM173" si="471">(BH142+BI142*0+BJ142+BK142*0+BG142*(1+RdsonTC*(Ta-25)))/(1-BG142*RdsonTC*ThetaJA)</f>
        <v>2.0670564506435403</v>
      </c>
      <c r="BN142" s="460">
        <f t="shared" si="353"/>
        <v>2067.0564506435403</v>
      </c>
      <c r="BO142" s="528">
        <f t="shared" si="354"/>
        <v>0.55999999999999994</v>
      </c>
      <c r="BR142" s="460">
        <f t="shared" si="355"/>
        <v>559.99999999999989</v>
      </c>
      <c r="BS142" s="528">
        <f t="shared" si="356"/>
        <v>5.8981877773567823E-2</v>
      </c>
      <c r="BT142" s="528">
        <f t="shared" si="357"/>
        <v>7.0091735262873572E-2</v>
      </c>
      <c r="BU142" s="528">
        <f t="shared" si="358"/>
        <v>7.2682268348928147</v>
      </c>
      <c r="BV142" s="528"/>
      <c r="BW142" s="528">
        <f t="shared" si="359"/>
        <v>0.96805209777331047</v>
      </c>
      <c r="BX142" s="460">
        <f t="shared" si="360"/>
        <v>8365.352545702568</v>
      </c>
      <c r="BY142" s="173">
        <f t="shared" si="361"/>
        <v>11.002698726766443</v>
      </c>
      <c r="BZ142" s="5">
        <f t="shared" si="362"/>
        <v>22.400000000000002</v>
      </c>
      <c r="CA142" s="173">
        <f t="shared" si="363"/>
        <v>0.67060449765546348</v>
      </c>
      <c r="CB142" s="5">
        <f t="shared" si="364"/>
        <v>67.060449765546352</v>
      </c>
      <c r="CE142" s="562">
        <f t="shared" ref="CE142:CE173" si="472">IF(ABS(F142-Ioutmax_Vinmin)&lt;Iout/200, AN142, -50)</f>
        <v>-50</v>
      </c>
      <c r="CF142">
        <f t="shared" ref="CF142:CF173" si="473">IF(ABS(F142-Ioutmax_Vinmin)&lt;Iout/200, N142*CA142, -50)</f>
        <v>-50</v>
      </c>
      <c r="CG142" s="173">
        <f t="shared" ref="CG142:CG173" si="474">MIN(SQRT(2*DU142*1000*Ls1_*CL142)/CU142,1-EA142-0.00000005*DU142*1000)</f>
        <v>0.30659419433511786</v>
      </c>
      <c r="CI142" s="170">
        <v>32</v>
      </c>
      <c r="CJ142" s="217">
        <f t="shared" si="428"/>
        <v>0.8</v>
      </c>
      <c r="CK142" s="217"/>
      <c r="CL142" s="217">
        <f t="shared" si="368"/>
        <v>22.400000000000002</v>
      </c>
      <c r="CM142" s="541">
        <f t="shared" si="369"/>
        <v>19</v>
      </c>
      <c r="CN142" s="443">
        <f t="shared" si="370"/>
        <v>28.4</v>
      </c>
      <c r="CO142" s="443">
        <f t="shared" si="371"/>
        <v>47.4</v>
      </c>
      <c r="CP142" s="443"/>
      <c r="CQ142" s="217">
        <f t="shared" si="372"/>
        <v>0.59915611814345993</v>
      </c>
      <c r="CR142" s="172">
        <f t="shared" si="429"/>
        <v>95.556689708830859</v>
      </c>
      <c r="CS142" s="172">
        <f t="shared" si="373"/>
        <v>22.400000000000002</v>
      </c>
      <c r="CT142" s="217">
        <f t="shared" si="374"/>
        <v>3.4127389181725305</v>
      </c>
      <c r="CU142" s="217">
        <f t="shared" si="375"/>
        <v>28</v>
      </c>
      <c r="CV142" s="217"/>
      <c r="CW142" s="172">
        <f t="shared" si="376"/>
        <v>178.95903977487208</v>
      </c>
      <c r="CX142" s="172">
        <f t="shared" si="377"/>
        <v>28</v>
      </c>
      <c r="CY142" s="217">
        <f t="shared" si="378"/>
        <v>3.9353595255744995</v>
      </c>
      <c r="CZ142" s="217">
        <f t="shared" si="379"/>
        <v>0.97348367211579712</v>
      </c>
      <c r="DA142" s="217">
        <f t="shared" si="380"/>
        <v>0.6512742876831038</v>
      </c>
      <c r="DB142" s="197">
        <f t="shared" si="381"/>
        <v>350</v>
      </c>
      <c r="DC142" s="443">
        <f t="shared" si="382"/>
        <v>350</v>
      </c>
      <c r="DE142" s="217">
        <f t="shared" si="383"/>
        <v>6.9203442217177731</v>
      </c>
      <c r="DF142" s="173">
        <f t="shared" si="384"/>
        <v>1.1452682338758289</v>
      </c>
      <c r="DG142" s="173">
        <f t="shared" si="385"/>
        <v>1.3869888208084145</v>
      </c>
      <c r="DH142" s="173"/>
      <c r="DI142" s="173">
        <f t="shared" si="386"/>
        <v>0.55164319248826299</v>
      </c>
      <c r="DJ142" s="545">
        <f t="shared" si="387"/>
        <v>870.127659574468</v>
      </c>
      <c r="DK142" s="528">
        <f t="shared" si="388"/>
        <v>0.3217918622848201</v>
      </c>
      <c r="DM142" s="173">
        <f t="shared" si="389"/>
        <v>5.255768288647376</v>
      </c>
      <c r="DN142" s="173">
        <f t="shared" si="390"/>
        <v>5.255768288647376</v>
      </c>
      <c r="DO142" s="173">
        <f t="shared" si="391"/>
        <v>2.6240258928252169</v>
      </c>
      <c r="DQ142" s="545">
        <f t="shared" si="392"/>
        <v>800</v>
      </c>
      <c r="DR142" s="460">
        <f t="shared" si="393"/>
        <v>350</v>
      </c>
      <c r="DT142">
        <f t="shared" si="430"/>
        <v>800</v>
      </c>
      <c r="DU142">
        <f t="shared" si="431"/>
        <v>350</v>
      </c>
      <c r="DW142" s="5">
        <f t="shared" si="394"/>
        <v>2.8571428571428572</v>
      </c>
      <c r="DX142" s="5">
        <f t="shared" si="395"/>
        <v>1.3001111029811929</v>
      </c>
      <c r="DY142" s="5">
        <f t="shared" si="396"/>
        <v>1.5570317541616643</v>
      </c>
      <c r="DZ142" s="5"/>
      <c r="EA142" s="173">
        <f t="shared" si="397"/>
        <v>0.45503888604341752</v>
      </c>
      <c r="EB142" s="173">
        <f t="shared" si="398"/>
        <v>22.72</v>
      </c>
      <c r="EC142" s="173">
        <f t="shared" si="399"/>
        <v>1.4320946706394775</v>
      </c>
      <c r="ED142" s="173">
        <f t="shared" si="400"/>
        <v>15.864872948556375</v>
      </c>
      <c r="EE142" s="460">
        <f t="shared" si="401"/>
        <v>3.714603151374837</v>
      </c>
      <c r="EF142" s="5">
        <f t="shared" si="402"/>
        <v>1.3111846350835068</v>
      </c>
      <c r="EH142" s="173">
        <f t="shared" si="403"/>
        <v>2.0469151416522391</v>
      </c>
      <c r="EI142" s="173">
        <f t="shared" si="404"/>
        <v>2.2400532369102115</v>
      </c>
      <c r="EK142" s="528">
        <f t="shared" si="405"/>
        <v>5.0278339165502471E-2</v>
      </c>
      <c r="EL142" s="528">
        <f t="shared" si="406"/>
        <v>1.6566707222645394</v>
      </c>
      <c r="EM142" s="528">
        <f t="shared" si="407"/>
        <v>4.0250000000000001E-2</v>
      </c>
      <c r="EN142" s="528">
        <f t="shared" si="408"/>
        <v>0.38728525499999999</v>
      </c>
      <c r="EO142">
        <f t="shared" si="409"/>
        <v>8.5500000000000003E-3</v>
      </c>
      <c r="EP142" s="460">
        <f t="shared" si="410"/>
        <v>48.800000000000004</v>
      </c>
      <c r="EQ142" s="460"/>
      <c r="ER142" s="460">
        <f t="shared" si="432"/>
        <v>2143.0343164300421</v>
      </c>
      <c r="ES142" s="528">
        <f t="shared" si="411"/>
        <v>0.55999999999999994</v>
      </c>
      <c r="EV142" s="460">
        <f t="shared" si="412"/>
        <v>559.99999999999989</v>
      </c>
      <c r="EW142" s="528">
        <f t="shared" si="413"/>
        <v>5.8658062359752884E-2</v>
      </c>
      <c r="EX142" s="528">
        <f t="shared" si="414"/>
        <v>7.0249739058686825E-2</v>
      </c>
      <c r="EY142" s="528">
        <f t="shared" si="415"/>
        <v>7.2565574971530804</v>
      </c>
      <c r="EZ142" s="528"/>
      <c r="FA142" s="528">
        <f t="shared" si="416"/>
        <v>0.96680851063829787</v>
      </c>
      <c r="FB142" s="460">
        <f t="shared" si="417"/>
        <v>8352.273809209817</v>
      </c>
      <c r="FC142" s="173">
        <f t="shared" si="418"/>
        <v>11.05530812563986</v>
      </c>
      <c r="FD142" s="5">
        <f t="shared" si="419"/>
        <v>22.400000000000002</v>
      </c>
      <c r="FE142" s="173">
        <f t="shared" si="420"/>
        <v>0.66954995350447344</v>
      </c>
      <c r="FF142" s="5">
        <f t="shared" si="421"/>
        <v>66.954995350447348</v>
      </c>
      <c r="FI142" s="562">
        <f t="shared" si="422"/>
        <v>-50</v>
      </c>
      <c r="FJ142">
        <f t="shared" si="423"/>
        <v>-50</v>
      </c>
      <c r="FL142">
        <f t="shared" ref="FL142:FL173" si="475">MIN(SQRT(2*L*DR142*1000*CJ142*(CX142+Vfwd1))/(Nps*(CX142+Vfwd1)), 1-EA142)</f>
        <v>0.30442742376144138</v>
      </c>
    </row>
    <row r="143" spans="5:168">
      <c r="E143" s="170">
        <v>33</v>
      </c>
      <c r="F143" s="217">
        <f t="shared" ref="F143:F174" si="476">IF(PLOT_TYPE=1, E143/100*Iout_max, min_I*EXP(N143*rr/100))</f>
        <v>0.82500000000000007</v>
      </c>
      <c r="G143" s="217"/>
      <c r="H143" s="217">
        <f t="shared" si="442"/>
        <v>23.1</v>
      </c>
      <c r="I143" s="541">
        <f t="shared" si="443"/>
        <v>18.931106001867192</v>
      </c>
      <c r="J143" s="172">
        <f t="shared" si="444"/>
        <v>28.437096768225356</v>
      </c>
      <c r="K143" s="172">
        <f t="shared" si="445"/>
        <v>47.368202770092552</v>
      </c>
      <c r="L143" s="443"/>
      <c r="M143" s="217">
        <f t="shared" si="446"/>
        <v>0.60034370377964497</v>
      </c>
      <c r="N143" s="172">
        <f t="shared" si="447"/>
        <v>95.398917030029168</v>
      </c>
      <c r="O143" s="172">
        <f t="shared" si="438"/>
        <v>23.1</v>
      </c>
      <c r="P143" s="217">
        <f t="shared" si="448"/>
        <v>3.4071041796438988</v>
      </c>
      <c r="Q143" s="217">
        <f t="shared" si="449"/>
        <v>28</v>
      </c>
      <c r="R143" s="217"/>
      <c r="S143" s="172">
        <f t="shared" si="450"/>
        <v>172.33602518091521</v>
      </c>
      <c r="T143" s="172">
        <f t="shared" si="451"/>
        <v>28</v>
      </c>
      <c r="U143" s="217">
        <f t="shared" si="452"/>
        <v>4.1285474934448523</v>
      </c>
      <c r="V143" s="217">
        <f t="shared" si="453"/>
        <v>1.0249888842879518</v>
      </c>
      <c r="W143" s="217">
        <f t="shared" si="454"/>
        <v>0.68235422825836312</v>
      </c>
      <c r="X143" s="197">
        <f t="shared" si="455"/>
        <v>350</v>
      </c>
      <c r="Y143" s="443">
        <f t="shared" si="328"/>
        <v>350</v>
      </c>
      <c r="AA143" s="217">
        <f t="shared" si="456"/>
        <v>6.9088924742717879</v>
      </c>
      <c r="AB143" s="173">
        <f t="shared" si="457"/>
        <v>1.1418814970366555</v>
      </c>
      <c r="AC143" s="173">
        <f t="shared" si="458"/>
        <v>1.3805988842426815</v>
      </c>
      <c r="AD143" s="173"/>
      <c r="AE143" s="173">
        <f t="shared" si="459"/>
        <v>0.55092356277987098</v>
      </c>
      <c r="AF143" s="545">
        <f t="shared" si="460"/>
        <v>898.49124895350326</v>
      </c>
      <c r="AG143" s="528">
        <f t="shared" si="461"/>
        <v>0.32137207828825809</v>
      </c>
      <c r="AI143" s="173">
        <f t="shared" si="462"/>
        <v>5.3407426181018707</v>
      </c>
      <c r="AJ143" s="173">
        <f t="shared" si="463"/>
        <v>5.3407426181018707</v>
      </c>
      <c r="AK143" s="173">
        <f t="shared" si="464"/>
        <v>2.6869698405692866</v>
      </c>
      <c r="AM143" s="545">
        <f t="shared" si="465"/>
        <v>825.00000000000011</v>
      </c>
      <c r="AN143" s="460">
        <f t="shared" si="466"/>
        <v>350</v>
      </c>
      <c r="AP143" s="460">
        <f t="shared" si="467"/>
        <v>825.00000000000011</v>
      </c>
      <c r="AQ143" s="460">
        <f t="shared" si="468"/>
        <v>350</v>
      </c>
      <c r="AS143" s="5">
        <f t="shared" si="439"/>
        <v>2.8571428571428572</v>
      </c>
      <c r="AT143" s="5">
        <f t="shared" si="469"/>
        <v>1.3259389230931891</v>
      </c>
      <c r="AU143" s="5">
        <f t="shared" si="343"/>
        <v>1.5312039340496681</v>
      </c>
      <c r="AV143" s="5"/>
      <c r="AW143" s="173">
        <f t="shared" si="344"/>
        <v>0.46407862308261616</v>
      </c>
      <c r="AX143" s="173">
        <f t="shared" si="435"/>
        <v>23.460604833785915</v>
      </c>
      <c r="AY143" s="173">
        <f t="shared" si="436"/>
        <v>1.4311090688272541</v>
      </c>
      <c r="AZ143" s="173">
        <f t="shared" si="440"/>
        <v>16.393303169416075</v>
      </c>
      <c r="BA143" s="460">
        <f t="shared" si="433"/>
        <v>3.9067843269710041</v>
      </c>
      <c r="BB143" s="5">
        <f t="shared" si="434"/>
        <v>1.3345688788244927</v>
      </c>
      <c r="BD143" s="173">
        <f t="shared" si="441"/>
        <v>2.1005682820555989</v>
      </c>
      <c r="BE143" s="173">
        <f t="shared" si="437"/>
        <v>2.2573118518919504</v>
      </c>
      <c r="BG143" s="528">
        <f t="shared" si="347"/>
        <v>5.2948645290936125E-2</v>
      </c>
      <c r="BH143" s="528">
        <f t="shared" si="470"/>
        <v>1.615918560132632</v>
      </c>
      <c r="BI143" s="528">
        <f t="shared" si="349"/>
        <v>4.0250000000000001E-2</v>
      </c>
      <c r="BJ143" s="528">
        <f t="shared" si="350"/>
        <v>0.38676582597862558</v>
      </c>
      <c r="BK143">
        <f t="shared" si="351"/>
        <v>8.5189977008402369E-3</v>
      </c>
      <c r="BL143" s="460">
        <f t="shared" si="427"/>
        <v>48.768997700840238</v>
      </c>
      <c r="BM143" s="528">
        <f t="shared" si="471"/>
        <v>2.0963018973417582</v>
      </c>
      <c r="BN143" s="460">
        <f t="shared" si="353"/>
        <v>2096.3018973417584</v>
      </c>
      <c r="BO143" s="528">
        <f t="shared" si="354"/>
        <v>0.57750000000000001</v>
      </c>
      <c r="BR143" s="460">
        <f t="shared" si="355"/>
        <v>577.5</v>
      </c>
      <c r="BS143" s="528">
        <f t="shared" si="356"/>
        <v>6.1773419506092143E-2</v>
      </c>
      <c r="BT143" s="528">
        <f t="shared" si="357"/>
        <v>7.133639515368613E-2</v>
      </c>
      <c r="BU143" s="528">
        <f t="shared" si="358"/>
        <v>7.5534304975249826</v>
      </c>
      <c r="BV143" s="528"/>
      <c r="BW143" s="528">
        <f t="shared" si="359"/>
        <v>0.9983236099483368</v>
      </c>
      <c r="BX143" s="460">
        <f t="shared" si="360"/>
        <v>8684.8639221330977</v>
      </c>
      <c r="BY143" s="173">
        <f t="shared" si="361"/>
        <v>11.366765951236131</v>
      </c>
      <c r="BZ143" s="5">
        <f t="shared" si="362"/>
        <v>23.1</v>
      </c>
      <c r="CA143" s="173">
        <f t="shared" si="363"/>
        <v>0.67021083535026382</v>
      </c>
      <c r="CB143" s="5">
        <f t="shared" si="364"/>
        <v>67.021083535026378</v>
      </c>
      <c r="CE143" s="562">
        <f t="shared" si="472"/>
        <v>-50</v>
      </c>
      <c r="CF143">
        <f t="shared" si="473"/>
        <v>-50</v>
      </c>
      <c r="CG143" s="173">
        <f t="shared" si="474"/>
        <v>0.31134787617711479</v>
      </c>
      <c r="CI143" s="170">
        <v>33</v>
      </c>
      <c r="CJ143" s="217">
        <f t="shared" si="428"/>
        <v>0.82500000000000007</v>
      </c>
      <c r="CK143" s="217"/>
      <c r="CL143" s="217">
        <f t="shared" si="368"/>
        <v>23.1</v>
      </c>
      <c r="CM143" s="541">
        <f t="shared" si="369"/>
        <v>19</v>
      </c>
      <c r="CN143" s="443">
        <f t="shared" si="370"/>
        <v>28.4</v>
      </c>
      <c r="CO143" s="443">
        <f t="shared" si="371"/>
        <v>47.4</v>
      </c>
      <c r="CP143" s="443"/>
      <c r="CQ143" s="217">
        <f t="shared" si="372"/>
        <v>0.59915611814345993</v>
      </c>
      <c r="CR143" s="172">
        <f t="shared" si="429"/>
        <v>95.556689708830859</v>
      </c>
      <c r="CS143" s="172">
        <f t="shared" si="373"/>
        <v>23.1</v>
      </c>
      <c r="CT143" s="217">
        <f t="shared" si="374"/>
        <v>3.4127389181725305</v>
      </c>
      <c r="CU143" s="217">
        <f t="shared" si="375"/>
        <v>28</v>
      </c>
      <c r="CV143" s="217"/>
      <c r="CW143" s="172">
        <f t="shared" si="376"/>
        <v>172.96303056215609</v>
      </c>
      <c r="CX143" s="172">
        <f t="shared" si="377"/>
        <v>28</v>
      </c>
      <c r="CY143" s="217">
        <f t="shared" si="378"/>
        <v>4.058339510748703</v>
      </c>
      <c r="CZ143" s="217">
        <f t="shared" si="379"/>
        <v>1.003905036869416</v>
      </c>
      <c r="DA143" s="217">
        <f t="shared" si="380"/>
        <v>0.67162660917320094</v>
      </c>
      <c r="DB143" s="197">
        <f t="shared" si="381"/>
        <v>350</v>
      </c>
      <c r="DC143" s="443">
        <f t="shared" si="382"/>
        <v>350</v>
      </c>
      <c r="DE143" s="217">
        <f t="shared" si="383"/>
        <v>6.9203442217177731</v>
      </c>
      <c r="DF143" s="173">
        <f t="shared" si="384"/>
        <v>1.1452682338758289</v>
      </c>
      <c r="DG143" s="173">
        <f t="shared" si="385"/>
        <v>1.3869888208084145</v>
      </c>
      <c r="DH143" s="173"/>
      <c r="DI143" s="173">
        <f t="shared" si="386"/>
        <v>0.55164319248826299</v>
      </c>
      <c r="DJ143" s="545">
        <f t="shared" si="387"/>
        <v>897.31914893617011</v>
      </c>
      <c r="DK143" s="528">
        <f t="shared" si="388"/>
        <v>0.3217918622848201</v>
      </c>
      <c r="DM143" s="173">
        <f t="shared" si="389"/>
        <v>5.3372579278548882</v>
      </c>
      <c r="DN143" s="173">
        <f t="shared" si="390"/>
        <v>5.3372579278548882</v>
      </c>
      <c r="DO143" s="173">
        <f t="shared" si="391"/>
        <v>2.6843885885344849</v>
      </c>
      <c r="DQ143" s="545">
        <f t="shared" si="392"/>
        <v>825.00000000000011</v>
      </c>
      <c r="DR143" s="460">
        <f t="shared" si="393"/>
        <v>350</v>
      </c>
      <c r="DT143">
        <f t="shared" si="430"/>
        <v>825.00000000000011</v>
      </c>
      <c r="DU143">
        <f t="shared" si="431"/>
        <v>350</v>
      </c>
      <c r="DW143" s="5">
        <f t="shared" si="394"/>
        <v>2.8571428571428572</v>
      </c>
      <c r="DX143" s="5">
        <f t="shared" si="395"/>
        <v>1.3202690663641037</v>
      </c>
      <c r="DY143" s="5">
        <f t="shared" si="396"/>
        <v>1.5368737907787535</v>
      </c>
      <c r="DZ143" s="5"/>
      <c r="EA143" s="173">
        <f t="shared" si="397"/>
        <v>0.46209417322743629</v>
      </c>
      <c r="EB143" s="173">
        <f t="shared" si="398"/>
        <v>23.430000000000003</v>
      </c>
      <c r="EC143" s="173">
        <f t="shared" si="399"/>
        <v>1.4354710691906019</v>
      </c>
      <c r="ED143" s="173">
        <f t="shared" si="400"/>
        <v>16.32216803450531</v>
      </c>
      <c r="EE143" s="460">
        <f t="shared" si="401"/>
        <v>3.8900784991085207</v>
      </c>
      <c r="EF143" s="5">
        <f t="shared" si="402"/>
        <v>1.3346535551499701</v>
      </c>
      <c r="EH143" s="173">
        <f t="shared" si="403"/>
        <v>2.0947047126792606</v>
      </c>
      <c r="EI143" s="173">
        <f t="shared" si="404"/>
        <v>2.2600117026605377</v>
      </c>
      <c r="EK143" s="528">
        <f t="shared" si="405"/>
        <v>5.2653453999848443E-2</v>
      </c>
      <c r="EL143" s="528">
        <f t="shared" si="406"/>
        <v>1.6823570714391392</v>
      </c>
      <c r="EM143" s="528">
        <f t="shared" si="407"/>
        <v>4.0250000000000001E-2</v>
      </c>
      <c r="EN143" s="528">
        <f t="shared" si="408"/>
        <v>0.38728525499999999</v>
      </c>
      <c r="EO143">
        <f t="shared" si="409"/>
        <v>8.5500000000000003E-3</v>
      </c>
      <c r="EP143" s="460">
        <f t="shared" si="410"/>
        <v>48.800000000000004</v>
      </c>
      <c r="EQ143" s="460"/>
      <c r="ER143" s="460">
        <f t="shared" si="432"/>
        <v>2171.0957804389873</v>
      </c>
      <c r="ES143" s="528">
        <f t="shared" si="411"/>
        <v>0.57750000000000001</v>
      </c>
      <c r="EV143" s="460">
        <f t="shared" si="412"/>
        <v>577.5</v>
      </c>
      <c r="EW143" s="528">
        <f t="shared" si="413"/>
        <v>6.1429029666489852E-2</v>
      </c>
      <c r="EX143" s="528">
        <f t="shared" si="414"/>
        <v>7.150714054627616E-2</v>
      </c>
      <c r="EY143" s="528">
        <f t="shared" si="415"/>
        <v>7.5411155029712491</v>
      </c>
      <c r="EZ143" s="528"/>
      <c r="FA143" s="528">
        <f t="shared" si="416"/>
        <v>0.9970212765957448</v>
      </c>
      <c r="FB143" s="460">
        <f t="shared" si="417"/>
        <v>8671.0729497797602</v>
      </c>
      <c r="FC143" s="173">
        <f t="shared" si="418"/>
        <v>11.419668730218749</v>
      </c>
      <c r="FD143" s="5">
        <f t="shared" si="419"/>
        <v>23.1</v>
      </c>
      <c r="FE143" s="173">
        <f t="shared" si="420"/>
        <v>0.66918371032275015</v>
      </c>
      <c r="FF143" s="5">
        <f t="shared" si="421"/>
        <v>66.918371032275019</v>
      </c>
      <c r="FI143" s="562">
        <f t="shared" si="422"/>
        <v>-50</v>
      </c>
      <c r="FJ143">
        <f t="shared" si="423"/>
        <v>-50</v>
      </c>
      <c r="FL143">
        <f t="shared" si="475"/>
        <v>0.30914751025779191</v>
      </c>
    </row>
    <row r="144" spans="5:168">
      <c r="E144" s="170">
        <v>34</v>
      </c>
      <c r="F144" s="217">
        <f t="shared" si="476"/>
        <v>0.85000000000000009</v>
      </c>
      <c r="G144" s="217"/>
      <c r="H144" s="217">
        <f t="shared" si="442"/>
        <v>23.800000000000004</v>
      </c>
      <c r="I144" s="541">
        <f t="shared" si="443"/>
        <v>18.930069943758372</v>
      </c>
      <c r="J144" s="172">
        <f t="shared" si="444"/>
        <v>28.437654645668569</v>
      </c>
      <c r="K144" s="172">
        <f t="shared" si="445"/>
        <v>47.367724589426942</v>
      </c>
      <c r="L144" s="443"/>
      <c r="M144" s="217">
        <f t="shared" si="446"/>
        <v>0.60036157528035961</v>
      </c>
      <c r="N144" s="172">
        <f t="shared" si="447"/>
        <v>95.396535809657763</v>
      </c>
      <c r="O144" s="172">
        <f t="shared" si="438"/>
        <v>23.800000000000004</v>
      </c>
      <c r="P144" s="217">
        <f t="shared" si="448"/>
        <v>3.4070191360592057</v>
      </c>
      <c r="Q144" s="217">
        <f t="shared" si="449"/>
        <v>28</v>
      </c>
      <c r="R144" s="217"/>
      <c r="S144" s="172">
        <f t="shared" si="450"/>
        <v>166.70416429478456</v>
      </c>
      <c r="T144" s="172">
        <f t="shared" si="451"/>
        <v>28</v>
      </c>
      <c r="U144" s="217">
        <f t="shared" si="452"/>
        <v>4.2538452131889146</v>
      </c>
      <c r="V144" s="217">
        <f t="shared" si="453"/>
        <v>1.0561541801687859</v>
      </c>
      <c r="W144" s="217">
        <f t="shared" si="454"/>
        <v>0.70304927572615794</v>
      </c>
      <c r="X144" s="197">
        <f t="shared" si="455"/>
        <v>350</v>
      </c>
      <c r="Y144" s="443">
        <f t="shared" si="328"/>
        <v>350</v>
      </c>
      <c r="AA144" s="217">
        <f t="shared" si="456"/>
        <v>6.9087196398617383</v>
      </c>
      <c r="AB144" s="173">
        <f t="shared" si="457"/>
        <v>1.1418305311016896</v>
      </c>
      <c r="AC144" s="173">
        <f t="shared" si="458"/>
        <v>1.3805027277328006</v>
      </c>
      <c r="AD144" s="173"/>
      <c r="AE144" s="173">
        <f t="shared" si="459"/>
        <v>0.55091275500291326</v>
      </c>
      <c r="AF144" s="545">
        <f t="shared" si="460"/>
        <v>925.73641718878537</v>
      </c>
      <c r="AG144" s="528">
        <f t="shared" si="461"/>
        <v>0.32136577375169945</v>
      </c>
      <c r="AI144" s="173">
        <f t="shared" si="462"/>
        <v>5.4211122187732723</v>
      </c>
      <c r="AJ144" s="173">
        <f t="shared" si="463"/>
        <v>5.4211122187732723</v>
      </c>
      <c r="AK144" s="173">
        <f t="shared" si="464"/>
        <v>2.7465028781036587</v>
      </c>
      <c r="AM144" s="545">
        <f t="shared" si="465"/>
        <v>850.00000000000011</v>
      </c>
      <c r="AN144" s="460">
        <f t="shared" si="466"/>
        <v>350</v>
      </c>
      <c r="AP144" s="460">
        <f t="shared" si="467"/>
        <v>850.00000000000011</v>
      </c>
      <c r="AQ144" s="460">
        <f t="shared" si="468"/>
        <v>350</v>
      </c>
      <c r="AS144" s="5">
        <f t="shared" si="439"/>
        <v>2.8571428571428572</v>
      </c>
      <c r="AT144" s="5">
        <f t="shared" si="469"/>
        <v>1.3459658365729068</v>
      </c>
      <c r="AU144" s="5">
        <f t="shared" si="343"/>
        <v>1.5111770205699504</v>
      </c>
      <c r="AV144" s="5"/>
      <c r="AW144" s="173">
        <f t="shared" si="344"/>
        <v>0.47108804280051736</v>
      </c>
      <c r="AX144" s="173">
        <f t="shared" si="435"/>
        <v>24.172006448818287</v>
      </c>
      <c r="AY144" s="173">
        <f t="shared" si="436"/>
        <v>1.4336455369147008</v>
      </c>
      <c r="AZ144" s="173">
        <f t="shared" si="440"/>
        <v>16.860518047465227</v>
      </c>
      <c r="BA144" s="460">
        <f t="shared" si="433"/>
        <v>4.0859677181677529</v>
      </c>
      <c r="BB144" s="5">
        <f t="shared" si="434"/>
        <v>1.3571006037492046</v>
      </c>
      <c r="BD144" s="173">
        <f t="shared" si="441"/>
        <v>2.1482202721801107</v>
      </c>
      <c r="BE144" s="173">
        <f t="shared" si="437"/>
        <v>2.2762473997873567</v>
      </c>
      <c r="BG144" s="528">
        <f t="shared" si="347"/>
        <v>5.5378204053667064E-2</v>
      </c>
      <c r="BH144" s="528">
        <f t="shared" si="470"/>
        <v>1.6402189816204289</v>
      </c>
      <c r="BI144" s="528">
        <f t="shared" si="349"/>
        <v>4.0250000000000001E-2</v>
      </c>
      <c r="BJ144" s="528">
        <f t="shared" si="350"/>
        <v>0.38675801723791831</v>
      </c>
      <c r="BK144">
        <f t="shared" si="351"/>
        <v>8.5185314746912665E-3</v>
      </c>
      <c r="BL144" s="460">
        <f t="shared" si="427"/>
        <v>48.768531474691272</v>
      </c>
      <c r="BM144" s="528">
        <f t="shared" si="471"/>
        <v>2.125271343533778</v>
      </c>
      <c r="BN144" s="460">
        <f t="shared" si="353"/>
        <v>2125.2713435337778</v>
      </c>
      <c r="BO144" s="528">
        <f t="shared" si="354"/>
        <v>0.59499999999999997</v>
      </c>
      <c r="BR144" s="460">
        <f t="shared" si="355"/>
        <v>595</v>
      </c>
      <c r="BS144" s="528">
        <f t="shared" si="356"/>
        <v>6.4607904729278243E-2</v>
      </c>
      <c r="BT144" s="528">
        <f t="shared" si="357"/>
        <v>7.2538231150541824E-2</v>
      </c>
      <c r="BU144" s="528">
        <f t="shared" si="358"/>
        <v>7.8408132255266336</v>
      </c>
      <c r="BV144" s="528"/>
      <c r="BW144" s="528">
        <f t="shared" si="359"/>
        <v>1.0285960190986505</v>
      </c>
      <c r="BX144" s="460">
        <f t="shared" si="360"/>
        <v>9006.555380505104</v>
      </c>
      <c r="BY144" s="173">
        <f t="shared" si="361"/>
        <v>11.732679114891809</v>
      </c>
      <c r="BZ144" s="5">
        <f t="shared" si="362"/>
        <v>23.800000000000004</v>
      </c>
      <c r="CA144" s="173">
        <f t="shared" si="363"/>
        <v>0.66980595307898916</v>
      </c>
      <c r="CB144" s="5">
        <f t="shared" si="364"/>
        <v>66.980595307898909</v>
      </c>
      <c r="CE144" s="562">
        <f t="shared" si="472"/>
        <v>-50</v>
      </c>
      <c r="CF144">
        <f t="shared" si="473"/>
        <v>-50</v>
      </c>
      <c r="CG144" s="173">
        <f t="shared" si="474"/>
        <v>0.31603006186120969</v>
      </c>
      <c r="CI144" s="170">
        <v>34</v>
      </c>
      <c r="CJ144" s="217">
        <f t="shared" si="428"/>
        <v>0.85000000000000009</v>
      </c>
      <c r="CK144" s="217"/>
      <c r="CL144" s="217">
        <f t="shared" si="368"/>
        <v>23.800000000000004</v>
      </c>
      <c r="CM144" s="541">
        <f t="shared" si="369"/>
        <v>19</v>
      </c>
      <c r="CN144" s="443">
        <f t="shared" si="370"/>
        <v>28.4</v>
      </c>
      <c r="CO144" s="443">
        <f t="shared" si="371"/>
        <v>47.4</v>
      </c>
      <c r="CP144" s="443"/>
      <c r="CQ144" s="217">
        <f t="shared" si="372"/>
        <v>0.59915611814345993</v>
      </c>
      <c r="CR144" s="172">
        <f t="shared" si="429"/>
        <v>95.556689708830859</v>
      </c>
      <c r="CS144" s="172">
        <f t="shared" si="373"/>
        <v>23.800000000000004</v>
      </c>
      <c r="CT144" s="217">
        <f t="shared" si="374"/>
        <v>3.4127389181725305</v>
      </c>
      <c r="CU144" s="217">
        <f t="shared" si="375"/>
        <v>28</v>
      </c>
      <c r="CV144" s="217"/>
      <c r="CW144" s="172">
        <f t="shared" si="376"/>
        <v>167.31982346955024</v>
      </c>
      <c r="CX144" s="172">
        <f t="shared" si="377"/>
        <v>28</v>
      </c>
      <c r="CY144" s="217">
        <f t="shared" si="378"/>
        <v>4.1813194959229065</v>
      </c>
      <c r="CZ144" s="217">
        <f t="shared" si="379"/>
        <v>1.0343264016230349</v>
      </c>
      <c r="DA144" s="217">
        <f t="shared" si="380"/>
        <v>0.69197893066329796</v>
      </c>
      <c r="DB144" s="197">
        <f t="shared" si="381"/>
        <v>350</v>
      </c>
      <c r="DC144" s="443">
        <f t="shared" si="382"/>
        <v>350</v>
      </c>
      <c r="DE144" s="217">
        <f t="shared" si="383"/>
        <v>6.9203442217177731</v>
      </c>
      <c r="DF144" s="173">
        <f t="shared" si="384"/>
        <v>1.1452682338758289</v>
      </c>
      <c r="DG144" s="173">
        <f t="shared" si="385"/>
        <v>1.3869888208084145</v>
      </c>
      <c r="DH144" s="173"/>
      <c r="DI144" s="173">
        <f t="shared" si="386"/>
        <v>0.55164319248826299</v>
      </c>
      <c r="DJ144" s="545">
        <f t="shared" si="387"/>
        <v>924.51063829787233</v>
      </c>
      <c r="DK144" s="528">
        <f t="shared" si="388"/>
        <v>0.3217918622848201</v>
      </c>
      <c r="DM144" s="173">
        <f t="shared" si="389"/>
        <v>5.4175219494662255</v>
      </c>
      <c r="DN144" s="173">
        <f t="shared" si="390"/>
        <v>5.4175219494662255</v>
      </c>
      <c r="DO144" s="173">
        <f t="shared" si="391"/>
        <v>2.7438434193576979</v>
      </c>
      <c r="DQ144" s="545">
        <f t="shared" si="392"/>
        <v>850.00000000000011</v>
      </c>
      <c r="DR144" s="460">
        <f t="shared" si="393"/>
        <v>350</v>
      </c>
      <c r="DT144">
        <f t="shared" si="430"/>
        <v>850.00000000000011</v>
      </c>
      <c r="DU144">
        <f t="shared" si="431"/>
        <v>350</v>
      </c>
      <c r="DW144" s="5">
        <f t="shared" si="394"/>
        <v>2.8571428571428572</v>
      </c>
      <c r="DX144" s="5">
        <f t="shared" si="395"/>
        <v>1.3401238506574349</v>
      </c>
      <c r="DY144" s="5">
        <f t="shared" si="396"/>
        <v>1.5170190064854223</v>
      </c>
      <c r="DZ144" s="5"/>
      <c r="EA144" s="173">
        <f t="shared" si="397"/>
        <v>0.4690433477301022</v>
      </c>
      <c r="EB144" s="173">
        <f t="shared" si="398"/>
        <v>24.14</v>
      </c>
      <c r="EC144" s="173">
        <f t="shared" si="399"/>
        <v>1.438234658943639</v>
      </c>
      <c r="ED144" s="173">
        <f t="shared" si="400"/>
        <v>16.784465490304939</v>
      </c>
      <c r="EE144" s="460">
        <f t="shared" si="401"/>
        <v>4.0682331180672131</v>
      </c>
      <c r="EF144" s="5">
        <f t="shared" si="402"/>
        <v>1.3573327952764305</v>
      </c>
      <c r="EH144" s="173">
        <f t="shared" si="403"/>
        <v>2.1421335475274694</v>
      </c>
      <c r="EI144" s="173">
        <f t="shared" si="404"/>
        <v>2.2791325591564049</v>
      </c>
      <c r="EK144" s="528">
        <f t="shared" si="405"/>
        <v>5.5064833625311456E-2</v>
      </c>
      <c r="EL144" s="528">
        <f t="shared" si="406"/>
        <v>1.707657093691249</v>
      </c>
      <c r="EM144" s="528">
        <f t="shared" si="407"/>
        <v>4.0250000000000001E-2</v>
      </c>
      <c r="EN144" s="528">
        <f t="shared" si="408"/>
        <v>0.38728525499999999</v>
      </c>
      <c r="EO144">
        <f t="shared" si="409"/>
        <v>8.5500000000000003E-3</v>
      </c>
      <c r="EP144" s="460">
        <f t="shared" si="410"/>
        <v>48.800000000000004</v>
      </c>
      <c r="EQ144" s="460"/>
      <c r="ER144" s="460">
        <f t="shared" si="432"/>
        <v>2198.8071823165606</v>
      </c>
      <c r="ES144" s="528">
        <f t="shared" si="411"/>
        <v>0.59499999999999997</v>
      </c>
      <c r="EV144" s="460">
        <f t="shared" si="412"/>
        <v>595</v>
      </c>
      <c r="EW144" s="528">
        <f t="shared" si="413"/>
        <v>6.42423058961967E-2</v>
      </c>
      <c r="EX144" s="528">
        <f t="shared" si="414"/>
        <v>7.2722233110895526E-2</v>
      </c>
      <c r="EY144" s="528">
        <f t="shared" si="415"/>
        <v>7.8278377285847984</v>
      </c>
      <c r="EZ144" s="528"/>
      <c r="FA144" s="528">
        <f t="shared" si="416"/>
        <v>1.0272340425531918</v>
      </c>
      <c r="FB144" s="460">
        <f t="shared" si="417"/>
        <v>8992.0363101450821</v>
      </c>
      <c r="FC144" s="173">
        <f t="shared" si="418"/>
        <v>11.785843492461643</v>
      </c>
      <c r="FD144" s="5">
        <f t="shared" si="419"/>
        <v>23.800000000000004</v>
      </c>
      <c r="FE144" s="173">
        <f t="shared" si="420"/>
        <v>0.66880527940954082</v>
      </c>
      <c r="FF144" s="5">
        <f t="shared" si="421"/>
        <v>66.880527940954082</v>
      </c>
      <c r="FI144" s="562">
        <f t="shared" si="422"/>
        <v>-50</v>
      </c>
      <c r="FJ144">
        <f t="shared" si="423"/>
        <v>-50</v>
      </c>
      <c r="FL144">
        <f t="shared" si="475"/>
        <v>0.31379660587577257</v>
      </c>
    </row>
    <row r="145" spans="5:168">
      <c r="E145" s="170">
        <v>35</v>
      </c>
      <c r="F145" s="217">
        <f t="shared" si="476"/>
        <v>0.875</v>
      </c>
      <c r="G145" s="217"/>
      <c r="H145" s="217">
        <f t="shared" si="442"/>
        <v>24.5</v>
      </c>
      <c r="I145" s="541">
        <f t="shared" si="443"/>
        <v>18.929049013021725</v>
      </c>
      <c r="J145" s="172">
        <f t="shared" si="444"/>
        <v>28.438204377603686</v>
      </c>
      <c r="K145" s="172">
        <f t="shared" si="445"/>
        <v>47.367253390625407</v>
      </c>
      <c r="L145" s="443"/>
      <c r="M145" s="217">
        <f t="shared" si="446"/>
        <v>0.60037918619126363</v>
      </c>
      <c r="N145" s="172">
        <f t="shared" si="447"/>
        <v>95.394189108774569</v>
      </c>
      <c r="O145" s="172">
        <f t="shared" si="438"/>
        <v>24.5</v>
      </c>
      <c r="P145" s="217">
        <f t="shared" si="448"/>
        <v>3.4069353253133774</v>
      </c>
      <c r="Q145" s="217">
        <f t="shared" si="449"/>
        <v>28</v>
      </c>
      <c r="R145" s="217"/>
      <c r="S145" s="172">
        <f t="shared" si="450"/>
        <v>161.39440603747522</v>
      </c>
      <c r="T145" s="172">
        <f t="shared" si="451"/>
        <v>28</v>
      </c>
      <c r="U145" s="217">
        <f t="shared" si="452"/>
        <v>4.3791512842410985</v>
      </c>
      <c r="V145" s="217">
        <f t="shared" si="453"/>
        <v>1.0873240922866396</v>
      </c>
      <c r="W145" s="217">
        <f t="shared" si="454"/>
        <v>0.72374509876377369</v>
      </c>
      <c r="X145" s="197">
        <f t="shared" si="455"/>
        <v>350</v>
      </c>
      <c r="Y145" s="443">
        <f t="shared" si="328"/>
        <v>350</v>
      </c>
      <c r="AA145" s="217">
        <f t="shared" si="456"/>
        <v>6.908549311062262</v>
      </c>
      <c r="AB145" s="173">
        <f t="shared" si="457"/>
        <v>1.1417803083082243</v>
      </c>
      <c r="AC145" s="173">
        <f t="shared" si="458"/>
        <v>1.380407973410767</v>
      </c>
      <c r="AD145" s="173"/>
      <c r="AE145" s="173">
        <f t="shared" si="459"/>
        <v>0.55090210544393026</v>
      </c>
      <c r="AF145" s="545">
        <f t="shared" si="460"/>
        <v>952.98238073884693</v>
      </c>
      <c r="AG145" s="528">
        <f t="shared" si="461"/>
        <v>0.32135956150895933</v>
      </c>
      <c r="AI145" s="173">
        <f t="shared" si="462"/>
        <v>5.5003098923919147</v>
      </c>
      <c r="AJ145" s="173">
        <f t="shared" si="463"/>
        <v>5.5003098923919147</v>
      </c>
      <c r="AK145" s="173">
        <f t="shared" si="464"/>
        <v>2.8051678215248748</v>
      </c>
      <c r="AM145" s="545">
        <f t="shared" si="465"/>
        <v>875</v>
      </c>
      <c r="AN145" s="460">
        <f t="shared" si="466"/>
        <v>350</v>
      </c>
      <c r="AP145" s="460">
        <f t="shared" si="467"/>
        <v>875</v>
      </c>
      <c r="AQ145" s="460">
        <f t="shared" si="468"/>
        <v>350</v>
      </c>
      <c r="AS145" s="5">
        <f t="shared" si="439"/>
        <v>2.8571428571428572</v>
      </c>
      <c r="AT145" s="5">
        <f t="shared" si="469"/>
        <v>1.365702866343586</v>
      </c>
      <c r="AU145" s="5">
        <f t="shared" si="343"/>
        <v>1.4914399907992713</v>
      </c>
      <c r="AV145" s="5"/>
      <c r="AW145" s="173">
        <f t="shared" si="344"/>
        <v>0.47799600322025509</v>
      </c>
      <c r="AX145" s="173">
        <f t="shared" si="435"/>
        <v>24.883428830403236</v>
      </c>
      <c r="AY145" s="173">
        <f t="shared" si="436"/>
        <v>1.4355918736778741</v>
      </c>
      <c r="AZ145" s="173">
        <f t="shared" si="440"/>
        <v>17.333219340851965</v>
      </c>
      <c r="BA145" s="460">
        <f t="shared" si="433"/>
        <v>4.2678214573237065</v>
      </c>
      <c r="BB145" s="5">
        <f t="shared" si="434"/>
        <v>1.3788436926246173</v>
      </c>
      <c r="BD145" s="173">
        <f t="shared" si="441"/>
        <v>2.195526401867264</v>
      </c>
      <c r="BE145" s="173">
        <f t="shared" si="437"/>
        <v>2.2943699475350314</v>
      </c>
      <c r="BG145" s="528">
        <f t="shared" si="347"/>
        <v>5.784403417555458E-2</v>
      </c>
      <c r="BH145" s="528">
        <f t="shared" si="470"/>
        <v>1.6641645812043062</v>
      </c>
      <c r="BI145" s="528">
        <f t="shared" si="349"/>
        <v>4.0250000000000001E-2</v>
      </c>
      <c r="BJ145" s="528">
        <f t="shared" si="350"/>
        <v>0.3867503225888993</v>
      </c>
      <c r="BK145">
        <f t="shared" si="351"/>
        <v>8.5180720558597767E-3</v>
      </c>
      <c r="BL145" s="460">
        <f t="shared" si="427"/>
        <v>48.768072055859776</v>
      </c>
      <c r="BM145" s="528">
        <f t="shared" si="471"/>
        <v>2.1539805817044257</v>
      </c>
      <c r="BN145" s="460">
        <f t="shared" si="353"/>
        <v>2153.9805817044257</v>
      </c>
      <c r="BO145" s="528">
        <f t="shared" si="354"/>
        <v>0.61249999999999993</v>
      </c>
      <c r="BR145" s="460">
        <f t="shared" si="355"/>
        <v>612.49999999999989</v>
      </c>
      <c r="BS145" s="528">
        <f t="shared" si="356"/>
        <v>6.7484706538147005E-2</v>
      </c>
      <c r="BT145" s="528">
        <f t="shared" si="357"/>
        <v>7.3697868386126644E-2</v>
      </c>
      <c r="BU145" s="528">
        <f t="shared" si="358"/>
        <v>8.1303269784005234</v>
      </c>
      <c r="BV145" s="528"/>
      <c r="BW145" s="528">
        <f t="shared" si="359"/>
        <v>1.0588693119320525</v>
      </c>
      <c r="BX145" s="460">
        <f t="shared" si="360"/>
        <v>9330.378865256851</v>
      </c>
      <c r="BY145" s="173">
        <f t="shared" si="361"/>
        <v>12.100405875281471</v>
      </c>
      <c r="BZ145" s="5">
        <f t="shared" si="362"/>
        <v>24.5</v>
      </c>
      <c r="CA145" s="173">
        <f t="shared" si="363"/>
        <v>0.66939148389461922</v>
      </c>
      <c r="CB145" s="5">
        <f t="shared" si="364"/>
        <v>66.93914838946192</v>
      </c>
      <c r="CE145" s="562">
        <f t="shared" si="472"/>
        <v>-50</v>
      </c>
      <c r="CF145">
        <f t="shared" si="473"/>
        <v>-50</v>
      </c>
      <c r="CG145" s="173">
        <f t="shared" si="474"/>
        <v>0.32064388345951655</v>
      </c>
      <c r="CI145" s="170">
        <v>35</v>
      </c>
      <c r="CJ145" s="217">
        <f t="shared" si="428"/>
        <v>0.875</v>
      </c>
      <c r="CK145" s="217"/>
      <c r="CL145" s="217">
        <f t="shared" si="368"/>
        <v>24.5</v>
      </c>
      <c r="CM145" s="541">
        <f t="shared" si="369"/>
        <v>19</v>
      </c>
      <c r="CN145" s="443">
        <f t="shared" si="370"/>
        <v>28.4</v>
      </c>
      <c r="CO145" s="443">
        <f t="shared" si="371"/>
        <v>47.4</v>
      </c>
      <c r="CP145" s="443"/>
      <c r="CQ145" s="217">
        <f t="shared" si="372"/>
        <v>0.59915611814345993</v>
      </c>
      <c r="CR145" s="172">
        <f t="shared" si="429"/>
        <v>95.556689708830859</v>
      </c>
      <c r="CS145" s="172">
        <f t="shared" si="373"/>
        <v>24.5</v>
      </c>
      <c r="CT145" s="217">
        <f t="shared" si="374"/>
        <v>3.4127389181725305</v>
      </c>
      <c r="CU145" s="217">
        <f t="shared" si="375"/>
        <v>28</v>
      </c>
      <c r="CV145" s="217"/>
      <c r="CW145" s="172">
        <f t="shared" si="376"/>
        <v>161.99917921845949</v>
      </c>
      <c r="CX145" s="172">
        <f t="shared" si="377"/>
        <v>28</v>
      </c>
      <c r="CY145" s="217">
        <f t="shared" si="378"/>
        <v>4.3042994810971082</v>
      </c>
      <c r="CZ145" s="217">
        <f t="shared" si="379"/>
        <v>1.0647477663766531</v>
      </c>
      <c r="DA145" s="217">
        <f t="shared" si="380"/>
        <v>0.71233125215339477</v>
      </c>
      <c r="DB145" s="197">
        <f t="shared" si="381"/>
        <v>350</v>
      </c>
      <c r="DC145" s="443">
        <f t="shared" si="382"/>
        <v>350</v>
      </c>
      <c r="DE145" s="217">
        <f t="shared" si="383"/>
        <v>6.9203442217177731</v>
      </c>
      <c r="DF145" s="173">
        <f t="shared" si="384"/>
        <v>1.1452682338758289</v>
      </c>
      <c r="DG145" s="173">
        <f t="shared" si="385"/>
        <v>1.3869888208084145</v>
      </c>
      <c r="DH145" s="173"/>
      <c r="DI145" s="173">
        <f t="shared" si="386"/>
        <v>0.55164319248826299</v>
      </c>
      <c r="DJ145" s="545">
        <f t="shared" si="387"/>
        <v>951.70212765957433</v>
      </c>
      <c r="DK145" s="528">
        <f t="shared" si="388"/>
        <v>0.3217918622848201</v>
      </c>
      <c r="DM145" s="173">
        <f t="shared" si="389"/>
        <v>5.4966140447958329</v>
      </c>
      <c r="DN145" s="173">
        <f t="shared" si="390"/>
        <v>5.4966140447958329</v>
      </c>
      <c r="DO145" s="173">
        <f t="shared" si="391"/>
        <v>2.8024301566388887</v>
      </c>
      <c r="DQ145" s="545">
        <f t="shared" si="392"/>
        <v>875</v>
      </c>
      <c r="DR145" s="460">
        <f t="shared" si="393"/>
        <v>350</v>
      </c>
      <c r="DT145">
        <f t="shared" si="430"/>
        <v>875</v>
      </c>
      <c r="DU145">
        <f t="shared" si="431"/>
        <v>350</v>
      </c>
      <c r="DW145" s="5">
        <f t="shared" si="394"/>
        <v>2.8571428571428572</v>
      </c>
      <c r="DX145" s="5">
        <f t="shared" si="395"/>
        <v>1.3596887373968638</v>
      </c>
      <c r="DY145" s="5">
        <f t="shared" si="396"/>
        <v>1.4974541197459934</v>
      </c>
      <c r="DZ145" s="5"/>
      <c r="EA145" s="173">
        <f t="shared" si="397"/>
        <v>0.47589105808890231</v>
      </c>
      <c r="EB145" s="173">
        <f t="shared" si="398"/>
        <v>24.849999999999998</v>
      </c>
      <c r="EC145" s="173">
        <f t="shared" si="399"/>
        <v>1.4404122855558115</v>
      </c>
      <c r="ED145" s="173">
        <f t="shared" si="400"/>
        <v>17.252005032997296</v>
      </c>
      <c r="EE145" s="460">
        <f t="shared" si="401"/>
        <v>4.2490273043651996</v>
      </c>
      <c r="EF145" s="5">
        <f t="shared" si="402"/>
        <v>1.3792340576607833</v>
      </c>
      <c r="EH145" s="173">
        <f t="shared" si="403"/>
        <v>2.1892148637720732</v>
      </c>
      <c r="EI145" s="173">
        <f t="shared" si="404"/>
        <v>2.2974464664176675</v>
      </c>
      <c r="EK145" s="528">
        <f t="shared" si="405"/>
        <v>5.7511940637126925E-2</v>
      </c>
      <c r="EL145" s="528">
        <f t="shared" si="406"/>
        <v>1.7325877130600944</v>
      </c>
      <c r="EM145" s="528">
        <f t="shared" si="407"/>
        <v>4.0250000000000001E-2</v>
      </c>
      <c r="EN145" s="528">
        <f t="shared" si="408"/>
        <v>0.38728525499999999</v>
      </c>
      <c r="EO145">
        <f t="shared" si="409"/>
        <v>8.5500000000000003E-3</v>
      </c>
      <c r="EP145" s="460">
        <f t="shared" si="410"/>
        <v>48.800000000000004</v>
      </c>
      <c r="EQ145" s="460"/>
      <c r="ER145" s="460">
        <f t="shared" si="432"/>
        <v>2226.1849086972215</v>
      </c>
      <c r="ES145" s="528">
        <f t="shared" si="411"/>
        <v>0.61249999999999993</v>
      </c>
      <c r="EV145" s="460">
        <f t="shared" si="412"/>
        <v>612.49999999999989</v>
      </c>
      <c r="EW145" s="528">
        <f t="shared" si="413"/>
        <v>6.709726407664808E-2</v>
      </c>
      <c r="EX145" s="528">
        <f t="shared" si="414"/>
        <v>7.3895643724770366E-2</v>
      </c>
      <c r="EY145" s="528">
        <f t="shared" si="415"/>
        <v>8.1166762438231874</v>
      </c>
      <c r="EZ145" s="528"/>
      <c r="FA145" s="528">
        <f t="shared" si="416"/>
        <v>1.0574468085106383</v>
      </c>
      <c r="FB145" s="460">
        <f t="shared" si="417"/>
        <v>9315.1159601352447</v>
      </c>
      <c r="FC145" s="173">
        <f t="shared" si="418"/>
        <v>12.153800868832466</v>
      </c>
      <c r="FD145" s="5">
        <f t="shared" si="419"/>
        <v>24.5</v>
      </c>
      <c r="FE145" s="173">
        <f t="shared" si="420"/>
        <v>0.66841635571913882</v>
      </c>
      <c r="FF145" s="5">
        <f t="shared" si="421"/>
        <v>66.841635571913883</v>
      </c>
      <c r="FI145" s="562">
        <f t="shared" si="422"/>
        <v>-50</v>
      </c>
      <c r="FJ145">
        <f t="shared" si="423"/>
        <v>-50</v>
      </c>
      <c r="FL145">
        <f t="shared" si="475"/>
        <v>0.31837782055243469</v>
      </c>
    </row>
    <row r="146" spans="5:168">
      <c r="E146" s="170">
        <v>36</v>
      </c>
      <c r="F146" s="217">
        <f t="shared" si="476"/>
        <v>0.89999999999999991</v>
      </c>
      <c r="G146" s="217"/>
      <c r="H146" s="217">
        <f t="shared" si="442"/>
        <v>25.199999999999996</v>
      </c>
      <c r="I146" s="541">
        <f t="shared" si="443"/>
        <v>18.928042565773747</v>
      </c>
      <c r="J146" s="172">
        <f t="shared" si="444"/>
        <v>28.438746310737212</v>
      </c>
      <c r="K146" s="172">
        <f t="shared" si="445"/>
        <v>47.366788876510959</v>
      </c>
      <c r="L146" s="443"/>
      <c r="M146" s="217">
        <f t="shared" si="446"/>
        <v>0.60039654760414685</v>
      </c>
      <c r="N146" s="172">
        <f t="shared" si="447"/>
        <v>95.391875458080349</v>
      </c>
      <c r="O146" s="172">
        <f t="shared" si="438"/>
        <v>25.199999999999996</v>
      </c>
      <c r="P146" s="217">
        <f t="shared" si="448"/>
        <v>3.4068526949314411</v>
      </c>
      <c r="Q146" s="217">
        <f t="shared" si="449"/>
        <v>28</v>
      </c>
      <c r="R146" s="217"/>
      <c r="S146" s="172">
        <f t="shared" si="450"/>
        <v>156.37990283351337</v>
      </c>
      <c r="T146" s="172">
        <f t="shared" si="451"/>
        <v>28</v>
      </c>
      <c r="U146" s="217">
        <f t="shared" si="452"/>
        <v>4.5044655875918043</v>
      </c>
      <c r="V146" s="217">
        <f t="shared" si="453"/>
        <v>1.118498555152422</v>
      </c>
      <c r="W146" s="217">
        <f t="shared" si="454"/>
        <v>0.74444168636534624</v>
      </c>
      <c r="X146" s="197">
        <f t="shared" si="455"/>
        <v>350</v>
      </c>
      <c r="Y146" s="443">
        <f t="shared" si="328"/>
        <v>350</v>
      </c>
      <c r="AA146" s="217">
        <f t="shared" si="456"/>
        <v>6.9083813812236974</v>
      </c>
      <c r="AB146" s="173">
        <f t="shared" si="457"/>
        <v>1.1417307970250563</v>
      </c>
      <c r="AC146" s="173">
        <f t="shared" si="458"/>
        <v>1.3803145615940786</v>
      </c>
      <c r="AD146" s="173"/>
      <c r="AE146" s="173">
        <f t="shared" si="459"/>
        <v>0.55089160736848752</v>
      </c>
      <c r="AF146" s="545">
        <f t="shared" si="460"/>
        <v>980.22912815732502</v>
      </c>
      <c r="AG146" s="528">
        <f t="shared" si="461"/>
        <v>0.32135343763161772</v>
      </c>
      <c r="AI146" s="173">
        <f t="shared" si="462"/>
        <v>5.5783855209968651</v>
      </c>
      <c r="AJ146" s="173">
        <f t="shared" si="463"/>
        <v>5.5783855209968651</v>
      </c>
      <c r="AK146" s="173">
        <f t="shared" si="464"/>
        <v>2.863001620491505</v>
      </c>
      <c r="AM146" s="545">
        <f t="shared" si="465"/>
        <v>899.99999999999989</v>
      </c>
      <c r="AN146" s="460">
        <f t="shared" si="466"/>
        <v>350</v>
      </c>
      <c r="AP146" s="460">
        <f t="shared" si="467"/>
        <v>899.99999999999989</v>
      </c>
      <c r="AQ146" s="460">
        <f t="shared" si="468"/>
        <v>350</v>
      </c>
      <c r="AS146" s="5">
        <f t="shared" si="439"/>
        <v>2.8571428571428572</v>
      </c>
      <c r="AT146" s="5">
        <f t="shared" si="469"/>
        <v>1.3851623514464291</v>
      </c>
      <c r="AU146" s="5">
        <f t="shared" si="343"/>
        <v>1.4719805056964281</v>
      </c>
      <c r="AV146" s="5"/>
      <c r="AW146" s="173">
        <f t="shared" si="344"/>
        <v>0.48480682300625016</v>
      </c>
      <c r="AX146" s="173">
        <f t="shared" si="435"/>
        <v>25.594871679663495</v>
      </c>
      <c r="AY146" s="173">
        <f t="shared" si="436"/>
        <v>1.4369730795291549</v>
      </c>
      <c r="AZ146" s="173">
        <f t="shared" si="440"/>
        <v>17.811657047917716</v>
      </c>
      <c r="BA146" s="460">
        <f t="shared" si="433"/>
        <v>4.4523075582206646</v>
      </c>
      <c r="BB146" s="5">
        <f t="shared" si="434"/>
        <v>1.3998092518264897</v>
      </c>
      <c r="BD146" s="173">
        <f t="shared" si="441"/>
        <v>2.2424990062466796</v>
      </c>
      <c r="BE146" s="173">
        <f t="shared" si="437"/>
        <v>2.3117078565291238</v>
      </c>
      <c r="BG146" s="528">
        <f t="shared" si="347"/>
        <v>6.0345621516208148E-2</v>
      </c>
      <c r="BH146" s="528">
        <f t="shared" si="470"/>
        <v>1.6877704615514419</v>
      </c>
      <c r="BI146" s="528">
        <f t="shared" si="349"/>
        <v>4.0250000000000001E-2</v>
      </c>
      <c r="BJ146" s="528">
        <f t="shared" si="350"/>
        <v>0.38674273717535446</v>
      </c>
      <c r="BK146">
        <f t="shared" si="351"/>
        <v>8.5176191545981855E-3</v>
      </c>
      <c r="BL146" s="460">
        <f t="shared" si="427"/>
        <v>48.767619154598187</v>
      </c>
      <c r="BM146" s="528">
        <f t="shared" si="471"/>
        <v>2.1824442853943862</v>
      </c>
      <c r="BN146" s="460">
        <f t="shared" si="353"/>
        <v>2182.444285394386</v>
      </c>
      <c r="BO146" s="528">
        <f t="shared" si="354"/>
        <v>0.62999999999999989</v>
      </c>
      <c r="BR146" s="460">
        <f t="shared" si="355"/>
        <v>629.99999999999989</v>
      </c>
      <c r="BS146" s="528">
        <f t="shared" si="356"/>
        <v>7.0403225102242839E-2</v>
      </c>
      <c r="BT146" s="528">
        <f t="shared" si="357"/>
        <v>7.4815904995138668E-2</v>
      </c>
      <c r="BU146" s="528">
        <f t="shared" si="358"/>
        <v>8.4219261257799705</v>
      </c>
      <c r="BV146" s="528"/>
      <c r="BW146" s="528">
        <f t="shared" si="359"/>
        <v>1.0891434757303615</v>
      </c>
      <c r="BX146" s="460">
        <f t="shared" si="360"/>
        <v>9656.2887316077122</v>
      </c>
      <c r="BY146" s="173">
        <f t="shared" si="361"/>
        <v>12.469915171005317</v>
      </c>
      <c r="BZ146" s="5">
        <f t="shared" si="362"/>
        <v>25.199999999999996</v>
      </c>
      <c r="CA146" s="173">
        <f t="shared" si="363"/>
        <v>0.66896885447187138</v>
      </c>
      <c r="CB146" s="5">
        <f t="shared" si="364"/>
        <v>66.896885447187131</v>
      </c>
      <c r="CE146" s="562">
        <f t="shared" si="472"/>
        <v>-50</v>
      </c>
      <c r="CF146">
        <f t="shared" si="473"/>
        <v>-50</v>
      </c>
      <c r="CG146" s="173">
        <f t="shared" si="474"/>
        <v>0.32519225083018194</v>
      </c>
      <c r="CI146" s="170">
        <v>36</v>
      </c>
      <c r="CJ146" s="217">
        <f t="shared" si="428"/>
        <v>0.89999999999999991</v>
      </c>
      <c r="CK146" s="217"/>
      <c r="CL146" s="217">
        <f t="shared" si="368"/>
        <v>25.199999999999996</v>
      </c>
      <c r="CM146" s="541">
        <f t="shared" si="369"/>
        <v>19</v>
      </c>
      <c r="CN146" s="443">
        <f t="shared" si="370"/>
        <v>28.4</v>
      </c>
      <c r="CO146" s="443">
        <f t="shared" si="371"/>
        <v>47.4</v>
      </c>
      <c r="CP146" s="443"/>
      <c r="CQ146" s="217">
        <f t="shared" si="372"/>
        <v>0.59915611814345993</v>
      </c>
      <c r="CR146" s="172">
        <f t="shared" si="429"/>
        <v>95.556689708830859</v>
      </c>
      <c r="CS146" s="172">
        <f t="shared" si="373"/>
        <v>25.199999999999996</v>
      </c>
      <c r="CT146" s="217">
        <f t="shared" si="374"/>
        <v>3.4127389181725305</v>
      </c>
      <c r="CU146" s="217">
        <f t="shared" si="375"/>
        <v>28</v>
      </c>
      <c r="CV146" s="217"/>
      <c r="CW146" s="172">
        <f t="shared" si="376"/>
        <v>156.97421846122373</v>
      </c>
      <c r="CX146" s="172">
        <f t="shared" si="377"/>
        <v>28</v>
      </c>
      <c r="CY146" s="217">
        <f t="shared" si="378"/>
        <v>4.4272794662713109</v>
      </c>
      <c r="CZ146" s="217">
        <f t="shared" si="379"/>
        <v>1.0951691311302716</v>
      </c>
      <c r="DA146" s="217">
        <f t="shared" si="380"/>
        <v>0.73268357364349157</v>
      </c>
      <c r="DB146" s="197">
        <f t="shared" si="381"/>
        <v>350</v>
      </c>
      <c r="DC146" s="443">
        <f t="shared" si="382"/>
        <v>350</v>
      </c>
      <c r="DE146" s="217">
        <f t="shared" si="383"/>
        <v>6.9203442217177731</v>
      </c>
      <c r="DF146" s="173">
        <f t="shared" si="384"/>
        <v>1.1452682338758289</v>
      </c>
      <c r="DG146" s="173">
        <f t="shared" si="385"/>
        <v>1.3869888208084145</v>
      </c>
      <c r="DH146" s="173"/>
      <c r="DI146" s="173">
        <f t="shared" si="386"/>
        <v>0.55164319248826299</v>
      </c>
      <c r="DJ146" s="545">
        <f t="shared" si="387"/>
        <v>978.89361702127633</v>
      </c>
      <c r="DK146" s="528">
        <f t="shared" si="388"/>
        <v>0.3217918622848201</v>
      </c>
      <c r="DM146" s="173">
        <f t="shared" si="389"/>
        <v>5.5745840958716633</v>
      </c>
      <c r="DN146" s="173">
        <f t="shared" si="390"/>
        <v>5.5745840958716633</v>
      </c>
      <c r="DO146" s="173">
        <f t="shared" si="391"/>
        <v>2.8601857500283927</v>
      </c>
      <c r="DQ146" s="545">
        <f t="shared" si="392"/>
        <v>899.99999999999989</v>
      </c>
      <c r="DR146" s="460">
        <f t="shared" si="393"/>
        <v>350</v>
      </c>
      <c r="DT146">
        <f t="shared" si="430"/>
        <v>899.99999999999989</v>
      </c>
      <c r="DU146">
        <f t="shared" si="431"/>
        <v>350</v>
      </c>
      <c r="DW146" s="5">
        <f t="shared" si="394"/>
        <v>2.8571428571428572</v>
      </c>
      <c r="DX146" s="5">
        <f t="shared" si="395"/>
        <v>1.3789760658208849</v>
      </c>
      <c r="DY146" s="5">
        <f t="shared" si="396"/>
        <v>1.4781667913219723</v>
      </c>
      <c r="DZ146" s="5"/>
      <c r="EA146" s="173">
        <f t="shared" si="397"/>
        <v>0.48264162303730973</v>
      </c>
      <c r="EB146" s="173">
        <f t="shared" si="398"/>
        <v>25.560000000000002</v>
      </c>
      <c r="EC146" s="173">
        <f t="shared" si="399"/>
        <v>1.4420288900410949</v>
      </c>
      <c r="ED146" s="173">
        <f t="shared" si="400"/>
        <v>17.725026299071992</v>
      </c>
      <c r="EE146" s="460">
        <f t="shared" si="401"/>
        <v>4.432423068709987</v>
      </c>
      <c r="EF146" s="5">
        <f t="shared" si="402"/>
        <v>1.4003685391471312</v>
      </c>
      <c r="EH146" s="173">
        <f t="shared" si="403"/>
        <v>2.2359610319744077</v>
      </c>
      <c r="EI146" s="173">
        <f t="shared" si="404"/>
        <v>2.3149818309165417</v>
      </c>
      <c r="EK146" s="528">
        <f t="shared" si="405"/>
        <v>5.9994260838096697E-2</v>
      </c>
      <c r="EL146" s="528">
        <f t="shared" si="406"/>
        <v>1.7571646528597071</v>
      </c>
      <c r="EM146" s="528">
        <f t="shared" si="407"/>
        <v>4.0250000000000001E-2</v>
      </c>
      <c r="EN146" s="528">
        <f t="shared" si="408"/>
        <v>0.38728525499999999</v>
      </c>
      <c r="EO146">
        <f t="shared" si="409"/>
        <v>8.5500000000000003E-3</v>
      </c>
      <c r="EP146" s="460">
        <f t="shared" si="410"/>
        <v>48.800000000000004</v>
      </c>
      <c r="EQ146" s="460"/>
      <c r="ER146" s="460">
        <f t="shared" si="432"/>
        <v>2253.2441686978036</v>
      </c>
      <c r="ES146" s="528">
        <f t="shared" si="411"/>
        <v>0.62999999999999989</v>
      </c>
      <c r="EV146" s="460">
        <f t="shared" si="412"/>
        <v>629.99999999999989</v>
      </c>
      <c r="EW146" s="528">
        <f t="shared" si="413"/>
        <v>6.9993304311112808E-2</v>
      </c>
      <c r="EX146" s="528">
        <f t="shared" si="414"/>
        <v>7.5027972284631844E-2</v>
      </c>
      <c r="EY146" s="528">
        <f t="shared" si="415"/>
        <v>8.4075855246611955</v>
      </c>
      <c r="EZ146" s="528"/>
      <c r="FA146" s="528">
        <f t="shared" si="416"/>
        <v>1.0876595744680853</v>
      </c>
      <c r="FB146" s="460">
        <f t="shared" si="417"/>
        <v>9640.2663757250266</v>
      </c>
      <c r="FC146" s="173">
        <f t="shared" si="418"/>
        <v>12.52351054442283</v>
      </c>
      <c r="FD146" s="5">
        <f t="shared" si="419"/>
        <v>25.199999999999996</v>
      </c>
      <c r="FE146" s="173">
        <f t="shared" si="420"/>
        <v>0.66801842236619868</v>
      </c>
      <c r="FF146" s="5">
        <f t="shared" si="421"/>
        <v>66.801842236619862</v>
      </c>
      <c r="FI146" s="562">
        <f t="shared" si="422"/>
        <v>-50</v>
      </c>
      <c r="FJ146">
        <f t="shared" si="423"/>
        <v>-50</v>
      </c>
      <c r="FL146">
        <f t="shared" si="475"/>
        <v>0.32289404358129881</v>
      </c>
    </row>
    <row r="147" spans="5:168">
      <c r="E147" s="170">
        <v>37</v>
      </c>
      <c r="F147" s="217">
        <f t="shared" si="476"/>
        <v>0.92500000000000004</v>
      </c>
      <c r="G147" s="217"/>
      <c r="H147" s="217">
        <f t="shared" si="442"/>
        <v>25.900000000000002</v>
      </c>
      <c r="I147" s="541">
        <f t="shared" si="443"/>
        <v>18.927050002552026</v>
      </c>
      <c r="J147" s="172">
        <f t="shared" si="444"/>
        <v>28.439280767856602</v>
      </c>
      <c r="K147" s="172">
        <f t="shared" si="445"/>
        <v>47.366330770408624</v>
      </c>
      <c r="L147" s="443"/>
      <c r="M147" s="217">
        <f t="shared" si="446"/>
        <v>0.60041366984558386</v>
      </c>
      <c r="N147" s="172">
        <f t="shared" si="447"/>
        <v>95.389593489641868</v>
      </c>
      <c r="O147" s="172">
        <f t="shared" si="438"/>
        <v>25.900000000000002</v>
      </c>
      <c r="P147" s="217">
        <f t="shared" si="448"/>
        <v>3.4067711960586382</v>
      </c>
      <c r="Q147" s="217">
        <f t="shared" si="449"/>
        <v>28</v>
      </c>
      <c r="R147" s="217"/>
      <c r="S147" s="172">
        <f t="shared" si="450"/>
        <v>151.63670998434159</v>
      </c>
      <c r="T147" s="172">
        <f t="shared" si="451"/>
        <v>28</v>
      </c>
      <c r="U147" s="217">
        <f t="shared" si="452"/>
        <v>4.6297880092271564</v>
      </c>
      <c r="V147" s="217">
        <f t="shared" si="453"/>
        <v>1.1496775060262232</v>
      </c>
      <c r="W147" s="217">
        <f t="shared" si="454"/>
        <v>0.76513902798701594</v>
      </c>
      <c r="X147" s="197">
        <f t="shared" si="455"/>
        <v>350</v>
      </c>
      <c r="Y147" s="443">
        <f t="shared" si="328"/>
        <v>350</v>
      </c>
      <c r="AA147" s="217">
        <f t="shared" si="456"/>
        <v>6.9082157510540689</v>
      </c>
      <c r="AB147" s="173">
        <f t="shared" si="457"/>
        <v>1.1416819678031964</v>
      </c>
      <c r="AC147" s="173">
        <f t="shared" si="458"/>
        <v>1.3802224367176779</v>
      </c>
      <c r="AD147" s="173"/>
      <c r="AE147" s="173">
        <f t="shared" si="459"/>
        <v>0.55088125450675474</v>
      </c>
      <c r="AF147" s="545">
        <f t="shared" si="460"/>
        <v>1007.4766484783241</v>
      </c>
      <c r="AG147" s="528">
        <f t="shared" si="461"/>
        <v>0.32134739846227361</v>
      </c>
      <c r="AI147" s="173">
        <f t="shared" si="462"/>
        <v>5.6553855452991488</v>
      </c>
      <c r="AJ147" s="173">
        <f t="shared" si="463"/>
        <v>5.6553855452991488</v>
      </c>
      <c r="AK147" s="173">
        <f t="shared" si="464"/>
        <v>2.9200386755302334</v>
      </c>
      <c r="AM147" s="545">
        <f t="shared" si="465"/>
        <v>925</v>
      </c>
      <c r="AN147" s="460">
        <f t="shared" si="466"/>
        <v>350</v>
      </c>
      <c r="AP147" s="460">
        <f t="shared" si="467"/>
        <v>925</v>
      </c>
      <c r="AQ147" s="460">
        <f t="shared" si="468"/>
        <v>350</v>
      </c>
      <c r="AS147" s="5">
        <f t="shared" si="439"/>
        <v>2.8571428571428572</v>
      </c>
      <c r="AT147" s="5">
        <f t="shared" si="469"/>
        <v>1.404355779655152</v>
      </c>
      <c r="AU147" s="5">
        <f t="shared" si="343"/>
        <v>1.4527870774877052</v>
      </c>
      <c r="AV147" s="5"/>
      <c r="AW147" s="173">
        <f t="shared" si="344"/>
        <v>0.49152452287930321</v>
      </c>
      <c r="AX147" s="173">
        <f t="shared" si="435"/>
        <v>26.306334710267361</v>
      </c>
      <c r="AY147" s="173">
        <f t="shared" si="436"/>
        <v>1.4378124317237382</v>
      </c>
      <c r="AZ147" s="173">
        <f t="shared" si="440"/>
        <v>18.296082388667141</v>
      </c>
      <c r="BA147" s="460">
        <f t="shared" si="433"/>
        <v>4.6393896292179129</v>
      </c>
      <c r="BB147" s="5">
        <f t="shared" si="434"/>
        <v>1.4200079214615404</v>
      </c>
      <c r="BD147" s="173">
        <f t="shared" si="441"/>
        <v>2.2891496514015017</v>
      </c>
      <c r="BE147" s="173">
        <f t="shared" si="437"/>
        <v>2.3282874454874691</v>
      </c>
      <c r="BG147" s="528">
        <f t="shared" si="347"/>
        <v>6.2882473518139401E-2</v>
      </c>
      <c r="BH147" s="528">
        <f t="shared" si="470"/>
        <v>1.7110506834064341</v>
      </c>
      <c r="BI147" s="528">
        <f t="shared" si="349"/>
        <v>4.0250000000000001E-2</v>
      </c>
      <c r="BJ147" s="528">
        <f t="shared" si="350"/>
        <v>0.38673525647609691</v>
      </c>
      <c r="BK147">
        <f t="shared" si="351"/>
        <v>8.5171725011484109E-3</v>
      </c>
      <c r="BL147" s="460">
        <f t="shared" si="427"/>
        <v>48.767172501148409</v>
      </c>
      <c r="BM147" s="528">
        <f t="shared" si="471"/>
        <v>2.2106761183655119</v>
      </c>
      <c r="BN147" s="460">
        <f t="shared" si="353"/>
        <v>2210.6761183655121</v>
      </c>
      <c r="BO147" s="528">
        <f t="shared" si="354"/>
        <v>0.64749999999999996</v>
      </c>
      <c r="BR147" s="460">
        <f t="shared" si="355"/>
        <v>647.5</v>
      </c>
      <c r="BS147" s="528">
        <f t="shared" si="356"/>
        <v>7.3362885771162636E-2</v>
      </c>
      <c r="BT147" s="528">
        <f t="shared" si="357"/>
        <v>7.5892914003403908E-2</v>
      </c>
      <c r="BU147" s="528">
        <f t="shared" si="358"/>
        <v>8.7155672626288361</v>
      </c>
      <c r="BV147" s="528"/>
      <c r="BW147" s="528">
        <f t="shared" si="359"/>
        <v>1.1194184983092494</v>
      </c>
      <c r="BX147" s="460">
        <f t="shared" si="360"/>
        <v>9984.2415607126513</v>
      </c>
      <c r="BY147" s="173">
        <f t="shared" si="361"/>
        <v>12.84117714661447</v>
      </c>
      <c r="BZ147" s="5">
        <f t="shared" si="362"/>
        <v>25.900000000000002</v>
      </c>
      <c r="CA147" s="173">
        <f t="shared" si="363"/>
        <v>0.66853931417681145</v>
      </c>
      <c r="CB147" s="5">
        <f t="shared" si="364"/>
        <v>66.853931417681139</v>
      </c>
      <c r="CE147" s="562">
        <f t="shared" si="472"/>
        <v>-50</v>
      </c>
      <c r="CF147">
        <f t="shared" si="473"/>
        <v>-50</v>
      </c>
      <c r="CG147" s="173">
        <f t="shared" si="474"/>
        <v>0.32967787308219521</v>
      </c>
      <c r="CI147" s="170">
        <v>37</v>
      </c>
      <c r="CJ147" s="217">
        <f t="shared" si="428"/>
        <v>0.92500000000000004</v>
      </c>
      <c r="CK147" s="217"/>
      <c r="CL147" s="217">
        <f t="shared" si="368"/>
        <v>25.900000000000002</v>
      </c>
      <c r="CM147" s="541">
        <f t="shared" si="369"/>
        <v>19</v>
      </c>
      <c r="CN147" s="443">
        <f t="shared" si="370"/>
        <v>28.4</v>
      </c>
      <c r="CO147" s="443">
        <f t="shared" si="371"/>
        <v>47.4</v>
      </c>
      <c r="CP147" s="443"/>
      <c r="CQ147" s="217">
        <f t="shared" si="372"/>
        <v>0.59915611814345993</v>
      </c>
      <c r="CR147" s="172">
        <f t="shared" si="429"/>
        <v>95.556689708830859</v>
      </c>
      <c r="CS147" s="172">
        <f t="shared" si="373"/>
        <v>25.900000000000002</v>
      </c>
      <c r="CT147" s="217">
        <f t="shared" si="374"/>
        <v>3.4127389181725305</v>
      </c>
      <c r="CU147" s="217">
        <f t="shared" si="375"/>
        <v>28</v>
      </c>
      <c r="CV147" s="217"/>
      <c r="CW147" s="172">
        <f t="shared" si="376"/>
        <v>152.22096773656261</v>
      </c>
      <c r="CX147" s="172">
        <f t="shared" si="377"/>
        <v>28</v>
      </c>
      <c r="CY147" s="217">
        <f t="shared" si="378"/>
        <v>4.5502594514455152</v>
      </c>
      <c r="CZ147" s="217">
        <f t="shared" si="379"/>
        <v>1.1255904958838905</v>
      </c>
      <c r="DA147" s="217">
        <f t="shared" si="380"/>
        <v>0.75303589513358871</v>
      </c>
      <c r="DB147" s="197">
        <f t="shared" si="381"/>
        <v>350</v>
      </c>
      <c r="DC147" s="443">
        <f t="shared" si="382"/>
        <v>350</v>
      </c>
      <c r="DE147" s="217">
        <f t="shared" si="383"/>
        <v>6.9203442217177731</v>
      </c>
      <c r="DF147" s="173">
        <f t="shared" si="384"/>
        <v>1.1452682338758289</v>
      </c>
      <c r="DG147" s="173">
        <f t="shared" si="385"/>
        <v>1.3869888208084145</v>
      </c>
      <c r="DH147" s="173"/>
      <c r="DI147" s="173">
        <f t="shared" si="386"/>
        <v>0.55164319248826299</v>
      </c>
      <c r="DJ147" s="545">
        <f t="shared" si="387"/>
        <v>1006.0851063829787</v>
      </c>
      <c r="DK147" s="528">
        <f t="shared" si="388"/>
        <v>0.3217918622848201</v>
      </c>
      <c r="DM147" s="173">
        <f t="shared" si="389"/>
        <v>5.6514785433940888</v>
      </c>
      <c r="DN147" s="173">
        <f t="shared" si="390"/>
        <v>5.6514785433940888</v>
      </c>
      <c r="DO147" s="173">
        <f t="shared" si="391"/>
        <v>2.9171446000450043</v>
      </c>
      <c r="DQ147" s="545">
        <f t="shared" si="392"/>
        <v>925</v>
      </c>
      <c r="DR147" s="460">
        <f t="shared" si="393"/>
        <v>350</v>
      </c>
      <c r="DT147">
        <f t="shared" si="430"/>
        <v>925</v>
      </c>
      <c r="DU147">
        <f t="shared" si="431"/>
        <v>350</v>
      </c>
      <c r="DW147" s="5">
        <f t="shared" si="394"/>
        <v>2.8571428571428572</v>
      </c>
      <c r="DX147" s="5">
        <f t="shared" si="395"/>
        <v>1.3979973238922219</v>
      </c>
      <c r="DY147" s="5">
        <f t="shared" si="396"/>
        <v>1.4591455332506353</v>
      </c>
      <c r="DZ147" s="5"/>
      <c r="EA147" s="173">
        <f t="shared" si="397"/>
        <v>0.48929906336227763</v>
      </c>
      <c r="EB147" s="173">
        <f t="shared" si="398"/>
        <v>26.270000000000003</v>
      </c>
      <c r="EC147" s="173">
        <f t="shared" si="399"/>
        <v>1.4431076927496762</v>
      </c>
      <c r="ED147" s="173">
        <f t="shared" si="400"/>
        <v>18.203769636863019</v>
      </c>
      <c r="EE147" s="460">
        <f t="shared" si="401"/>
        <v>4.6183840164296619</v>
      </c>
      <c r="EF147" s="5">
        <f t="shared" si="402"/>
        <v>1.4207469665861447</v>
      </c>
      <c r="EH147" s="173">
        <f t="shared" si="403"/>
        <v>2.2823836519218443</v>
      </c>
      <c r="EI147" s="173">
        <f t="shared" si="404"/>
        <v>2.3317650198053466</v>
      </c>
      <c r="EK147" s="528">
        <f t="shared" si="405"/>
        <v>6.251130161472114E-2</v>
      </c>
      <c r="EL147" s="528">
        <f t="shared" si="406"/>
        <v>1.781402551663251</v>
      </c>
      <c r="EM147" s="528">
        <f t="shared" si="407"/>
        <v>4.0250000000000001E-2</v>
      </c>
      <c r="EN147" s="528">
        <f t="shared" si="408"/>
        <v>0.38728525499999999</v>
      </c>
      <c r="EO147">
        <f t="shared" si="409"/>
        <v>8.5500000000000003E-3</v>
      </c>
      <c r="EP147" s="460">
        <f t="shared" si="410"/>
        <v>48.800000000000004</v>
      </c>
      <c r="EQ147" s="460"/>
      <c r="ER147" s="460">
        <f t="shared" si="432"/>
        <v>2279.999108277972</v>
      </c>
      <c r="ES147" s="528">
        <f t="shared" si="411"/>
        <v>0.64749999999999996</v>
      </c>
      <c r="EV147" s="460">
        <f t="shared" si="412"/>
        <v>647.5</v>
      </c>
      <c r="EW147" s="528">
        <f t="shared" si="413"/>
        <v>7.2929851883841323E-2</v>
      </c>
      <c r="EX147" s="528">
        <f t="shared" si="414"/>
        <v>7.6119793506229591E-2</v>
      </c>
      <c r="EY147" s="528">
        <f t="shared" si="415"/>
        <v>8.7005222686707739</v>
      </c>
      <c r="EZ147" s="528"/>
      <c r="FA147" s="528">
        <f t="shared" si="416"/>
        <v>1.117872340425532</v>
      </c>
      <c r="FB147" s="460">
        <f t="shared" si="417"/>
        <v>9967.4442544863778</v>
      </c>
      <c r="FC147" s="173">
        <f t="shared" si="418"/>
        <v>12.894943362764348</v>
      </c>
      <c r="FD147" s="5">
        <f t="shared" si="419"/>
        <v>25.900000000000002</v>
      </c>
      <c r="FE147" s="173">
        <f t="shared" si="420"/>
        <v>0.66761278030009952</v>
      </c>
      <c r="FF147" s="5">
        <f t="shared" si="421"/>
        <v>66.761278030009947</v>
      </c>
      <c r="FI147" s="562">
        <f t="shared" si="422"/>
        <v>-50</v>
      </c>
      <c r="FJ147">
        <f t="shared" si="423"/>
        <v>-50</v>
      </c>
      <c r="FL147">
        <f t="shared" si="475"/>
        <v>0.32734796492546747</v>
      </c>
    </row>
    <row r="148" spans="5:168">
      <c r="E148" s="170">
        <v>38</v>
      </c>
      <c r="F148" s="217">
        <f t="shared" si="476"/>
        <v>0.95</v>
      </c>
      <c r="G148" s="217"/>
      <c r="H148" s="217">
        <f t="shared" si="442"/>
        <v>26.599999999999998</v>
      </c>
      <c r="I148" s="541">
        <f t="shared" si="443"/>
        <v>18.926070764139663</v>
      </c>
      <c r="J148" s="172">
        <f t="shared" si="444"/>
        <v>28.439808050078643</v>
      </c>
      <c r="K148" s="172">
        <f t="shared" si="445"/>
        <v>47.365878814218306</v>
      </c>
      <c r="L148" s="443"/>
      <c r="M148" s="217">
        <f t="shared" si="446"/>
        <v>0.60043056254886373</v>
      </c>
      <c r="N148" s="172">
        <f t="shared" si="447"/>
        <v>95.387341927363551</v>
      </c>
      <c r="O148" s="172">
        <f t="shared" si="438"/>
        <v>26.599999999999998</v>
      </c>
      <c r="P148" s="217">
        <f t="shared" si="448"/>
        <v>3.4066907831201267</v>
      </c>
      <c r="Q148" s="217">
        <f t="shared" si="449"/>
        <v>28</v>
      </c>
      <c r="R148" s="217"/>
      <c r="S148" s="172">
        <f t="shared" si="450"/>
        <v>147.14340367269668</v>
      </c>
      <c r="T148" s="172">
        <f t="shared" si="451"/>
        <v>28</v>
      </c>
      <c r="U148" s="217">
        <f t="shared" si="452"/>
        <v>4.7551184397889621</v>
      </c>
      <c r="V148" s="217">
        <f t="shared" si="453"/>
        <v>1.1808608847301887</v>
      </c>
      <c r="W148" s="217">
        <f t="shared" si="454"/>
        <v>0.78583711351548036</v>
      </c>
      <c r="X148" s="197">
        <f t="shared" si="455"/>
        <v>350</v>
      </c>
      <c r="Y148" s="443">
        <f t="shared" si="328"/>
        <v>350</v>
      </c>
      <c r="AA148" s="217">
        <f t="shared" si="456"/>
        <v>6.9080523279274857</v>
      </c>
      <c r="AB148" s="173">
        <f t="shared" si="457"/>
        <v>1.1416337931707454</v>
      </c>
      <c r="AC148" s="173">
        <f t="shared" si="458"/>
        <v>1.3801315469469244</v>
      </c>
      <c r="AD148" s="173"/>
      <c r="AE148" s="173">
        <f t="shared" si="459"/>
        <v>0.55087104100983364</v>
      </c>
      <c r="AF148" s="545">
        <f t="shared" si="460"/>
        <v>1034.7249311837122</v>
      </c>
      <c r="AG148" s="528">
        <f t="shared" si="461"/>
        <v>0.3213414405890696</v>
      </c>
      <c r="AI148" s="173">
        <f t="shared" si="462"/>
        <v>5.7313532881657752</v>
      </c>
      <c r="AJ148" s="173">
        <f t="shared" si="463"/>
        <v>5.7313532881657752</v>
      </c>
      <c r="AK148" s="173">
        <f t="shared" si="464"/>
        <v>2.9763110776536603</v>
      </c>
      <c r="AM148" s="545">
        <f t="shared" si="465"/>
        <v>950</v>
      </c>
      <c r="AN148" s="460">
        <f t="shared" si="466"/>
        <v>350</v>
      </c>
      <c r="AP148" s="460">
        <f t="shared" si="467"/>
        <v>950</v>
      </c>
      <c r="AQ148" s="460">
        <f t="shared" si="468"/>
        <v>350</v>
      </c>
      <c r="AS148" s="5">
        <f t="shared" si="439"/>
        <v>2.8571428571428572</v>
      </c>
      <c r="AT148" s="5">
        <f t="shared" si="469"/>
        <v>1.4232938674951454</v>
      </c>
      <c r="AU148" s="5">
        <f t="shared" si="343"/>
        <v>1.4338489896477118</v>
      </c>
      <c r="AV148" s="5"/>
      <c r="AW148" s="173">
        <f t="shared" si="344"/>
        <v>0.49815285362330086</v>
      </c>
      <c r="AX148" s="173">
        <f t="shared" si="435"/>
        <v>27.017817647574709</v>
      </c>
      <c r="AY148" s="173">
        <f t="shared" si="436"/>
        <v>1.4381316462713529</v>
      </c>
      <c r="AZ148" s="173">
        <f t="shared" si="440"/>
        <v>18.786748568967148</v>
      </c>
      <c r="BA148" s="460">
        <f t="shared" si="433"/>
        <v>4.8290327647156719</v>
      </c>
      <c r="BB148" s="5">
        <f t="shared" si="434"/>
        <v>1.4394499071051601</v>
      </c>
      <c r="BD148" s="173">
        <f t="shared" si="441"/>
        <v>2.3354892017464985</v>
      </c>
      <c r="BE148" s="173">
        <f t="shared" si="437"/>
        <v>2.3441331787638942</v>
      </c>
      <c r="BG148" s="528">
        <f t="shared" si="347"/>
        <v>6.5454117737693968E-2</v>
      </c>
      <c r="BH148" s="528">
        <f t="shared" si="470"/>
        <v>1.7340183635317743</v>
      </c>
      <c r="BI148" s="528">
        <f t="shared" si="349"/>
        <v>4.0250000000000001E-2</v>
      </c>
      <c r="BJ148" s="528">
        <f t="shared" si="350"/>
        <v>0.38672787627347416</v>
      </c>
      <c r="BK148">
        <f t="shared" si="351"/>
        <v>8.5167318438628473E-3</v>
      </c>
      <c r="BL148" s="460">
        <f t="shared" si="427"/>
        <v>48.76673184386285</v>
      </c>
      <c r="BM148" s="528">
        <f t="shared" si="471"/>
        <v>2.2386888305163857</v>
      </c>
      <c r="BN148" s="460">
        <f t="shared" si="353"/>
        <v>2238.6888305163857</v>
      </c>
      <c r="BO148" s="528">
        <f t="shared" si="354"/>
        <v>0.66499999999999992</v>
      </c>
      <c r="BR148" s="460">
        <f t="shared" si="355"/>
        <v>664.99999999999989</v>
      </c>
      <c r="BS148" s="528">
        <f t="shared" si="356"/>
        <v>7.6363137360642958E-2</v>
      </c>
      <c r="BT148" s="528">
        <f t="shared" si="357"/>
        <v>7.6929445036944072E-2</v>
      </c>
      <c r="BU148" s="528">
        <f t="shared" si="358"/>
        <v>9.0112090432443885</v>
      </c>
      <c r="BV148" s="528"/>
      <c r="BW148" s="528">
        <f t="shared" si="359"/>
        <v>1.1496943679819025</v>
      </c>
      <c r="BX148" s="460">
        <f t="shared" si="360"/>
        <v>10314.195993623878</v>
      </c>
      <c r="BY148" s="173">
        <f t="shared" si="361"/>
        <v>13.214163083010684</v>
      </c>
      <c r="BZ148" s="5">
        <f t="shared" si="362"/>
        <v>26.599999999999998</v>
      </c>
      <c r="CA148" s="173">
        <f t="shared" si="363"/>
        <v>0.66810395950155299</v>
      </c>
      <c r="CB148" s="5">
        <f t="shared" si="364"/>
        <v>66.810395950155296</v>
      </c>
      <c r="CE148" s="562">
        <f t="shared" si="472"/>
        <v>-50</v>
      </c>
      <c r="CF148">
        <f t="shared" si="473"/>
        <v>-50</v>
      </c>
      <c r="CG148" s="173">
        <f t="shared" si="474"/>
        <v>0.33410327744576224</v>
      </c>
      <c r="CI148" s="170">
        <v>38</v>
      </c>
      <c r="CJ148" s="217">
        <f t="shared" si="428"/>
        <v>0.95</v>
      </c>
      <c r="CK148" s="217"/>
      <c r="CL148" s="217">
        <f t="shared" si="368"/>
        <v>26.599999999999998</v>
      </c>
      <c r="CM148" s="541">
        <f t="shared" si="369"/>
        <v>19</v>
      </c>
      <c r="CN148" s="443">
        <f t="shared" si="370"/>
        <v>28.4</v>
      </c>
      <c r="CO148" s="443">
        <f t="shared" si="371"/>
        <v>47.4</v>
      </c>
      <c r="CP148" s="443"/>
      <c r="CQ148" s="217">
        <f t="shared" si="372"/>
        <v>0.59915611814345993</v>
      </c>
      <c r="CR148" s="172">
        <f t="shared" si="429"/>
        <v>95.556689708830859</v>
      </c>
      <c r="CS148" s="172">
        <f t="shared" si="373"/>
        <v>26.599999999999998</v>
      </c>
      <c r="CT148" s="217">
        <f t="shared" si="374"/>
        <v>3.4127389181725305</v>
      </c>
      <c r="CU148" s="217">
        <f t="shared" si="375"/>
        <v>28</v>
      </c>
      <c r="CV148" s="217"/>
      <c r="CW148" s="172">
        <f t="shared" si="376"/>
        <v>147.71797711626888</v>
      </c>
      <c r="CX148" s="172">
        <f t="shared" si="377"/>
        <v>28</v>
      </c>
      <c r="CY148" s="217">
        <f t="shared" si="378"/>
        <v>4.6732394366197179</v>
      </c>
      <c r="CZ148" s="217">
        <f t="shared" si="379"/>
        <v>1.1560118606375092</v>
      </c>
      <c r="DA148" s="217">
        <f t="shared" si="380"/>
        <v>0.77338821662368573</v>
      </c>
      <c r="DB148" s="197">
        <f t="shared" si="381"/>
        <v>350</v>
      </c>
      <c r="DC148" s="443">
        <f t="shared" si="382"/>
        <v>350</v>
      </c>
      <c r="DE148" s="217">
        <f t="shared" si="383"/>
        <v>6.9203442217177731</v>
      </c>
      <c r="DF148" s="173">
        <f t="shared" si="384"/>
        <v>1.1452682338758289</v>
      </c>
      <c r="DG148" s="173">
        <f t="shared" si="385"/>
        <v>1.3869888208084145</v>
      </c>
      <c r="DH148" s="173"/>
      <c r="DI148" s="173">
        <f t="shared" si="386"/>
        <v>0.55164319248826299</v>
      </c>
      <c r="DJ148" s="545">
        <f t="shared" si="387"/>
        <v>1033.2765957446807</v>
      </c>
      <c r="DK148" s="528">
        <f t="shared" si="388"/>
        <v>0.3217918622848201</v>
      </c>
      <c r="DM148" s="173">
        <f t="shared" si="389"/>
        <v>5.727340710219905</v>
      </c>
      <c r="DN148" s="173">
        <f t="shared" si="390"/>
        <v>5.727340710219905</v>
      </c>
      <c r="DO148" s="173">
        <f t="shared" si="391"/>
        <v>2.9733387976937564</v>
      </c>
      <c r="DQ148" s="545">
        <f t="shared" si="392"/>
        <v>950</v>
      </c>
      <c r="DR148" s="460">
        <f t="shared" si="393"/>
        <v>350</v>
      </c>
      <c r="DT148">
        <f t="shared" si="430"/>
        <v>950</v>
      </c>
      <c r="DU148">
        <f t="shared" si="431"/>
        <v>350</v>
      </c>
      <c r="DW148" s="5">
        <f t="shared" si="394"/>
        <v>2.8571428571428572</v>
      </c>
      <c r="DX148" s="5">
        <f t="shared" si="395"/>
        <v>1.4167632283175553</v>
      </c>
      <c r="DY148" s="5">
        <f t="shared" si="396"/>
        <v>1.4403796288253019</v>
      </c>
      <c r="DZ148" s="5"/>
      <c r="EA148" s="173">
        <f t="shared" si="397"/>
        <v>0.49586712991114434</v>
      </c>
      <c r="EB148" s="173">
        <f t="shared" si="398"/>
        <v>26.979999999999997</v>
      </c>
      <c r="EC148" s="173">
        <f t="shared" si="399"/>
        <v>1.4436703551099528</v>
      </c>
      <c r="ED148" s="173">
        <f t="shared" si="400"/>
        <v>18.688476842724352</v>
      </c>
      <c r="EE148" s="460">
        <f t="shared" si="401"/>
        <v>4.8068752389345626</v>
      </c>
      <c r="EF148" s="5">
        <f t="shared" si="402"/>
        <v>1.4403796288253017</v>
      </c>
      <c r="EH148" s="173">
        <f t="shared" si="403"/>
        <v>2.3284936201347373</v>
      </c>
      <c r="EI148" s="173">
        <f t="shared" si="404"/>
        <v>2.3478205492128028</v>
      </c>
      <c r="EK148" s="528">
        <f t="shared" si="405"/>
        <v>6.5062590468098092E-2</v>
      </c>
      <c r="EL148" s="528">
        <f t="shared" si="406"/>
        <v>1.8053150652684162</v>
      </c>
      <c r="EM148" s="528">
        <f t="shared" si="407"/>
        <v>4.0250000000000001E-2</v>
      </c>
      <c r="EN148" s="528">
        <f t="shared" si="408"/>
        <v>0.38728525499999999</v>
      </c>
      <c r="EO148">
        <f t="shared" si="409"/>
        <v>8.5500000000000003E-3</v>
      </c>
      <c r="EP148" s="460">
        <f t="shared" si="410"/>
        <v>48.800000000000004</v>
      </c>
      <c r="EQ148" s="460"/>
      <c r="ER148" s="460">
        <f t="shared" si="432"/>
        <v>2306.4629107365145</v>
      </c>
      <c r="ES148" s="528">
        <f t="shared" si="411"/>
        <v>0.66499999999999992</v>
      </c>
      <c r="EV148" s="460">
        <f t="shared" si="412"/>
        <v>664.99999999999989</v>
      </c>
      <c r="EW148" s="528">
        <f t="shared" si="413"/>
        <v>7.590635554611444E-2</v>
      </c>
      <c r="EX148" s="528">
        <f t="shared" si="414"/>
        <v>7.7171658638282695E-2</v>
      </c>
      <c r="EY148" s="528">
        <f t="shared" si="415"/>
        <v>8.995445229253475</v>
      </c>
      <c r="EZ148" s="528"/>
      <c r="FA148" s="528">
        <f t="shared" si="416"/>
        <v>1.1480851063829787</v>
      </c>
      <c r="FB148" s="460">
        <f t="shared" si="417"/>
        <v>10296.60834982085</v>
      </c>
      <c r="FC148" s="173">
        <f t="shared" si="418"/>
        <v>13.268071260557367</v>
      </c>
      <c r="FD148" s="5">
        <f t="shared" si="419"/>
        <v>26.599999999999998</v>
      </c>
      <c r="FE148" s="173">
        <f t="shared" si="420"/>
        <v>0.66720057326465521</v>
      </c>
      <c r="FF148" s="5">
        <f t="shared" si="421"/>
        <v>66.720057326465522</v>
      </c>
      <c r="FI148" s="562">
        <f t="shared" si="422"/>
        <v>-50</v>
      </c>
      <c r="FJ148">
        <f t="shared" si="423"/>
        <v>-50</v>
      </c>
      <c r="FL148">
        <f t="shared" si="475"/>
        <v>0.33174209395463888</v>
      </c>
    </row>
    <row r="149" spans="5:168">
      <c r="E149" s="170">
        <v>39</v>
      </c>
      <c r="F149" s="217">
        <f t="shared" si="476"/>
        <v>0.97500000000000009</v>
      </c>
      <c r="G149" s="217"/>
      <c r="H149" s="217">
        <f t="shared" si="442"/>
        <v>27.300000000000004</v>
      </c>
      <c r="I149" s="541">
        <f t="shared" si="443"/>
        <v>18.925104327881193</v>
      </c>
      <c r="J149" s="172">
        <f t="shared" si="444"/>
        <v>28.440328438833202</v>
      </c>
      <c r="K149" s="172">
        <f t="shared" si="445"/>
        <v>47.365432766714392</v>
      </c>
      <c r="L149" s="443"/>
      <c r="M149" s="217">
        <f t="shared" si="446"/>
        <v>0.60044723471745465</v>
      </c>
      <c r="N149" s="172">
        <f t="shared" si="447"/>
        <v>95.385119578580699</v>
      </c>
      <c r="O149" s="172">
        <f t="shared" si="438"/>
        <v>27.300000000000004</v>
      </c>
      <c r="P149" s="217">
        <f t="shared" si="448"/>
        <v>3.4066114135207393</v>
      </c>
      <c r="Q149" s="217">
        <f t="shared" si="449"/>
        <v>28</v>
      </c>
      <c r="R149" s="217"/>
      <c r="S149" s="172">
        <f t="shared" si="450"/>
        <v>142.88075773989877</v>
      </c>
      <c r="T149" s="172">
        <f t="shared" si="451"/>
        <v>28</v>
      </c>
      <c r="U149" s="217">
        <f t="shared" si="452"/>
        <v>4.8804567742662206</v>
      </c>
      <c r="V149" s="217">
        <f t="shared" si="453"/>
        <v>1.212048633478753</v>
      </c>
      <c r="W149" s="217">
        <f t="shared" si="454"/>
        <v>0.80653593323946515</v>
      </c>
      <c r="X149" s="197">
        <f t="shared" si="455"/>
        <v>350</v>
      </c>
      <c r="Y149" s="443">
        <f t="shared" si="328"/>
        <v>350</v>
      </c>
      <c r="AA149" s="217">
        <f t="shared" si="456"/>
        <v>6.9078910252739085</v>
      </c>
      <c r="AB149" s="173">
        <f t="shared" si="457"/>
        <v>1.1415862474519078</v>
      </c>
      <c r="AC149" s="173">
        <f t="shared" si="458"/>
        <v>1.380041843836102</v>
      </c>
      <c r="AD149" s="173"/>
      <c r="AE149" s="173">
        <f t="shared" si="459"/>
        <v>0.5508609614112252</v>
      </c>
      <c r="AF149" s="545">
        <f t="shared" si="460"/>
        <v>1061.9739661734525</v>
      </c>
      <c r="AG149" s="528">
        <f t="shared" si="461"/>
        <v>0.32133556082321468</v>
      </c>
      <c r="AI149" s="173">
        <f t="shared" si="462"/>
        <v>5.8063292400277886</v>
      </c>
      <c r="AJ149" s="173">
        <f t="shared" si="463"/>
        <v>5.8063292400277886</v>
      </c>
      <c r="AK149" s="173">
        <f t="shared" si="464"/>
        <v>3.0318488197736704</v>
      </c>
      <c r="AM149" s="545">
        <f t="shared" si="465"/>
        <v>975.00000000000011</v>
      </c>
      <c r="AN149" s="460">
        <f t="shared" si="466"/>
        <v>350</v>
      </c>
      <c r="AP149" s="460">
        <f t="shared" si="467"/>
        <v>975.00000000000011</v>
      </c>
      <c r="AQ149" s="460">
        <f t="shared" si="468"/>
        <v>350</v>
      </c>
      <c r="AS149" s="5">
        <f t="shared" si="439"/>
        <v>2.8571428571428572</v>
      </c>
      <c r="AT149" s="5">
        <f t="shared" si="469"/>
        <v>1.4419866308438944</v>
      </c>
      <c r="AU149" s="5">
        <f t="shared" si="343"/>
        <v>1.4151562262989628</v>
      </c>
      <c r="AV149" s="5"/>
      <c r="AW149" s="173">
        <f t="shared" si="344"/>
        <v>0.50469532079536306</v>
      </c>
      <c r="AX149" s="173">
        <f t="shared" si="435"/>
        <v>27.729320227862377</v>
      </c>
      <c r="AY149" s="173">
        <f t="shared" si="436"/>
        <v>1.4379510207942336</v>
      </c>
      <c r="AZ149" s="173">
        <f t="shared" si="440"/>
        <v>19.283911501065209</v>
      </c>
      <c r="BA149" s="460">
        <f t="shared" si="433"/>
        <v>5.0212034466885624</v>
      </c>
      <c r="BB149" s="5">
        <f t="shared" si="434"/>
        <v>1.4581450085944812</v>
      </c>
      <c r="BD149" s="173">
        <f t="shared" si="441"/>
        <v>2.3815278798893611</v>
      </c>
      <c r="BE149" s="173">
        <f t="shared" si="437"/>
        <v>2.3592678324380447</v>
      </c>
      <c r="BG149" s="528">
        <f t="shared" si="347"/>
        <v>6.8060100512283783E-2</v>
      </c>
      <c r="BH149" s="528">
        <f t="shared" si="470"/>
        <v>1.756685761120143</v>
      </c>
      <c r="BI149" s="528">
        <f t="shared" si="349"/>
        <v>4.0250000000000001E-2</v>
      </c>
      <c r="BJ149" s="528">
        <f t="shared" si="350"/>
        <v>0.38672059262558217</v>
      </c>
      <c r="BK149">
        <f t="shared" si="351"/>
        <v>8.5162969475465373E-3</v>
      </c>
      <c r="BL149" s="460">
        <f t="shared" si="427"/>
        <v>48.766296947546543</v>
      </c>
      <c r="BM149" s="528">
        <f t="shared" si="471"/>
        <v>2.2664943424597048</v>
      </c>
      <c r="BN149" s="460">
        <f t="shared" si="353"/>
        <v>2266.494342459705</v>
      </c>
      <c r="BO149" s="528">
        <f t="shared" si="354"/>
        <v>0.6825</v>
      </c>
      <c r="BR149" s="460">
        <f t="shared" si="355"/>
        <v>682.5</v>
      </c>
      <c r="BS149" s="528">
        <f t="shared" si="356"/>
        <v>7.9403450597664404E-2</v>
      </c>
      <c r="BT149" s="528">
        <f t="shared" si="357"/>
        <v>7.792602587247674E-2</v>
      </c>
      <c r="BU149" s="528">
        <f t="shared" si="358"/>
        <v>9.3088120317035301</v>
      </c>
      <c r="BV149" s="528"/>
      <c r="BW149" s="528">
        <f t="shared" si="359"/>
        <v>1.1799710735260589</v>
      </c>
      <c r="BX149" s="460">
        <f t="shared" si="360"/>
        <v>10646.112581699728</v>
      </c>
      <c r="BY149" s="173">
        <f t="shared" si="361"/>
        <v>13.588845332905285</v>
      </c>
      <c r="BZ149" s="5">
        <f t="shared" si="362"/>
        <v>27.300000000000004</v>
      </c>
      <c r="CA149" s="173">
        <f t="shared" si="363"/>
        <v>0.66766375469229344</v>
      </c>
      <c r="CB149" s="5">
        <f t="shared" si="364"/>
        <v>66.766375469229345</v>
      </c>
      <c r="CE149" s="562">
        <f t="shared" si="472"/>
        <v>-50</v>
      </c>
      <c r="CF149">
        <f t="shared" si="473"/>
        <v>-50</v>
      </c>
      <c r="CG149" s="173">
        <f t="shared" si="474"/>
        <v>0.33847082592152605</v>
      </c>
      <c r="CI149" s="170">
        <v>39</v>
      </c>
      <c r="CJ149" s="217">
        <f t="shared" si="428"/>
        <v>0.97500000000000009</v>
      </c>
      <c r="CK149" s="217"/>
      <c r="CL149" s="217">
        <f t="shared" si="368"/>
        <v>27.300000000000004</v>
      </c>
      <c r="CM149" s="541">
        <f t="shared" si="369"/>
        <v>19</v>
      </c>
      <c r="CN149" s="443">
        <f t="shared" si="370"/>
        <v>28.4</v>
      </c>
      <c r="CO149" s="443">
        <f t="shared" si="371"/>
        <v>47.4</v>
      </c>
      <c r="CP149" s="443"/>
      <c r="CQ149" s="217">
        <f t="shared" si="372"/>
        <v>0.59915611814345993</v>
      </c>
      <c r="CR149" s="172">
        <f t="shared" si="429"/>
        <v>95.556689708830859</v>
      </c>
      <c r="CS149" s="172">
        <f t="shared" si="373"/>
        <v>27.300000000000004</v>
      </c>
      <c r="CT149" s="217">
        <f t="shared" si="374"/>
        <v>3.4127389181725305</v>
      </c>
      <c r="CU149" s="217">
        <f t="shared" si="375"/>
        <v>28</v>
      </c>
      <c r="CV149" s="217"/>
      <c r="CW149" s="172">
        <f t="shared" si="376"/>
        <v>143.44599667548965</v>
      </c>
      <c r="CX149" s="172">
        <f t="shared" si="377"/>
        <v>28</v>
      </c>
      <c r="CY149" s="217">
        <f t="shared" si="378"/>
        <v>4.7962194217939222</v>
      </c>
      <c r="CZ149" s="217">
        <f t="shared" si="379"/>
        <v>1.1864332253911283</v>
      </c>
      <c r="DA149" s="217">
        <f t="shared" si="380"/>
        <v>0.79374053811378287</v>
      </c>
      <c r="DB149" s="197">
        <f t="shared" si="381"/>
        <v>350</v>
      </c>
      <c r="DC149" s="443">
        <f t="shared" si="382"/>
        <v>350</v>
      </c>
      <c r="DE149" s="217">
        <f t="shared" si="383"/>
        <v>6.9203442217177731</v>
      </c>
      <c r="DF149" s="173">
        <f t="shared" si="384"/>
        <v>1.1452682338758289</v>
      </c>
      <c r="DG149" s="173">
        <f t="shared" si="385"/>
        <v>1.3869888208084145</v>
      </c>
      <c r="DH149" s="173"/>
      <c r="DI149" s="173">
        <f t="shared" si="386"/>
        <v>0.55164319248826299</v>
      </c>
      <c r="DJ149" s="545">
        <f t="shared" si="387"/>
        <v>1060.4680851063829</v>
      </c>
      <c r="DK149" s="528">
        <f t="shared" si="388"/>
        <v>0.3217918622848201</v>
      </c>
      <c r="DM149" s="173">
        <f t="shared" si="389"/>
        <v>5.8022110867703471</v>
      </c>
      <c r="DN149" s="173">
        <f t="shared" si="390"/>
        <v>5.8022110867703471</v>
      </c>
      <c r="DO149" s="173">
        <f t="shared" si="391"/>
        <v>3.0287983358792694</v>
      </c>
      <c r="DQ149" s="545">
        <f t="shared" si="392"/>
        <v>975.00000000000011</v>
      </c>
      <c r="DR149" s="460">
        <f t="shared" si="393"/>
        <v>350</v>
      </c>
      <c r="DT149">
        <f t="shared" si="430"/>
        <v>975.00000000000011</v>
      </c>
      <c r="DU149">
        <f t="shared" si="431"/>
        <v>350</v>
      </c>
      <c r="DW149" s="5">
        <f t="shared" si="394"/>
        <v>2.8571428571428572</v>
      </c>
      <c r="DX149" s="5">
        <f t="shared" si="395"/>
        <v>1.4352837951484543</v>
      </c>
      <c r="DY149" s="5">
        <f t="shared" si="396"/>
        <v>1.4218590619944029</v>
      </c>
      <c r="DZ149" s="5"/>
      <c r="EA149" s="173">
        <f t="shared" si="397"/>
        <v>0.502349328301959</v>
      </c>
      <c r="EB149" s="173">
        <f t="shared" si="398"/>
        <v>27.690000000000005</v>
      </c>
      <c r="EC149" s="173">
        <f t="shared" si="399"/>
        <v>1.4437371223325419</v>
      </c>
      <c r="ED149" s="173">
        <f t="shared" si="400"/>
        <v>19.179391851657364</v>
      </c>
      <c r="EE149" s="460">
        <f t="shared" si="401"/>
        <v>4.9978632152490823</v>
      </c>
      <c r="EF149" s="5">
        <f t="shared" si="402"/>
        <v>1.4592764057310978</v>
      </c>
      <c r="EH149" s="173">
        <f t="shared" si="403"/>
        <v>2.3743011898438069</v>
      </c>
      <c r="EI149" s="173">
        <f t="shared" si="404"/>
        <v>2.3631712503300575</v>
      </c>
      <c r="EK149" s="528">
        <f t="shared" si="405"/>
        <v>6.7647673681124607E-2</v>
      </c>
      <c r="EL149" s="528">
        <f t="shared" si="406"/>
        <v>1.8289149566608811</v>
      </c>
      <c r="EM149" s="528">
        <f t="shared" si="407"/>
        <v>4.0250000000000001E-2</v>
      </c>
      <c r="EN149" s="528">
        <f t="shared" si="408"/>
        <v>0.38728525499999999</v>
      </c>
      <c r="EO149">
        <f t="shared" si="409"/>
        <v>8.5500000000000003E-3</v>
      </c>
      <c r="EP149" s="460">
        <f t="shared" si="410"/>
        <v>48.800000000000004</v>
      </c>
      <c r="EQ149" s="460"/>
      <c r="ER149" s="460">
        <f t="shared" si="432"/>
        <v>2332.6478853420058</v>
      </c>
      <c r="ES149" s="528">
        <f t="shared" si="411"/>
        <v>0.6825</v>
      </c>
      <c r="EV149" s="460">
        <f t="shared" si="412"/>
        <v>682.5</v>
      </c>
      <c r="EW149" s="528">
        <f t="shared" si="413"/>
        <v>7.8922285961312039E-2</v>
      </c>
      <c r="EX149" s="528">
        <f t="shared" si="414"/>
        <v>7.8184097017411386E-2</v>
      </c>
      <c r="EY149" s="528">
        <f t="shared" si="415"/>
        <v>9.2923150662962382</v>
      </c>
      <c r="EZ149" s="528"/>
      <c r="FA149" s="528">
        <f t="shared" si="416"/>
        <v>1.1782978723404258</v>
      </c>
      <c r="FB149" s="460">
        <f t="shared" si="417"/>
        <v>10627.719321615388</v>
      </c>
      <c r="FC149" s="173">
        <f t="shared" si="418"/>
        <v>13.642867206957394</v>
      </c>
      <c r="FD149" s="5">
        <f t="shared" si="419"/>
        <v>27.300000000000004</v>
      </c>
      <c r="FE149" s="173">
        <f t="shared" si="420"/>
        <v>0.66678280888351971</v>
      </c>
      <c r="FF149" s="5">
        <f t="shared" si="421"/>
        <v>66.678280888351964</v>
      </c>
      <c r="FI149" s="562">
        <f t="shared" si="422"/>
        <v>-50</v>
      </c>
      <c r="FJ149">
        <f t="shared" si="423"/>
        <v>-50</v>
      </c>
      <c r="FL149">
        <f t="shared" si="475"/>
        <v>0.33607877597666269</v>
      </c>
    </row>
    <row r="150" spans="5:168">
      <c r="E150" s="170">
        <v>40</v>
      </c>
      <c r="F150" s="217">
        <f t="shared" si="476"/>
        <v>1</v>
      </c>
      <c r="G150" s="217"/>
      <c r="H150" s="217">
        <f t="shared" si="442"/>
        <v>28</v>
      </c>
      <c r="I150" s="541">
        <f t="shared" si="443"/>
        <v>18.924150204421096</v>
      </c>
      <c r="J150" s="172">
        <f t="shared" si="444"/>
        <v>28.440842197619411</v>
      </c>
      <c r="K150" s="172">
        <f t="shared" si="445"/>
        <v>47.364992402040507</v>
      </c>
      <c r="L150" s="443"/>
      <c r="M150" s="217">
        <f t="shared" si="446"/>
        <v>0.600463694781186</v>
      </c>
      <c r="N150" s="172">
        <f t="shared" si="447"/>
        <v>95.382925326616942</v>
      </c>
      <c r="O150" s="172">
        <f t="shared" si="438"/>
        <v>28</v>
      </c>
      <c r="P150" s="217">
        <f t="shared" si="448"/>
        <v>3.4065330473791766</v>
      </c>
      <c r="Q150" s="217">
        <f t="shared" si="449"/>
        <v>28</v>
      </c>
      <c r="R150" s="217"/>
      <c r="S150" s="172">
        <f t="shared" si="450"/>
        <v>138.83146895020269</v>
      </c>
      <c r="T150" s="172">
        <f t="shared" si="451"/>
        <v>28</v>
      </c>
      <c r="U150" s="217">
        <f t="shared" si="452"/>
        <v>5.0058029117145173</v>
      </c>
      <c r="V150" s="217">
        <f t="shared" si="453"/>
        <v>1.2432406967242178</v>
      </c>
      <c r="W150" s="217">
        <f t="shared" si="454"/>
        <v>0.82723547782377349</v>
      </c>
      <c r="X150" s="197">
        <f t="shared" si="455"/>
        <v>350</v>
      </c>
      <c r="Y150" s="443">
        <f t="shared" si="328"/>
        <v>350</v>
      </c>
      <c r="AA150" s="217">
        <f t="shared" si="456"/>
        <v>6.9077317620389449</v>
      </c>
      <c r="AB150" s="173">
        <f t="shared" si="457"/>
        <v>1.1415393066067707</v>
      </c>
      <c r="AC150" s="173">
        <f t="shared" si="458"/>
        <v>1.3799532820261131</v>
      </c>
      <c r="AD150" s="173"/>
      <c r="AE150" s="173">
        <f t="shared" si="459"/>
        <v>0.55085101059271779</v>
      </c>
      <c r="AF150" s="545">
        <f t="shared" si="460"/>
        <v>1089.2237437386159</v>
      </c>
      <c r="AG150" s="528">
        <f t="shared" si="461"/>
        <v>0.32132975617908544</v>
      </c>
      <c r="AI150" s="173">
        <f t="shared" si="462"/>
        <v>5.8803513115508368</v>
      </c>
      <c r="AJ150" s="173">
        <f t="shared" si="463"/>
        <v>5.8803513115508368</v>
      </c>
      <c r="AK150" s="173">
        <f t="shared" si="464"/>
        <v>3.0866799838648173</v>
      </c>
      <c r="AM150" s="545">
        <f t="shared" si="465"/>
        <v>1000</v>
      </c>
      <c r="AN150" s="460">
        <f t="shared" si="466"/>
        <v>350</v>
      </c>
      <c r="AP150" s="460">
        <f t="shared" si="467"/>
        <v>1000</v>
      </c>
      <c r="AQ150" s="460">
        <f t="shared" si="468"/>
        <v>350</v>
      </c>
      <c r="AS150" s="5">
        <f t="shared" si="439"/>
        <v>2.8571428571428572</v>
      </c>
      <c r="AT150" s="5">
        <f t="shared" si="469"/>
        <v>1.460443447433226</v>
      </c>
      <c r="AU150" s="5">
        <f t="shared" si="343"/>
        <v>1.3966994097096312</v>
      </c>
      <c r="AV150" s="5"/>
      <c r="AW150" s="173">
        <f t="shared" si="344"/>
        <v>0.51115520660162905</v>
      </c>
      <c r="AX150" s="173">
        <f t="shared" si="435"/>
        <v>28.440842197619411</v>
      </c>
      <c r="AY150" s="173">
        <f t="shared" si="436"/>
        <v>1.4372895610024543</v>
      </c>
      <c r="AZ150" s="173">
        <f t="shared" si="440"/>
        <v>19.78783048962174</v>
      </c>
      <c r="BA150" s="460">
        <f t="shared" si="433"/>
        <v>5.2158694551186642</v>
      </c>
      <c r="BB150" s="5">
        <f t="shared" si="434"/>
        <v>1.476102646219043</v>
      </c>
      <c r="BD150" s="173">
        <f t="shared" si="441"/>
        <v>2.4272753199846275</v>
      </c>
      <c r="BE150" s="173">
        <f t="shared" si="437"/>
        <v>2.3737126412884813</v>
      </c>
      <c r="BG150" s="528">
        <f t="shared" si="347"/>
        <v>7.0699985748077718E-2</v>
      </c>
      <c r="BH150" s="528">
        <f t="shared" si="470"/>
        <v>1.7790643542948681</v>
      </c>
      <c r="BI150" s="528">
        <f t="shared" si="349"/>
        <v>4.0250000000000001E-2</v>
      </c>
      <c r="BJ150" s="528">
        <f t="shared" si="350"/>
        <v>0.38671340184166808</v>
      </c>
      <c r="BK150">
        <f t="shared" si="351"/>
        <v>8.5158675919894938E-3</v>
      </c>
      <c r="BL150" s="460">
        <f t="shared" si="427"/>
        <v>48.765867591989497</v>
      </c>
      <c r="BM150" s="528">
        <f t="shared" si="471"/>
        <v>2.2941038203557285</v>
      </c>
      <c r="BN150" s="460">
        <f t="shared" si="353"/>
        <v>2294.1038203557287</v>
      </c>
      <c r="BO150" s="528">
        <f t="shared" si="354"/>
        <v>0.7</v>
      </c>
      <c r="BR150" s="460">
        <f t="shared" si="355"/>
        <v>700</v>
      </c>
      <c r="BS150" s="528">
        <f t="shared" si="356"/>
        <v>8.2483316706090659E-2</v>
      </c>
      <c r="BT150" s="528">
        <f t="shared" si="357"/>
        <v>7.8883163847778326E-2</v>
      </c>
      <c r="BU150" s="528">
        <f t="shared" si="358"/>
        <v>9.6083385667416419</v>
      </c>
      <c r="BV150" s="528"/>
      <c r="BW150" s="528">
        <f t="shared" si="359"/>
        <v>1.2102486041540177</v>
      </c>
      <c r="BX150" s="460">
        <f t="shared" si="360"/>
        <v>10979.953651449528</v>
      </c>
      <c r="BY150" s="173">
        <f t="shared" si="361"/>
        <v>13.965197260926132</v>
      </c>
      <c r="BZ150" s="5">
        <f t="shared" si="362"/>
        <v>28</v>
      </c>
      <c r="CA150" s="173">
        <f t="shared" si="363"/>
        <v>0.66721954923516702</v>
      </c>
      <c r="CB150" s="5">
        <f t="shared" si="364"/>
        <v>66.721954923516705</v>
      </c>
      <c r="CE150" s="562">
        <f t="shared" si="472"/>
        <v>-50</v>
      </c>
      <c r="CF150">
        <f t="shared" si="473"/>
        <v>-50</v>
      </c>
      <c r="CG150" s="173">
        <f t="shared" si="474"/>
        <v>0.34278273002005222</v>
      </c>
      <c r="CI150" s="170">
        <v>40</v>
      </c>
      <c r="CJ150" s="217">
        <f t="shared" si="428"/>
        <v>1</v>
      </c>
      <c r="CK150" s="217"/>
      <c r="CL150" s="217">
        <f t="shared" si="368"/>
        <v>28</v>
      </c>
      <c r="CM150" s="541">
        <f t="shared" si="369"/>
        <v>19</v>
      </c>
      <c r="CN150" s="443">
        <f t="shared" si="370"/>
        <v>28.4</v>
      </c>
      <c r="CO150" s="443">
        <f t="shared" si="371"/>
        <v>47.4</v>
      </c>
      <c r="CP150" s="443"/>
      <c r="CQ150" s="217">
        <f t="shared" si="372"/>
        <v>0.59915611814345993</v>
      </c>
      <c r="CR150" s="172">
        <f t="shared" si="429"/>
        <v>95.556689708830859</v>
      </c>
      <c r="CS150" s="172">
        <f t="shared" si="373"/>
        <v>28</v>
      </c>
      <c r="CT150" s="217">
        <f t="shared" si="374"/>
        <v>3.4127389181725305</v>
      </c>
      <c r="CU150" s="217">
        <f t="shared" si="375"/>
        <v>28</v>
      </c>
      <c r="CV150" s="217"/>
      <c r="CW150" s="172">
        <f t="shared" si="376"/>
        <v>139.38770149246938</v>
      </c>
      <c r="CX150" s="172">
        <f t="shared" si="377"/>
        <v>28</v>
      </c>
      <c r="CY150" s="217">
        <f t="shared" si="378"/>
        <v>4.919199406968124</v>
      </c>
      <c r="CZ150" s="217">
        <f t="shared" si="379"/>
        <v>1.2168545901447463</v>
      </c>
      <c r="DA150" s="217">
        <f t="shared" si="380"/>
        <v>0.81409285960387967</v>
      </c>
      <c r="DB150" s="197">
        <f t="shared" si="381"/>
        <v>350</v>
      </c>
      <c r="DC150" s="443">
        <f t="shared" si="382"/>
        <v>350</v>
      </c>
      <c r="DE150" s="217">
        <f t="shared" si="383"/>
        <v>6.9203442217177731</v>
      </c>
      <c r="DF150" s="173">
        <f t="shared" si="384"/>
        <v>1.1452682338758289</v>
      </c>
      <c r="DG150" s="173">
        <f t="shared" si="385"/>
        <v>1.3869888208084145</v>
      </c>
      <c r="DH150" s="173"/>
      <c r="DI150" s="173">
        <f t="shared" si="386"/>
        <v>0.55164319248826299</v>
      </c>
      <c r="DJ150" s="545">
        <f t="shared" si="387"/>
        <v>1087.6595744680851</v>
      </c>
      <c r="DK150" s="528">
        <f t="shared" si="388"/>
        <v>0.3217918622848201</v>
      </c>
      <c r="DM150" s="173">
        <f t="shared" si="389"/>
        <v>5.876127583701634</v>
      </c>
      <c r="DN150" s="173">
        <f t="shared" si="390"/>
        <v>5.876127583701634</v>
      </c>
      <c r="DO150" s="173">
        <f t="shared" si="391"/>
        <v>3.0835512965691114</v>
      </c>
      <c r="DQ150" s="545">
        <f t="shared" si="392"/>
        <v>1000</v>
      </c>
      <c r="DR150" s="460">
        <f t="shared" si="393"/>
        <v>350</v>
      </c>
      <c r="DT150">
        <f t="shared" si="430"/>
        <v>1000</v>
      </c>
      <c r="DU150">
        <f t="shared" si="431"/>
        <v>350</v>
      </c>
      <c r="DW150" s="5">
        <f t="shared" si="394"/>
        <v>2.8571428571428572</v>
      </c>
      <c r="DX150" s="5">
        <f t="shared" si="395"/>
        <v>1.4535684022840885</v>
      </c>
      <c r="DY150" s="5">
        <f t="shared" si="396"/>
        <v>1.4035744548587687</v>
      </c>
      <c r="DZ150" s="5"/>
      <c r="EA150" s="173">
        <f t="shared" si="397"/>
        <v>0.50874894079943089</v>
      </c>
      <c r="EB150" s="173">
        <f t="shared" si="398"/>
        <v>28.399999999999991</v>
      </c>
      <c r="EC150" s="173">
        <f t="shared" si="399"/>
        <v>1.4433269497455543</v>
      </c>
      <c r="ED150" s="173">
        <f t="shared" si="400"/>
        <v>19.676761391455109</v>
      </c>
      <c r="EE150" s="460">
        <f t="shared" si="401"/>
        <v>5.1913157224431732</v>
      </c>
      <c r="EF150" s="5">
        <f t="shared" si="402"/>
        <v>1.4774467945881773</v>
      </c>
      <c r="EH150" s="173">
        <f t="shared" si="403"/>
        <v>2.4198160244489397</v>
      </c>
      <c r="EI150" s="173">
        <f t="shared" si="404"/>
        <v>2.3778384163913513</v>
      </c>
      <c r="EK150" s="528">
        <f t="shared" si="405"/>
        <v>7.0266115106158461E-2</v>
      </c>
      <c r="EL150" s="528">
        <f t="shared" si="406"/>
        <v>1.8522141756585921</v>
      </c>
      <c r="EM150" s="528">
        <f t="shared" si="407"/>
        <v>4.0250000000000001E-2</v>
      </c>
      <c r="EN150" s="528">
        <f t="shared" si="408"/>
        <v>0.38728525499999999</v>
      </c>
      <c r="EO150">
        <f t="shared" si="409"/>
        <v>8.5500000000000003E-3</v>
      </c>
      <c r="EP150" s="460">
        <f t="shared" si="410"/>
        <v>48.800000000000004</v>
      </c>
      <c r="EQ150" s="460"/>
      <c r="ER150" s="460">
        <f t="shared" si="432"/>
        <v>2358.5655457647508</v>
      </c>
      <c r="ES150" s="528">
        <f t="shared" si="411"/>
        <v>0.7</v>
      </c>
      <c r="EV150" s="460">
        <f t="shared" si="412"/>
        <v>700</v>
      </c>
      <c r="EW150" s="528">
        <f t="shared" si="413"/>
        <v>8.1977134290518214E-2</v>
      </c>
      <c r="EX150" s="528">
        <f t="shared" si="414"/>
        <v>7.9157617482531417E-2</v>
      </c>
      <c r="EY150" s="528">
        <f t="shared" si="415"/>
        <v>9.5910942112423125</v>
      </c>
      <c r="EZ150" s="528"/>
      <c r="FA150" s="528">
        <f t="shared" si="416"/>
        <v>1.2085106382978721</v>
      </c>
      <c r="FB150" s="460">
        <f t="shared" si="417"/>
        <v>10960.739601313235</v>
      </c>
      <c r="FC150" s="173">
        <f t="shared" si="418"/>
        <v>14.019305147077985</v>
      </c>
      <c r="FD150" s="5">
        <f t="shared" si="419"/>
        <v>28</v>
      </c>
      <c r="FE150" s="173">
        <f t="shared" si="420"/>
        <v>0.66636037654580571</v>
      </c>
      <c r="FF150" s="5">
        <f t="shared" si="421"/>
        <v>66.636037654580576</v>
      </c>
      <c r="FI150" s="562">
        <f t="shared" si="422"/>
        <v>-50</v>
      </c>
      <c r="FJ150">
        <f t="shared" si="423"/>
        <v>-50</v>
      </c>
      <c r="FL150">
        <f t="shared" si="475"/>
        <v>0.34036020687285878</v>
      </c>
    </row>
    <row r="151" spans="5:168">
      <c r="E151" s="170">
        <v>41</v>
      </c>
      <c r="F151" s="217">
        <f t="shared" si="476"/>
        <v>1.0249999999999999</v>
      </c>
      <c r="G151" s="217"/>
      <c r="H151" s="217">
        <f t="shared" si="442"/>
        <v>28.699999999999996</v>
      </c>
      <c r="I151" s="541">
        <f t="shared" si="443"/>
        <v>18.923207934807067</v>
      </c>
      <c r="J151" s="172">
        <f t="shared" si="444"/>
        <v>28.441349573565425</v>
      </c>
      <c r="K151" s="172">
        <f t="shared" si="445"/>
        <v>47.364557508372492</v>
      </c>
      <c r="L151" s="443"/>
      <c r="M151" s="217">
        <f t="shared" si="446"/>
        <v>0.60047995064614967</v>
      </c>
      <c r="N151" s="172">
        <f t="shared" si="447"/>
        <v>95.380758124173994</v>
      </c>
      <c r="O151" s="172">
        <f t="shared" si="438"/>
        <v>28.699999999999996</v>
      </c>
      <c r="P151" s="217">
        <f t="shared" si="448"/>
        <v>3.4064556472919283</v>
      </c>
      <c r="Q151" s="217">
        <f t="shared" si="449"/>
        <v>28</v>
      </c>
      <c r="R151" s="217"/>
      <c r="S151" s="172">
        <f t="shared" si="450"/>
        <v>134.97992246344563</v>
      </c>
      <c r="T151" s="172">
        <f t="shared" si="451"/>
        <v>28</v>
      </c>
      <c r="U151" s="217">
        <f t="shared" si="452"/>
        <v>5.1311567550001431</v>
      </c>
      <c r="V151" s="217">
        <f t="shared" si="453"/>
        <v>1.2744370210159375</v>
      </c>
      <c r="W151" s="217">
        <f t="shared" si="454"/>
        <v>0.84793573828562241</v>
      </c>
      <c r="X151" s="197">
        <f t="shared" si="455"/>
        <v>350</v>
      </c>
      <c r="Y151" s="443">
        <f t="shared" si="328"/>
        <v>350</v>
      </c>
      <c r="AA151" s="217">
        <f t="shared" si="456"/>
        <v>6.9075744622040407</v>
      </c>
      <c r="AB151" s="173">
        <f t="shared" si="457"/>
        <v>1.141492948088999</v>
      </c>
      <c r="AC151" s="173">
        <f t="shared" si="458"/>
        <v>1.3798658189759754</v>
      </c>
      <c r="AD151" s="173"/>
      <c r="AE151" s="173">
        <f t="shared" si="459"/>
        <v>0.55084118375409019</v>
      </c>
      <c r="AF151" s="545">
        <f t="shared" si="460"/>
        <v>1116.4742545367703</v>
      </c>
      <c r="AG151" s="528">
        <f t="shared" si="461"/>
        <v>0.32132402385655262</v>
      </c>
      <c r="AI151" s="173">
        <f t="shared" si="462"/>
        <v>5.9534550580441472</v>
      </c>
      <c r="AJ151" s="173">
        <f t="shared" si="463"/>
        <v>5.9534550580441472</v>
      </c>
      <c r="AK151" s="173">
        <f t="shared" si="464"/>
        <v>3.1408309071931955</v>
      </c>
      <c r="AM151" s="545">
        <f t="shared" si="465"/>
        <v>1025</v>
      </c>
      <c r="AN151" s="460">
        <f t="shared" si="466"/>
        <v>350</v>
      </c>
      <c r="AP151" s="460">
        <f t="shared" si="467"/>
        <v>1025</v>
      </c>
      <c r="AQ151" s="460">
        <f t="shared" si="468"/>
        <v>350</v>
      </c>
      <c r="AS151" s="5">
        <f t="shared" si="439"/>
        <v>2.8571428571428572</v>
      </c>
      <c r="AT151" s="5">
        <f t="shared" si="469"/>
        <v>1.4786731123605747</v>
      </c>
      <c r="AU151" s="5">
        <f t="shared" si="343"/>
        <v>1.3784697447822825</v>
      </c>
      <c r="AV151" s="5"/>
      <c r="AW151" s="173">
        <f t="shared" si="344"/>
        <v>0.51753558932620114</v>
      </c>
      <c r="AX151" s="173">
        <f t="shared" si="435"/>
        <v>29.152383312904558</v>
      </c>
      <c r="AY151" s="173">
        <f t="shared" si="436"/>
        <v>1.4361650930261083</v>
      </c>
      <c r="AZ151" s="173">
        <f t="shared" si="440"/>
        <v>20.298768891171338</v>
      </c>
      <c r="BA151" s="460">
        <f t="shared" si="433"/>
        <v>5.4129997863199604</v>
      </c>
      <c r="BB151" s="5">
        <f t="shared" si="434"/>
        <v>1.4933318846038932</v>
      </c>
      <c r="BD151" s="173">
        <f t="shared" si="441"/>
        <v>2.4727406154323308</v>
      </c>
      <c r="BE151" s="173">
        <f t="shared" si="437"/>
        <v>2.3874874292531509</v>
      </c>
      <c r="BG151" s="528">
        <f t="shared" si="347"/>
        <v>7.3373353814503953E-2</v>
      </c>
      <c r="BH151" s="528">
        <f t="shared" si="470"/>
        <v>1.801164908053678</v>
      </c>
      <c r="BI151" s="528">
        <f t="shared" si="349"/>
        <v>4.0250000000000001E-2</v>
      </c>
      <c r="BJ151" s="528">
        <f t="shared" si="350"/>
        <v>0.38670630046028154</v>
      </c>
      <c r="BK151">
        <f t="shared" si="351"/>
        <v>8.5154435706631792E-3</v>
      </c>
      <c r="BL151" s="460">
        <f t="shared" si="427"/>
        <v>48.76544357066318</v>
      </c>
      <c r="BM151" s="528">
        <f t="shared" si="471"/>
        <v>2.3215277423378482</v>
      </c>
      <c r="BN151" s="460">
        <f t="shared" si="353"/>
        <v>2321.5277423378484</v>
      </c>
      <c r="BO151" s="528">
        <f t="shared" si="354"/>
        <v>0.71749999999999992</v>
      </c>
      <c r="BR151" s="460">
        <f t="shared" si="355"/>
        <v>717.49999999999989</v>
      </c>
      <c r="BS151" s="528">
        <f t="shared" si="356"/>
        <v>8.5602246116921271E-2</v>
      </c>
      <c r="BT151" s="528">
        <f t="shared" si="357"/>
        <v>7.9801347147785473E-2</v>
      </c>
      <c r="BU151" s="528">
        <f t="shared" si="358"/>
        <v>9.9097526393440845</v>
      </c>
      <c r="BV151" s="528"/>
      <c r="BW151" s="528">
        <f t="shared" si="359"/>
        <v>1.2405269494853006</v>
      </c>
      <c r="BX151" s="460">
        <f t="shared" si="360"/>
        <v>11315.683182094092</v>
      </c>
      <c r="BY151" s="173">
        <f t="shared" si="361"/>
        <v>14.343193187993219</v>
      </c>
      <c r="BZ151" s="5">
        <f t="shared" si="362"/>
        <v>28.699999999999996</v>
      </c>
      <c r="CA151" s="173">
        <f t="shared" si="363"/>
        <v>0.66677209273604232</v>
      </c>
      <c r="CB151" s="5">
        <f t="shared" si="364"/>
        <v>66.677209273604234</v>
      </c>
      <c r="CE151" s="562">
        <f t="shared" si="472"/>
        <v>-50</v>
      </c>
      <c r="CF151">
        <f t="shared" si="473"/>
        <v>-50</v>
      </c>
      <c r="CG151" s="173">
        <f t="shared" si="474"/>
        <v>0.34704106385268008</v>
      </c>
      <c r="CI151" s="170">
        <v>41</v>
      </c>
      <c r="CJ151" s="217">
        <f t="shared" si="428"/>
        <v>1.0249999999999999</v>
      </c>
      <c r="CK151" s="217"/>
      <c r="CL151" s="217">
        <f t="shared" si="368"/>
        <v>28.699999999999996</v>
      </c>
      <c r="CM151" s="541">
        <f t="shared" si="369"/>
        <v>19</v>
      </c>
      <c r="CN151" s="443">
        <f t="shared" si="370"/>
        <v>28.4</v>
      </c>
      <c r="CO151" s="443">
        <f t="shared" si="371"/>
        <v>47.4</v>
      </c>
      <c r="CP151" s="443"/>
      <c r="CQ151" s="217">
        <f t="shared" si="372"/>
        <v>0.59915611814345993</v>
      </c>
      <c r="CR151" s="172">
        <f t="shared" si="429"/>
        <v>95.556689708830859</v>
      </c>
      <c r="CS151" s="172">
        <f t="shared" si="373"/>
        <v>28.699999999999996</v>
      </c>
      <c r="CT151" s="217">
        <f t="shared" si="374"/>
        <v>3.4127389181725305</v>
      </c>
      <c r="CU151" s="217">
        <f t="shared" si="375"/>
        <v>28</v>
      </c>
      <c r="CV151" s="217"/>
      <c r="CW151" s="172">
        <f t="shared" si="376"/>
        <v>135.52745689223443</v>
      </c>
      <c r="CX151" s="172">
        <f t="shared" si="377"/>
        <v>28</v>
      </c>
      <c r="CY151" s="217">
        <f t="shared" si="378"/>
        <v>5.0421793921423266</v>
      </c>
      <c r="CZ151" s="217">
        <f t="shared" si="379"/>
        <v>1.247275954898365</v>
      </c>
      <c r="DA151" s="217">
        <f t="shared" si="380"/>
        <v>0.83444518109397658</v>
      </c>
      <c r="DB151" s="197">
        <f t="shared" si="381"/>
        <v>350</v>
      </c>
      <c r="DC151" s="443">
        <f t="shared" si="382"/>
        <v>350</v>
      </c>
      <c r="DE151" s="217">
        <f t="shared" si="383"/>
        <v>6.9203442217177731</v>
      </c>
      <c r="DF151" s="173">
        <f t="shared" si="384"/>
        <v>1.1452682338758289</v>
      </c>
      <c r="DG151" s="173">
        <f t="shared" si="385"/>
        <v>1.3869888208084145</v>
      </c>
      <c r="DH151" s="173"/>
      <c r="DI151" s="173">
        <f t="shared" si="386"/>
        <v>0.55164319248826299</v>
      </c>
      <c r="DJ151" s="545">
        <f t="shared" si="387"/>
        <v>1114.8510638297871</v>
      </c>
      <c r="DK151" s="528">
        <f t="shared" si="388"/>
        <v>0.3217918622848201</v>
      </c>
      <c r="DM151" s="173">
        <f t="shared" si="389"/>
        <v>5.9491257563139213</v>
      </c>
      <c r="DN151" s="173">
        <f t="shared" si="390"/>
        <v>5.9491257563139213</v>
      </c>
      <c r="DO151" s="173">
        <f t="shared" si="391"/>
        <v>3.1376240170226577</v>
      </c>
      <c r="DQ151" s="545">
        <f t="shared" si="392"/>
        <v>1025</v>
      </c>
      <c r="DR151" s="460">
        <f t="shared" si="393"/>
        <v>350</v>
      </c>
      <c r="DT151">
        <f t="shared" si="430"/>
        <v>1025</v>
      </c>
      <c r="DU151">
        <f t="shared" si="431"/>
        <v>350</v>
      </c>
      <c r="DW151" s="5">
        <f t="shared" si="394"/>
        <v>2.8571428571428572</v>
      </c>
      <c r="DX151" s="5">
        <f t="shared" si="395"/>
        <v>1.4716258449829174</v>
      </c>
      <c r="DY151" s="5">
        <f t="shared" si="396"/>
        <v>1.3855170121599398</v>
      </c>
      <c r="DZ151" s="5"/>
      <c r="EA151" s="173">
        <f t="shared" si="397"/>
        <v>0.51506904574402101</v>
      </c>
      <c r="EB151" s="173">
        <f t="shared" si="398"/>
        <v>29.11</v>
      </c>
      <c r="EC151" s="173">
        <f t="shared" si="399"/>
        <v>1.4424576149990662</v>
      </c>
      <c r="ED151" s="173">
        <f t="shared" si="400"/>
        <v>20.18083560813594</v>
      </c>
      <c r="EE151" s="460">
        <f t="shared" si="401"/>
        <v>5.3872017539553223</v>
      </c>
      <c r="EF151" s="5">
        <f t="shared" si="402"/>
        <v>1.4948999341725664</v>
      </c>
      <c r="EH151" s="173">
        <f t="shared" si="403"/>
        <v>2.465047245312856</v>
      </c>
      <c r="EI151" s="173">
        <f t="shared" si="404"/>
        <v>2.3918419331527874</v>
      </c>
      <c r="EK151" s="528">
        <f t="shared" si="405"/>
        <v>7.2917495059494006E-2</v>
      </c>
      <c r="EL151" s="528">
        <f t="shared" si="406"/>
        <v>1.8752239296477111</v>
      </c>
      <c r="EM151" s="528">
        <f t="shared" si="407"/>
        <v>4.0250000000000001E-2</v>
      </c>
      <c r="EN151" s="528">
        <f t="shared" si="408"/>
        <v>0.38728525499999999</v>
      </c>
      <c r="EO151">
        <f t="shared" si="409"/>
        <v>8.5500000000000003E-3</v>
      </c>
      <c r="EP151" s="460">
        <f t="shared" si="410"/>
        <v>48.800000000000004</v>
      </c>
      <c r="EQ151" s="460"/>
      <c r="ER151" s="460">
        <f t="shared" si="432"/>
        <v>2384.2266797072052</v>
      </c>
      <c r="ES151" s="528">
        <f t="shared" si="411"/>
        <v>0.71749999999999992</v>
      </c>
      <c r="EV151" s="460">
        <f t="shared" si="412"/>
        <v>717.49999999999989</v>
      </c>
      <c r="EW151" s="528">
        <f t="shared" si="413"/>
        <v>8.5070410902743004E-2</v>
      </c>
      <c r="EX151" s="528">
        <f t="shared" si="414"/>
        <v>8.0092709664632888E-2</v>
      </c>
      <c r="EY151" s="528">
        <f t="shared" si="415"/>
        <v>9.8917467448589775</v>
      </c>
      <c r="EZ151" s="528"/>
      <c r="FA151" s="528">
        <f t="shared" si="416"/>
        <v>1.238723404255319</v>
      </c>
      <c r="FB151" s="460">
        <f t="shared" si="417"/>
        <v>11295.633269681673</v>
      </c>
      <c r="FC151" s="173">
        <f t="shared" si="418"/>
        <v>14.397359949388877</v>
      </c>
      <c r="FD151" s="5">
        <f t="shared" si="419"/>
        <v>28.699999999999996</v>
      </c>
      <c r="FE151" s="173">
        <f t="shared" si="420"/>
        <v>0.66593406263640442</v>
      </c>
      <c r="FF151" s="5">
        <f t="shared" si="421"/>
        <v>66.593406263640446</v>
      </c>
      <c r="FI151" s="562">
        <f t="shared" si="422"/>
        <v>-50</v>
      </c>
      <c r="FJ151">
        <f t="shared" si="423"/>
        <v>-50</v>
      </c>
      <c r="FL151">
        <f t="shared" si="475"/>
        <v>0.34458844609635214</v>
      </c>
    </row>
    <row r="152" spans="5:168">
      <c r="E152" s="170">
        <v>42</v>
      </c>
      <c r="F152" s="217">
        <f t="shared" si="476"/>
        <v>1.05</v>
      </c>
      <c r="G152" s="217"/>
      <c r="H152" s="217">
        <f t="shared" si="442"/>
        <v>29.400000000000002</v>
      </c>
      <c r="I152" s="541">
        <f t="shared" si="443"/>
        <v>18.922277087909485</v>
      </c>
      <c r="J152" s="172">
        <f t="shared" si="444"/>
        <v>28.441850798817967</v>
      </c>
      <c r="K152" s="172">
        <f t="shared" si="445"/>
        <v>47.364127886727452</v>
      </c>
      <c r="L152" s="443"/>
      <c r="M152" s="217">
        <f t="shared" si="446"/>
        <v>0.60049600973915318</v>
      </c>
      <c r="N152" s="172">
        <f t="shared" si="447"/>
        <v>95.378616987443252</v>
      </c>
      <c r="O152" s="172">
        <f t="shared" si="438"/>
        <v>29.400000000000002</v>
      </c>
      <c r="P152" s="217">
        <f t="shared" si="448"/>
        <v>3.4063791781229731</v>
      </c>
      <c r="Q152" s="217">
        <f t="shared" si="449"/>
        <v>28</v>
      </c>
      <c r="R152" s="217"/>
      <c r="S152" s="172">
        <f t="shared" si="450"/>
        <v>131.31199081421343</v>
      </c>
      <c r="T152" s="172">
        <f t="shared" si="451"/>
        <v>28</v>
      </c>
      <c r="U152" s="217">
        <f t="shared" si="452"/>
        <v>5.256518210566191</v>
      </c>
      <c r="V152" s="217">
        <f t="shared" si="453"/>
        <v>1.305637554871603</v>
      </c>
      <c r="W152" s="217">
        <f t="shared" si="454"/>
        <v>0.86863670597301124</v>
      </c>
      <c r="X152" s="197">
        <f t="shared" si="455"/>
        <v>350</v>
      </c>
      <c r="Y152" s="443">
        <f t="shared" si="328"/>
        <v>350</v>
      </c>
      <c r="AA152" s="217">
        <f t="shared" si="456"/>
        <v>6.9074190543590577</v>
      </c>
      <c r="AB152" s="173">
        <f t="shared" si="457"/>
        <v>1.1414471507190662</v>
      </c>
      <c r="AC152" s="173">
        <f t="shared" si="458"/>
        <v>1.3797794147236282</v>
      </c>
      <c r="AD152" s="173"/>
      <c r="AE152" s="173">
        <f t="shared" si="459"/>
        <v>0.55083147638612073</v>
      </c>
      <c r="AF152" s="545">
        <f t="shared" si="460"/>
        <v>1143.7254895694882</v>
      </c>
      <c r="AG152" s="528">
        <f t="shared" si="461"/>
        <v>0.3213183612252371</v>
      </c>
      <c r="AI152" s="173">
        <f t="shared" si="462"/>
        <v>6.0256738793780311</v>
      </c>
      <c r="AJ152" s="173">
        <f t="shared" si="463"/>
        <v>6.0256738793780311</v>
      </c>
      <c r="AK152" s="173">
        <f t="shared" si="464"/>
        <v>3.1943263304034799</v>
      </c>
      <c r="AM152" s="545">
        <f t="shared" si="465"/>
        <v>1050</v>
      </c>
      <c r="AN152" s="460">
        <f t="shared" si="466"/>
        <v>350</v>
      </c>
      <c r="AP152" s="460">
        <f t="shared" si="467"/>
        <v>1050</v>
      </c>
      <c r="AQ152" s="460">
        <f t="shared" si="468"/>
        <v>350</v>
      </c>
      <c r="AS152" s="5">
        <f t="shared" si="439"/>
        <v>2.8571428571428572</v>
      </c>
      <c r="AT152" s="5">
        <f t="shared" si="469"/>
        <v>1.496683887541866</v>
      </c>
      <c r="AU152" s="5">
        <f t="shared" si="343"/>
        <v>1.3604589696009912</v>
      </c>
      <c r="AV152" s="5"/>
      <c r="AW152" s="173">
        <f t="shared" si="344"/>
        <v>0.52383936063965308</v>
      </c>
      <c r="AX152" s="173">
        <f t="shared" si="435"/>
        <v>29.863943338758872</v>
      </c>
      <c r="AY152" s="173">
        <f t="shared" si="436"/>
        <v>1.4345943634907925</v>
      </c>
      <c r="AZ152" s="173">
        <f t="shared" si="440"/>
        <v>20.816994753897585</v>
      </c>
      <c r="BA152" s="460">
        <f t="shared" si="433"/>
        <v>5.6125645782819973</v>
      </c>
      <c r="BB152" s="5">
        <f t="shared" si="434"/>
        <v>1.5098414545401397</v>
      </c>
      <c r="BD152" s="173">
        <f t="shared" si="441"/>
        <v>2.5179323616438314</v>
      </c>
      <c r="BE152" s="173">
        <f t="shared" si="437"/>
        <v>2.4006107255709495</v>
      </c>
      <c r="BG152" s="528">
        <f t="shared" si="347"/>
        <v>7.6079800533759387E-2</v>
      </c>
      <c r="BH152" s="528">
        <f t="shared" si="470"/>
        <v>1.8229975347972427</v>
      </c>
      <c r="BI152" s="528">
        <f t="shared" si="349"/>
        <v>4.0250000000000001E-2</v>
      </c>
      <c r="BJ152" s="528">
        <f t="shared" si="350"/>
        <v>0.38669928522981334</v>
      </c>
      <c r="BK152">
        <f t="shared" si="351"/>
        <v>8.5150246895592686E-3</v>
      </c>
      <c r="BL152" s="460">
        <f t="shared" si="427"/>
        <v>48.765024689559269</v>
      </c>
      <c r="BM152" s="528">
        <f t="shared" si="471"/>
        <v>2.3487759576553318</v>
      </c>
      <c r="BN152" s="460">
        <f t="shared" si="353"/>
        <v>2348.7759576553317</v>
      </c>
      <c r="BO152" s="528">
        <f t="shared" si="354"/>
        <v>0.73499999999999999</v>
      </c>
      <c r="BR152" s="460">
        <f t="shared" si="355"/>
        <v>735</v>
      </c>
      <c r="BS152" s="528">
        <f t="shared" si="356"/>
        <v>8.8759767289385949E-2</v>
      </c>
      <c r="BT152" s="528">
        <f t="shared" si="357"/>
        <v>8.0681045980167926E-2</v>
      </c>
      <c r="BU152" s="528">
        <f t="shared" si="358"/>
        <v>10.213019781571917</v>
      </c>
      <c r="BV152" s="528"/>
      <c r="BW152" s="528">
        <f t="shared" si="359"/>
        <v>1.2708060995216544</v>
      </c>
      <c r="BX152" s="460">
        <f t="shared" si="360"/>
        <v>11653.266694363125</v>
      </c>
      <c r="BY152" s="173">
        <f t="shared" si="361"/>
        <v>14.722808339613501</v>
      </c>
      <c r="BZ152" s="5">
        <f t="shared" si="362"/>
        <v>29.400000000000002</v>
      </c>
      <c r="CA152" s="173">
        <f t="shared" si="363"/>
        <v>0.66632204762915448</v>
      </c>
      <c r="CB152" s="5">
        <f t="shared" si="364"/>
        <v>66.63220476291545</v>
      </c>
      <c r="CE152" s="562">
        <f t="shared" si="472"/>
        <v>-50</v>
      </c>
      <c r="CF152">
        <f t="shared" si="473"/>
        <v>-50</v>
      </c>
      <c r="CG152" s="173">
        <f t="shared" si="474"/>
        <v>0.35124777579366961</v>
      </c>
      <c r="CI152" s="170">
        <v>42</v>
      </c>
      <c r="CJ152" s="217">
        <f t="shared" si="428"/>
        <v>1.05</v>
      </c>
      <c r="CK152" s="217"/>
      <c r="CL152" s="217">
        <f t="shared" si="368"/>
        <v>29.400000000000002</v>
      </c>
      <c r="CM152" s="541">
        <f t="shared" si="369"/>
        <v>19</v>
      </c>
      <c r="CN152" s="443">
        <f t="shared" si="370"/>
        <v>28.4</v>
      </c>
      <c r="CO152" s="443">
        <f t="shared" si="371"/>
        <v>47.4</v>
      </c>
      <c r="CP152" s="443"/>
      <c r="CQ152" s="217">
        <f t="shared" si="372"/>
        <v>0.59915611814345993</v>
      </c>
      <c r="CR152" s="172">
        <f t="shared" si="429"/>
        <v>95.556689708830859</v>
      </c>
      <c r="CS152" s="172">
        <f t="shared" si="373"/>
        <v>29.400000000000002</v>
      </c>
      <c r="CT152" s="217">
        <f t="shared" si="374"/>
        <v>3.4127389181725305</v>
      </c>
      <c r="CU152" s="217">
        <f t="shared" si="375"/>
        <v>28</v>
      </c>
      <c r="CV152" s="217"/>
      <c r="CW152" s="172">
        <f t="shared" si="376"/>
        <v>131.85111722689808</v>
      </c>
      <c r="CX152" s="172">
        <f t="shared" si="377"/>
        <v>28</v>
      </c>
      <c r="CY152" s="217">
        <f t="shared" si="378"/>
        <v>5.165159377316531</v>
      </c>
      <c r="CZ152" s="217">
        <f t="shared" si="379"/>
        <v>1.2776973196519839</v>
      </c>
      <c r="DA152" s="217">
        <f t="shared" si="380"/>
        <v>0.85479750258407383</v>
      </c>
      <c r="DB152" s="197">
        <f t="shared" si="381"/>
        <v>350</v>
      </c>
      <c r="DC152" s="443">
        <f t="shared" si="382"/>
        <v>350</v>
      </c>
      <c r="DE152" s="217">
        <f t="shared" si="383"/>
        <v>6.9203442217177731</v>
      </c>
      <c r="DF152" s="173">
        <f t="shared" si="384"/>
        <v>1.1452682338758289</v>
      </c>
      <c r="DG152" s="173">
        <f t="shared" si="385"/>
        <v>1.3869888208084145</v>
      </c>
      <c r="DH152" s="173"/>
      <c r="DI152" s="173">
        <f t="shared" si="386"/>
        <v>0.55164319248826299</v>
      </c>
      <c r="DJ152" s="545">
        <f t="shared" si="387"/>
        <v>1142.0425531914893</v>
      </c>
      <c r="DK152" s="528">
        <f t="shared" si="388"/>
        <v>0.3217918622848201</v>
      </c>
      <c r="DM152" s="173">
        <f t="shared" si="389"/>
        <v>6.0212390044687787</v>
      </c>
      <c r="DN152" s="173">
        <f t="shared" si="390"/>
        <v>6.0212390044687787</v>
      </c>
      <c r="DO152" s="173">
        <f t="shared" si="391"/>
        <v>3.1910412378781077</v>
      </c>
      <c r="DQ152" s="545">
        <f t="shared" si="392"/>
        <v>1050</v>
      </c>
      <c r="DR152" s="460">
        <f t="shared" si="393"/>
        <v>350</v>
      </c>
      <c r="DT152">
        <f t="shared" si="430"/>
        <v>1050</v>
      </c>
      <c r="DU152">
        <f t="shared" si="431"/>
        <v>350</v>
      </c>
      <c r="DW152" s="5">
        <f t="shared" si="394"/>
        <v>2.8571428571428572</v>
      </c>
      <c r="DX152" s="5">
        <f t="shared" si="395"/>
        <v>1.489464385315961</v>
      </c>
      <c r="DY152" s="5">
        <f t="shared" si="396"/>
        <v>1.3676784718268962</v>
      </c>
      <c r="DZ152" s="5"/>
      <c r="EA152" s="173">
        <f t="shared" si="397"/>
        <v>0.52131253486058637</v>
      </c>
      <c r="EB152" s="173">
        <f t="shared" si="398"/>
        <v>29.819999999999997</v>
      </c>
      <c r="EC152" s="173">
        <f t="shared" si="399"/>
        <v>1.441145818023863</v>
      </c>
      <c r="ED152" s="173">
        <f t="shared" si="400"/>
        <v>20.691868669396666</v>
      </c>
      <c r="EE152" s="460">
        <f t="shared" si="401"/>
        <v>5.5854914449348545</v>
      </c>
      <c r="EF152" s="5">
        <f t="shared" si="402"/>
        <v>1.5116446267560431</v>
      </c>
      <c r="EH152" s="173">
        <f t="shared" si="403"/>
        <v>2.5100034746132307</v>
      </c>
      <c r="EI152" s="173">
        <f t="shared" si="404"/>
        <v>2.4052003950623808</v>
      </c>
      <c r="EK152" s="528">
        <f t="shared" si="405"/>
        <v>7.5601409310845885E-2</v>
      </c>
      <c r="EL152" s="528">
        <f t="shared" si="406"/>
        <v>1.8979547465986037</v>
      </c>
      <c r="EM152" s="528">
        <f t="shared" si="407"/>
        <v>4.0250000000000001E-2</v>
      </c>
      <c r="EN152" s="528">
        <f t="shared" si="408"/>
        <v>0.38728525499999999</v>
      </c>
      <c r="EO152">
        <f t="shared" si="409"/>
        <v>8.5500000000000003E-3</v>
      </c>
      <c r="EP152" s="460">
        <f t="shared" si="410"/>
        <v>48.800000000000004</v>
      </c>
      <c r="EQ152" s="460"/>
      <c r="ER152" s="460">
        <f t="shared" si="432"/>
        <v>2409.6414109094499</v>
      </c>
      <c r="ES152" s="528">
        <f t="shared" si="411"/>
        <v>0.73499999999999999</v>
      </c>
      <c r="EV152" s="460">
        <f t="shared" si="412"/>
        <v>735</v>
      </c>
      <c r="EW152" s="528">
        <f t="shared" si="413"/>
        <v>8.8201644195986875E-2</v>
      </c>
      <c r="EX152" s="528">
        <f t="shared" si="414"/>
        <v>8.0989845165715252E-2</v>
      </c>
      <c r="EY152" s="528">
        <f t="shared" si="415"/>
        <v>10.194238286225364</v>
      </c>
      <c r="EZ152" s="528"/>
      <c r="FA152" s="528">
        <f t="shared" si="416"/>
        <v>1.2689361702127659</v>
      </c>
      <c r="FB152" s="460">
        <f t="shared" si="417"/>
        <v>11632.365945799833</v>
      </c>
      <c r="FC152" s="173">
        <f t="shared" si="418"/>
        <v>14.777007356709282</v>
      </c>
      <c r="FD152" s="5">
        <f t="shared" si="419"/>
        <v>29.400000000000002</v>
      </c>
      <c r="FE152" s="173">
        <f t="shared" si="420"/>
        <v>0.66550456355289866</v>
      </c>
      <c r="FF152" s="5">
        <f t="shared" si="421"/>
        <v>66.550456355289867</v>
      </c>
      <c r="FI152" s="562">
        <f t="shared" si="422"/>
        <v>-50</v>
      </c>
      <c r="FJ152">
        <f t="shared" si="423"/>
        <v>-50</v>
      </c>
      <c r="FL152">
        <f t="shared" si="475"/>
        <v>0.34876542825180079</v>
      </c>
    </row>
    <row r="153" spans="5:168">
      <c r="E153" s="170">
        <v>43</v>
      </c>
      <c r="F153" s="217">
        <f t="shared" si="476"/>
        <v>1.075</v>
      </c>
      <c r="G153" s="217"/>
      <c r="H153" s="217">
        <f t="shared" si="442"/>
        <v>30.099999999999998</v>
      </c>
      <c r="I153" s="541">
        <f t="shared" si="443"/>
        <v>18.921357258115808</v>
      </c>
      <c r="J153" s="172">
        <f t="shared" si="444"/>
        <v>28.442346091783794</v>
      </c>
      <c r="K153" s="172">
        <f t="shared" si="445"/>
        <v>47.363703349899602</v>
      </c>
      <c r="L153" s="443"/>
      <c r="M153" s="217">
        <f t="shared" si="446"/>
        <v>0.60051187904743653</v>
      </c>
      <c r="N153" s="172">
        <f t="shared" si="447"/>
        <v>95.37650099084432</v>
      </c>
      <c r="O153" s="172">
        <f t="shared" si="438"/>
        <v>30.099999999999998</v>
      </c>
      <c r="P153" s="217">
        <f t="shared" si="448"/>
        <v>3.4063036068158685</v>
      </c>
      <c r="Q153" s="217">
        <f t="shared" si="449"/>
        <v>28</v>
      </c>
      <c r="R153" s="217"/>
      <c r="S153" s="172">
        <f t="shared" si="450"/>
        <v>127.81486094264397</v>
      </c>
      <c r="T153" s="172">
        <f t="shared" si="451"/>
        <v>28</v>
      </c>
      <c r="U153" s="217">
        <f t="shared" si="452"/>
        <v>5.3818871882182897</v>
      </c>
      <c r="V153" s="217">
        <f t="shared" si="453"/>
        <v>1.3368422486593241</v>
      </c>
      <c r="W153" s="217">
        <f t="shared" si="454"/>
        <v>0.88933837254490578</v>
      </c>
      <c r="X153" s="197">
        <f t="shared" si="455"/>
        <v>350</v>
      </c>
      <c r="Y153" s="443">
        <f t="shared" si="328"/>
        <v>350</v>
      </c>
      <c r="AA153" s="217">
        <f t="shared" si="456"/>
        <v>6.9072654713203852</v>
      </c>
      <c r="AB153" s="173">
        <f t="shared" si="457"/>
        <v>1.1414018945709898</v>
      </c>
      <c r="AC153" s="173">
        <f t="shared" si="458"/>
        <v>1.379694031672227</v>
      </c>
      <c r="AD153" s="173"/>
      <c r="AE153" s="173">
        <f t="shared" si="459"/>
        <v>0.55082188424647338</v>
      </c>
      <c r="AF153" s="545">
        <f t="shared" si="460"/>
        <v>1170.9774401617369</v>
      </c>
      <c r="AG153" s="528">
        <f t="shared" si="461"/>
        <v>0.32131276581044282</v>
      </c>
      <c r="AI153" s="173">
        <f t="shared" si="462"/>
        <v>6.0970391985997177</v>
      </c>
      <c r="AJ153" s="173">
        <f t="shared" si="463"/>
        <v>6.0970391985997177</v>
      </c>
      <c r="AK153" s="173">
        <f t="shared" si="464"/>
        <v>3.2471895298269509</v>
      </c>
      <c r="AM153" s="545">
        <f t="shared" si="465"/>
        <v>1075</v>
      </c>
      <c r="AN153" s="460">
        <f t="shared" si="466"/>
        <v>350</v>
      </c>
      <c r="AP153" s="460">
        <f t="shared" si="467"/>
        <v>1075</v>
      </c>
      <c r="AQ153" s="460">
        <f t="shared" si="468"/>
        <v>350</v>
      </c>
      <c r="AS153" s="5">
        <f t="shared" si="439"/>
        <v>2.8571428571428572</v>
      </c>
      <c r="AT153" s="5">
        <f t="shared" si="469"/>
        <v>1.5144835458950714</v>
      </c>
      <c r="AU153" s="5">
        <f t="shared" si="343"/>
        <v>1.3426593112477858</v>
      </c>
      <c r="AV153" s="5"/>
      <c r="AW153" s="173">
        <f t="shared" si="344"/>
        <v>0.53006924106327502</v>
      </c>
      <c r="AX153" s="173">
        <f t="shared" si="435"/>
        <v>30.575522048667573</v>
      </c>
      <c r="AY153" s="173">
        <f t="shared" si="436"/>
        <v>1.4325931289324634</v>
      </c>
      <c r="AZ153" s="173">
        <f t="shared" si="440"/>
        <v>21.342781443780744</v>
      </c>
      <c r="BA153" s="460">
        <f t="shared" si="433"/>
        <v>5.81453504227572</v>
      </c>
      <c r="BB153" s="5">
        <f t="shared" si="434"/>
        <v>1.5256397729843398</v>
      </c>
      <c r="BD153" s="173">
        <f t="shared" si="441"/>
        <v>2.5628586944900538</v>
      </c>
      <c r="BE153" s="173">
        <f t="shared" si="437"/>
        <v>2.4130998684604621</v>
      </c>
      <c r="BG153" s="528">
        <f t="shared" si="347"/>
        <v>7.8818936255079144E-2</v>
      </c>
      <c r="BH153" s="528">
        <f t="shared" si="470"/>
        <v>1.8445717484082549</v>
      </c>
      <c r="BI153" s="528">
        <f t="shared" si="349"/>
        <v>4.0250000000000001E-2</v>
      </c>
      <c r="BJ153" s="528">
        <f t="shared" si="350"/>
        <v>0.38669235309110545</v>
      </c>
      <c r="BK153">
        <f t="shared" si="351"/>
        <v>8.5146107661521128E-3</v>
      </c>
      <c r="BL153" s="460">
        <f t="shared" si="427"/>
        <v>48.764610766152117</v>
      </c>
      <c r="BM153" s="528">
        <f t="shared" si="471"/>
        <v>2.3758577394846832</v>
      </c>
      <c r="BN153" s="460">
        <f t="shared" si="353"/>
        <v>2375.857739484683</v>
      </c>
      <c r="BO153" s="528">
        <f t="shared" si="354"/>
        <v>0.75249999999999995</v>
      </c>
      <c r="BR153" s="460">
        <f t="shared" si="355"/>
        <v>752.5</v>
      </c>
      <c r="BS153" s="528">
        <f t="shared" si="356"/>
        <v>9.195542563092568E-2</v>
      </c>
      <c r="BT153" s="528">
        <f t="shared" si="357"/>
        <v>8.152271365229459E-2</v>
      </c>
      <c r="BU153" s="528">
        <f t="shared" si="358"/>
        <v>10.518106965347018</v>
      </c>
      <c r="BV153" s="528"/>
      <c r="BW153" s="528">
        <f t="shared" si="359"/>
        <v>1.3010860446241521</v>
      </c>
      <c r="BX153" s="460">
        <f t="shared" si="360"/>
        <v>11992.671149254391</v>
      </c>
      <c r="BY153" s="173">
        <f t="shared" si="361"/>
        <v>15.10401879777498</v>
      </c>
      <c r="BZ153" s="5">
        <f t="shared" si="362"/>
        <v>30.099999999999998</v>
      </c>
      <c r="CA153" s="173">
        <f t="shared" si="363"/>
        <v>0.66587000006914365</v>
      </c>
      <c r="CB153" s="5">
        <f t="shared" si="364"/>
        <v>66.587000006914366</v>
      </c>
      <c r="CE153" s="562">
        <f t="shared" si="472"/>
        <v>-50</v>
      </c>
      <c r="CF153">
        <f t="shared" si="473"/>
        <v>-50</v>
      </c>
      <c r="CG153" s="173">
        <f t="shared" si="474"/>
        <v>0.3554046988997191</v>
      </c>
      <c r="CI153" s="170">
        <v>43</v>
      </c>
      <c r="CJ153" s="217">
        <f t="shared" si="428"/>
        <v>1.075</v>
      </c>
      <c r="CK153" s="217"/>
      <c r="CL153" s="217">
        <f t="shared" si="368"/>
        <v>30.099999999999998</v>
      </c>
      <c r="CM153" s="541">
        <f t="shared" si="369"/>
        <v>19</v>
      </c>
      <c r="CN153" s="443">
        <f t="shared" si="370"/>
        <v>28.4</v>
      </c>
      <c r="CO153" s="443">
        <f t="shared" si="371"/>
        <v>47.4</v>
      </c>
      <c r="CP153" s="443"/>
      <c r="CQ153" s="217">
        <f t="shared" si="372"/>
        <v>0.59915611814345993</v>
      </c>
      <c r="CR153" s="172">
        <f t="shared" si="429"/>
        <v>95.556689708830859</v>
      </c>
      <c r="CS153" s="172">
        <f t="shared" si="373"/>
        <v>30.099999999999998</v>
      </c>
      <c r="CT153" s="217">
        <f t="shared" si="374"/>
        <v>3.4127389181725305</v>
      </c>
      <c r="CU153" s="217">
        <f t="shared" si="375"/>
        <v>28</v>
      </c>
      <c r="CV153" s="217"/>
      <c r="CW153" s="172">
        <f t="shared" si="376"/>
        <v>128.34585273313454</v>
      </c>
      <c r="CX153" s="172">
        <f t="shared" si="377"/>
        <v>28</v>
      </c>
      <c r="CY153" s="217">
        <f t="shared" si="378"/>
        <v>5.2881393624907327</v>
      </c>
      <c r="CZ153" s="217">
        <f t="shared" si="379"/>
        <v>1.3081186844056023</v>
      </c>
      <c r="DA153" s="217">
        <f t="shared" si="380"/>
        <v>0.87514982407417063</v>
      </c>
      <c r="DB153" s="197">
        <f t="shared" si="381"/>
        <v>350</v>
      </c>
      <c r="DC153" s="443">
        <f t="shared" si="382"/>
        <v>350</v>
      </c>
      <c r="DE153" s="217">
        <f t="shared" si="383"/>
        <v>6.9203442217177731</v>
      </c>
      <c r="DF153" s="173">
        <f t="shared" si="384"/>
        <v>1.1452682338758289</v>
      </c>
      <c r="DG153" s="173">
        <f t="shared" si="385"/>
        <v>1.3869888208084145</v>
      </c>
      <c r="DH153" s="173"/>
      <c r="DI153" s="173">
        <f t="shared" si="386"/>
        <v>0.55164319248826299</v>
      </c>
      <c r="DJ153" s="545">
        <f t="shared" si="387"/>
        <v>1169.2340425531913</v>
      </c>
      <c r="DK153" s="528">
        <f t="shared" si="388"/>
        <v>0.3217918622848201</v>
      </c>
      <c r="DM153" s="173">
        <f t="shared" si="389"/>
        <v>6.0924987512050137</v>
      </c>
      <c r="DN153" s="173">
        <f t="shared" si="390"/>
        <v>6.0924987512050137</v>
      </c>
      <c r="DO153" s="173">
        <f t="shared" si="391"/>
        <v>3.2438262354605039</v>
      </c>
      <c r="DQ153" s="545">
        <f t="shared" si="392"/>
        <v>1075</v>
      </c>
      <c r="DR153" s="460">
        <f t="shared" si="393"/>
        <v>350</v>
      </c>
      <c r="DT153">
        <f t="shared" si="430"/>
        <v>1075</v>
      </c>
      <c r="DU153">
        <f t="shared" si="431"/>
        <v>350</v>
      </c>
      <c r="DW153" s="5">
        <f t="shared" si="394"/>
        <v>2.8571428571428572</v>
      </c>
      <c r="DX153" s="5">
        <f t="shared" si="395"/>
        <v>1.5070917963507138</v>
      </c>
      <c r="DY153" s="5">
        <f t="shared" si="396"/>
        <v>1.3500510607921434</v>
      </c>
      <c r="DZ153" s="5"/>
      <c r="EA153" s="173">
        <f t="shared" si="397"/>
        <v>0.5274821287227498</v>
      </c>
      <c r="EB153" s="173">
        <f t="shared" si="398"/>
        <v>30.530000000000005</v>
      </c>
      <c r="EC153" s="173">
        <f t="shared" si="399"/>
        <v>1.4394072703393492</v>
      </c>
      <c r="ED153" s="173">
        <f t="shared" si="400"/>
        <v>21.210119351976296</v>
      </c>
      <c r="EE153" s="460">
        <f t="shared" si="401"/>
        <v>5.7861560038464894</v>
      </c>
      <c r="EF153" s="5">
        <f t="shared" si="402"/>
        <v>1.5276893582647935</v>
      </c>
      <c r="EH153" s="173">
        <f t="shared" si="403"/>
        <v>2.5546928738695018</v>
      </c>
      <c r="EI153" s="173">
        <f t="shared" si="404"/>
        <v>2.4179312089770604</v>
      </c>
      <c r="EK153" s="528">
        <f t="shared" si="405"/>
        <v>7.8317468157595369E-2</v>
      </c>
      <c r="EL153" s="528">
        <f t="shared" si="406"/>
        <v>1.9204165313673323</v>
      </c>
      <c r="EM153" s="528">
        <f t="shared" si="407"/>
        <v>4.0250000000000001E-2</v>
      </c>
      <c r="EN153" s="528">
        <f t="shared" si="408"/>
        <v>0.38728525499999999</v>
      </c>
      <c r="EO153">
        <f t="shared" si="409"/>
        <v>8.5500000000000003E-3</v>
      </c>
      <c r="EP153" s="460">
        <f t="shared" si="410"/>
        <v>48.800000000000004</v>
      </c>
      <c r="EQ153" s="460"/>
      <c r="ER153" s="460">
        <f t="shared" si="432"/>
        <v>2434.8192545249281</v>
      </c>
      <c r="ES153" s="528">
        <f t="shared" si="411"/>
        <v>0.75249999999999995</v>
      </c>
      <c r="EV153" s="460">
        <f t="shared" si="412"/>
        <v>752.5</v>
      </c>
      <c r="EW153" s="528">
        <f t="shared" si="413"/>
        <v>9.1370379517194608E-2</v>
      </c>
      <c r="EX153" s="528">
        <f t="shared" si="414"/>
        <v>8.1849478638833767E-2</v>
      </c>
      <c r="EY153" s="528">
        <f t="shared" si="415"/>
        <v>10.498535891667139</v>
      </c>
      <c r="EZ153" s="528"/>
      <c r="FA153" s="528">
        <f t="shared" si="416"/>
        <v>1.2991489361702129</v>
      </c>
      <c r="FB153" s="460">
        <f t="shared" si="417"/>
        <v>11970.904685993379</v>
      </c>
      <c r="FC153" s="173">
        <f t="shared" si="418"/>
        <v>15.158223940518308</v>
      </c>
      <c r="FD153" s="5">
        <f t="shared" si="419"/>
        <v>30.099999999999998</v>
      </c>
      <c r="FE153" s="173">
        <f t="shared" si="420"/>
        <v>0.6650724968695112</v>
      </c>
      <c r="FF153" s="5">
        <f t="shared" si="421"/>
        <v>66.507249686951127</v>
      </c>
      <c r="FI153" s="562">
        <f t="shared" si="422"/>
        <v>-50</v>
      </c>
      <c r="FJ153">
        <f t="shared" si="423"/>
        <v>-50</v>
      </c>
      <c r="FL153">
        <f t="shared" si="475"/>
        <v>0.35289297344127635</v>
      </c>
    </row>
    <row r="154" spans="5:168">
      <c r="E154" s="170">
        <v>44</v>
      </c>
      <c r="F154" s="217">
        <f t="shared" si="476"/>
        <v>1.1000000000000001</v>
      </c>
      <c r="G154" s="217"/>
      <c r="H154" s="217">
        <f t="shared" si="442"/>
        <v>30.800000000000004</v>
      </c>
      <c r="I154" s="541">
        <f t="shared" si="443"/>
        <v>18.920448063264946</v>
      </c>
      <c r="J154" s="172">
        <f t="shared" si="444"/>
        <v>28.44283565824195</v>
      </c>
      <c r="K154" s="172">
        <f t="shared" si="445"/>
        <v>47.363283721506896</v>
      </c>
      <c r="L154" s="443"/>
      <c r="M154" s="217">
        <f t="shared" si="446"/>
        <v>0.60052756515425598</v>
      </c>
      <c r="N154" s="172">
        <f t="shared" si="447"/>
        <v>95.374409262311573</v>
      </c>
      <c r="O154" s="172">
        <f t="shared" si="438"/>
        <v>30.800000000000004</v>
      </c>
      <c r="P154" s="217">
        <f t="shared" si="448"/>
        <v>3.4062289022254135</v>
      </c>
      <c r="Q154" s="217">
        <f t="shared" si="449"/>
        <v>28</v>
      </c>
      <c r="R154" s="217"/>
      <c r="S154" s="172">
        <f t="shared" si="450"/>
        <v>124.47688481383476</v>
      </c>
      <c r="T154" s="172">
        <f t="shared" si="451"/>
        <v>28</v>
      </c>
      <c r="U154" s="217">
        <f t="shared" si="452"/>
        <v>5.507263600927879</v>
      </c>
      <c r="V154" s="217">
        <f t="shared" si="453"/>
        <v>1.3680510544893734</v>
      </c>
      <c r="W154" s="217">
        <f t="shared" si="454"/>
        <v>0.91004072995304597</v>
      </c>
      <c r="X154" s="197">
        <f t="shared" si="455"/>
        <v>350</v>
      </c>
      <c r="Y154" s="443">
        <f t="shared" si="328"/>
        <v>350</v>
      </c>
      <c r="AA154" s="217">
        <f t="shared" si="456"/>
        <v>6.9071136497887924</v>
      </c>
      <c r="AB154" s="173">
        <f t="shared" si="457"/>
        <v>1.1413571608708541</v>
      </c>
      <c r="AC154" s="173">
        <f t="shared" si="458"/>
        <v>1.3796096343986703</v>
      </c>
      <c r="AD154" s="173"/>
      <c r="AE154" s="173">
        <f t="shared" si="459"/>
        <v>0.55081240333809334</v>
      </c>
      <c r="AF154" s="545">
        <f t="shared" si="460"/>
        <v>1198.2300979429585</v>
      </c>
      <c r="AG154" s="528">
        <f t="shared" si="461"/>
        <v>0.32130723528055449</v>
      </c>
      <c r="AI154" s="173">
        <f t="shared" si="462"/>
        <v>6.1675806219576819</v>
      </c>
      <c r="AJ154" s="173">
        <f t="shared" si="463"/>
        <v>6.1675806219576819</v>
      </c>
      <c r="AK154" s="173">
        <f t="shared" si="464"/>
        <v>3.2994424360180359</v>
      </c>
      <c r="AM154" s="545">
        <f t="shared" si="465"/>
        <v>1100</v>
      </c>
      <c r="AN154" s="460">
        <f t="shared" si="466"/>
        <v>350</v>
      </c>
      <c r="AP154" s="460">
        <f t="shared" si="467"/>
        <v>1100</v>
      </c>
      <c r="AQ154" s="460">
        <f t="shared" si="468"/>
        <v>350</v>
      </c>
      <c r="AS154" s="5">
        <f t="shared" si="439"/>
        <v>2.8571428571428572</v>
      </c>
      <c r="AT154" s="5">
        <f t="shared" si="469"/>
        <v>1.5320794109248463</v>
      </c>
      <c r="AU154" s="5">
        <f t="shared" si="343"/>
        <v>1.3250634462180109</v>
      </c>
      <c r="AV154" s="5"/>
      <c r="AW154" s="173">
        <f t="shared" si="344"/>
        <v>0.53622779382369623</v>
      </c>
      <c r="AX154" s="173">
        <f t="shared" si="435"/>
        <v>31.287119224066149</v>
      </c>
      <c r="AY154" s="173">
        <f t="shared" si="436"/>
        <v>1.430176235907767</v>
      </c>
      <c r="AZ154" s="173">
        <f t="shared" si="440"/>
        <v>21.876408262515611</v>
      </c>
      <c r="BA154" s="460">
        <f t="shared" si="433"/>
        <v>6.0188834000618971</v>
      </c>
      <c r="BB154" s="5">
        <f t="shared" si="434"/>
        <v>1.5407349614196095</v>
      </c>
      <c r="BD154" s="173">
        <f t="shared" si="441"/>
        <v>2.6075273249581148</v>
      </c>
      <c r="BE154" s="173">
        <f t="shared" si="437"/>
        <v>2.4249710979128691</v>
      </c>
      <c r="BG154" s="528">
        <f t="shared" si="347"/>
        <v>8.1590385004838659E-2</v>
      </c>
      <c r="BH154" s="528">
        <f t="shared" si="470"/>
        <v>1.8658965127016049</v>
      </c>
      <c r="BI154" s="528">
        <f t="shared" si="349"/>
        <v>4.0250000000000001E-2</v>
      </c>
      <c r="BJ154" s="528">
        <f t="shared" si="350"/>
        <v>0.38668550116187261</v>
      </c>
      <c r="BK154">
        <f t="shared" si="351"/>
        <v>8.5142016284692253E-3</v>
      </c>
      <c r="BL154" s="460">
        <f t="shared" si="427"/>
        <v>48.76420162846923</v>
      </c>
      <c r="BM154" s="528">
        <f t="shared" si="471"/>
        <v>2.4027818322177534</v>
      </c>
      <c r="BN154" s="460">
        <f t="shared" si="353"/>
        <v>2402.7818322177536</v>
      </c>
      <c r="BO154" s="528">
        <f t="shared" si="354"/>
        <v>0.77</v>
      </c>
      <c r="BR154" s="460">
        <f t="shared" si="355"/>
        <v>770</v>
      </c>
      <c r="BS154" s="528">
        <f t="shared" si="356"/>
        <v>9.5188782505645109E-2</v>
      </c>
      <c r="BT154" s="528">
        <f t="shared" si="357"/>
        <v>8.2326787559978451E-2</v>
      </c>
      <c r="BU154" s="528">
        <f t="shared" si="358"/>
        <v>10.824982510092678</v>
      </c>
      <c r="BV154" s="528"/>
      <c r="BW154" s="528">
        <f t="shared" si="359"/>
        <v>1.3313667754921767</v>
      </c>
      <c r="BX154" s="460">
        <f t="shared" si="360"/>
        <v>12333.864855650478</v>
      </c>
      <c r="BY154" s="173">
        <f t="shared" si="361"/>
        <v>15.486801456147264</v>
      </c>
      <c r="BZ154" s="5">
        <f t="shared" si="362"/>
        <v>30.800000000000004</v>
      </c>
      <c r="CA154" s="173">
        <f t="shared" si="363"/>
        <v>0.66541646929698384</v>
      </c>
      <c r="CB154" s="5">
        <f t="shared" si="364"/>
        <v>66.541646929698388</v>
      </c>
      <c r="CE154" s="562">
        <f t="shared" si="472"/>
        <v>-50</v>
      </c>
      <c r="CF154">
        <f t="shared" si="473"/>
        <v>-50</v>
      </c>
      <c r="CG154" s="173">
        <f t="shared" si="474"/>
        <v>0.35951356024495101</v>
      </c>
      <c r="CI154" s="170">
        <v>44</v>
      </c>
      <c r="CJ154" s="217">
        <f t="shared" si="428"/>
        <v>1.1000000000000001</v>
      </c>
      <c r="CK154" s="217"/>
      <c r="CL154" s="217">
        <f t="shared" si="368"/>
        <v>30.800000000000004</v>
      </c>
      <c r="CM154" s="541">
        <f t="shared" si="369"/>
        <v>19</v>
      </c>
      <c r="CN154" s="443">
        <f t="shared" si="370"/>
        <v>28.4</v>
      </c>
      <c r="CO154" s="443">
        <f t="shared" si="371"/>
        <v>47.4</v>
      </c>
      <c r="CP154" s="443"/>
      <c r="CQ154" s="217">
        <f t="shared" si="372"/>
        <v>0.59915611814345993</v>
      </c>
      <c r="CR154" s="172">
        <f t="shared" si="429"/>
        <v>95.556689708830859</v>
      </c>
      <c r="CS154" s="172">
        <f t="shared" si="373"/>
        <v>30.800000000000004</v>
      </c>
      <c r="CT154" s="217">
        <f t="shared" si="374"/>
        <v>3.4127389181725305</v>
      </c>
      <c r="CU154" s="217">
        <f t="shared" si="375"/>
        <v>28</v>
      </c>
      <c r="CV154" s="217"/>
      <c r="CW154" s="172">
        <f t="shared" si="376"/>
        <v>124.99999999999999</v>
      </c>
      <c r="CX154" s="172">
        <f t="shared" si="377"/>
        <v>28</v>
      </c>
      <c r="CY154" s="217">
        <f t="shared" si="378"/>
        <v>5.4111193476649371</v>
      </c>
      <c r="CZ154" s="217">
        <f t="shared" si="379"/>
        <v>1.3385400491592214</v>
      </c>
      <c r="DA154" s="217">
        <f t="shared" si="380"/>
        <v>0.89550214556426777</v>
      </c>
      <c r="DB154" s="197">
        <f t="shared" si="381"/>
        <v>350</v>
      </c>
      <c r="DC154" s="443">
        <f t="shared" si="382"/>
        <v>350</v>
      </c>
      <c r="DE154" s="217">
        <f t="shared" si="383"/>
        <v>6.9203442217177731</v>
      </c>
      <c r="DF154" s="173">
        <f t="shared" si="384"/>
        <v>1.1452682338758289</v>
      </c>
      <c r="DG154" s="173">
        <f t="shared" si="385"/>
        <v>1.3869888208084145</v>
      </c>
      <c r="DH154" s="173"/>
      <c r="DI154" s="173">
        <f t="shared" si="386"/>
        <v>0.55164319248826299</v>
      </c>
      <c r="DJ154" s="545">
        <f t="shared" si="387"/>
        <v>1196.4255319148936</v>
      </c>
      <c r="DK154" s="528">
        <f t="shared" si="388"/>
        <v>0.3217918622848201</v>
      </c>
      <c r="DM154" s="173">
        <f t="shared" si="389"/>
        <v>6.1629346027629675</v>
      </c>
      <c r="DN154" s="173">
        <f t="shared" si="390"/>
        <v>6.1629346027629675</v>
      </c>
      <c r="DO154" s="173">
        <f t="shared" si="391"/>
        <v>3.2960009403182475</v>
      </c>
      <c r="DQ154" s="545">
        <f t="shared" si="392"/>
        <v>1100</v>
      </c>
      <c r="DR154" s="460">
        <f t="shared" si="393"/>
        <v>350</v>
      </c>
      <c r="DT154">
        <f t="shared" si="430"/>
        <v>1100</v>
      </c>
      <c r="DU154">
        <f t="shared" si="431"/>
        <v>350</v>
      </c>
      <c r="DW154" s="5">
        <f t="shared" si="394"/>
        <v>2.8571428571428572</v>
      </c>
      <c r="DX154" s="5">
        <f t="shared" si="395"/>
        <v>1.5245154017361027</v>
      </c>
      <c r="DY154" s="5">
        <f t="shared" si="396"/>
        <v>1.3326274554067545</v>
      </c>
      <c r="DZ154" s="5"/>
      <c r="EA154" s="173">
        <f t="shared" si="397"/>
        <v>0.53358039060763596</v>
      </c>
      <c r="EB154" s="173">
        <f t="shared" si="398"/>
        <v>31.24</v>
      </c>
      <c r="EC154" s="173">
        <f t="shared" si="399"/>
        <v>1.4372567750656937</v>
      </c>
      <c r="ED154" s="173">
        <f t="shared" si="400"/>
        <v>21.73585161814394</v>
      </c>
      <c r="EE154" s="460">
        <f t="shared" si="401"/>
        <v>5.9891676496775474</v>
      </c>
      <c r="EF154" s="5">
        <f t="shared" si="402"/>
        <v>1.5430423167867682</v>
      </c>
      <c r="EH154" s="173">
        <f t="shared" si="403"/>
        <v>2.5991231786711833</v>
      </c>
      <c r="EI154" s="173">
        <f t="shared" si="404"/>
        <v>2.4300506870033085</v>
      </c>
      <c r="EK154" s="528">
        <f t="shared" si="405"/>
        <v>8.106529557486955E-2</v>
      </c>
      <c r="EL154" s="528">
        <f t="shared" si="406"/>
        <v>1.9426186161369152</v>
      </c>
      <c r="EM154" s="528">
        <f t="shared" si="407"/>
        <v>4.0250000000000001E-2</v>
      </c>
      <c r="EN154" s="528">
        <f t="shared" si="408"/>
        <v>0.38728525499999999</v>
      </c>
      <c r="EO154">
        <f t="shared" si="409"/>
        <v>8.5500000000000003E-3</v>
      </c>
      <c r="EP154" s="460">
        <f t="shared" si="410"/>
        <v>48.800000000000004</v>
      </c>
      <c r="EQ154" s="460"/>
      <c r="ER154" s="460">
        <f t="shared" si="432"/>
        <v>2459.7691667117847</v>
      </c>
      <c r="ES154" s="528">
        <f t="shared" si="411"/>
        <v>0.77</v>
      </c>
      <c r="EV154" s="460">
        <f t="shared" si="412"/>
        <v>770</v>
      </c>
      <c r="EW154" s="528">
        <f t="shared" si="413"/>
        <v>9.4576178170681133E-2</v>
      </c>
      <c r="EX154" s="528">
        <f t="shared" si="414"/>
        <v>8.2672048779673532E-2</v>
      </c>
      <c r="EY154" s="528">
        <f t="shared" si="415"/>
        <v>10.804607962535023</v>
      </c>
      <c r="EZ154" s="528"/>
      <c r="FA154" s="528">
        <f t="shared" si="416"/>
        <v>1.3293617021276598</v>
      </c>
      <c r="FB154" s="460">
        <f t="shared" si="417"/>
        <v>12311.217891613036</v>
      </c>
      <c r="FC154" s="173">
        <f t="shared" si="418"/>
        <v>15.540987058324824</v>
      </c>
      <c r="FD154" s="5">
        <f t="shared" si="419"/>
        <v>30.800000000000004</v>
      </c>
      <c r="FE154" s="173">
        <f t="shared" si="420"/>
        <v>0.66463841094353648</v>
      </c>
      <c r="FF154" s="5">
        <f t="shared" si="421"/>
        <v>66.463841094353654</v>
      </c>
      <c r="FI154" s="562">
        <f t="shared" si="422"/>
        <v>-50</v>
      </c>
      <c r="FJ154">
        <f t="shared" si="423"/>
        <v>-50</v>
      </c>
      <c r="FL154">
        <f t="shared" si="475"/>
        <v>0.35697279653327751</v>
      </c>
    </row>
    <row r="155" spans="5:168">
      <c r="E155" s="170">
        <v>45</v>
      </c>
      <c r="F155" s="217">
        <f t="shared" si="476"/>
        <v>1.125</v>
      </c>
      <c r="G155" s="217"/>
      <c r="H155" s="217">
        <f t="shared" si="442"/>
        <v>31.5</v>
      </c>
      <c r="I155" s="541">
        <f t="shared" si="443"/>
        <v>18.919549142791816</v>
      </c>
      <c r="J155" s="172">
        <f t="shared" si="444"/>
        <v>28.443319692342868</v>
      </c>
      <c r="K155" s="172">
        <f t="shared" si="445"/>
        <v>47.362868835134684</v>
      </c>
      <c r="L155" s="443"/>
      <c r="M155" s="217">
        <f t="shared" si="446"/>
        <v>0.6005430742708463</v>
      </c>
      <c r="N155" s="172">
        <f t="shared" si="447"/>
        <v>95.372340979060013</v>
      </c>
      <c r="O155" s="172">
        <f t="shared" si="438"/>
        <v>31.5</v>
      </c>
      <c r="P155" s="217">
        <f t="shared" si="448"/>
        <v>3.4061550349664289</v>
      </c>
      <c r="Q155" s="217">
        <f t="shared" si="449"/>
        <v>28</v>
      </c>
      <c r="R155" s="217"/>
      <c r="S155" s="172">
        <f t="shared" si="450"/>
        <v>121.2874499562875</v>
      </c>
      <c r="T155" s="172">
        <f t="shared" si="451"/>
        <v>28</v>
      </c>
      <c r="U155" s="217">
        <f t="shared" si="452"/>
        <v>5.6326473646512296</v>
      </c>
      <c r="V155" s="217">
        <f t="shared" si="453"/>
        <v>1.3992639261145889</v>
      </c>
      <c r="W155" s="217">
        <f t="shared" si="454"/>
        <v>0.93074377042520839</v>
      </c>
      <c r="X155" s="197">
        <f t="shared" si="455"/>
        <v>350</v>
      </c>
      <c r="Y155" s="443">
        <f t="shared" si="328"/>
        <v>350</v>
      </c>
      <c r="AA155" s="217">
        <f t="shared" si="456"/>
        <v>6.9069635300421082</v>
      </c>
      <c r="AB155" s="173">
        <f t="shared" si="457"/>
        <v>1.1413129319056627</v>
      </c>
      <c r="AC155" s="173">
        <f t="shared" si="458"/>
        <v>1.3795261894816229</v>
      </c>
      <c r="AD155" s="173"/>
      <c r="AE155" s="173">
        <f t="shared" si="459"/>
        <v>0.55080302988980001</v>
      </c>
      <c r="AF155" s="545">
        <f t="shared" si="460"/>
        <v>1225.483454829666</v>
      </c>
      <c r="AG155" s="528">
        <f t="shared" si="461"/>
        <v>0.3213017674357167</v>
      </c>
      <c r="AI155" s="173">
        <f t="shared" si="462"/>
        <v>6.237326082646252</v>
      </c>
      <c r="AJ155" s="173">
        <f t="shared" si="463"/>
        <v>6.237326082646252</v>
      </c>
      <c r="AK155" s="173">
        <f t="shared" si="464"/>
        <v>3.351105740231791</v>
      </c>
      <c r="AM155" s="545">
        <f t="shared" si="465"/>
        <v>1125</v>
      </c>
      <c r="AN155" s="460">
        <f t="shared" si="466"/>
        <v>350</v>
      </c>
      <c r="AP155" s="460">
        <f t="shared" si="467"/>
        <v>1125</v>
      </c>
      <c r="AQ155" s="460">
        <f t="shared" si="468"/>
        <v>350</v>
      </c>
      <c r="AS155" s="5">
        <f t="shared" si="439"/>
        <v>2.8571428571428572</v>
      </c>
      <c r="AT155" s="5">
        <f t="shared" si="469"/>
        <v>1.549478392280099</v>
      </c>
      <c r="AU155" s="5">
        <f t="shared" si="343"/>
        <v>1.3076644648627582</v>
      </c>
      <c r="AV155" s="5"/>
      <c r="AW155" s="173">
        <f t="shared" si="344"/>
        <v>0.54231743729803461</v>
      </c>
      <c r="AX155" s="173">
        <f t="shared" si="435"/>
        <v>31.998734653885723</v>
      </c>
      <c r="AY155" s="173">
        <f t="shared" si="436"/>
        <v>1.4273576929566736</v>
      </c>
      <c r="AZ155" s="173">
        <f t="shared" si="440"/>
        <v>22.418161062068847</v>
      </c>
      <c r="BA155" s="460">
        <f t="shared" si="433"/>
        <v>6.2255828261253976</v>
      </c>
      <c r="BB155" s="5">
        <f t="shared" si="434"/>
        <v>1.5551348627470731</v>
      </c>
      <c r="BD155" s="173">
        <f t="shared" si="441"/>
        <v>2.651945570467737</v>
      </c>
      <c r="BE155" s="173">
        <f t="shared" si="437"/>
        <v>2.4362396389441989</v>
      </c>
      <c r="BG155" s="528">
        <f t="shared" si="347"/>
        <v>8.4393783704681424E-2</v>
      </c>
      <c r="BH155" s="528">
        <f t="shared" si="470"/>
        <v>1.8869802849455894</v>
      </c>
      <c r="BI155" s="528">
        <f t="shared" si="349"/>
        <v>4.0250000000000001E-2</v>
      </c>
      <c r="BJ155" s="528">
        <f t="shared" si="350"/>
        <v>0.38667872672270792</v>
      </c>
      <c r="BK155">
        <f t="shared" si="351"/>
        <v>8.5137971142563162E-3</v>
      </c>
      <c r="BL155" s="460">
        <f t="shared" si="427"/>
        <v>48.76379711425632</v>
      </c>
      <c r="BM155" s="528">
        <f t="shared" si="471"/>
        <v>2.42955649391565</v>
      </c>
      <c r="BN155" s="460">
        <f t="shared" si="353"/>
        <v>2429.5564939156502</v>
      </c>
      <c r="BO155" s="528">
        <f t="shared" si="354"/>
        <v>0.78749999999999998</v>
      </c>
      <c r="BR155" s="460">
        <f t="shared" si="355"/>
        <v>787.5</v>
      </c>
      <c r="BS155" s="528">
        <f t="shared" si="356"/>
        <v>9.8459414322128319E-2</v>
      </c>
      <c r="BT155" s="528">
        <f t="shared" si="357"/>
        <v>8.3093690097081452E-2</v>
      </c>
      <c r="BU155" s="528">
        <f t="shared" si="358"/>
        <v>11.133615998270422</v>
      </c>
      <c r="BV155" s="528"/>
      <c r="BW155" s="528">
        <f t="shared" si="359"/>
        <v>1.3616482831440735</v>
      </c>
      <c r="BX155" s="460">
        <f t="shared" si="360"/>
        <v>12676.817385833707</v>
      </c>
      <c r="BY155" s="173">
        <f t="shared" si="361"/>
        <v>15.871133978320941</v>
      </c>
      <c r="BZ155" s="5">
        <f t="shared" si="362"/>
        <v>31.5</v>
      </c>
      <c r="CA155" s="173">
        <f t="shared" si="363"/>
        <v>0.66496191571887953</v>
      </c>
      <c r="CB155" s="5">
        <f t="shared" si="364"/>
        <v>66.496191571887948</v>
      </c>
      <c r="CE155" s="562">
        <f t="shared" si="472"/>
        <v>-50</v>
      </c>
      <c r="CF155">
        <f t="shared" si="473"/>
        <v>-50</v>
      </c>
      <c r="CG155" s="173">
        <f t="shared" si="474"/>
        <v>0.36357598930622465</v>
      </c>
      <c r="CI155" s="170">
        <v>45</v>
      </c>
      <c r="CJ155" s="217">
        <f t="shared" si="428"/>
        <v>1.125</v>
      </c>
      <c r="CK155" s="217"/>
      <c r="CL155" s="217">
        <f t="shared" si="368"/>
        <v>31.5</v>
      </c>
      <c r="CM155" s="541">
        <f t="shared" si="369"/>
        <v>19</v>
      </c>
      <c r="CN155" s="443">
        <f t="shared" si="370"/>
        <v>28.4</v>
      </c>
      <c r="CO155" s="443">
        <f t="shared" si="371"/>
        <v>47.4</v>
      </c>
      <c r="CP155" s="443"/>
      <c r="CQ155" s="217">
        <f t="shared" si="372"/>
        <v>0.59915611814345993</v>
      </c>
      <c r="CR155" s="172">
        <f t="shared" si="429"/>
        <v>95.556689708830859</v>
      </c>
      <c r="CS155" s="172">
        <f t="shared" si="373"/>
        <v>31.5</v>
      </c>
      <c r="CT155" s="217">
        <f t="shared" si="374"/>
        <v>3.4127389181725305</v>
      </c>
      <c r="CU155" s="217">
        <f t="shared" si="375"/>
        <v>28</v>
      </c>
      <c r="CV155" s="217"/>
      <c r="CW155" s="172">
        <f t="shared" si="376"/>
        <v>121.80293237438107</v>
      </c>
      <c r="CX155" s="172">
        <f t="shared" si="377"/>
        <v>28</v>
      </c>
      <c r="CY155" s="217">
        <f t="shared" si="378"/>
        <v>5.5340993328391397</v>
      </c>
      <c r="CZ155" s="217">
        <f t="shared" si="379"/>
        <v>1.3689614139128399</v>
      </c>
      <c r="DA155" s="217">
        <f t="shared" si="380"/>
        <v>0.91585446705436468</v>
      </c>
      <c r="DB155" s="197">
        <f t="shared" si="381"/>
        <v>350</v>
      </c>
      <c r="DC155" s="443">
        <f t="shared" si="382"/>
        <v>350</v>
      </c>
      <c r="DE155" s="217">
        <f t="shared" si="383"/>
        <v>6.9203442217177731</v>
      </c>
      <c r="DF155" s="173">
        <f t="shared" si="384"/>
        <v>1.1452682338758289</v>
      </c>
      <c r="DG155" s="173">
        <f t="shared" si="385"/>
        <v>1.3869888208084145</v>
      </c>
      <c r="DH155" s="173"/>
      <c r="DI155" s="173">
        <f t="shared" si="386"/>
        <v>0.55164319248826299</v>
      </c>
      <c r="DJ155" s="545">
        <f t="shared" si="387"/>
        <v>1223.6170212765956</v>
      </c>
      <c r="DK155" s="528">
        <f t="shared" si="388"/>
        <v>0.3217918622848201</v>
      </c>
      <c r="DM155" s="173">
        <f t="shared" si="389"/>
        <v>6.232574492329122</v>
      </c>
      <c r="DN155" s="173">
        <f t="shared" si="390"/>
        <v>6.232574492329122</v>
      </c>
      <c r="DO155" s="173">
        <f t="shared" si="391"/>
        <v>3.3475860437005842</v>
      </c>
      <c r="DQ155" s="545">
        <f t="shared" si="392"/>
        <v>1125</v>
      </c>
      <c r="DR155" s="460">
        <f t="shared" si="393"/>
        <v>350</v>
      </c>
      <c r="DT155">
        <f t="shared" si="430"/>
        <v>1125</v>
      </c>
      <c r="DU155">
        <f t="shared" si="431"/>
        <v>350</v>
      </c>
      <c r="DW155" s="5">
        <f t="shared" si="394"/>
        <v>2.8571428571428572</v>
      </c>
      <c r="DX155" s="5">
        <f t="shared" si="395"/>
        <v>1.5417421112603618</v>
      </c>
      <c r="DY155" s="5">
        <f t="shared" si="396"/>
        <v>1.3154007458824954</v>
      </c>
      <c r="DZ155" s="5"/>
      <c r="EA155" s="173">
        <f t="shared" si="397"/>
        <v>0.53960973894112663</v>
      </c>
      <c r="EB155" s="173">
        <f t="shared" si="398"/>
        <v>31.95</v>
      </c>
      <c r="EC155" s="173">
        <f t="shared" si="399"/>
        <v>1.4347082987961399</v>
      </c>
      <c r="ED155" s="173">
        <f t="shared" si="400"/>
        <v>22.269335185981124</v>
      </c>
      <c r="EE155" s="460">
        <f t="shared" si="401"/>
        <v>6.1944995541710961</v>
      </c>
      <c r="EF155" s="5">
        <f t="shared" si="402"/>
        <v>1.5577114095976918</v>
      </c>
      <c r="EH155" s="173">
        <f t="shared" si="403"/>
        <v>2.6433017300598478</v>
      </c>
      <c r="EI155" s="173">
        <f t="shared" si="404"/>
        <v>2.441574129806388</v>
      </c>
      <c r="EK155" s="528">
        <f t="shared" si="405"/>
        <v>8.3844528433648619E-2</v>
      </c>
      <c r="EL155" s="528">
        <f t="shared" si="406"/>
        <v>1.9645698057270624</v>
      </c>
      <c r="EM155" s="528">
        <f t="shared" si="407"/>
        <v>4.0250000000000001E-2</v>
      </c>
      <c r="EN155" s="528">
        <f t="shared" si="408"/>
        <v>0.38728525499999999</v>
      </c>
      <c r="EO155">
        <f t="shared" si="409"/>
        <v>8.5500000000000003E-3</v>
      </c>
      <c r="EP155" s="460">
        <f t="shared" si="410"/>
        <v>48.800000000000004</v>
      </c>
      <c r="EQ155" s="460"/>
      <c r="ER155" s="460">
        <f t="shared" si="432"/>
        <v>2484.4995891607109</v>
      </c>
      <c r="ES155" s="528">
        <f t="shared" si="411"/>
        <v>0.78749999999999998</v>
      </c>
      <c r="EV155" s="460">
        <f t="shared" si="412"/>
        <v>787.5</v>
      </c>
      <c r="EW155" s="528">
        <f t="shared" si="413"/>
        <v>9.7818616505923384E-2</v>
      </c>
      <c r="EX155" s="528">
        <f t="shared" si="414"/>
        <v>8.3457979238757501E-2</v>
      </c>
      <c r="EY155" s="528">
        <f t="shared" si="415"/>
        <v>11.112424160869514</v>
      </c>
      <c r="EZ155" s="528"/>
      <c r="FA155" s="528">
        <f t="shared" si="416"/>
        <v>1.3595744680851063</v>
      </c>
      <c r="FB155" s="460">
        <f t="shared" si="417"/>
        <v>12653.275224699302</v>
      </c>
      <c r="FC155" s="173">
        <f t="shared" si="418"/>
        <v>15.925274813860012</v>
      </c>
      <c r="FD155" s="5">
        <f t="shared" si="419"/>
        <v>31.5</v>
      </c>
      <c r="FE155" s="173">
        <f t="shared" si="420"/>
        <v>0.66420279320751852</v>
      </c>
      <c r="FF155" s="5">
        <f t="shared" si="421"/>
        <v>66.420279320751845</v>
      </c>
      <c r="FI155" s="562">
        <f t="shared" si="422"/>
        <v>-50</v>
      </c>
      <c r="FJ155">
        <f t="shared" si="423"/>
        <v>-50</v>
      </c>
      <c r="FL155">
        <f t="shared" si="475"/>
        <v>0.36100651548878188</v>
      </c>
    </row>
    <row r="156" spans="5:168" s="76" customFormat="1">
      <c r="E156" s="189">
        <v>46</v>
      </c>
      <c r="F156" s="329">
        <f t="shared" si="476"/>
        <v>1.1500000000000001</v>
      </c>
      <c r="G156" s="329"/>
      <c r="H156" s="329">
        <f t="shared" si="442"/>
        <v>32.200000000000003</v>
      </c>
      <c r="I156" s="541">
        <f t="shared" si="443"/>
        <v>18.918660156056418</v>
      </c>
      <c r="J156" s="172">
        <f t="shared" si="444"/>
        <v>28.443798377508081</v>
      </c>
      <c r="K156" s="172">
        <f t="shared" si="445"/>
        <v>47.362458533564499</v>
      </c>
      <c r="L156" s="535"/>
      <c r="M156" s="217">
        <f t="shared" si="446"/>
        <v>0.6005584122652049</v>
      </c>
      <c r="N156" s="172">
        <f t="shared" si="447"/>
        <v>95.370295363772399</v>
      </c>
      <c r="O156" s="172">
        <f t="shared" si="438"/>
        <v>32.200000000000003</v>
      </c>
      <c r="P156" s="329">
        <f t="shared" si="448"/>
        <v>3.4060819772775859</v>
      </c>
      <c r="Q156" s="329">
        <f t="shared" si="449"/>
        <v>28</v>
      </c>
      <c r="R156" s="329"/>
      <c r="S156" s="172">
        <f t="shared" si="450"/>
        <v>118.23686688804021</v>
      </c>
      <c r="T156" s="172">
        <f t="shared" si="451"/>
        <v>28</v>
      </c>
      <c r="U156" s="217">
        <f t="shared" si="452"/>
        <v>5.7580383981626371</v>
      </c>
      <c r="V156" s="329">
        <f t="shared" si="453"/>
        <v>1.4304808188385794</v>
      </c>
      <c r="W156" s="329">
        <f t="shared" si="454"/>
        <v>0.95144748644977994</v>
      </c>
      <c r="X156" s="537">
        <f t="shared" si="455"/>
        <v>350</v>
      </c>
      <c r="Y156" s="443">
        <f t="shared" si="328"/>
        <v>350</v>
      </c>
      <c r="AA156" s="329">
        <f t="shared" si="456"/>
        <v>6.9068150556584564</v>
      </c>
      <c r="AB156" s="538">
        <f t="shared" si="457"/>
        <v>1.141269190941252</v>
      </c>
      <c r="AC156" s="538">
        <f t="shared" si="458"/>
        <v>1.3794436653466322</v>
      </c>
      <c r="AD156" s="538"/>
      <c r="AE156" s="538">
        <f t="shared" si="459"/>
        <v>0.55079376033881167</v>
      </c>
      <c r="AF156" s="545">
        <f t="shared" si="460"/>
        <v>1252.7375030093986</v>
      </c>
      <c r="AG156" s="579">
        <f t="shared" si="461"/>
        <v>0.32129636019764013</v>
      </c>
      <c r="AI156" s="538">
        <f t="shared" si="462"/>
        <v>6.306301970250149</v>
      </c>
      <c r="AJ156" s="538">
        <f t="shared" si="463"/>
        <v>6.306301970250149</v>
      </c>
      <c r="AK156" s="538">
        <f t="shared" si="464"/>
        <v>3.4021989903087526</v>
      </c>
      <c r="AM156" s="563">
        <f t="shared" si="465"/>
        <v>1150.0000000000002</v>
      </c>
      <c r="AN156" s="564">
        <f t="shared" si="466"/>
        <v>350</v>
      </c>
      <c r="AP156" s="76">
        <f t="shared" si="467"/>
        <v>1150.0000000000002</v>
      </c>
      <c r="AQ156" s="76">
        <f t="shared" si="468"/>
        <v>350</v>
      </c>
      <c r="AS156" s="534">
        <f t="shared" si="439"/>
        <v>2.8571428571428572</v>
      </c>
      <c r="AT156" s="5">
        <f t="shared" si="469"/>
        <v>1.5666870177742047</v>
      </c>
      <c r="AU156" s="5">
        <f t="shared" si="343"/>
        <v>1.2904558393686525</v>
      </c>
      <c r="AV156" s="5"/>
      <c r="AW156" s="173">
        <f t="shared" si="344"/>
        <v>0.54834045622097161</v>
      </c>
      <c r="AX156" s="173">
        <f t="shared" si="435"/>
        <v>32.710368134134299</v>
      </c>
      <c r="AY156" s="173">
        <f t="shared" si="436"/>
        <v>1.4241507354079852</v>
      </c>
      <c r="AZ156" s="173">
        <f t="shared" si="440"/>
        <v>22.968332860329955</v>
      </c>
      <c r="BA156" s="460">
        <f t="shared" si="433"/>
        <v>6.4346073944297704</v>
      </c>
      <c r="BB156" s="5">
        <f t="shared" si="434"/>
        <v>1.5688470568555255</v>
      </c>
      <c r="BD156" s="173">
        <f t="shared" si="441"/>
        <v>2.6961203832363618</v>
      </c>
      <c r="BE156" s="173">
        <f t="shared" si="437"/>
        <v>2.4469197764586363</v>
      </c>
      <c r="BG156" s="528">
        <f t="shared" si="347"/>
        <v>8.7228781450831044E-2</v>
      </c>
      <c r="BH156" s="528">
        <f t="shared" si="470"/>
        <v>1.90783105505352</v>
      </c>
      <c r="BI156" s="528">
        <f t="shared" si="349"/>
        <v>4.0250000000000001E-2</v>
      </c>
      <c r="BJ156" s="528">
        <f t="shared" si="350"/>
        <v>0.38667202720448096</v>
      </c>
      <c r="BK156">
        <f t="shared" si="351"/>
        <v>8.5133970702253887E-3</v>
      </c>
      <c r="BL156" s="460">
        <f t="shared" si="427"/>
        <v>48.763397070225388</v>
      </c>
      <c r="BM156" s="528">
        <f t="shared" si="471"/>
        <v>2.456189534518292</v>
      </c>
      <c r="BN156" s="460">
        <f t="shared" si="353"/>
        <v>2456.189534518292</v>
      </c>
      <c r="BO156" s="528">
        <f t="shared" si="354"/>
        <v>0.80500000000000005</v>
      </c>
      <c r="BR156" s="460">
        <f t="shared" si="355"/>
        <v>805</v>
      </c>
      <c r="BS156" s="528">
        <f t="shared" si="356"/>
        <v>0.10176691169263621</v>
      </c>
      <c r="BT156" s="528">
        <f t="shared" si="357"/>
        <v>8.3823829493941363E-2</v>
      </c>
      <c r="BU156" s="528">
        <f t="shared" si="358"/>
        <v>11.443978197976895</v>
      </c>
      <c r="BV156" s="528"/>
      <c r="BW156" s="528">
        <f t="shared" si="359"/>
        <v>1.391930558899332</v>
      </c>
      <c r="BX156" s="460">
        <f t="shared" si="360"/>
        <v>13021.499498062805</v>
      </c>
      <c r="BY156" s="173">
        <f t="shared" si="361"/>
        <v>16.256994758841863</v>
      </c>
      <c r="BZ156" s="5">
        <f t="shared" si="362"/>
        <v>32.200000000000003</v>
      </c>
      <c r="CA156" s="173">
        <f t="shared" si="363"/>
        <v>0.66450674789576225</v>
      </c>
      <c r="CB156" s="5">
        <f t="shared" si="364"/>
        <v>66.450674789576226</v>
      </c>
      <c r="CE156" s="562">
        <f t="shared" si="472"/>
        <v>-50</v>
      </c>
      <c r="CF156">
        <f t="shared" si="473"/>
        <v>-50</v>
      </c>
      <c r="CG156" s="173">
        <f t="shared" si="474"/>
        <v>0.36759352551425606</v>
      </c>
      <c r="CH156"/>
      <c r="CI156" s="189">
        <v>46</v>
      </c>
      <c r="CJ156" s="329">
        <f t="shared" si="428"/>
        <v>1.1500000000000001</v>
      </c>
      <c r="CK156" s="329"/>
      <c r="CL156" s="329">
        <f t="shared" si="368"/>
        <v>32.200000000000003</v>
      </c>
      <c r="CM156" s="541">
        <f t="shared" si="369"/>
        <v>19</v>
      </c>
      <c r="CN156" s="443">
        <f t="shared" si="370"/>
        <v>28.4</v>
      </c>
      <c r="CO156" s="535">
        <f t="shared" si="371"/>
        <v>47.4</v>
      </c>
      <c r="CP156" s="535"/>
      <c r="CQ156" s="329">
        <f t="shared" si="372"/>
        <v>0.59915611814345993</v>
      </c>
      <c r="CR156" s="172">
        <f t="shared" si="429"/>
        <v>95.556689708830859</v>
      </c>
      <c r="CS156" s="172">
        <f t="shared" si="373"/>
        <v>32.200000000000003</v>
      </c>
      <c r="CT156" s="329">
        <f t="shared" si="374"/>
        <v>3.4127389181725305</v>
      </c>
      <c r="CU156" s="329">
        <f t="shared" si="375"/>
        <v>28</v>
      </c>
      <c r="CV156" s="329"/>
      <c r="CW156" s="172">
        <f t="shared" si="376"/>
        <v>118.74494727008236</v>
      </c>
      <c r="CX156" s="172">
        <f t="shared" si="377"/>
        <v>28</v>
      </c>
      <c r="CY156" s="217">
        <f t="shared" si="378"/>
        <v>5.6570793180133432</v>
      </c>
      <c r="CZ156" s="329">
        <f t="shared" si="379"/>
        <v>1.3993827786664585</v>
      </c>
      <c r="DA156" s="329">
        <f t="shared" si="380"/>
        <v>0.93620678854446171</v>
      </c>
      <c r="DB156" s="537">
        <f t="shared" si="381"/>
        <v>350</v>
      </c>
      <c r="DC156" s="535">
        <f t="shared" si="382"/>
        <v>350</v>
      </c>
      <c r="DE156" s="329">
        <f t="shared" si="383"/>
        <v>6.9203442217177731</v>
      </c>
      <c r="DF156" s="538">
        <f t="shared" si="384"/>
        <v>1.1452682338758289</v>
      </c>
      <c r="DG156" s="538">
        <f t="shared" si="385"/>
        <v>1.3869888208084145</v>
      </c>
      <c r="DH156" s="538"/>
      <c r="DI156" s="538">
        <f t="shared" si="386"/>
        <v>0.55164319248826299</v>
      </c>
      <c r="DJ156" s="545">
        <f t="shared" si="387"/>
        <v>1250.8085106382978</v>
      </c>
      <c r="DK156" s="579">
        <f t="shared" si="388"/>
        <v>0.3217918622848201</v>
      </c>
      <c r="DM156" s="538">
        <f t="shared" si="389"/>
        <v>6.3014448094806079</v>
      </c>
      <c r="DN156" s="538">
        <f t="shared" si="390"/>
        <v>6.3014448094806079</v>
      </c>
      <c r="DO156" s="538">
        <f t="shared" si="391"/>
        <v>3.3986010934424256</v>
      </c>
      <c r="DQ156" s="563">
        <f t="shared" si="392"/>
        <v>1150.0000000000002</v>
      </c>
      <c r="DR156" s="564">
        <f t="shared" si="393"/>
        <v>350</v>
      </c>
      <c r="DT156">
        <f t="shared" si="430"/>
        <v>1150.0000000000002</v>
      </c>
      <c r="DU156">
        <f t="shared" si="431"/>
        <v>350</v>
      </c>
      <c r="DW156" s="534">
        <f t="shared" si="394"/>
        <v>2.8571428571428572</v>
      </c>
      <c r="DX156" s="5">
        <f t="shared" si="395"/>
        <v>1.5587784528715187</v>
      </c>
      <c r="DY156" s="5">
        <f t="shared" si="396"/>
        <v>1.2983644042713385</v>
      </c>
      <c r="DZ156" s="5"/>
      <c r="EA156" s="173">
        <f t="shared" si="397"/>
        <v>0.54557245850503155</v>
      </c>
      <c r="EB156" s="173">
        <f t="shared" si="398"/>
        <v>32.660000000000004</v>
      </c>
      <c r="EC156" s="173">
        <f t="shared" si="399"/>
        <v>1.4317750363192512</v>
      </c>
      <c r="ED156" s="173">
        <f t="shared" si="400"/>
        <v>22.810846097694927</v>
      </c>
      <c r="EE156" s="460">
        <f t="shared" si="401"/>
        <v>6.4021257885794522</v>
      </c>
      <c r="EF156" s="5">
        <f t="shared" si="402"/>
        <v>1.5717042788547784</v>
      </c>
      <c r="EH156" s="173">
        <f t="shared" si="403"/>
        <v>2.6872355029543149</v>
      </c>
      <c r="EI156" s="173">
        <f t="shared" si="404"/>
        <v>2.4525159015397304</v>
      </c>
      <c r="EK156" s="528">
        <f t="shared" si="405"/>
        <v>8.6654815780057556E-2</v>
      </c>
      <c r="EL156" s="528">
        <f t="shared" si="406"/>
        <v>1.9862784183963822</v>
      </c>
      <c r="EM156" s="528">
        <f t="shared" si="407"/>
        <v>4.0250000000000001E-2</v>
      </c>
      <c r="EN156" s="528">
        <f t="shared" si="408"/>
        <v>0.38728525499999999</v>
      </c>
      <c r="EO156">
        <f t="shared" si="409"/>
        <v>8.5500000000000003E-3</v>
      </c>
      <c r="EP156" s="460">
        <f t="shared" si="410"/>
        <v>48.800000000000004</v>
      </c>
      <c r="EQ156" s="460"/>
      <c r="ER156" s="460">
        <f t="shared" si="432"/>
        <v>2509.0184891764402</v>
      </c>
      <c r="ES156" s="528">
        <f t="shared" si="411"/>
        <v>0.80500000000000005</v>
      </c>
      <c r="EV156" s="460">
        <f t="shared" si="412"/>
        <v>805</v>
      </c>
      <c r="EW156" s="528">
        <f t="shared" si="413"/>
        <v>0.10109728507673382</v>
      </c>
      <c r="EX156" s="528">
        <f t="shared" si="414"/>
        <v>8.420767946227331E-2</v>
      </c>
      <c r="EY156" s="528">
        <f t="shared" si="415"/>
        <v>11.421955332116166</v>
      </c>
      <c r="EZ156" s="528"/>
      <c r="FA156" s="528">
        <f t="shared" si="416"/>
        <v>1.3897872340425534</v>
      </c>
      <c r="FB156" s="460">
        <f t="shared" si="417"/>
        <v>12997.047530697728</v>
      </c>
      <c r="FC156" s="173">
        <f t="shared" si="418"/>
        <v>16.311066019874168</v>
      </c>
      <c r="FD156" s="5">
        <f t="shared" si="419"/>
        <v>32.200000000000003</v>
      </c>
      <c r="FE156" s="173">
        <f t="shared" si="420"/>
        <v>0.66376607734837656</v>
      </c>
      <c r="FF156" s="5">
        <f t="shared" si="421"/>
        <v>66.376607734837663</v>
      </c>
      <c r="FI156" s="562">
        <f t="shared" si="422"/>
        <v>-50</v>
      </c>
      <c r="FJ156">
        <f t="shared" si="423"/>
        <v>-50</v>
      </c>
      <c r="FL156">
        <f t="shared" si="475"/>
        <v>0.36499565885900004</v>
      </c>
    </row>
    <row r="157" spans="5:168">
      <c r="E157" s="170">
        <v>47</v>
      </c>
      <c r="F157" s="217">
        <f t="shared" si="476"/>
        <v>1.1749999999999998</v>
      </c>
      <c r="G157" s="217"/>
      <c r="H157" s="217">
        <f t="shared" si="442"/>
        <v>32.899999999999991</v>
      </c>
      <c r="I157" s="541">
        <f t="shared" si="443"/>
        <v>18.917780780835621</v>
      </c>
      <c r="J157" s="172">
        <f t="shared" si="444"/>
        <v>28.444271887242355</v>
      </c>
      <c r="K157" s="172">
        <f t="shared" si="445"/>
        <v>47.362052668077979</v>
      </c>
      <c r="L157" s="443"/>
      <c r="M157" s="217">
        <f t="shared" si="446"/>
        <v>0.60057358468807309</v>
      </c>
      <c r="N157" s="172">
        <f t="shared" si="447"/>
        <v>95.36827168115758</v>
      </c>
      <c r="O157" s="172">
        <f t="shared" si="438"/>
        <v>32.899999999999991</v>
      </c>
      <c r="P157" s="217">
        <f t="shared" si="448"/>
        <v>3.4060097028984848</v>
      </c>
      <c r="Q157" s="217">
        <f t="shared" si="449"/>
        <v>28</v>
      </c>
      <c r="R157" s="217"/>
      <c r="S157" s="172">
        <f t="shared" si="450"/>
        <v>115.3162709151385</v>
      </c>
      <c r="T157" s="172">
        <f t="shared" si="451"/>
        <v>28</v>
      </c>
      <c r="U157" s="217">
        <f t="shared" si="452"/>
        <v>5.8834366229003594</v>
      </c>
      <c r="V157" s="217">
        <f t="shared" si="453"/>
        <v>1.4617016894309449</v>
      </c>
      <c r="W157" s="217">
        <f t="shared" si="454"/>
        <v>0.97215187076151022</v>
      </c>
      <c r="X157" s="197">
        <f t="shared" si="455"/>
        <v>350</v>
      </c>
      <c r="Y157" s="443">
        <f t="shared" si="328"/>
        <v>350</v>
      </c>
      <c r="AA157" s="217">
        <f t="shared" si="456"/>
        <v>6.9066681732664437</v>
      </c>
      <c r="AB157" s="173">
        <f t="shared" si="457"/>
        <v>1.1412259221482002</v>
      </c>
      <c r="AC157" s="173">
        <f t="shared" si="458"/>
        <v>1.3793620321263338</v>
      </c>
      <c r="AD157" s="173"/>
      <c r="AE157" s="173">
        <f t="shared" si="459"/>
        <v>0.55078459131496982</v>
      </c>
      <c r="AF157" s="545">
        <f t="shared" si="460"/>
        <v>1279.9922349259057</v>
      </c>
      <c r="AG157" s="528">
        <f t="shared" si="461"/>
        <v>0.32129101160039908</v>
      </c>
      <c r="AI157" s="173">
        <f t="shared" si="462"/>
        <v>6.3745332475901266</v>
      </c>
      <c r="AJ157" s="173">
        <f t="shared" si="463"/>
        <v>6.3745332475901266</v>
      </c>
      <c r="AK157" s="173">
        <f t="shared" si="464"/>
        <v>3.4527406772272542</v>
      </c>
      <c r="AM157" s="545">
        <f t="shared" si="465"/>
        <v>1174.9999999999998</v>
      </c>
      <c r="AN157" s="460">
        <f t="shared" si="466"/>
        <v>350</v>
      </c>
      <c r="AP157">
        <f t="shared" si="467"/>
        <v>1174.9999999999998</v>
      </c>
      <c r="AQ157">
        <f t="shared" si="468"/>
        <v>350</v>
      </c>
      <c r="AS157" s="5">
        <f t="shared" si="439"/>
        <v>2.8571428571428572</v>
      </c>
      <c r="AT157" s="5">
        <f t="shared" si="469"/>
        <v>1.5837114622886657</v>
      </c>
      <c r="AU157" s="5">
        <f t="shared" si="343"/>
        <v>1.2734313948541915</v>
      </c>
      <c r="AV157" s="5"/>
      <c r="AW157" s="173">
        <f t="shared" si="344"/>
        <v>0.55429901180103291</v>
      </c>
      <c r="AX157" s="173">
        <f t="shared" si="435"/>
        <v>33.422019467509756</v>
      </c>
      <c r="AY157" s="173">
        <f t="shared" si="436"/>
        <v>1.4205678838790452</v>
      </c>
      <c r="AZ157" s="173">
        <f t="shared" si="440"/>
        <v>23.527224461985295</v>
      </c>
      <c r="BA157" s="460">
        <f t="shared" si="433"/>
        <v>6.6459320292470778</v>
      </c>
      <c r="BB157" s="5">
        <f t="shared" si="434"/>
        <v>1.5818788749993982</v>
      </c>
      <c r="BD157" s="173">
        <f t="shared" si="441"/>
        <v>2.7400583760290265</v>
      </c>
      <c r="BE157" s="173">
        <f t="shared" si="437"/>
        <v>2.4570249227125234</v>
      </c>
      <c r="BG157" s="528">
        <f t="shared" si="347"/>
        <v>9.0095038848561917E-2</v>
      </c>
      <c r="BH157" s="528">
        <f t="shared" si="470"/>
        <v>1.9284563809607933</v>
      </c>
      <c r="BI157" s="528">
        <f t="shared" si="349"/>
        <v>4.0250000000000001E-2</v>
      </c>
      <c r="BJ157" s="528">
        <f t="shared" si="350"/>
        <v>0.38666540017696249</v>
      </c>
      <c r="BK157">
        <f t="shared" si="351"/>
        <v>8.5130013513760299E-3</v>
      </c>
      <c r="BL157" s="460">
        <f t="shared" si="427"/>
        <v>48.763001351376033</v>
      </c>
      <c r="BM157" s="528">
        <f t="shared" si="471"/>
        <v>2.482688350316288</v>
      </c>
      <c r="BN157" s="460">
        <f t="shared" si="353"/>
        <v>2482.6883503162881</v>
      </c>
      <c r="BO157" s="528">
        <f t="shared" si="354"/>
        <v>0.82249999999999979</v>
      </c>
      <c r="BR157" s="460">
        <f t="shared" si="355"/>
        <v>822.49999999999977</v>
      </c>
      <c r="BS157" s="528">
        <f t="shared" si="356"/>
        <v>0.10511087865665557</v>
      </c>
      <c r="BT157" s="528">
        <f t="shared" si="357"/>
        <v>8.4517600591626746E-2</v>
      </c>
      <c r="BU157" s="528">
        <f t="shared" si="358"/>
        <v>11.756040991869584</v>
      </c>
      <c r="BV157" s="528"/>
      <c r="BW157" s="528">
        <f t="shared" si="359"/>
        <v>1.4222135943621175</v>
      </c>
      <c r="BX157" s="460">
        <f t="shared" si="360"/>
        <v>13367.883065479986</v>
      </c>
      <c r="BY157" s="173">
        <f t="shared" si="361"/>
        <v>16.644362886817678</v>
      </c>
      <c r="BZ157" s="5">
        <f t="shared" si="362"/>
        <v>32.899999999999991</v>
      </c>
      <c r="CA157" s="173">
        <f t="shared" si="363"/>
        <v>0.66405132860743155</v>
      </c>
      <c r="CB157" s="5">
        <f t="shared" si="364"/>
        <v>66.405132860743151</v>
      </c>
      <c r="CE157" s="562">
        <f t="shared" si="472"/>
        <v>-50</v>
      </c>
      <c r="CF157">
        <f t="shared" si="473"/>
        <v>-50</v>
      </c>
      <c r="CG157" s="173">
        <f t="shared" si="474"/>
        <v>0.37156762506978452</v>
      </c>
      <c r="CI157" s="170">
        <v>47</v>
      </c>
      <c r="CJ157" s="217">
        <f t="shared" si="428"/>
        <v>1.1749999999999998</v>
      </c>
      <c r="CK157" s="217"/>
      <c r="CL157" s="217">
        <f t="shared" si="368"/>
        <v>32.899999999999991</v>
      </c>
      <c r="CM157" s="541">
        <f t="shared" si="369"/>
        <v>19</v>
      </c>
      <c r="CN157" s="443">
        <f t="shared" si="370"/>
        <v>28.4</v>
      </c>
      <c r="CO157" s="443">
        <f t="shared" si="371"/>
        <v>47.4</v>
      </c>
      <c r="CP157" s="443"/>
      <c r="CQ157" s="217">
        <f t="shared" si="372"/>
        <v>0.59915611814345993</v>
      </c>
      <c r="CR157" s="172">
        <f t="shared" si="429"/>
        <v>95.556689708830859</v>
      </c>
      <c r="CS157" s="172">
        <f t="shared" si="373"/>
        <v>32.899999999999991</v>
      </c>
      <c r="CT157" s="217">
        <f t="shared" si="374"/>
        <v>3.4127389181725305</v>
      </c>
      <c r="CU157" s="217">
        <f t="shared" si="375"/>
        <v>28</v>
      </c>
      <c r="CV157" s="217"/>
      <c r="CW157" s="172">
        <f t="shared" si="376"/>
        <v>115.81716786299141</v>
      </c>
      <c r="CX157" s="172">
        <f t="shared" si="377"/>
        <v>28</v>
      </c>
      <c r="CY157" s="217">
        <f t="shared" si="378"/>
        <v>5.780059303187544</v>
      </c>
      <c r="CZ157" s="217">
        <f t="shared" si="379"/>
        <v>1.4298041434200766</v>
      </c>
      <c r="DA157" s="217">
        <f t="shared" si="380"/>
        <v>0.95655911003455829</v>
      </c>
      <c r="DB157" s="197">
        <f t="shared" si="381"/>
        <v>350</v>
      </c>
      <c r="DC157" s="443">
        <f t="shared" si="382"/>
        <v>350</v>
      </c>
      <c r="DE157" s="217">
        <f t="shared" si="383"/>
        <v>6.9203442217177731</v>
      </c>
      <c r="DF157" s="173">
        <f t="shared" si="384"/>
        <v>1.1452682338758289</v>
      </c>
      <c r="DG157" s="173">
        <f t="shared" si="385"/>
        <v>1.3869888208084145</v>
      </c>
      <c r="DH157" s="173"/>
      <c r="DI157" s="173">
        <f t="shared" si="386"/>
        <v>0.55164319248826299</v>
      </c>
      <c r="DJ157" s="545">
        <f t="shared" si="387"/>
        <v>1277.9999999999998</v>
      </c>
      <c r="DK157" s="528">
        <f t="shared" si="388"/>
        <v>0.3217918622848201</v>
      </c>
      <c r="DM157" s="173">
        <f t="shared" si="389"/>
        <v>6.3695705170308434</v>
      </c>
      <c r="DN157" s="173">
        <f t="shared" si="390"/>
        <v>6.3695705170308434</v>
      </c>
      <c r="DO157" s="173">
        <f t="shared" si="391"/>
        <v>3.4490645805166738</v>
      </c>
      <c r="DQ157" s="545">
        <f t="shared" si="392"/>
        <v>1174.9999999999998</v>
      </c>
      <c r="DR157" s="460">
        <f t="shared" si="393"/>
        <v>350</v>
      </c>
      <c r="DT157">
        <f t="shared" si="430"/>
        <v>1174.9999999999998</v>
      </c>
      <c r="DU157">
        <f t="shared" si="431"/>
        <v>350</v>
      </c>
      <c r="DW157" s="5">
        <f t="shared" si="394"/>
        <v>2.8571428571428572</v>
      </c>
      <c r="DX157" s="5">
        <f t="shared" si="395"/>
        <v>1.5756306015813137</v>
      </c>
      <c r="DY157" s="5">
        <f t="shared" si="396"/>
        <v>1.2815122555615435</v>
      </c>
      <c r="DZ157" s="5"/>
      <c r="EA157" s="173">
        <f t="shared" si="397"/>
        <v>0.55147071055345975</v>
      </c>
      <c r="EB157" s="173">
        <f t="shared" si="398"/>
        <v>33.369999999999997</v>
      </c>
      <c r="EC157" s="173">
        <f t="shared" si="399"/>
        <v>1.4284694690417381</v>
      </c>
      <c r="ED157" s="173">
        <f t="shared" si="400"/>
        <v>23.360667289855087</v>
      </c>
      <c r="EE157" s="460">
        <f t="shared" si="401"/>
        <v>6.6120212744930118</v>
      </c>
      <c r="EF157" s="5">
        <f t="shared" si="402"/>
        <v>1.5850283160892769</v>
      </c>
      <c r="EH157" s="173">
        <f t="shared" si="403"/>
        <v>2.7309311319557077</v>
      </c>
      <c r="EI157" s="173">
        <f t="shared" si="404"/>
        <v>2.4628894973840461</v>
      </c>
      <c r="EK157" s="528">
        <f t="shared" si="405"/>
        <v>8.9495818169818595E-2</v>
      </c>
      <c r="EL157" s="528">
        <f t="shared" si="406"/>
        <v>2.0077523226732921</v>
      </c>
      <c r="EM157" s="528">
        <f t="shared" si="407"/>
        <v>4.0250000000000001E-2</v>
      </c>
      <c r="EN157" s="528">
        <f t="shared" si="408"/>
        <v>0.38728525499999999</v>
      </c>
      <c r="EO157">
        <f t="shared" si="409"/>
        <v>8.5500000000000003E-3</v>
      </c>
      <c r="EP157" s="460">
        <f t="shared" si="410"/>
        <v>48.800000000000004</v>
      </c>
      <c r="EQ157" s="460"/>
      <c r="ER157" s="460">
        <f t="shared" si="432"/>
        <v>2533.3333958431108</v>
      </c>
      <c r="ES157" s="528">
        <f t="shared" si="411"/>
        <v>0.82249999999999979</v>
      </c>
      <c r="EV157" s="460">
        <f t="shared" si="412"/>
        <v>822.49999999999977</v>
      </c>
      <c r="EW157" s="528">
        <f t="shared" si="413"/>
        <v>0.10441178786478836</v>
      </c>
      <c r="EX157" s="528">
        <f t="shared" si="414"/>
        <v>8.4921545468544954E-2</v>
      </c>
      <c r="EY157" s="528">
        <f t="shared" si="415"/>
        <v>11.733173434161404</v>
      </c>
      <c r="EZ157" s="528"/>
      <c r="FA157" s="528">
        <f t="shared" si="416"/>
        <v>1.4200000000000002</v>
      </c>
      <c r="FB157" s="460">
        <f t="shared" si="417"/>
        <v>13342.506767494739</v>
      </c>
      <c r="FC157" s="173">
        <f t="shared" si="418"/>
        <v>16.69834016333785</v>
      </c>
      <c r="FD157" s="5">
        <f t="shared" si="419"/>
        <v>32.899999999999991</v>
      </c>
      <c r="FE157" s="173">
        <f t="shared" si="420"/>
        <v>0.6633286495405557</v>
      </c>
      <c r="FF157" s="5">
        <f t="shared" si="421"/>
        <v>66.332864954055566</v>
      </c>
      <c r="FI157" s="562">
        <f t="shared" si="422"/>
        <v>-50</v>
      </c>
      <c r="FJ157">
        <f t="shared" si="423"/>
        <v>-50</v>
      </c>
      <c r="FL157">
        <f t="shared" si="475"/>
        <v>0.36894167255337107</v>
      </c>
    </row>
    <row r="158" spans="5:168">
      <c r="E158" s="170">
        <v>48</v>
      </c>
      <c r="F158" s="217">
        <f t="shared" si="476"/>
        <v>1.2</v>
      </c>
      <c r="G158" s="217"/>
      <c r="H158" s="217">
        <f t="shared" si="442"/>
        <v>33.6</v>
      </c>
      <c r="I158" s="541">
        <f t="shared" si="443"/>
        <v>18.916910711958558</v>
      </c>
      <c r="J158" s="172">
        <f t="shared" si="444"/>
        <v>28.444740385868467</v>
      </c>
      <c r="K158" s="172">
        <f t="shared" si="445"/>
        <v>47.361651097827021</v>
      </c>
      <c r="L158" s="443"/>
      <c r="M158" s="217">
        <f t="shared" si="446"/>
        <v>0.60058859679644305</v>
      </c>
      <c r="N158" s="172">
        <f t="shared" si="447"/>
        <v>95.366269234836551</v>
      </c>
      <c r="O158" s="172">
        <f t="shared" si="438"/>
        <v>33.6</v>
      </c>
      <c r="P158" s="217">
        <f t="shared" si="448"/>
        <v>3.4059381869584482</v>
      </c>
      <c r="Q158" s="217">
        <f t="shared" si="449"/>
        <v>28</v>
      </c>
      <c r="R158" s="217"/>
      <c r="S158" s="172">
        <f t="shared" si="450"/>
        <v>112.51753620634285</v>
      </c>
      <c r="T158" s="172">
        <f t="shared" si="451"/>
        <v>28</v>
      </c>
      <c r="U158" s="217">
        <f t="shared" si="452"/>
        <v>6.0088419628241274</v>
      </c>
      <c r="V158" s="217">
        <f t="shared" si="453"/>
        <v>1.492926496048858</v>
      </c>
      <c r="W158" s="217">
        <f t="shared" si="454"/>
        <v>0.99285691632833439</v>
      </c>
      <c r="X158" s="197">
        <f t="shared" si="455"/>
        <v>350</v>
      </c>
      <c r="Y158" s="443">
        <f t="shared" si="328"/>
        <v>350</v>
      </c>
      <c r="AA158" s="217">
        <f t="shared" si="456"/>
        <v>6.9065228323191228</v>
      </c>
      <c r="AB158" s="173">
        <f t="shared" si="457"/>
        <v>1.1411831105347876</v>
      </c>
      <c r="AC158" s="173">
        <f t="shared" si="458"/>
        <v>1.3792812615339569</v>
      </c>
      <c r="AD158" s="173"/>
      <c r="AE158" s="173">
        <f t="shared" si="459"/>
        <v>0.55077551962646742</v>
      </c>
      <c r="AF158" s="545">
        <f t="shared" si="460"/>
        <v>1307.2476432654444</v>
      </c>
      <c r="AG158" s="528">
        <f t="shared" si="461"/>
        <v>0.32128571978210596</v>
      </c>
      <c r="AI158" s="173">
        <f t="shared" si="462"/>
        <v>6.442043556436885</v>
      </c>
      <c r="AJ158" s="173">
        <f t="shared" si="463"/>
        <v>6.442043556436885</v>
      </c>
      <c r="AK158" s="173">
        <f t="shared" si="464"/>
        <v>3.5027483134100379</v>
      </c>
      <c r="AM158" s="545">
        <f t="shared" si="465"/>
        <v>1200</v>
      </c>
      <c r="AN158" s="460">
        <f t="shared" si="466"/>
        <v>350</v>
      </c>
      <c r="AP158">
        <f t="shared" si="467"/>
        <v>1200</v>
      </c>
      <c r="AQ158">
        <f t="shared" si="468"/>
        <v>350</v>
      </c>
      <c r="AS158" s="5">
        <f t="shared" si="439"/>
        <v>2.8571428571428572</v>
      </c>
      <c r="AT158" s="5">
        <f t="shared" si="469"/>
        <v>1.6005575739231563</v>
      </c>
      <c r="AU158" s="5">
        <f t="shared" si="343"/>
        <v>1.2565852832197009</v>
      </c>
      <c r="AV158" s="5"/>
      <c r="AW158" s="173">
        <f t="shared" si="344"/>
        <v>0.56019515087310467</v>
      </c>
      <c r="AX158" s="173">
        <f t="shared" si="435"/>
        <v>34.133688463042162</v>
      </c>
      <c r="AY158" s="173">
        <f t="shared" si="436"/>
        <v>1.4166209972038062</v>
      </c>
      <c r="AZ158" s="173">
        <f t="shared" si="440"/>
        <v>24.095145088500633</v>
      </c>
      <c r="BA158" s="460">
        <f t="shared" si="433"/>
        <v>6.8595324596706693</v>
      </c>
      <c r="BB158" s="5">
        <f t="shared" si="434"/>
        <v>1.5942374130998058</v>
      </c>
      <c r="BD158" s="173">
        <f t="shared" si="441"/>
        <v>2.7837658455846008</v>
      </c>
      <c r="BE158" s="173">
        <f t="shared" si="437"/>
        <v>2.4665676782322401</v>
      </c>
      <c r="BG158" s="528">
        <f t="shared" si="347"/>
        <v>9.2992227396520175E-2</v>
      </c>
      <c r="BH158" s="528">
        <f t="shared" si="470"/>
        <v>1.9488634206316362</v>
      </c>
      <c r="BI158" s="528">
        <f t="shared" si="349"/>
        <v>4.0250000000000001E-2</v>
      </c>
      <c r="BJ158" s="528">
        <f t="shared" si="350"/>
        <v>0.38665884333853257</v>
      </c>
      <c r="BK158">
        <f t="shared" si="351"/>
        <v>8.5126098203813505E-3</v>
      </c>
      <c r="BL158" s="460">
        <f t="shared" si="427"/>
        <v>48.76260982038135</v>
      </c>
      <c r="BM158" s="528">
        <f t="shared" si="471"/>
        <v>2.509059955121963</v>
      </c>
      <c r="BN158" s="460">
        <f t="shared" si="353"/>
        <v>2509.059955121963</v>
      </c>
      <c r="BO158" s="528">
        <f t="shared" si="354"/>
        <v>0.84</v>
      </c>
      <c r="BR158" s="460">
        <f t="shared" si="355"/>
        <v>840</v>
      </c>
      <c r="BS158" s="528">
        <f t="shared" si="356"/>
        <v>0.10849093196260687</v>
      </c>
      <c r="BT158" s="528">
        <f t="shared" si="357"/>
        <v>8.517538555819977E-2</v>
      </c>
      <c r="BU158" s="528">
        <f t="shared" si="358"/>
        <v>12.069777311779792</v>
      </c>
      <c r="BV158" s="528"/>
      <c r="BW158" s="528">
        <f t="shared" si="359"/>
        <v>1.4524973814060496</v>
      </c>
      <c r="BX158" s="460">
        <f t="shared" si="360"/>
        <v>13715.941010706647</v>
      </c>
      <c r="BY158" s="173">
        <f t="shared" si="361"/>
        <v>17.033218111893717</v>
      </c>
      <c r="BZ158" s="5">
        <f t="shared" si="362"/>
        <v>33.6</v>
      </c>
      <c r="CA158" s="173">
        <f t="shared" si="363"/>
        <v>0.66359598012806098</v>
      </c>
      <c r="CB158" s="5">
        <f t="shared" si="364"/>
        <v>66.359598012806103</v>
      </c>
      <c r="CE158" s="562">
        <f t="shared" si="472"/>
        <v>-50</v>
      </c>
      <c r="CF158">
        <f t="shared" si="473"/>
        <v>-50</v>
      </c>
      <c r="CG158" s="173">
        <f t="shared" si="474"/>
        <v>0.3754996671103718</v>
      </c>
      <c r="CI158" s="170">
        <v>48</v>
      </c>
      <c r="CJ158" s="217">
        <f t="shared" si="428"/>
        <v>1.2</v>
      </c>
      <c r="CK158" s="217"/>
      <c r="CL158" s="217">
        <f t="shared" si="368"/>
        <v>33.6</v>
      </c>
      <c r="CM158" s="541">
        <f t="shared" si="369"/>
        <v>19</v>
      </c>
      <c r="CN158" s="443">
        <f t="shared" si="370"/>
        <v>28.4</v>
      </c>
      <c r="CO158" s="443">
        <f t="shared" si="371"/>
        <v>47.4</v>
      </c>
      <c r="CP158" s="443"/>
      <c r="CQ158" s="217">
        <f t="shared" si="372"/>
        <v>0.59915611814345993</v>
      </c>
      <c r="CR158" s="172">
        <f t="shared" si="429"/>
        <v>95.556689708830859</v>
      </c>
      <c r="CS158" s="172">
        <f t="shared" si="373"/>
        <v>33.6</v>
      </c>
      <c r="CT158" s="217">
        <f t="shared" si="374"/>
        <v>3.4127389181725305</v>
      </c>
      <c r="CU158" s="217">
        <f t="shared" si="375"/>
        <v>28</v>
      </c>
      <c r="CV158" s="217"/>
      <c r="CW158" s="172">
        <f t="shared" si="376"/>
        <v>113.01145707435026</v>
      </c>
      <c r="CX158" s="172">
        <f t="shared" si="377"/>
        <v>28</v>
      </c>
      <c r="CY158" s="217">
        <f t="shared" si="378"/>
        <v>5.9030392883617493</v>
      </c>
      <c r="CZ158" s="217">
        <f t="shared" si="379"/>
        <v>1.4602255081736957</v>
      </c>
      <c r="DA158" s="217">
        <f t="shared" si="380"/>
        <v>0.97691143152465576</v>
      </c>
      <c r="DB158" s="197">
        <f t="shared" si="381"/>
        <v>350</v>
      </c>
      <c r="DC158" s="443">
        <f t="shared" si="382"/>
        <v>350</v>
      </c>
      <c r="DE158" s="217">
        <f t="shared" si="383"/>
        <v>6.9203442217177731</v>
      </c>
      <c r="DF158" s="173">
        <f t="shared" si="384"/>
        <v>1.1452682338758289</v>
      </c>
      <c r="DG158" s="173">
        <f t="shared" si="385"/>
        <v>1.3869888208084145</v>
      </c>
      <c r="DH158" s="173"/>
      <c r="DI158" s="173">
        <f t="shared" si="386"/>
        <v>0.55164319248826299</v>
      </c>
      <c r="DJ158" s="545">
        <f t="shared" si="387"/>
        <v>1305.191489361702</v>
      </c>
      <c r="DK158" s="528">
        <f t="shared" si="388"/>
        <v>0.3217918622848201</v>
      </c>
      <c r="DM158" s="173">
        <f t="shared" si="389"/>
        <v>6.4369752567434224</v>
      </c>
      <c r="DN158" s="173">
        <f t="shared" si="390"/>
        <v>6.4369752567434224</v>
      </c>
      <c r="DO158" s="173">
        <f t="shared" si="391"/>
        <v>3.4989940173408067</v>
      </c>
      <c r="DQ158" s="545">
        <f t="shared" si="392"/>
        <v>1200</v>
      </c>
      <c r="DR158" s="460">
        <f t="shared" si="393"/>
        <v>350</v>
      </c>
      <c r="DT158">
        <f t="shared" si="430"/>
        <v>1200</v>
      </c>
      <c r="DU158">
        <f t="shared" si="431"/>
        <v>350</v>
      </c>
      <c r="DW158" s="5">
        <f t="shared" si="394"/>
        <v>2.8571428571428572</v>
      </c>
      <c r="DX158" s="5">
        <f t="shared" si="395"/>
        <v>1.592304405615478</v>
      </c>
      <c r="DY158" s="5">
        <f t="shared" si="396"/>
        <v>1.2648384515273792</v>
      </c>
      <c r="DZ158" s="5"/>
      <c r="EA158" s="173">
        <f t="shared" si="397"/>
        <v>0.55730654196541729</v>
      </c>
      <c r="EB158" s="173">
        <f t="shared" si="398"/>
        <v>34.08</v>
      </c>
      <c r="EC158" s="173">
        <f t="shared" si="399"/>
        <v>1.4248034178453957</v>
      </c>
      <c r="ED158" s="173">
        <f t="shared" si="400"/>
        <v>23.919089169182492</v>
      </c>
      <c r="EE158" s="460">
        <f t="shared" si="401"/>
        <v>6.8241617383520481</v>
      </c>
      <c r="EF158" s="5">
        <f t="shared" si="402"/>
        <v>1.5976906756135314</v>
      </c>
      <c r="EH158" s="173">
        <f t="shared" si="403"/>
        <v>2.7743949348244388</v>
      </c>
      <c r="EI158" s="173">
        <f t="shared" si="404"/>
        <v>2.4727076045493495</v>
      </c>
      <c r="EK158" s="528">
        <f t="shared" si="405"/>
        <v>9.2367207052554023E-2</v>
      </c>
      <c r="EL158" s="528">
        <f t="shared" si="406"/>
        <v>2.028998970678094</v>
      </c>
      <c r="EM158" s="528">
        <f t="shared" si="407"/>
        <v>4.0250000000000001E-2</v>
      </c>
      <c r="EN158" s="528">
        <f t="shared" si="408"/>
        <v>0.38728525499999999</v>
      </c>
      <c r="EO158">
        <f t="shared" si="409"/>
        <v>8.5500000000000003E-3</v>
      </c>
      <c r="EP158" s="460">
        <f t="shared" si="410"/>
        <v>48.800000000000004</v>
      </c>
      <c r="EQ158" s="460"/>
      <c r="ER158" s="460">
        <f t="shared" si="432"/>
        <v>2557.4514327306483</v>
      </c>
      <c r="ES158" s="528">
        <f t="shared" si="411"/>
        <v>0.84</v>
      </c>
      <c r="EV158" s="460">
        <f t="shared" si="412"/>
        <v>840</v>
      </c>
      <c r="EW158" s="528">
        <f t="shared" si="413"/>
        <v>0.10776174156131302</v>
      </c>
      <c r="EX158" s="528">
        <f t="shared" si="414"/>
        <v>8.5599960566346542E-2</v>
      </c>
      <c r="EY158" s="528">
        <f t="shared" si="415"/>
        <v>12.04605147204771</v>
      </c>
      <c r="EZ158" s="528"/>
      <c r="FA158" s="528">
        <f t="shared" si="416"/>
        <v>1.4502127659574469</v>
      </c>
      <c r="FB158" s="460">
        <f t="shared" si="417"/>
        <v>13689.625940132817</v>
      </c>
      <c r="FC158" s="173">
        <f t="shared" si="418"/>
        <v>17.087077372863462</v>
      </c>
      <c r="FD158" s="5">
        <f t="shared" si="419"/>
        <v>33.6</v>
      </c>
      <c r="FE158" s="173">
        <f t="shared" si="420"/>
        <v>0.662890853872521</v>
      </c>
      <c r="FF158" s="5">
        <f t="shared" si="421"/>
        <v>66.289085387252101</v>
      </c>
      <c r="FI158" s="562">
        <f t="shared" si="422"/>
        <v>-50</v>
      </c>
      <c r="FJ158">
        <f t="shared" si="423"/>
        <v>-50</v>
      </c>
      <c r="FL158">
        <f t="shared" si="475"/>
        <v>0.37284592596277921</v>
      </c>
    </row>
    <row r="159" spans="5:168">
      <c r="E159" s="170">
        <v>49</v>
      </c>
      <c r="F159" s="217">
        <f t="shared" si="476"/>
        <v>1.2250000000000001</v>
      </c>
      <c r="G159" s="217"/>
      <c r="H159" s="217">
        <f t="shared" si="442"/>
        <v>34.300000000000004</v>
      </c>
      <c r="I159" s="541">
        <f t="shared" si="443"/>
        <v>18.916049660069373</v>
      </c>
      <c r="J159" s="172">
        <f t="shared" si="444"/>
        <v>28.445204029193413</v>
      </c>
      <c r="K159" s="172">
        <f t="shared" si="445"/>
        <v>47.361253689262782</v>
      </c>
      <c r="L159" s="443"/>
      <c r="M159" s="217">
        <f t="shared" si="446"/>
        <v>0.60060345357487155</v>
      </c>
      <c r="N159" s="172">
        <f t="shared" si="447"/>
        <v>95.364287364519171</v>
      </c>
      <c r="O159" s="172">
        <f t="shared" si="438"/>
        <v>34.300000000000004</v>
      </c>
      <c r="P159" s="217">
        <f t="shared" si="448"/>
        <v>3.4058674058756848</v>
      </c>
      <c r="Q159" s="217">
        <f t="shared" si="449"/>
        <v>28</v>
      </c>
      <c r="R159" s="217"/>
      <c r="S159" s="172">
        <f t="shared" si="450"/>
        <v>109.83320039020958</v>
      </c>
      <c r="T159" s="172">
        <f t="shared" si="451"/>
        <v>28</v>
      </c>
      <c r="U159" s="217">
        <f t="shared" si="452"/>
        <v>6.1342543442830708</v>
      </c>
      <c r="V159" s="217">
        <f t="shared" si="453"/>
        <v>1.5241551981643877</v>
      </c>
      <c r="W159" s="217">
        <f t="shared" si="454"/>
        <v>1.013562616339158</v>
      </c>
      <c r="X159" s="197">
        <f t="shared" si="455"/>
        <v>350</v>
      </c>
      <c r="Y159" s="443">
        <f t="shared" si="328"/>
        <v>350</v>
      </c>
      <c r="AA159" s="217">
        <f t="shared" si="456"/>
        <v>6.9063789848890744</v>
      </c>
      <c r="AB159" s="173">
        <f t="shared" si="457"/>
        <v>1.1411407418862194</v>
      </c>
      <c r="AC159" s="173">
        <f t="shared" si="458"/>
        <v>1.3792013267486498</v>
      </c>
      <c r="AD159" s="173"/>
      <c r="AE159" s="173">
        <f t="shared" si="459"/>
        <v>0.5507665422469078</v>
      </c>
      <c r="AF159" s="545">
        <f t="shared" si="460"/>
        <v>1334.5037209440741</v>
      </c>
      <c r="AG159" s="528">
        <f t="shared" si="461"/>
        <v>0.32128048297736295</v>
      </c>
      <c r="AI159" s="173">
        <f t="shared" si="462"/>
        <v>6.5088553133625631</v>
      </c>
      <c r="AJ159" s="173">
        <f t="shared" si="463"/>
        <v>6.5088553133625631</v>
      </c>
      <c r="AK159" s="173">
        <f t="shared" si="464"/>
        <v>3.5522385037253548</v>
      </c>
      <c r="AM159" s="545">
        <f t="shared" si="465"/>
        <v>1225</v>
      </c>
      <c r="AN159" s="460">
        <f t="shared" si="466"/>
        <v>350</v>
      </c>
      <c r="AP159">
        <f t="shared" si="467"/>
        <v>1225</v>
      </c>
      <c r="AQ159">
        <f t="shared" si="468"/>
        <v>350</v>
      </c>
      <c r="AS159" s="5">
        <f t="shared" si="439"/>
        <v>2.8571428571428572</v>
      </c>
      <c r="AT159" s="5">
        <f t="shared" si="469"/>
        <v>1.6172308977059353</v>
      </c>
      <c r="AU159" s="5">
        <f t="shared" si="343"/>
        <v>1.2399119594369219</v>
      </c>
      <c r="AV159" s="5"/>
      <c r="AW159" s="173">
        <f t="shared" si="344"/>
        <v>0.56603081419707735</v>
      </c>
      <c r="AX159" s="173">
        <f t="shared" si="435"/>
        <v>34.845374935761939</v>
      </c>
      <c r="AY159" s="173">
        <f t="shared" si="436"/>
        <v>1.4123213204244893</v>
      </c>
      <c r="AZ159" s="173">
        <f t="shared" si="440"/>
        <v>24.672413020918473</v>
      </c>
      <c r="BA159" s="460">
        <f t="shared" si="433"/>
        <v>7.0753851774634677</v>
      </c>
      <c r="BB159" s="5">
        <f t="shared" si="434"/>
        <v>1.6059295440702064</v>
      </c>
      <c r="BD159" s="173">
        <f t="shared" si="441"/>
        <v>2.8272487939719615</v>
      </c>
      <c r="BE159" s="173">
        <f t="shared" si="437"/>
        <v>2.4755598869239215</v>
      </c>
      <c r="BG159" s="528">
        <f t="shared" si="347"/>
        <v>9.5920028916190933E-2</v>
      </c>
      <c r="BH159" s="528">
        <f t="shared" si="470"/>
        <v>1.9690589610798346</v>
      </c>
      <c r="BI159" s="528">
        <f t="shared" si="349"/>
        <v>4.0250000000000001E-2</v>
      </c>
      <c r="BJ159" s="528">
        <f t="shared" si="350"/>
        <v>0.3866523545068497</v>
      </c>
      <c r="BK159">
        <f t="shared" si="351"/>
        <v>8.5122223470312178E-3</v>
      </c>
      <c r="BL159" s="460">
        <f t="shared" si="427"/>
        <v>48.762222347031219</v>
      </c>
      <c r="BM159" s="528">
        <f t="shared" si="471"/>
        <v>2.5353110085172941</v>
      </c>
      <c r="BN159" s="460">
        <f t="shared" si="353"/>
        <v>2535.3110085172939</v>
      </c>
      <c r="BO159" s="528">
        <f t="shared" si="354"/>
        <v>0.85750000000000004</v>
      </c>
      <c r="BR159" s="460">
        <f t="shared" si="355"/>
        <v>857.5</v>
      </c>
      <c r="BS159" s="528">
        <f t="shared" si="356"/>
        <v>0.11190670040222275</v>
      </c>
      <c r="BT159" s="528">
        <f t="shared" si="357"/>
        <v>8.5797554552454913E-2</v>
      </c>
      <c r="BU159" s="528">
        <f t="shared" si="358"/>
        <v>12.385161078448217</v>
      </c>
      <c r="BV159" s="528"/>
      <c r="BW159" s="528">
        <f t="shared" si="359"/>
        <v>1.4827819121600825</v>
      </c>
      <c r="BX159" s="460">
        <f t="shared" si="360"/>
        <v>14065.647245562976</v>
      </c>
      <c r="BY159" s="173">
        <f t="shared" si="361"/>
        <v>17.423540812412885</v>
      </c>
      <c r="BZ159" s="5">
        <f t="shared" si="362"/>
        <v>34.300000000000004</v>
      </c>
      <c r="CA159" s="173">
        <f t="shared" si="363"/>
        <v>0.66314098882744132</v>
      </c>
      <c r="CB159" s="5">
        <f t="shared" si="364"/>
        <v>66.314098882744133</v>
      </c>
      <c r="CE159" s="562">
        <f t="shared" si="472"/>
        <v>-50</v>
      </c>
      <c r="CF159">
        <f t="shared" si="473"/>
        <v>-50</v>
      </c>
      <c r="CG159" s="173">
        <f t="shared" si="474"/>
        <v>0.37939095930187905</v>
      </c>
      <c r="CI159" s="170">
        <v>49</v>
      </c>
      <c r="CJ159" s="217">
        <f t="shared" si="428"/>
        <v>1.2250000000000001</v>
      </c>
      <c r="CK159" s="217"/>
      <c r="CL159" s="217">
        <f t="shared" si="368"/>
        <v>34.300000000000004</v>
      </c>
      <c r="CM159" s="541">
        <f t="shared" si="369"/>
        <v>19</v>
      </c>
      <c r="CN159" s="443">
        <f t="shared" si="370"/>
        <v>28.4</v>
      </c>
      <c r="CO159" s="443">
        <f t="shared" si="371"/>
        <v>47.4</v>
      </c>
      <c r="CP159" s="443"/>
      <c r="CQ159" s="217">
        <f t="shared" si="372"/>
        <v>0.59915611814345993</v>
      </c>
      <c r="CR159" s="172">
        <f t="shared" si="429"/>
        <v>95.556689708830859</v>
      </c>
      <c r="CS159" s="172">
        <f t="shared" si="373"/>
        <v>34.300000000000004</v>
      </c>
      <c r="CT159" s="217">
        <f t="shared" si="374"/>
        <v>3.4127389181725305</v>
      </c>
      <c r="CU159" s="217">
        <f t="shared" si="375"/>
        <v>28</v>
      </c>
      <c r="CV159" s="217"/>
      <c r="CW159" s="172">
        <f t="shared" si="376"/>
        <v>110.3203420866909</v>
      </c>
      <c r="CX159" s="172">
        <f t="shared" si="377"/>
        <v>28</v>
      </c>
      <c r="CY159" s="217">
        <f t="shared" si="378"/>
        <v>6.0260192735359528</v>
      </c>
      <c r="CZ159" s="217">
        <f t="shared" si="379"/>
        <v>1.4906468729273146</v>
      </c>
      <c r="DA159" s="217">
        <f t="shared" si="380"/>
        <v>0.9972637530147529</v>
      </c>
      <c r="DB159" s="197">
        <f t="shared" si="381"/>
        <v>350</v>
      </c>
      <c r="DC159" s="443">
        <f t="shared" si="382"/>
        <v>350</v>
      </c>
      <c r="DE159" s="217">
        <f t="shared" si="383"/>
        <v>6.9203442217177731</v>
      </c>
      <c r="DF159" s="173">
        <f t="shared" si="384"/>
        <v>1.1452682338758289</v>
      </c>
      <c r="DG159" s="173">
        <f t="shared" si="385"/>
        <v>1.3869888208084145</v>
      </c>
      <c r="DH159" s="173"/>
      <c r="DI159" s="173">
        <f t="shared" si="386"/>
        <v>0.55164319248826299</v>
      </c>
      <c r="DJ159" s="545">
        <f t="shared" si="387"/>
        <v>1332.3829787234042</v>
      </c>
      <c r="DK159" s="528">
        <f t="shared" si="388"/>
        <v>0.3217918622848201</v>
      </c>
      <c r="DM159" s="173">
        <f t="shared" si="389"/>
        <v>6.5036814451836076</v>
      </c>
      <c r="DN159" s="173">
        <f t="shared" si="390"/>
        <v>6.5036814451836076</v>
      </c>
      <c r="DO159" s="173">
        <f t="shared" si="391"/>
        <v>3.548406008777981</v>
      </c>
      <c r="DQ159" s="545">
        <f t="shared" si="392"/>
        <v>1225</v>
      </c>
      <c r="DR159" s="460">
        <f t="shared" si="393"/>
        <v>350</v>
      </c>
      <c r="DT159">
        <f t="shared" si="430"/>
        <v>1225</v>
      </c>
      <c r="DU159">
        <f t="shared" si="431"/>
        <v>350</v>
      </c>
      <c r="DW159" s="5">
        <f t="shared" si="394"/>
        <v>2.8571428571428572</v>
      </c>
      <c r="DX159" s="5">
        <f t="shared" si="395"/>
        <v>1.6088054101243658</v>
      </c>
      <c r="DY159" s="5">
        <f t="shared" si="396"/>
        <v>1.2483374470184914</v>
      </c>
      <c r="DZ159" s="5"/>
      <c r="EA159" s="173">
        <f t="shared" si="397"/>
        <v>0.563081893543528</v>
      </c>
      <c r="EB159" s="173">
        <f t="shared" si="398"/>
        <v>34.790000000000006</v>
      </c>
      <c r="EC159" s="173">
        <f t="shared" si="399"/>
        <v>1.4207880910128565</v>
      </c>
      <c r="ED159" s="173">
        <f t="shared" si="400"/>
        <v>24.486410197314356</v>
      </c>
      <c r="EE159" s="460">
        <f t="shared" si="401"/>
        <v>7.0385236692941007</v>
      </c>
      <c r="EF159" s="5">
        <f t="shared" si="402"/>
        <v>1.609698286944897</v>
      </c>
      <c r="EH159" s="173">
        <f t="shared" si="403"/>
        <v>2.8176329338831696</v>
      </c>
      <c r="EI159" s="173">
        <f t="shared" si="404"/>
        <v>2.4819821574779235</v>
      </c>
      <c r="EK159" s="528">
        <f t="shared" si="405"/>
        <v>9.5268664201236933E-2</v>
      </c>
      <c r="EL159" s="528">
        <f t="shared" si="406"/>
        <v>2.0500254283363253</v>
      </c>
      <c r="EM159" s="528">
        <f t="shared" si="407"/>
        <v>4.0250000000000001E-2</v>
      </c>
      <c r="EN159" s="528">
        <f t="shared" si="408"/>
        <v>0.38728525499999999</v>
      </c>
      <c r="EO159">
        <f t="shared" si="409"/>
        <v>8.5500000000000003E-3</v>
      </c>
      <c r="EP159" s="460">
        <f t="shared" si="410"/>
        <v>48.800000000000004</v>
      </c>
      <c r="EQ159" s="460"/>
      <c r="ER159" s="460">
        <f t="shared" si="432"/>
        <v>2581.3793475375624</v>
      </c>
      <c r="ES159" s="528">
        <f t="shared" si="411"/>
        <v>0.85750000000000004</v>
      </c>
      <c r="EV159" s="460">
        <f t="shared" si="412"/>
        <v>857.5</v>
      </c>
      <c r="EW159" s="528">
        <f t="shared" si="413"/>
        <v>0.11114677490144309</v>
      </c>
      <c r="EX159" s="528">
        <f t="shared" si="414"/>
        <v>8.6243296020542759E-2</v>
      </c>
      <c r="EY159" s="528">
        <f t="shared" si="415"/>
        <v>12.360563437804691</v>
      </c>
      <c r="EZ159" s="528"/>
      <c r="FA159" s="528">
        <f t="shared" si="416"/>
        <v>1.4804255319148942</v>
      </c>
      <c r="FB159" s="460">
        <f t="shared" si="417"/>
        <v>14038.37904064157</v>
      </c>
      <c r="FC159" s="173">
        <f t="shared" si="418"/>
        <v>17.477258388179134</v>
      </c>
      <c r="FD159" s="5">
        <f t="shared" si="419"/>
        <v>34.300000000000004</v>
      </c>
      <c r="FE159" s="173">
        <f t="shared" si="420"/>
        <v>0.66245299708318994</v>
      </c>
      <c r="FF159" s="5">
        <f t="shared" si="421"/>
        <v>66.245299708318996</v>
      </c>
      <c r="FI159" s="562">
        <f t="shared" si="422"/>
        <v>-50</v>
      </c>
      <c r="FJ159">
        <f t="shared" si="423"/>
        <v>-50</v>
      </c>
      <c r="FL159">
        <f t="shared" si="475"/>
        <v>0.37670971751151533</v>
      </c>
    </row>
    <row r="160" spans="5:168">
      <c r="E160" s="170">
        <v>50</v>
      </c>
      <c r="F160" s="217">
        <f t="shared" si="476"/>
        <v>1.25</v>
      </c>
      <c r="G160" s="217"/>
      <c r="H160" s="217">
        <f t="shared" si="442"/>
        <v>35</v>
      </c>
      <c r="I160" s="541">
        <f t="shared" si="443"/>
        <v>18.915197350503053</v>
      </c>
      <c r="J160" s="172">
        <f t="shared" si="444"/>
        <v>28.44566296511374</v>
      </c>
      <c r="K160" s="172">
        <f t="shared" si="445"/>
        <v>47.36086031561679</v>
      </c>
      <c r="L160" s="443"/>
      <c r="M160" s="217">
        <f t="shared" si="446"/>
        <v>0.60061815975484456</v>
      </c>
      <c r="N160" s="172">
        <f t="shared" si="447"/>
        <v>95.362325443438735</v>
      </c>
      <c r="O160" s="172">
        <f t="shared" si="438"/>
        <v>35</v>
      </c>
      <c r="P160" s="217">
        <f t="shared" si="448"/>
        <v>3.4057973372656689</v>
      </c>
      <c r="Q160" s="217">
        <f t="shared" si="449"/>
        <v>28</v>
      </c>
      <c r="R160" s="217"/>
      <c r="S160" s="172">
        <f t="shared" si="450"/>
        <v>107.2563982013136</v>
      </c>
      <c r="T160" s="172">
        <f t="shared" si="451"/>
        <v>28</v>
      </c>
      <c r="U160" s="217">
        <f t="shared" si="452"/>
        <v>6.2596736958931523</v>
      </c>
      <c r="V160" s="217">
        <f t="shared" si="453"/>
        <v>1.5553877564970462</v>
      </c>
      <c r="W160" s="217">
        <f t="shared" si="454"/>
        <v>1.0342689641925233</v>
      </c>
      <c r="X160" s="197">
        <f t="shared" si="455"/>
        <v>350</v>
      </c>
      <c r="Y160" s="443">
        <f t="shared" si="328"/>
        <v>350</v>
      </c>
      <c r="AA160" s="217">
        <f t="shared" si="456"/>
        <v>6.9062365854821941</v>
      </c>
      <c r="AB160" s="173">
        <f t="shared" si="457"/>
        <v>1.1410988027093965</v>
      </c>
      <c r="AC160" s="173">
        <f t="shared" si="458"/>
        <v>1.3791222023112735</v>
      </c>
      <c r="AD160" s="173"/>
      <c r="AE160" s="173">
        <f t="shared" si="459"/>
        <v>0.55075765630354756</v>
      </c>
      <c r="AF160" s="545">
        <f t="shared" si="460"/>
        <v>1361.7604610958704</v>
      </c>
      <c r="AG160" s="528">
        <f t="shared" si="461"/>
        <v>0.32127529951040279</v>
      </c>
      <c r="AI160" s="173">
        <f t="shared" si="462"/>
        <v>6.5749897968316526</v>
      </c>
      <c r="AJ160" s="173">
        <f t="shared" si="463"/>
        <v>6.5749897968316526</v>
      </c>
      <c r="AK160" s="173">
        <f t="shared" si="464"/>
        <v>3.6012270099987544</v>
      </c>
      <c r="AM160" s="545">
        <f t="shared" si="465"/>
        <v>1250</v>
      </c>
      <c r="AN160" s="460">
        <f t="shared" si="466"/>
        <v>350</v>
      </c>
      <c r="AP160">
        <f t="shared" si="467"/>
        <v>1250</v>
      </c>
      <c r="AQ160">
        <f t="shared" si="468"/>
        <v>350</v>
      </c>
      <c r="AS160" s="5">
        <f t="shared" si="439"/>
        <v>2.8571428571428572</v>
      </c>
      <c r="AT160" s="5">
        <f t="shared" si="469"/>
        <v>1.6337366971371785</v>
      </c>
      <c r="AU160" s="5">
        <f t="shared" si="343"/>
        <v>1.2234061600056787</v>
      </c>
      <c r="AV160" s="5"/>
      <c r="AW160" s="173">
        <f t="shared" si="344"/>
        <v>0.57180784399801243</v>
      </c>
      <c r="AX160" s="173">
        <f t="shared" si="435"/>
        <v>35.557078706392183</v>
      </c>
      <c r="AY160" s="173">
        <f t="shared" si="436"/>
        <v>1.4076795283982078</v>
      </c>
      <c r="AZ160" s="173">
        <f t="shared" si="440"/>
        <v>25.259356259057359</v>
      </c>
      <c r="BA160" s="460">
        <f t="shared" si="433"/>
        <v>7.2934673979338331</v>
      </c>
      <c r="BB160" s="5">
        <f t="shared" si="434"/>
        <v>1.6169619292567701</v>
      </c>
      <c r="BD160" s="173">
        <f t="shared" si="441"/>
        <v>2.8705129480975069</v>
      </c>
      <c r="BE160" s="173">
        <f t="shared" si="437"/>
        <v>2.4840126860152454</v>
      </c>
      <c r="BG160" s="528">
        <f t="shared" si="347"/>
        <v>9.8878135022345284E-2</v>
      </c>
      <c r="BH160" s="528">
        <f t="shared" si="470"/>
        <v>1.989049444737033</v>
      </c>
      <c r="BI160" s="528">
        <f t="shared" si="349"/>
        <v>4.0250000000000001E-2</v>
      </c>
      <c r="BJ160" s="528">
        <f t="shared" si="350"/>
        <v>0.38664593161037114</v>
      </c>
      <c r="BK160">
        <f t="shared" si="351"/>
        <v>8.5118388077263744E-3</v>
      </c>
      <c r="BL160" s="460">
        <f t="shared" si="427"/>
        <v>48.76183880772637</v>
      </c>
      <c r="BM160" s="528">
        <f t="shared" si="471"/>
        <v>2.561447841506566</v>
      </c>
      <c r="BN160" s="460">
        <f t="shared" si="353"/>
        <v>2561.447841506566</v>
      </c>
      <c r="BO160" s="528">
        <f t="shared" si="354"/>
        <v>0.875</v>
      </c>
      <c r="BR160" s="460">
        <f t="shared" si="355"/>
        <v>875</v>
      </c>
      <c r="BS160" s="528">
        <f t="shared" si="356"/>
        <v>0.11535782419273617</v>
      </c>
      <c r="BT160" s="528">
        <f t="shared" si="357"/>
        <v>8.6384466339985436E-2</v>
      </c>
      <c r="BU160" s="528">
        <f t="shared" si="358"/>
        <v>12.702167145885342</v>
      </c>
      <c r="BV160" s="528"/>
      <c r="BW160" s="528">
        <f t="shared" si="359"/>
        <v>1.5130671789954122</v>
      </c>
      <c r="BX160" s="460">
        <f t="shared" si="360"/>
        <v>14416.976615413474</v>
      </c>
      <c r="BY160" s="173">
        <f t="shared" si="361"/>
        <v>17.815311965590954</v>
      </c>
      <c r="BZ160" s="5">
        <f t="shared" si="362"/>
        <v>35</v>
      </c>
      <c r="CA160" s="173">
        <f t="shared" si="363"/>
        <v>0.66268660919398559</v>
      </c>
      <c r="CB160" s="5">
        <f t="shared" si="364"/>
        <v>66.268660919398556</v>
      </c>
      <c r="CE160" s="562">
        <f t="shared" si="472"/>
        <v>-50</v>
      </c>
      <c r="CF160">
        <f t="shared" si="473"/>
        <v>-50</v>
      </c>
      <c r="CG160" s="173">
        <f t="shared" si="474"/>
        <v>0.38324274291889726</v>
      </c>
      <c r="CI160" s="170">
        <v>50</v>
      </c>
      <c r="CJ160" s="217">
        <f t="shared" si="428"/>
        <v>1.25</v>
      </c>
      <c r="CK160" s="217"/>
      <c r="CL160" s="217">
        <f t="shared" si="368"/>
        <v>35</v>
      </c>
      <c r="CM160" s="541">
        <f t="shared" si="369"/>
        <v>19</v>
      </c>
      <c r="CN160" s="443">
        <f t="shared" si="370"/>
        <v>28.4</v>
      </c>
      <c r="CO160" s="443">
        <f t="shared" si="371"/>
        <v>47.4</v>
      </c>
      <c r="CP160" s="443"/>
      <c r="CQ160" s="217">
        <f t="shared" si="372"/>
        <v>0.59915611814345993</v>
      </c>
      <c r="CR160" s="172">
        <f t="shared" si="429"/>
        <v>95.556689708830859</v>
      </c>
      <c r="CS160" s="172">
        <f t="shared" si="373"/>
        <v>35</v>
      </c>
      <c r="CT160" s="217">
        <f t="shared" si="374"/>
        <v>3.4127389181725305</v>
      </c>
      <c r="CU160" s="217">
        <f t="shared" si="375"/>
        <v>28</v>
      </c>
      <c r="CV160" s="217"/>
      <c r="CW160" s="172">
        <f t="shared" si="376"/>
        <v>107.73694791786097</v>
      </c>
      <c r="CX160" s="172">
        <f t="shared" si="377"/>
        <v>28</v>
      </c>
      <c r="CY160" s="217">
        <f t="shared" si="378"/>
        <v>6.1489992587101554</v>
      </c>
      <c r="CZ160" s="217">
        <f t="shared" si="379"/>
        <v>1.5210682376809332</v>
      </c>
      <c r="DA160" s="217">
        <f t="shared" si="380"/>
        <v>1.0176160745048497</v>
      </c>
      <c r="DB160" s="197">
        <f t="shared" si="381"/>
        <v>350</v>
      </c>
      <c r="DC160" s="443">
        <f t="shared" si="382"/>
        <v>350</v>
      </c>
      <c r="DE160" s="217">
        <f t="shared" si="383"/>
        <v>6.9203442217177731</v>
      </c>
      <c r="DF160" s="173">
        <f t="shared" si="384"/>
        <v>1.1452682338758289</v>
      </c>
      <c r="DG160" s="173">
        <f t="shared" si="385"/>
        <v>1.3869888208084145</v>
      </c>
      <c r="DH160" s="173"/>
      <c r="DI160" s="173">
        <f t="shared" si="386"/>
        <v>0.55164319248826299</v>
      </c>
      <c r="DJ160" s="545">
        <f t="shared" si="387"/>
        <v>1359.5744680851062</v>
      </c>
      <c r="DK160" s="528">
        <f t="shared" si="388"/>
        <v>0.3217918622848201</v>
      </c>
      <c r="DM160" s="173">
        <f t="shared" si="389"/>
        <v>6.5697103608092204</v>
      </c>
      <c r="DN160" s="173">
        <f t="shared" si="390"/>
        <v>6.5697103608092204</v>
      </c>
      <c r="DO160" s="173">
        <f t="shared" si="391"/>
        <v>3.5973163166488051</v>
      </c>
      <c r="DQ160" s="545">
        <f t="shared" si="392"/>
        <v>1250</v>
      </c>
      <c r="DR160" s="460">
        <f t="shared" si="393"/>
        <v>350</v>
      </c>
      <c r="DT160">
        <f t="shared" si="430"/>
        <v>1250</v>
      </c>
      <c r="DU160">
        <f t="shared" si="431"/>
        <v>350</v>
      </c>
      <c r="DW160" s="5">
        <f t="shared" si="394"/>
        <v>2.8571428571428572</v>
      </c>
      <c r="DX160" s="5">
        <f t="shared" si="395"/>
        <v>1.6251388787264911</v>
      </c>
      <c r="DY160" s="5">
        <f t="shared" si="396"/>
        <v>1.2320039784163661</v>
      </c>
      <c r="DZ160" s="5"/>
      <c r="EA160" s="173">
        <f t="shared" si="397"/>
        <v>0.56879860755427192</v>
      </c>
      <c r="EB160" s="173">
        <f t="shared" si="398"/>
        <v>35.500000000000007</v>
      </c>
      <c r="EC160" s="173">
        <f t="shared" si="399"/>
        <v>1.4164341277730312</v>
      </c>
      <c r="ED160" s="173">
        <f t="shared" si="400"/>
        <v>25.062937487826833</v>
      </c>
      <c r="EE160" s="460">
        <f t="shared" si="401"/>
        <v>7.2550842800289788</v>
      </c>
      <c r="EF160" s="5">
        <f t="shared" si="402"/>
        <v>1.6210578663373236</v>
      </c>
      <c r="EH160" s="173">
        <f t="shared" si="403"/>
        <v>2.8606508755675111</v>
      </c>
      <c r="EI160" s="173">
        <f t="shared" si="404"/>
        <v>2.4907243878885592</v>
      </c>
      <c r="EK160" s="528">
        <f t="shared" si="405"/>
        <v>9.8199881182622004E-2</v>
      </c>
      <c r="EL160" s="528">
        <f t="shared" si="406"/>
        <v>2.0708384028306743</v>
      </c>
      <c r="EM160" s="528">
        <f t="shared" si="407"/>
        <v>4.0250000000000001E-2</v>
      </c>
      <c r="EN160" s="528">
        <f t="shared" si="408"/>
        <v>0.38728525499999999</v>
      </c>
      <c r="EO160">
        <f t="shared" si="409"/>
        <v>8.5500000000000003E-3</v>
      </c>
      <c r="EP160" s="460">
        <f t="shared" si="410"/>
        <v>48.800000000000004</v>
      </c>
      <c r="EQ160" s="460"/>
      <c r="ER160" s="460">
        <f t="shared" si="432"/>
        <v>2605.1235390132965</v>
      </c>
      <c r="ES160" s="528">
        <f t="shared" si="411"/>
        <v>0.875</v>
      </c>
      <c r="EV160" s="460">
        <f t="shared" si="412"/>
        <v>875</v>
      </c>
      <c r="EW160" s="528">
        <f t="shared" si="413"/>
        <v>0.11456652804639235</v>
      </c>
      <c r="EX160" s="528">
        <f t="shared" si="414"/>
        <v>8.6851911669919735E-2</v>
      </c>
      <c r="EY160" s="528">
        <f t="shared" si="415"/>
        <v>12.676684254898461</v>
      </c>
      <c r="EZ160" s="528"/>
      <c r="FA160" s="528">
        <f t="shared" si="416"/>
        <v>1.5106382978723407</v>
      </c>
      <c r="FB160" s="460">
        <f t="shared" si="417"/>
        <v>14388.740992487114</v>
      </c>
      <c r="FC160" s="173">
        <f t="shared" si="418"/>
        <v>17.86886453150041</v>
      </c>
      <c r="FD160" s="5">
        <f t="shared" si="419"/>
        <v>35</v>
      </c>
      <c r="FE160" s="173">
        <f t="shared" si="420"/>
        <v>0.66201535270624634</v>
      </c>
      <c r="FF160" s="5">
        <f t="shared" si="421"/>
        <v>66.201535270624632</v>
      </c>
      <c r="FI160" s="562">
        <f t="shared" si="422"/>
        <v>-50</v>
      </c>
      <c r="FJ160">
        <f t="shared" si="423"/>
        <v>-50</v>
      </c>
      <c r="FL160">
        <f t="shared" si="475"/>
        <v>0.38053427970180165</v>
      </c>
    </row>
    <row r="161" spans="5:168">
      <c r="E161" s="170">
        <v>51</v>
      </c>
      <c r="F161" s="217">
        <f t="shared" si="476"/>
        <v>1.2749999999999999</v>
      </c>
      <c r="G161" s="217"/>
      <c r="H161" s="217">
        <f t="shared" si="442"/>
        <v>35.699999999999996</v>
      </c>
      <c r="I161" s="541">
        <f t="shared" si="443"/>
        <v>18.914353522261941</v>
      </c>
      <c r="J161" s="172">
        <f t="shared" si="444"/>
        <v>28.446117334166647</v>
      </c>
      <c r="K161" s="172">
        <f t="shared" si="445"/>
        <v>47.360470856428591</v>
      </c>
      <c r="L161" s="443"/>
      <c r="M161" s="217">
        <f t="shared" si="446"/>
        <v>0.60063271983240962</v>
      </c>
      <c r="N161" s="172">
        <f t="shared" si="447"/>
        <v>95.360382876016644</v>
      </c>
      <c r="O161" s="172">
        <f t="shared" si="438"/>
        <v>35.699999999999996</v>
      </c>
      <c r="P161" s="217">
        <f t="shared" si="448"/>
        <v>3.4057279598577375</v>
      </c>
      <c r="Q161" s="217">
        <f t="shared" si="449"/>
        <v>28</v>
      </c>
      <c r="R161" s="217"/>
      <c r="S161" s="172">
        <f t="shared" si="450"/>
        <v>104.78080293349066</v>
      </c>
      <c r="T161" s="172">
        <f t="shared" si="451"/>
        <v>28</v>
      </c>
      <c r="U161" s="217">
        <f t="shared" si="452"/>
        <v>6.385099948423214</v>
      </c>
      <c r="V161" s="217">
        <f t="shared" si="453"/>
        <v>1.5866241329510826</v>
      </c>
      <c r="W161" s="217">
        <f t="shared" si="454"/>
        <v>1.054975953486071</v>
      </c>
      <c r="X161" s="197">
        <f t="shared" si="455"/>
        <v>350</v>
      </c>
      <c r="Y161" s="443">
        <f t="shared" si="328"/>
        <v>350</v>
      </c>
      <c r="AA161" s="217">
        <f t="shared" si="456"/>
        <v>6.9060955908681745</v>
      </c>
      <c r="AB161" s="173">
        <f t="shared" si="457"/>
        <v>1.1410572801826389</v>
      </c>
      <c r="AC161" s="173">
        <f t="shared" si="458"/>
        <v>1.3790438640295368</v>
      </c>
      <c r="AD161" s="173"/>
      <c r="AE161" s="173">
        <f t="shared" si="459"/>
        <v>0.55074885906659121</v>
      </c>
      <c r="AF161" s="545">
        <f t="shared" si="460"/>
        <v>1389.0178570619671</v>
      </c>
      <c r="AG161" s="528">
        <f t="shared" si="461"/>
        <v>0.32127016778884493</v>
      </c>
      <c r="AI161" s="173">
        <f t="shared" si="462"/>
        <v>6.6404672264904816</v>
      </c>
      <c r="AJ161" s="173">
        <f t="shared" si="463"/>
        <v>6.6404672264904816</v>
      </c>
      <c r="AK161" s="173">
        <f t="shared" si="464"/>
        <v>3.6497288097460361</v>
      </c>
      <c r="AM161" s="545">
        <f t="shared" si="465"/>
        <v>1275</v>
      </c>
      <c r="AN161" s="460">
        <f t="shared" si="466"/>
        <v>350</v>
      </c>
      <c r="AP161">
        <f t="shared" si="467"/>
        <v>1275</v>
      </c>
      <c r="AQ161">
        <f t="shared" si="468"/>
        <v>350</v>
      </c>
      <c r="AS161" s="5">
        <f t="shared" si="439"/>
        <v>2.8571428571428572</v>
      </c>
      <c r="AT161" s="5">
        <f t="shared" si="469"/>
        <v>1.6500799738025032</v>
      </c>
      <c r="AU161" s="5">
        <f t="shared" si="343"/>
        <v>1.2070628833403541</v>
      </c>
      <c r="AV161" s="5"/>
      <c r="AW161" s="173">
        <f t="shared" si="344"/>
        <v>0.57752799083087614</v>
      </c>
      <c r="AX161" s="173">
        <f t="shared" si="435"/>
        <v>36.268799601062469</v>
      </c>
      <c r="AY161" s="173">
        <f t="shared" si="436"/>
        <v>1.4027057654985766</v>
      </c>
      <c r="AZ161" s="173">
        <f t="shared" si="440"/>
        <v>25.856313200631291</v>
      </c>
      <c r="BA161" s="460">
        <f t="shared" si="433"/>
        <v>7.5137570235649696</v>
      </c>
      <c r="BB161" s="5">
        <f t="shared" si="434"/>
        <v>1.6273410290735688</v>
      </c>
      <c r="BD161" s="173">
        <f t="shared" si="441"/>
        <v>2.9135637775577128</v>
      </c>
      <c r="BE161" s="173">
        <f t="shared" si="437"/>
        <v>2.4919365513862961</v>
      </c>
      <c r="BG161" s="528">
        <f t="shared" si="347"/>
        <v>0.10186624663075643</v>
      </c>
      <c r="BH161" s="528">
        <f t="shared" si="470"/>
        <v>2.0088409934590228</v>
      </c>
      <c r="BI161" s="528">
        <f t="shared" si="349"/>
        <v>4.0250000000000001E-2</v>
      </c>
      <c r="BJ161" s="528">
        <f t="shared" si="350"/>
        <v>0.38663957268063448</v>
      </c>
      <c r="BK161">
        <f t="shared" si="351"/>
        <v>8.5114590850178737E-3</v>
      </c>
      <c r="BL161" s="460">
        <f t="shared" si="427"/>
        <v>48.761459085017876</v>
      </c>
      <c r="BM161" s="528">
        <f t="shared" si="471"/>
        <v>2.5874764798589847</v>
      </c>
      <c r="BN161" s="460">
        <f t="shared" si="353"/>
        <v>2587.4764798589845</v>
      </c>
      <c r="BO161" s="528">
        <f t="shared" si="354"/>
        <v>0.89249999999999985</v>
      </c>
      <c r="BR161" s="460">
        <f t="shared" si="355"/>
        <v>892.49999999999989</v>
      </c>
      <c r="BS161" s="528">
        <f t="shared" si="356"/>
        <v>0.11884395440254916</v>
      </c>
      <c r="BT161" s="528">
        <f t="shared" si="357"/>
        <v>8.6936468865890376E-2</v>
      </c>
      <c r="BU161" s="528">
        <f t="shared" si="358"/>
        <v>13.02077124991602</v>
      </c>
      <c r="BV161" s="528"/>
      <c r="BW161" s="528">
        <f t="shared" si="359"/>
        <v>1.5433531745132967</v>
      </c>
      <c r="BX161" s="460">
        <f t="shared" si="360"/>
        <v>14769.904847697755</v>
      </c>
      <c r="BY161" s="173">
        <f t="shared" si="361"/>
        <v>18.208513119553189</v>
      </c>
      <c r="BZ161" s="5">
        <f t="shared" si="362"/>
        <v>35.699999999999996</v>
      </c>
      <c r="CA161" s="173">
        <f t="shared" si="363"/>
        <v>0.66223306736039855</v>
      </c>
      <c r="CB161" s="5">
        <f t="shared" si="364"/>
        <v>66.223306736039859</v>
      </c>
      <c r="CE161" s="562">
        <f t="shared" si="472"/>
        <v>-50</v>
      </c>
      <c r="CF161">
        <f t="shared" si="473"/>
        <v>-50</v>
      </c>
      <c r="CG161" s="173">
        <f t="shared" si="474"/>
        <v>0.38705619747008313</v>
      </c>
      <c r="CI161" s="170">
        <v>51</v>
      </c>
      <c r="CJ161" s="217">
        <f t="shared" si="428"/>
        <v>1.2749999999999999</v>
      </c>
      <c r="CK161" s="217"/>
      <c r="CL161" s="217">
        <f t="shared" si="368"/>
        <v>35.699999999999996</v>
      </c>
      <c r="CM161" s="541">
        <f t="shared" si="369"/>
        <v>19</v>
      </c>
      <c r="CN161" s="443">
        <f t="shared" si="370"/>
        <v>28.4</v>
      </c>
      <c r="CO161" s="443">
        <f t="shared" si="371"/>
        <v>47.4</v>
      </c>
      <c r="CP161" s="443"/>
      <c r="CQ161" s="217">
        <f t="shared" si="372"/>
        <v>0.59915611814345993</v>
      </c>
      <c r="CR161" s="172">
        <f t="shared" si="429"/>
        <v>95.556689708830859</v>
      </c>
      <c r="CS161" s="172">
        <f t="shared" si="373"/>
        <v>35.699999999999996</v>
      </c>
      <c r="CT161" s="217">
        <f t="shared" si="374"/>
        <v>3.4127389181725305</v>
      </c>
      <c r="CU161" s="217">
        <f t="shared" si="375"/>
        <v>28</v>
      </c>
      <c r="CV161" s="217"/>
      <c r="CW161" s="172">
        <f t="shared" si="376"/>
        <v>105.25493880987271</v>
      </c>
      <c r="CX161" s="172">
        <f t="shared" si="377"/>
        <v>28</v>
      </c>
      <c r="CY161" s="217">
        <f t="shared" si="378"/>
        <v>6.2719792438843571</v>
      </c>
      <c r="CZ161" s="217">
        <f t="shared" si="379"/>
        <v>1.5514896024345515</v>
      </c>
      <c r="DA161" s="217">
        <f t="shared" si="380"/>
        <v>1.0379683959949464</v>
      </c>
      <c r="DB161" s="197">
        <f t="shared" si="381"/>
        <v>350</v>
      </c>
      <c r="DC161" s="443">
        <f t="shared" si="382"/>
        <v>350</v>
      </c>
      <c r="DE161" s="217">
        <f t="shared" si="383"/>
        <v>6.9203442217177731</v>
      </c>
      <c r="DF161" s="173">
        <f t="shared" si="384"/>
        <v>1.1452682338758289</v>
      </c>
      <c r="DG161" s="173">
        <f t="shared" si="385"/>
        <v>1.3869888208084145</v>
      </c>
      <c r="DH161" s="173"/>
      <c r="DI161" s="173">
        <f t="shared" si="386"/>
        <v>0.55164319248826299</v>
      </c>
      <c r="DJ161" s="545">
        <f t="shared" si="387"/>
        <v>1386.7659574468082</v>
      </c>
      <c r="DK161" s="528">
        <f t="shared" si="388"/>
        <v>0.3217918622848201</v>
      </c>
      <c r="DM161" s="173">
        <f t="shared" si="389"/>
        <v>6.635082223260123</v>
      </c>
      <c r="DN161" s="173">
        <f t="shared" si="390"/>
        <v>6.635082223260123</v>
      </c>
      <c r="DO161" s="173">
        <f t="shared" si="391"/>
        <v>3.6457399184642885</v>
      </c>
      <c r="DQ161" s="545">
        <f t="shared" si="392"/>
        <v>1275</v>
      </c>
      <c r="DR161" s="460">
        <f t="shared" si="393"/>
        <v>350</v>
      </c>
      <c r="DT161">
        <f t="shared" si="430"/>
        <v>1275</v>
      </c>
      <c r="DU161">
        <f t="shared" si="431"/>
        <v>350</v>
      </c>
      <c r="DW161" s="5">
        <f t="shared" si="394"/>
        <v>2.8571428571428572</v>
      </c>
      <c r="DX161" s="5">
        <f t="shared" si="395"/>
        <v>1.6413098131222408</v>
      </c>
      <c r="DY161" s="5">
        <f t="shared" si="396"/>
        <v>1.2158330440206164</v>
      </c>
      <c r="DZ161" s="5"/>
      <c r="EA161" s="173">
        <f t="shared" si="397"/>
        <v>0.57445843459278423</v>
      </c>
      <c r="EB161" s="173">
        <f t="shared" si="398"/>
        <v>36.21</v>
      </c>
      <c r="EC161" s="173">
        <f t="shared" si="399"/>
        <v>1.4117516379458512</v>
      </c>
      <c r="ED161" s="173">
        <f t="shared" si="400"/>
        <v>25.648987418698404</v>
      </c>
      <c r="EE161" s="460">
        <f t="shared" si="401"/>
        <v>7.473821470467346</v>
      </c>
      <c r="EF161" s="5">
        <f t="shared" si="402"/>
        <v>1.6317759275013535</v>
      </c>
      <c r="EH161" s="173">
        <f t="shared" si="403"/>
        <v>2.9034542483185288</v>
      </c>
      <c r="EI161" s="173">
        <f t="shared" si="404"/>
        <v>2.4989448702192796</v>
      </c>
      <c r="EK161" s="528">
        <f t="shared" si="405"/>
        <v>0.10116055886494696</v>
      </c>
      <c r="EL161" s="528">
        <f t="shared" si="406"/>
        <v>2.0914442675938232</v>
      </c>
      <c r="EM161" s="528">
        <f t="shared" si="407"/>
        <v>4.0250000000000001E-2</v>
      </c>
      <c r="EN161" s="528">
        <f t="shared" si="408"/>
        <v>0.38728525499999999</v>
      </c>
      <c r="EO161">
        <f t="shared" si="409"/>
        <v>8.5500000000000003E-3</v>
      </c>
      <c r="EP161" s="460">
        <f t="shared" si="410"/>
        <v>48.800000000000004</v>
      </c>
      <c r="EQ161" s="460"/>
      <c r="ER161" s="460">
        <f t="shared" si="432"/>
        <v>2628.6900814587702</v>
      </c>
      <c r="ES161" s="528">
        <f t="shared" si="411"/>
        <v>0.89249999999999985</v>
      </c>
      <c r="EV161" s="460">
        <f t="shared" si="412"/>
        <v>892.49999999999989</v>
      </c>
      <c r="EW161" s="528">
        <f t="shared" si="413"/>
        <v>0.11802065200910479</v>
      </c>
      <c r="EX161" s="528">
        <f t="shared" si="414"/>
        <v>8.7426156501533528E-2</v>
      </c>
      <c r="EY161" s="528">
        <f t="shared" si="415"/>
        <v>12.994389726859245</v>
      </c>
      <c r="EZ161" s="528"/>
      <c r="FA161" s="528">
        <f t="shared" si="416"/>
        <v>1.5408510638297872</v>
      </c>
      <c r="FB161" s="460">
        <f t="shared" si="417"/>
        <v>14740.687599199671</v>
      </c>
      <c r="FC161" s="173">
        <f t="shared" si="418"/>
        <v>18.26187768065844</v>
      </c>
      <c r="FD161" s="5">
        <f t="shared" si="419"/>
        <v>35.699999999999996</v>
      </c>
      <c r="FE161" s="173">
        <f t="shared" si="420"/>
        <v>0.66157816470489417</v>
      </c>
      <c r="FF161" s="5">
        <f t="shared" si="421"/>
        <v>66.157816470489422</v>
      </c>
      <c r="FI161" s="562">
        <f t="shared" si="422"/>
        <v>-50</v>
      </c>
      <c r="FJ161">
        <f t="shared" si="423"/>
        <v>-50</v>
      </c>
      <c r="FL161">
        <f t="shared" si="475"/>
        <v>0.38432078370644024</v>
      </c>
    </row>
    <row r="162" spans="5:168">
      <c r="E162" s="170">
        <v>52</v>
      </c>
      <c r="F162" s="217">
        <f t="shared" si="476"/>
        <v>1.3</v>
      </c>
      <c r="G162" s="217"/>
      <c r="H162" s="217">
        <f t="shared" si="442"/>
        <v>36.4</v>
      </c>
      <c r="I162" s="541">
        <f t="shared" si="443"/>
        <v>18.91351792708214</v>
      </c>
      <c r="J162" s="172">
        <f t="shared" si="444"/>
        <v>28.446567270032691</v>
      </c>
      <c r="K162" s="172">
        <f t="shared" si="445"/>
        <v>47.360085197114827</v>
      </c>
      <c r="L162" s="443"/>
      <c r="M162" s="217">
        <f t="shared" si="446"/>
        <v>0.60064713808425696</v>
      </c>
      <c r="N162" s="172">
        <f t="shared" si="447"/>
        <v>95.358459095731874</v>
      </c>
      <c r="O162" s="172">
        <f t="shared" si="438"/>
        <v>36.4</v>
      </c>
      <c r="P162" s="217">
        <f t="shared" si="448"/>
        <v>3.4056592534189956</v>
      </c>
      <c r="Q162" s="217">
        <f t="shared" si="449"/>
        <v>28</v>
      </c>
      <c r="R162" s="217"/>
      <c r="S162" s="172">
        <f t="shared" si="450"/>
        <v>102.40057464908186</v>
      </c>
      <c r="T162" s="172">
        <f t="shared" si="451"/>
        <v>28</v>
      </c>
      <c r="U162" s="217">
        <f t="shared" si="452"/>
        <v>6.5105330346889012</v>
      </c>
      <c r="V162" s="217">
        <f t="shared" si="453"/>
        <v>1.617864290557105</v>
      </c>
      <c r="W162" s="217">
        <f t="shared" si="454"/>
        <v>1.0756835780067275</v>
      </c>
      <c r="X162" s="197">
        <f t="shared" si="455"/>
        <v>350</v>
      </c>
      <c r="Y162" s="443">
        <f t="shared" si="328"/>
        <v>345.59649448492945</v>
      </c>
      <c r="AA162" s="217">
        <f t="shared" si="456"/>
        <v>6.905955959925862</v>
      </c>
      <c r="AB162" s="173">
        <f t="shared" si="457"/>
        <v>1.1410161621098209</v>
      </c>
      <c r="AC162" s="173">
        <f t="shared" si="458"/>
        <v>1.3789662888914591</v>
      </c>
      <c r="AD162" s="173"/>
      <c r="AE162" s="173">
        <f t="shared" si="459"/>
        <v>0.55074014793942705</v>
      </c>
      <c r="AF162" s="545">
        <f t="shared" si="460"/>
        <v>1416.275902380351</v>
      </c>
      <c r="AG162" s="528">
        <f t="shared" si="461"/>
        <v>0.32126508629799905</v>
      </c>
      <c r="AI162" s="173">
        <f t="shared" si="462"/>
        <v>6.7053068354927934</v>
      </c>
      <c r="AJ162" s="173">
        <f t="shared" si="463"/>
        <v>6.7053068354927934</v>
      </c>
      <c r="AK162" s="173">
        <f t="shared" si="464"/>
        <v>3.6977581497477479</v>
      </c>
      <c r="AM162" s="545">
        <f t="shared" si="465"/>
        <v>1300</v>
      </c>
      <c r="AN162" s="460">
        <f t="shared" si="466"/>
        <v>345.59649448492945</v>
      </c>
      <c r="AP162">
        <f t="shared" si="467"/>
        <v>1300</v>
      </c>
      <c r="AQ162">
        <f t="shared" si="468"/>
        <v>345.59649448492945</v>
      </c>
      <c r="AS162" s="5">
        <f t="shared" si="439"/>
        <v>2.8935478685638327</v>
      </c>
      <c r="AT162" s="5">
        <f t="shared" si="469"/>
        <v>1.6662654852638543</v>
      </c>
      <c r="AU162" s="5">
        <f t="shared" si="343"/>
        <v>1.2272823832999784</v>
      </c>
      <c r="AV162" s="5"/>
      <c r="AW162" s="173">
        <f t="shared" si="344"/>
        <v>0.57585551058841788</v>
      </c>
      <c r="AX162" s="173">
        <f t="shared" si="435"/>
        <v>36.515268877854098</v>
      </c>
      <c r="AY162" s="173">
        <f t="shared" si="436"/>
        <v>1.422009472044041</v>
      </c>
      <c r="AZ162" s="173">
        <f t="shared" si="440"/>
        <v>25.678639696658212</v>
      </c>
      <c r="BA162" s="460">
        <f t="shared" si="433"/>
        <v>7.7362326101536096</v>
      </c>
      <c r="BB162" s="5">
        <f t="shared" si="434"/>
        <v>1.6871182869744534</v>
      </c>
      <c r="BD162" s="173">
        <f t="shared" si="441"/>
        <v>2.9377497109205635</v>
      </c>
      <c r="BE162" s="173">
        <f t="shared" si="437"/>
        <v>2.5212443796708017</v>
      </c>
      <c r="BG162" s="528">
        <f t="shared" si="347"/>
        <v>0.10356448036816625</v>
      </c>
      <c r="BH162" s="528">
        <f t="shared" si="470"/>
        <v>2.002918732655421</v>
      </c>
      <c r="BI162" s="528">
        <f t="shared" si="349"/>
        <v>3.9743596865766888E-2</v>
      </c>
      <c r="BJ162" s="528">
        <f t="shared" si="350"/>
        <v>0.38176887080951821</v>
      </c>
      <c r="BK162">
        <f t="shared" si="351"/>
        <v>8.5110830671869617E-3</v>
      </c>
      <c r="BL162" s="460">
        <f t="shared" si="427"/>
        <v>48.254679932953849</v>
      </c>
      <c r="BM162" s="528">
        <f t="shared" si="471"/>
        <v>2.5796927889973085</v>
      </c>
      <c r="BN162" s="460">
        <f t="shared" si="353"/>
        <v>2579.6927889973085</v>
      </c>
      <c r="BO162" s="528">
        <f t="shared" si="354"/>
        <v>0.90999999999999992</v>
      </c>
      <c r="BR162" s="460">
        <f t="shared" si="355"/>
        <v>909.99999999999989</v>
      </c>
      <c r="BS162" s="528">
        <f t="shared" si="356"/>
        <v>0.12082522709619396</v>
      </c>
      <c r="BT162" s="528">
        <f t="shared" si="357"/>
        <v>8.8993425108302493E-2</v>
      </c>
      <c r="BU162" s="528">
        <f t="shared" si="358"/>
        <v>12.92528017562768</v>
      </c>
      <c r="BV162" s="528"/>
      <c r="BW162" s="528">
        <f t="shared" si="359"/>
        <v>1.5538412288448553</v>
      </c>
      <c r="BX162" s="460">
        <f t="shared" si="360"/>
        <v>14688.940056677033</v>
      </c>
      <c r="BY162" s="173">
        <f t="shared" si="361"/>
        <v>18.135446820443093</v>
      </c>
      <c r="BZ162" s="5">
        <f t="shared" si="362"/>
        <v>36.4</v>
      </c>
      <c r="CA162" s="173">
        <f t="shared" si="363"/>
        <v>0.66745579475760597</v>
      </c>
      <c r="CB162" s="5">
        <f t="shared" si="364"/>
        <v>66.745579475760593</v>
      </c>
      <c r="CE162" s="562">
        <f t="shared" si="472"/>
        <v>-50</v>
      </c>
      <c r="CF162">
        <f t="shared" si="473"/>
        <v>-50</v>
      </c>
      <c r="CG162" s="173">
        <f t="shared" si="474"/>
        <v>0.39083244491725605</v>
      </c>
      <c r="CI162" s="170">
        <v>52</v>
      </c>
      <c r="CJ162" s="217">
        <f t="shared" si="428"/>
        <v>1.3</v>
      </c>
      <c r="CK162" s="217"/>
      <c r="CL162" s="217">
        <f t="shared" si="368"/>
        <v>36.4</v>
      </c>
      <c r="CM162" s="541">
        <f t="shared" si="369"/>
        <v>19</v>
      </c>
      <c r="CN162" s="443">
        <f t="shared" si="370"/>
        <v>28.4</v>
      </c>
      <c r="CO162" s="443">
        <f t="shared" si="371"/>
        <v>47.4</v>
      </c>
      <c r="CP162" s="443"/>
      <c r="CQ162" s="217">
        <f t="shared" si="372"/>
        <v>0.59915611814345993</v>
      </c>
      <c r="CR162" s="172">
        <f t="shared" si="429"/>
        <v>95.556689708830859</v>
      </c>
      <c r="CS162" s="172">
        <f t="shared" si="373"/>
        <v>36.4</v>
      </c>
      <c r="CT162" s="217">
        <f t="shared" si="374"/>
        <v>3.4127389181725305</v>
      </c>
      <c r="CU162" s="217">
        <f t="shared" si="375"/>
        <v>28</v>
      </c>
      <c r="CV162" s="217"/>
      <c r="CW162" s="172">
        <f t="shared" si="376"/>
        <v>102.86846638058</v>
      </c>
      <c r="CX162" s="172">
        <f t="shared" si="377"/>
        <v>28</v>
      </c>
      <c r="CY162" s="217">
        <f t="shared" si="378"/>
        <v>6.3949592290585615</v>
      </c>
      <c r="CZ162" s="217">
        <f t="shared" si="379"/>
        <v>1.5819109671881706</v>
      </c>
      <c r="DA162" s="217">
        <f t="shared" si="380"/>
        <v>1.0583207174850437</v>
      </c>
      <c r="DB162" s="197">
        <f t="shared" si="381"/>
        <v>350</v>
      </c>
      <c r="DC162" s="443">
        <f t="shared" si="382"/>
        <v>350</v>
      </c>
      <c r="DE162" s="217">
        <f t="shared" si="383"/>
        <v>6.9203442217177731</v>
      </c>
      <c r="DF162" s="173">
        <f t="shared" si="384"/>
        <v>1.1452682338758289</v>
      </c>
      <c r="DG162" s="173">
        <f t="shared" si="385"/>
        <v>1.3869888208084145</v>
      </c>
      <c r="DH162" s="173"/>
      <c r="DI162" s="173">
        <f t="shared" si="386"/>
        <v>0.55164319248826299</v>
      </c>
      <c r="DJ162" s="545">
        <f t="shared" si="387"/>
        <v>1413.9574468085104</v>
      </c>
      <c r="DK162" s="528">
        <f t="shared" si="388"/>
        <v>0.3217918622848201</v>
      </c>
      <c r="DM162" s="173">
        <f t="shared" si="389"/>
        <v>6.6998162656837819</v>
      </c>
      <c r="DN162" s="173">
        <f t="shared" si="390"/>
        <v>6.6998162656837819</v>
      </c>
      <c r="DO162" s="173">
        <f t="shared" si="391"/>
        <v>3.6936910610003322</v>
      </c>
      <c r="DQ162" s="545">
        <f t="shared" si="392"/>
        <v>1300</v>
      </c>
      <c r="DR162" s="460">
        <f t="shared" si="393"/>
        <v>350</v>
      </c>
      <c r="DT162">
        <f t="shared" si="430"/>
        <v>1300</v>
      </c>
      <c r="DU162">
        <f t="shared" si="431"/>
        <v>350</v>
      </c>
      <c r="DW162" s="5">
        <f t="shared" si="394"/>
        <v>2.8571428571428572</v>
      </c>
      <c r="DX162" s="5">
        <f t="shared" si="395"/>
        <v>1.6573229709849355</v>
      </c>
      <c r="DY162" s="5">
        <f t="shared" si="396"/>
        <v>1.1998198861579217</v>
      </c>
      <c r="DZ162" s="5"/>
      <c r="EA162" s="173">
        <f t="shared" si="397"/>
        <v>0.5800630398447274</v>
      </c>
      <c r="EB162" s="173">
        <f t="shared" si="398"/>
        <v>36.920000000000009</v>
      </c>
      <c r="EC162" s="173">
        <f t="shared" si="399"/>
        <v>1.4067502381050487</v>
      </c>
      <c r="ED162" s="173">
        <f t="shared" si="400"/>
        <v>26.24488626334465</v>
      </c>
      <c r="EE162" s="460">
        <f t="shared" si="401"/>
        <v>7.6947137938586305</v>
      </c>
      <c r="EF162" s="5">
        <f t="shared" si="402"/>
        <v>1.6418587915845242</v>
      </c>
      <c r="EH162" s="173">
        <f t="shared" si="403"/>
        <v>2.9460482989873911</v>
      </c>
      <c r="EI162" s="173">
        <f t="shared" si="404"/>
        <v>2.5066535629547668</v>
      </c>
      <c r="EK162" s="528">
        <f t="shared" si="405"/>
        <v>0.104150406959598</v>
      </c>
      <c r="EL162" s="528">
        <f t="shared" si="406"/>
        <v>2.1118490851061851</v>
      </c>
      <c r="EM162" s="528">
        <f t="shared" si="407"/>
        <v>4.0250000000000001E-2</v>
      </c>
      <c r="EN162" s="528">
        <f t="shared" si="408"/>
        <v>0.38728525499999999</v>
      </c>
      <c r="EO162">
        <f t="shared" si="409"/>
        <v>8.5500000000000003E-3</v>
      </c>
      <c r="EP162" s="460">
        <f t="shared" si="410"/>
        <v>48.800000000000004</v>
      </c>
      <c r="EQ162" s="460"/>
      <c r="ER162" s="460">
        <f t="shared" si="432"/>
        <v>2652.0847470657832</v>
      </c>
      <c r="ES162" s="528">
        <f t="shared" si="411"/>
        <v>0.90999999999999992</v>
      </c>
      <c r="EV162" s="460">
        <f t="shared" si="412"/>
        <v>909.99999999999989</v>
      </c>
      <c r="EW162" s="528">
        <f t="shared" si="413"/>
        <v>0.12150880811953099</v>
      </c>
      <c r="EX162" s="528">
        <f t="shared" si="414"/>
        <v>8.7966369185433588E-2</v>
      </c>
      <c r="EY162" s="528">
        <f t="shared" si="415"/>
        <v>13.313656489697086</v>
      </c>
      <c r="EZ162" s="528"/>
      <c r="FA162" s="528">
        <f t="shared" si="416"/>
        <v>1.5710638297872344</v>
      </c>
      <c r="FB162" s="460">
        <f t="shared" si="417"/>
        <v>15094.195496789287</v>
      </c>
      <c r="FC162" s="173">
        <f t="shared" si="418"/>
        <v>18.656280243855068</v>
      </c>
      <c r="FD162" s="5">
        <f t="shared" si="419"/>
        <v>36.4</v>
      </c>
      <c r="FE162" s="173">
        <f t="shared" si="420"/>
        <v>0.6611416506668677</v>
      </c>
      <c r="FF162" s="5">
        <f t="shared" si="421"/>
        <v>66.114165066686766</v>
      </c>
      <c r="FI162" s="562">
        <f t="shared" si="422"/>
        <v>-50</v>
      </c>
      <c r="FJ162">
        <f t="shared" si="423"/>
        <v>-50</v>
      </c>
      <c r="FL162">
        <f t="shared" si="475"/>
        <v>0.38807034355809233</v>
      </c>
    </row>
    <row r="163" spans="5:168">
      <c r="E163" s="170">
        <v>53</v>
      </c>
      <c r="F163" s="217">
        <f t="shared" si="476"/>
        <v>1.3250000000000002</v>
      </c>
      <c r="G163" s="217"/>
      <c r="H163" s="217">
        <f t="shared" si="442"/>
        <v>37.100000000000009</v>
      </c>
      <c r="I163" s="541">
        <f t="shared" si="443"/>
        <v>18.912690328580368</v>
      </c>
      <c r="J163" s="172">
        <f t="shared" si="444"/>
        <v>28.447012899995187</v>
      </c>
      <c r="K163" s="172">
        <f t="shared" si="445"/>
        <v>47.359703228575555</v>
      </c>
      <c r="L163" s="443"/>
      <c r="M163" s="217">
        <f t="shared" si="446"/>
        <v>0.60066141858241662</v>
      </c>
      <c r="N163" s="172">
        <f t="shared" si="447"/>
        <v>95.356553563174145</v>
      </c>
      <c r="O163" s="172">
        <f t="shared" si="438"/>
        <v>37.100000000000009</v>
      </c>
      <c r="P163" s="217">
        <f t="shared" si="448"/>
        <v>3.4055911986847911</v>
      </c>
      <c r="Q163" s="217">
        <f t="shared" si="449"/>
        <v>28</v>
      </c>
      <c r="R163" s="217"/>
      <c r="S163" s="172">
        <f t="shared" si="450"/>
        <v>100.11031425181642</v>
      </c>
      <c r="T163" s="172">
        <f t="shared" si="451"/>
        <v>28</v>
      </c>
      <c r="U163" s="217">
        <f t="shared" si="452"/>
        <v>6.6359728894537469</v>
      </c>
      <c r="V163" s="217">
        <f t="shared" si="453"/>
        <v>1.6491081934176486</v>
      </c>
      <c r="W163" s="217">
        <f t="shared" si="454"/>
        <v>1.0963918317215613</v>
      </c>
      <c r="X163" s="197">
        <f t="shared" si="455"/>
        <v>350</v>
      </c>
      <c r="Y163" s="443">
        <f t="shared" si="328"/>
        <v>339.50093072999994</v>
      </c>
      <c r="AA163" s="217">
        <f t="shared" si="456"/>
        <v>6.9058176535019538</v>
      </c>
      <c r="AB163" s="173">
        <f t="shared" si="457"/>
        <v>1.1409754368784593</v>
      </c>
      <c r="AC163" s="173">
        <f t="shared" si="458"/>
        <v>1.3788894549862893</v>
      </c>
      <c r="AD163" s="173"/>
      <c r="AE163" s="173">
        <f t="shared" si="459"/>
        <v>0.55073152044970308</v>
      </c>
      <c r="AF163" s="545">
        <f t="shared" si="460"/>
        <v>1443.5345907763515</v>
      </c>
      <c r="AG163" s="528">
        <f t="shared" si="461"/>
        <v>0.32126005359566018</v>
      </c>
      <c r="AI163" s="173">
        <f t="shared" si="462"/>
        <v>6.7695269365946835</v>
      </c>
      <c r="AJ163" s="173">
        <f t="shared" si="463"/>
        <v>6.7695269365946835</v>
      </c>
      <c r="AK163" s="173">
        <f t="shared" si="464"/>
        <v>3.7453285950084076</v>
      </c>
      <c r="AM163" s="545">
        <f t="shared" si="465"/>
        <v>1325.0000000000002</v>
      </c>
      <c r="AN163" s="460">
        <f t="shared" si="466"/>
        <v>339.50093072999994</v>
      </c>
      <c r="AP163">
        <f t="shared" si="467"/>
        <v>1325.0000000000002</v>
      </c>
      <c r="AQ163">
        <f t="shared" si="468"/>
        <v>339.50093072999994</v>
      </c>
      <c r="AS163" s="5">
        <f t="shared" si="439"/>
        <v>2.9455000251392098</v>
      </c>
      <c r="AT163" s="5">
        <f t="shared" si="469"/>
        <v>1.6822977614091383</v>
      </c>
      <c r="AU163" s="5">
        <f t="shared" si="343"/>
        <v>1.2632022637300715</v>
      </c>
      <c r="AV163" s="5"/>
      <c r="AW163" s="173">
        <f t="shared" si="344"/>
        <v>0.57114165576339782</v>
      </c>
      <c r="AX163" s="173">
        <f t="shared" si="435"/>
        <v>36.561623562138855</v>
      </c>
      <c r="AY163" s="173">
        <f t="shared" si="436"/>
        <v>1.451584056646537</v>
      </c>
      <c r="AZ163" s="173">
        <f t="shared" si="440"/>
        <v>25.187396757859037</v>
      </c>
      <c r="BA163" s="460">
        <f t="shared" si="433"/>
        <v>7.9608733352396746</v>
      </c>
      <c r="BB163" s="5">
        <f t="shared" si="434"/>
        <v>1.7699681751919003</v>
      </c>
      <c r="BD163" s="173">
        <f t="shared" si="441"/>
        <v>2.9537219571743023</v>
      </c>
      <c r="BE163" s="173">
        <f t="shared" si="437"/>
        <v>2.5594970042569058</v>
      </c>
      <c r="BG163" s="528">
        <f t="shared" si="347"/>
        <v>0.10469368080352311</v>
      </c>
      <c r="BH163" s="528">
        <f t="shared" si="470"/>
        <v>1.9864202368396575</v>
      </c>
      <c r="BI163" s="528">
        <f t="shared" si="349"/>
        <v>3.9042607033950003E-2</v>
      </c>
      <c r="BJ163" s="528">
        <f t="shared" si="350"/>
        <v>0.37502925627132749</v>
      </c>
      <c r="BK163">
        <f t="shared" si="351"/>
        <v>8.5107106478611652E-3</v>
      </c>
      <c r="BL163" s="460">
        <f t="shared" si="427"/>
        <v>47.553317681811166</v>
      </c>
      <c r="BM163" s="528">
        <f t="shared" si="471"/>
        <v>2.558042329767384</v>
      </c>
      <c r="BN163" s="460">
        <f t="shared" si="353"/>
        <v>2558.0423297673842</v>
      </c>
      <c r="BO163" s="528">
        <f t="shared" si="354"/>
        <v>0.9275000000000001</v>
      </c>
      <c r="BR163" s="460">
        <f t="shared" si="355"/>
        <v>927.50000000000011</v>
      </c>
      <c r="BS163" s="528">
        <f t="shared" si="356"/>
        <v>0.12214262760411029</v>
      </c>
      <c r="BT163" s="528">
        <f t="shared" si="357"/>
        <v>9.1714348807201057E-2</v>
      </c>
      <c r="BU163" s="528">
        <f t="shared" si="358"/>
        <v>12.661006422348168</v>
      </c>
      <c r="BV163" s="528"/>
      <c r="BW163" s="528">
        <f t="shared" si="359"/>
        <v>1.555813768601654</v>
      </c>
      <c r="BX163" s="460">
        <f t="shared" si="360"/>
        <v>14430.677167361133</v>
      </c>
      <c r="BY163" s="173">
        <f t="shared" si="361"/>
        <v>17.871873658957455</v>
      </c>
      <c r="BZ163" s="5">
        <f t="shared" si="362"/>
        <v>37.100000000000009</v>
      </c>
      <c r="CA163" s="173">
        <f t="shared" si="363"/>
        <v>0.67489058550498759</v>
      </c>
      <c r="CB163" s="5">
        <f t="shared" si="364"/>
        <v>67.489058550498754</v>
      </c>
      <c r="CE163" s="562">
        <f t="shared" si="472"/>
        <v>-50</v>
      </c>
      <c r="CF163">
        <f t="shared" si="473"/>
        <v>-50</v>
      </c>
      <c r="CG163" s="173">
        <f t="shared" si="474"/>
        <v>0.39457255353103315</v>
      </c>
      <c r="CI163" s="170">
        <v>53</v>
      </c>
      <c r="CJ163" s="217">
        <f t="shared" si="428"/>
        <v>1.3250000000000002</v>
      </c>
      <c r="CK163" s="217"/>
      <c r="CL163" s="217">
        <f t="shared" si="368"/>
        <v>37.100000000000009</v>
      </c>
      <c r="CM163" s="541">
        <f t="shared" si="369"/>
        <v>19</v>
      </c>
      <c r="CN163" s="443">
        <f t="shared" si="370"/>
        <v>28.4</v>
      </c>
      <c r="CO163" s="443">
        <f t="shared" si="371"/>
        <v>47.4</v>
      </c>
      <c r="CP163" s="443"/>
      <c r="CQ163" s="217">
        <f t="shared" si="372"/>
        <v>0.59915611814345993</v>
      </c>
      <c r="CR163" s="172">
        <f t="shared" si="429"/>
        <v>95.556689708830859</v>
      </c>
      <c r="CS163" s="172">
        <f t="shared" si="373"/>
        <v>37.100000000000009</v>
      </c>
      <c r="CT163" s="217">
        <f t="shared" si="374"/>
        <v>3.4127389181725305</v>
      </c>
      <c r="CU163" s="217">
        <f t="shared" si="375"/>
        <v>28</v>
      </c>
      <c r="CV163" s="217"/>
      <c r="CW163" s="172">
        <f t="shared" si="376"/>
        <v>100.57212364497953</v>
      </c>
      <c r="CX163" s="172">
        <f t="shared" si="377"/>
        <v>28</v>
      </c>
      <c r="CY163" s="217">
        <f t="shared" si="378"/>
        <v>6.5179392142327659</v>
      </c>
      <c r="CZ163" s="217">
        <f t="shared" si="379"/>
        <v>1.6123323319417895</v>
      </c>
      <c r="DA163" s="217">
        <f t="shared" si="380"/>
        <v>1.0786730389751409</v>
      </c>
      <c r="DB163" s="197">
        <f t="shared" si="381"/>
        <v>350</v>
      </c>
      <c r="DC163" s="443">
        <f t="shared" si="382"/>
        <v>350</v>
      </c>
      <c r="DE163" s="217">
        <f t="shared" si="383"/>
        <v>6.9203442217177731</v>
      </c>
      <c r="DF163" s="173">
        <f t="shared" si="384"/>
        <v>1.1452682338758289</v>
      </c>
      <c r="DG163" s="173">
        <f t="shared" si="385"/>
        <v>1.3869888208084145</v>
      </c>
      <c r="DH163" s="173"/>
      <c r="DI163" s="173">
        <f t="shared" si="386"/>
        <v>0.55164319248826299</v>
      </c>
      <c r="DJ163" s="545">
        <f t="shared" si="387"/>
        <v>1441.1489361702127</v>
      </c>
      <c r="DK163" s="528">
        <f t="shared" si="388"/>
        <v>0.3217918622848201</v>
      </c>
      <c r="DM163" s="173">
        <f t="shared" si="389"/>
        <v>6.7639308008301988</v>
      </c>
      <c r="DN163" s="173">
        <f t="shared" si="390"/>
        <v>6.7639308008301988</v>
      </c>
      <c r="DO163" s="173">
        <f t="shared" si="391"/>
        <v>3.7411833092569369</v>
      </c>
      <c r="DQ163" s="545">
        <f t="shared" si="392"/>
        <v>1325.0000000000002</v>
      </c>
      <c r="DR163" s="460">
        <f t="shared" si="393"/>
        <v>350</v>
      </c>
      <c r="DT163">
        <f t="shared" si="430"/>
        <v>1325.0000000000002</v>
      </c>
      <c r="DU163">
        <f t="shared" si="431"/>
        <v>350</v>
      </c>
      <c r="DW163" s="5">
        <f t="shared" si="394"/>
        <v>2.8571428571428572</v>
      </c>
      <c r="DX163" s="5">
        <f t="shared" si="395"/>
        <v>1.6731828823106281</v>
      </c>
      <c r="DY163" s="5">
        <f t="shared" si="396"/>
        <v>1.1839599748322291</v>
      </c>
      <c r="DZ163" s="5"/>
      <c r="EA163" s="173">
        <f t="shared" si="397"/>
        <v>0.58561400880871983</v>
      </c>
      <c r="EB163" s="173">
        <f t="shared" si="398"/>
        <v>37.629999999999995</v>
      </c>
      <c r="EC163" s="173">
        <f t="shared" si="399"/>
        <v>1.4014390846256257</v>
      </c>
      <c r="ED163" s="173">
        <f t="shared" si="400"/>
        <v>26.850970843340157</v>
      </c>
      <c r="EE163" s="460">
        <f t="shared" si="401"/>
        <v>7.9177404252199368</v>
      </c>
      <c r="EF163" s="5">
        <f t="shared" si="402"/>
        <v>1.6513125964765303</v>
      </c>
      <c r="EH163" s="173">
        <f t="shared" si="403"/>
        <v>2.9884380479020787</v>
      </c>
      <c r="EI163" s="173">
        <f t="shared" si="404"/>
        <v>2.5138598462638484</v>
      </c>
      <c r="EK163" s="528">
        <f t="shared" si="405"/>
        <v>0.10716914359378543</v>
      </c>
      <c r="EL163" s="528">
        <f t="shared" si="406"/>
        <v>2.1320586277296867</v>
      </c>
      <c r="EM163" s="528">
        <f t="shared" si="407"/>
        <v>4.0250000000000001E-2</v>
      </c>
      <c r="EN163" s="528">
        <f t="shared" si="408"/>
        <v>0.38728525499999999</v>
      </c>
      <c r="EO163">
        <f t="shared" si="409"/>
        <v>8.5500000000000003E-3</v>
      </c>
      <c r="EP163" s="460">
        <f t="shared" si="410"/>
        <v>48.800000000000004</v>
      </c>
      <c r="EQ163" s="460"/>
      <c r="ER163" s="460">
        <f t="shared" si="432"/>
        <v>2675.3130263234725</v>
      </c>
      <c r="ES163" s="528">
        <f t="shared" si="411"/>
        <v>0.9275000000000001</v>
      </c>
      <c r="EV163" s="460">
        <f t="shared" si="412"/>
        <v>927.50000000000011</v>
      </c>
      <c r="EW163" s="528">
        <f t="shared" si="413"/>
        <v>0.12503066752608302</v>
      </c>
      <c r="EX163" s="528">
        <f t="shared" si="414"/>
        <v>8.8472878573207792E-2</v>
      </c>
      <c r="EY163" s="528">
        <f t="shared" si="415"/>
        <v>13.634461967758515</v>
      </c>
      <c r="EZ163" s="528"/>
      <c r="FA163" s="528">
        <f t="shared" si="416"/>
        <v>1.6012765957446811</v>
      </c>
      <c r="FB163" s="460">
        <f t="shared" si="417"/>
        <v>15449.242109602486</v>
      </c>
      <c r="FC163" s="173">
        <f t="shared" si="418"/>
        <v>19.052055135925961</v>
      </c>
      <c r="FD163" s="5">
        <f t="shared" si="419"/>
        <v>37.100000000000009</v>
      </c>
      <c r="FE163" s="173">
        <f t="shared" si="420"/>
        <v>0.6607060046189388</v>
      </c>
      <c r="FF163" s="5">
        <f t="shared" si="421"/>
        <v>66.070600461893875</v>
      </c>
      <c r="FI163" s="562">
        <f t="shared" si="422"/>
        <v>-50</v>
      </c>
      <c r="FJ163">
        <f t="shared" si="423"/>
        <v>-50</v>
      </c>
      <c r="FL163">
        <f t="shared" si="475"/>
        <v>0.39178401997766471</v>
      </c>
    </row>
    <row r="164" spans="5:168">
      <c r="E164" s="170">
        <v>54</v>
      </c>
      <c r="F164" s="217">
        <f t="shared" si="476"/>
        <v>1.35</v>
      </c>
      <c r="G164" s="217"/>
      <c r="H164" s="217">
        <f t="shared" si="442"/>
        <v>37.800000000000004</v>
      </c>
      <c r="I164" s="541">
        <f t="shared" si="443"/>
        <v>18.91031897642182</v>
      </c>
      <c r="J164" s="172">
        <f t="shared" si="444"/>
        <v>28.448289781926711</v>
      </c>
      <c r="K164" s="172">
        <f t="shared" si="445"/>
        <v>47.358608758348531</v>
      </c>
      <c r="L164" s="443"/>
      <c r="M164" s="217">
        <f t="shared" si="446"/>
        <v>0.60069524426935184</v>
      </c>
      <c r="N164" s="172">
        <f t="shared" si="447"/>
        <v>95.349966601922645</v>
      </c>
      <c r="O164" s="172">
        <f t="shared" si="438"/>
        <v>37.800000000000004</v>
      </c>
      <c r="P164" s="217">
        <f t="shared" si="448"/>
        <v>3.4053559500686661</v>
      </c>
      <c r="Q164" s="217">
        <f t="shared" si="449"/>
        <v>28</v>
      </c>
      <c r="R164" s="217"/>
      <c r="S164" s="172">
        <f t="shared" si="450"/>
        <v>97.896996842490935</v>
      </c>
      <c r="T164" s="172">
        <f t="shared" si="451"/>
        <v>28</v>
      </c>
      <c r="U164" s="217">
        <f t="shared" si="452"/>
        <v>6.7617526744942911</v>
      </c>
      <c r="V164" s="217">
        <f t="shared" si="453"/>
        <v>1.6805764942277337</v>
      </c>
      <c r="W164" s="217">
        <f t="shared" si="454"/>
        <v>1.1171229558521036</v>
      </c>
      <c r="X164" s="197">
        <f t="shared" si="455"/>
        <v>350</v>
      </c>
      <c r="Y164" s="443">
        <f t="shared" si="328"/>
        <v>333.58914616118938</v>
      </c>
      <c r="AA164" s="217">
        <f t="shared" si="456"/>
        <v>6.9054212936084562</v>
      </c>
      <c r="AB164" s="173">
        <f t="shared" si="457"/>
        <v>1.140858741553554</v>
      </c>
      <c r="AC164" s="173">
        <f t="shared" si="458"/>
        <v>1.3786692932115703</v>
      </c>
      <c r="AD164" s="173"/>
      <c r="AE164" s="173">
        <f t="shared" si="459"/>
        <v>0.55070680124398019</v>
      </c>
      <c r="AF164" s="545">
        <f t="shared" si="460"/>
        <v>1470.8371100017428</v>
      </c>
      <c r="AG164" s="528">
        <f t="shared" si="461"/>
        <v>0.32124563405898843</v>
      </c>
      <c r="AI164" s="173">
        <f t="shared" si="462"/>
        <v>6.8332453188332787</v>
      </c>
      <c r="AJ164" s="173">
        <f t="shared" si="463"/>
        <v>6.8332453188332787</v>
      </c>
      <c r="AK164" s="173">
        <f t="shared" si="464"/>
        <v>3.7925273966666264</v>
      </c>
      <c r="AM164" s="545">
        <f t="shared" si="465"/>
        <v>1350</v>
      </c>
      <c r="AN164" s="460">
        <f t="shared" si="466"/>
        <v>333.58914616118938</v>
      </c>
      <c r="AP164">
        <f t="shared" si="467"/>
        <v>1350</v>
      </c>
      <c r="AQ164">
        <f t="shared" si="468"/>
        <v>333.58914616118938</v>
      </c>
      <c r="AS164" s="5">
        <f t="shared" si="439"/>
        <v>2.9976994500798377</v>
      </c>
      <c r="AT164" s="5">
        <f t="shared" si="469"/>
        <v>1.6983453869054403</v>
      </c>
      <c r="AU164" s="5">
        <f t="shared" si="343"/>
        <v>1.2993540631743974</v>
      </c>
      <c r="AV164" s="5"/>
      <c r="AW164" s="173">
        <f t="shared" si="344"/>
        <v>0.56654958750458062</v>
      </c>
      <c r="AX164" s="173">
        <f t="shared" si="435"/>
        <v>36.604442692667654</v>
      </c>
      <c r="AY164" s="173">
        <f t="shared" si="436"/>
        <v>1.480936501065339</v>
      </c>
      <c r="AZ164" s="173">
        <f t="shared" si="440"/>
        <v>24.717091290771464</v>
      </c>
      <c r="BA164" s="460">
        <f t="shared" si="433"/>
        <v>8.1884509725798011</v>
      </c>
      <c r="BB164" s="5">
        <f t="shared" si="434"/>
        <v>1.8552071887021651</v>
      </c>
      <c r="BD164" s="173">
        <f t="shared" si="441"/>
        <v>2.9695138075993062</v>
      </c>
      <c r="BE164" s="173">
        <f t="shared" si="437"/>
        <v>2.5973836083507909</v>
      </c>
      <c r="BG164" s="528">
        <f t="shared" si="347"/>
        <v>0.10581614704227514</v>
      </c>
      <c r="BH164" s="528">
        <f t="shared" si="470"/>
        <v>1.9701565133968884</v>
      </c>
      <c r="BI164" s="528">
        <f t="shared" si="349"/>
        <v>3.836275180853678E-2</v>
      </c>
      <c r="BJ164" s="528">
        <f t="shared" si="350"/>
        <v>0.36848177960512252</v>
      </c>
      <c r="BK164">
        <f t="shared" si="351"/>
        <v>8.5096435393898183E-3</v>
      </c>
      <c r="BL164" s="460">
        <f t="shared" si="427"/>
        <v>46.872395347926599</v>
      </c>
      <c r="BM164" s="528">
        <f t="shared" si="471"/>
        <v>2.5368049377621871</v>
      </c>
      <c r="BN164" s="460">
        <f t="shared" si="353"/>
        <v>2536.8049377621869</v>
      </c>
      <c r="BO164" s="528">
        <f t="shared" si="354"/>
        <v>0.94499999999999995</v>
      </c>
      <c r="BR164" s="460">
        <f t="shared" si="355"/>
        <v>945</v>
      </c>
      <c r="BS164" s="528">
        <f t="shared" si="356"/>
        <v>0.123452171549321</v>
      </c>
      <c r="BT164" s="528">
        <f t="shared" si="357"/>
        <v>9.444962252501124E-2</v>
      </c>
      <c r="BU164" s="528">
        <f t="shared" si="358"/>
        <v>12.404158728405756</v>
      </c>
      <c r="BV164" s="528"/>
      <c r="BW164" s="528">
        <f t="shared" si="359"/>
        <v>1.5576358592624535</v>
      </c>
      <c r="BX164" s="460">
        <f t="shared" si="360"/>
        <v>14179.696381742542</v>
      </c>
      <c r="BY164" s="173">
        <f t="shared" si="361"/>
        <v>17.616023217134757</v>
      </c>
      <c r="BZ164" s="5">
        <f t="shared" si="362"/>
        <v>37.800000000000004</v>
      </c>
      <c r="CA164" s="173">
        <f t="shared" si="363"/>
        <v>0.68211318325549131</v>
      </c>
      <c r="CB164" s="5">
        <f t="shared" si="364"/>
        <v>68.211318325549129</v>
      </c>
      <c r="CE164" s="562">
        <f t="shared" si="472"/>
        <v>-50</v>
      </c>
      <c r="CF164">
        <f t="shared" si="473"/>
        <v>-50</v>
      </c>
      <c r="CG164" s="173">
        <f t="shared" si="474"/>
        <v>0.39138714746494213</v>
      </c>
      <c r="CI164" s="170">
        <v>54</v>
      </c>
      <c r="CJ164" s="217">
        <f t="shared" si="428"/>
        <v>1.35</v>
      </c>
      <c r="CK164" s="217"/>
      <c r="CL164" s="217">
        <f t="shared" si="368"/>
        <v>37.800000000000004</v>
      </c>
      <c r="CM164" s="541">
        <f t="shared" si="369"/>
        <v>19</v>
      </c>
      <c r="CN164" s="443">
        <f t="shared" si="370"/>
        <v>28.4</v>
      </c>
      <c r="CO164" s="443">
        <f t="shared" si="371"/>
        <v>47.4</v>
      </c>
      <c r="CP164" s="443"/>
      <c r="CQ164" s="217">
        <f t="shared" si="372"/>
        <v>0.59915611814345993</v>
      </c>
      <c r="CR164" s="172">
        <f t="shared" si="429"/>
        <v>95.556689708830859</v>
      </c>
      <c r="CS164" s="172">
        <f t="shared" si="373"/>
        <v>37.800000000000004</v>
      </c>
      <c r="CT164" s="217">
        <f t="shared" si="374"/>
        <v>3.4127389181725305</v>
      </c>
      <c r="CU164" s="217">
        <f t="shared" si="375"/>
        <v>28</v>
      </c>
      <c r="CV164" s="217"/>
      <c r="CW164" s="172">
        <f t="shared" si="376"/>
        <v>98.360904145259184</v>
      </c>
      <c r="CX164" s="172">
        <f t="shared" si="377"/>
        <v>28</v>
      </c>
      <c r="CY164" s="217">
        <f t="shared" si="378"/>
        <v>6.6409191994069685</v>
      </c>
      <c r="CZ164" s="217">
        <f t="shared" si="379"/>
        <v>1.6427536966954079</v>
      </c>
      <c r="DA164" s="217">
        <f t="shared" si="380"/>
        <v>1.0990253604652378</v>
      </c>
      <c r="DB164" s="197">
        <f t="shared" si="381"/>
        <v>350</v>
      </c>
      <c r="DC164" s="443">
        <f t="shared" si="382"/>
        <v>350</v>
      </c>
      <c r="DE164" s="217">
        <f t="shared" si="383"/>
        <v>6.9203442217177731</v>
      </c>
      <c r="DF164" s="173">
        <f t="shared" si="384"/>
        <v>1.1452682338758289</v>
      </c>
      <c r="DG164" s="173">
        <f t="shared" si="385"/>
        <v>1.3869888208084145</v>
      </c>
      <c r="DH164" s="173"/>
      <c r="DI164" s="173">
        <f t="shared" si="386"/>
        <v>0.55164319248826299</v>
      </c>
      <c r="DJ164" s="545">
        <f t="shared" si="387"/>
        <v>1468.3404255319149</v>
      </c>
      <c r="DK164" s="528">
        <f t="shared" si="388"/>
        <v>0.3217918622848201</v>
      </c>
      <c r="DM164" s="173">
        <f t="shared" si="389"/>
        <v>6.8274432815599386</v>
      </c>
      <c r="DN164" s="173">
        <f t="shared" si="390"/>
        <v>6.8274432815599386</v>
      </c>
      <c r="DO164" s="173">
        <f t="shared" si="391"/>
        <v>3.7882295912789665</v>
      </c>
      <c r="DQ164" s="545">
        <f t="shared" si="392"/>
        <v>1350</v>
      </c>
      <c r="DR164" s="460">
        <f t="shared" si="393"/>
        <v>350</v>
      </c>
      <c r="DT164">
        <f t="shared" si="430"/>
        <v>1350</v>
      </c>
      <c r="DU164">
        <f t="shared" si="431"/>
        <v>350</v>
      </c>
      <c r="DW164" s="5">
        <f t="shared" si="394"/>
        <v>2.8571428571428572</v>
      </c>
      <c r="DX164" s="5">
        <f t="shared" si="395"/>
        <v>1.6888938643858795</v>
      </c>
      <c r="DY164" s="5">
        <f t="shared" si="396"/>
        <v>1.1682489927569777</v>
      </c>
      <c r="DZ164" s="5"/>
      <c r="EA164" s="173">
        <f t="shared" si="397"/>
        <v>0.59111285253505785</v>
      </c>
      <c r="EB164" s="173">
        <f t="shared" si="398"/>
        <v>38.340000000000003</v>
      </c>
      <c r="EC164" s="173">
        <f t="shared" si="399"/>
        <v>1.3958269039378637</v>
      </c>
      <c r="ED164" s="173">
        <f t="shared" si="400"/>
        <v>27.46758920596557</v>
      </c>
      <c r="EE164" s="460">
        <f t="shared" si="401"/>
        <v>8.1428811318604915</v>
      </c>
      <c r="EF164" s="5">
        <f t="shared" si="402"/>
        <v>1.6601433054967578</v>
      </c>
      <c r="EH164" s="173">
        <f t="shared" si="403"/>
        <v>3.030628302728418</v>
      </c>
      <c r="EI164" s="173">
        <f t="shared" si="404"/>
        <v>2.5205725563201145</v>
      </c>
      <c r="EK164" s="528">
        <f t="shared" si="405"/>
        <v>0.11021649491158238</v>
      </c>
      <c r="EL164" s="528">
        <f t="shared" si="406"/>
        <v>2.1520783967805084</v>
      </c>
      <c r="EM164" s="528">
        <f t="shared" si="407"/>
        <v>4.0250000000000001E-2</v>
      </c>
      <c r="EN164" s="528">
        <f t="shared" si="408"/>
        <v>0.38728525499999999</v>
      </c>
      <c r="EO164">
        <f t="shared" si="409"/>
        <v>8.5500000000000003E-3</v>
      </c>
      <c r="EP164" s="460">
        <f t="shared" si="410"/>
        <v>48.800000000000004</v>
      </c>
      <c r="EQ164" s="460"/>
      <c r="ER164" s="460">
        <f t="shared" si="432"/>
        <v>2698.3801466920909</v>
      </c>
      <c r="ES164" s="528">
        <f t="shared" si="411"/>
        <v>0.94499999999999995</v>
      </c>
      <c r="EV164" s="460">
        <f t="shared" si="412"/>
        <v>945</v>
      </c>
      <c r="EW164" s="528">
        <f t="shared" si="413"/>
        <v>0.12858591073017944</v>
      </c>
      <c r="EX164" s="528">
        <f t="shared" si="414"/>
        <v>8.8946004163437634E-2</v>
      </c>
      <c r="EY164" s="528">
        <f t="shared" si="415"/>
        <v>13.956784332715031</v>
      </c>
      <c r="EZ164" s="528"/>
      <c r="FA164" s="528">
        <f t="shared" si="416"/>
        <v>1.6314893617021282</v>
      </c>
      <c r="FB164" s="460">
        <f t="shared" si="417"/>
        <v>15805.805609310777</v>
      </c>
      <c r="FC164" s="173">
        <f t="shared" si="418"/>
        <v>19.449185756002869</v>
      </c>
      <c r="FD164" s="5">
        <f t="shared" si="419"/>
        <v>37.800000000000004</v>
      </c>
      <c r="FE164" s="173">
        <f t="shared" si="420"/>
        <v>0.66027139951132807</v>
      </c>
      <c r="FF164" s="5">
        <f t="shared" si="421"/>
        <v>66.02713995113281</v>
      </c>
      <c r="FI164" s="562">
        <f t="shared" si="422"/>
        <v>-50</v>
      </c>
      <c r="FJ164">
        <f t="shared" si="423"/>
        <v>-50</v>
      </c>
      <c r="FL164">
        <f t="shared" si="475"/>
        <v>0.39546282387908804</v>
      </c>
    </row>
    <row r="165" spans="5:168">
      <c r="E165" s="170">
        <v>55</v>
      </c>
      <c r="F165" s="217">
        <f t="shared" si="476"/>
        <v>1.375</v>
      </c>
      <c r="G165" s="217"/>
      <c r="H165" s="217">
        <f t="shared" si="442"/>
        <v>38.5</v>
      </c>
      <c r="I165" s="541">
        <f t="shared" si="443"/>
        <v>18.907368778093467</v>
      </c>
      <c r="J165" s="172">
        <f t="shared" si="444"/>
        <v>28.449878350257364</v>
      </c>
      <c r="K165" s="172">
        <f t="shared" si="445"/>
        <v>47.357247128350835</v>
      </c>
      <c r="L165" s="443"/>
      <c r="M165" s="217">
        <f t="shared" si="446"/>
        <v>0.60073638110661398</v>
      </c>
      <c r="N165" s="172">
        <f t="shared" si="447"/>
        <v>95.34161979809123</v>
      </c>
      <c r="O165" s="172">
        <f t="shared" si="438"/>
        <v>38.5</v>
      </c>
      <c r="P165" s="217">
        <f t="shared" si="448"/>
        <v>3.4050578499318296</v>
      </c>
      <c r="Q165" s="217">
        <f t="shared" si="449"/>
        <v>28</v>
      </c>
      <c r="R165" s="217"/>
      <c r="S165" s="172">
        <f t="shared" si="450"/>
        <v>95.761393509334823</v>
      </c>
      <c r="T165" s="172">
        <f t="shared" si="451"/>
        <v>28</v>
      </c>
      <c r="U165" s="217">
        <f t="shared" si="452"/>
        <v>6.8876798933546803</v>
      </c>
      <c r="V165" s="217">
        <f t="shared" si="453"/>
        <v>1.7121417516473305</v>
      </c>
      <c r="W165" s="217">
        <f t="shared" si="454"/>
        <v>1.1378641096535358</v>
      </c>
      <c r="X165" s="197">
        <f t="shared" si="455"/>
        <v>350</v>
      </c>
      <c r="Y165" s="443">
        <f t="shared" si="328"/>
        <v>327.86822238219804</v>
      </c>
      <c r="AA165" s="217">
        <f t="shared" si="456"/>
        <v>6.9049280483242272</v>
      </c>
      <c r="AB165" s="173">
        <f t="shared" si="457"/>
        <v>1.1407135534142026</v>
      </c>
      <c r="AC165" s="173">
        <f t="shared" si="458"/>
        <v>1.3783953767628316</v>
      </c>
      <c r="AD165" s="173"/>
      <c r="AE165" s="173">
        <f t="shared" si="459"/>
        <v>0.55067605118687413</v>
      </c>
      <c r="AF165" s="545">
        <f t="shared" si="460"/>
        <v>1498.1584875933399</v>
      </c>
      <c r="AG165" s="528">
        <f t="shared" si="461"/>
        <v>0.32122769652567656</v>
      </c>
      <c r="AI165" s="173">
        <f t="shared" si="462"/>
        <v>6.8964184115905462</v>
      </c>
      <c r="AJ165" s="173">
        <f t="shared" si="463"/>
        <v>6.8964184115905462</v>
      </c>
      <c r="AK165" s="173">
        <f t="shared" si="464"/>
        <v>3.8393222801905278</v>
      </c>
      <c r="AM165" s="545">
        <f t="shared" si="465"/>
        <v>1375</v>
      </c>
      <c r="AN165" s="460">
        <f t="shared" si="466"/>
        <v>327.86822238219804</v>
      </c>
      <c r="AP165">
        <f t="shared" si="467"/>
        <v>1375</v>
      </c>
      <c r="AQ165">
        <f t="shared" si="468"/>
        <v>327.86822238219804</v>
      </c>
      <c r="AS165" s="5">
        <f t="shared" si="439"/>
        <v>3.0500058613008667</v>
      </c>
      <c r="AT165" s="5">
        <f t="shared" si="469"/>
        <v>1.714313975407844</v>
      </c>
      <c r="AU165" s="5">
        <f t="shared" si="343"/>
        <v>1.3356918858930227</v>
      </c>
      <c r="AV165" s="5"/>
      <c r="AW165" s="173">
        <f t="shared" si="344"/>
        <v>0.56206907572192899</v>
      </c>
      <c r="AX165" s="173">
        <f t="shared" si="435"/>
        <v>36.644971949491179</v>
      </c>
      <c r="AY165" s="173">
        <f t="shared" si="436"/>
        <v>1.5100774445980771</v>
      </c>
      <c r="AZ165" s="173">
        <f t="shared" si="440"/>
        <v>24.266948745297377</v>
      </c>
      <c r="BA165" s="460">
        <f t="shared" si="433"/>
        <v>8.4185061292349488</v>
      </c>
      <c r="BB165" s="5">
        <f t="shared" si="434"/>
        <v>1.942709601381243</v>
      </c>
      <c r="BD165" s="173">
        <f t="shared" si="441"/>
        <v>2.9850926911358218</v>
      </c>
      <c r="BE165" s="173">
        <f t="shared" si="437"/>
        <v>2.6349099784564154</v>
      </c>
      <c r="BG165" s="528">
        <f t="shared" si="347"/>
        <v>0.10692934049607004</v>
      </c>
      <c r="BH165" s="528">
        <f t="shared" si="470"/>
        <v>1.9542145678172629</v>
      </c>
      <c r="BI165" s="528">
        <f t="shared" si="349"/>
        <v>3.7704845573952782E-2</v>
      </c>
      <c r="BJ165" s="528">
        <f t="shared" si="350"/>
        <v>0.36214163565572005</v>
      </c>
      <c r="BK165">
        <f t="shared" si="351"/>
        <v>8.5083159501420595E-3</v>
      </c>
      <c r="BL165" s="460">
        <f t="shared" si="427"/>
        <v>46.213161524094836</v>
      </c>
      <c r="BM165" s="528">
        <f t="shared" si="471"/>
        <v>2.5160810560826619</v>
      </c>
      <c r="BN165" s="460">
        <f t="shared" si="353"/>
        <v>2516.0810560826617</v>
      </c>
      <c r="BO165" s="528">
        <f t="shared" si="354"/>
        <v>0.96249999999999991</v>
      </c>
      <c r="BR165" s="460">
        <f t="shared" si="355"/>
        <v>962.49999999999989</v>
      </c>
      <c r="BS165" s="528">
        <f t="shared" si="356"/>
        <v>0.12475089724541505</v>
      </c>
      <c r="BT165" s="528">
        <f t="shared" si="357"/>
        <v>9.7198508323968633E-2</v>
      </c>
      <c r="BU165" s="528">
        <f t="shared" si="358"/>
        <v>12.155625906464252</v>
      </c>
      <c r="BV165" s="528"/>
      <c r="BW165" s="528">
        <f t="shared" si="359"/>
        <v>1.5593605084889863</v>
      </c>
      <c r="BX165" s="460">
        <f t="shared" si="360"/>
        <v>13936.93582052262</v>
      </c>
      <c r="BY165" s="173">
        <f t="shared" si="361"/>
        <v>17.368934526015771</v>
      </c>
      <c r="BZ165" s="5">
        <f t="shared" si="362"/>
        <v>38.5</v>
      </c>
      <c r="CA165" s="173">
        <f t="shared" si="363"/>
        <v>0.68911283751209174</v>
      </c>
      <c r="CB165" s="5">
        <f t="shared" si="364"/>
        <v>68.911283751209169</v>
      </c>
      <c r="CE165" s="562">
        <f t="shared" si="472"/>
        <v>-50</v>
      </c>
      <c r="CF165">
        <f t="shared" si="473"/>
        <v>-50</v>
      </c>
      <c r="CG165" s="173">
        <f t="shared" si="474"/>
        <v>0.385938987570218</v>
      </c>
      <c r="CI165" s="170">
        <v>55</v>
      </c>
      <c r="CJ165" s="217">
        <f t="shared" si="428"/>
        <v>1.375</v>
      </c>
      <c r="CK165" s="217"/>
      <c r="CL165" s="217">
        <f t="shared" si="368"/>
        <v>38.5</v>
      </c>
      <c r="CM165" s="541">
        <f t="shared" si="369"/>
        <v>19</v>
      </c>
      <c r="CN165" s="443">
        <f t="shared" si="370"/>
        <v>28.4</v>
      </c>
      <c r="CO165" s="443">
        <f t="shared" si="371"/>
        <v>47.4</v>
      </c>
      <c r="CP165" s="443"/>
      <c r="CQ165" s="217">
        <f t="shared" si="372"/>
        <v>0.59915611814345993</v>
      </c>
      <c r="CR165" s="172">
        <f t="shared" si="429"/>
        <v>95.556689708830859</v>
      </c>
      <c r="CS165" s="172">
        <f t="shared" si="373"/>
        <v>38.5</v>
      </c>
      <c r="CT165" s="217">
        <f t="shared" si="374"/>
        <v>3.4127389181725305</v>
      </c>
      <c r="CU165" s="217">
        <f t="shared" si="375"/>
        <v>28</v>
      </c>
      <c r="CV165" s="217"/>
      <c r="CW165" s="172">
        <f t="shared" si="376"/>
        <v>96.230165539389148</v>
      </c>
      <c r="CX165" s="172">
        <f t="shared" si="377"/>
        <v>28</v>
      </c>
      <c r="CY165" s="217">
        <f t="shared" si="378"/>
        <v>6.7638991845811711</v>
      </c>
      <c r="CZ165" s="217">
        <f t="shared" si="379"/>
        <v>1.6731750614490268</v>
      </c>
      <c r="DA165" s="217">
        <f t="shared" si="380"/>
        <v>1.1193776819553349</v>
      </c>
      <c r="DB165" s="197">
        <f t="shared" si="381"/>
        <v>350</v>
      </c>
      <c r="DC165" s="443">
        <f t="shared" si="382"/>
        <v>350</v>
      </c>
      <c r="DE165" s="217">
        <f t="shared" si="383"/>
        <v>6.9203442217177731</v>
      </c>
      <c r="DF165" s="173">
        <f t="shared" si="384"/>
        <v>1.1452682338758289</v>
      </c>
      <c r="DG165" s="173">
        <f t="shared" si="385"/>
        <v>1.3869888208084145</v>
      </c>
      <c r="DH165" s="173"/>
      <c r="DI165" s="173">
        <f t="shared" si="386"/>
        <v>0.55164319248826299</v>
      </c>
      <c r="DJ165" s="545">
        <f t="shared" si="387"/>
        <v>1495.5319148936169</v>
      </c>
      <c r="DK165" s="528">
        <f t="shared" si="388"/>
        <v>0.3217918622848201</v>
      </c>
      <c r="DM165" s="173">
        <f t="shared" si="389"/>
        <v>6.8903703563318288</v>
      </c>
      <c r="DN165" s="173">
        <f t="shared" si="390"/>
        <v>6.8903703563318288</v>
      </c>
      <c r="DO165" s="173">
        <f t="shared" si="391"/>
        <v>3.8348422392581449</v>
      </c>
      <c r="DQ165" s="545">
        <f t="shared" si="392"/>
        <v>1375</v>
      </c>
      <c r="DR165" s="460">
        <f t="shared" si="393"/>
        <v>350</v>
      </c>
      <c r="DT165">
        <f t="shared" si="430"/>
        <v>1375</v>
      </c>
      <c r="DU165">
        <f t="shared" si="431"/>
        <v>350</v>
      </c>
      <c r="DW165" s="5">
        <f t="shared" si="394"/>
        <v>2.8571428571428572</v>
      </c>
      <c r="DX165" s="5">
        <f t="shared" si="395"/>
        <v>1.704460035513663</v>
      </c>
      <c r="DY165" s="5">
        <f t="shared" si="396"/>
        <v>1.1526828216291942</v>
      </c>
      <c r="DZ165" s="5"/>
      <c r="EA165" s="173">
        <f t="shared" si="397"/>
        <v>0.59656101242978199</v>
      </c>
      <c r="EB165" s="173">
        <f t="shared" si="398"/>
        <v>39.050000000000004</v>
      </c>
      <c r="EC165" s="173">
        <f t="shared" si="399"/>
        <v>1.3899220202711777</v>
      </c>
      <c r="ED165" s="173">
        <f t="shared" si="400"/>
        <v>28.095101329771897</v>
      </c>
      <c r="EE165" s="460">
        <f t="shared" si="401"/>
        <v>8.3701162458260239</v>
      </c>
      <c r="EF165" s="5">
        <f t="shared" si="402"/>
        <v>1.6683567155159387</v>
      </c>
      <c r="EH165" s="173">
        <f t="shared" si="403"/>
        <v>3.0726236712424164</v>
      </c>
      <c r="EI165" s="173">
        <f t="shared" si="404"/>
        <v>2.526800016633604</v>
      </c>
      <c r="EK165" s="528">
        <f t="shared" si="405"/>
        <v>0.11329219470095071</v>
      </c>
      <c r="EL165" s="528">
        <f t="shared" si="406"/>
        <v>2.1719136400193557</v>
      </c>
      <c r="EM165" s="528">
        <f t="shared" si="407"/>
        <v>4.0250000000000001E-2</v>
      </c>
      <c r="EN165" s="528">
        <f t="shared" si="408"/>
        <v>0.38728525499999999</v>
      </c>
      <c r="EO165">
        <f t="shared" si="409"/>
        <v>8.5500000000000003E-3</v>
      </c>
      <c r="EP165" s="460">
        <f t="shared" si="410"/>
        <v>48.800000000000004</v>
      </c>
      <c r="EQ165" s="460"/>
      <c r="ER165" s="460">
        <f t="shared" si="432"/>
        <v>2721.2910897203064</v>
      </c>
      <c r="ES165" s="528">
        <f t="shared" si="411"/>
        <v>0.96249999999999991</v>
      </c>
      <c r="EV165" s="460">
        <f t="shared" si="412"/>
        <v>962.49999999999989</v>
      </c>
      <c r="EW165" s="528">
        <f t="shared" si="413"/>
        <v>0.13217422715110916</v>
      </c>
      <c r="EX165" s="528">
        <f t="shared" si="414"/>
        <v>8.9386056536834138E-2</v>
      </c>
      <c r="EY165" s="528">
        <f t="shared" si="415"/>
        <v>14.280602465407043</v>
      </c>
      <c r="EZ165" s="528"/>
      <c r="FA165" s="528">
        <f t="shared" si="416"/>
        <v>1.6617021276595747</v>
      </c>
      <c r="FB165" s="460">
        <f t="shared" si="417"/>
        <v>16163.864876754558</v>
      </c>
      <c r="FC165" s="173">
        <f t="shared" si="418"/>
        <v>19.847655966474868</v>
      </c>
      <c r="FD165" s="5">
        <f t="shared" si="419"/>
        <v>38.5</v>
      </c>
      <c r="FE165" s="173">
        <f t="shared" si="420"/>
        <v>0.65983798941505301</v>
      </c>
      <c r="FF165" s="5">
        <f t="shared" si="421"/>
        <v>65.983798941505299</v>
      </c>
      <c r="FI165" s="562">
        <f t="shared" si="422"/>
        <v>-50</v>
      </c>
      <c r="FJ165">
        <f t="shared" si="423"/>
        <v>-50</v>
      </c>
      <c r="FL165">
        <f t="shared" si="475"/>
        <v>0.39910771958330482</v>
      </c>
    </row>
    <row r="166" spans="5:168">
      <c r="E166" s="170">
        <v>56</v>
      </c>
      <c r="F166" s="217">
        <f t="shared" si="476"/>
        <v>1.4000000000000001</v>
      </c>
      <c r="G166" s="217"/>
      <c r="H166" s="217">
        <f t="shared" si="442"/>
        <v>39.200000000000003</v>
      </c>
      <c r="I166" s="541">
        <f t="shared" si="443"/>
        <v>18.905758383078279</v>
      </c>
      <c r="J166" s="172">
        <f t="shared" si="444"/>
        <v>28.450745486034773</v>
      </c>
      <c r="K166" s="172">
        <f t="shared" si="445"/>
        <v>47.356503869113055</v>
      </c>
      <c r="L166" s="443"/>
      <c r="M166" s="217">
        <f t="shared" si="446"/>
        <v>0.60076049083997152</v>
      </c>
      <c r="N166" s="172">
        <f t="shared" si="447"/>
        <v>95.337325357593144</v>
      </c>
      <c r="O166" s="172">
        <f t="shared" si="438"/>
        <v>39.200000000000003</v>
      </c>
      <c r="P166" s="217">
        <f t="shared" si="448"/>
        <v>3.4049044770568981</v>
      </c>
      <c r="Q166" s="217">
        <f t="shared" si="449"/>
        <v>28</v>
      </c>
      <c r="R166" s="217"/>
      <c r="S166" s="172">
        <f t="shared" si="450"/>
        <v>93.708874669603617</v>
      </c>
      <c r="T166" s="172">
        <f t="shared" si="451"/>
        <v>28</v>
      </c>
      <c r="U166" s="217">
        <f t="shared" si="452"/>
        <v>7.0133339405486215</v>
      </c>
      <c r="V166" s="217">
        <f t="shared" si="453"/>
        <v>1.7435253774364305</v>
      </c>
      <c r="W166" s="217">
        <f t="shared" si="454"/>
        <v>1.158587198945576</v>
      </c>
      <c r="X166" s="197">
        <f t="shared" si="455"/>
        <v>350</v>
      </c>
      <c r="Y166" s="443">
        <f t="shared" si="328"/>
        <v>322.36096381979138</v>
      </c>
      <c r="AA166" s="217">
        <f t="shared" si="456"/>
        <v>6.9046587427621668</v>
      </c>
      <c r="AB166" s="173">
        <f t="shared" si="457"/>
        <v>1.1406342975058914</v>
      </c>
      <c r="AC166" s="173">
        <f t="shared" si="458"/>
        <v>1.3782458505494763</v>
      </c>
      <c r="AD166" s="173"/>
      <c r="AE166" s="173">
        <f t="shared" si="459"/>
        <v>0.5506592674120524</v>
      </c>
      <c r="AF166" s="545">
        <f t="shared" si="460"/>
        <v>1525.4442260597368</v>
      </c>
      <c r="AG166" s="528">
        <f t="shared" si="461"/>
        <v>0.32121790599036393</v>
      </c>
      <c r="AI166" s="173">
        <f t="shared" si="462"/>
        <v>6.9589367598285614</v>
      </c>
      <c r="AJ166" s="173">
        <f t="shared" si="463"/>
        <v>7.0133339405486215</v>
      </c>
      <c r="AK166" s="173">
        <f t="shared" si="464"/>
        <v>3.9259263757150284</v>
      </c>
      <c r="AM166" s="545">
        <f t="shared" si="465"/>
        <v>1400.0000000000002</v>
      </c>
      <c r="AN166" s="460">
        <f t="shared" si="466"/>
        <v>322.36096381979138</v>
      </c>
      <c r="AP166">
        <f t="shared" si="467"/>
        <v>1400.0000000000002</v>
      </c>
      <c r="AQ166">
        <f t="shared" si="468"/>
        <v>322.36096381979138</v>
      </c>
      <c r="AS166" s="5">
        <f t="shared" si="439"/>
        <v>3.102112576382007</v>
      </c>
      <c r="AT166" s="5">
        <f t="shared" si="469"/>
        <v>1.7435253774364305</v>
      </c>
      <c r="AU166" s="5">
        <f t="shared" si="343"/>
        <v>1.3585871989455764</v>
      </c>
      <c r="AV166" s="5"/>
      <c r="AW166" s="173">
        <f t="shared" si="344"/>
        <v>0.56204452111467329</v>
      </c>
      <c r="AX166" s="173">
        <f t="shared" si="435"/>
        <v>37.261415120753611</v>
      </c>
      <c r="AY166" s="173">
        <f t="shared" si="436"/>
        <v>1.5357640122578435</v>
      </c>
      <c r="AZ166" s="173">
        <f t="shared" si="440"/>
        <v>24.26246143505653</v>
      </c>
      <c r="BA166" s="460">
        <f t="shared" si="433"/>
        <v>8.7176268871821527</v>
      </c>
      <c r="BB166" s="5">
        <f t="shared" si="434"/>
        <v>2.0121087342639732</v>
      </c>
      <c r="BD166" s="173">
        <f t="shared" si="441"/>
        <v>3.0356328949094578</v>
      </c>
      <c r="BE166" s="173">
        <f t="shared" si="437"/>
        <v>2.6796549369699405</v>
      </c>
      <c r="BG166" s="528">
        <f t="shared" si="347"/>
        <v>0.11058080487187649</v>
      </c>
      <c r="BH166" s="528">
        <f t="shared" si="470"/>
        <v>1.9539320900724901</v>
      </c>
      <c r="BI166" s="528">
        <f t="shared" si="349"/>
        <v>3.7071510839276012E-2</v>
      </c>
      <c r="BJ166" s="528">
        <f t="shared" si="350"/>
        <v>0.35604750431093229</v>
      </c>
      <c r="BK166">
        <f t="shared" si="351"/>
        <v>8.5075912723852256E-3</v>
      </c>
      <c r="BL166" s="460">
        <f t="shared" si="427"/>
        <v>45.579102111661236</v>
      </c>
      <c r="BM166" s="528">
        <f t="shared" si="471"/>
        <v>2.5165366999053034</v>
      </c>
      <c r="BN166" s="460">
        <f t="shared" si="353"/>
        <v>2516.5366999053035</v>
      </c>
      <c r="BO166" s="528">
        <f t="shared" si="354"/>
        <v>0.98</v>
      </c>
      <c r="BR166" s="460">
        <f t="shared" si="355"/>
        <v>980</v>
      </c>
      <c r="BS166" s="528">
        <f t="shared" si="356"/>
        <v>0.12901093901718924</v>
      </c>
      <c r="BT166" s="528">
        <f t="shared" si="357"/>
        <v>0.10052770813718326</v>
      </c>
      <c r="BU166" s="528">
        <f t="shared" si="358"/>
        <v>12.151710494051862</v>
      </c>
      <c r="BV166" s="528"/>
      <c r="BW166" s="528">
        <f t="shared" si="359"/>
        <v>1.5855921327980258</v>
      </c>
      <c r="BX166" s="460">
        <f t="shared" si="360"/>
        <v>13966.84127400426</v>
      </c>
      <c r="BY166" s="173">
        <f t="shared" si="361"/>
        <v>17.412980775371221</v>
      </c>
      <c r="BZ166" s="5">
        <f t="shared" si="362"/>
        <v>39.200000000000003</v>
      </c>
      <c r="CA166" s="173">
        <f t="shared" si="363"/>
        <v>0.6924207039289737</v>
      </c>
      <c r="CB166" s="5">
        <f t="shared" si="364"/>
        <v>69.242070392897375</v>
      </c>
      <c r="CE166" s="562">
        <f t="shared" si="472"/>
        <v>-50</v>
      </c>
      <c r="CF166">
        <f t="shared" si="473"/>
        <v>-50</v>
      </c>
      <c r="CG166" s="173">
        <f t="shared" si="474"/>
        <v>0.38624125082907407</v>
      </c>
      <c r="CI166" s="170">
        <v>56</v>
      </c>
      <c r="CJ166" s="217">
        <f t="shared" si="428"/>
        <v>1.4000000000000001</v>
      </c>
      <c r="CK166" s="217"/>
      <c r="CL166" s="217">
        <f t="shared" si="368"/>
        <v>39.200000000000003</v>
      </c>
      <c r="CM166" s="541">
        <f t="shared" si="369"/>
        <v>19</v>
      </c>
      <c r="CN166" s="443">
        <f t="shared" si="370"/>
        <v>28.4</v>
      </c>
      <c r="CO166" s="443">
        <f t="shared" si="371"/>
        <v>47.4</v>
      </c>
      <c r="CP166" s="443"/>
      <c r="CQ166" s="217">
        <f t="shared" si="372"/>
        <v>0.59915611814345993</v>
      </c>
      <c r="CR166" s="172">
        <f t="shared" si="429"/>
        <v>95.556689708830859</v>
      </c>
      <c r="CS166" s="172">
        <f t="shared" si="373"/>
        <v>39.200000000000003</v>
      </c>
      <c r="CT166" s="217">
        <f t="shared" si="374"/>
        <v>3.4127389181725305</v>
      </c>
      <c r="CU166" s="217">
        <f t="shared" si="375"/>
        <v>28</v>
      </c>
      <c r="CV166" s="217"/>
      <c r="CW166" s="172">
        <f t="shared" si="376"/>
        <v>94.175597090938567</v>
      </c>
      <c r="CX166" s="172">
        <f t="shared" si="377"/>
        <v>28</v>
      </c>
      <c r="CY166" s="217">
        <f t="shared" si="378"/>
        <v>6.8868791697553746</v>
      </c>
      <c r="CZ166" s="217">
        <f t="shared" si="379"/>
        <v>1.7035964262026455</v>
      </c>
      <c r="DA166" s="217">
        <f t="shared" si="380"/>
        <v>1.1397300034454318</v>
      </c>
      <c r="DB166" s="197">
        <f t="shared" si="381"/>
        <v>350</v>
      </c>
      <c r="DC166" s="443">
        <f t="shared" si="382"/>
        <v>350</v>
      </c>
      <c r="DE166" s="217">
        <f t="shared" si="383"/>
        <v>6.9203442217177731</v>
      </c>
      <c r="DF166" s="173">
        <f t="shared" si="384"/>
        <v>1.1452682338758289</v>
      </c>
      <c r="DG166" s="173">
        <f t="shared" si="385"/>
        <v>1.3869888208084145</v>
      </c>
      <c r="DH166" s="173"/>
      <c r="DI166" s="173">
        <f t="shared" si="386"/>
        <v>0.55164319248826299</v>
      </c>
      <c r="DJ166" s="545">
        <f t="shared" si="387"/>
        <v>1522.7234042553191</v>
      </c>
      <c r="DK166" s="528">
        <f t="shared" si="388"/>
        <v>0.3217918622848201</v>
      </c>
      <c r="DM166" s="173">
        <f t="shared" si="389"/>
        <v>6.9527279201702479</v>
      </c>
      <c r="DN166" s="173">
        <f t="shared" si="390"/>
        <v>6.8868791697553746</v>
      </c>
      <c r="DO166" s="173">
        <f t="shared" si="391"/>
        <v>3.832256175127438</v>
      </c>
      <c r="DQ166" s="545">
        <f t="shared" si="392"/>
        <v>1400.0000000000002</v>
      </c>
      <c r="DR166" s="460">
        <f t="shared" si="393"/>
        <v>350</v>
      </c>
      <c r="DT166">
        <f t="shared" si="430"/>
        <v>1400.0000000000002</v>
      </c>
      <c r="DU166">
        <f t="shared" si="431"/>
        <v>350</v>
      </c>
      <c r="DW166" s="5">
        <f t="shared" si="394"/>
        <v>2.8571428571428572</v>
      </c>
      <c r="DX166" s="5">
        <f t="shared" si="395"/>
        <v>1.7035964262026455</v>
      </c>
      <c r="DY166" s="5">
        <f t="shared" si="396"/>
        <v>1.1535464309402117</v>
      </c>
      <c r="DZ166" s="5"/>
      <c r="EA166" s="173">
        <f t="shared" si="397"/>
        <v>0.59625874917092592</v>
      </c>
      <c r="EB166" s="173">
        <f t="shared" si="398"/>
        <v>39.010438614771616</v>
      </c>
      <c r="EC166" s="173">
        <f t="shared" si="399"/>
        <v>1.3902586051528651</v>
      </c>
      <c r="ED166" s="173">
        <f t="shared" si="400"/>
        <v>28.0598433055426</v>
      </c>
      <c r="EE166" s="460">
        <f t="shared" si="401"/>
        <v>8.5179821310132287</v>
      </c>
      <c r="EF166" s="5">
        <f t="shared" si="402"/>
        <v>1.699963161385575</v>
      </c>
      <c r="EH166" s="173">
        <f t="shared" si="403"/>
        <v>3.0702887292028214</v>
      </c>
      <c r="EI166" s="173">
        <f t="shared" si="404"/>
        <v>2.5264656509836594</v>
      </c>
      <c r="EK166" s="528">
        <f t="shared" si="405"/>
        <v>0.11312007456803852</v>
      </c>
      <c r="EL166" s="528">
        <f t="shared" si="406"/>
        <v>2.1708131830985917</v>
      </c>
      <c r="EM166" s="528">
        <f t="shared" si="407"/>
        <v>4.0250000000000001E-2</v>
      </c>
      <c r="EN166" s="528">
        <f t="shared" si="408"/>
        <v>0.38728525499999999</v>
      </c>
      <c r="EO166">
        <f t="shared" si="409"/>
        <v>8.5500000000000003E-3</v>
      </c>
      <c r="EP166" s="460">
        <f t="shared" si="410"/>
        <v>48.800000000000004</v>
      </c>
      <c r="EQ166" s="460"/>
      <c r="ER166" s="460">
        <f t="shared" si="432"/>
        <v>2720.0185126666306</v>
      </c>
      <c r="ES166" s="528">
        <f t="shared" si="411"/>
        <v>0.98</v>
      </c>
      <c r="EV166" s="460">
        <f t="shared" si="412"/>
        <v>980</v>
      </c>
      <c r="EW166" s="528">
        <f t="shared" si="413"/>
        <v>0.13197342032937828</v>
      </c>
      <c r="EX166" s="528">
        <f t="shared" si="414"/>
        <v>8.9362401598404001E-2</v>
      </c>
      <c r="EY166" s="528">
        <f t="shared" si="415"/>
        <v>14.262520235815764</v>
      </c>
      <c r="EZ166" s="528"/>
      <c r="FA166" s="528">
        <f t="shared" si="416"/>
        <v>1.6600186644583668</v>
      </c>
      <c r="FB166" s="460">
        <f t="shared" si="417"/>
        <v>16143.874722201914</v>
      </c>
      <c r="FC166" s="173">
        <f t="shared" si="418"/>
        <v>19.843893234868542</v>
      </c>
      <c r="FD166" s="5">
        <f t="shared" si="419"/>
        <v>39.200000000000003</v>
      </c>
      <c r="FE166" s="173">
        <f t="shared" si="420"/>
        <v>0.66391285960882951</v>
      </c>
      <c r="FF166" s="5">
        <f t="shared" si="421"/>
        <v>66.391285960882954</v>
      </c>
      <c r="FI166" s="562">
        <f t="shared" si="422"/>
        <v>-50</v>
      </c>
      <c r="FJ166">
        <f t="shared" si="423"/>
        <v>-50</v>
      </c>
      <c r="FL166">
        <f t="shared" si="475"/>
        <v>0.40271962777042458</v>
      </c>
    </row>
    <row r="167" spans="5:168">
      <c r="E167" s="170">
        <v>57</v>
      </c>
      <c r="F167" s="217">
        <f t="shared" si="476"/>
        <v>1.4249999999999998</v>
      </c>
      <c r="G167" s="217"/>
      <c r="H167" s="217">
        <f t="shared" si="442"/>
        <v>39.899999999999991</v>
      </c>
      <c r="I167" s="541">
        <f t="shared" si="443"/>
        <v>18.903406795257265</v>
      </c>
      <c r="J167" s="172">
        <f t="shared" si="444"/>
        <v>28.452011725630705</v>
      </c>
      <c r="K167" s="172">
        <f t="shared" si="445"/>
        <v>47.355418520887966</v>
      </c>
      <c r="L167" s="443"/>
      <c r="M167" s="217">
        <f t="shared" si="446"/>
        <v>0.60079960681432953</v>
      </c>
      <c r="N167" s="172">
        <f t="shared" si="447"/>
        <v>95.331673563213343</v>
      </c>
      <c r="O167" s="172">
        <f t="shared" si="438"/>
        <v>39.899999999999991</v>
      </c>
      <c r="P167" s="217">
        <f t="shared" si="448"/>
        <v>3.4047026272576195</v>
      </c>
      <c r="Q167" s="217">
        <f t="shared" si="449"/>
        <v>28</v>
      </c>
      <c r="R167" s="217"/>
      <c r="S167" s="172">
        <f t="shared" si="450"/>
        <v>91.724909061770788</v>
      </c>
      <c r="T167" s="172">
        <f t="shared" si="451"/>
        <v>28</v>
      </c>
      <c r="U167" s="217">
        <f t="shared" si="452"/>
        <v>7.139271525402652</v>
      </c>
      <c r="V167" s="217">
        <f t="shared" si="453"/>
        <v>1.7750544403356474</v>
      </c>
      <c r="W167" s="217">
        <f t="shared" si="454"/>
        <v>1.1793393202901419</v>
      </c>
      <c r="X167" s="197">
        <f t="shared" si="455"/>
        <v>350</v>
      </c>
      <c r="Y167" s="443">
        <f t="shared" si="328"/>
        <v>317.01812642490563</v>
      </c>
      <c r="AA167" s="217">
        <f t="shared" si="456"/>
        <v>6.9042654083073076</v>
      </c>
      <c r="AB167" s="173">
        <f t="shared" si="457"/>
        <v>1.1405185591784377</v>
      </c>
      <c r="AC167" s="173">
        <f t="shared" si="458"/>
        <v>1.3780274962419312</v>
      </c>
      <c r="AD167" s="173"/>
      <c r="AE167" s="173">
        <f t="shared" si="459"/>
        <v>0.55063476065397199</v>
      </c>
      <c r="AF167" s="545">
        <f t="shared" si="460"/>
        <v>1552.7534058775052</v>
      </c>
      <c r="AG167" s="528">
        <f t="shared" si="461"/>
        <v>0.32120361038148371</v>
      </c>
      <c r="AI167" s="173">
        <f t="shared" si="462"/>
        <v>7.0209514253230809</v>
      </c>
      <c r="AJ167" s="173">
        <f t="shared" si="463"/>
        <v>7.139271525402652</v>
      </c>
      <c r="AK167" s="173">
        <f t="shared" si="464"/>
        <v>4.0192134756069029</v>
      </c>
      <c r="AM167" s="545">
        <f t="shared" si="465"/>
        <v>1424.9999999999998</v>
      </c>
      <c r="AN167" s="460">
        <f t="shared" si="466"/>
        <v>317.01812642490563</v>
      </c>
      <c r="AP167">
        <f t="shared" si="467"/>
        <v>1424.9999999999998</v>
      </c>
      <c r="AQ167">
        <f t="shared" si="468"/>
        <v>317.01812642490563</v>
      </c>
      <c r="AS167" s="5">
        <f t="shared" si="439"/>
        <v>3.1543937606257897</v>
      </c>
      <c r="AT167" s="5">
        <f t="shared" si="469"/>
        <v>1.7750544403356474</v>
      </c>
      <c r="AU167" s="5">
        <f t="shared" si="343"/>
        <v>1.3793393202901423</v>
      </c>
      <c r="AV167" s="5"/>
      <c r="AW167" s="173">
        <f t="shared" si="344"/>
        <v>0.56272443297741637</v>
      </c>
      <c r="AX167" s="173">
        <f t="shared" si="435"/>
        <v>37.971675125551457</v>
      </c>
      <c r="AY167" s="173">
        <f t="shared" si="436"/>
        <v>1.5609145021993152</v>
      </c>
      <c r="AZ167" s="173">
        <f t="shared" si="440"/>
        <v>24.326556689715993</v>
      </c>
      <c r="BA167" s="460">
        <f t="shared" si="433"/>
        <v>9.0337592052796332</v>
      </c>
      <c r="BB167" s="5">
        <f t="shared" si="434"/>
        <v>2.079581265644241</v>
      </c>
      <c r="BD167" s="173">
        <f t="shared" si="441"/>
        <v>3.092011912177671</v>
      </c>
      <c r="BE167" s="173">
        <f t="shared" si="437"/>
        <v>2.7256549621622601</v>
      </c>
      <c r="BG167" s="528">
        <f t="shared" si="347"/>
        <v>0.11472645198058341</v>
      </c>
      <c r="BH167" s="528">
        <f t="shared" si="470"/>
        <v>1.9560076212189477</v>
      </c>
      <c r="BI167" s="528">
        <f t="shared" si="349"/>
        <v>3.6457084538864148E-2</v>
      </c>
      <c r="BJ167" s="528">
        <f t="shared" si="350"/>
        <v>0.35013029380024457</v>
      </c>
      <c r="BK167">
        <f t="shared" si="351"/>
        <v>8.5065330578657696E-3</v>
      </c>
      <c r="BL167" s="460">
        <f t="shared" si="427"/>
        <v>44.963617596729918</v>
      </c>
      <c r="BM167" s="528">
        <f t="shared" si="471"/>
        <v>2.5205481434560144</v>
      </c>
      <c r="BN167" s="460">
        <f t="shared" si="353"/>
        <v>2520.5481434560143</v>
      </c>
      <c r="BO167" s="528">
        <f t="shared" si="354"/>
        <v>0.99749999999999983</v>
      </c>
      <c r="BR167" s="460">
        <f t="shared" si="355"/>
        <v>997.49999999999989</v>
      </c>
      <c r="BS167" s="528">
        <f t="shared" si="356"/>
        <v>0.13384752731068064</v>
      </c>
      <c r="BT167" s="528">
        <f t="shared" si="357"/>
        <v>0.10400872961863653</v>
      </c>
      <c r="BU167" s="528">
        <f t="shared" si="358"/>
        <v>12.184704208062914</v>
      </c>
      <c r="BV167" s="528"/>
      <c r="BW167" s="528">
        <f t="shared" si="359"/>
        <v>1.6158159627894237</v>
      </c>
      <c r="BX167" s="460">
        <f t="shared" si="360"/>
        <v>14038.376427781657</v>
      </c>
      <c r="BY167" s="173">
        <f t="shared" si="361"/>
        <v>17.50170441237816</v>
      </c>
      <c r="BZ167" s="5">
        <f t="shared" si="362"/>
        <v>39.899999999999991</v>
      </c>
      <c r="CA167" s="173">
        <f t="shared" si="363"/>
        <v>0.69510131116238982</v>
      </c>
      <c r="CB167" s="5">
        <f t="shared" si="364"/>
        <v>69.510131116238981</v>
      </c>
      <c r="CE167" s="562">
        <f t="shared" si="472"/>
        <v>-50</v>
      </c>
      <c r="CF167">
        <f t="shared" si="473"/>
        <v>-50</v>
      </c>
      <c r="CG167" s="173">
        <f t="shared" si="474"/>
        <v>0.38356735443945289</v>
      </c>
      <c r="CI167" s="170">
        <v>57</v>
      </c>
      <c r="CJ167" s="217">
        <f t="shared" si="428"/>
        <v>1.4249999999999998</v>
      </c>
      <c r="CK167" s="217"/>
      <c r="CL167" s="217">
        <f t="shared" si="368"/>
        <v>39.899999999999991</v>
      </c>
      <c r="CM167" s="541">
        <f t="shared" si="369"/>
        <v>19</v>
      </c>
      <c r="CN167" s="443">
        <f t="shared" si="370"/>
        <v>28.4</v>
      </c>
      <c r="CO167" s="443">
        <f t="shared" si="371"/>
        <v>47.4</v>
      </c>
      <c r="CP167" s="443"/>
      <c r="CQ167" s="217">
        <f t="shared" si="372"/>
        <v>0.59915611814345993</v>
      </c>
      <c r="CR167" s="172">
        <f t="shared" si="429"/>
        <v>95.556689708830859</v>
      </c>
      <c r="CS167" s="172">
        <f t="shared" si="373"/>
        <v>39.899999999999991</v>
      </c>
      <c r="CT167" s="217">
        <f t="shared" si="374"/>
        <v>3.4127389181725305</v>
      </c>
      <c r="CU167" s="217">
        <f t="shared" si="375"/>
        <v>28</v>
      </c>
      <c r="CV167" s="217"/>
      <c r="CW167" s="172">
        <f t="shared" si="376"/>
        <v>92.193190581019351</v>
      </c>
      <c r="CX167" s="172">
        <f t="shared" si="377"/>
        <v>28</v>
      </c>
      <c r="CY167" s="217">
        <f t="shared" si="378"/>
        <v>7.0098591549295755</v>
      </c>
      <c r="CZ167" s="217">
        <f t="shared" si="379"/>
        <v>1.7340177909562635</v>
      </c>
      <c r="DA167" s="217">
        <f t="shared" si="380"/>
        <v>1.1600823249355283</v>
      </c>
      <c r="DB167" s="197">
        <f t="shared" si="381"/>
        <v>350</v>
      </c>
      <c r="DC167" s="443">
        <f t="shared" si="382"/>
        <v>345.53054834174543</v>
      </c>
      <c r="DE167" s="217">
        <f t="shared" si="383"/>
        <v>6.9203442217177731</v>
      </c>
      <c r="DF167" s="173">
        <f t="shared" si="384"/>
        <v>1.1452682338758289</v>
      </c>
      <c r="DG167" s="173">
        <f t="shared" si="385"/>
        <v>1.3869888208084145</v>
      </c>
      <c r="DH167" s="173"/>
      <c r="DI167" s="173">
        <f t="shared" si="386"/>
        <v>0.55164319248826299</v>
      </c>
      <c r="DJ167" s="545">
        <f t="shared" si="387"/>
        <v>1549.9148936170209</v>
      </c>
      <c r="DK167" s="528">
        <f t="shared" si="388"/>
        <v>0.3217918622848201</v>
      </c>
      <c r="DM167" s="173">
        <f t="shared" si="389"/>
        <v>7.01453116155409</v>
      </c>
      <c r="DN167" s="173">
        <f t="shared" si="390"/>
        <v>7.0098591549295755</v>
      </c>
      <c r="DO167" s="173">
        <f t="shared" si="391"/>
        <v>3.9233524604416603</v>
      </c>
      <c r="DQ167" s="545">
        <f t="shared" si="392"/>
        <v>1424.9999999999998</v>
      </c>
      <c r="DR167" s="460">
        <f t="shared" si="393"/>
        <v>345.53054834174543</v>
      </c>
      <c r="DT167">
        <f t="shared" si="430"/>
        <v>1424.9999999999998</v>
      </c>
      <c r="DU167">
        <f t="shared" si="431"/>
        <v>345.53054834174543</v>
      </c>
      <c r="DW167" s="5">
        <f t="shared" si="394"/>
        <v>2.8941001158917925</v>
      </c>
      <c r="DX167" s="5">
        <f t="shared" si="395"/>
        <v>1.7340177909562635</v>
      </c>
      <c r="DY167" s="5">
        <f t="shared" si="396"/>
        <v>1.160082324935529</v>
      </c>
      <c r="DZ167" s="5"/>
      <c r="EA167" s="173">
        <f t="shared" si="397"/>
        <v>0.59915611814345981</v>
      </c>
      <c r="EB167" s="173">
        <f t="shared" si="398"/>
        <v>39.899999999999984</v>
      </c>
      <c r="EC167" s="173">
        <f t="shared" si="399"/>
        <v>1.4049295774647887</v>
      </c>
      <c r="ED167" s="173">
        <f t="shared" si="400"/>
        <v>28.399999999999988</v>
      </c>
      <c r="EE167" s="460">
        <f t="shared" si="401"/>
        <v>8.8249119718309839</v>
      </c>
      <c r="EF167" s="5">
        <f t="shared" si="402"/>
        <v>1.7401234874032929</v>
      </c>
      <c r="EH167" s="173">
        <f t="shared" si="403"/>
        <v>3.1326989668497354</v>
      </c>
      <c r="EI167" s="173">
        <f t="shared" si="404"/>
        <v>2.5623372742638559</v>
      </c>
      <c r="EK167" s="528">
        <f t="shared" si="405"/>
        <v>0.11776563380281679</v>
      </c>
      <c r="EL167" s="528">
        <f t="shared" si="406"/>
        <v>2.1813617021276595</v>
      </c>
      <c r="EM167" s="528">
        <f t="shared" si="407"/>
        <v>3.9736013059300725E-2</v>
      </c>
      <c r="EN167" s="528">
        <f t="shared" si="408"/>
        <v>0.38233967578520767</v>
      </c>
      <c r="EO167">
        <f t="shared" si="409"/>
        <v>8.5500000000000003E-3</v>
      </c>
      <c r="EP167" s="460">
        <f t="shared" si="410"/>
        <v>48.286013059300728</v>
      </c>
      <c r="EQ167" s="460"/>
      <c r="ER167" s="460">
        <f t="shared" si="432"/>
        <v>2729.7530247749846</v>
      </c>
      <c r="ES167" s="528">
        <f t="shared" si="411"/>
        <v>0.99749999999999983</v>
      </c>
      <c r="EV167" s="460">
        <f t="shared" si="412"/>
        <v>997.49999999999989</v>
      </c>
      <c r="EW167" s="528">
        <f t="shared" si="413"/>
        <v>0.13739323943661957</v>
      </c>
      <c r="EX167" s="528">
        <f t="shared" si="414"/>
        <v>9.1918012299146978E-2</v>
      </c>
      <c r="EY167" s="528">
        <f t="shared" si="415"/>
        <v>14.436414989686986</v>
      </c>
      <c r="EZ167" s="528"/>
      <c r="FA167" s="528">
        <f t="shared" si="416"/>
        <v>1.6978723404255311</v>
      </c>
      <c r="FB167" s="460">
        <f t="shared" si="417"/>
        <v>16363.598581848282</v>
      </c>
      <c r="FC167" s="173">
        <f t="shared" si="418"/>
        <v>20.090851606623268</v>
      </c>
      <c r="FD167" s="5">
        <f t="shared" si="419"/>
        <v>39.899999999999991</v>
      </c>
      <c r="FE167" s="173">
        <f t="shared" si="420"/>
        <v>0.66510141015559199</v>
      </c>
      <c r="FF167" s="5">
        <f t="shared" si="421"/>
        <v>66.510141015559199</v>
      </c>
      <c r="FI167" s="562">
        <f t="shared" si="422"/>
        <v>-50</v>
      </c>
      <c r="FJ167">
        <f t="shared" si="423"/>
        <v>-50</v>
      </c>
      <c r="FL167">
        <f t="shared" si="475"/>
        <v>0.40084388185654019</v>
      </c>
    </row>
    <row r="168" spans="5:168">
      <c r="E168" s="170">
        <v>58</v>
      </c>
      <c r="F168" s="217">
        <f t="shared" si="476"/>
        <v>1.45</v>
      </c>
      <c r="G168" s="217"/>
      <c r="H168" s="217">
        <f t="shared" si="442"/>
        <v>40.6</v>
      </c>
      <c r="I168" s="541">
        <f t="shared" si="443"/>
        <v>18.901788446867272</v>
      </c>
      <c r="J168" s="172">
        <f t="shared" si="444"/>
        <v>28.452883143994544</v>
      </c>
      <c r="K168" s="172">
        <f t="shared" si="445"/>
        <v>47.354671590861813</v>
      </c>
      <c r="L168" s="443"/>
      <c r="M168" s="217">
        <f t="shared" si="446"/>
        <v>0.60082750122242068</v>
      </c>
      <c r="N168" s="172">
        <f t="shared" si="447"/>
        <v>95.327937835575312</v>
      </c>
      <c r="O168" s="172">
        <f t="shared" si="438"/>
        <v>40.6</v>
      </c>
      <c r="P168" s="217">
        <f t="shared" si="448"/>
        <v>3.4045692084134038</v>
      </c>
      <c r="Q168" s="217">
        <f t="shared" si="449"/>
        <v>28</v>
      </c>
      <c r="R168" s="217"/>
      <c r="S168" s="172">
        <f t="shared" si="450"/>
        <v>89.812989247833613</v>
      </c>
      <c r="T168" s="172">
        <f t="shared" si="451"/>
        <v>28</v>
      </c>
      <c r="U168" s="217">
        <f t="shared" si="452"/>
        <v>7.2650295520881869</v>
      </c>
      <c r="V168" s="217">
        <f t="shared" si="453"/>
        <v>1.8064766194372301</v>
      </c>
      <c r="W168" s="217">
        <f t="shared" si="454"/>
        <v>1.2000765870372432</v>
      </c>
      <c r="X168" s="197">
        <f t="shared" si="455"/>
        <v>350</v>
      </c>
      <c r="Y168" s="443">
        <f t="shared" si="328"/>
        <v>311.86134631443571</v>
      </c>
      <c r="AA168" s="217">
        <f t="shared" si="456"/>
        <v>6.9039946630516322</v>
      </c>
      <c r="AB168" s="173">
        <f t="shared" si="457"/>
        <v>1.1404389056857858</v>
      </c>
      <c r="AC168" s="173">
        <f t="shared" si="458"/>
        <v>1.377877220718444</v>
      </c>
      <c r="AD168" s="173"/>
      <c r="AE168" s="173">
        <f t="shared" si="459"/>
        <v>0.55061789651968462</v>
      </c>
      <c r="AF168" s="545">
        <f t="shared" si="460"/>
        <v>1580.0430852303352</v>
      </c>
      <c r="AG168" s="528">
        <f t="shared" si="461"/>
        <v>0.3211937729698161</v>
      </c>
      <c r="AI168" s="173">
        <f t="shared" si="462"/>
        <v>7.0823793984663208</v>
      </c>
      <c r="AJ168" s="173">
        <f t="shared" si="463"/>
        <v>7.2650295520881869</v>
      </c>
      <c r="AK168" s="173">
        <f t="shared" si="464"/>
        <v>4.1123675694480397</v>
      </c>
      <c r="AM168" s="545">
        <f t="shared" si="465"/>
        <v>1450</v>
      </c>
      <c r="AN168" s="460">
        <f t="shared" si="466"/>
        <v>311.86134631443571</v>
      </c>
      <c r="AP168">
        <f t="shared" si="467"/>
        <v>1450</v>
      </c>
      <c r="AQ168">
        <f t="shared" si="468"/>
        <v>311.86134631443571</v>
      </c>
      <c r="AS168" s="5">
        <f t="shared" si="439"/>
        <v>3.2065532064744735</v>
      </c>
      <c r="AT168" s="5">
        <f t="shared" si="469"/>
        <v>1.8064766194372301</v>
      </c>
      <c r="AU168" s="5">
        <f t="shared" si="343"/>
        <v>1.4000765870372434</v>
      </c>
      <c r="AV168" s="5"/>
      <c r="AW168" s="173">
        <f t="shared" si="344"/>
        <v>0.56337023062324509</v>
      </c>
      <c r="AX168" s="173">
        <f t="shared" si="435"/>
        <v>38.681577954931996</v>
      </c>
      <c r="AY168" s="173">
        <f t="shared" si="436"/>
        <v>1.586064088921787</v>
      </c>
      <c r="AZ168" s="173">
        <f t="shared" si="440"/>
        <v>24.388407899221711</v>
      </c>
      <c r="BA168" s="460">
        <f t="shared" si="433"/>
        <v>9.3549682077999403</v>
      </c>
      <c r="BB168" s="5">
        <f t="shared" si="434"/>
        <v>2.1480623983393143</v>
      </c>
      <c r="BD168" s="173">
        <f t="shared" si="441"/>
        <v>3.1482825708455433</v>
      </c>
      <c r="BE168" s="173">
        <f t="shared" si="437"/>
        <v>2.7716183572686206</v>
      </c>
      <c r="BG168" s="528">
        <f t="shared" si="347"/>
        <v>0.11894019775067788</v>
      </c>
      <c r="BH168" s="528">
        <f t="shared" si="470"/>
        <v>1.9580538545637256</v>
      </c>
      <c r="BI168" s="528">
        <f t="shared" si="349"/>
        <v>3.5864054826160112E-2</v>
      </c>
      <c r="BJ168" s="528">
        <f t="shared" si="350"/>
        <v>0.34442402876650713</v>
      </c>
      <c r="BK168">
        <f t="shared" si="351"/>
        <v>8.5058048010902727E-3</v>
      </c>
      <c r="BL168" s="460">
        <f t="shared" si="427"/>
        <v>44.369859627250385</v>
      </c>
      <c r="BM168" s="528">
        <f t="shared" si="471"/>
        <v>2.5248856861818005</v>
      </c>
      <c r="BN168" s="460">
        <f t="shared" si="353"/>
        <v>2524.8856861818003</v>
      </c>
      <c r="BO168" s="528">
        <f t="shared" si="354"/>
        <v>1.0149999999999999</v>
      </c>
      <c r="BR168" s="460">
        <f t="shared" si="355"/>
        <v>1014.9999999999999</v>
      </c>
      <c r="BS168" s="528">
        <f t="shared" si="356"/>
        <v>0.13876356404245752</v>
      </c>
      <c r="BT168" s="528">
        <f t="shared" si="357"/>
        <v>0.10754615645687769</v>
      </c>
      <c r="BU168" s="528">
        <f t="shared" si="358"/>
        <v>12.217077839853106</v>
      </c>
      <c r="BV168" s="528"/>
      <c r="BW168" s="528">
        <f t="shared" si="359"/>
        <v>1.6460245938268936</v>
      </c>
      <c r="BX168" s="460">
        <f t="shared" si="360"/>
        <v>14109.412154179336</v>
      </c>
      <c r="BY168" s="173">
        <f t="shared" si="361"/>
        <v>17.590200094887496</v>
      </c>
      <c r="BZ168" s="5">
        <f t="shared" si="362"/>
        <v>40.6</v>
      </c>
      <c r="CA168" s="173">
        <f t="shared" si="363"/>
        <v>0.69771198472931617</v>
      </c>
      <c r="CB168" s="5">
        <f t="shared" si="364"/>
        <v>69.771198472931616</v>
      </c>
      <c r="CE168" s="562">
        <f t="shared" si="472"/>
        <v>-50</v>
      </c>
      <c r="CF168">
        <f t="shared" si="473"/>
        <v>-50</v>
      </c>
      <c r="CG168" s="173">
        <f t="shared" si="474"/>
        <v>0.38386522560181652</v>
      </c>
      <c r="CI168" s="170">
        <v>58</v>
      </c>
      <c r="CJ168" s="217">
        <f t="shared" si="428"/>
        <v>1.45</v>
      </c>
      <c r="CK168" s="217"/>
      <c r="CL168" s="217">
        <f t="shared" si="368"/>
        <v>40.6</v>
      </c>
      <c r="CM168" s="541">
        <f t="shared" si="369"/>
        <v>19</v>
      </c>
      <c r="CN168" s="443">
        <f t="shared" si="370"/>
        <v>28.4</v>
      </c>
      <c r="CO168" s="443">
        <f t="shared" si="371"/>
        <v>47.4</v>
      </c>
      <c r="CP168" s="443"/>
      <c r="CQ168" s="217">
        <f t="shared" si="372"/>
        <v>0.59915611814345993</v>
      </c>
      <c r="CR168" s="172">
        <f t="shared" si="429"/>
        <v>95.556689708830859</v>
      </c>
      <c r="CS168" s="172">
        <f t="shared" si="373"/>
        <v>40.6</v>
      </c>
      <c r="CT168" s="217">
        <f t="shared" si="374"/>
        <v>3.4127389181725305</v>
      </c>
      <c r="CU168" s="217">
        <f t="shared" si="375"/>
        <v>28</v>
      </c>
      <c r="CV168" s="217"/>
      <c r="CW168" s="172">
        <f t="shared" si="376"/>
        <v>90.279214229341946</v>
      </c>
      <c r="CX168" s="172">
        <f t="shared" si="377"/>
        <v>28</v>
      </c>
      <c r="CY168" s="217">
        <f t="shared" si="378"/>
        <v>7.1328391401037807</v>
      </c>
      <c r="CZ168" s="217">
        <f t="shared" si="379"/>
        <v>1.7644391557098826</v>
      </c>
      <c r="DA168" s="217">
        <f t="shared" si="380"/>
        <v>1.1804346464256257</v>
      </c>
      <c r="DB168" s="197">
        <f t="shared" si="381"/>
        <v>350</v>
      </c>
      <c r="DC168" s="443">
        <f t="shared" si="382"/>
        <v>339.57312509447388</v>
      </c>
      <c r="DE168" s="217">
        <f t="shared" si="383"/>
        <v>6.9203442217177731</v>
      </c>
      <c r="DF168" s="173">
        <f t="shared" si="384"/>
        <v>1.1452682338758289</v>
      </c>
      <c r="DG168" s="173">
        <f t="shared" si="385"/>
        <v>1.3869888208084145</v>
      </c>
      <c r="DH168" s="173"/>
      <c r="DI168" s="173">
        <f t="shared" si="386"/>
        <v>0.55164319248826299</v>
      </c>
      <c r="DJ168" s="545">
        <f t="shared" si="387"/>
        <v>1577.1063829787231</v>
      </c>
      <c r="DK168" s="528">
        <f t="shared" si="388"/>
        <v>0.3217918622848201</v>
      </c>
      <c r="DM168" s="173">
        <f t="shared" si="389"/>
        <v>7.0757946056193477</v>
      </c>
      <c r="DN168" s="173">
        <f t="shared" si="390"/>
        <v>7.1328391401037807</v>
      </c>
      <c r="DO168" s="173">
        <f t="shared" si="391"/>
        <v>4.0144487457558871</v>
      </c>
      <c r="DQ168" s="545">
        <f t="shared" si="392"/>
        <v>1450</v>
      </c>
      <c r="DR168" s="460">
        <f t="shared" si="393"/>
        <v>339.57312509447388</v>
      </c>
      <c r="DT168">
        <f t="shared" si="430"/>
        <v>1450</v>
      </c>
      <c r="DU168">
        <f t="shared" si="431"/>
        <v>339.57312509447388</v>
      </c>
      <c r="DW168" s="5">
        <f t="shared" si="394"/>
        <v>2.944873802135509</v>
      </c>
      <c r="DX168" s="5">
        <f t="shared" si="395"/>
        <v>1.7644391557098826</v>
      </c>
      <c r="DY168" s="5">
        <f t="shared" si="396"/>
        <v>1.1804346464256263</v>
      </c>
      <c r="DZ168" s="5"/>
      <c r="EA168" s="173">
        <f t="shared" si="397"/>
        <v>0.59915611814345981</v>
      </c>
      <c r="EB168" s="173">
        <f t="shared" si="398"/>
        <v>40.599999999999994</v>
      </c>
      <c r="EC168" s="173">
        <f t="shared" si="399"/>
        <v>1.4295774647887327</v>
      </c>
      <c r="ED168" s="173">
        <f t="shared" si="400"/>
        <v>28.399999999999991</v>
      </c>
      <c r="EE168" s="460">
        <f t="shared" si="401"/>
        <v>9.1372741992118911</v>
      </c>
      <c r="EF168" s="5">
        <f t="shared" si="402"/>
        <v>1.801716039281219</v>
      </c>
      <c r="EH168" s="173">
        <f t="shared" si="403"/>
        <v>3.1876585978471002</v>
      </c>
      <c r="EI168" s="173">
        <f t="shared" si="404"/>
        <v>2.6072905597772578</v>
      </c>
      <c r="EK168" s="528">
        <f t="shared" si="405"/>
        <v>0.12193400803714249</v>
      </c>
      <c r="EL168" s="528">
        <f t="shared" si="406"/>
        <v>2.1813617021276595</v>
      </c>
      <c r="EM168" s="528">
        <f t="shared" si="407"/>
        <v>3.9050909385864495E-2</v>
      </c>
      <c r="EN168" s="528">
        <f t="shared" si="408"/>
        <v>0.37574761240960058</v>
      </c>
      <c r="EO168">
        <f t="shared" si="409"/>
        <v>8.5500000000000003E-3</v>
      </c>
      <c r="EP168" s="460">
        <f t="shared" si="410"/>
        <v>47.600909385864497</v>
      </c>
      <c r="EQ168" s="460"/>
      <c r="ER168" s="460">
        <f t="shared" si="432"/>
        <v>2726.644231960267</v>
      </c>
      <c r="ES168" s="528">
        <f t="shared" si="411"/>
        <v>1.0149999999999999</v>
      </c>
      <c r="EV168" s="460">
        <f t="shared" si="412"/>
        <v>1014.9999999999999</v>
      </c>
      <c r="EW168" s="528">
        <f t="shared" si="413"/>
        <v>0.14225634270999957</v>
      </c>
      <c r="EX168" s="528">
        <f t="shared" si="414"/>
        <v>9.5171496883450488E-2</v>
      </c>
      <c r="EY168" s="528">
        <f t="shared" si="415"/>
        <v>14.436414989686986</v>
      </c>
      <c r="EZ168" s="528"/>
      <c r="FA168" s="528">
        <f t="shared" si="416"/>
        <v>1.7276595744680852</v>
      </c>
      <c r="FB168" s="460">
        <f t="shared" si="417"/>
        <v>16401.50240374852</v>
      </c>
      <c r="FC168" s="173">
        <f t="shared" si="418"/>
        <v>20.143146635708788</v>
      </c>
      <c r="FD168" s="5">
        <f t="shared" si="419"/>
        <v>40.6</v>
      </c>
      <c r="FE168" s="173">
        <f t="shared" si="420"/>
        <v>0.66838815979501243</v>
      </c>
      <c r="FF168" s="5">
        <f t="shared" si="421"/>
        <v>66.838815979501248</v>
      </c>
      <c r="FI168" s="562">
        <f t="shared" si="422"/>
        <v>-50</v>
      </c>
      <c r="FJ168">
        <f t="shared" si="423"/>
        <v>-50</v>
      </c>
      <c r="FL168">
        <f t="shared" si="475"/>
        <v>0.40084388185654019</v>
      </c>
    </row>
    <row r="169" spans="5:168">
      <c r="E169" s="170">
        <v>59</v>
      </c>
      <c r="F169" s="217">
        <f t="shared" si="476"/>
        <v>1.4749999999999999</v>
      </c>
      <c r="G169" s="217"/>
      <c r="H169" s="217">
        <f t="shared" si="442"/>
        <v>41.3</v>
      </c>
      <c r="I169" s="541">
        <f t="shared" si="443"/>
        <v>18.900169984208791</v>
      </c>
      <c r="J169" s="172">
        <f t="shared" si="444"/>
        <v>28.453754623887573</v>
      </c>
      <c r="K169" s="172">
        <f t="shared" si="445"/>
        <v>47.353924608096364</v>
      </c>
      <c r="L169" s="443"/>
      <c r="M169" s="217">
        <f t="shared" si="446"/>
        <v>0.60085539795845699</v>
      </c>
      <c r="N169" s="172">
        <f t="shared" si="447"/>
        <v>95.324201143083656</v>
      </c>
      <c r="O169" s="172">
        <f t="shared" si="438"/>
        <v>41.3</v>
      </c>
      <c r="P169" s="217">
        <f t="shared" si="448"/>
        <v>3.4044357551101307</v>
      </c>
      <c r="Q169" s="217">
        <f t="shared" si="449"/>
        <v>28</v>
      </c>
      <c r="R169" s="217"/>
      <c r="S169" s="172">
        <f t="shared" si="450"/>
        <v>87.966005426796741</v>
      </c>
      <c r="T169" s="172">
        <f t="shared" si="451"/>
        <v>28</v>
      </c>
      <c r="U169" s="217">
        <f t="shared" si="452"/>
        <v>7.3908051991968664</v>
      </c>
      <c r="V169" s="217">
        <f t="shared" si="453"/>
        <v>1.8379085725286108</v>
      </c>
      <c r="W169" s="217">
        <f t="shared" si="454"/>
        <v>1.2208154915015312</v>
      </c>
      <c r="X169" s="197">
        <f t="shared" si="455"/>
        <v>350</v>
      </c>
      <c r="Y169" s="443">
        <f t="shared" si="328"/>
        <v>306.86857197822269</v>
      </c>
      <c r="AA169" s="217">
        <f t="shared" si="456"/>
        <v>6.9037238539251016</v>
      </c>
      <c r="AB169" s="173">
        <f t="shared" si="457"/>
        <v>1.1403592440558816</v>
      </c>
      <c r="AC169" s="173">
        <f t="shared" si="458"/>
        <v>1.3777269301657027</v>
      </c>
      <c r="AD169" s="173"/>
      <c r="AE169" s="173">
        <f t="shared" si="459"/>
        <v>0.55060103222771672</v>
      </c>
      <c r="AF169" s="545">
        <f t="shared" si="460"/>
        <v>1607.3344367323723</v>
      </c>
      <c r="AG169" s="528">
        <f t="shared" si="461"/>
        <v>0.32118393546616814</v>
      </c>
      <c r="AI169" s="173">
        <f t="shared" si="462"/>
        <v>7.1432828625916764</v>
      </c>
      <c r="AJ169" s="173">
        <f t="shared" si="463"/>
        <v>7.3908051991968664</v>
      </c>
      <c r="AK169" s="173">
        <f t="shared" si="464"/>
        <v>4.2055347154544691</v>
      </c>
      <c r="AM169" s="545">
        <f t="shared" si="465"/>
        <v>1474.9999999999998</v>
      </c>
      <c r="AN169" s="460">
        <f t="shared" si="466"/>
        <v>306.86857197822269</v>
      </c>
      <c r="AP169">
        <f t="shared" si="467"/>
        <v>1474.9999999999998</v>
      </c>
      <c r="AQ169">
        <f t="shared" si="468"/>
        <v>306.86857197822269</v>
      </c>
      <c r="AS169" s="5">
        <f t="shared" si="439"/>
        <v>3.258724064030142</v>
      </c>
      <c r="AT169" s="5">
        <f t="shared" si="469"/>
        <v>1.8379085725286108</v>
      </c>
      <c r="AU169" s="5">
        <f t="shared" si="343"/>
        <v>1.4208154915015312</v>
      </c>
      <c r="AV169" s="5"/>
      <c r="AW169" s="173">
        <f t="shared" si="344"/>
        <v>0.56399637907838851</v>
      </c>
      <c r="AX169" s="173">
        <f t="shared" si="435"/>
        <v>39.391614934270763</v>
      </c>
      <c r="AY169" s="173">
        <f t="shared" si="436"/>
        <v>1.611208914188053</v>
      </c>
      <c r="AZ169" s="173">
        <f t="shared" si="440"/>
        <v>24.448483736276767</v>
      </c>
      <c r="BA169" s="460">
        <f t="shared" si="433"/>
        <v>9.6818398017132168</v>
      </c>
      <c r="BB169" s="5">
        <f t="shared" si="434"/>
        <v>2.2176550281989322</v>
      </c>
      <c r="BD169" s="173">
        <f t="shared" si="441"/>
        <v>3.2045664840728265</v>
      </c>
      <c r="BE169" s="173">
        <f t="shared" si="437"/>
        <v>2.8175794836435286</v>
      </c>
      <c r="BG169" s="528">
        <f t="shared" si="347"/>
        <v>0.12323095621011453</v>
      </c>
      <c r="BH169" s="528">
        <f t="shared" si="470"/>
        <v>1.9600313380556313</v>
      </c>
      <c r="BI169" s="528">
        <f t="shared" si="349"/>
        <v>3.528988577749561E-2</v>
      </c>
      <c r="BJ169" s="528">
        <f t="shared" si="350"/>
        <v>0.33889924702934365</v>
      </c>
      <c r="BK169">
        <f t="shared" si="351"/>
        <v>8.5050764928939551E-3</v>
      </c>
      <c r="BL169" s="460">
        <f t="shared" si="427"/>
        <v>43.794962270389561</v>
      </c>
      <c r="BM169" s="528">
        <f t="shared" si="471"/>
        <v>2.5294967425003652</v>
      </c>
      <c r="BN169" s="460">
        <f t="shared" si="353"/>
        <v>2529.4967425003651</v>
      </c>
      <c r="BO169" s="528">
        <f t="shared" si="354"/>
        <v>1.0324999999999998</v>
      </c>
      <c r="BR169" s="460">
        <f t="shared" si="355"/>
        <v>1032.4999999999998</v>
      </c>
      <c r="BS169" s="528">
        <f t="shared" si="356"/>
        <v>0.1437694489118003</v>
      </c>
      <c r="BT169" s="528">
        <f t="shared" si="357"/>
        <v>0.11114255805308507</v>
      </c>
      <c r="BU169" s="528">
        <f t="shared" si="358"/>
        <v>12.24842999308755</v>
      </c>
      <c r="BV169" s="528"/>
      <c r="BW169" s="528">
        <f t="shared" si="359"/>
        <v>1.6762389333732242</v>
      </c>
      <c r="BX169" s="460">
        <f t="shared" si="360"/>
        <v>14179.580933425657</v>
      </c>
      <c r="BY169" s="173">
        <f t="shared" si="361"/>
        <v>17.678037436991136</v>
      </c>
      <c r="BZ169" s="5">
        <f t="shared" si="362"/>
        <v>41.3</v>
      </c>
      <c r="CA169" s="173">
        <f t="shared" si="363"/>
        <v>0.70026066981497359</v>
      </c>
      <c r="CB169" s="5">
        <f t="shared" si="364"/>
        <v>70.026066981497365</v>
      </c>
      <c r="CE169" s="562">
        <f t="shared" si="472"/>
        <v>-50</v>
      </c>
      <c r="CF169">
        <f t="shared" si="473"/>
        <v>-50</v>
      </c>
      <c r="CG169" s="173">
        <f t="shared" si="474"/>
        <v>0.38415299943664222</v>
      </c>
      <c r="CI169" s="170">
        <v>59</v>
      </c>
      <c r="CJ169" s="217">
        <f t="shared" si="428"/>
        <v>1.4749999999999999</v>
      </c>
      <c r="CK169" s="217"/>
      <c r="CL169" s="217">
        <f t="shared" si="368"/>
        <v>41.3</v>
      </c>
      <c r="CM169" s="541">
        <f t="shared" si="369"/>
        <v>19</v>
      </c>
      <c r="CN169" s="443">
        <f t="shared" si="370"/>
        <v>28.4</v>
      </c>
      <c r="CO169" s="443">
        <f t="shared" si="371"/>
        <v>47.4</v>
      </c>
      <c r="CP169" s="443"/>
      <c r="CQ169" s="217">
        <f t="shared" si="372"/>
        <v>0.59915611814345993</v>
      </c>
      <c r="CR169" s="172">
        <f t="shared" si="429"/>
        <v>95.556689708830859</v>
      </c>
      <c r="CS169" s="172">
        <f t="shared" si="373"/>
        <v>41.3</v>
      </c>
      <c r="CT169" s="217">
        <f t="shared" si="374"/>
        <v>3.4127389181725305</v>
      </c>
      <c r="CU169" s="217">
        <f t="shared" si="375"/>
        <v>28</v>
      </c>
      <c r="CV169" s="217"/>
      <c r="CW169" s="172">
        <f t="shared" si="376"/>
        <v>88.430189267370324</v>
      </c>
      <c r="CX169" s="172">
        <f t="shared" si="377"/>
        <v>28</v>
      </c>
      <c r="CY169" s="217">
        <f t="shared" si="378"/>
        <v>7.2558191252779825</v>
      </c>
      <c r="CZ169" s="217">
        <f t="shared" si="379"/>
        <v>1.7948605204635011</v>
      </c>
      <c r="DA169" s="217">
        <f t="shared" si="380"/>
        <v>1.2007869679157226</v>
      </c>
      <c r="DB169" s="197">
        <f t="shared" si="381"/>
        <v>350</v>
      </c>
      <c r="DC169" s="443">
        <f t="shared" si="382"/>
        <v>333.81764839795744</v>
      </c>
      <c r="DE169" s="217">
        <f t="shared" si="383"/>
        <v>6.9203442217177731</v>
      </c>
      <c r="DF169" s="173">
        <f t="shared" si="384"/>
        <v>1.1452682338758289</v>
      </c>
      <c r="DG169" s="173">
        <f t="shared" si="385"/>
        <v>1.3869888208084145</v>
      </c>
      <c r="DH169" s="173"/>
      <c r="DI169" s="173">
        <f t="shared" si="386"/>
        <v>0.55164319248826299</v>
      </c>
      <c r="DJ169" s="545">
        <f t="shared" si="387"/>
        <v>1604.2978723404251</v>
      </c>
      <c r="DK169" s="528">
        <f t="shared" si="388"/>
        <v>0.3217918622848201</v>
      </c>
      <c r="DM169" s="173">
        <f t="shared" si="389"/>
        <v>7.1365321540234321</v>
      </c>
      <c r="DN169" s="173">
        <f t="shared" si="390"/>
        <v>7.2558191252779825</v>
      </c>
      <c r="DO169" s="173">
        <f t="shared" si="391"/>
        <v>4.1055450310701103</v>
      </c>
      <c r="DQ169" s="545">
        <f t="shared" si="392"/>
        <v>1474.9999999999998</v>
      </c>
      <c r="DR169" s="460">
        <f t="shared" si="393"/>
        <v>333.81764839795744</v>
      </c>
      <c r="DT169">
        <f t="shared" si="430"/>
        <v>1474.9999999999998</v>
      </c>
      <c r="DU169">
        <f t="shared" si="431"/>
        <v>333.81764839795744</v>
      </c>
      <c r="DW169" s="5">
        <f t="shared" si="394"/>
        <v>2.9956474883792237</v>
      </c>
      <c r="DX169" s="5">
        <f t="shared" si="395"/>
        <v>1.7948605204635011</v>
      </c>
      <c r="DY169" s="5">
        <f t="shared" si="396"/>
        <v>1.2007869679157226</v>
      </c>
      <c r="DZ169" s="5"/>
      <c r="EA169" s="173">
        <f t="shared" si="397"/>
        <v>0.59915611814345993</v>
      </c>
      <c r="EB169" s="173">
        <f t="shared" si="398"/>
        <v>41.29999999999999</v>
      </c>
      <c r="EC169" s="173">
        <f t="shared" si="399"/>
        <v>1.4542253521126758</v>
      </c>
      <c r="ED169" s="173">
        <f t="shared" si="400"/>
        <v>28.4</v>
      </c>
      <c r="EE169" s="460">
        <f t="shared" si="401"/>
        <v>9.4550688131559433</v>
      </c>
      <c r="EF169" s="5">
        <f t="shared" si="402"/>
        <v>1.8643797659744112</v>
      </c>
      <c r="EH169" s="173">
        <f t="shared" si="403"/>
        <v>3.242618228844464</v>
      </c>
      <c r="EI169" s="173">
        <f t="shared" si="404"/>
        <v>2.6522438452906574</v>
      </c>
      <c r="EK169" s="528">
        <f t="shared" si="405"/>
        <v>0.12617487573641289</v>
      </c>
      <c r="EL169" s="528">
        <f t="shared" si="406"/>
        <v>2.1813617021276595</v>
      </c>
      <c r="EM169" s="528">
        <f t="shared" si="407"/>
        <v>3.8389029565765106E-2</v>
      </c>
      <c r="EN169" s="528">
        <f t="shared" si="408"/>
        <v>0.36937900880943791</v>
      </c>
      <c r="EO169">
        <f t="shared" si="409"/>
        <v>8.5500000000000003E-3</v>
      </c>
      <c r="EP169" s="460">
        <f t="shared" si="410"/>
        <v>46.939029565765111</v>
      </c>
      <c r="EQ169" s="460"/>
      <c r="ER169" s="460">
        <f t="shared" si="432"/>
        <v>2723.8546162392754</v>
      </c>
      <c r="ES169" s="528">
        <f t="shared" si="411"/>
        <v>1.0324999999999998</v>
      </c>
      <c r="EV169" s="460">
        <f t="shared" si="412"/>
        <v>1032.4999999999998</v>
      </c>
      <c r="EW169" s="528">
        <f t="shared" si="413"/>
        <v>0.14720402169248173</v>
      </c>
      <c r="EX169" s="528">
        <f t="shared" si="414"/>
        <v>9.8481563808350422E-2</v>
      </c>
      <c r="EY169" s="528">
        <f t="shared" si="415"/>
        <v>14.436414989686986</v>
      </c>
      <c r="EZ169" s="528"/>
      <c r="FA169" s="528">
        <f t="shared" si="416"/>
        <v>1.7574468085106381</v>
      </c>
      <c r="FB169" s="460">
        <f t="shared" si="417"/>
        <v>16439.547383698457</v>
      </c>
      <c r="FC169" s="173">
        <f t="shared" si="418"/>
        <v>20.195901999937732</v>
      </c>
      <c r="FD169" s="5">
        <f t="shared" si="419"/>
        <v>41.3</v>
      </c>
      <c r="FE169" s="173">
        <f t="shared" si="420"/>
        <v>0.67158946623860916</v>
      </c>
      <c r="FF169" s="5">
        <f t="shared" si="421"/>
        <v>67.158946623860913</v>
      </c>
      <c r="FI169" s="562">
        <f t="shared" si="422"/>
        <v>-50</v>
      </c>
      <c r="FJ169">
        <f t="shared" si="423"/>
        <v>-50</v>
      </c>
      <c r="FL169">
        <f t="shared" si="475"/>
        <v>0.40084388185654007</v>
      </c>
    </row>
    <row r="170" spans="5:168">
      <c r="E170" s="170">
        <v>60</v>
      </c>
      <c r="F170" s="217">
        <f t="shared" si="476"/>
        <v>1.5</v>
      </c>
      <c r="G170" s="217"/>
      <c r="H170" s="217">
        <f t="shared" si="442"/>
        <v>42</v>
      </c>
      <c r="I170" s="541">
        <f t="shared" si="443"/>
        <v>18.898551413239176</v>
      </c>
      <c r="J170" s="172">
        <f t="shared" si="444"/>
        <v>28.454626162101981</v>
      </c>
      <c r="K170" s="172">
        <f t="shared" si="445"/>
        <v>47.353177575341157</v>
      </c>
      <c r="L170" s="443"/>
      <c r="M170" s="217">
        <f t="shared" si="446"/>
        <v>0.6008832969471517</v>
      </c>
      <c r="N170" s="172">
        <f t="shared" si="447"/>
        <v>95.320463503667895</v>
      </c>
      <c r="O170" s="172">
        <f t="shared" si="438"/>
        <v>42</v>
      </c>
      <c r="P170" s="217">
        <f t="shared" si="448"/>
        <v>3.4043022679881392</v>
      </c>
      <c r="Q170" s="217">
        <f t="shared" si="449"/>
        <v>28</v>
      </c>
      <c r="R170" s="217"/>
      <c r="S170" s="172">
        <f t="shared" si="450"/>
        <v>86.180711559809694</v>
      </c>
      <c r="T170" s="172">
        <f t="shared" si="451"/>
        <v>28</v>
      </c>
      <c r="U170" s="217">
        <f t="shared" si="452"/>
        <v>7.5165984712064544</v>
      </c>
      <c r="V170" s="217">
        <f t="shared" si="453"/>
        <v>1.8693503032153924</v>
      </c>
      <c r="W170" s="217">
        <f t="shared" si="454"/>
        <v>1.2415560342775773</v>
      </c>
      <c r="X170" s="197">
        <f t="shared" si="455"/>
        <v>350</v>
      </c>
      <c r="Y170" s="443">
        <f t="shared" si="328"/>
        <v>302.03210180726637</v>
      </c>
      <c r="AA170" s="217">
        <f t="shared" si="456"/>
        <v>6.9034529819131762</v>
      </c>
      <c r="AB170" s="173">
        <f t="shared" si="457"/>
        <v>1.1402795745813123</v>
      </c>
      <c r="AC170" s="173">
        <f t="shared" si="458"/>
        <v>1.3775766251376584</v>
      </c>
      <c r="AD170" s="173"/>
      <c r="AE170" s="173">
        <f t="shared" si="459"/>
        <v>0.55058416784026198</v>
      </c>
      <c r="AF170" s="545">
        <f t="shared" si="460"/>
        <v>1634.627460376071</v>
      </c>
      <c r="AG170" s="528">
        <f t="shared" si="461"/>
        <v>0.3211740979068195</v>
      </c>
      <c r="AI170" s="173">
        <f t="shared" si="462"/>
        <v>7.2036751210777137</v>
      </c>
      <c r="AJ170" s="173">
        <f t="shared" si="463"/>
        <v>7.5165984712064544</v>
      </c>
      <c r="AK170" s="173">
        <f t="shared" si="464"/>
        <v>4.2987149169430525</v>
      </c>
      <c r="AM170" s="545">
        <f t="shared" si="465"/>
        <v>1500</v>
      </c>
      <c r="AN170" s="460">
        <f t="shared" si="466"/>
        <v>302.03210180726637</v>
      </c>
      <c r="AP170">
        <f t="shared" si="467"/>
        <v>1500</v>
      </c>
      <c r="AQ170">
        <f t="shared" si="468"/>
        <v>302.03210180726637</v>
      </c>
      <c r="AS170" s="5">
        <f t="shared" si="439"/>
        <v>3.3109063374929697</v>
      </c>
      <c r="AT170" s="5">
        <f t="shared" si="469"/>
        <v>1.8693503032153924</v>
      </c>
      <c r="AU170" s="5">
        <f t="shared" ref="AU170:AU233" si="477">AS170-AT170</f>
        <v>1.4415560342775773</v>
      </c>
      <c r="AV170" s="5"/>
      <c r="AW170" s="173">
        <f t="shared" ref="AW170:AW233" si="478">AT170/AS170</f>
        <v>0.56460380109419561</v>
      </c>
      <c r="AX170" s="173">
        <f t="shared" si="435"/>
        <v>40.101781815215269</v>
      </c>
      <c r="AY170" s="173">
        <f t="shared" si="436"/>
        <v>1.6363492015322354</v>
      </c>
      <c r="AZ170" s="173">
        <f t="shared" si="440"/>
        <v>24.506860624654561</v>
      </c>
      <c r="BA170" s="460">
        <f t="shared" si="433"/>
        <v>10.014376624368174</v>
      </c>
      <c r="BB170" s="5">
        <f t="shared" si="434"/>
        <v>2.2883595722596666</v>
      </c>
      <c r="BD170" s="173">
        <f t="shared" si="441"/>
        <v>3.260863523881826</v>
      </c>
      <c r="BE170" s="173">
        <f t="shared" si="437"/>
        <v>2.8635385925572461</v>
      </c>
      <c r="BG170" s="528">
        <f t="shared" ref="BG170:BG210" si="479">Rdson*BD170^2</f>
        <v>0.12759877105659601</v>
      </c>
      <c r="BH170" s="528">
        <f t="shared" si="470"/>
        <v>1.9619432996444819</v>
      </c>
      <c r="BI170" s="528">
        <f t="shared" ref="BI170:BI210" si="480">Qg*Vdd*AN170*1000</f>
        <v>3.4733691707835634E-2</v>
      </c>
      <c r="BJ170" s="528">
        <f t="shared" ref="BJ170:BJ210" si="481">0.5*(Coss+Csw)*K170^2*AN170*1000</f>
        <v>0.33354742628524381</v>
      </c>
      <c r="BK170">
        <f t="shared" ref="BK170:BK210" si="482">I170*IQ</f>
        <v>8.504348135957629E-3</v>
      </c>
      <c r="BL170" s="460">
        <f t="shared" si="427"/>
        <v>43.23803984379326</v>
      </c>
      <c r="BM170" s="528">
        <f t="shared" si="471"/>
        <v>2.5343770606144376</v>
      </c>
      <c r="BN170" s="460">
        <f t="shared" si="353"/>
        <v>2534.3770606144376</v>
      </c>
      <c r="BO170" s="528">
        <f t="shared" ref="BO170:BO210" si="483">Vfwd2*F170</f>
        <v>1.0499999999999998</v>
      </c>
      <c r="BR170" s="460">
        <f t="shared" ref="BR170:BR210" si="484">SUM(BO170:BQ170)*1000</f>
        <v>1049.9999999999998</v>
      </c>
      <c r="BS170" s="528">
        <f t="shared" ref="BS170:BS210" si="485">Rdcr_pri*BD170^2</f>
        <v>0.14886523289936199</v>
      </c>
      <c r="BT170" s="528">
        <f t="shared" ref="BT170:BT210" si="486">Rdcr_sec*BE170^2</f>
        <v>0.11479794579490628</v>
      </c>
      <c r="BU170" s="528">
        <f t="shared" ref="BU170:BU210" si="487">AJ170^2.5*AN170^2.5*k_core</f>
        <v>12.278806198841638</v>
      </c>
      <c r="BV170" s="528"/>
      <c r="BW170" s="528">
        <f t="shared" ref="BW170:BW210" si="488">0.5*Lleak*0.000000001*AJ170^2*AN170*1000</f>
        <v>1.7064588006474581</v>
      </c>
      <c r="BX170" s="460">
        <f t="shared" ref="BX170:BX210" si="489">SUM(BS170:BW170)*1000</f>
        <v>14248.928178183363</v>
      </c>
      <c r="BY170" s="173">
        <f t="shared" ref="BY170:BY210" si="490">SUM(BG170:BK170,BO170:BQ170,BS170:BW170)</f>
        <v>17.765255715013478</v>
      </c>
      <c r="BZ170" s="5">
        <f t="shared" ref="BZ170:BZ210" si="491">MIN(H170,O170)</f>
        <v>42</v>
      </c>
      <c r="CA170" s="173">
        <f t="shared" ref="CA170:CA210" si="492">BZ170/(BZ170+BY170)</f>
        <v>0.70274944024792796</v>
      </c>
      <c r="CB170" s="5">
        <f t="shared" ref="CB170:CB210" si="493">CA170*100</f>
        <v>70.274944024792802</v>
      </c>
      <c r="CE170" s="562">
        <f t="shared" si="472"/>
        <v>-50</v>
      </c>
      <c r="CF170">
        <f t="shared" si="473"/>
        <v>-50</v>
      </c>
      <c r="CG170" s="173">
        <f t="shared" si="474"/>
        <v>0.38443118081030714</v>
      </c>
      <c r="CI170" s="170">
        <v>60</v>
      </c>
      <c r="CJ170" s="217">
        <f t="shared" si="428"/>
        <v>1.5</v>
      </c>
      <c r="CK170" s="217"/>
      <c r="CL170" s="217">
        <f t="shared" si="368"/>
        <v>42</v>
      </c>
      <c r="CM170" s="541">
        <f t="shared" si="369"/>
        <v>19</v>
      </c>
      <c r="CN170" s="443">
        <f t="shared" si="370"/>
        <v>28.4</v>
      </c>
      <c r="CO170" s="443">
        <f t="shared" si="371"/>
        <v>47.4</v>
      </c>
      <c r="CP170" s="443"/>
      <c r="CQ170" s="217">
        <f t="shared" si="372"/>
        <v>0.59915611814345993</v>
      </c>
      <c r="CR170" s="172">
        <f t="shared" si="429"/>
        <v>95.556689708830859</v>
      </c>
      <c r="CS170" s="172">
        <f t="shared" si="373"/>
        <v>42</v>
      </c>
      <c r="CT170" s="217">
        <f t="shared" si="374"/>
        <v>3.4127389181725305</v>
      </c>
      <c r="CU170" s="217">
        <f t="shared" si="375"/>
        <v>28</v>
      </c>
      <c r="CV170" s="217"/>
      <c r="CW170" s="172">
        <f t="shared" si="376"/>
        <v>86.642868854164021</v>
      </c>
      <c r="CX170" s="172">
        <f t="shared" si="377"/>
        <v>28</v>
      </c>
      <c r="CY170" s="217">
        <f t="shared" si="378"/>
        <v>7.3787991104521859</v>
      </c>
      <c r="CZ170" s="217">
        <f t="shared" si="379"/>
        <v>1.8252818852171198</v>
      </c>
      <c r="DA170" s="217">
        <f t="shared" si="380"/>
        <v>1.2211392894058195</v>
      </c>
      <c r="DB170" s="197">
        <f t="shared" si="381"/>
        <v>350</v>
      </c>
      <c r="DC170" s="443">
        <f t="shared" si="382"/>
        <v>328.25402092465816</v>
      </c>
      <c r="DE170" s="217">
        <f t="shared" si="383"/>
        <v>6.9203442217177731</v>
      </c>
      <c r="DF170" s="173">
        <f t="shared" si="384"/>
        <v>1.1452682338758289</v>
      </c>
      <c r="DG170" s="173">
        <f t="shared" si="385"/>
        <v>1.3869888208084145</v>
      </c>
      <c r="DH170" s="173"/>
      <c r="DI170" s="173">
        <f t="shared" si="386"/>
        <v>0.55164319248826299</v>
      </c>
      <c r="DJ170" s="545">
        <f t="shared" si="387"/>
        <v>1631.4893617021273</v>
      </c>
      <c r="DK170" s="528">
        <f t="shared" si="388"/>
        <v>0.3217918622848201</v>
      </c>
      <c r="DM170" s="173">
        <f t="shared" si="389"/>
        <v>7.1967571217812267</v>
      </c>
      <c r="DN170" s="173">
        <f t="shared" si="390"/>
        <v>7.3787991104521859</v>
      </c>
      <c r="DO170" s="173">
        <f t="shared" si="391"/>
        <v>4.1966413163843352</v>
      </c>
      <c r="DQ170" s="545">
        <f t="shared" si="392"/>
        <v>1500</v>
      </c>
      <c r="DR170" s="460">
        <f t="shared" si="393"/>
        <v>328.25402092465816</v>
      </c>
      <c r="DT170">
        <f t="shared" si="430"/>
        <v>1500</v>
      </c>
      <c r="DU170">
        <f t="shared" si="431"/>
        <v>328.25402092465816</v>
      </c>
      <c r="DW170" s="5">
        <f t="shared" si="394"/>
        <v>3.0464211746229393</v>
      </c>
      <c r="DX170" s="5">
        <f t="shared" si="395"/>
        <v>1.8252818852171198</v>
      </c>
      <c r="DY170" s="5">
        <f t="shared" si="396"/>
        <v>1.2211392894058195</v>
      </c>
      <c r="DZ170" s="5"/>
      <c r="EA170" s="173">
        <f t="shared" si="397"/>
        <v>0.59915611814345993</v>
      </c>
      <c r="EB170" s="173">
        <f t="shared" si="398"/>
        <v>41.999999999999993</v>
      </c>
      <c r="EC170" s="173">
        <f t="shared" si="399"/>
        <v>1.4788732394366195</v>
      </c>
      <c r="ED170" s="173">
        <f t="shared" si="400"/>
        <v>28.4</v>
      </c>
      <c r="EE170" s="460">
        <f t="shared" si="401"/>
        <v>9.7782958136631422</v>
      </c>
      <c r="EF170" s="5">
        <f t="shared" si="402"/>
        <v>1.9281146674828731</v>
      </c>
      <c r="EH170" s="173">
        <f t="shared" si="403"/>
        <v>3.2975778598418279</v>
      </c>
      <c r="EI170" s="173">
        <f t="shared" si="404"/>
        <v>2.6971971308040588</v>
      </c>
      <c r="EK170" s="528">
        <f t="shared" si="405"/>
        <v>0.13048823690062814</v>
      </c>
      <c r="EL170" s="528">
        <f t="shared" si="406"/>
        <v>2.1813617021276599</v>
      </c>
      <c r="EM170" s="528">
        <f t="shared" si="407"/>
        <v>3.7749212406335692E-2</v>
      </c>
      <c r="EN170" s="528">
        <f t="shared" si="408"/>
        <v>0.36322269199594731</v>
      </c>
      <c r="EO170">
        <f t="shared" si="409"/>
        <v>8.5500000000000003E-3</v>
      </c>
      <c r="EP170" s="460">
        <f t="shared" si="410"/>
        <v>46.299212406335691</v>
      </c>
      <c r="EQ170" s="460"/>
      <c r="ER170" s="460">
        <f t="shared" si="432"/>
        <v>2721.3718434305711</v>
      </c>
      <c r="ES170" s="528">
        <f t="shared" si="411"/>
        <v>1.0499999999999998</v>
      </c>
      <c r="EV170" s="460">
        <f t="shared" ref="EV170:EV210" si="494">SUM(ES170:EU170)*1000</f>
        <v>1049.9999999999998</v>
      </c>
      <c r="EW170" s="528">
        <f t="shared" si="413"/>
        <v>0.15223627638406614</v>
      </c>
      <c r="EX170" s="528">
        <f t="shared" si="414"/>
        <v>0.10184821307384706</v>
      </c>
      <c r="EY170" s="528">
        <f t="shared" si="415"/>
        <v>14.436414989687025</v>
      </c>
      <c r="EZ170" s="528"/>
      <c r="FA170" s="528">
        <f t="shared" si="416"/>
        <v>1.7872340425531914</v>
      </c>
      <c r="FB170" s="460">
        <f t="shared" si="417"/>
        <v>16477.73352169813</v>
      </c>
      <c r="FC170" s="173">
        <f t="shared" si="418"/>
        <v>20.249105365128699</v>
      </c>
      <c r="FD170" s="5">
        <f t="shared" si="419"/>
        <v>42</v>
      </c>
      <c r="FE170" s="173">
        <f t="shared" si="420"/>
        <v>0.67470849185132165</v>
      </c>
      <c r="FF170" s="5">
        <f t="shared" si="421"/>
        <v>67.470849185132167</v>
      </c>
      <c r="FI170" s="562">
        <f t="shared" si="422"/>
        <v>-50</v>
      </c>
      <c r="FJ170">
        <f t="shared" si="423"/>
        <v>-50</v>
      </c>
      <c r="FL170">
        <f t="shared" si="475"/>
        <v>0.40084388185654007</v>
      </c>
    </row>
    <row r="171" spans="5:168">
      <c r="E171" s="170">
        <v>61</v>
      </c>
      <c r="F171" s="217">
        <f t="shared" si="476"/>
        <v>1.5249999999999999</v>
      </c>
      <c r="G171" s="217"/>
      <c r="H171" s="217">
        <f t="shared" si="442"/>
        <v>42.699999999999996</v>
      </c>
      <c r="I171" s="541">
        <f t="shared" si="443"/>
        <v>18.896932739508738</v>
      </c>
      <c r="J171" s="172">
        <f t="shared" si="444"/>
        <v>28.455497755649141</v>
      </c>
      <c r="K171" s="172">
        <f t="shared" si="445"/>
        <v>47.352430495157876</v>
      </c>
      <c r="L171" s="443"/>
      <c r="M171" s="217">
        <f t="shared" si="446"/>
        <v>0.60091119811836469</v>
      </c>
      <c r="N171" s="172">
        <f t="shared" si="447"/>
        <v>95.316724934030404</v>
      </c>
      <c r="O171" s="172">
        <f t="shared" si="438"/>
        <v>42.699999999999996</v>
      </c>
      <c r="P171" s="217">
        <f t="shared" si="448"/>
        <v>3.4041687476439431</v>
      </c>
      <c r="Q171" s="217">
        <f t="shared" si="449"/>
        <v>28</v>
      </c>
      <c r="R171" s="217"/>
      <c r="S171" s="172">
        <f t="shared" si="450"/>
        <v>84.454074470485267</v>
      </c>
      <c r="T171" s="172">
        <f t="shared" si="451"/>
        <v>28</v>
      </c>
      <c r="U171" s="217">
        <f t="shared" si="452"/>
        <v>7.6424093726002127</v>
      </c>
      <c r="V171" s="217">
        <f t="shared" si="453"/>
        <v>1.9008018151074177</v>
      </c>
      <c r="W171" s="217">
        <f t="shared" si="454"/>
        <v>1.2622982159603973</v>
      </c>
      <c r="X171" s="197">
        <f t="shared" si="455"/>
        <v>350</v>
      </c>
      <c r="Y171" s="443">
        <f t="shared" si="328"/>
        <v>297.34470897747599</v>
      </c>
      <c r="AA171" s="217">
        <f t="shared" si="456"/>
        <v>6.9031820479338428</v>
      </c>
      <c r="AB171" s="173">
        <f t="shared" si="457"/>
        <v>1.1401998975346657</v>
      </c>
      <c r="AC171" s="173">
        <f t="shared" si="458"/>
        <v>1.3774263061505294</v>
      </c>
      <c r="AD171" s="173"/>
      <c r="AE171" s="173">
        <f t="shared" si="459"/>
        <v>0.55056730341525772</v>
      </c>
      <c r="AF171" s="545">
        <f t="shared" si="460"/>
        <v>1661.9221561544018</v>
      </c>
      <c r="AG171" s="528">
        <f t="shared" si="461"/>
        <v>0.321164260325567</v>
      </c>
      <c r="AI171" s="173">
        <f t="shared" si="462"/>
        <v>7.2635689250334217</v>
      </c>
      <c r="AJ171" s="173">
        <f t="shared" si="463"/>
        <v>7.6424093726002127</v>
      </c>
      <c r="AK171" s="173">
        <f t="shared" si="464"/>
        <v>4.3919081772347246</v>
      </c>
      <c r="AM171" s="545">
        <f t="shared" si="465"/>
        <v>1525</v>
      </c>
      <c r="AN171" s="460">
        <f t="shared" si="466"/>
        <v>297.34470897747599</v>
      </c>
      <c r="AP171">
        <f t="shared" si="467"/>
        <v>1525</v>
      </c>
      <c r="AQ171">
        <f t="shared" si="468"/>
        <v>297.34470897747599</v>
      </c>
      <c r="AS171" s="5">
        <f t="shared" si="439"/>
        <v>3.3631000310678152</v>
      </c>
      <c r="AT171" s="5">
        <f t="shared" si="469"/>
        <v>1.9008018151074177</v>
      </c>
      <c r="AU171" s="5">
        <f t="shared" si="477"/>
        <v>1.4622982159603974</v>
      </c>
      <c r="AV171" s="5"/>
      <c r="AW171" s="173">
        <f t="shared" si="478"/>
        <v>0.56519336253697328</v>
      </c>
      <c r="AX171" s="173">
        <f t="shared" si="435"/>
        <v>40.812074611315687</v>
      </c>
      <c r="AY171" s="173">
        <f t="shared" si="436"/>
        <v>1.6614851607081091</v>
      </c>
      <c r="AZ171" s="173">
        <f t="shared" si="440"/>
        <v>24.563610663800315</v>
      </c>
      <c r="BA171" s="460">
        <f t="shared" si="433"/>
        <v>10.352581314424329</v>
      </c>
      <c r="BB171" s="5">
        <f t="shared" si="434"/>
        <v>2.3601764477652249</v>
      </c>
      <c r="BD171" s="173">
        <f t="shared" si="441"/>
        <v>3.3171735704333156</v>
      </c>
      <c r="BE171" s="173">
        <f t="shared" si="437"/>
        <v>2.9094959202161719</v>
      </c>
      <c r="BG171" s="528">
        <f t="shared" si="479"/>
        <v>0.13204368595657576</v>
      </c>
      <c r="BH171" s="528">
        <f t="shared" si="470"/>
        <v>1.9637927682839798</v>
      </c>
      <c r="BI171" s="528">
        <f t="shared" si="480"/>
        <v>3.4194641532409739E-2</v>
      </c>
      <c r="BJ171" s="528">
        <f t="shared" si="481"/>
        <v>0.32836056960674453</v>
      </c>
      <c r="BK171">
        <f t="shared" si="482"/>
        <v>8.5036197327789317E-3</v>
      </c>
      <c r="BL171" s="460">
        <f t="shared" si="427"/>
        <v>42.69826126518867</v>
      </c>
      <c r="BM171" s="528">
        <f t="shared" si="471"/>
        <v>2.5395227382969958</v>
      </c>
      <c r="BN171" s="460">
        <f t="shared" si="353"/>
        <v>2539.5227382969956</v>
      </c>
      <c r="BO171" s="528">
        <f t="shared" si="483"/>
        <v>1.0674999999999999</v>
      </c>
      <c r="BR171" s="460">
        <f t="shared" si="484"/>
        <v>1067.5</v>
      </c>
      <c r="BS171" s="528">
        <f t="shared" si="485"/>
        <v>0.15405096694933837</v>
      </c>
      <c r="BT171" s="528">
        <f t="shared" si="486"/>
        <v>0.11851233113656368</v>
      </c>
      <c r="BU171" s="528">
        <f t="shared" si="487"/>
        <v>12.308249327203381</v>
      </c>
      <c r="BV171" s="528"/>
      <c r="BW171" s="528">
        <f t="shared" si="488"/>
        <v>1.736684026013434</v>
      </c>
      <c r="BX171" s="460">
        <f t="shared" si="489"/>
        <v>14317.496651302718</v>
      </c>
      <c r="BY171" s="173">
        <f t="shared" si="490"/>
        <v>17.851891936415207</v>
      </c>
      <c r="BZ171" s="5">
        <f t="shared" si="491"/>
        <v>42.699999999999996</v>
      </c>
      <c r="CA171" s="173">
        <f t="shared" si="492"/>
        <v>0.70518027817923079</v>
      </c>
      <c r="CB171" s="5">
        <f t="shared" si="493"/>
        <v>70.518027817923084</v>
      </c>
      <c r="CE171" s="562">
        <f t="shared" si="472"/>
        <v>-50</v>
      </c>
      <c r="CF171">
        <f t="shared" si="473"/>
        <v>-50</v>
      </c>
      <c r="CG171" s="173">
        <f t="shared" si="474"/>
        <v>0.38470024148319626</v>
      </c>
      <c r="CI171" s="170">
        <v>61</v>
      </c>
      <c r="CJ171" s="217">
        <f t="shared" si="428"/>
        <v>1.5249999999999999</v>
      </c>
      <c r="CK171" s="217"/>
      <c r="CL171" s="217">
        <f t="shared" si="368"/>
        <v>42.699999999999996</v>
      </c>
      <c r="CM171" s="541">
        <f t="shared" si="369"/>
        <v>19</v>
      </c>
      <c r="CN171" s="443">
        <f t="shared" si="370"/>
        <v>28.4</v>
      </c>
      <c r="CO171" s="443">
        <f t="shared" si="371"/>
        <v>47.4</v>
      </c>
      <c r="CP171" s="443"/>
      <c r="CQ171" s="217">
        <f t="shared" si="372"/>
        <v>0.59915611814345993</v>
      </c>
      <c r="CR171" s="172">
        <f t="shared" si="429"/>
        <v>95.556689708830859</v>
      </c>
      <c r="CS171" s="172">
        <f t="shared" si="373"/>
        <v>42.699999999999996</v>
      </c>
      <c r="CT171" s="217">
        <f t="shared" si="374"/>
        <v>3.4127389181725305</v>
      </c>
      <c r="CU171" s="217">
        <f t="shared" si="375"/>
        <v>28</v>
      </c>
      <c r="CV171" s="217"/>
      <c r="CW171" s="172">
        <f t="shared" si="376"/>
        <v>84.914219066074622</v>
      </c>
      <c r="CX171" s="172">
        <f t="shared" si="377"/>
        <v>28</v>
      </c>
      <c r="CY171" s="217">
        <f t="shared" si="378"/>
        <v>7.5017790956263886</v>
      </c>
      <c r="CZ171" s="217">
        <f t="shared" si="379"/>
        <v>1.8557032499707382</v>
      </c>
      <c r="DA171" s="217">
        <f t="shared" si="380"/>
        <v>1.2414916108959164</v>
      </c>
      <c r="DB171" s="197">
        <f t="shared" si="381"/>
        <v>350</v>
      </c>
      <c r="DC171" s="443">
        <f t="shared" si="382"/>
        <v>322.87280746687691</v>
      </c>
      <c r="DE171" s="217">
        <f t="shared" si="383"/>
        <v>6.9203442217177731</v>
      </c>
      <c r="DF171" s="173">
        <f t="shared" si="384"/>
        <v>1.1452682338758289</v>
      </c>
      <c r="DG171" s="173">
        <f t="shared" si="385"/>
        <v>1.3869888208084145</v>
      </c>
      <c r="DH171" s="173"/>
      <c r="DI171" s="173">
        <f t="shared" si="386"/>
        <v>0.55164319248826299</v>
      </c>
      <c r="DJ171" s="545">
        <f t="shared" si="387"/>
        <v>1658.6808510638296</v>
      </c>
      <c r="DK171" s="528">
        <f t="shared" si="388"/>
        <v>0.3217918622848201</v>
      </c>
      <c r="DM171" s="173">
        <f t="shared" si="389"/>
        <v>7.2564822713493413</v>
      </c>
      <c r="DN171" s="173">
        <f t="shared" si="390"/>
        <v>7.5017790956263886</v>
      </c>
      <c r="DO171" s="173">
        <f t="shared" si="391"/>
        <v>4.2877376016985593</v>
      </c>
      <c r="DQ171" s="545">
        <f t="shared" si="392"/>
        <v>1525</v>
      </c>
      <c r="DR171" s="460">
        <f t="shared" si="393"/>
        <v>322.87280746687691</v>
      </c>
      <c r="DT171">
        <f t="shared" si="430"/>
        <v>1525</v>
      </c>
      <c r="DU171">
        <f t="shared" si="431"/>
        <v>322.87280746687691</v>
      </c>
      <c r="DW171" s="5">
        <f t="shared" si="394"/>
        <v>3.0971948608666544</v>
      </c>
      <c r="DX171" s="5">
        <f t="shared" si="395"/>
        <v>1.8557032499707382</v>
      </c>
      <c r="DY171" s="5">
        <f t="shared" si="396"/>
        <v>1.2414916108959162</v>
      </c>
      <c r="DZ171" s="5"/>
      <c r="EA171" s="173">
        <f t="shared" si="397"/>
        <v>0.59915611814345993</v>
      </c>
      <c r="EB171" s="173">
        <f t="shared" si="398"/>
        <v>42.699999999999996</v>
      </c>
      <c r="EC171" s="173">
        <f t="shared" si="399"/>
        <v>1.503521126760563</v>
      </c>
      <c r="ED171" s="173">
        <f t="shared" si="400"/>
        <v>28.400000000000002</v>
      </c>
      <c r="EE171" s="460">
        <f t="shared" si="401"/>
        <v>10.106955200733484</v>
      </c>
      <c r="EF171" s="5">
        <f t="shared" si="402"/>
        <v>1.9929207438066017</v>
      </c>
      <c r="EH171" s="173">
        <f t="shared" si="403"/>
        <v>3.3525374908391914</v>
      </c>
      <c r="EI171" s="173">
        <f t="shared" si="404"/>
        <v>2.7421504163174593</v>
      </c>
      <c r="EK171" s="528">
        <f t="shared" si="405"/>
        <v>0.1348740915297881</v>
      </c>
      <c r="EL171" s="528">
        <f t="shared" si="406"/>
        <v>2.1813617021276599</v>
      </c>
      <c r="EM171" s="528">
        <f t="shared" si="407"/>
        <v>3.7130372858690849E-2</v>
      </c>
      <c r="EN171" s="528">
        <f t="shared" si="408"/>
        <v>0.35726822163535804</v>
      </c>
      <c r="EO171">
        <f t="shared" si="409"/>
        <v>8.5500000000000003E-3</v>
      </c>
      <c r="EP171" s="460">
        <f t="shared" si="410"/>
        <v>45.680372858690852</v>
      </c>
      <c r="EQ171" s="460"/>
      <c r="ER171" s="460">
        <f t="shared" si="432"/>
        <v>2719.1843881514969</v>
      </c>
      <c r="ES171" s="528">
        <f t="shared" si="411"/>
        <v>1.0674999999999999</v>
      </c>
      <c r="EV171" s="460">
        <f t="shared" si="494"/>
        <v>1067.5</v>
      </c>
      <c r="EW171" s="528">
        <f t="shared" si="413"/>
        <v>0.15735310678475278</v>
      </c>
      <c r="EX171" s="528">
        <f t="shared" si="414"/>
        <v>0.10527144467994021</v>
      </c>
      <c r="EY171" s="528">
        <f t="shared" si="415"/>
        <v>14.436414989686986</v>
      </c>
      <c r="EZ171" s="528"/>
      <c r="FA171" s="528">
        <f t="shared" si="416"/>
        <v>1.8170212765957443</v>
      </c>
      <c r="FB171" s="460">
        <f t="shared" si="417"/>
        <v>16516.060817747424</v>
      </c>
      <c r="FC171" s="173">
        <f t="shared" si="418"/>
        <v>20.302745205898923</v>
      </c>
      <c r="FD171" s="5">
        <f t="shared" si="419"/>
        <v>42.699999999999996</v>
      </c>
      <c r="FE171" s="173">
        <f t="shared" si="420"/>
        <v>0.67774824510348497</v>
      </c>
      <c r="FF171" s="5">
        <f t="shared" si="421"/>
        <v>67.774824510348495</v>
      </c>
      <c r="FI171" s="562">
        <f t="shared" si="422"/>
        <v>-50</v>
      </c>
      <c r="FJ171">
        <f t="shared" si="423"/>
        <v>-50</v>
      </c>
      <c r="FL171">
        <f t="shared" si="475"/>
        <v>0.40084388185654007</v>
      </c>
    </row>
    <row r="172" spans="5:168">
      <c r="E172" s="170">
        <v>62</v>
      </c>
      <c r="F172" s="217">
        <f t="shared" si="476"/>
        <v>1.55</v>
      </c>
      <c r="G172" s="217"/>
      <c r="H172" s="217">
        <f t="shared" si="442"/>
        <v>43.4</v>
      </c>
      <c r="I172" s="541">
        <f t="shared" si="443"/>
        <v>18.895313968194927</v>
      </c>
      <c r="J172" s="172">
        <f t="shared" si="444"/>
        <v>28.456369401741192</v>
      </c>
      <c r="K172" s="172">
        <f t="shared" si="445"/>
        <v>47.351683369936119</v>
      </c>
      <c r="L172" s="443"/>
      <c r="M172" s="217">
        <f t="shared" si="446"/>
        <v>0.60093910140667084</v>
      </c>
      <c r="N172" s="172">
        <f t="shared" si="447"/>
        <v>95.312985449749561</v>
      </c>
      <c r="O172" s="172">
        <f t="shared" si="438"/>
        <v>43.4</v>
      </c>
      <c r="P172" s="217">
        <f t="shared" si="448"/>
        <v>3.4040351946339129</v>
      </c>
      <c r="Q172" s="217">
        <f t="shared" si="449"/>
        <v>28</v>
      </c>
      <c r="R172" s="217"/>
      <c r="S172" s="172">
        <f t="shared" si="450"/>
        <v>82.78325667890887</v>
      </c>
      <c r="T172" s="172">
        <f t="shared" si="451"/>
        <v>28</v>
      </c>
      <c r="U172" s="217">
        <f t="shared" si="452"/>
        <v>7.7682379078665793</v>
      </c>
      <c r="V172" s="217">
        <f t="shared" si="453"/>
        <v>1.9322631118185543</v>
      </c>
      <c r="W172" s="217">
        <f t="shared" si="454"/>
        <v>1.2830420371454307</v>
      </c>
      <c r="X172" s="197">
        <f t="shared" si="455"/>
        <v>350</v>
      </c>
      <c r="Y172" s="443">
        <f t="shared" si="328"/>
        <v>292.79960541837517</v>
      </c>
      <c r="AA172" s="217">
        <f t="shared" si="456"/>
        <v>6.9029110528432707</v>
      </c>
      <c r="AB172" s="173">
        <f t="shared" si="457"/>
        <v>1.1401202131702088</v>
      </c>
      <c r="AC172" s="173">
        <f t="shared" si="458"/>
        <v>1.3772759736859657</v>
      </c>
      <c r="AD172" s="173"/>
      <c r="AE172" s="173">
        <f t="shared" si="459"/>
        <v>0.55055043900674316</v>
      </c>
      <c r="AF172" s="545">
        <f t="shared" si="460"/>
        <v>1689.2185240608069</v>
      </c>
      <c r="AG172" s="528">
        <f t="shared" si="461"/>
        <v>0.32115442275393352</v>
      </c>
      <c r="AI172" s="173">
        <f t="shared" si="462"/>
        <v>7.3229765048659869</v>
      </c>
      <c r="AJ172" s="173">
        <f t="shared" si="463"/>
        <v>7.7682379078665793</v>
      </c>
      <c r="AK172" s="173">
        <f t="shared" si="464"/>
        <v>4.485114499654256</v>
      </c>
      <c r="AM172" s="545">
        <f t="shared" si="465"/>
        <v>1550</v>
      </c>
      <c r="AN172" s="460">
        <f t="shared" si="466"/>
        <v>292.79960541837517</v>
      </c>
      <c r="AP172">
        <f t="shared" si="467"/>
        <v>1550</v>
      </c>
      <c r="AQ172">
        <f t="shared" si="468"/>
        <v>292.79960541837517</v>
      </c>
      <c r="AS172" s="5">
        <f t="shared" si="439"/>
        <v>3.4153051489639856</v>
      </c>
      <c r="AT172" s="5">
        <f t="shared" si="469"/>
        <v>1.9322631118185543</v>
      </c>
      <c r="AU172" s="5">
        <f t="shared" si="477"/>
        <v>1.4830420371454314</v>
      </c>
      <c r="AV172" s="5"/>
      <c r="AW172" s="173">
        <f t="shared" si="478"/>
        <v>0.56576587670495437</v>
      </c>
      <c r="AX172" s="173">
        <f t="shared" si="435"/>
        <v>41.522489578149084</v>
      </c>
      <c r="AY172" s="173">
        <f t="shared" si="436"/>
        <v>1.6866169887348919</v>
      </c>
      <c r="AZ172" s="173">
        <f t="shared" si="440"/>
        <v>24.618801930421991</v>
      </c>
      <c r="BA172" s="460">
        <f t="shared" si="433"/>
        <v>10.696456511852711</v>
      </c>
      <c r="BB172" s="5">
        <f t="shared" si="434"/>
        <v>2.433106072166543</v>
      </c>
      <c r="BD172" s="173">
        <f t="shared" si="441"/>
        <v>3.3734965114023265</v>
      </c>
      <c r="BE172" s="173">
        <f t="shared" si="437"/>
        <v>2.9554516888784996</v>
      </c>
      <c r="BG172" s="528">
        <f t="shared" si="479"/>
        <v>0.13656574454932399</v>
      </c>
      <c r="BH172" s="528">
        <f t="shared" si="470"/>
        <v>1.9655825890335685</v>
      </c>
      <c r="BI172" s="528">
        <f t="shared" si="480"/>
        <v>3.3671954623113148E-2</v>
      </c>
      <c r="BJ172" s="528">
        <f t="shared" si="481"/>
        <v>0.32333116557200403</v>
      </c>
      <c r="BK172">
        <f t="shared" si="482"/>
        <v>8.5028912856877168E-3</v>
      </c>
      <c r="BL172" s="460">
        <f t="shared" si="427"/>
        <v>42.174845908800862</v>
      </c>
      <c r="BM172" s="528">
        <f t="shared" si="471"/>
        <v>2.5449301984645527</v>
      </c>
      <c r="BN172" s="460">
        <f t="shared" si="353"/>
        <v>2544.9301984645526</v>
      </c>
      <c r="BO172" s="528">
        <f t="shared" si="483"/>
        <v>1.085</v>
      </c>
      <c r="BR172" s="460">
        <f t="shared" si="484"/>
        <v>1085</v>
      </c>
      <c r="BS172" s="528">
        <f t="shared" si="485"/>
        <v>0.15932670197421134</v>
      </c>
      <c r="BT172" s="528">
        <f t="shared" si="486"/>
        <v>0.12228572559412686</v>
      </c>
      <c r="BU172" s="528">
        <f t="shared" si="487"/>
        <v>12.336799778430255</v>
      </c>
      <c r="BV172" s="528"/>
      <c r="BW172" s="528">
        <f t="shared" si="488"/>
        <v>1.7669144501340039</v>
      </c>
      <c r="BX172" s="460">
        <f t="shared" si="489"/>
        <v>14385.326656132598</v>
      </c>
      <c r="BY172" s="173">
        <f t="shared" si="490"/>
        <v>17.937981001196292</v>
      </c>
      <c r="BZ172" s="5">
        <f t="shared" si="491"/>
        <v>43.4</v>
      </c>
      <c r="CA172" s="173">
        <f t="shared" si="492"/>
        <v>0.7075550791140901</v>
      </c>
      <c r="CB172" s="5">
        <f t="shared" si="493"/>
        <v>70.755507911409012</v>
      </c>
      <c r="CE172" s="562">
        <f t="shared" si="472"/>
        <v>-50</v>
      </c>
      <c r="CF172">
        <f t="shared" si="473"/>
        <v>-50</v>
      </c>
      <c r="CG172" s="173">
        <f t="shared" si="474"/>
        <v>0.38496062277954046</v>
      </c>
      <c r="CI172" s="170">
        <v>62</v>
      </c>
      <c r="CJ172" s="217">
        <f t="shared" si="428"/>
        <v>1.55</v>
      </c>
      <c r="CK172" s="217"/>
      <c r="CL172" s="217">
        <f t="shared" si="368"/>
        <v>43.4</v>
      </c>
      <c r="CM172" s="541">
        <f t="shared" si="369"/>
        <v>19</v>
      </c>
      <c r="CN172" s="443">
        <f t="shared" si="370"/>
        <v>28.4</v>
      </c>
      <c r="CO172" s="443">
        <f t="shared" si="371"/>
        <v>47.4</v>
      </c>
      <c r="CP172" s="443"/>
      <c r="CQ172" s="217">
        <f t="shared" si="372"/>
        <v>0.59915611814345993</v>
      </c>
      <c r="CR172" s="172">
        <f t="shared" si="429"/>
        <v>95.556689708830859</v>
      </c>
      <c r="CS172" s="172">
        <f t="shared" si="373"/>
        <v>43.4</v>
      </c>
      <c r="CT172" s="217">
        <f t="shared" si="374"/>
        <v>3.4127389181725305</v>
      </c>
      <c r="CU172" s="217">
        <f t="shared" si="375"/>
        <v>28</v>
      </c>
      <c r="CV172" s="217"/>
      <c r="CW172" s="172">
        <f t="shared" si="376"/>
        <v>83.241401726152105</v>
      </c>
      <c r="CX172" s="172">
        <f t="shared" si="377"/>
        <v>28</v>
      </c>
      <c r="CY172" s="217">
        <f t="shared" si="378"/>
        <v>7.6247590808005921</v>
      </c>
      <c r="CZ172" s="217">
        <f t="shared" si="379"/>
        <v>1.8861246147243569</v>
      </c>
      <c r="DA172" s="217">
        <f t="shared" si="380"/>
        <v>1.2618439323860136</v>
      </c>
      <c r="DB172" s="197">
        <f t="shared" si="381"/>
        <v>350</v>
      </c>
      <c r="DC172" s="443">
        <f t="shared" si="382"/>
        <v>317.66518153999181</v>
      </c>
      <c r="DE172" s="217">
        <f t="shared" si="383"/>
        <v>6.9203442217177731</v>
      </c>
      <c r="DF172" s="173">
        <f t="shared" si="384"/>
        <v>1.1452682338758289</v>
      </c>
      <c r="DG172" s="173">
        <f t="shared" si="385"/>
        <v>1.3869888208084145</v>
      </c>
      <c r="DH172" s="173"/>
      <c r="DI172" s="173">
        <f t="shared" si="386"/>
        <v>0.55164319248826299</v>
      </c>
      <c r="DJ172" s="545">
        <f t="shared" si="387"/>
        <v>1685.8723404255318</v>
      </c>
      <c r="DK172" s="528">
        <f t="shared" si="388"/>
        <v>0.3217918622848201</v>
      </c>
      <c r="DM172" s="173">
        <f t="shared" si="389"/>
        <v>7.3157198442057485</v>
      </c>
      <c r="DN172" s="173">
        <f t="shared" si="390"/>
        <v>7.6247590808005921</v>
      </c>
      <c r="DO172" s="173">
        <f t="shared" si="391"/>
        <v>4.3788338870127834</v>
      </c>
      <c r="DQ172" s="545">
        <f t="shared" si="392"/>
        <v>1550</v>
      </c>
      <c r="DR172" s="460">
        <f t="shared" si="393"/>
        <v>317.66518153999181</v>
      </c>
      <c r="DT172">
        <f t="shared" si="430"/>
        <v>1550</v>
      </c>
      <c r="DU172">
        <f t="shared" si="431"/>
        <v>317.66518153999181</v>
      </c>
      <c r="DW172" s="5">
        <f t="shared" si="394"/>
        <v>3.14796854711037</v>
      </c>
      <c r="DX172" s="5">
        <f t="shared" si="395"/>
        <v>1.8861246147243569</v>
      </c>
      <c r="DY172" s="5">
        <f t="shared" si="396"/>
        <v>1.2618439323860131</v>
      </c>
      <c r="DZ172" s="5"/>
      <c r="EA172" s="173">
        <f t="shared" si="397"/>
        <v>0.59915611814345993</v>
      </c>
      <c r="EB172" s="173">
        <f t="shared" si="398"/>
        <v>43.399999999999991</v>
      </c>
      <c r="EC172" s="173">
        <f t="shared" si="399"/>
        <v>1.5281690140845068</v>
      </c>
      <c r="ED172" s="173">
        <f t="shared" si="400"/>
        <v>28.4</v>
      </c>
      <c r="EE172" s="460">
        <f t="shared" si="401"/>
        <v>10.441046974366976</v>
      </c>
      <c r="EF172" s="5">
        <f t="shared" si="402"/>
        <v>2.0587979949456003</v>
      </c>
      <c r="EH172" s="173">
        <f t="shared" si="403"/>
        <v>3.4074971218365553</v>
      </c>
      <c r="EI172" s="173">
        <f t="shared" si="404"/>
        <v>2.7871037018308606</v>
      </c>
      <c r="EK172" s="528">
        <f t="shared" si="405"/>
        <v>0.13933243962389291</v>
      </c>
      <c r="EL172" s="528">
        <f t="shared" si="406"/>
        <v>2.1813617021276599</v>
      </c>
      <c r="EM172" s="528">
        <f t="shared" si="407"/>
        <v>3.6531495877099057E-2</v>
      </c>
      <c r="EN172" s="528">
        <f t="shared" si="408"/>
        <v>0.35150583096381999</v>
      </c>
      <c r="EO172">
        <f t="shared" si="409"/>
        <v>8.5500000000000003E-3</v>
      </c>
      <c r="EP172" s="460">
        <f t="shared" si="410"/>
        <v>45.081495877099059</v>
      </c>
      <c r="EQ172" s="460"/>
      <c r="ER172" s="460">
        <f t="shared" si="432"/>
        <v>2717.2814685924718</v>
      </c>
      <c r="ES172" s="528">
        <f t="shared" si="411"/>
        <v>1.085</v>
      </c>
      <c r="EV172" s="460">
        <f t="shared" si="494"/>
        <v>1085</v>
      </c>
      <c r="EW172" s="528">
        <f t="shared" si="413"/>
        <v>0.16255451289454173</v>
      </c>
      <c r="EX172" s="528">
        <f t="shared" si="414"/>
        <v>0.10875125862663003</v>
      </c>
      <c r="EY172" s="528">
        <f t="shared" si="415"/>
        <v>14.436414989687012</v>
      </c>
      <c r="EZ172" s="528"/>
      <c r="FA172" s="528">
        <f t="shared" si="416"/>
        <v>1.8468085106382979</v>
      </c>
      <c r="FB172" s="460">
        <f t="shared" si="417"/>
        <v>16554.529271846484</v>
      </c>
      <c r="FC172" s="173">
        <f t="shared" si="418"/>
        <v>20.356810740438952</v>
      </c>
      <c r="FD172" s="5">
        <f t="shared" si="419"/>
        <v>43.4</v>
      </c>
      <c r="FE172" s="173">
        <f t="shared" si="420"/>
        <v>0.68071158980467539</v>
      </c>
      <c r="FF172" s="5">
        <f t="shared" si="421"/>
        <v>68.071158980467544</v>
      </c>
      <c r="FI172" s="562">
        <f t="shared" si="422"/>
        <v>-50</v>
      </c>
      <c r="FJ172">
        <f t="shared" si="423"/>
        <v>-50</v>
      </c>
      <c r="FL172">
        <f t="shared" si="475"/>
        <v>0.40084388185654007</v>
      </c>
    </row>
    <row r="173" spans="5:168">
      <c r="E173" s="170">
        <v>63</v>
      </c>
      <c r="F173" s="217">
        <f t="shared" si="476"/>
        <v>1.575</v>
      </c>
      <c r="G173" s="217"/>
      <c r="H173" s="217">
        <f t="shared" si="442"/>
        <v>44.1</v>
      </c>
      <c r="I173" s="541">
        <f t="shared" si="443"/>
        <v>18.893695104133126</v>
      </c>
      <c r="J173" s="172">
        <f t="shared" si="444"/>
        <v>28.457241097774467</v>
      </c>
      <c r="K173" s="172">
        <f t="shared" si="445"/>
        <v>47.350936201907594</v>
      </c>
      <c r="L173" s="443"/>
      <c r="M173" s="217">
        <f t="shared" si="446"/>
        <v>0.60096700675097026</v>
      </c>
      <c r="N173" s="172">
        <f t="shared" si="447"/>
        <v>95.309245065372593</v>
      </c>
      <c r="O173" s="172">
        <f t="shared" si="438"/>
        <v>44.1</v>
      </c>
      <c r="P173" s="217">
        <f>N173/Vout</f>
        <v>3.4039016094775927</v>
      </c>
      <c r="Q173" s="217">
        <f t="shared" si="449"/>
        <v>28</v>
      </c>
      <c r="R173" s="217"/>
      <c r="S173" s="172">
        <f t="shared" si="450"/>
        <v>81.165600870489413</v>
      </c>
      <c r="T173" s="172">
        <f t="shared" si="451"/>
        <v>28</v>
      </c>
      <c r="U173" s="217">
        <f t="shared" si="452"/>
        <v>7.8940840814988391</v>
      </c>
      <c r="V173" s="217">
        <f t="shared" si="453"/>
        <v>1.9637341969664885</v>
      </c>
      <c r="W173" s="217">
        <f t="shared" si="454"/>
        <v>1.3037874984285165</v>
      </c>
      <c r="X173" s="197">
        <f t="shared" si="455"/>
        <v>350</v>
      </c>
      <c r="Y173" s="443">
        <f t="shared" si="328"/>
        <v>288.39040901403342</v>
      </c>
      <c r="AA173" s="217">
        <f t="shared" si="456"/>
        <v>6.9026399974409234</v>
      </c>
      <c r="AB173" s="173">
        <f t="shared" si="457"/>
        <v>1.1400405217254013</v>
      </c>
      <c r="AC173" s="173">
        <f t="shared" si="458"/>
        <v>1.3771256281939053</v>
      </c>
      <c r="AD173" s="173"/>
      <c r="AE173" s="173">
        <f t="shared" si="459"/>
        <v>0.55053357466518071</v>
      </c>
      <c r="AF173" s="545">
        <f t="shared" si="460"/>
        <v>1716.5165640891619</v>
      </c>
      <c r="AG173" s="528">
        <f t="shared" si="461"/>
        <v>0.32114458522135542</v>
      </c>
      <c r="AI173" s="173">
        <f t="shared" si="462"/>
        <v>7.3819095995659465</v>
      </c>
      <c r="AJ173" s="173">
        <f t="shared" si="463"/>
        <v>7.8940840814988391</v>
      </c>
      <c r="AK173" s="173">
        <f t="shared" si="464"/>
        <v>4.5783338875300039</v>
      </c>
      <c r="AM173" s="545">
        <f t="shared" si="465"/>
        <v>1575</v>
      </c>
      <c r="AN173" s="460">
        <f t="shared" si="466"/>
        <v>288.39040901403342</v>
      </c>
      <c r="AP173">
        <f t="shared" si="467"/>
        <v>1575</v>
      </c>
      <c r="AQ173">
        <f t="shared" si="468"/>
        <v>288.39040901403342</v>
      </c>
      <c r="AS173" s="5">
        <f t="shared" si="439"/>
        <v>3.4675216953950043</v>
      </c>
      <c r="AT173" s="5">
        <f t="shared" si="469"/>
        <v>1.9637341969664885</v>
      </c>
      <c r="AU173" s="5">
        <f t="shared" si="477"/>
        <v>1.5037874984285158</v>
      </c>
      <c r="AV173" s="5"/>
      <c r="AW173" s="173">
        <f t="shared" si="478"/>
        <v>0.5663221082580101</v>
      </c>
      <c r="AX173" s="173">
        <f t="shared" si="435"/>
        <v>42.233023195226231</v>
      </c>
      <c r="AY173" s="173">
        <f t="shared" si="436"/>
        <v>1.7117448708492096</v>
      </c>
      <c r="AZ173" s="173">
        <f t="shared" si="440"/>
        <v>24.672498755187803</v>
      </c>
      <c r="BA173" s="460">
        <f t="shared" si="433"/>
        <v>11.046004857936499</v>
      </c>
      <c r="BB173" s="5">
        <f t="shared" si="434"/>
        <v>2.5071488631218504</v>
      </c>
      <c r="BD173" s="173">
        <f t="shared" si="441"/>
        <v>3.4298322414105189</v>
      </c>
      <c r="BE173" s="173">
        <f t="shared" si="437"/>
        <v>3.0014061078721124</v>
      </c>
      <c r="BG173" s="528">
        <f t="shared" si="479"/>
        <v>0.14116499045062925</v>
      </c>
      <c r="BH173" s="528">
        <f t="shared" si="470"/>
        <v>1.9673154368055406</v>
      </c>
      <c r="BI173" s="528">
        <f t="shared" si="480"/>
        <v>3.316489703661385E-2</v>
      </c>
      <c r="BJ173" s="528">
        <f t="shared" si="481"/>
        <v>0.31845215197097509</v>
      </c>
      <c r="BK173">
        <f t="shared" si="482"/>
        <v>8.5021627968599068E-3</v>
      </c>
      <c r="BL173" s="460">
        <f t="shared" si="427"/>
        <v>41.667059833473758</v>
      </c>
      <c r="BM173" s="528">
        <f t="shared" si="471"/>
        <v>2.5505961669815695</v>
      </c>
      <c r="BN173" s="460">
        <f t="shared" si="353"/>
        <v>2550.5961669815697</v>
      </c>
      <c r="BO173" s="528">
        <f t="shared" si="483"/>
        <v>1.1024999999999998</v>
      </c>
      <c r="BR173" s="460">
        <f t="shared" si="484"/>
        <v>1102.4999999999998</v>
      </c>
      <c r="BS173" s="528">
        <f t="shared" si="485"/>
        <v>0.16469248885906745</v>
      </c>
      <c r="BT173" s="528">
        <f t="shared" si="486"/>
        <v>0.12611814074120831</v>
      </c>
      <c r="BU173" s="528">
        <f t="shared" si="487"/>
        <v>12.364495657900786</v>
      </c>
      <c r="BV173" s="528"/>
      <c r="BW173" s="528">
        <f t="shared" si="488"/>
        <v>1.7971499232011166</v>
      </c>
      <c r="BX173" s="460">
        <f t="shared" si="489"/>
        <v>14452.456210702179</v>
      </c>
      <c r="BY173" s="173">
        <f t="shared" si="490"/>
        <v>18.023555849762793</v>
      </c>
      <c r="BZ173" s="5">
        <f t="shared" si="491"/>
        <v>44.1</v>
      </c>
      <c r="CA173" s="173">
        <f t="shared" si="492"/>
        <v>0.7098756566132457</v>
      </c>
      <c r="CB173" s="5">
        <f t="shared" si="493"/>
        <v>70.987565661324567</v>
      </c>
      <c r="CE173" s="562">
        <f t="shared" si="472"/>
        <v>-50</v>
      </c>
      <c r="CF173">
        <f t="shared" si="473"/>
        <v>-50</v>
      </c>
      <c r="CG173" s="173">
        <f t="shared" si="474"/>
        <v>0.38521273800298494</v>
      </c>
      <c r="CI173" s="170">
        <v>63</v>
      </c>
      <c r="CJ173" s="217">
        <f t="shared" si="428"/>
        <v>1.575</v>
      </c>
      <c r="CK173" s="217"/>
      <c r="CL173" s="217">
        <f t="shared" si="368"/>
        <v>44.1</v>
      </c>
      <c r="CM173" s="541">
        <f t="shared" si="369"/>
        <v>19</v>
      </c>
      <c r="CN173" s="443">
        <f t="shared" si="370"/>
        <v>28.4</v>
      </c>
      <c r="CO173" s="443">
        <f t="shared" si="371"/>
        <v>47.4</v>
      </c>
      <c r="CP173" s="443"/>
      <c r="CQ173" s="217">
        <f t="shared" si="372"/>
        <v>0.59915611814345993</v>
      </c>
      <c r="CR173" s="172">
        <f t="shared" si="429"/>
        <v>95.556689708830859</v>
      </c>
      <c r="CS173" s="172">
        <f t="shared" si="373"/>
        <v>44.1</v>
      </c>
      <c r="CT173" s="217">
        <f t="shared" si="374"/>
        <v>3.4127389181725305</v>
      </c>
      <c r="CU173" s="217">
        <f t="shared" si="375"/>
        <v>28</v>
      </c>
      <c r="CV173" s="217"/>
      <c r="CW173" s="172">
        <f t="shared" si="376"/>
        <v>81.621758868848573</v>
      </c>
      <c r="CX173" s="172">
        <f t="shared" si="377"/>
        <v>28</v>
      </c>
      <c r="CY173" s="217">
        <f t="shared" si="378"/>
        <v>7.7477390659747956</v>
      </c>
      <c r="CZ173" s="217">
        <f t="shared" si="379"/>
        <v>1.9165459794779758</v>
      </c>
      <c r="DA173" s="217">
        <f t="shared" si="380"/>
        <v>1.2821962538761105</v>
      </c>
      <c r="DB173" s="197">
        <f t="shared" si="381"/>
        <v>350</v>
      </c>
      <c r="DC173" s="443">
        <f t="shared" si="382"/>
        <v>312.62287707110301</v>
      </c>
      <c r="DE173" s="217">
        <f t="shared" si="383"/>
        <v>6.9203442217177731</v>
      </c>
      <c r="DF173" s="173">
        <f t="shared" si="384"/>
        <v>1.1452682338758289</v>
      </c>
      <c r="DG173" s="173">
        <f t="shared" si="385"/>
        <v>1.3869888208084145</v>
      </c>
      <c r="DH173" s="173"/>
      <c r="DI173" s="173">
        <f t="shared" si="386"/>
        <v>0.55164319248826299</v>
      </c>
      <c r="DJ173" s="545">
        <f t="shared" si="387"/>
        <v>1713.0638297872338</v>
      </c>
      <c r="DK173" s="528">
        <f t="shared" si="388"/>
        <v>0.3217918622848201</v>
      </c>
      <c r="DM173" s="173">
        <f t="shared" si="389"/>
        <v>7.374481590146134</v>
      </c>
      <c r="DN173" s="173">
        <f t="shared" si="390"/>
        <v>7.7477390659747956</v>
      </c>
      <c r="DO173" s="173">
        <f t="shared" si="391"/>
        <v>4.4699301723270093</v>
      </c>
      <c r="DQ173" s="545">
        <f t="shared" si="392"/>
        <v>1575</v>
      </c>
      <c r="DR173" s="460">
        <f t="shared" si="393"/>
        <v>312.62287707110301</v>
      </c>
      <c r="DT173">
        <f t="shared" si="430"/>
        <v>1575</v>
      </c>
      <c r="DU173">
        <f t="shared" si="431"/>
        <v>312.62287707110301</v>
      </c>
      <c r="DW173" s="5">
        <f t="shared" si="394"/>
        <v>3.198742233354086</v>
      </c>
      <c r="DX173" s="5">
        <f t="shared" si="395"/>
        <v>1.9165459794779758</v>
      </c>
      <c r="DY173" s="5">
        <f t="shared" si="396"/>
        <v>1.2821962538761102</v>
      </c>
      <c r="DZ173" s="5"/>
      <c r="EA173" s="173">
        <f t="shared" si="397"/>
        <v>0.59915611814345993</v>
      </c>
      <c r="EB173" s="173">
        <f t="shared" si="398"/>
        <v>44.099999999999994</v>
      </c>
      <c r="EC173" s="173">
        <f t="shared" si="399"/>
        <v>1.5528169014084505</v>
      </c>
      <c r="ED173" s="173">
        <f t="shared" si="400"/>
        <v>28.4</v>
      </c>
      <c r="EE173" s="460">
        <f t="shared" si="401"/>
        <v>10.780571134563614</v>
      </c>
      <c r="EF173" s="5">
        <f t="shared" si="402"/>
        <v>2.1257464208998664</v>
      </c>
      <c r="EH173" s="173">
        <f t="shared" si="403"/>
        <v>3.4624567528339192</v>
      </c>
      <c r="EI173" s="173">
        <f t="shared" si="404"/>
        <v>2.8320569873442616</v>
      </c>
      <c r="EK173" s="528">
        <f t="shared" si="405"/>
        <v>0.1438632811829425</v>
      </c>
      <c r="EL173" s="528">
        <f t="shared" si="406"/>
        <v>2.1813617021276595</v>
      </c>
      <c r="EM173" s="528">
        <f t="shared" si="407"/>
        <v>3.5951630863176855E-2</v>
      </c>
      <c r="EN173" s="528">
        <f t="shared" si="408"/>
        <v>0.34592637332947362</v>
      </c>
      <c r="EO173">
        <f t="shared" si="409"/>
        <v>8.5500000000000003E-3</v>
      </c>
      <c r="EP173" s="460">
        <f t="shared" si="410"/>
        <v>44.501630863176857</v>
      </c>
      <c r="EQ173" s="460"/>
      <c r="ER173" s="460">
        <f t="shared" si="432"/>
        <v>2715.652987503252</v>
      </c>
      <c r="ES173" s="528">
        <f t="shared" si="411"/>
        <v>1.1024999999999998</v>
      </c>
      <c r="EV173" s="460">
        <f t="shared" si="494"/>
        <v>1102.4999999999998</v>
      </c>
      <c r="EW173" s="528">
        <f t="shared" si="413"/>
        <v>0.16784049471343293</v>
      </c>
      <c r="EX173" s="528">
        <f t="shared" si="414"/>
        <v>0.11228765491391637</v>
      </c>
      <c r="EY173" s="528">
        <f t="shared" si="415"/>
        <v>14.436414989687012</v>
      </c>
      <c r="EZ173" s="528"/>
      <c r="FA173" s="528">
        <f t="shared" si="416"/>
        <v>1.876595744680851</v>
      </c>
      <c r="FB173" s="460">
        <f t="shared" si="417"/>
        <v>16593.138883995212</v>
      </c>
      <c r="FC173" s="173">
        <f t="shared" si="418"/>
        <v>20.411291871498467</v>
      </c>
      <c r="FD173" s="5">
        <f t="shared" si="419"/>
        <v>44.1</v>
      </c>
      <c r="FE173" s="173">
        <f t="shared" si="420"/>
        <v>0.68360125368197255</v>
      </c>
      <c r="FF173" s="5">
        <f t="shared" si="421"/>
        <v>68.360125368197259</v>
      </c>
      <c r="FI173" s="562">
        <f t="shared" si="422"/>
        <v>-50</v>
      </c>
      <c r="FJ173">
        <f t="shared" si="423"/>
        <v>-50</v>
      </c>
      <c r="FL173">
        <f t="shared" si="475"/>
        <v>0.40084388185654007</v>
      </c>
    </row>
    <row r="174" spans="5:168">
      <c r="E174" s="170">
        <v>64</v>
      </c>
      <c r="F174" s="217">
        <f t="shared" si="476"/>
        <v>1.6</v>
      </c>
      <c r="G174" s="217"/>
      <c r="H174" s="217">
        <f t="shared" ref="H174:H205" si="495">F174*Vout</f>
        <v>44.800000000000004</v>
      </c>
      <c r="I174" s="541">
        <f t="shared" ref="I174:I210" si="496">VIN_min-F174*(Rdcr_pri+RON/1000)/CG174/Nps</f>
        <v>18.892076151844453</v>
      </c>
      <c r="J174" s="172">
        <f t="shared" ref="J174:J210" si="497">(T174+Vfwd1+F174/CG174*Rdcr_sec)*Nps</f>
        <v>28.458112841314524</v>
      </c>
      <c r="K174" s="172">
        <f t="shared" ref="K174:K210" si="498">(Vout+Vfwd1+F174/CG174*Rdcr_sec)*Nps++I174</f>
        <v>47.35018899315898</v>
      </c>
      <c r="L174" s="443"/>
      <c r="M174" s="217">
        <f t="shared" ref="M174:M209" si="499">(Vout+Vfwd1+F174/FL174*Rdcr_sec)*Nps/((Vout+Vfwd1+F174/FL174*Rdcr_sec)*Nps+I174)</f>
        <v>0.60099491409413675</v>
      </c>
      <c r="N174" s="172">
        <f t="shared" ref="N174:N205" si="500">M174*I174*(Isw_max+VIN_min/Lmag*ILIM_delay)*0.5*Efficiency</f>
        <v>95.305503794499316</v>
      </c>
      <c r="O174" s="172">
        <f t="shared" si="438"/>
        <v>44.800000000000004</v>
      </c>
      <c r="P174" s="217">
        <f t="shared" ref="P174:P205" si="501">N174/Vout</f>
        <v>3.4037679926606899</v>
      </c>
      <c r="Q174" s="217">
        <f t="shared" ref="Q174:Q210" si="502">MIN(Vout,N174/F174)</f>
        <v>28</v>
      </c>
      <c r="R174" s="217"/>
      <c r="S174" s="172">
        <f t="shared" ref="S174:S210" si="503">(SQRT(Isw_max^2*Nps^2*I174^2+4*Isw_max*F174/Efficiency*(Nps^2*Vfwd1*I174-Nps*I174^2)+4*(F174/Efficiency)^2*Nps^2*Vfwd1^2+8*(F174/Efficiency)^2*Nps*Vfwd1*I174+4*(F174/Efficiency)^2*I174^2)-2*F174/Efficiency*I174-2*F174/Efficiency*Nps*Vfwd1+Isw_max*Nps*I174)/(4*F174/Efficiency*Nps)</f>
        <v>79.598615820842369</v>
      </c>
      <c r="T174" s="172">
        <f t="shared" ref="T174:T205" si="504">MIN(Vout, S174)</f>
        <v>28</v>
      </c>
      <c r="U174" s="217">
        <f t="shared" ref="U174:U209" si="505">MIN(2*(Vout+Vfwd1+F174/FL174*Rdcr_sec)*F174/(I174*M174), Isw_max)</f>
        <v>8.0199478979948911</v>
      </c>
      <c r="V174" s="217">
        <f t="shared" ref="V174:V205" si="506">L*U174/I174*1000000</f>
        <v>1.9952150741725603</v>
      </c>
      <c r="W174" s="217">
        <f t="shared" ref="W174:W210" si="507">L*U174/J174*1000000</f>
        <v>1.3245346004058802</v>
      </c>
      <c r="X174" s="197">
        <f t="shared" ref="X174:X210" si="508">IF(1/((350000*L)*(1/I174+1/J174))&gt;Isw_min, 350, 0.001/((Isw_min*L)*(1/I174+1/J174)))</f>
        <v>350</v>
      </c>
      <c r="Y174" s="443">
        <f t="shared" ref="Y174:Y209" si="509">MIN(1/(V174+W174+0.2)*1000, 350)</f>
        <v>284.11111370292826</v>
      </c>
      <c r="AA174" s="217">
        <f t="shared" ref="AA174:AA210" si="510">1/((X174*1000*L)*(1/I174+1/J174))</f>
        <v>6.9023688824741667</v>
      </c>
      <c r="AB174" s="173">
        <f t="shared" ref="AB174:AB205" si="511">L*AA174/J174*1000000</f>
        <v>1.1399608234222631</v>
      </c>
      <c r="AC174" s="173">
        <f t="shared" ref="AC174:AC205" si="512">0.5*AB174*AA174*Nps*X174/1000</f>
        <v>1.376975270095155</v>
      </c>
      <c r="AD174" s="173"/>
      <c r="AE174" s="173">
        <f t="shared" ref="AE174:AE210" si="513">L*Isw_min/J174*1000000</f>
        <v>0.55051671043774664</v>
      </c>
      <c r="AF174" s="545">
        <f t="shared" ref="AF174:AF205" si="514">MAX(12000,F174/(0.5*AE174/1000000*Isw_min*Nps))/1000</f>
        <v>1743.8162762337411</v>
      </c>
      <c r="AG174" s="528">
        <f t="shared" ref="AG174:AG210" si="515">0.5*AE174/1000000*Isw_min*Nps*X174*1000</f>
        <v>0.32113474775535222</v>
      </c>
      <c r="AI174" s="173">
        <f t="shared" ref="AI174:AI210" si="516">SQRT(F174/(0.5*L/J174*Fsw_DCM*Nps))</f>
        <v>7.440379483908278</v>
      </c>
      <c r="AJ174" s="173">
        <f t="shared" ref="AJ174:AJ205" si="517">MAX(IF(F174&gt;AC174,U174,AI174),Isw_min)</f>
        <v>8.0199478979948911</v>
      </c>
      <c r="AK174" s="173">
        <f t="shared" ref="AK174:AK205" si="518">IF(F174&gt;AG174, (AJ174-Isw_min)/1.08*0.8+1.2, AF174*0.2/350+1)</f>
        <v>4.6715663441937458</v>
      </c>
      <c r="AM174" s="545">
        <f t="shared" ref="AM174:AM210" si="519">F174*1000</f>
        <v>1600</v>
      </c>
      <c r="AN174" s="460">
        <f t="shared" ref="AN174:AN210" si="520">IF(F174&gt;AG174, Y174, AF174)</f>
        <v>284.11111370292826</v>
      </c>
      <c r="AP174">
        <f t="shared" ref="AP174:AP210" si="521">IF(H174&gt;N174, "",AM174)</f>
        <v>1600</v>
      </c>
      <c r="AQ174">
        <f t="shared" ref="AQ174:AQ210" si="522">IF(H174&gt;N174, "",AN174)</f>
        <v>284.11111370292826</v>
      </c>
      <c r="AS174" s="5">
        <f t="shared" si="439"/>
        <v>3.5197496745784402</v>
      </c>
      <c r="AT174" s="5">
        <f t="shared" ref="AT174:AT210" si="523">L*AJ174/I174*1000000</f>
        <v>1.9952150741725603</v>
      </c>
      <c r="AU174" s="5">
        <f t="shared" si="477"/>
        <v>1.52453460040588</v>
      </c>
      <c r="AV174" s="5"/>
      <c r="AW174" s="173">
        <f t="shared" si="478"/>
        <v>0.56686277680003672</v>
      </c>
      <c r="AX174" s="173">
        <f t="shared" si="435"/>
        <v>42.943672149497992</v>
      </c>
      <c r="AY174" s="173">
        <f t="shared" si="436"/>
        <v>1.7368689813729448</v>
      </c>
      <c r="AZ174" s="173">
        <f t="shared" si="440"/>
        <v>24.724761976894918</v>
      </c>
      <c r="BA174" s="460">
        <f t="shared" si="433"/>
        <v>11.401228995271774</v>
      </c>
      <c r="BB174" s="5">
        <f t="shared" si="434"/>
        <v>2.5823052384967871</v>
      </c>
      <c r="BD174" s="173">
        <f t="shared" si="441"/>
        <v>3.4861806615092741</v>
      </c>
      <c r="BE174" s="173">
        <f t="shared" si="437"/>
        <v>3.0473593745246035</v>
      </c>
      <c r="BG174" s="528">
        <f t="shared" si="479"/>
        <v>0.14584146725617489</v>
      </c>
      <c r="BH174" s="528">
        <f t="shared" ref="BH174:BH210" si="524">0.5*K174*AJ174*AN174*1000*Tfall</f>
        <v>1.9689938288971125</v>
      </c>
      <c r="BI174" s="528">
        <f t="shared" si="480"/>
        <v>3.2672778075836753E-2</v>
      </c>
      <c r="BJ174" s="528">
        <f t="shared" si="481"/>
        <v>0.31371688271937359</v>
      </c>
      <c r="BK174">
        <f t="shared" si="482"/>
        <v>8.5014342683300027E-3</v>
      </c>
      <c r="BL174" s="460">
        <f t="shared" si="427"/>
        <v>41.174212344166754</v>
      </c>
      <c r="BM174" s="528">
        <f t="shared" ref="BM174:BM210" si="525">(BH174+BI174*0+BJ174+BK174*0+BG174*(1+RdsonTC*(Ta-25)))/(1-BG174*RdsonTC*ThetaJA)</f>
        <v>2.5565176524671314</v>
      </c>
      <c r="BN174" s="460">
        <f t="shared" ref="BN174:BN210" si="526">BM174*1000</f>
        <v>2556.5176524671315</v>
      </c>
      <c r="BO174" s="528">
        <f t="shared" si="483"/>
        <v>1.1199999999999999</v>
      </c>
      <c r="BR174" s="460">
        <f t="shared" si="484"/>
        <v>1119.9999999999998</v>
      </c>
      <c r="BS174" s="528">
        <f t="shared" si="485"/>
        <v>0.17014837846553735</v>
      </c>
      <c r="BT174" s="528">
        <f t="shared" si="486"/>
        <v>0.13000958820504177</v>
      </c>
      <c r="BU174" s="528">
        <f t="shared" si="487"/>
        <v>12.39137293643698</v>
      </c>
      <c r="BV174" s="528"/>
      <c r="BW174" s="528">
        <f t="shared" si="488"/>
        <v>1.8273903042339574</v>
      </c>
      <c r="BX174" s="460">
        <f t="shared" si="489"/>
        <v>14518.921207341516</v>
      </c>
      <c r="BY174" s="173">
        <f t="shared" si="490"/>
        <v>18.108647598558345</v>
      </c>
      <c r="BZ174" s="5">
        <f t="shared" si="491"/>
        <v>44.800000000000004</v>
      </c>
      <c r="CA174" s="173">
        <f t="shared" si="492"/>
        <v>0.71214374668939262</v>
      </c>
      <c r="CB174" s="5">
        <f t="shared" si="493"/>
        <v>71.214374668939257</v>
      </c>
      <c r="CE174" s="562">
        <f t="shared" ref="CE174:CE210" si="527">IF(ABS(F174-Ioutmax_Vinmin)&lt;Iout/200, AN174, -50)</f>
        <v>-50</v>
      </c>
      <c r="CF174">
        <f t="shared" ref="CF174:CF210" si="528">IF(ABS(F174-Ioutmax_Vinmin)&lt;Iout/200, N174*CA174, -50)</f>
        <v>-50</v>
      </c>
      <c r="CG174" s="173">
        <f t="shared" ref="CG174:CG210" si="529">MIN(SQRT(2*DU174*1000*Ls1_*CL174)/CU174,1-EA174-0.00000005*DU174*1000)</f>
        <v>0.38545697462569695</v>
      </c>
      <c r="CI174" s="170">
        <v>64</v>
      </c>
      <c r="CJ174" s="217">
        <f t="shared" si="428"/>
        <v>1.6</v>
      </c>
      <c r="CK174" s="217"/>
      <c r="CL174" s="217">
        <f t="shared" ref="CL174:CL210" si="530">CJ174*Vout</f>
        <v>44.800000000000004</v>
      </c>
      <c r="CM174" s="541">
        <f t="shared" ref="CM174:CM212" si="531">VIN_min</f>
        <v>19</v>
      </c>
      <c r="CN174" s="443">
        <f t="shared" ref="CN174:CN210" si="532">(CX174+Vfwd1)*Nps</f>
        <v>28.4</v>
      </c>
      <c r="CO174" s="443">
        <f t="shared" ref="CO174:CO210" si="533">(Vout+Vfwd1)*Nps+CM174</f>
        <v>47.4</v>
      </c>
      <c r="CP174" s="443"/>
      <c r="CQ174" s="217">
        <f t="shared" ref="CQ174:CQ210" si="534">(Vout+Vfwd1)*Nps/((Vout+Vfwd1)*Nps+CM174)</f>
        <v>0.59915611814345993</v>
      </c>
      <c r="CR174" s="172">
        <f t="shared" si="429"/>
        <v>95.556689708830859</v>
      </c>
      <c r="CS174" s="172">
        <f t="shared" ref="CS174:CS210" si="535">CX174*CJ174</f>
        <v>44.800000000000004</v>
      </c>
      <c r="CT174" s="217">
        <f t="shared" ref="CT174:CT210" si="536">CR174/Vout</f>
        <v>3.4127389181725305</v>
      </c>
      <c r="CU174" s="217">
        <f t="shared" ref="CU174:CU210" si="537">MIN(Vout,CR174/CJ174)</f>
        <v>28</v>
      </c>
      <c r="CV174" s="217"/>
      <c r="CW174" s="172">
        <f t="shared" ref="CW174:CW210" si="538">(SQRT(Isw_max^2*Nps^2*CM174^2+4*Isw_max*CJ174/Efficiency*(Nps^2*Vfwd1*CM174-Nps*CM174^2)+4*(CJ174/Efficiency)^2*Nps^2*Vfwd1^2+8*(CJ174/Efficiency)^2*Nps*Vfwd1*CM174+4*(CJ174/Efficiency)^2*CM174^2)-2*CJ174/Efficiency*CM174-2*CJ174/Efficiency*Nps*Vfwd1+Isw_max*Nps*CM174)/(4*CJ174/Efficiency*Nps)</f>
        <v>80.052798661158775</v>
      </c>
      <c r="CX174" s="172">
        <f t="shared" ref="CX174:CX210" si="539">MIN(Vout, CW174)</f>
        <v>28</v>
      </c>
      <c r="CY174" s="217">
        <f t="shared" ref="CY174:CY210" si="540">MIN(2*Vout*CJ174/(Efficiency*CM174*CQ174), Isw_max)</f>
        <v>7.8707190511489991</v>
      </c>
      <c r="CZ174" s="217">
        <f t="shared" ref="CZ174:CZ210" si="541">L*CY174/CM174*1000000</f>
        <v>1.9469673442315942</v>
      </c>
      <c r="DA174" s="217">
        <f t="shared" ref="DA174:DA210" si="542">L*CY174/CN174*1000000</f>
        <v>1.3025485753662076</v>
      </c>
      <c r="DB174" s="197">
        <f t="shared" ref="DB174:DB210" si="543">IF(1/((350000*L)*(1/CM174+1/CN174))&gt;Isw_min, 350, 0.001/((Isw_min*L)*(1/CM174+1/CN174)))</f>
        <v>350</v>
      </c>
      <c r="DC174" s="443">
        <f t="shared" ref="DC174:DC210" si="544">MIN(1/(CZ174+DA174)*1000, 350)</f>
        <v>307.73814461686698</v>
      </c>
      <c r="DE174" s="217">
        <f t="shared" ref="DE174:DE210" si="545">1/((DB174*1000*L)*(1/CM174+1/CN174))</f>
        <v>6.9203442217177731</v>
      </c>
      <c r="DF174" s="173">
        <f t="shared" ref="DF174:DF210" si="546">L*DE174/CN174*1000000</f>
        <v>1.1452682338758289</v>
      </c>
      <c r="DG174" s="173">
        <f t="shared" ref="DG174:DG210" si="547">0.5*DF174*DE174*Nps*DB174/1000</f>
        <v>1.3869888208084145</v>
      </c>
      <c r="DH174" s="173"/>
      <c r="DI174" s="173">
        <f t="shared" ref="DI174:DI210" si="548">L*Isw_min/CN174*1000000</f>
        <v>0.55164319248826299</v>
      </c>
      <c r="DJ174" s="545">
        <f t="shared" ref="DJ174:DJ210" si="549">MAX(12000,CJ174/(0.5*DI174/1000000*Isw_min*Nps))/1000</f>
        <v>1740.255319148936</v>
      </c>
      <c r="DK174" s="528">
        <f t="shared" ref="DK174:DK210" si="550">0.5*DI174/1000000*Isw_min*Nps*DB174*1000</f>
        <v>0.3217918622848201</v>
      </c>
      <c r="DM174" s="173">
        <f t="shared" ref="DM174:DM210" si="551">SQRT(CJ174/(0.5*L/CN174*Fsw_DCM*Nps))</f>
        <v>7.432778794495551</v>
      </c>
      <c r="DN174" s="173">
        <f t="shared" ref="DN174:DN210" si="552">MAX(IF(CJ174&gt;DG174,CY174,DM174),Isw_min)</f>
        <v>7.8707190511489991</v>
      </c>
      <c r="DO174" s="173">
        <f t="shared" ref="DO174:DO210" si="553">IF(CJ174&gt;DK174, (DN174-Isw_min)/1.08*0.8+1.2, DJ174*0.2/350+1)</f>
        <v>4.5610264576412334</v>
      </c>
      <c r="DQ174" s="545">
        <f t="shared" ref="DQ174:DQ210" si="554">CJ174*1000</f>
        <v>1600</v>
      </c>
      <c r="DR174" s="460">
        <f t="shared" ref="DR174:DR210" si="555">IF(CJ174&gt;DK174, DC174, DJ174)</f>
        <v>307.73814461686698</v>
      </c>
      <c r="DT174">
        <f t="shared" si="430"/>
        <v>1600</v>
      </c>
      <c r="DU174">
        <f t="shared" si="431"/>
        <v>307.73814461686698</v>
      </c>
      <c r="DW174" s="5">
        <f t="shared" ref="DW174:DW210" si="556">1/DR174*1000</f>
        <v>3.2495159195978025</v>
      </c>
      <c r="DX174" s="5">
        <f t="shared" ref="DX174:DX210" si="557">L*DN174/CM174*1000000</f>
        <v>1.9469673442315942</v>
      </c>
      <c r="DY174" s="5">
        <f t="shared" ref="DY174:DY210" si="558">DW174-DX174</f>
        <v>1.3025485753662083</v>
      </c>
      <c r="DZ174" s="5"/>
      <c r="EA174" s="173">
        <f t="shared" ref="EA174:EA210" si="559">DX174/DW174</f>
        <v>0.5991561181434597</v>
      </c>
      <c r="EB174" s="173">
        <f t="shared" ref="EB174:EB210" si="560">0.5*L*DN174^2*DR174*1000</f>
        <v>44.79999999999999</v>
      </c>
      <c r="EC174" s="173">
        <f t="shared" ref="EC174:EC210" si="561">DN174*Nps/2*(1-EA174)</f>
        <v>1.5774647887323952</v>
      </c>
      <c r="ED174" s="173">
        <f t="shared" ref="ED174:ED210" si="562">EB174/EC174</f>
        <v>28.399999999999981</v>
      </c>
      <c r="EE174" s="460">
        <f t="shared" ref="EE174:EE210" si="563">CJ174*DX174/Vout_ripple*1000</f>
        <v>11.125527681323396</v>
      </c>
      <c r="EF174" s="5">
        <f t="shared" ref="EF174:EF210" si="564">CL174/Efficiency/CM174*DY174/Vinripple1</f>
        <v>2.1937660216694033</v>
      </c>
      <c r="EH174" s="173">
        <f t="shared" ref="EH174:EH210" si="565">DN174*SQRT(EA174/3)</f>
        <v>3.5174163838312831</v>
      </c>
      <c r="EI174" s="173">
        <f t="shared" ref="EI174:EI210" si="566">DN174*Nps*SQRT((1-EA174)/3)</f>
        <v>2.8770102728576634</v>
      </c>
      <c r="EK174" s="528">
        <f t="shared" ref="EK174:EK210" si="567">Rdson*EH174^2</f>
        <v>0.14846661620693691</v>
      </c>
      <c r="EL174" s="528">
        <f t="shared" ref="EL174:EL210" si="568">0.5*CO174*DN174*DR174*1000*Trise</f>
        <v>2.1813617021276595</v>
      </c>
      <c r="EM174" s="528">
        <f t="shared" ref="EM174:EM210" si="569">Qg*Vdd*DR174*1000</f>
        <v>3.5389886630939706E-2</v>
      </c>
      <c r="EN174" s="528">
        <f t="shared" ref="EN174:EN210" si="570">0.5*(Coss+Csw)*CO174^2*DR174*1000</f>
        <v>0.34052127374620056</v>
      </c>
      <c r="EO174">
        <f t="shared" ref="EO174:EO210" si="571">CM174*IQ</f>
        <v>8.5500000000000003E-3</v>
      </c>
      <c r="EP174" s="460">
        <f t="shared" ref="EP174:EP210" si="572">(EO174+EM174)*1000</f>
        <v>43.939886630939711</v>
      </c>
      <c r="EQ174" s="460"/>
      <c r="ER174" s="460">
        <f t="shared" si="432"/>
        <v>2714.289478711737</v>
      </c>
      <c r="ES174" s="528">
        <f t="shared" ref="ES174:ES210" si="573">Vfwd2*CJ174</f>
        <v>1.1199999999999999</v>
      </c>
      <c r="EV174" s="460">
        <f t="shared" si="494"/>
        <v>1119.9999999999998</v>
      </c>
      <c r="EW174" s="528">
        <f t="shared" ref="EW174:EW210" si="574">Rdcr_pri*EH174^2</f>
        <v>0.17321105224142638</v>
      </c>
      <c r="EX174" s="528">
        <f t="shared" ref="EX174:EX210" si="575">Rdcr_sec*EI174^2</f>
        <v>0.11588063354179938</v>
      </c>
      <c r="EY174" s="528">
        <f t="shared" ref="EY174:EY210" si="576">DN174^2.5*DR174^2.5*k_core</f>
        <v>14.436414989686973</v>
      </c>
      <c r="EZ174" s="528"/>
      <c r="FA174" s="528">
        <f t="shared" ref="FA174:FA210" si="577">0.5*Lleak*0.000000001*DN174^2*DR174*1000</f>
        <v>1.9063829787234041</v>
      </c>
      <c r="FB174" s="460">
        <f t="shared" ref="FB174:FB210" si="578">SUM(EW174:FA174)*1000</f>
        <v>16631.889654193605</v>
      </c>
      <c r="FC174" s="173">
        <f t="shared" ref="FC174:FC210" si="579">SUM(EK174:EO174,ES174:EU174,EW174:FA174)</f>
        <v>20.466179132905339</v>
      </c>
      <c r="FD174" s="5">
        <f t="shared" ref="FD174:FD210" si="580">MIN(CL174,CS174)</f>
        <v>44.800000000000004</v>
      </c>
      <c r="FE174" s="173">
        <f t="shared" ref="FE174:FE210" si="581">FD174/(FD174+FC174)</f>
        <v>0.68641983635614923</v>
      </c>
      <c r="FF174" s="5">
        <f t="shared" ref="FF174:FF210" si="582">FE174*100</f>
        <v>68.64198363561492</v>
      </c>
      <c r="FI174" s="562">
        <f t="shared" ref="FI174:FI210" si="583">IF(ABS(CJ174-Ioutmax_Vinmin)&lt;Iout/200, DR174, -50)</f>
        <v>-50</v>
      </c>
      <c r="FJ174">
        <f t="shared" ref="FJ174:FJ210" si="584">IF(ABS(CJ174-Ioutmax_Vinmin)&lt;Iout/200, CR174*FE174, -50)</f>
        <v>-50</v>
      </c>
      <c r="FL174">
        <f t="shared" ref="FL174:FL210" si="585">MIN(SQRT(2*L*DR174*1000*CJ174*(CX174+Vfwd1))/(Nps*(CX174+Vfwd1)), 1-EA174)</f>
        <v>0.4008438818565403</v>
      </c>
    </row>
    <row r="175" spans="5:168">
      <c r="E175" s="170">
        <v>65</v>
      </c>
      <c r="F175" s="217">
        <f t="shared" ref="F175:F206" si="586">IF(PLOT_TYPE=1, E175/100*Iout_max, min_I*EXP(N175*rr/100))</f>
        <v>1.625</v>
      </c>
      <c r="G175" s="217"/>
      <c r="H175" s="217">
        <f t="shared" si="495"/>
        <v>45.5</v>
      </c>
      <c r="I175" s="541">
        <f t="shared" si="496"/>
        <v>18.890457115560864</v>
      </c>
      <c r="J175" s="172">
        <f t="shared" si="497"/>
        <v>28.458984630082611</v>
      </c>
      <c r="K175" s="172">
        <f t="shared" si="498"/>
        <v>47.349441745643475</v>
      </c>
      <c r="L175" s="443"/>
      <c r="M175" s="217">
        <f t="shared" si="499"/>
        <v>0.60102282338270052</v>
      </c>
      <c r="N175" s="172">
        <f t="shared" si="500"/>
        <v>95.301761649857795</v>
      </c>
      <c r="O175" s="172">
        <f t="shared" si="438"/>
        <v>45.5</v>
      </c>
      <c r="P175" s="217">
        <f t="shared" si="501"/>
        <v>3.4036343446377786</v>
      </c>
      <c r="Q175" s="217">
        <f t="shared" si="502"/>
        <v>28</v>
      </c>
      <c r="R175" s="217"/>
      <c r="S175" s="172">
        <f t="shared" si="503"/>
        <v>78.079963619904277</v>
      </c>
      <c r="T175" s="172">
        <f t="shared" si="504"/>
        <v>28</v>
      </c>
      <c r="U175" s="217">
        <f t="shared" si="505"/>
        <v>8.1458293618569879</v>
      </c>
      <c r="V175" s="217">
        <f t="shared" si="506"/>
        <v>2.0267057470615972</v>
      </c>
      <c r="W175" s="217">
        <f t="shared" si="507"/>
        <v>1.3452833436741172</v>
      </c>
      <c r="X175" s="197">
        <f t="shared" si="508"/>
        <v>350</v>
      </c>
      <c r="Y175" s="443">
        <f t="shared" si="509"/>
        <v>279.95606218215863</v>
      </c>
      <c r="AA175" s="217">
        <f t="shared" si="510"/>
        <v>6.9020977086424313</v>
      </c>
      <c r="AB175" s="173">
        <f t="shared" si="511"/>
        <v>1.1398811184686057</v>
      </c>
      <c r="AC175" s="173">
        <f t="shared" si="512"/>
        <v>1.3768248997837136</v>
      </c>
      <c r="AD175" s="173"/>
      <c r="AE175" s="173">
        <f t="shared" si="513"/>
        <v>0.55049984636859439</v>
      </c>
      <c r="AF175" s="545">
        <f t="shared" si="514"/>
        <v>1771.1176604891839</v>
      </c>
      <c r="AG175" s="528">
        <f t="shared" si="515"/>
        <v>0.32112491038168001</v>
      </c>
      <c r="AI175" s="173">
        <f t="shared" si="516"/>
        <v>7.4983969937478703</v>
      </c>
      <c r="AJ175" s="173">
        <f t="shared" si="517"/>
        <v>8.1458293618569879</v>
      </c>
      <c r="AK175" s="173">
        <f t="shared" si="518"/>
        <v>4.7648118729804843</v>
      </c>
      <c r="AM175" s="545">
        <f t="shared" si="519"/>
        <v>1625</v>
      </c>
      <c r="AN175" s="460">
        <f t="shared" si="520"/>
        <v>279.95606218215863</v>
      </c>
      <c r="AP175">
        <f t="shared" si="521"/>
        <v>1625</v>
      </c>
      <c r="AQ175">
        <f t="shared" si="522"/>
        <v>279.95606218215863</v>
      </c>
      <c r="AS175" s="5">
        <f t="shared" si="439"/>
        <v>3.5719890907357148</v>
      </c>
      <c r="AT175" s="5">
        <f t="shared" si="523"/>
        <v>2.0267057470615972</v>
      </c>
      <c r="AU175" s="5">
        <f t="shared" si="477"/>
        <v>1.5452833436741176</v>
      </c>
      <c r="AV175" s="5"/>
      <c r="AW175" s="173">
        <f t="shared" si="478"/>
        <v>0.56738856014931471</v>
      </c>
      <c r="AX175" s="173">
        <f t="shared" si="435"/>
        <v>43.654433320298196</v>
      </c>
      <c r="AY175" s="173">
        <f t="shared" si="436"/>
        <v>1.7619894845054702</v>
      </c>
      <c r="AZ175" s="173">
        <f t="shared" si="440"/>
        <v>24.775649176221101</v>
      </c>
      <c r="BA175" s="460">
        <f t="shared" si="433"/>
        <v>11.762131567768199</v>
      </c>
      <c r="BB175" s="5">
        <f t="shared" si="434"/>
        <v>2.65857561636447</v>
      </c>
      <c r="BD175" s="173">
        <f t="shared" si="441"/>
        <v>3.5425416787082682</v>
      </c>
      <c r="BE175" s="173">
        <f t="shared" si="437"/>
        <v>3.0933116750141121</v>
      </c>
      <c r="BG175" s="528">
        <f t="shared" si="479"/>
        <v>0.15059521854462235</v>
      </c>
      <c r="BH175" s="528">
        <f t="shared" si="524"/>
        <v>1.9706201364309262</v>
      </c>
      <c r="BI175" s="528">
        <f t="shared" si="480"/>
        <v>3.2194947150948242E-2</v>
      </c>
      <c r="BJ175" s="528">
        <f t="shared" si="481"/>
        <v>0.30911909765447754</v>
      </c>
      <c r="BK175">
        <f t="shared" si="482"/>
        <v>8.5007057020023875E-3</v>
      </c>
      <c r="BL175" s="460">
        <f t="shared" ref="BL175:BL210" si="587">(BK175+BI175)*1000</f>
        <v>40.695652852950623</v>
      </c>
      <c r="BM175" s="528">
        <f t="shared" si="525"/>
        <v>2.5626919279015774</v>
      </c>
      <c r="BN175" s="460">
        <f t="shared" si="526"/>
        <v>2562.6919279015774</v>
      </c>
      <c r="BO175" s="528">
        <f t="shared" si="483"/>
        <v>1.1375</v>
      </c>
      <c r="BR175" s="460">
        <f t="shared" si="484"/>
        <v>1137.5</v>
      </c>
      <c r="BS175" s="528">
        <f t="shared" si="485"/>
        <v>0.17569442163539276</v>
      </c>
      <c r="BT175" s="528">
        <f t="shared" si="486"/>
        <v>0.13396007966290055</v>
      </c>
      <c r="BU175" s="528">
        <f t="shared" si="487"/>
        <v>12.417465597401957</v>
      </c>
      <c r="BV175" s="528"/>
      <c r="BW175" s="528">
        <f t="shared" si="488"/>
        <v>1.8576354604382215</v>
      </c>
      <c r="BX175" s="460">
        <f t="shared" si="489"/>
        <v>14584.755559138472</v>
      </c>
      <c r="BY175" s="173">
        <f t="shared" si="490"/>
        <v>18.193285664621449</v>
      </c>
      <c r="BZ175" s="5">
        <f t="shared" si="491"/>
        <v>45.5</v>
      </c>
      <c r="CA175" s="173">
        <f t="shared" si="492"/>
        <v>0.71436101192174883</v>
      </c>
      <c r="CB175" s="5">
        <f t="shared" si="493"/>
        <v>71.436101192174888</v>
      </c>
      <c r="CE175" s="562">
        <f t="shared" si="527"/>
        <v>-50</v>
      </c>
      <c r="CF175">
        <f t="shared" si="528"/>
        <v>-50</v>
      </c>
      <c r="CG175" s="173">
        <f t="shared" si="529"/>
        <v>0.38569369627540212</v>
      </c>
      <c r="CI175" s="170">
        <v>65</v>
      </c>
      <c r="CJ175" s="217">
        <f t="shared" ref="CJ175:CJ210" si="588">IF(PLOT_TYPE=1, CI175/100*Iout_max, min_I*EXP(CR175*rr/100))</f>
        <v>1.625</v>
      </c>
      <c r="CK175" s="217"/>
      <c r="CL175" s="217">
        <f t="shared" si="530"/>
        <v>45.5</v>
      </c>
      <c r="CM175" s="541">
        <f t="shared" si="531"/>
        <v>19</v>
      </c>
      <c r="CN175" s="443">
        <f t="shared" si="532"/>
        <v>28.4</v>
      </c>
      <c r="CO175" s="443">
        <f t="shared" si="533"/>
        <v>47.4</v>
      </c>
      <c r="CP175" s="443"/>
      <c r="CQ175" s="217">
        <f t="shared" si="534"/>
        <v>0.59915611814345993</v>
      </c>
      <c r="CR175" s="172">
        <f t="shared" ref="CR175:CR210" si="589">CQ175*CM175*(Isw_max+VIN_min/Lmag*ILIM_delay)*0.5*Efficiency</f>
        <v>95.556689708830859</v>
      </c>
      <c r="CS175" s="172">
        <f t="shared" si="535"/>
        <v>45.5</v>
      </c>
      <c r="CT175" s="217">
        <f t="shared" si="536"/>
        <v>3.4127389181725305</v>
      </c>
      <c r="CU175" s="217">
        <f t="shared" si="537"/>
        <v>28</v>
      </c>
      <c r="CV175" s="217"/>
      <c r="CW175" s="172">
        <f t="shared" si="538"/>
        <v>78.532182623350906</v>
      </c>
      <c r="CX175" s="172">
        <f t="shared" si="539"/>
        <v>28</v>
      </c>
      <c r="CY175" s="217">
        <f t="shared" si="540"/>
        <v>7.9936990363232017</v>
      </c>
      <c r="CZ175" s="217">
        <f t="shared" si="541"/>
        <v>1.9773887089852129</v>
      </c>
      <c r="DA175" s="217">
        <f t="shared" si="542"/>
        <v>1.3229008968563045</v>
      </c>
      <c r="DB175" s="197">
        <f t="shared" si="543"/>
        <v>350</v>
      </c>
      <c r="DC175" s="443">
        <f t="shared" si="544"/>
        <v>303.00371162276133</v>
      </c>
      <c r="DE175" s="217">
        <f t="shared" si="545"/>
        <v>6.9203442217177731</v>
      </c>
      <c r="DF175" s="173">
        <f t="shared" si="546"/>
        <v>1.1452682338758289</v>
      </c>
      <c r="DG175" s="173">
        <f t="shared" si="547"/>
        <v>1.3869888208084145</v>
      </c>
      <c r="DH175" s="173"/>
      <c r="DI175" s="173">
        <f t="shared" si="548"/>
        <v>0.55164319248826299</v>
      </c>
      <c r="DJ175" s="545">
        <f t="shared" si="549"/>
        <v>1767.446808510638</v>
      </c>
      <c r="DK175" s="528">
        <f t="shared" si="550"/>
        <v>0.3217918622848201</v>
      </c>
      <c r="DM175" s="173">
        <f t="shared" si="551"/>
        <v>7.4906223034138639</v>
      </c>
      <c r="DN175" s="173">
        <f t="shared" si="552"/>
        <v>7.9936990363232017</v>
      </c>
      <c r="DO175" s="173">
        <f t="shared" si="553"/>
        <v>4.6521227429554575</v>
      </c>
      <c r="DQ175" s="545">
        <f t="shared" si="554"/>
        <v>1625</v>
      </c>
      <c r="DR175" s="460">
        <f t="shared" si="555"/>
        <v>303.00371162276133</v>
      </c>
      <c r="DT175">
        <f t="shared" ref="DT175:DT209" si="590">IF(CL175&gt;CR175, " ",DQ175)</f>
        <v>1625</v>
      </c>
      <c r="DU175">
        <f t="shared" ref="DU175:DU209" si="591">IF(CL175&gt;CR175, " ",DR175)</f>
        <v>303.00371162276133</v>
      </c>
      <c r="DW175" s="5">
        <f t="shared" si="556"/>
        <v>3.3002896058415181</v>
      </c>
      <c r="DX175" s="5">
        <f t="shared" si="557"/>
        <v>1.9773887089852129</v>
      </c>
      <c r="DY175" s="5">
        <f t="shared" si="558"/>
        <v>1.3229008968563052</v>
      </c>
      <c r="DZ175" s="5"/>
      <c r="EA175" s="173">
        <f t="shared" si="559"/>
        <v>0.59915611814345981</v>
      </c>
      <c r="EB175" s="173">
        <f t="shared" si="560"/>
        <v>45.499999999999993</v>
      </c>
      <c r="EC175" s="173">
        <f t="shared" si="561"/>
        <v>1.6021126760563382</v>
      </c>
      <c r="ED175" s="173">
        <f t="shared" si="562"/>
        <v>28.399999999999991</v>
      </c>
      <c r="EE175" s="460">
        <f t="shared" si="563"/>
        <v>11.475916614646325</v>
      </c>
      <c r="EF175" s="5">
        <f t="shared" si="564"/>
        <v>2.262856797254206</v>
      </c>
      <c r="EH175" s="173">
        <f t="shared" si="565"/>
        <v>3.5723760148286465</v>
      </c>
      <c r="EI175" s="173">
        <f t="shared" si="566"/>
        <v>2.9219635583710644</v>
      </c>
      <c r="EK175" s="528">
        <f t="shared" si="567"/>
        <v>0.15314244469587604</v>
      </c>
      <c r="EL175" s="528">
        <f t="shared" si="568"/>
        <v>2.181361702127659</v>
      </c>
      <c r="EM175" s="528">
        <f t="shared" si="569"/>
        <v>3.4845426836617552E-2</v>
      </c>
      <c r="EN175" s="528">
        <f t="shared" si="570"/>
        <v>0.33528248491933593</v>
      </c>
      <c r="EO175">
        <f t="shared" si="571"/>
        <v>8.5500000000000003E-3</v>
      </c>
      <c r="EP175" s="460">
        <f t="shared" si="572"/>
        <v>43.395426836617553</v>
      </c>
      <c r="EQ175" s="460"/>
      <c r="ER175" s="460">
        <f t="shared" ref="ER175:ER210" si="592">SUM(EK175:EO175)*1000</f>
        <v>2713.1820585794885</v>
      </c>
      <c r="ES175" s="528">
        <f t="shared" si="573"/>
        <v>1.1375</v>
      </c>
      <c r="EV175" s="460">
        <f t="shared" si="494"/>
        <v>1137.5</v>
      </c>
      <c r="EW175" s="528">
        <f t="shared" si="574"/>
        <v>0.17866618547852203</v>
      </c>
      <c r="EX175" s="528">
        <f t="shared" si="575"/>
        <v>0.11953019451027891</v>
      </c>
      <c r="EY175" s="528">
        <f t="shared" si="576"/>
        <v>14.436414989686998</v>
      </c>
      <c r="EZ175" s="528"/>
      <c r="FA175" s="528">
        <f t="shared" si="577"/>
        <v>1.936170212765957</v>
      </c>
      <c r="FB175" s="460">
        <f t="shared" si="578"/>
        <v>16670.781582441756</v>
      </c>
      <c r="FC175" s="173">
        <f t="shared" si="579"/>
        <v>20.521463641021246</v>
      </c>
      <c r="FD175" s="5">
        <f t="shared" si="580"/>
        <v>45.5</v>
      </c>
      <c r="FE175" s="173">
        <f t="shared" si="581"/>
        <v>0.68916981676439837</v>
      </c>
      <c r="FF175" s="5">
        <f t="shared" si="582"/>
        <v>68.916981676439832</v>
      </c>
      <c r="FI175" s="562">
        <f t="shared" si="583"/>
        <v>-50</v>
      </c>
      <c r="FJ175">
        <f t="shared" si="584"/>
        <v>-50</v>
      </c>
      <c r="FL175">
        <f t="shared" si="585"/>
        <v>0.40084388185654019</v>
      </c>
    </row>
    <row r="176" spans="5:168">
      <c r="E176" s="170">
        <v>66</v>
      </c>
      <c r="F176" s="217">
        <f t="shared" si="586"/>
        <v>1.6500000000000001</v>
      </c>
      <c r="G176" s="217"/>
      <c r="H176" s="217">
        <f t="shared" si="495"/>
        <v>46.2</v>
      </c>
      <c r="I176" s="541">
        <f t="shared" si="496"/>
        <v>18.888837999247919</v>
      </c>
      <c r="J176" s="172">
        <f t="shared" si="497"/>
        <v>28.459856461943428</v>
      </c>
      <c r="K176" s="172">
        <f t="shared" si="498"/>
        <v>47.348694461191343</v>
      </c>
      <c r="L176" s="443"/>
      <c r="M176" s="217">
        <f t="shared" si="499"/>
        <v>0.60105073456656044</v>
      </c>
      <c r="N176" s="172">
        <f t="shared" si="500"/>
        <v>95.298018643373126</v>
      </c>
      <c r="O176" s="172">
        <f t="shared" si="438"/>
        <v>46.2</v>
      </c>
      <c r="P176" s="217">
        <f t="shared" si="501"/>
        <v>3.4035006658347546</v>
      </c>
      <c r="Q176" s="217">
        <f t="shared" si="502"/>
        <v>28</v>
      </c>
      <c r="R176" s="217"/>
      <c r="S176" s="172">
        <f t="shared" si="503"/>
        <v>76.607448057481648</v>
      </c>
      <c r="T176" s="536">
        <f t="shared" si="504"/>
        <v>28</v>
      </c>
      <c r="U176" s="217">
        <f t="shared" si="505"/>
        <v>8.2717284775915179</v>
      </c>
      <c r="V176" s="217">
        <f t="shared" si="506"/>
        <v>2.0582062192617707</v>
      </c>
      <c r="W176" s="217">
        <f t="shared" si="507"/>
        <v>1.3660337288301749</v>
      </c>
      <c r="X176" s="197">
        <f t="shared" si="508"/>
        <v>350</v>
      </c>
      <c r="Y176" s="443">
        <f t="shared" si="509"/>
        <v>275.91992095514269</v>
      </c>
      <c r="AA176" s="217">
        <f t="shared" si="510"/>
        <v>6.9018264766009816</v>
      </c>
      <c r="AB176" s="173">
        <f t="shared" si="511"/>
        <v>1.1398014070591518</v>
      </c>
      <c r="AC176" s="173">
        <f t="shared" si="512"/>
        <v>1.3766745176288837</v>
      </c>
      <c r="AD176" s="173"/>
      <c r="AE176" s="173">
        <f t="shared" si="513"/>
        <v>0.55048298249909178</v>
      </c>
      <c r="AF176" s="545">
        <f t="shared" si="514"/>
        <v>1798.4207168504674</v>
      </c>
      <c r="AG176" s="528">
        <f t="shared" si="515"/>
        <v>0.32111507312447019</v>
      </c>
      <c r="AI176" s="173">
        <f t="shared" si="516"/>
        <v>7.5559725495700496</v>
      </c>
      <c r="AJ176" s="173">
        <f t="shared" si="517"/>
        <v>8.2717284775915179</v>
      </c>
      <c r="AK176" s="173">
        <f t="shared" si="518"/>
        <v>4.8580704772282841</v>
      </c>
      <c r="AM176" s="545">
        <f t="shared" si="519"/>
        <v>1650.0000000000002</v>
      </c>
      <c r="AN176" s="460">
        <f t="shared" si="520"/>
        <v>275.91992095514269</v>
      </c>
      <c r="AP176">
        <f t="shared" si="521"/>
        <v>1650.0000000000002</v>
      </c>
      <c r="AQ176">
        <f t="shared" si="522"/>
        <v>275.91992095514269</v>
      </c>
      <c r="AS176" s="5">
        <f t="shared" si="439"/>
        <v>3.6242399480919452</v>
      </c>
      <c r="AT176" s="5">
        <f t="shared" si="523"/>
        <v>2.0582062192617707</v>
      </c>
      <c r="AU176" s="5">
        <f t="shared" si="477"/>
        <v>1.5660337288301744</v>
      </c>
      <c r="AV176" s="5"/>
      <c r="AW176" s="173">
        <f t="shared" si="478"/>
        <v>0.56790009732809088</v>
      </c>
      <c r="AX176" s="173">
        <f t="shared" si="435"/>
        <v>44.365303765579284</v>
      </c>
      <c r="AY176" s="173">
        <f t="shared" si="436"/>
        <v>1.787106535047877</v>
      </c>
      <c r="AZ176" s="173">
        <f t="shared" si="440"/>
        <v>24.825214890947016</v>
      </c>
      <c r="BA176" s="460">
        <f t="shared" si="433"/>
        <v>12.128715220649722</v>
      </c>
      <c r="BB176" s="5">
        <f t="shared" si="434"/>
        <v>2.7359604150055934</v>
      </c>
      <c r="BD176" s="173">
        <f t="shared" si="441"/>
        <v>3.5989152055449356</v>
      </c>
      <c r="BE176" s="173">
        <f t="shared" si="437"/>
        <v>3.1392631851487516</v>
      </c>
      <c r="BG176" s="528">
        <f t="shared" si="479"/>
        <v>0.15542628788043056</v>
      </c>
      <c r="BH176" s="528">
        <f t="shared" si="524"/>
        <v>1.9721965948133222</v>
      </c>
      <c r="BI176" s="528">
        <f t="shared" si="480"/>
        <v>3.1730790909841412E-2</v>
      </c>
      <c r="BJ176" s="528">
        <f t="shared" si="481"/>
        <v>0.30465289492410008</v>
      </c>
      <c r="BK176">
        <f t="shared" si="482"/>
        <v>8.4999770996615626E-3</v>
      </c>
      <c r="BL176" s="460">
        <f t="shared" si="587"/>
        <v>40.230768009502974</v>
      </c>
      <c r="BM176" s="528">
        <f t="shared" si="525"/>
        <v>2.5691165138540097</v>
      </c>
      <c r="BN176" s="460">
        <f t="shared" si="526"/>
        <v>2569.1165138540096</v>
      </c>
      <c r="BO176" s="528">
        <f t="shared" si="483"/>
        <v>1.155</v>
      </c>
      <c r="BR176" s="460">
        <f t="shared" si="484"/>
        <v>1155</v>
      </c>
      <c r="BS176" s="528">
        <f t="shared" si="485"/>
        <v>0.18133066919383564</v>
      </c>
      <c r="BT176" s="528">
        <f t="shared" si="486"/>
        <v>0.13796962683882399</v>
      </c>
      <c r="BU176" s="528">
        <f t="shared" si="487"/>
        <v>12.442805771824638</v>
      </c>
      <c r="BV176" s="528"/>
      <c r="BW176" s="528">
        <f t="shared" si="488"/>
        <v>1.8878852666203951</v>
      </c>
      <c r="BX176" s="460">
        <f t="shared" si="489"/>
        <v>14649.991334477694</v>
      </c>
      <c r="BY176" s="173">
        <f t="shared" si="490"/>
        <v>18.277497880105049</v>
      </c>
      <c r="BZ176" s="5">
        <f t="shared" si="491"/>
        <v>46.2</v>
      </c>
      <c r="CA176" s="173">
        <f t="shared" si="492"/>
        <v>0.71652904530985706</v>
      </c>
      <c r="CB176" s="5">
        <f t="shared" si="493"/>
        <v>71.652904530985708</v>
      </c>
      <c r="CE176" s="562">
        <f t="shared" si="527"/>
        <v>-50</v>
      </c>
      <c r="CF176">
        <f t="shared" si="528"/>
        <v>-50</v>
      </c>
      <c r="CG176" s="173">
        <f t="shared" si="529"/>
        <v>0.38592324454178301</v>
      </c>
      <c r="CI176" s="170">
        <v>66</v>
      </c>
      <c r="CJ176" s="217">
        <f t="shared" si="588"/>
        <v>1.6500000000000001</v>
      </c>
      <c r="CK176" s="217"/>
      <c r="CL176" s="217">
        <f t="shared" si="530"/>
        <v>46.2</v>
      </c>
      <c r="CM176" s="541">
        <f t="shared" si="531"/>
        <v>19</v>
      </c>
      <c r="CN176" s="443">
        <f t="shared" si="532"/>
        <v>28.4</v>
      </c>
      <c r="CO176" s="443">
        <f t="shared" si="533"/>
        <v>47.4</v>
      </c>
      <c r="CP176" s="443"/>
      <c r="CQ176" s="217">
        <f t="shared" si="534"/>
        <v>0.59915611814345993</v>
      </c>
      <c r="CR176" s="172">
        <f t="shared" si="589"/>
        <v>95.556689708830859</v>
      </c>
      <c r="CS176" s="172">
        <f t="shared" si="535"/>
        <v>46.2</v>
      </c>
      <c r="CT176" s="217">
        <f t="shared" si="536"/>
        <v>3.4127389181725305</v>
      </c>
      <c r="CU176" s="217">
        <f t="shared" si="537"/>
        <v>28</v>
      </c>
      <c r="CV176" s="217"/>
      <c r="CW176" s="172">
        <f t="shared" si="538"/>
        <v>77.057714011451665</v>
      </c>
      <c r="CX176" s="536">
        <f t="shared" si="539"/>
        <v>28</v>
      </c>
      <c r="CY176" s="217">
        <f t="shared" si="540"/>
        <v>8.1166790214974061</v>
      </c>
      <c r="CZ176" s="217">
        <f t="shared" si="541"/>
        <v>2.007810073738832</v>
      </c>
      <c r="DA176" s="217">
        <f t="shared" si="542"/>
        <v>1.3432532183464019</v>
      </c>
      <c r="DB176" s="197">
        <f t="shared" si="543"/>
        <v>350</v>
      </c>
      <c r="DC176" s="443">
        <f t="shared" si="544"/>
        <v>298.41274629514368</v>
      </c>
      <c r="DE176" s="217">
        <f t="shared" si="545"/>
        <v>6.9203442217177731</v>
      </c>
      <c r="DF176" s="173">
        <f t="shared" si="546"/>
        <v>1.1452682338758289</v>
      </c>
      <c r="DG176" s="173">
        <f t="shared" si="547"/>
        <v>1.3869888208084145</v>
      </c>
      <c r="DH176" s="173"/>
      <c r="DI176" s="173">
        <f t="shared" si="548"/>
        <v>0.55164319248826299</v>
      </c>
      <c r="DJ176" s="545">
        <f t="shared" si="549"/>
        <v>1794.6382978723402</v>
      </c>
      <c r="DK176" s="528">
        <f t="shared" si="550"/>
        <v>0.3217918622848201</v>
      </c>
      <c r="DM176" s="173">
        <f t="shared" si="551"/>
        <v>7.5480225474557043</v>
      </c>
      <c r="DN176" s="173">
        <f t="shared" si="552"/>
        <v>8.1166790214974061</v>
      </c>
      <c r="DO176" s="173">
        <f t="shared" si="553"/>
        <v>4.7432190282696833</v>
      </c>
      <c r="DQ176" s="545">
        <f t="shared" si="554"/>
        <v>1650.0000000000002</v>
      </c>
      <c r="DR176" s="460">
        <f t="shared" si="555"/>
        <v>298.41274629514368</v>
      </c>
      <c r="DT176">
        <f t="shared" si="590"/>
        <v>1650.0000000000002</v>
      </c>
      <c r="DU176">
        <f t="shared" si="591"/>
        <v>298.41274629514368</v>
      </c>
      <c r="DW176" s="5">
        <f t="shared" si="556"/>
        <v>3.3510632920852346</v>
      </c>
      <c r="DX176" s="5">
        <f t="shared" si="557"/>
        <v>2.007810073738832</v>
      </c>
      <c r="DY176" s="5">
        <f t="shared" si="558"/>
        <v>1.3432532183464025</v>
      </c>
      <c r="DZ176" s="5"/>
      <c r="EA176" s="173">
        <f t="shared" si="559"/>
        <v>0.59915611814345981</v>
      </c>
      <c r="EB176" s="173">
        <f t="shared" si="560"/>
        <v>46.199999999999989</v>
      </c>
      <c r="EC176" s="173">
        <f t="shared" si="561"/>
        <v>1.6267605633802822</v>
      </c>
      <c r="ED176" s="173">
        <f t="shared" si="562"/>
        <v>28.399999999999984</v>
      </c>
      <c r="EE176" s="460">
        <f t="shared" si="563"/>
        <v>11.831737934532406</v>
      </c>
      <c r="EF176" s="5">
        <f t="shared" si="564"/>
        <v>2.3330187476542781</v>
      </c>
      <c r="EH176" s="173">
        <f t="shared" si="565"/>
        <v>3.6273356458260109</v>
      </c>
      <c r="EI176" s="173">
        <f t="shared" si="566"/>
        <v>2.9669168438844657</v>
      </c>
      <c r="EK176" s="528">
        <f t="shared" si="567"/>
        <v>0.15789076664976004</v>
      </c>
      <c r="EL176" s="528">
        <f t="shared" si="568"/>
        <v>2.1813617021276595</v>
      </c>
      <c r="EM176" s="528">
        <f t="shared" si="569"/>
        <v>3.4317465823941525E-2</v>
      </c>
      <c r="EN176" s="528">
        <f t="shared" si="570"/>
        <v>0.33020244726904291</v>
      </c>
      <c r="EO176">
        <f t="shared" si="571"/>
        <v>8.5500000000000003E-3</v>
      </c>
      <c r="EP176" s="460">
        <f t="shared" si="572"/>
        <v>42.867465823941529</v>
      </c>
      <c r="EQ176" s="460"/>
      <c r="ER176" s="460">
        <f t="shared" si="592"/>
        <v>2712.3223818704041</v>
      </c>
      <c r="ES176" s="528">
        <f t="shared" si="573"/>
        <v>1.155</v>
      </c>
      <c r="EV176" s="460">
        <f t="shared" si="494"/>
        <v>1155</v>
      </c>
      <c r="EW176" s="528">
        <f t="shared" si="574"/>
        <v>0.18420589442472005</v>
      </c>
      <c r="EX176" s="528">
        <f t="shared" si="575"/>
        <v>0.12323633781935503</v>
      </c>
      <c r="EY176" s="528">
        <f t="shared" si="576"/>
        <v>14.436414989686998</v>
      </c>
      <c r="EZ176" s="528"/>
      <c r="FA176" s="528">
        <f t="shared" si="577"/>
        <v>1.9659574468085108</v>
      </c>
      <c r="FB176" s="460">
        <f t="shared" si="578"/>
        <v>16709.814668739582</v>
      </c>
      <c r="FC176" s="173">
        <f t="shared" si="579"/>
        <v>20.577137050609988</v>
      </c>
      <c r="FD176" s="5">
        <f t="shared" si="580"/>
        <v>46.2</v>
      </c>
      <c r="FE176" s="173">
        <f t="shared" si="581"/>
        <v>0.6918535600737914</v>
      </c>
      <c r="FF176" s="5">
        <f t="shared" si="582"/>
        <v>69.185356007379141</v>
      </c>
      <c r="FI176" s="562">
        <f t="shared" si="583"/>
        <v>-50</v>
      </c>
      <c r="FJ176">
        <f t="shared" si="584"/>
        <v>-50</v>
      </c>
      <c r="FL176">
        <f t="shared" si="585"/>
        <v>0.40084388185654019</v>
      </c>
    </row>
    <row r="177" spans="5:168">
      <c r="E177" s="170">
        <v>67</v>
      </c>
      <c r="F177" s="217">
        <f t="shared" si="586"/>
        <v>1.675</v>
      </c>
      <c r="G177" s="217"/>
      <c r="H177" s="217">
        <f t="shared" si="495"/>
        <v>46.9</v>
      </c>
      <c r="I177" s="541">
        <f t="shared" si="496"/>
        <v>18.887218806625416</v>
      </c>
      <c r="J177" s="172">
        <f t="shared" si="497"/>
        <v>28.460728334894007</v>
      </c>
      <c r="K177" s="172">
        <f t="shared" si="498"/>
        <v>47.347947141519427</v>
      </c>
      <c r="L177" s="443"/>
      <c r="M177" s="217">
        <f t="shared" si="499"/>
        <v>0.60107864759872276</v>
      </c>
      <c r="N177" s="172">
        <f t="shared" si="500"/>
        <v>95.294274786229408</v>
      </c>
      <c r="O177" s="172">
        <f t="shared" si="438"/>
        <v>46.9</v>
      </c>
      <c r="P177" s="217">
        <f t="shared" si="501"/>
        <v>3.4033669566510505</v>
      </c>
      <c r="Q177" s="217">
        <f t="shared" si="502"/>
        <v>28</v>
      </c>
      <c r="R177" s="217"/>
      <c r="S177" s="172">
        <f t="shared" si="503"/>
        <v>75.179004048893148</v>
      </c>
      <c r="T177" s="536">
        <f t="shared" si="504"/>
        <v>28</v>
      </c>
      <c r="U177" s="217">
        <f t="shared" si="505"/>
        <v>8.3976452497088108</v>
      </c>
      <c r="V177" s="217">
        <f t="shared" si="506"/>
        <v>2.0897164944044686</v>
      </c>
      <c r="W177" s="217">
        <f t="shared" si="507"/>
        <v>1.3867857564713444</v>
      </c>
      <c r="X177" s="197">
        <f t="shared" si="508"/>
        <v>350</v>
      </c>
      <c r="Y177" s="443">
        <f t="shared" si="509"/>
        <v>271.99765749137805</v>
      </c>
      <c r="AA177" s="217">
        <f t="shared" si="510"/>
        <v>6.9015551869643419</v>
      </c>
      <c r="AB177" s="173">
        <f t="shared" si="511"/>
        <v>1.1397216893765485</v>
      </c>
      <c r="AC177" s="173">
        <f t="shared" si="512"/>
        <v>1.3765241239771842</v>
      </c>
      <c r="AD177" s="173"/>
      <c r="AE177" s="173">
        <f t="shared" si="513"/>
        <v>0.55046611886803676</v>
      </c>
      <c r="AF177" s="545">
        <f t="shared" si="514"/>
        <v>1825.7254453128814</v>
      </c>
      <c r="AG177" s="528">
        <f t="shared" si="515"/>
        <v>0.32110523600635482</v>
      </c>
      <c r="AI177" s="173">
        <f t="shared" si="516"/>
        <v>7.6131161784410386</v>
      </c>
      <c r="AJ177" s="173">
        <f t="shared" si="517"/>
        <v>8.3976452497088108</v>
      </c>
      <c r="AK177" s="173">
        <f t="shared" si="518"/>
        <v>4.9513421602781307</v>
      </c>
      <c r="AM177" s="545">
        <f t="shared" si="519"/>
        <v>1675</v>
      </c>
      <c r="AN177" s="460">
        <f t="shared" si="520"/>
        <v>271.99765749137805</v>
      </c>
      <c r="AP177">
        <f t="shared" si="521"/>
        <v>1675</v>
      </c>
      <c r="AQ177">
        <f t="shared" si="522"/>
        <v>271.99765749137805</v>
      </c>
      <c r="AS177" s="5">
        <f t="shared" si="439"/>
        <v>3.6765022508758136</v>
      </c>
      <c r="AT177" s="5">
        <f t="shared" si="523"/>
        <v>2.0897164944044686</v>
      </c>
      <c r="AU177" s="5">
        <f t="shared" si="477"/>
        <v>1.586785756471345</v>
      </c>
      <c r="AV177" s="5"/>
      <c r="AW177" s="173">
        <f t="shared" si="478"/>
        <v>0.56839799129910984</v>
      </c>
      <c r="AX177" s="173">
        <f t="shared" si="435"/>
        <v>45.07628070931289</v>
      </c>
      <c r="AY177" s="173">
        <f t="shared" si="436"/>
        <v>1.8122202790659054</v>
      </c>
      <c r="AZ177" s="173">
        <f t="shared" si="440"/>
        <v>24.873510814340463</v>
      </c>
      <c r="BA177" s="460">
        <f t="shared" si="433"/>
        <v>12.500982600455302</v>
      </c>
      <c r="BB177" s="5">
        <f t="shared" si="434"/>
        <v>2.8144600529085348</v>
      </c>
      <c r="BD177" s="173">
        <f t="shared" si="441"/>
        <v>3.6553011596907394</v>
      </c>
      <c r="BE177" s="173">
        <f t="shared" si="437"/>
        <v>3.1852140710815422</v>
      </c>
      <c r="BG177" s="528">
        <f t="shared" si="479"/>
        <v>0.16033471881643757</v>
      </c>
      <c r="BH177" s="528">
        <f t="shared" si="524"/>
        <v>1.9737253133073689</v>
      </c>
      <c r="BI177" s="528">
        <f t="shared" si="480"/>
        <v>3.1279730611508474E-2</v>
      </c>
      <c r="BJ177" s="528">
        <f t="shared" si="481"/>
        <v>0.30031270571265661</v>
      </c>
      <c r="BK177">
        <f t="shared" si="482"/>
        <v>8.4992484629814371E-3</v>
      </c>
      <c r="BL177" s="460">
        <f t="shared" si="587"/>
        <v>39.778979074489911</v>
      </c>
      <c r="BM177" s="528">
        <f t="shared" si="525"/>
        <v>2.5757891631718226</v>
      </c>
      <c r="BN177" s="460">
        <f t="shared" si="526"/>
        <v>2575.7891631718226</v>
      </c>
      <c r="BO177" s="528">
        <f t="shared" si="483"/>
        <v>1.1724999999999999</v>
      </c>
      <c r="BR177" s="460">
        <f t="shared" si="484"/>
        <v>1172.4999999999998</v>
      </c>
      <c r="BS177" s="528">
        <f t="shared" si="485"/>
        <v>0.18705717195251051</v>
      </c>
      <c r="BT177" s="528">
        <f t="shared" si="486"/>
        <v>0.14203824150062191</v>
      </c>
      <c r="BU177" s="528">
        <f t="shared" si="487"/>
        <v>12.46742386267101</v>
      </c>
      <c r="BV177" s="528"/>
      <c r="BW177" s="528">
        <f t="shared" si="488"/>
        <v>1.9181396046516124</v>
      </c>
      <c r="BX177" s="460">
        <f t="shared" si="489"/>
        <v>14714.658880775754</v>
      </c>
      <c r="BY177" s="173">
        <f t="shared" si="490"/>
        <v>18.36131059768671</v>
      </c>
      <c r="BZ177" s="5">
        <f t="shared" si="491"/>
        <v>46.9</v>
      </c>
      <c r="CA177" s="173">
        <f t="shared" si="492"/>
        <v>0.71864937388588779</v>
      </c>
      <c r="CB177" s="5">
        <f t="shared" si="493"/>
        <v>71.864937388588785</v>
      </c>
      <c r="CE177" s="562">
        <f t="shared" si="527"/>
        <v>-50</v>
      </c>
      <c r="CF177">
        <f t="shared" si="528"/>
        <v>-50</v>
      </c>
      <c r="CG177" s="173">
        <f t="shared" si="529"/>
        <v>0.38614594062110763</v>
      </c>
      <c r="CI177" s="170">
        <v>67</v>
      </c>
      <c r="CJ177" s="217">
        <f t="shared" si="588"/>
        <v>1.675</v>
      </c>
      <c r="CK177" s="217"/>
      <c r="CL177" s="217">
        <f t="shared" si="530"/>
        <v>46.9</v>
      </c>
      <c r="CM177" s="541">
        <f t="shared" si="531"/>
        <v>19</v>
      </c>
      <c r="CN177" s="443">
        <f t="shared" si="532"/>
        <v>28.4</v>
      </c>
      <c r="CO177" s="443">
        <f t="shared" si="533"/>
        <v>47.4</v>
      </c>
      <c r="CP177" s="443"/>
      <c r="CQ177" s="217">
        <f t="shared" si="534"/>
        <v>0.59915611814345993</v>
      </c>
      <c r="CR177" s="172">
        <f t="shared" si="589"/>
        <v>95.556689708830859</v>
      </c>
      <c r="CS177" s="172">
        <f t="shared" si="535"/>
        <v>46.9</v>
      </c>
      <c r="CT177" s="217">
        <f t="shared" si="536"/>
        <v>3.4127389181725305</v>
      </c>
      <c r="CU177" s="217">
        <f t="shared" si="537"/>
        <v>28</v>
      </c>
      <c r="CV177" s="217"/>
      <c r="CW177" s="172">
        <f t="shared" si="538"/>
        <v>75.627327240109054</v>
      </c>
      <c r="CX177" s="536">
        <f t="shared" si="539"/>
        <v>28</v>
      </c>
      <c r="CY177" s="217">
        <f t="shared" si="540"/>
        <v>8.2396590066716069</v>
      </c>
      <c r="CZ177" s="217">
        <f t="shared" si="541"/>
        <v>2.0382314384924505</v>
      </c>
      <c r="DA177" s="217">
        <f t="shared" si="542"/>
        <v>1.3636055398364983</v>
      </c>
      <c r="DB177" s="197">
        <f t="shared" si="543"/>
        <v>350</v>
      </c>
      <c r="DC177" s="443">
        <f t="shared" si="544"/>
        <v>293.9588247086491</v>
      </c>
      <c r="DE177" s="217">
        <f t="shared" si="545"/>
        <v>6.9203442217177731</v>
      </c>
      <c r="DF177" s="173">
        <f t="shared" si="546"/>
        <v>1.1452682338758289</v>
      </c>
      <c r="DG177" s="173">
        <f t="shared" si="547"/>
        <v>1.3869888208084145</v>
      </c>
      <c r="DH177" s="173"/>
      <c r="DI177" s="173">
        <f t="shared" si="548"/>
        <v>0.55164319248826299</v>
      </c>
      <c r="DJ177" s="545">
        <f t="shared" si="549"/>
        <v>1821.8297872340422</v>
      </c>
      <c r="DK177" s="528">
        <f t="shared" si="550"/>
        <v>0.3217918622848201</v>
      </c>
      <c r="DM177" s="173">
        <f t="shared" si="551"/>
        <v>7.6049895635298661</v>
      </c>
      <c r="DN177" s="173">
        <f t="shared" si="552"/>
        <v>8.2396590066716069</v>
      </c>
      <c r="DO177" s="173">
        <f t="shared" si="553"/>
        <v>4.8343153135839065</v>
      </c>
      <c r="DQ177" s="545">
        <f t="shared" si="554"/>
        <v>1675</v>
      </c>
      <c r="DR177" s="460">
        <f t="shared" si="555"/>
        <v>293.9588247086491</v>
      </c>
      <c r="DT177">
        <f t="shared" si="590"/>
        <v>1675</v>
      </c>
      <c r="DU177">
        <f t="shared" si="591"/>
        <v>293.9588247086491</v>
      </c>
      <c r="DW177" s="5">
        <f t="shared" si="556"/>
        <v>3.4018369783289488</v>
      </c>
      <c r="DX177" s="5">
        <f t="shared" si="557"/>
        <v>2.0382314384924505</v>
      </c>
      <c r="DY177" s="5">
        <f t="shared" si="558"/>
        <v>1.3636055398364983</v>
      </c>
      <c r="DZ177" s="5"/>
      <c r="EA177" s="173">
        <f t="shared" si="559"/>
        <v>0.59915611814345993</v>
      </c>
      <c r="EB177" s="173">
        <f t="shared" si="560"/>
        <v>46.899999999999984</v>
      </c>
      <c r="EC177" s="173">
        <f t="shared" si="561"/>
        <v>1.651408450704225</v>
      </c>
      <c r="ED177" s="173">
        <f t="shared" si="562"/>
        <v>28.399999999999995</v>
      </c>
      <c r="EE177" s="460">
        <f t="shared" si="563"/>
        <v>12.192991640981624</v>
      </c>
      <c r="EF177" s="5">
        <f t="shared" si="564"/>
        <v>2.4042518728696152</v>
      </c>
      <c r="EH177" s="173">
        <f t="shared" si="565"/>
        <v>3.6822952768233739</v>
      </c>
      <c r="EI177" s="173">
        <f t="shared" si="566"/>
        <v>3.0118701293978649</v>
      </c>
      <c r="EK177" s="528">
        <f t="shared" si="567"/>
        <v>0.16271158206858874</v>
      </c>
      <c r="EL177" s="528">
        <f t="shared" si="568"/>
        <v>2.1813617021276595</v>
      </c>
      <c r="EM177" s="528">
        <f t="shared" si="569"/>
        <v>3.3805264841494646E-2</v>
      </c>
      <c r="EN177" s="528">
        <f t="shared" si="570"/>
        <v>0.32527405253368419</v>
      </c>
      <c r="EO177">
        <f t="shared" si="571"/>
        <v>8.5500000000000003E-3</v>
      </c>
      <c r="EP177" s="460">
        <f t="shared" si="572"/>
        <v>42.355264841494652</v>
      </c>
      <c r="EQ177" s="460"/>
      <c r="ER177" s="460">
        <f t="shared" si="592"/>
        <v>2711.7026015714273</v>
      </c>
      <c r="ES177" s="528">
        <f t="shared" si="573"/>
        <v>1.1724999999999999</v>
      </c>
      <c r="EV177" s="460">
        <f t="shared" si="494"/>
        <v>1172.4999999999998</v>
      </c>
      <c r="EW177" s="528">
        <f t="shared" si="574"/>
        <v>0.18983017908002017</v>
      </c>
      <c r="EX177" s="528">
        <f t="shared" si="575"/>
        <v>0.12699906346902756</v>
      </c>
      <c r="EY177" s="528">
        <f t="shared" si="576"/>
        <v>14.436414989686973</v>
      </c>
      <c r="EZ177" s="528"/>
      <c r="FA177" s="528">
        <f t="shared" si="577"/>
        <v>1.9957446808510633</v>
      </c>
      <c r="FB177" s="460">
        <f t="shared" si="578"/>
        <v>16748.988913087087</v>
      </c>
      <c r="FC177" s="173">
        <f t="shared" si="579"/>
        <v>20.633191514658513</v>
      </c>
      <c r="FD177" s="5">
        <f t="shared" si="580"/>
        <v>46.9</v>
      </c>
      <c r="FE177" s="173">
        <f t="shared" si="581"/>
        <v>0.6944733241256642</v>
      </c>
      <c r="FF177" s="5">
        <f t="shared" si="582"/>
        <v>69.447332412566425</v>
      </c>
      <c r="FI177" s="562">
        <f t="shared" si="583"/>
        <v>-50</v>
      </c>
      <c r="FJ177">
        <f t="shared" si="584"/>
        <v>-50</v>
      </c>
      <c r="FL177">
        <f t="shared" si="585"/>
        <v>0.40084388185654007</v>
      </c>
    </row>
    <row r="178" spans="5:168">
      <c r="E178" s="170">
        <v>68</v>
      </c>
      <c r="F178" s="217">
        <f t="shared" si="586"/>
        <v>1.7000000000000002</v>
      </c>
      <c r="G178" s="217"/>
      <c r="H178" s="217">
        <f t="shared" si="495"/>
        <v>47.600000000000009</v>
      </c>
      <c r="I178" s="541">
        <f t="shared" si="496"/>
        <v>18.885599541186146</v>
      </c>
      <c r="J178" s="172">
        <f t="shared" si="497"/>
        <v>28.461600247053614</v>
      </c>
      <c r="K178" s="172">
        <f t="shared" si="498"/>
        <v>47.347199788239763</v>
      </c>
      <c r="L178" s="443"/>
      <c r="M178" s="217">
        <f t="shared" si="499"/>
        <v>0.60110656243506444</v>
      </c>
      <c r="N178" s="172">
        <f t="shared" si="500"/>
        <v>95.290530088926559</v>
      </c>
      <c r="O178" s="172">
        <f t="shared" si="438"/>
        <v>47.600000000000009</v>
      </c>
      <c r="P178" s="217">
        <f t="shared" si="501"/>
        <v>3.4032332174616626</v>
      </c>
      <c r="Q178" s="217">
        <f t="shared" si="502"/>
        <v>28</v>
      </c>
      <c r="R178" s="217"/>
      <c r="S178" s="172">
        <f t="shared" si="503"/>
        <v>73.792687993636576</v>
      </c>
      <c r="T178" s="536">
        <f t="shared" si="504"/>
        <v>28</v>
      </c>
      <c r="U178" s="217">
        <f t="shared" si="505"/>
        <v>8.5235796827229464</v>
      </c>
      <c r="V178" s="217">
        <f t="shared" si="506"/>
        <v>2.1212365761241672</v>
      </c>
      <c r="W178" s="217">
        <f t="shared" si="507"/>
        <v>1.4075394271952435</v>
      </c>
      <c r="X178" s="197">
        <f t="shared" si="508"/>
        <v>350</v>
      </c>
      <c r="Y178" s="443">
        <f t="shared" si="509"/>
        <v>268.18451929260038</v>
      </c>
      <c r="AA178" s="217">
        <f t="shared" si="510"/>
        <v>6.9012838403094019</v>
      </c>
      <c r="AB178" s="173">
        <f t="shared" si="511"/>
        <v>1.13964196559229</v>
      </c>
      <c r="AC178" s="173">
        <f t="shared" si="512"/>
        <v>1.3763737191540901</v>
      </c>
      <c r="AD178" s="173"/>
      <c r="AE178" s="173">
        <f t="shared" si="513"/>
        <v>0.5504492555118542</v>
      </c>
      <c r="AF178" s="545">
        <f t="shared" si="514"/>
        <v>1853.0318458720012</v>
      </c>
      <c r="AG178" s="528">
        <f t="shared" si="515"/>
        <v>0.32109539904858164</v>
      </c>
      <c r="AI178" s="173">
        <f t="shared" si="516"/>
        <v>7.6698375344892646</v>
      </c>
      <c r="AJ178" s="173">
        <f t="shared" si="517"/>
        <v>8.5235796827229464</v>
      </c>
      <c r="AK178" s="173">
        <f t="shared" si="518"/>
        <v>5.0446269254737874</v>
      </c>
      <c r="AM178" s="545">
        <f t="shared" si="519"/>
        <v>1700.0000000000002</v>
      </c>
      <c r="AN178" s="460">
        <f t="shared" si="520"/>
        <v>268.18451929260038</v>
      </c>
      <c r="AP178">
        <f t="shared" si="521"/>
        <v>1700.0000000000002</v>
      </c>
      <c r="AQ178">
        <f t="shared" si="522"/>
        <v>268.18451929260038</v>
      </c>
      <c r="AS178" s="5">
        <f t="shared" si="439"/>
        <v>3.7287760033194113</v>
      </c>
      <c r="AT178" s="5">
        <f t="shared" si="523"/>
        <v>2.1212365761241672</v>
      </c>
      <c r="AU178" s="5">
        <f t="shared" si="477"/>
        <v>1.6075394271952441</v>
      </c>
      <c r="AV178" s="5"/>
      <c r="AW178" s="173">
        <f t="shared" si="478"/>
        <v>0.56888281147374131</v>
      </c>
      <c r="AX178" s="173">
        <f t="shared" si="435"/>
        <v>45.787361529942345</v>
      </c>
      <c r="AY178" s="173">
        <f t="shared" si="436"/>
        <v>1.8373308544975284</v>
      </c>
      <c r="AZ178" s="173">
        <f t="shared" si="440"/>
        <v>24.920585978220146</v>
      </c>
      <c r="BA178" s="460">
        <f t="shared" si="433"/>
        <v>12.878936355039588</v>
      </c>
      <c r="BB178" s="5">
        <f t="shared" si="434"/>
        <v>2.8940749487694322</v>
      </c>
      <c r="BD178" s="173">
        <f t="shared" si="441"/>
        <v>3.7116994635906413</v>
      </c>
      <c r="BE178" s="173">
        <f t="shared" si="437"/>
        <v>3.2311644899669556</v>
      </c>
      <c r="BG178" s="528">
        <f t="shared" si="479"/>
        <v>0.16532055489622866</v>
      </c>
      <c r="BH178" s="528">
        <f t="shared" si="524"/>
        <v>1.9752082838068714</v>
      </c>
      <c r="BI178" s="528">
        <f t="shared" si="480"/>
        <v>3.084121971864905E-2</v>
      </c>
      <c r="BJ178" s="528">
        <f t="shared" si="481"/>
        <v>0.29609327107675126</v>
      </c>
      <c r="BK178">
        <f t="shared" si="482"/>
        <v>8.498519793533766E-3</v>
      </c>
      <c r="BL178" s="460">
        <f t="shared" si="587"/>
        <v>39.339739512182817</v>
      </c>
      <c r="BM178" s="528">
        <f t="shared" si="525"/>
        <v>2.5827078469911346</v>
      </c>
      <c r="BN178" s="460">
        <f t="shared" si="526"/>
        <v>2582.7078469911348</v>
      </c>
      <c r="BO178" s="528">
        <f t="shared" si="483"/>
        <v>1.19</v>
      </c>
      <c r="BR178" s="460">
        <f t="shared" si="484"/>
        <v>1190</v>
      </c>
      <c r="BS178" s="528">
        <f t="shared" si="485"/>
        <v>0.19287398071226675</v>
      </c>
      <c r="BT178" s="528">
        <f t="shared" si="486"/>
        <v>0.14616593545712783</v>
      </c>
      <c r="BU178" s="528">
        <f t="shared" si="487"/>
        <v>12.491348659263256</v>
      </c>
      <c r="BV178" s="528"/>
      <c r="BW178" s="528">
        <f t="shared" si="488"/>
        <v>1.9483983629762704</v>
      </c>
      <c r="BX178" s="460">
        <f t="shared" si="489"/>
        <v>14778.786938408921</v>
      </c>
      <c r="BY178" s="173">
        <f t="shared" si="490"/>
        <v>18.444748787700956</v>
      </c>
      <c r="BZ178" s="5">
        <f t="shared" si="491"/>
        <v>47.600000000000009</v>
      </c>
      <c r="CA178" s="173">
        <f t="shared" si="492"/>
        <v>0.72072346210307958</v>
      </c>
      <c r="CB178" s="5">
        <f t="shared" si="493"/>
        <v>72.072346210307956</v>
      </c>
      <c r="CE178" s="562">
        <f t="shared" si="527"/>
        <v>-50</v>
      </c>
      <c r="CF178">
        <f t="shared" si="528"/>
        <v>-50</v>
      </c>
      <c r="CG178" s="173">
        <f t="shared" si="529"/>
        <v>0.38636208681574624</v>
      </c>
      <c r="CI178" s="170">
        <v>68</v>
      </c>
      <c r="CJ178" s="217">
        <f t="shared" si="588"/>
        <v>1.7000000000000002</v>
      </c>
      <c r="CK178" s="217"/>
      <c r="CL178" s="217">
        <f t="shared" si="530"/>
        <v>47.600000000000009</v>
      </c>
      <c r="CM178" s="541">
        <f t="shared" si="531"/>
        <v>19</v>
      </c>
      <c r="CN178" s="443">
        <f t="shared" si="532"/>
        <v>28.4</v>
      </c>
      <c r="CO178" s="443">
        <f t="shared" si="533"/>
        <v>47.4</v>
      </c>
      <c r="CP178" s="443"/>
      <c r="CQ178" s="217">
        <f t="shared" si="534"/>
        <v>0.59915611814345993</v>
      </c>
      <c r="CR178" s="172">
        <f t="shared" si="589"/>
        <v>95.556689708830859</v>
      </c>
      <c r="CS178" s="172">
        <f t="shared" si="535"/>
        <v>47.600000000000009</v>
      </c>
      <c r="CT178" s="217">
        <f t="shared" si="536"/>
        <v>3.4127389181725305</v>
      </c>
      <c r="CU178" s="217">
        <f t="shared" si="537"/>
        <v>28</v>
      </c>
      <c r="CV178" s="217"/>
      <c r="CW178" s="172">
        <f t="shared" si="538"/>
        <v>74.239078238734734</v>
      </c>
      <c r="CX178" s="536">
        <f t="shared" si="539"/>
        <v>28</v>
      </c>
      <c r="CY178" s="217">
        <f t="shared" si="540"/>
        <v>8.3626389918458131</v>
      </c>
      <c r="CZ178" s="217">
        <f t="shared" si="541"/>
        <v>2.0686528032460698</v>
      </c>
      <c r="DA178" s="217">
        <f t="shared" si="542"/>
        <v>1.3839578613265959</v>
      </c>
      <c r="DB178" s="197">
        <f t="shared" si="543"/>
        <v>350</v>
      </c>
      <c r="DC178" s="443">
        <f t="shared" si="544"/>
        <v>289.63590081587478</v>
      </c>
      <c r="DE178" s="217">
        <f t="shared" si="545"/>
        <v>6.9203442217177731</v>
      </c>
      <c r="DF178" s="173">
        <f t="shared" si="546"/>
        <v>1.1452682338758289</v>
      </c>
      <c r="DG178" s="173">
        <f t="shared" si="547"/>
        <v>1.3869888208084145</v>
      </c>
      <c r="DH178" s="173"/>
      <c r="DI178" s="173">
        <f t="shared" si="548"/>
        <v>0.55164319248826299</v>
      </c>
      <c r="DJ178" s="545">
        <f t="shared" si="549"/>
        <v>1849.0212765957447</v>
      </c>
      <c r="DK178" s="528">
        <f t="shared" si="550"/>
        <v>0.3217918622848201</v>
      </c>
      <c r="DM178" s="173">
        <f t="shared" si="551"/>
        <v>7.6615330153890655</v>
      </c>
      <c r="DN178" s="173">
        <f t="shared" si="552"/>
        <v>8.3626389918458131</v>
      </c>
      <c r="DO178" s="173">
        <f t="shared" si="553"/>
        <v>4.9254115988981324</v>
      </c>
      <c r="DQ178" s="545">
        <f t="shared" si="554"/>
        <v>1700.0000000000002</v>
      </c>
      <c r="DR178" s="460">
        <f t="shared" si="555"/>
        <v>289.63590081587478</v>
      </c>
      <c r="DT178">
        <f t="shared" si="590"/>
        <v>1700.0000000000002</v>
      </c>
      <c r="DU178">
        <f t="shared" si="591"/>
        <v>289.63590081587478</v>
      </c>
      <c r="DW178" s="5">
        <f t="shared" si="556"/>
        <v>3.4526106645726653</v>
      </c>
      <c r="DX178" s="5">
        <f t="shared" si="557"/>
        <v>2.0686528032460698</v>
      </c>
      <c r="DY178" s="5">
        <f t="shared" si="558"/>
        <v>1.3839578613265955</v>
      </c>
      <c r="DZ178" s="5"/>
      <c r="EA178" s="173">
        <f t="shared" si="559"/>
        <v>0.59915611814346004</v>
      </c>
      <c r="EB178" s="173">
        <f t="shared" si="560"/>
        <v>47.600000000000009</v>
      </c>
      <c r="EC178" s="173">
        <f t="shared" si="561"/>
        <v>1.6760563380281688</v>
      </c>
      <c r="ED178" s="173">
        <f t="shared" si="562"/>
        <v>28.400000000000009</v>
      </c>
      <c r="EE178" s="460">
        <f t="shared" si="563"/>
        <v>12.559677733993995</v>
      </c>
      <c r="EF178" s="5">
        <f t="shared" si="564"/>
        <v>2.4765561729002235</v>
      </c>
      <c r="EH178" s="173">
        <f t="shared" si="565"/>
        <v>3.7372549078207395</v>
      </c>
      <c r="EI178" s="173">
        <f t="shared" si="566"/>
        <v>3.0568234149112672</v>
      </c>
      <c r="EK178" s="528">
        <f t="shared" si="567"/>
        <v>0.16760489095236245</v>
      </c>
      <c r="EL178" s="528">
        <f t="shared" si="568"/>
        <v>2.1813617021276599</v>
      </c>
      <c r="EM178" s="528">
        <f t="shared" si="569"/>
        <v>3.3308128593825606E-2</v>
      </c>
      <c r="EN178" s="528">
        <f t="shared" si="570"/>
        <v>0.32049061058465933</v>
      </c>
      <c r="EO178">
        <f t="shared" si="571"/>
        <v>8.5500000000000003E-3</v>
      </c>
      <c r="EP178" s="460">
        <f t="shared" si="572"/>
        <v>41.858128593825612</v>
      </c>
      <c r="EQ178" s="460"/>
      <c r="ER178" s="460">
        <f t="shared" si="592"/>
        <v>2711.3153322585072</v>
      </c>
      <c r="ES178" s="528">
        <f t="shared" si="573"/>
        <v>1.19</v>
      </c>
      <c r="EV178" s="460">
        <f t="shared" si="494"/>
        <v>1190</v>
      </c>
      <c r="EW178" s="528">
        <f t="shared" si="574"/>
        <v>0.19553903944442286</v>
      </c>
      <c r="EX178" s="528">
        <f t="shared" si="575"/>
        <v>0.13081837145929695</v>
      </c>
      <c r="EY178" s="528">
        <f t="shared" si="576"/>
        <v>14.436414989687002</v>
      </c>
      <c r="EZ178" s="528"/>
      <c r="FA178" s="528">
        <f t="shared" si="577"/>
        <v>2.0255319148936177</v>
      </c>
      <c r="FB178" s="460">
        <f t="shared" si="578"/>
        <v>16788.30431548434</v>
      </c>
      <c r="FC178" s="173">
        <f t="shared" si="579"/>
        <v>20.689619647742845</v>
      </c>
      <c r="FD178" s="5">
        <f t="shared" si="580"/>
        <v>47.600000000000009</v>
      </c>
      <c r="FE178" s="173">
        <f t="shared" si="581"/>
        <v>0.69703126544757832</v>
      </c>
      <c r="FF178" s="5">
        <f t="shared" si="582"/>
        <v>69.703126544757836</v>
      </c>
      <c r="FI178" s="562">
        <f t="shared" si="583"/>
        <v>-50</v>
      </c>
      <c r="FJ178">
        <f t="shared" si="584"/>
        <v>-50</v>
      </c>
      <c r="FL178">
        <f t="shared" si="585"/>
        <v>0.40084388185653996</v>
      </c>
    </row>
    <row r="179" spans="5:168">
      <c r="E179" s="170">
        <v>69</v>
      </c>
      <c r="F179" s="217">
        <f t="shared" si="586"/>
        <v>1.7249999999999999</v>
      </c>
      <c r="G179" s="217"/>
      <c r="H179" s="217">
        <f t="shared" si="495"/>
        <v>48.3</v>
      </c>
      <c r="I179" s="541">
        <f t="shared" si="496"/>
        <v>18.883980206212936</v>
      </c>
      <c r="J179" s="172">
        <f t="shared" si="497"/>
        <v>28.462472196654574</v>
      </c>
      <c r="K179" s="172">
        <f t="shared" si="498"/>
        <v>47.346452402867513</v>
      </c>
      <c r="L179" s="443"/>
      <c r="M179" s="217">
        <f t="shared" si="499"/>
        <v>0.60113447903411688</v>
      </c>
      <c r="N179" s="172">
        <f t="shared" si="500"/>
        <v>95.286784561331359</v>
      </c>
      <c r="O179" s="172">
        <f t="shared" si="438"/>
        <v>48.3</v>
      </c>
      <c r="P179" s="217">
        <f t="shared" si="501"/>
        <v>3.4030994486189772</v>
      </c>
      <c r="Q179" s="217">
        <f t="shared" si="502"/>
        <v>28</v>
      </c>
      <c r="R179" s="217"/>
      <c r="S179" s="172">
        <f t="shared" si="503"/>
        <v>72.446668972427688</v>
      </c>
      <c r="T179" s="536">
        <f t="shared" si="504"/>
        <v>28</v>
      </c>
      <c r="U179" s="217">
        <f t="shared" si="505"/>
        <v>8.6495317811516106</v>
      </c>
      <c r="V179" s="217">
        <f t="shared" si="506"/>
        <v>2.1527664680583372</v>
      </c>
      <c r="W179" s="217">
        <f t="shared" si="507"/>
        <v>1.4282947415998117</v>
      </c>
      <c r="X179" s="197">
        <f t="shared" si="508"/>
        <v>350</v>
      </c>
      <c r="Y179" s="443">
        <f t="shared" si="509"/>
        <v>264.47601468224087</v>
      </c>
      <c r="AA179" s="217">
        <f t="shared" si="510"/>
        <v>6.9010124371782462</v>
      </c>
      <c r="AB179" s="173">
        <f t="shared" si="511"/>
        <v>1.1395622358675535</v>
      </c>
      <c r="AC179" s="173">
        <f t="shared" si="512"/>
        <v>1.3762233034656115</v>
      </c>
      <c r="AD179" s="173"/>
      <c r="AE179" s="173">
        <f t="shared" si="513"/>
        <v>0.55043239246477327</v>
      </c>
      <c r="AF179" s="545">
        <f t="shared" si="514"/>
        <v>1880.3399185236688</v>
      </c>
      <c r="AG179" s="528">
        <f t="shared" si="515"/>
        <v>0.32108556227111779</v>
      </c>
      <c r="AI179" s="173">
        <f t="shared" si="516"/>
        <v>7.7261459180359227</v>
      </c>
      <c r="AJ179" s="173">
        <f t="shared" si="517"/>
        <v>8.6495317811516106</v>
      </c>
      <c r="AK179" s="173">
        <f t="shared" si="518"/>
        <v>5.137924776161686</v>
      </c>
      <c r="AM179" s="545">
        <f t="shared" si="519"/>
        <v>1724.9999999999998</v>
      </c>
      <c r="AN179" s="460">
        <f t="shared" si="520"/>
        <v>264.47601468224087</v>
      </c>
      <c r="AP179">
        <f t="shared" si="521"/>
        <v>1724.9999999999998</v>
      </c>
      <c r="AQ179">
        <f t="shared" si="522"/>
        <v>264.47601468224087</v>
      </c>
      <c r="AS179" s="5">
        <f t="shared" si="439"/>
        <v>3.7810612096581488</v>
      </c>
      <c r="AT179" s="5">
        <f t="shared" si="523"/>
        <v>2.1527664680583372</v>
      </c>
      <c r="AU179" s="5">
        <f t="shared" si="477"/>
        <v>1.6282947415998117</v>
      </c>
      <c r="AV179" s="5"/>
      <c r="AW179" s="173">
        <f t="shared" si="478"/>
        <v>0.56935509601363254</v>
      </c>
      <c r="AX179" s="173">
        <f t="shared" si="435"/>
        <v>46.498543749785583</v>
      </c>
      <c r="AY179" s="173">
        <f t="shared" si="436"/>
        <v>1.8624383917105347</v>
      </c>
      <c r="AZ179" s="173">
        <f t="shared" si="440"/>
        <v>24.966486922061105</v>
      </c>
      <c r="BA179" s="460">
        <f t="shared" si="433"/>
        <v>13.262579133573684</v>
      </c>
      <c r="BB179" s="5">
        <f t="shared" si="434"/>
        <v>2.9748055214922973</v>
      </c>
      <c r="BD179" s="173">
        <f t="shared" si="441"/>
        <v>3.7681100441325328</v>
      </c>
      <c r="BE179" s="173">
        <f t="shared" si="437"/>
        <v>3.2771145905646084</v>
      </c>
      <c r="BG179" s="528">
        <f t="shared" si="479"/>
        <v>0.17038383965630974</v>
      </c>
      <c r="BH179" s="528">
        <f t="shared" si="524"/>
        <v>1.9766473888880758</v>
      </c>
      <c r="BI179" s="528">
        <f t="shared" si="480"/>
        <v>3.0414741688457703E-2</v>
      </c>
      <c r="BJ179" s="528">
        <f t="shared" si="481"/>
        <v>0.29198962068767698</v>
      </c>
      <c r="BK179">
        <f t="shared" si="482"/>
        <v>8.4977910927958207E-3</v>
      </c>
      <c r="BL179" s="460">
        <f t="shared" si="587"/>
        <v>38.912532781253518</v>
      </c>
      <c r="BM179" s="528">
        <f t="shared" si="525"/>
        <v>2.5898707419424918</v>
      </c>
      <c r="BN179" s="460">
        <f t="shared" si="526"/>
        <v>2589.8707419424918</v>
      </c>
      <c r="BO179" s="528">
        <f t="shared" si="483"/>
        <v>1.2074999999999998</v>
      </c>
      <c r="BR179" s="460">
        <f t="shared" si="484"/>
        <v>1207.4999999999998</v>
      </c>
      <c r="BS179" s="528">
        <f t="shared" si="485"/>
        <v>0.19878114626569468</v>
      </c>
      <c r="BT179" s="528">
        <f t="shared" si="486"/>
        <v>0.15035272055568019</v>
      </c>
      <c r="BU179" s="528">
        <f t="shared" si="487"/>
        <v>12.514607442744223</v>
      </c>
      <c r="BV179" s="528"/>
      <c r="BW179" s="528">
        <f t="shared" si="488"/>
        <v>1.9786614361610886</v>
      </c>
      <c r="BX179" s="460">
        <f t="shared" si="489"/>
        <v>14842.402745726687</v>
      </c>
      <c r="BY179" s="173">
        <f t="shared" si="490"/>
        <v>18.527836127740002</v>
      </c>
      <c r="BZ179" s="5">
        <f t="shared" si="491"/>
        <v>48.3</v>
      </c>
      <c r="CA179" s="173">
        <f t="shared" si="492"/>
        <v>0.72275271501647254</v>
      </c>
      <c r="CB179" s="5">
        <f t="shared" si="493"/>
        <v>72.275271501647254</v>
      </c>
      <c r="CE179" s="562">
        <f t="shared" si="527"/>
        <v>-50</v>
      </c>
      <c r="CF179">
        <f t="shared" si="528"/>
        <v>-50</v>
      </c>
      <c r="CG179" s="173">
        <f t="shared" si="529"/>
        <v>0.38657196790329407</v>
      </c>
      <c r="CI179" s="170">
        <v>69</v>
      </c>
      <c r="CJ179" s="217">
        <f t="shared" si="588"/>
        <v>1.7249999999999999</v>
      </c>
      <c r="CK179" s="217"/>
      <c r="CL179" s="217">
        <f t="shared" si="530"/>
        <v>48.3</v>
      </c>
      <c r="CM179" s="541">
        <f t="shared" si="531"/>
        <v>19</v>
      </c>
      <c r="CN179" s="443">
        <f t="shared" si="532"/>
        <v>28.4</v>
      </c>
      <c r="CO179" s="443">
        <f t="shared" si="533"/>
        <v>47.4</v>
      </c>
      <c r="CP179" s="443"/>
      <c r="CQ179" s="217">
        <f t="shared" si="534"/>
        <v>0.59915611814345993</v>
      </c>
      <c r="CR179" s="172">
        <f t="shared" si="589"/>
        <v>95.556689708830859</v>
      </c>
      <c r="CS179" s="172">
        <f t="shared" si="535"/>
        <v>48.3</v>
      </c>
      <c r="CT179" s="217">
        <f t="shared" si="536"/>
        <v>3.4127389181725305</v>
      </c>
      <c r="CU179" s="217">
        <f t="shared" si="537"/>
        <v>28</v>
      </c>
      <c r="CV179" s="217"/>
      <c r="CW179" s="172">
        <f t="shared" si="538"/>
        <v>72.891135646245786</v>
      </c>
      <c r="CX179" s="536">
        <f t="shared" si="539"/>
        <v>28</v>
      </c>
      <c r="CY179" s="217">
        <f t="shared" si="540"/>
        <v>8.4856189770200139</v>
      </c>
      <c r="CZ179" s="217">
        <f t="shared" si="541"/>
        <v>2.0990741679996878</v>
      </c>
      <c r="DA179" s="217">
        <f t="shared" si="542"/>
        <v>1.4043101828166926</v>
      </c>
      <c r="DB179" s="197">
        <f t="shared" si="543"/>
        <v>350</v>
      </c>
      <c r="DC179" s="443">
        <f t="shared" si="544"/>
        <v>285.43827906492015</v>
      </c>
      <c r="DE179" s="217">
        <f t="shared" si="545"/>
        <v>6.9203442217177731</v>
      </c>
      <c r="DF179" s="173">
        <f t="shared" si="546"/>
        <v>1.1452682338758289</v>
      </c>
      <c r="DG179" s="173">
        <f t="shared" si="547"/>
        <v>1.3869888208084145</v>
      </c>
      <c r="DH179" s="173"/>
      <c r="DI179" s="173">
        <f t="shared" si="548"/>
        <v>0.55164319248826299</v>
      </c>
      <c r="DJ179" s="545">
        <f t="shared" si="549"/>
        <v>1876.2127659574464</v>
      </c>
      <c r="DK179" s="528">
        <f t="shared" si="550"/>
        <v>0.3217918622848201</v>
      </c>
      <c r="DM179" s="173">
        <f t="shared" si="551"/>
        <v>7.7176622127685226</v>
      </c>
      <c r="DN179" s="173">
        <f t="shared" si="552"/>
        <v>8.4856189770200139</v>
      </c>
      <c r="DO179" s="173">
        <f t="shared" si="553"/>
        <v>5.0165078842123556</v>
      </c>
      <c r="DQ179" s="545">
        <f t="shared" si="554"/>
        <v>1724.9999999999998</v>
      </c>
      <c r="DR179" s="460">
        <f t="shared" si="555"/>
        <v>285.43827906492015</v>
      </c>
      <c r="DT179">
        <f t="shared" si="590"/>
        <v>1724.9999999999998</v>
      </c>
      <c r="DU179">
        <f t="shared" si="591"/>
        <v>285.43827906492015</v>
      </c>
      <c r="DW179" s="5">
        <f t="shared" si="556"/>
        <v>3.50338435081638</v>
      </c>
      <c r="DX179" s="5">
        <f t="shared" si="557"/>
        <v>2.0990741679996878</v>
      </c>
      <c r="DY179" s="5">
        <f t="shared" si="558"/>
        <v>1.4043101828166922</v>
      </c>
      <c r="DZ179" s="5"/>
      <c r="EA179" s="173">
        <f t="shared" si="559"/>
        <v>0.59915611814345993</v>
      </c>
      <c r="EB179" s="173">
        <f t="shared" si="560"/>
        <v>48.3</v>
      </c>
      <c r="EC179" s="173">
        <f t="shared" si="561"/>
        <v>1.7007042253521125</v>
      </c>
      <c r="ED179" s="173">
        <f t="shared" si="562"/>
        <v>28.400000000000002</v>
      </c>
      <c r="EE179" s="460">
        <f t="shared" si="563"/>
        <v>12.931796213569505</v>
      </c>
      <c r="EF179" s="5">
        <f t="shared" si="564"/>
        <v>2.5499316477460985</v>
      </c>
      <c r="EH179" s="173">
        <f t="shared" si="565"/>
        <v>3.7922145388181021</v>
      </c>
      <c r="EI179" s="173">
        <f t="shared" si="566"/>
        <v>3.1017767004246672</v>
      </c>
      <c r="EK179" s="528">
        <f t="shared" si="567"/>
        <v>0.17257069330108069</v>
      </c>
      <c r="EL179" s="528">
        <f t="shared" si="568"/>
        <v>2.1813617021276599</v>
      </c>
      <c r="EM179" s="528">
        <f t="shared" si="569"/>
        <v>3.2825402092465823E-2</v>
      </c>
      <c r="EN179" s="528">
        <f t="shared" si="570"/>
        <v>0.31584581912691073</v>
      </c>
      <c r="EO179">
        <f t="shared" si="571"/>
        <v>8.5500000000000003E-3</v>
      </c>
      <c r="EP179" s="460">
        <f t="shared" si="572"/>
        <v>41.375402092465826</v>
      </c>
      <c r="EQ179" s="460"/>
      <c r="ER179" s="460">
        <f t="shared" si="592"/>
        <v>2711.1536166481173</v>
      </c>
      <c r="ES179" s="528">
        <f t="shared" si="573"/>
        <v>1.2074999999999998</v>
      </c>
      <c r="EV179" s="460">
        <f t="shared" si="494"/>
        <v>1207.4999999999998</v>
      </c>
      <c r="EW179" s="528">
        <f t="shared" si="574"/>
        <v>0.20133247551792749</v>
      </c>
      <c r="EX179" s="528">
        <f t="shared" si="575"/>
        <v>0.13469426179016269</v>
      </c>
      <c r="EY179" s="528">
        <f t="shared" si="576"/>
        <v>14.436414989687002</v>
      </c>
      <c r="EZ179" s="528"/>
      <c r="FA179" s="528">
        <f t="shared" si="577"/>
        <v>2.0553191489361704</v>
      </c>
      <c r="FB179" s="460">
        <f t="shared" si="578"/>
        <v>16827.760875931261</v>
      </c>
      <c r="FC179" s="173">
        <f t="shared" si="579"/>
        <v>20.74641449257938</v>
      </c>
      <c r="FD179" s="5">
        <f t="shared" si="580"/>
        <v>48.3</v>
      </c>
      <c r="FE179" s="173">
        <f t="shared" si="581"/>
        <v>0.69952944486626378</v>
      </c>
      <c r="FF179" s="5">
        <f t="shared" si="582"/>
        <v>69.952944486626379</v>
      </c>
      <c r="FI179" s="562">
        <f t="shared" si="583"/>
        <v>-50</v>
      </c>
      <c r="FJ179">
        <f t="shared" si="584"/>
        <v>-50</v>
      </c>
      <c r="FL179">
        <f t="shared" si="585"/>
        <v>0.40084388185654007</v>
      </c>
    </row>
    <row r="180" spans="5:168">
      <c r="E180" s="170">
        <v>70</v>
      </c>
      <c r="F180" s="217">
        <f t="shared" si="586"/>
        <v>1.75</v>
      </c>
      <c r="G180" s="217"/>
      <c r="H180" s="217">
        <f t="shared" si="495"/>
        <v>49</v>
      </c>
      <c r="I180" s="541">
        <f t="shared" si="496"/>
        <v>18.882360804794203</v>
      </c>
      <c r="J180" s="172">
        <f t="shared" si="497"/>
        <v>28.463344182033889</v>
      </c>
      <c r="K180" s="172">
        <f t="shared" si="498"/>
        <v>47.345704986828096</v>
      </c>
      <c r="L180" s="443"/>
      <c r="M180" s="217">
        <f t="shared" si="499"/>
        <v>0.60116239735687027</v>
      </c>
      <c r="N180" s="172">
        <f t="shared" si="500"/>
        <v>95.283038212724676</v>
      </c>
      <c r="O180" s="172">
        <f t="shared" si="438"/>
        <v>49</v>
      </c>
      <c r="P180" s="217">
        <f t="shared" si="501"/>
        <v>3.4029656504544525</v>
      </c>
      <c r="Q180" s="217">
        <f t="shared" si="502"/>
        <v>28</v>
      </c>
      <c r="R180" s="217"/>
      <c r="S180" s="172">
        <f t="shared" si="503"/>
        <v>71.139220698774224</v>
      </c>
      <c r="T180" s="536">
        <f t="shared" si="504"/>
        <v>28</v>
      </c>
      <c r="U180" s="217">
        <f t="shared" si="505"/>
        <v>8.775501549515921</v>
      </c>
      <c r="V180" s="217">
        <f t="shared" si="506"/>
        <v>2.1843061738473306</v>
      </c>
      <c r="W180" s="217">
        <f t="shared" si="507"/>
        <v>1.4490517002832946</v>
      </c>
      <c r="X180" s="197">
        <f t="shared" si="508"/>
        <v>350</v>
      </c>
      <c r="Y180" s="443">
        <f t="shared" si="509"/>
        <v>260.86789515492131</v>
      </c>
      <c r="AA180" s="217">
        <f t="shared" si="510"/>
        <v>6.9007409780807292</v>
      </c>
      <c r="AB180" s="173">
        <f t="shared" si="511"/>
        <v>1.1394825003539639</v>
      </c>
      <c r="AC180" s="173">
        <f t="shared" si="512"/>
        <v>1.3760728771997353</v>
      </c>
      <c r="AD180" s="173"/>
      <c r="AE180" s="173">
        <f t="shared" si="513"/>
        <v>0.55041552975899055</v>
      </c>
      <c r="AF180" s="545">
        <f t="shared" si="514"/>
        <v>1907.6496632639737</v>
      </c>
      <c r="AG180" s="528">
        <f t="shared" si="515"/>
        <v>0.32107572569274445</v>
      </c>
      <c r="AI180" s="173">
        <f t="shared" si="516"/>
        <v>7.7820502934821016</v>
      </c>
      <c r="AJ180" s="173">
        <f t="shared" si="517"/>
        <v>8.775501549515921</v>
      </c>
      <c r="AK180" s="173">
        <f t="shared" si="518"/>
        <v>5.2312357156908051</v>
      </c>
      <c r="AM180" s="545">
        <f t="shared" si="519"/>
        <v>1750</v>
      </c>
      <c r="AN180" s="460">
        <f t="shared" si="520"/>
        <v>260.86789515492131</v>
      </c>
      <c r="AP180">
        <f t="shared" si="521"/>
        <v>1750</v>
      </c>
      <c r="AQ180">
        <f t="shared" si="522"/>
        <v>260.86789515492131</v>
      </c>
      <c r="AS180" s="5">
        <f t="shared" si="439"/>
        <v>3.8333578741306256</v>
      </c>
      <c r="AT180" s="5">
        <f t="shared" si="523"/>
        <v>2.1843061738473306</v>
      </c>
      <c r="AU180" s="5">
        <f t="shared" si="477"/>
        <v>1.649051700283295</v>
      </c>
      <c r="AV180" s="5"/>
      <c r="AW180" s="173">
        <f t="shared" si="478"/>
        <v>0.56981535394545269</v>
      </c>
      <c r="AX180" s="173">
        <f t="shared" si="435"/>
        <v>47.209825025298585</v>
      </c>
      <c r="AY180" s="173">
        <f t="shared" si="436"/>
        <v>1.8875430140148191</v>
      </c>
      <c r="AZ180" s="173">
        <f t="shared" si="440"/>
        <v>25.011257849368377</v>
      </c>
      <c r="BA180" s="460">
        <f t="shared" si="433"/>
        <v>13.651913586545817</v>
      </c>
      <c r="BB180" s="5">
        <f t="shared" si="434"/>
        <v>3.0566521901891157</v>
      </c>
      <c r="BD180" s="173">
        <f t="shared" si="441"/>
        <v>3.8245328323437682</v>
      </c>
      <c r="BE180" s="173">
        <f t="shared" si="437"/>
        <v>3.3230645137949595</v>
      </c>
      <c r="BG180" s="528">
        <f t="shared" si="479"/>
        <v>0.17552461662810534</v>
      </c>
      <c r="BH180" s="528">
        <f t="shared" si="524"/>
        <v>1.9780444092075218</v>
      </c>
      <c r="BI180" s="528">
        <f t="shared" si="480"/>
        <v>2.9999807942815954E-2</v>
      </c>
      <c r="BJ180" s="528">
        <f t="shared" si="481"/>
        <v>0.28799705330017189</v>
      </c>
      <c r="BK180">
        <f t="shared" si="482"/>
        <v>8.4970623621573906E-3</v>
      </c>
      <c r="BL180" s="460">
        <f t="shared" si="587"/>
        <v>38.496870304973342</v>
      </c>
      <c r="BM180" s="528">
        <f t="shared" si="525"/>
        <v>2.5972762184398919</v>
      </c>
      <c r="BN180" s="460">
        <f t="shared" si="526"/>
        <v>2597.2762184398921</v>
      </c>
      <c r="BO180" s="528">
        <f t="shared" si="483"/>
        <v>1.2249999999999999</v>
      </c>
      <c r="BR180" s="460">
        <f t="shared" si="484"/>
        <v>1224.9999999999998</v>
      </c>
      <c r="BS180" s="528">
        <f t="shared" si="485"/>
        <v>0.20477871939945624</v>
      </c>
      <c r="BT180" s="528">
        <f t="shared" si="486"/>
        <v>0.15459860867980663</v>
      </c>
      <c r="BU180" s="528">
        <f t="shared" si="487"/>
        <v>12.537226083392316</v>
      </c>
      <c r="BV180" s="528"/>
      <c r="BW180" s="528">
        <f t="shared" si="488"/>
        <v>2.008928724480791</v>
      </c>
      <c r="BX180" s="460">
        <f t="shared" si="489"/>
        <v>14905.53213595237</v>
      </c>
      <c r="BY180" s="173">
        <f t="shared" si="490"/>
        <v>18.610595085393143</v>
      </c>
      <c r="BZ180" s="5">
        <f t="shared" si="491"/>
        <v>49</v>
      </c>
      <c r="CA180" s="173">
        <f t="shared" si="492"/>
        <v>0.72473848127075802</v>
      </c>
      <c r="CB180" s="5">
        <f t="shared" si="493"/>
        <v>72.473848127075797</v>
      </c>
      <c r="CE180" s="562">
        <f t="shared" si="527"/>
        <v>-50</v>
      </c>
      <c r="CF180">
        <f t="shared" si="528"/>
        <v>-50</v>
      </c>
      <c r="CG180" s="173">
        <f t="shared" si="529"/>
        <v>0.38677585238834045</v>
      </c>
      <c r="CI180" s="170">
        <v>70</v>
      </c>
      <c r="CJ180" s="217">
        <f t="shared" si="588"/>
        <v>1.75</v>
      </c>
      <c r="CK180" s="217"/>
      <c r="CL180" s="217">
        <f t="shared" si="530"/>
        <v>49</v>
      </c>
      <c r="CM180" s="541">
        <f t="shared" si="531"/>
        <v>19</v>
      </c>
      <c r="CN180" s="443">
        <f t="shared" si="532"/>
        <v>28.4</v>
      </c>
      <c r="CO180" s="443">
        <f t="shared" si="533"/>
        <v>47.4</v>
      </c>
      <c r="CP180" s="443"/>
      <c r="CQ180" s="217">
        <f t="shared" si="534"/>
        <v>0.59915611814345993</v>
      </c>
      <c r="CR180" s="172">
        <f t="shared" si="589"/>
        <v>95.556689708830859</v>
      </c>
      <c r="CS180" s="172">
        <f t="shared" si="535"/>
        <v>49</v>
      </c>
      <c r="CT180" s="217">
        <f t="shared" si="536"/>
        <v>3.4127389181725305</v>
      </c>
      <c r="CU180" s="217">
        <f t="shared" si="537"/>
        <v>28</v>
      </c>
      <c r="CV180" s="217"/>
      <c r="CW180" s="172">
        <f t="shared" si="538"/>
        <v>71.581772760545746</v>
      </c>
      <c r="CX180" s="536">
        <f t="shared" si="539"/>
        <v>28</v>
      </c>
      <c r="CY180" s="217">
        <f t="shared" si="540"/>
        <v>8.6085989621942165</v>
      </c>
      <c r="CZ180" s="217">
        <f t="shared" si="541"/>
        <v>2.1294955327533063</v>
      </c>
      <c r="DA180" s="217">
        <f t="shared" si="542"/>
        <v>1.4246625043067895</v>
      </c>
      <c r="DB180" s="197">
        <f t="shared" si="543"/>
        <v>350</v>
      </c>
      <c r="DC180" s="443">
        <f t="shared" si="544"/>
        <v>281.36058936399274</v>
      </c>
      <c r="DE180" s="217">
        <f t="shared" si="545"/>
        <v>6.9203442217177731</v>
      </c>
      <c r="DF180" s="173">
        <f t="shared" si="546"/>
        <v>1.1452682338758289</v>
      </c>
      <c r="DG180" s="173">
        <f t="shared" si="547"/>
        <v>1.3869888208084145</v>
      </c>
      <c r="DH180" s="173"/>
      <c r="DI180" s="173">
        <f t="shared" si="548"/>
        <v>0.55164319248826299</v>
      </c>
      <c r="DJ180" s="545">
        <f t="shared" si="549"/>
        <v>1903.4042553191487</v>
      </c>
      <c r="DK180" s="528">
        <f t="shared" si="550"/>
        <v>0.3217918622848201</v>
      </c>
      <c r="DM180" s="173">
        <f t="shared" si="551"/>
        <v>7.7733861292807021</v>
      </c>
      <c r="DN180" s="173">
        <f t="shared" si="552"/>
        <v>8.6085989621942165</v>
      </c>
      <c r="DO180" s="173">
        <f t="shared" si="553"/>
        <v>5.1076041695265797</v>
      </c>
      <c r="DQ180" s="545">
        <f t="shared" si="554"/>
        <v>1750</v>
      </c>
      <c r="DR180" s="460">
        <f t="shared" si="555"/>
        <v>281.36058936399274</v>
      </c>
      <c r="DT180">
        <f t="shared" si="590"/>
        <v>1750</v>
      </c>
      <c r="DU180">
        <f t="shared" si="591"/>
        <v>281.36058936399274</v>
      </c>
      <c r="DW180" s="5">
        <f t="shared" si="556"/>
        <v>3.5541580370600956</v>
      </c>
      <c r="DX180" s="5">
        <f t="shared" si="557"/>
        <v>2.1294955327533063</v>
      </c>
      <c r="DY180" s="5">
        <f t="shared" si="558"/>
        <v>1.4246625043067893</v>
      </c>
      <c r="DZ180" s="5"/>
      <c r="EA180" s="173">
        <f t="shared" si="559"/>
        <v>0.59915611814345993</v>
      </c>
      <c r="EB180" s="173">
        <f t="shared" si="560"/>
        <v>48.999999999999993</v>
      </c>
      <c r="EC180" s="173">
        <f t="shared" si="561"/>
        <v>1.725352112676056</v>
      </c>
      <c r="ED180" s="173">
        <f t="shared" si="562"/>
        <v>28.400000000000002</v>
      </c>
      <c r="EE180" s="460">
        <f t="shared" si="563"/>
        <v>13.309347079708164</v>
      </c>
      <c r="EF180" s="5">
        <f t="shared" si="564"/>
        <v>2.6243782974072434</v>
      </c>
      <c r="EH180" s="173">
        <f t="shared" si="565"/>
        <v>3.8471741698154656</v>
      </c>
      <c r="EI180" s="173">
        <f t="shared" si="566"/>
        <v>3.1467299859380682</v>
      </c>
      <c r="EK180" s="528">
        <f t="shared" si="567"/>
        <v>0.17760898911474379</v>
      </c>
      <c r="EL180" s="528">
        <f t="shared" si="568"/>
        <v>2.1813617021276599</v>
      </c>
      <c r="EM180" s="528">
        <f t="shared" si="569"/>
        <v>3.2356467776859174E-2</v>
      </c>
      <c r="EN180" s="528">
        <f t="shared" si="570"/>
        <v>0.31133373599652631</v>
      </c>
      <c r="EO180">
        <f t="shared" si="571"/>
        <v>8.5500000000000003E-3</v>
      </c>
      <c r="EP180" s="460">
        <f t="shared" si="572"/>
        <v>40.906467776859174</v>
      </c>
      <c r="EQ180" s="460"/>
      <c r="ER180" s="460">
        <f t="shared" si="592"/>
        <v>2711.210895015789</v>
      </c>
      <c r="ES180" s="528">
        <f t="shared" si="573"/>
        <v>1.2249999999999999</v>
      </c>
      <c r="EV180" s="460">
        <f t="shared" si="494"/>
        <v>1224.9999999999998</v>
      </c>
      <c r="EW180" s="528">
        <f t="shared" si="574"/>
        <v>0.20721048730053443</v>
      </c>
      <c r="EX180" s="528">
        <f t="shared" si="575"/>
        <v>0.13862673446162513</v>
      </c>
      <c r="EY180" s="528">
        <f t="shared" si="576"/>
        <v>14.436414989686986</v>
      </c>
      <c r="EZ180" s="528"/>
      <c r="FA180" s="528">
        <f t="shared" si="577"/>
        <v>2.0851063829787235</v>
      </c>
      <c r="FB180" s="460">
        <f t="shared" si="578"/>
        <v>16867.358594427871</v>
      </c>
      <c r="FC180" s="173">
        <f t="shared" si="579"/>
        <v>20.803569489443657</v>
      </c>
      <c r="FD180" s="5">
        <f t="shared" si="580"/>
        <v>49</v>
      </c>
      <c r="FE180" s="173">
        <f t="shared" si="581"/>
        <v>0.70196983275203761</v>
      </c>
      <c r="FF180" s="5">
        <f t="shared" si="582"/>
        <v>70.196983275203763</v>
      </c>
      <c r="FI180" s="562">
        <f t="shared" si="583"/>
        <v>-50</v>
      </c>
      <c r="FJ180">
        <f t="shared" si="584"/>
        <v>-50</v>
      </c>
      <c r="FL180">
        <f t="shared" si="585"/>
        <v>0.40084388185654007</v>
      </c>
    </row>
    <row r="181" spans="5:168">
      <c r="E181" s="170">
        <v>71</v>
      </c>
      <c r="F181" s="217">
        <f t="shared" si="586"/>
        <v>1.7749999999999999</v>
      </c>
      <c r="G181" s="217"/>
      <c r="H181" s="217">
        <f t="shared" si="495"/>
        <v>49.699999999999996</v>
      </c>
      <c r="I181" s="541">
        <f t="shared" si="496"/>
        <v>18.880741339838139</v>
      </c>
      <c r="J181" s="172">
        <f t="shared" si="497"/>
        <v>28.464216201625618</v>
      </c>
      <c r="K181" s="172">
        <f t="shared" si="498"/>
        <v>47.344957541463756</v>
      </c>
      <c r="L181" s="443"/>
      <c r="M181" s="217">
        <f t="shared" si="499"/>
        <v>0.60119031736659345</v>
      </c>
      <c r="N181" s="172">
        <f t="shared" si="500"/>
        <v>95.279291051844012</v>
      </c>
      <c r="O181" s="172">
        <f t="shared" si="438"/>
        <v>49.699999999999996</v>
      </c>
      <c r="P181" s="217">
        <f t="shared" si="501"/>
        <v>3.4028318232801431</v>
      </c>
      <c r="Q181" s="217">
        <f t="shared" si="502"/>
        <v>28</v>
      </c>
      <c r="R181" s="217"/>
      <c r="S181" s="172">
        <f t="shared" si="503"/>
        <v>69.868714150695467</v>
      </c>
      <c r="T181" s="536">
        <f t="shared" si="504"/>
        <v>28</v>
      </c>
      <c r="U181" s="217">
        <f t="shared" si="505"/>
        <v>8.90148899234031</v>
      </c>
      <c r="V181" s="217">
        <f t="shared" si="506"/>
        <v>2.2158556971343009</v>
      </c>
      <c r="W181" s="217">
        <f t="shared" si="507"/>
        <v>1.4698103038442389</v>
      </c>
      <c r="X181" s="197">
        <f t="shared" si="508"/>
        <v>350</v>
      </c>
      <c r="Y181" s="443">
        <f t="shared" si="509"/>
        <v>257.35613914015426</v>
      </c>
      <c r="AA181" s="217">
        <f t="shared" si="510"/>
        <v>6.9004694634968287</v>
      </c>
      <c r="AB181" s="173">
        <f t="shared" si="511"/>
        <v>1.1394027591942917</v>
      </c>
      <c r="AC181" s="173">
        <f t="shared" si="512"/>
        <v>1.3759224406277422</v>
      </c>
      <c r="AD181" s="173"/>
      <c r="AE181" s="173">
        <f t="shared" si="513"/>
        <v>0.55039866742481847</v>
      </c>
      <c r="AF181" s="545">
        <f t="shared" si="514"/>
        <v>1934.9610800892306</v>
      </c>
      <c r="AG181" s="528">
        <f t="shared" si="515"/>
        <v>0.32106588933114416</v>
      </c>
      <c r="AI181" s="173">
        <f t="shared" si="516"/>
        <v>7.8375593060498492</v>
      </c>
      <c r="AJ181" s="173">
        <f t="shared" si="517"/>
        <v>8.90148899234031</v>
      </c>
      <c r="AK181" s="173">
        <f t="shared" si="518"/>
        <v>5.3245597474125752</v>
      </c>
      <c r="AM181" s="545">
        <f t="shared" si="519"/>
        <v>1775</v>
      </c>
      <c r="AN181" s="460">
        <f t="shared" si="520"/>
        <v>257.35613914015426</v>
      </c>
      <c r="AP181">
        <f t="shared" si="521"/>
        <v>1775</v>
      </c>
      <c r="AQ181">
        <f t="shared" si="522"/>
        <v>257.35613914015426</v>
      </c>
      <c r="AS181" s="5">
        <f t="shared" si="439"/>
        <v>3.8856660009785404</v>
      </c>
      <c r="AT181" s="5">
        <f t="shared" si="523"/>
        <v>2.2158556971343009</v>
      </c>
      <c r="AU181" s="5">
        <f t="shared" si="477"/>
        <v>1.6698103038442396</v>
      </c>
      <c r="AV181" s="5"/>
      <c r="AW181" s="173">
        <f t="shared" si="478"/>
        <v>0.57026406710619859</v>
      </c>
      <c r="AX181" s="173">
        <f t="shared" si="435"/>
        <v>47.921203138119196</v>
      </c>
      <c r="AY181" s="173">
        <f t="shared" si="436"/>
        <v>1.9126448381336336</v>
      </c>
      <c r="AZ181" s="173">
        <f t="shared" si="440"/>
        <v>25.054940772423226</v>
      </c>
      <c r="BA181" s="460">
        <f t="shared" ref="BA181:BA244" si="593">F181*AT181/Vout_ripple*1000</f>
        <v>14.046942365762085</v>
      </c>
      <c r="BB181" s="5">
        <f t="shared" ref="BB181:BB244" si="594">H181/Efficiency/I181*AU181/Vinripple1</f>
        <v>3.1396153741799351</v>
      </c>
      <c r="BD181" s="173">
        <f t="shared" si="441"/>
        <v>3.8809677631122543</v>
      </c>
      <c r="BE181" s="173">
        <f t="shared" si="437"/>
        <v>3.3690143932514403</v>
      </c>
      <c r="BG181" s="528">
        <f t="shared" si="479"/>
        <v>0.18074292933979844</v>
      </c>
      <c r="BH181" s="528">
        <f t="shared" si="524"/>
        <v>1.9794010303071539</v>
      </c>
      <c r="BI181" s="528">
        <f t="shared" si="480"/>
        <v>2.9595956001117744E-2</v>
      </c>
      <c r="BJ181" s="528">
        <f t="shared" si="481"/>
        <v>0.28411111878606299</v>
      </c>
      <c r="BK181">
        <f t="shared" si="482"/>
        <v>8.4963336029271613E-3</v>
      </c>
      <c r="BL181" s="460">
        <f t="shared" si="587"/>
        <v>38.092289604044907</v>
      </c>
      <c r="BM181" s="528">
        <f t="shared" si="525"/>
        <v>2.6049228299531495</v>
      </c>
      <c r="BN181" s="460">
        <f t="shared" si="526"/>
        <v>2604.9228299531496</v>
      </c>
      <c r="BO181" s="528">
        <f t="shared" si="483"/>
        <v>1.2424999999999999</v>
      </c>
      <c r="BR181" s="460">
        <f t="shared" si="484"/>
        <v>1242.5</v>
      </c>
      <c r="BS181" s="528">
        <f t="shared" si="485"/>
        <v>0.2108667508964315</v>
      </c>
      <c r="BT181" s="528">
        <f t="shared" si="486"/>
        <v>0.15890361174709516</v>
      </c>
      <c r="BU181" s="528">
        <f t="shared" si="487"/>
        <v>12.559229130511218</v>
      </c>
      <c r="BV181" s="528"/>
      <c r="BW181" s="528">
        <f t="shared" si="488"/>
        <v>2.0392001335369874</v>
      </c>
      <c r="BX181" s="460">
        <f t="shared" si="489"/>
        <v>14968.199626691732</v>
      </c>
      <c r="BY181" s="173">
        <f t="shared" si="490"/>
        <v>18.693046994728792</v>
      </c>
      <c r="BZ181" s="5">
        <f t="shared" si="491"/>
        <v>49.699999999999996</v>
      </c>
      <c r="CA181" s="173">
        <f t="shared" si="492"/>
        <v>0.72668205590884827</v>
      </c>
      <c r="CB181" s="5">
        <f t="shared" si="493"/>
        <v>72.668205590884824</v>
      </c>
      <c r="CE181" s="562">
        <f t="shared" si="527"/>
        <v>-50</v>
      </c>
      <c r="CF181">
        <f t="shared" si="528"/>
        <v>-50</v>
      </c>
      <c r="CG181" s="173">
        <f t="shared" si="529"/>
        <v>0.38697399364845592</v>
      </c>
      <c r="CI181" s="170">
        <v>71</v>
      </c>
      <c r="CJ181" s="217">
        <f t="shared" si="588"/>
        <v>1.7749999999999999</v>
      </c>
      <c r="CK181" s="217"/>
      <c r="CL181" s="217">
        <f t="shared" si="530"/>
        <v>49.699999999999996</v>
      </c>
      <c r="CM181" s="541">
        <f t="shared" si="531"/>
        <v>19</v>
      </c>
      <c r="CN181" s="443">
        <f t="shared" si="532"/>
        <v>28.4</v>
      </c>
      <c r="CO181" s="443">
        <f t="shared" si="533"/>
        <v>47.4</v>
      </c>
      <c r="CP181" s="443"/>
      <c r="CQ181" s="217">
        <f t="shared" si="534"/>
        <v>0.59915611814345993</v>
      </c>
      <c r="CR181" s="172">
        <f t="shared" si="589"/>
        <v>95.556689708830859</v>
      </c>
      <c r="CS181" s="172">
        <f t="shared" si="535"/>
        <v>49.699999999999996</v>
      </c>
      <c r="CT181" s="217">
        <f t="shared" si="536"/>
        <v>3.4127389181725305</v>
      </c>
      <c r="CU181" s="217">
        <f t="shared" si="537"/>
        <v>28</v>
      </c>
      <c r="CV181" s="217"/>
      <c r="CW181" s="172">
        <f t="shared" si="538"/>
        <v>70.309360168334493</v>
      </c>
      <c r="CX181" s="536">
        <f t="shared" si="539"/>
        <v>28</v>
      </c>
      <c r="CY181" s="217">
        <f t="shared" si="540"/>
        <v>8.7315789473684191</v>
      </c>
      <c r="CZ181" s="217">
        <f t="shared" si="541"/>
        <v>2.1599168975069247</v>
      </c>
      <c r="DA181" s="217">
        <f t="shared" si="542"/>
        <v>1.4450148257968864</v>
      </c>
      <c r="DB181" s="197">
        <f t="shared" si="543"/>
        <v>350</v>
      </c>
      <c r="DC181" s="443">
        <f t="shared" si="544"/>
        <v>277.39776416168297</v>
      </c>
      <c r="DE181" s="217">
        <f t="shared" si="545"/>
        <v>6.9203442217177731</v>
      </c>
      <c r="DF181" s="173">
        <f t="shared" si="546"/>
        <v>1.1452682338758289</v>
      </c>
      <c r="DG181" s="173">
        <f t="shared" si="547"/>
        <v>1.3869888208084145</v>
      </c>
      <c r="DH181" s="173"/>
      <c r="DI181" s="173">
        <f t="shared" si="548"/>
        <v>0.55164319248826299</v>
      </c>
      <c r="DJ181" s="545">
        <f t="shared" si="549"/>
        <v>1930.5957446808507</v>
      </c>
      <c r="DK181" s="528">
        <f t="shared" si="550"/>
        <v>0.3217918622848201</v>
      </c>
      <c r="DM181" s="173">
        <f t="shared" si="551"/>
        <v>7.8287134191635914</v>
      </c>
      <c r="DN181" s="173">
        <f t="shared" si="552"/>
        <v>8.7315789473684191</v>
      </c>
      <c r="DO181" s="173">
        <f t="shared" si="553"/>
        <v>5.1987004548408038</v>
      </c>
      <c r="DQ181" s="545">
        <f t="shared" si="554"/>
        <v>1775</v>
      </c>
      <c r="DR181" s="460">
        <f t="shared" si="555"/>
        <v>277.39776416168297</v>
      </c>
      <c r="DT181">
        <f t="shared" si="590"/>
        <v>1775</v>
      </c>
      <c r="DU181">
        <f t="shared" si="591"/>
        <v>277.39776416168297</v>
      </c>
      <c r="DW181" s="5">
        <f t="shared" si="556"/>
        <v>3.6049317233038112</v>
      </c>
      <c r="DX181" s="5">
        <f t="shared" si="557"/>
        <v>2.1599168975069247</v>
      </c>
      <c r="DY181" s="5">
        <f t="shared" si="558"/>
        <v>1.4450148257968864</v>
      </c>
      <c r="DZ181" s="5"/>
      <c r="EA181" s="173">
        <f t="shared" si="559"/>
        <v>0.59915611814345993</v>
      </c>
      <c r="EB181" s="173">
        <f t="shared" si="560"/>
        <v>49.699999999999982</v>
      </c>
      <c r="EC181" s="173">
        <f t="shared" si="561"/>
        <v>1.7499999999999996</v>
      </c>
      <c r="ED181" s="173">
        <f t="shared" si="562"/>
        <v>28.399999999999995</v>
      </c>
      <c r="EE181" s="460">
        <f t="shared" si="563"/>
        <v>13.692330332409968</v>
      </c>
      <c r="EF181" s="5">
        <f t="shared" si="564"/>
        <v>2.6998961218836559</v>
      </c>
      <c r="EH181" s="173">
        <f t="shared" si="565"/>
        <v>3.902133800812829</v>
      </c>
      <c r="EI181" s="173">
        <f t="shared" si="566"/>
        <v>3.1916832714514691</v>
      </c>
      <c r="EK181" s="528">
        <f t="shared" si="567"/>
        <v>0.18271977839335171</v>
      </c>
      <c r="EL181" s="528">
        <f t="shared" si="568"/>
        <v>2.1813617021276595</v>
      </c>
      <c r="EM181" s="528">
        <f t="shared" si="569"/>
        <v>3.1900742878593541E-2</v>
      </c>
      <c r="EN181" s="528">
        <f t="shared" si="570"/>
        <v>0.30694875379939213</v>
      </c>
      <c r="EO181">
        <f t="shared" si="571"/>
        <v>8.5500000000000003E-3</v>
      </c>
      <c r="EP181" s="460">
        <f t="shared" si="572"/>
        <v>40.450742878593545</v>
      </c>
      <c r="EQ181" s="460"/>
      <c r="ER181" s="460">
        <f t="shared" si="592"/>
        <v>2711.4809771989967</v>
      </c>
      <c r="ES181" s="528">
        <f t="shared" si="573"/>
        <v>1.2424999999999999</v>
      </c>
      <c r="EV181" s="460">
        <f t="shared" si="494"/>
        <v>1242.5</v>
      </c>
      <c r="EW181" s="528">
        <f t="shared" si="574"/>
        <v>0.21317307479224365</v>
      </c>
      <c r="EX181" s="528">
        <f t="shared" si="575"/>
        <v>0.14261578947368414</v>
      </c>
      <c r="EY181" s="528">
        <f t="shared" si="576"/>
        <v>14.436414989686986</v>
      </c>
      <c r="EZ181" s="528"/>
      <c r="FA181" s="528">
        <f t="shared" si="577"/>
        <v>2.1148936170212762</v>
      </c>
      <c r="FB181" s="460">
        <f t="shared" si="578"/>
        <v>16907.097470974189</v>
      </c>
      <c r="FC181" s="173">
        <f t="shared" si="579"/>
        <v>20.861078448173188</v>
      </c>
      <c r="FD181" s="5">
        <f t="shared" si="580"/>
        <v>49.699999999999996</v>
      </c>
      <c r="FE181" s="173">
        <f t="shared" si="581"/>
        <v>0.70435431392257464</v>
      </c>
      <c r="FF181" s="5">
        <f t="shared" si="582"/>
        <v>70.43543139225747</v>
      </c>
      <c r="FI181" s="562">
        <f t="shared" si="583"/>
        <v>-50</v>
      </c>
      <c r="FJ181">
        <f t="shared" si="584"/>
        <v>-50</v>
      </c>
      <c r="FL181">
        <f t="shared" si="585"/>
        <v>0.40084388185654007</v>
      </c>
    </row>
    <row r="182" spans="5:168">
      <c r="E182" s="170">
        <v>72</v>
      </c>
      <c r="F182" s="217">
        <f t="shared" si="586"/>
        <v>1.7999999999999998</v>
      </c>
      <c r="G182" s="217"/>
      <c r="H182" s="217">
        <f t="shared" si="495"/>
        <v>50.399999999999991</v>
      </c>
      <c r="I182" s="541">
        <f t="shared" si="496"/>
        <v>18.879121814085646</v>
      </c>
      <c r="J182" s="172">
        <f t="shared" si="497"/>
        <v>28.46508825395388</v>
      </c>
      <c r="K182" s="172">
        <f t="shared" si="498"/>
        <v>47.34421006803953</v>
      </c>
      <c r="L182" s="443"/>
      <c r="M182" s="217">
        <f t="shared" si="499"/>
        <v>0.60121823902867066</v>
      </c>
      <c r="N182" s="172">
        <f t="shared" si="500"/>
        <v>95.275543086922582</v>
      </c>
      <c r="O182" s="172">
        <f t="shared" si="438"/>
        <v>50.399999999999991</v>
      </c>
      <c r="P182" s="217">
        <f t="shared" si="501"/>
        <v>3.4026979673900923</v>
      </c>
      <c r="Q182" s="217">
        <f t="shared" si="502"/>
        <v>28</v>
      </c>
      <c r="R182" s="217"/>
      <c r="S182" s="172">
        <f t="shared" si="503"/>
        <v>68.633610816462166</v>
      </c>
      <c r="T182" s="536">
        <f t="shared" si="504"/>
        <v>28</v>
      </c>
      <c r="U182" s="217">
        <f t="shared" si="505"/>
        <v>9.0274941141523861</v>
      </c>
      <c r="V182" s="217">
        <f t="shared" si="506"/>
        <v>2.2474150415651177</v>
      </c>
      <c r="W182" s="217">
        <f t="shared" si="507"/>
        <v>1.4905705528814819</v>
      </c>
      <c r="X182" s="197">
        <f t="shared" si="508"/>
        <v>350</v>
      </c>
      <c r="Y182" s="443">
        <f t="shared" si="509"/>
        <v>253.93693704979864</v>
      </c>
      <c r="AA182" s="217">
        <f t="shared" si="510"/>
        <v>6.9001978938787873</v>
      </c>
      <c r="AB182" s="173">
        <f t="shared" si="511"/>
        <v>1.139323012523088</v>
      </c>
      <c r="AC182" s="173">
        <f t="shared" si="512"/>
        <v>1.3757719940054032</v>
      </c>
      <c r="AD182" s="173"/>
      <c r="AE182" s="173">
        <f t="shared" si="513"/>
        <v>0.55038180549081994</v>
      </c>
      <c r="AF182" s="545">
        <f t="shared" si="514"/>
        <v>1962.2741689959691</v>
      </c>
      <c r="AG182" s="528">
        <f t="shared" si="515"/>
        <v>0.32105605320297831</v>
      </c>
      <c r="AI182" s="173">
        <f t="shared" si="516"/>
        <v>7.8926812974656535</v>
      </c>
      <c r="AJ182" s="173">
        <f t="shared" si="517"/>
        <v>9.0274941141523861</v>
      </c>
      <c r="AK182" s="173">
        <f t="shared" si="518"/>
        <v>5.4178968746807792</v>
      </c>
      <c r="AM182" s="545">
        <f t="shared" si="519"/>
        <v>1799.9999999999998</v>
      </c>
      <c r="AN182" s="460">
        <f t="shared" si="520"/>
        <v>253.93693704979864</v>
      </c>
      <c r="AP182">
        <f t="shared" si="521"/>
        <v>1799.9999999999998</v>
      </c>
      <c r="AQ182">
        <f t="shared" si="522"/>
        <v>253.93693704979864</v>
      </c>
      <c r="AS182" s="5">
        <f t="shared" si="439"/>
        <v>3.9379855944465993</v>
      </c>
      <c r="AT182" s="5">
        <f t="shared" si="523"/>
        <v>2.2474150415651177</v>
      </c>
      <c r="AU182" s="5">
        <f t="shared" si="477"/>
        <v>1.6905705528814816</v>
      </c>
      <c r="AV182" s="5"/>
      <c r="AW182" s="173">
        <f t="shared" si="478"/>
        <v>0.57070169193469189</v>
      </c>
      <c r="AX182" s="173">
        <f t="shared" si="435"/>
        <v>48.632675986818811</v>
      </c>
      <c r="AY182" s="173">
        <f t="shared" si="436"/>
        <v>1.9377439746375733</v>
      </c>
      <c r="AZ182" s="173">
        <f t="shared" si="440"/>
        <v>25.097575646398198</v>
      </c>
      <c r="BA182" s="460">
        <f t="shared" si="593"/>
        <v>14.447668124347183</v>
      </c>
      <c r="BB182" s="5">
        <f t="shared" si="594"/>
        <v>3.2236954929929782</v>
      </c>
      <c r="BD182" s="173">
        <f t="shared" si="441"/>
        <v>3.9374147749297839</v>
      </c>
      <c r="BE182" s="173">
        <f t="shared" si="437"/>
        <v>3.4149643556729297</v>
      </c>
      <c r="BG182" s="528">
        <f t="shared" si="479"/>
        <v>0.18603882131802432</v>
      </c>
      <c r="BH182" s="528">
        <f t="shared" si="524"/>
        <v>1.9807188488813694</v>
      </c>
      <c r="BI182" s="528">
        <f t="shared" si="480"/>
        <v>2.9202747760726844E-2</v>
      </c>
      <c r="BJ182" s="528">
        <f t="shared" si="481"/>
        <v>0.28032760158844905</v>
      </c>
      <c r="BK182">
        <f t="shared" si="482"/>
        <v>8.4956048163385405E-3</v>
      </c>
      <c r="BL182" s="460">
        <f t="shared" si="587"/>
        <v>37.698352577065386</v>
      </c>
      <c r="BM182" s="528">
        <f t="shared" si="525"/>
        <v>2.6128093031742012</v>
      </c>
      <c r="BN182" s="460">
        <f t="shared" si="526"/>
        <v>2612.8093031742014</v>
      </c>
      <c r="BO182" s="528">
        <f t="shared" si="483"/>
        <v>1.2599999999999998</v>
      </c>
      <c r="BR182" s="460">
        <f t="shared" si="484"/>
        <v>1259.9999999999998</v>
      </c>
      <c r="BS182" s="528">
        <f t="shared" si="485"/>
        <v>0.21704529153769506</v>
      </c>
      <c r="BT182" s="528">
        <f t="shared" si="486"/>
        <v>0.16326774170723277</v>
      </c>
      <c r="BU182" s="528">
        <f t="shared" si="487"/>
        <v>12.580639895545522</v>
      </c>
      <c r="BV182" s="528"/>
      <c r="BW182" s="528">
        <f t="shared" si="488"/>
        <v>2.0694755739071837</v>
      </c>
      <c r="BX182" s="460">
        <f t="shared" si="489"/>
        <v>15030.428502697634</v>
      </c>
      <c r="BY182" s="173">
        <f t="shared" si="490"/>
        <v>18.775212127062542</v>
      </c>
      <c r="BZ182" s="5">
        <f t="shared" si="491"/>
        <v>50.399999999999991</v>
      </c>
      <c r="CA182" s="173">
        <f t="shared" si="492"/>
        <v>0.72858468301368084</v>
      </c>
      <c r="CB182" s="5">
        <f t="shared" si="493"/>
        <v>72.858468301368077</v>
      </c>
      <c r="CE182" s="562">
        <f t="shared" si="527"/>
        <v>-50</v>
      </c>
      <c r="CF182">
        <f t="shared" si="528"/>
        <v>-50</v>
      </c>
      <c r="CG182" s="173">
        <f t="shared" si="529"/>
        <v>0.38716663098467918</v>
      </c>
      <c r="CI182" s="170">
        <v>72</v>
      </c>
      <c r="CJ182" s="217">
        <f t="shared" si="588"/>
        <v>1.7999999999999998</v>
      </c>
      <c r="CK182" s="217"/>
      <c r="CL182" s="217">
        <f t="shared" si="530"/>
        <v>50.399999999999991</v>
      </c>
      <c r="CM182" s="541">
        <f t="shared" si="531"/>
        <v>19</v>
      </c>
      <c r="CN182" s="443">
        <f t="shared" si="532"/>
        <v>28.4</v>
      </c>
      <c r="CO182" s="443">
        <f t="shared" si="533"/>
        <v>47.4</v>
      </c>
      <c r="CP182" s="443"/>
      <c r="CQ182" s="217">
        <f t="shared" si="534"/>
        <v>0.59915611814345993</v>
      </c>
      <c r="CR182" s="172">
        <f t="shared" si="589"/>
        <v>95.556689708830859</v>
      </c>
      <c r="CS182" s="172">
        <f t="shared" si="535"/>
        <v>50.399999999999991</v>
      </c>
      <c r="CT182" s="217">
        <f t="shared" si="536"/>
        <v>3.4127389181725305</v>
      </c>
      <c r="CU182" s="217">
        <f t="shared" si="537"/>
        <v>28</v>
      </c>
      <c r="CV182" s="217"/>
      <c r="CW182" s="172">
        <f t="shared" si="538"/>
        <v>69.072358989103279</v>
      </c>
      <c r="CX182" s="536">
        <f t="shared" si="539"/>
        <v>28</v>
      </c>
      <c r="CY182" s="217">
        <f t="shared" si="540"/>
        <v>8.8545589325426217</v>
      </c>
      <c r="CZ182" s="217">
        <f t="shared" si="541"/>
        <v>2.1903382622605432</v>
      </c>
      <c r="DA182" s="217">
        <f t="shared" si="542"/>
        <v>1.4653671472869831</v>
      </c>
      <c r="DB182" s="197">
        <f t="shared" si="543"/>
        <v>350</v>
      </c>
      <c r="DC182" s="443">
        <f t="shared" si="544"/>
        <v>273.54501743721522</v>
      </c>
      <c r="DE182" s="217">
        <f t="shared" si="545"/>
        <v>6.9203442217177731</v>
      </c>
      <c r="DF182" s="173">
        <f t="shared" si="546"/>
        <v>1.1452682338758289</v>
      </c>
      <c r="DG182" s="173">
        <f t="shared" si="547"/>
        <v>1.3869888208084145</v>
      </c>
      <c r="DH182" s="173"/>
      <c r="DI182" s="173">
        <f t="shared" si="548"/>
        <v>0.55164319248826299</v>
      </c>
      <c r="DJ182" s="545">
        <f t="shared" si="549"/>
        <v>1957.7872340425527</v>
      </c>
      <c r="DK182" s="528">
        <f t="shared" si="550"/>
        <v>0.3217918622848201</v>
      </c>
      <c r="DM182" s="173">
        <f t="shared" si="551"/>
        <v>7.8836524329710631</v>
      </c>
      <c r="DN182" s="173">
        <f t="shared" si="552"/>
        <v>8.8545589325426217</v>
      </c>
      <c r="DO182" s="173">
        <f t="shared" si="553"/>
        <v>5.2897967401550279</v>
      </c>
      <c r="DQ182" s="545">
        <f t="shared" si="554"/>
        <v>1799.9999999999998</v>
      </c>
      <c r="DR182" s="460">
        <f t="shared" si="555"/>
        <v>273.54501743721522</v>
      </c>
      <c r="DT182">
        <f t="shared" si="590"/>
        <v>1799.9999999999998</v>
      </c>
      <c r="DU182">
        <f t="shared" si="591"/>
        <v>273.54501743721522</v>
      </c>
      <c r="DW182" s="5">
        <f t="shared" si="556"/>
        <v>3.6557054095475259</v>
      </c>
      <c r="DX182" s="5">
        <f t="shared" si="557"/>
        <v>2.1903382622605432</v>
      </c>
      <c r="DY182" s="5">
        <f t="shared" si="558"/>
        <v>1.4653671472869827</v>
      </c>
      <c r="DZ182" s="5"/>
      <c r="EA182" s="173">
        <f t="shared" si="559"/>
        <v>0.59915611814346004</v>
      </c>
      <c r="EB182" s="173">
        <f t="shared" si="560"/>
        <v>50.399999999999984</v>
      </c>
      <c r="EC182" s="173">
        <f t="shared" si="561"/>
        <v>1.7746478873239426</v>
      </c>
      <c r="ED182" s="173">
        <f t="shared" si="562"/>
        <v>28.400000000000009</v>
      </c>
      <c r="EE182" s="460">
        <f t="shared" si="563"/>
        <v>14.08074597167492</v>
      </c>
      <c r="EF182" s="5">
        <f t="shared" si="564"/>
        <v>2.7764851211753347</v>
      </c>
      <c r="EH182" s="173">
        <f t="shared" si="565"/>
        <v>3.9570934318101934</v>
      </c>
      <c r="EI182" s="173">
        <f t="shared" si="566"/>
        <v>3.2366365569648696</v>
      </c>
      <c r="EK182" s="528">
        <f t="shared" si="567"/>
        <v>0.1879030611369045</v>
      </c>
      <c r="EL182" s="528">
        <f t="shared" si="568"/>
        <v>2.1813617021276599</v>
      </c>
      <c r="EM182" s="528">
        <f t="shared" si="569"/>
        <v>3.1457677005279752E-2</v>
      </c>
      <c r="EN182" s="528">
        <f t="shared" si="570"/>
        <v>0.30268557666328949</v>
      </c>
      <c r="EO182">
        <f t="shared" si="571"/>
        <v>8.5500000000000003E-3</v>
      </c>
      <c r="EP182" s="460">
        <f t="shared" si="572"/>
        <v>40.007677005279753</v>
      </c>
      <c r="EQ182" s="460"/>
      <c r="ER182" s="460">
        <f t="shared" si="592"/>
        <v>2711.9580169331339</v>
      </c>
      <c r="ES182" s="528">
        <f t="shared" si="573"/>
        <v>1.2599999999999998</v>
      </c>
      <c r="EV182" s="460">
        <f t="shared" si="494"/>
        <v>1259.9999999999998</v>
      </c>
      <c r="EW182" s="528">
        <f t="shared" si="574"/>
        <v>0.21922023799305523</v>
      </c>
      <c r="EX182" s="528">
        <f t="shared" si="575"/>
        <v>0.14666142682633967</v>
      </c>
      <c r="EY182" s="528">
        <f t="shared" si="576"/>
        <v>14.436414989686998</v>
      </c>
      <c r="EZ182" s="528"/>
      <c r="FA182" s="528">
        <f t="shared" si="577"/>
        <v>2.1446808510638298</v>
      </c>
      <c r="FB182" s="460">
        <f t="shared" si="578"/>
        <v>16946.977505570219</v>
      </c>
      <c r="FC182" s="173">
        <f t="shared" si="579"/>
        <v>20.918935522503354</v>
      </c>
      <c r="FD182" s="5">
        <f t="shared" si="580"/>
        <v>50.399999999999991</v>
      </c>
      <c r="FE182" s="173">
        <f t="shared" si="581"/>
        <v>0.70668469223152131</v>
      </c>
      <c r="FF182" s="5">
        <f t="shared" si="582"/>
        <v>70.66846922315213</v>
      </c>
      <c r="FI182" s="562">
        <f t="shared" si="583"/>
        <v>-50</v>
      </c>
      <c r="FJ182">
        <f t="shared" si="584"/>
        <v>-50</v>
      </c>
      <c r="FL182">
        <f t="shared" si="585"/>
        <v>0.40084388185653996</v>
      </c>
    </row>
    <row r="183" spans="5:168">
      <c r="E183" s="170">
        <v>73</v>
      </c>
      <c r="F183" s="217">
        <f t="shared" si="586"/>
        <v>1.825</v>
      </c>
      <c r="G183" s="217"/>
      <c r="H183" s="217">
        <f t="shared" si="495"/>
        <v>51.1</v>
      </c>
      <c r="I183" s="541">
        <f t="shared" si="496"/>
        <v>18.877502230122225</v>
      </c>
      <c r="J183" s="172">
        <f t="shared" si="497"/>
        <v>28.465960337626491</v>
      </c>
      <c r="K183" s="172">
        <f t="shared" si="498"/>
        <v>47.343462567748716</v>
      </c>
      <c r="L183" s="443"/>
      <c r="M183" s="217">
        <f t="shared" si="499"/>
        <v>0.60124616231045092</v>
      </c>
      <c r="N183" s="172">
        <f t="shared" si="500"/>
        <v>95.271794325725068</v>
      </c>
      <c r="O183" s="172">
        <f t="shared" si="438"/>
        <v>51.1</v>
      </c>
      <c r="P183" s="217">
        <f t="shared" si="501"/>
        <v>3.4025640830616095</v>
      </c>
      <c r="Q183" s="217">
        <f t="shared" si="502"/>
        <v>28</v>
      </c>
      <c r="R183" s="217"/>
      <c r="S183" s="172">
        <f t="shared" si="503"/>
        <v>67.432456495479556</v>
      </c>
      <c r="T183" s="536">
        <f t="shared" si="504"/>
        <v>28</v>
      </c>
      <c r="U183" s="217">
        <f t="shared" si="505"/>
        <v>9.1535169194828345</v>
      </c>
      <c r="V183" s="217">
        <f t="shared" si="506"/>
        <v>2.2789842107882921</v>
      </c>
      <c r="W183" s="217">
        <f t="shared" si="507"/>
        <v>1.5113324479941463</v>
      </c>
      <c r="X183" s="197">
        <f t="shared" si="508"/>
        <v>350</v>
      </c>
      <c r="Y183" s="443">
        <f t="shared" si="509"/>
        <v>250.60667749238957</v>
      </c>
      <c r="AA183" s="217">
        <f t="shared" si="510"/>
        <v>6.899926269653089</v>
      </c>
      <c r="AB183" s="173">
        <f t="shared" si="511"/>
        <v>1.1392432604672673</v>
      </c>
      <c r="AC183" s="173">
        <f t="shared" si="512"/>
        <v>1.3756215375740835</v>
      </c>
      <c r="AD183" s="173"/>
      <c r="AE183" s="173">
        <f t="shared" si="513"/>
        <v>0.5503649439839331</v>
      </c>
      <c r="AF183" s="545">
        <f t="shared" si="514"/>
        <v>1989.5889299809155</v>
      </c>
      <c r="AG183" s="528">
        <f t="shared" si="515"/>
        <v>0.32104621732396099</v>
      </c>
      <c r="AI183" s="173">
        <f t="shared" si="516"/>
        <v>7.9474243206668831</v>
      </c>
      <c r="AJ183" s="173">
        <f t="shared" si="517"/>
        <v>9.1535169194828345</v>
      </c>
      <c r="AK183" s="173">
        <f t="shared" si="518"/>
        <v>5.5112471008514818</v>
      </c>
      <c r="AM183" s="545">
        <f t="shared" si="519"/>
        <v>1825</v>
      </c>
      <c r="AN183" s="460">
        <f t="shared" si="520"/>
        <v>250.60667749238957</v>
      </c>
      <c r="AP183">
        <f t="shared" si="521"/>
        <v>1825</v>
      </c>
      <c r="AQ183">
        <f t="shared" si="522"/>
        <v>250.60667749238957</v>
      </c>
      <c r="AS183" s="5">
        <f t="shared" si="439"/>
        <v>3.9903166587824384</v>
      </c>
      <c r="AT183" s="5">
        <f t="shared" si="523"/>
        <v>2.2789842107882921</v>
      </c>
      <c r="AU183" s="5">
        <f t="shared" si="477"/>
        <v>1.7113324479941463</v>
      </c>
      <c r="AV183" s="5"/>
      <c r="AW183" s="173">
        <f t="shared" si="478"/>
        <v>0.57112866112326943</v>
      </c>
      <c r="AX183" s="173">
        <f t="shared" si="435"/>
        <v>49.344241579297922</v>
      </c>
      <c r="AY183" s="173">
        <f t="shared" si="436"/>
        <v>1.9628405283447048</v>
      </c>
      <c r="AZ183" s="173">
        <f t="shared" si="440"/>
        <v>25.139200493740937</v>
      </c>
      <c r="BA183" s="460">
        <f t="shared" si="593"/>
        <v>14.854093516745118</v>
      </c>
      <c r="BB183" s="5">
        <f t="shared" si="594"/>
        <v>3.3088929663647511</v>
      </c>
      <c r="BD183" s="173">
        <f t="shared" si="441"/>
        <v>3.9938738096555979</v>
      </c>
      <c r="BE183" s="173">
        <f t="shared" si="437"/>
        <v>3.4609145213801393</v>
      </c>
      <c r="BG183" s="528">
        <f t="shared" si="479"/>
        <v>0.19141233608943503</v>
      </c>
      <c r="BH183" s="528">
        <f t="shared" si="524"/>
        <v>1.9819993785549908</v>
      </c>
      <c r="BI183" s="528">
        <f t="shared" si="480"/>
        <v>2.88197679116248E-2</v>
      </c>
      <c r="BJ183" s="528">
        <f t="shared" si="481"/>
        <v>0.27664250546708807</v>
      </c>
      <c r="BK183">
        <f t="shared" si="482"/>
        <v>8.4948760035550002E-3</v>
      </c>
      <c r="BL183" s="460">
        <f t="shared" si="587"/>
        <v>37.314643915179801</v>
      </c>
      <c r="BM183" s="528">
        <f t="shared" si="525"/>
        <v>2.6209345289973038</v>
      </c>
      <c r="BN183" s="460">
        <f t="shared" si="526"/>
        <v>2620.9345289973039</v>
      </c>
      <c r="BO183" s="528">
        <f t="shared" si="483"/>
        <v>1.2774999999999999</v>
      </c>
      <c r="BR183" s="460">
        <f t="shared" si="484"/>
        <v>1277.4999999999998</v>
      </c>
      <c r="BS183" s="528">
        <f t="shared" si="485"/>
        <v>0.22331439210434087</v>
      </c>
      <c r="BT183" s="528">
        <f t="shared" si="486"/>
        <v>0.16769101054019886</v>
      </c>
      <c r="BU183" s="528">
        <f t="shared" si="487"/>
        <v>12.601480529009313</v>
      </c>
      <c r="BV183" s="528"/>
      <c r="BW183" s="528">
        <f t="shared" si="488"/>
        <v>2.0997549608211878</v>
      </c>
      <c r="BX183" s="460">
        <f t="shared" si="489"/>
        <v>15092.24089247504</v>
      </c>
      <c r="BY183" s="173">
        <f t="shared" si="490"/>
        <v>18.857109756501732</v>
      </c>
      <c r="BZ183" s="5">
        <f t="shared" si="491"/>
        <v>51.1</v>
      </c>
      <c r="CA183" s="173">
        <f t="shared" si="492"/>
        <v>0.73044755819476692</v>
      </c>
      <c r="CB183" s="5">
        <f t="shared" si="493"/>
        <v>73.044755819476691</v>
      </c>
      <c r="CE183" s="562">
        <f t="shared" si="527"/>
        <v>-50</v>
      </c>
      <c r="CF183">
        <f t="shared" si="528"/>
        <v>-50</v>
      </c>
      <c r="CG183" s="173">
        <f t="shared" si="529"/>
        <v>0.38735399058566361</v>
      </c>
      <c r="CI183" s="170">
        <v>73</v>
      </c>
      <c r="CJ183" s="217">
        <f t="shared" si="588"/>
        <v>1.825</v>
      </c>
      <c r="CK183" s="217"/>
      <c r="CL183" s="217">
        <f t="shared" si="530"/>
        <v>51.1</v>
      </c>
      <c r="CM183" s="541">
        <f t="shared" si="531"/>
        <v>19</v>
      </c>
      <c r="CN183" s="443">
        <f t="shared" si="532"/>
        <v>28.4</v>
      </c>
      <c r="CO183" s="443">
        <f t="shared" si="533"/>
        <v>47.4</v>
      </c>
      <c r="CP183" s="443"/>
      <c r="CQ183" s="217">
        <f t="shared" si="534"/>
        <v>0.59915611814345993</v>
      </c>
      <c r="CR183" s="172">
        <f t="shared" si="589"/>
        <v>95.556689708830859</v>
      </c>
      <c r="CS183" s="172">
        <f t="shared" si="535"/>
        <v>51.1</v>
      </c>
      <c r="CT183" s="217">
        <f t="shared" si="536"/>
        <v>3.4127389181725305</v>
      </c>
      <c r="CU183" s="217">
        <f t="shared" si="537"/>
        <v>28</v>
      </c>
      <c r="CV183" s="217"/>
      <c r="CW183" s="172">
        <f t="shared" si="538"/>
        <v>67.869314674421176</v>
      </c>
      <c r="CX183" s="536">
        <f t="shared" si="539"/>
        <v>28</v>
      </c>
      <c r="CY183" s="217">
        <f t="shared" si="540"/>
        <v>8.9775389177168261</v>
      </c>
      <c r="CZ183" s="217">
        <f t="shared" si="541"/>
        <v>2.2207596270141621</v>
      </c>
      <c r="DA183" s="217">
        <f t="shared" si="542"/>
        <v>1.4857194687770803</v>
      </c>
      <c r="DB183" s="197">
        <f t="shared" si="543"/>
        <v>350</v>
      </c>
      <c r="DC183" s="443">
        <f t="shared" si="544"/>
        <v>269.79782541752729</v>
      </c>
      <c r="DE183" s="217">
        <f t="shared" si="545"/>
        <v>6.9203442217177731</v>
      </c>
      <c r="DF183" s="173">
        <f t="shared" si="546"/>
        <v>1.1452682338758289</v>
      </c>
      <c r="DG183" s="173">
        <f t="shared" si="547"/>
        <v>1.3869888208084145</v>
      </c>
      <c r="DH183" s="173"/>
      <c r="DI183" s="173">
        <f t="shared" si="548"/>
        <v>0.55164319248826299</v>
      </c>
      <c r="DJ183" s="545">
        <f t="shared" si="549"/>
        <v>1984.9787234042551</v>
      </c>
      <c r="DK183" s="528">
        <f t="shared" si="550"/>
        <v>0.3217918622848201</v>
      </c>
      <c r="DM183" s="173">
        <f t="shared" si="551"/>
        <v>7.9382112322858385</v>
      </c>
      <c r="DN183" s="173">
        <f t="shared" si="552"/>
        <v>8.9775389177168261</v>
      </c>
      <c r="DO183" s="173">
        <f t="shared" si="553"/>
        <v>5.3808930254692537</v>
      </c>
      <c r="DQ183" s="545">
        <f t="shared" si="554"/>
        <v>1825</v>
      </c>
      <c r="DR183" s="460">
        <f t="shared" si="555"/>
        <v>269.79782541752729</v>
      </c>
      <c r="DT183">
        <f t="shared" si="590"/>
        <v>1825</v>
      </c>
      <c r="DU183">
        <f t="shared" si="591"/>
        <v>269.79782541752729</v>
      </c>
      <c r="DW183" s="5">
        <f t="shared" si="556"/>
        <v>3.7064790957912419</v>
      </c>
      <c r="DX183" s="5">
        <f t="shared" si="557"/>
        <v>2.2207596270141621</v>
      </c>
      <c r="DY183" s="5">
        <f t="shared" si="558"/>
        <v>1.4857194687770798</v>
      </c>
      <c r="DZ183" s="5"/>
      <c r="EA183" s="173">
        <f t="shared" si="559"/>
        <v>0.59915611814346004</v>
      </c>
      <c r="EB183" s="173">
        <f t="shared" si="560"/>
        <v>51.099999999999994</v>
      </c>
      <c r="EC183" s="173">
        <f t="shared" si="561"/>
        <v>1.7992957746478866</v>
      </c>
      <c r="ED183" s="173">
        <f t="shared" si="562"/>
        <v>28.400000000000009</v>
      </c>
      <c r="EE183" s="460">
        <f t="shared" si="563"/>
        <v>14.474593997503019</v>
      </c>
      <c r="EF183" s="5">
        <f t="shared" si="564"/>
        <v>2.8541452952822848</v>
      </c>
      <c r="EH183" s="173">
        <f t="shared" si="565"/>
        <v>4.0120530628075572</v>
      </c>
      <c r="EI183" s="173">
        <f t="shared" si="566"/>
        <v>3.281589842478271</v>
      </c>
      <c r="EK183" s="528">
        <f t="shared" si="567"/>
        <v>0.19315883734540201</v>
      </c>
      <c r="EL183" s="528">
        <f t="shared" si="568"/>
        <v>2.1813617021276599</v>
      </c>
      <c r="EM183" s="528">
        <f t="shared" si="569"/>
        <v>3.1026749923015646E-2</v>
      </c>
      <c r="EN183" s="528">
        <f t="shared" si="570"/>
        <v>0.29853919890077868</v>
      </c>
      <c r="EO183">
        <f t="shared" si="571"/>
        <v>8.5500000000000003E-3</v>
      </c>
      <c r="EP183" s="460">
        <f t="shared" si="572"/>
        <v>39.576749923015647</v>
      </c>
      <c r="EQ183" s="460"/>
      <c r="ER183" s="460">
        <f t="shared" si="592"/>
        <v>2712.636488296856</v>
      </c>
      <c r="ES183" s="528">
        <f t="shared" si="573"/>
        <v>1.2774999999999999</v>
      </c>
      <c r="EV183" s="460">
        <f t="shared" si="494"/>
        <v>1277.4999999999998</v>
      </c>
      <c r="EW183" s="528">
        <f t="shared" si="574"/>
        <v>0.22535197690296901</v>
      </c>
      <c r="EX183" s="528">
        <f t="shared" si="575"/>
        <v>0.1507636465195919</v>
      </c>
      <c r="EY183" s="528">
        <f t="shared" si="576"/>
        <v>14.436414989687012</v>
      </c>
      <c r="EZ183" s="528"/>
      <c r="FA183" s="528">
        <f t="shared" si="577"/>
        <v>2.1744680851063833</v>
      </c>
      <c r="FB183" s="460">
        <f t="shared" si="578"/>
        <v>16986.998698215957</v>
      </c>
      <c r="FC183" s="173">
        <f t="shared" si="579"/>
        <v>20.977135186512811</v>
      </c>
      <c r="FD183" s="5">
        <f t="shared" si="580"/>
        <v>51.1</v>
      </c>
      <c r="FE183" s="173">
        <f t="shared" si="581"/>
        <v>0.70896269486529095</v>
      </c>
      <c r="FF183" s="5">
        <f t="shared" si="582"/>
        <v>70.896269486529093</v>
      </c>
      <c r="FI183" s="562">
        <f t="shared" si="583"/>
        <v>-50</v>
      </c>
      <c r="FJ183">
        <f t="shared" si="584"/>
        <v>-50</v>
      </c>
      <c r="FL183">
        <f t="shared" si="585"/>
        <v>0.40084388185653996</v>
      </c>
    </row>
    <row r="184" spans="5:168">
      <c r="E184" s="170">
        <v>74</v>
      </c>
      <c r="F184" s="217">
        <f t="shared" si="586"/>
        <v>1.85</v>
      </c>
      <c r="G184" s="217"/>
      <c r="H184" s="217">
        <f t="shared" si="495"/>
        <v>51.800000000000004</v>
      </c>
      <c r="I184" s="541">
        <f t="shared" si="496"/>
        <v>18.875882590388816</v>
      </c>
      <c r="J184" s="172">
        <f t="shared" si="497"/>
        <v>28.466832451329097</v>
      </c>
      <c r="K184" s="172">
        <f t="shared" si="498"/>
        <v>47.342715041717909</v>
      </c>
      <c r="L184" s="443"/>
      <c r="M184" s="217">
        <f t="shared" si="499"/>
        <v>0.60127408718111142</v>
      </c>
      <c r="N184" s="172">
        <f t="shared" si="500"/>
        <v>95.268044775580407</v>
      </c>
      <c r="O184" s="172">
        <f t="shared" si="438"/>
        <v>51.800000000000004</v>
      </c>
      <c r="P184" s="217">
        <f t="shared" si="501"/>
        <v>3.402430170556443</v>
      </c>
      <c r="Q184" s="217">
        <f t="shared" si="502"/>
        <v>28</v>
      </c>
      <c r="R184" s="217"/>
      <c r="S184" s="172">
        <f t="shared" si="503"/>
        <v>66.263875601799768</v>
      </c>
      <c r="T184" s="536">
        <f t="shared" si="504"/>
        <v>28</v>
      </c>
      <c r="U184" s="217">
        <f t="shared" si="505"/>
        <v>9.2795574128652998</v>
      </c>
      <c r="V184" s="217">
        <f t="shared" si="506"/>
        <v>2.3105632084549073</v>
      </c>
      <c r="W184" s="217">
        <f t="shared" si="507"/>
        <v>1.5320959897816311</v>
      </c>
      <c r="X184" s="197">
        <f t="shared" si="508"/>
        <v>350</v>
      </c>
      <c r="Y184" s="443">
        <f t="shared" si="509"/>
        <v>247.36193454947011</v>
      </c>
      <c r="AA184" s="217">
        <f t="shared" si="510"/>
        <v>6.8996545912222507</v>
      </c>
      <c r="AB184" s="173">
        <f t="shared" si="511"/>
        <v>1.1391635031466425</v>
      </c>
      <c r="AC184" s="173">
        <f t="shared" si="512"/>
        <v>1.3754710715617471</v>
      </c>
      <c r="AD184" s="173"/>
      <c r="AE184" s="173">
        <f t="shared" si="513"/>
        <v>0.55034808292958493</v>
      </c>
      <c r="AF184" s="545">
        <f t="shared" si="514"/>
        <v>2016.9053630409765</v>
      </c>
      <c r="AG184" s="528">
        <f t="shared" si="515"/>
        <v>0.32103638170892457</v>
      </c>
      <c r="AI184" s="173">
        <f t="shared" si="516"/>
        <v>8.0017961536045483</v>
      </c>
      <c r="AJ184" s="173">
        <f t="shared" si="517"/>
        <v>9.2795574128652998</v>
      </c>
      <c r="AK184" s="173">
        <f t="shared" si="518"/>
        <v>5.6046104292829382</v>
      </c>
      <c r="AM184" s="545">
        <f t="shared" si="519"/>
        <v>1850</v>
      </c>
      <c r="AN184" s="460">
        <f t="shared" si="520"/>
        <v>247.36193454947011</v>
      </c>
      <c r="AP184">
        <f t="shared" si="521"/>
        <v>1850</v>
      </c>
      <c r="AQ184">
        <f t="shared" si="522"/>
        <v>247.36193454947011</v>
      </c>
      <c r="AS184" s="5">
        <f t="shared" si="439"/>
        <v>4.0426591982365387</v>
      </c>
      <c r="AT184" s="5">
        <f t="shared" si="523"/>
        <v>2.3105632084549073</v>
      </c>
      <c r="AU184" s="5">
        <f t="shared" si="477"/>
        <v>1.7320959897816315</v>
      </c>
      <c r="AV184" s="5"/>
      <c r="AW184" s="173">
        <f t="shared" si="478"/>
        <v>0.57154538514223641</v>
      </c>
      <c r="AX184" s="173">
        <f t="shared" si="435"/>
        <v>50.055898025767412</v>
      </c>
      <c r="AY184" s="173">
        <f t="shared" si="436"/>
        <v>1.9879345986898536</v>
      </c>
      <c r="AZ184" s="173">
        <f t="shared" si="440"/>
        <v>25.179851519640891</v>
      </c>
      <c r="BA184" s="460">
        <f t="shared" si="593"/>
        <v>15.266221198719924</v>
      </c>
      <c r="BB184" s="5">
        <f t="shared" si="594"/>
        <v>3.3952082142401299</v>
      </c>
      <c r="BD184" s="173">
        <f t="shared" si="441"/>
        <v>4.0503448122983166</v>
      </c>
      <c r="BE184" s="173">
        <f t="shared" si="437"/>
        <v>3.5068650046790451</v>
      </c>
      <c r="BG184" s="528">
        <f t="shared" si="479"/>
        <v>0.19686351718214259</v>
      </c>
      <c r="BH184" s="528">
        <f t="shared" si="524"/>
        <v>1.983244055216127</v>
      </c>
      <c r="BI184" s="528">
        <f t="shared" si="480"/>
        <v>2.8446622473189066E-2</v>
      </c>
      <c r="BJ184" s="528">
        <f t="shared" si="481"/>
        <v>0.27305203941894446</v>
      </c>
      <c r="BK184">
        <f t="shared" si="482"/>
        <v>8.4941471656749673E-3</v>
      </c>
      <c r="BL184" s="460">
        <f t="shared" si="587"/>
        <v>36.940769638864026</v>
      </c>
      <c r="BM184" s="528">
        <f t="shared" si="525"/>
        <v>2.6292975542413264</v>
      </c>
      <c r="BN184" s="460">
        <f t="shared" si="526"/>
        <v>2629.2975542413265</v>
      </c>
      <c r="BO184" s="528">
        <f t="shared" si="483"/>
        <v>1.2949999999999999</v>
      </c>
      <c r="BR184" s="460">
        <f t="shared" si="484"/>
        <v>1295</v>
      </c>
      <c r="BS184" s="528">
        <f t="shared" si="485"/>
        <v>0.22967410337916638</v>
      </c>
      <c r="BT184" s="528">
        <f t="shared" si="486"/>
        <v>0.17217343025459583</v>
      </c>
      <c r="BU184" s="528">
        <f t="shared" si="487"/>
        <v>12.621772091757682</v>
      </c>
      <c r="BV184" s="528"/>
      <c r="BW184" s="528">
        <f t="shared" si="488"/>
        <v>2.1300382138624432</v>
      </c>
      <c r="BX184" s="460">
        <f t="shared" si="489"/>
        <v>15153.657839253889</v>
      </c>
      <c r="BY184" s="173">
        <f t="shared" si="490"/>
        <v>18.938758220709964</v>
      </c>
      <c r="BZ184" s="5">
        <f t="shared" si="491"/>
        <v>51.800000000000004</v>
      </c>
      <c r="CA184" s="173">
        <f t="shared" si="492"/>
        <v>0.73227183093008663</v>
      </c>
      <c r="CB184" s="5">
        <f t="shared" si="493"/>
        <v>73.227183093008662</v>
      </c>
      <c r="CE184" s="562">
        <f t="shared" si="527"/>
        <v>-50</v>
      </c>
      <c r="CF184">
        <f t="shared" si="528"/>
        <v>-50</v>
      </c>
      <c r="CG184" s="173">
        <f t="shared" si="529"/>
        <v>0.3875362864136484</v>
      </c>
      <c r="CI184" s="170">
        <v>74</v>
      </c>
      <c r="CJ184" s="217">
        <f t="shared" si="588"/>
        <v>1.85</v>
      </c>
      <c r="CK184" s="217"/>
      <c r="CL184" s="217">
        <f t="shared" si="530"/>
        <v>51.800000000000004</v>
      </c>
      <c r="CM184" s="541">
        <f t="shared" si="531"/>
        <v>19</v>
      </c>
      <c r="CN184" s="443">
        <f t="shared" si="532"/>
        <v>28.4</v>
      </c>
      <c r="CO184" s="443">
        <f t="shared" si="533"/>
        <v>47.4</v>
      </c>
      <c r="CP184" s="443"/>
      <c r="CQ184" s="217">
        <f t="shared" si="534"/>
        <v>0.59915611814345993</v>
      </c>
      <c r="CR184" s="172">
        <f t="shared" si="589"/>
        <v>95.556689708830859</v>
      </c>
      <c r="CS184" s="172">
        <f t="shared" si="535"/>
        <v>51.800000000000004</v>
      </c>
      <c r="CT184" s="217">
        <f t="shared" si="536"/>
        <v>3.4127389181725305</v>
      </c>
      <c r="CU184" s="217">
        <f t="shared" si="537"/>
        <v>28</v>
      </c>
      <c r="CV184" s="217"/>
      <c r="CW184" s="172">
        <f t="shared" si="538"/>
        <v>66.698851309985102</v>
      </c>
      <c r="CX184" s="536">
        <f t="shared" si="539"/>
        <v>28</v>
      </c>
      <c r="CY184" s="217">
        <f t="shared" si="540"/>
        <v>9.1005189028910305</v>
      </c>
      <c r="CZ184" s="217">
        <f t="shared" si="541"/>
        <v>2.251180991767781</v>
      </c>
      <c r="DA184" s="217">
        <f t="shared" si="542"/>
        <v>1.5060717902671774</v>
      </c>
      <c r="DB184" s="197">
        <f t="shared" si="543"/>
        <v>350</v>
      </c>
      <c r="DC184" s="443">
        <f t="shared" si="544"/>
        <v>266.15190885783096</v>
      </c>
      <c r="DE184" s="217">
        <f t="shared" si="545"/>
        <v>6.9203442217177731</v>
      </c>
      <c r="DF184" s="173">
        <f t="shared" si="546"/>
        <v>1.1452682338758289</v>
      </c>
      <c r="DG184" s="173">
        <f t="shared" si="547"/>
        <v>1.3869888208084145</v>
      </c>
      <c r="DH184" s="173"/>
      <c r="DI184" s="173">
        <f t="shared" si="548"/>
        <v>0.55164319248826299</v>
      </c>
      <c r="DJ184" s="545">
        <f t="shared" si="549"/>
        <v>2012.1702127659573</v>
      </c>
      <c r="DK184" s="528">
        <f t="shared" si="550"/>
        <v>0.3217918622848201</v>
      </c>
      <c r="DM184" s="173">
        <f t="shared" si="551"/>
        <v>7.9923976035284641</v>
      </c>
      <c r="DN184" s="173">
        <f t="shared" si="552"/>
        <v>9.1005189028910305</v>
      </c>
      <c r="DO184" s="173">
        <f t="shared" si="553"/>
        <v>5.4719893107834787</v>
      </c>
      <c r="DQ184" s="545">
        <f t="shared" si="554"/>
        <v>1850</v>
      </c>
      <c r="DR184" s="460">
        <f t="shared" si="555"/>
        <v>266.15190885783096</v>
      </c>
      <c r="DT184">
        <f t="shared" si="590"/>
        <v>1850</v>
      </c>
      <c r="DU184">
        <f t="shared" si="591"/>
        <v>266.15190885783096</v>
      </c>
      <c r="DW184" s="5">
        <f t="shared" si="556"/>
        <v>3.7572527820349579</v>
      </c>
      <c r="DX184" s="5">
        <f t="shared" si="557"/>
        <v>2.251180991767781</v>
      </c>
      <c r="DY184" s="5">
        <f t="shared" si="558"/>
        <v>1.506071790267177</v>
      </c>
      <c r="DZ184" s="5"/>
      <c r="EA184" s="173">
        <f t="shared" si="559"/>
        <v>0.59915611814346004</v>
      </c>
      <c r="EB184" s="173">
        <f t="shared" si="560"/>
        <v>51.800000000000011</v>
      </c>
      <c r="EC184" s="173">
        <f t="shared" si="561"/>
        <v>1.8239436619718306</v>
      </c>
      <c r="ED184" s="173">
        <f t="shared" si="562"/>
        <v>28.400000000000013</v>
      </c>
      <c r="EE184" s="460">
        <f t="shared" si="563"/>
        <v>14.873874409894269</v>
      </c>
      <c r="EF184" s="5">
        <f t="shared" si="564"/>
        <v>2.9328766442045024</v>
      </c>
      <c r="EH184" s="173">
        <f t="shared" si="565"/>
        <v>4.067012693804922</v>
      </c>
      <c r="EI184" s="173">
        <f t="shared" si="566"/>
        <v>3.3265431279916728</v>
      </c>
      <c r="EK184" s="528">
        <f t="shared" si="567"/>
        <v>0.19848710701884445</v>
      </c>
      <c r="EL184" s="528">
        <f t="shared" si="568"/>
        <v>2.1813617021276599</v>
      </c>
      <c r="EM184" s="528">
        <f t="shared" si="569"/>
        <v>3.0607469518650562E-2</v>
      </c>
      <c r="EN184" s="528">
        <f t="shared" si="570"/>
        <v>0.2945048854021195</v>
      </c>
      <c r="EO184">
        <f t="shared" si="571"/>
        <v>8.5500000000000003E-3</v>
      </c>
      <c r="EP184" s="460">
        <f t="shared" si="572"/>
        <v>39.157469518650558</v>
      </c>
      <c r="EQ184" s="460"/>
      <c r="ER184" s="460">
        <f t="shared" si="592"/>
        <v>2713.5111640672744</v>
      </c>
      <c r="ES184" s="528">
        <f t="shared" si="573"/>
        <v>1.2949999999999999</v>
      </c>
      <c r="EV184" s="460">
        <f t="shared" si="494"/>
        <v>1295</v>
      </c>
      <c r="EW184" s="528">
        <f t="shared" si="574"/>
        <v>0.23156829152198519</v>
      </c>
      <c r="EX184" s="528">
        <f t="shared" si="575"/>
        <v>0.15492244855344073</v>
      </c>
      <c r="EY184" s="528">
        <f t="shared" si="576"/>
        <v>14.436414989686986</v>
      </c>
      <c r="EZ184" s="528"/>
      <c r="FA184" s="528">
        <f t="shared" si="577"/>
        <v>2.2042553191489369</v>
      </c>
      <c r="FB184" s="460">
        <f t="shared" si="578"/>
        <v>17027.161048911348</v>
      </c>
      <c r="FC184" s="173">
        <f t="shared" si="579"/>
        <v>21.035672212978625</v>
      </c>
      <c r="FD184" s="5">
        <f t="shared" si="580"/>
        <v>51.800000000000004</v>
      </c>
      <c r="FE184" s="173">
        <f t="shared" si="581"/>
        <v>0.71118997636943249</v>
      </c>
      <c r="FF184" s="5">
        <f t="shared" si="582"/>
        <v>71.118997636943249</v>
      </c>
      <c r="FI184" s="562">
        <f t="shared" si="583"/>
        <v>-50</v>
      </c>
      <c r="FJ184">
        <f t="shared" si="584"/>
        <v>-50</v>
      </c>
      <c r="FL184">
        <f t="shared" si="585"/>
        <v>0.40084388185653996</v>
      </c>
    </row>
    <row r="185" spans="5:168">
      <c r="E185" s="170">
        <v>75</v>
      </c>
      <c r="F185" s="217">
        <f t="shared" si="586"/>
        <v>1.875</v>
      </c>
      <c r="G185" s="217"/>
      <c r="H185" s="217">
        <f t="shared" si="495"/>
        <v>52.5</v>
      </c>
      <c r="I185" s="541">
        <f t="shared" si="496"/>
        <v>18.874262897191763</v>
      </c>
      <c r="J185" s="172">
        <f t="shared" si="497"/>
        <v>28.467704593819818</v>
      </c>
      <c r="K185" s="172">
        <f t="shared" si="498"/>
        <v>47.34196749101158</v>
      </c>
      <c r="L185" s="443"/>
      <c r="M185" s="217">
        <f t="shared" si="499"/>
        <v>0.60130201361153124</v>
      </c>
      <c r="N185" s="172">
        <f t="shared" si="500"/>
        <v>95.264294443411828</v>
      </c>
      <c r="O185" s="172">
        <f t="shared" si="438"/>
        <v>52.5</v>
      </c>
      <c r="P185" s="217">
        <f t="shared" si="501"/>
        <v>3.4022962301218511</v>
      </c>
      <c r="Q185" s="217">
        <f t="shared" si="502"/>
        <v>28</v>
      </c>
      <c r="R185" s="217"/>
      <c r="S185" s="172">
        <f t="shared" si="503"/>
        <v>65.126565923352501</v>
      </c>
      <c r="T185" s="536">
        <f t="shared" si="504"/>
        <v>28</v>
      </c>
      <c r="U185" s="217">
        <f t="shared" si="505"/>
        <v>9.4056155988362882</v>
      </c>
      <c r="V185" s="217">
        <f t="shared" si="506"/>
        <v>2.3421520382185559</v>
      </c>
      <c r="W185" s="217">
        <f t="shared" si="507"/>
        <v>1.5528611788436051</v>
      </c>
      <c r="X185" s="197">
        <f t="shared" si="508"/>
        <v>350</v>
      </c>
      <c r="Y185" s="443">
        <f t="shared" si="509"/>
        <v>244.19945601968502</v>
      </c>
      <c r="AA185" s="217">
        <f t="shared" si="510"/>
        <v>6.8993828589664741</v>
      </c>
      <c r="AB185" s="173">
        <f t="shared" si="511"/>
        <v>1.1390837406744123</v>
      </c>
      <c r="AC185" s="173">
        <f t="shared" si="512"/>
        <v>1.3753205961838793</v>
      </c>
      <c r="AD185" s="173"/>
      <c r="AE185" s="173">
        <f t="shared" si="513"/>
        <v>0.55033122235179488</v>
      </c>
      <c r="AF185" s="545">
        <f t="shared" si="514"/>
        <v>2044.2234681732311</v>
      </c>
      <c r="AG185" s="528">
        <f t="shared" si="515"/>
        <v>0.32102654637188038</v>
      </c>
      <c r="AI185" s="173">
        <f t="shared" si="516"/>
        <v>8.0558043122093359</v>
      </c>
      <c r="AJ185" s="173">
        <f t="shared" si="517"/>
        <v>9.4056155988362882</v>
      </c>
      <c r="AK185" s="173">
        <f t="shared" si="518"/>
        <v>5.6979868633355224</v>
      </c>
      <c r="AM185" s="545">
        <f t="shared" si="519"/>
        <v>1875</v>
      </c>
      <c r="AN185" s="460">
        <f t="shared" si="520"/>
        <v>244.19945601968502</v>
      </c>
      <c r="AP185">
        <f t="shared" si="521"/>
        <v>1875</v>
      </c>
      <c r="AQ185">
        <f t="shared" si="522"/>
        <v>244.19945601968502</v>
      </c>
      <c r="AS185" s="5">
        <f t="shared" si="439"/>
        <v>4.0950132170621609</v>
      </c>
      <c r="AT185" s="5">
        <f t="shared" si="523"/>
        <v>2.3421520382185559</v>
      </c>
      <c r="AU185" s="5">
        <f t="shared" si="477"/>
        <v>1.752861178843605</v>
      </c>
      <c r="AV185" s="5"/>
      <c r="AW185" s="173">
        <f t="shared" si="478"/>
        <v>0.57195225364836788</v>
      </c>
      <c r="AX185" s="173">
        <f t="shared" si="435"/>
        <v>50.767643532263747</v>
      </c>
      <c r="AY185" s="173">
        <f t="shared" si="436"/>
        <v>2.013026280065815</v>
      </c>
      <c r="AZ185" s="173">
        <f t="shared" si="440"/>
        <v>25.219563219315706</v>
      </c>
      <c r="BA185" s="460">
        <f t="shared" si="593"/>
        <v>15.684053827356399</v>
      </c>
      <c r="BB185" s="5">
        <f t="shared" si="594"/>
        <v>3.4826416567724756</v>
      </c>
      <c r="BD185" s="173">
        <f t="shared" si="441"/>
        <v>4.1068277308146115</v>
      </c>
      <c r="BE185" s="173">
        <f t="shared" si="437"/>
        <v>3.5528159142342681</v>
      </c>
      <c r="BG185" s="528">
        <f t="shared" si="479"/>
        <v>0.20239240812705472</v>
      </c>
      <c r="BH185" s="528">
        <f t="shared" si="524"/>
        <v>1.9844542419434081</v>
      </c>
      <c r="BI185" s="528">
        <f t="shared" si="480"/>
        <v>2.808293744226378E-2</v>
      </c>
      <c r="BJ185" s="528">
        <f t="shared" si="481"/>
        <v>0.26955260466961345</v>
      </c>
      <c r="BK185">
        <f t="shared" si="482"/>
        <v>8.4934183037362922E-3</v>
      </c>
      <c r="BL185" s="460">
        <f t="shared" si="587"/>
        <v>36.576355746000075</v>
      </c>
      <c r="BM185" s="528">
        <f t="shared" si="525"/>
        <v>2.6378975740496733</v>
      </c>
      <c r="BN185" s="460">
        <f t="shared" si="526"/>
        <v>2637.8975740496735</v>
      </c>
      <c r="BO185" s="528">
        <f t="shared" si="483"/>
        <v>1.3125</v>
      </c>
      <c r="BR185" s="460">
        <f t="shared" si="484"/>
        <v>1312.5</v>
      </c>
      <c r="BS185" s="528">
        <f t="shared" si="485"/>
        <v>0.23612447614823051</v>
      </c>
      <c r="BT185" s="528">
        <f t="shared" si="486"/>
        <v>0.17671501288610791</v>
      </c>
      <c r="BU185" s="528">
        <f t="shared" si="487"/>
        <v>12.641534621079652</v>
      </c>
      <c r="BV185" s="528"/>
      <c r="BW185" s="528">
        <f t="shared" si="488"/>
        <v>2.1603252566920745</v>
      </c>
      <c r="BX185" s="460">
        <f t="shared" si="489"/>
        <v>15214.699366806064</v>
      </c>
      <c r="BY185" s="173">
        <f t="shared" si="490"/>
        <v>19.020174977292143</v>
      </c>
      <c r="BZ185" s="5">
        <f t="shared" si="491"/>
        <v>52.5</v>
      </c>
      <c r="CA185" s="173">
        <f t="shared" si="492"/>
        <v>0.73405860677310841</v>
      </c>
      <c r="CB185" s="5">
        <f t="shared" si="493"/>
        <v>73.405860677310841</v>
      </c>
      <c r="CE185" s="562">
        <f t="shared" si="527"/>
        <v>-50</v>
      </c>
      <c r="CF185">
        <f t="shared" si="528"/>
        <v>-50</v>
      </c>
      <c r="CG185" s="173">
        <f t="shared" si="529"/>
        <v>0.38771372101955376</v>
      </c>
      <c r="CI185" s="170">
        <v>75</v>
      </c>
      <c r="CJ185" s="217">
        <f t="shared" si="588"/>
        <v>1.875</v>
      </c>
      <c r="CK185" s="217"/>
      <c r="CL185" s="217">
        <f t="shared" si="530"/>
        <v>52.5</v>
      </c>
      <c r="CM185" s="541">
        <f t="shared" si="531"/>
        <v>19</v>
      </c>
      <c r="CN185" s="443">
        <f t="shared" si="532"/>
        <v>28.4</v>
      </c>
      <c r="CO185" s="443">
        <f t="shared" si="533"/>
        <v>47.4</v>
      </c>
      <c r="CP185" s="443"/>
      <c r="CQ185" s="217">
        <f t="shared" si="534"/>
        <v>0.59915611814345993</v>
      </c>
      <c r="CR185" s="172">
        <f t="shared" si="589"/>
        <v>95.556689708830859</v>
      </c>
      <c r="CS185" s="172">
        <f t="shared" si="535"/>
        <v>52.5</v>
      </c>
      <c r="CT185" s="217">
        <f t="shared" si="536"/>
        <v>3.4127389181725305</v>
      </c>
      <c r="CU185" s="217">
        <f t="shared" si="537"/>
        <v>28</v>
      </c>
      <c r="CV185" s="217"/>
      <c r="CW185" s="172">
        <f t="shared" si="538"/>
        <v>65.559666373508847</v>
      </c>
      <c r="CX185" s="536">
        <f t="shared" si="539"/>
        <v>28</v>
      </c>
      <c r="CY185" s="217">
        <f t="shared" si="540"/>
        <v>9.2234988880652331</v>
      </c>
      <c r="CZ185" s="217">
        <f t="shared" si="541"/>
        <v>2.2816023565213994</v>
      </c>
      <c r="DA185" s="217">
        <f t="shared" si="542"/>
        <v>1.5264241117572743</v>
      </c>
      <c r="DB185" s="197">
        <f t="shared" si="543"/>
        <v>350</v>
      </c>
      <c r="DC185" s="443">
        <f t="shared" si="544"/>
        <v>262.60321673972658</v>
      </c>
      <c r="DE185" s="217">
        <f t="shared" si="545"/>
        <v>6.9203442217177731</v>
      </c>
      <c r="DF185" s="173">
        <f t="shared" si="546"/>
        <v>1.1452682338758289</v>
      </c>
      <c r="DG185" s="173">
        <f t="shared" si="547"/>
        <v>1.3869888208084145</v>
      </c>
      <c r="DH185" s="173"/>
      <c r="DI185" s="173">
        <f t="shared" si="548"/>
        <v>0.55164319248826299</v>
      </c>
      <c r="DJ185" s="545">
        <f t="shared" si="549"/>
        <v>2039.3617021276596</v>
      </c>
      <c r="DK185" s="528">
        <f t="shared" si="550"/>
        <v>0.3217918622848201</v>
      </c>
      <c r="DM185" s="173">
        <f t="shared" si="551"/>
        <v>8.0462190709292774</v>
      </c>
      <c r="DN185" s="173">
        <f t="shared" si="552"/>
        <v>9.2234988880652331</v>
      </c>
      <c r="DO185" s="173">
        <f t="shared" si="553"/>
        <v>5.5630855960977037</v>
      </c>
      <c r="DQ185" s="545">
        <f t="shared" si="554"/>
        <v>1875</v>
      </c>
      <c r="DR185" s="460">
        <f t="shared" si="555"/>
        <v>262.60321673972658</v>
      </c>
      <c r="DT185">
        <f t="shared" si="590"/>
        <v>1875</v>
      </c>
      <c r="DU185">
        <f t="shared" si="591"/>
        <v>262.60321673972658</v>
      </c>
      <c r="DW185" s="5">
        <f t="shared" si="556"/>
        <v>3.8080264682786735</v>
      </c>
      <c r="DX185" s="5">
        <f t="shared" si="557"/>
        <v>2.2816023565213994</v>
      </c>
      <c r="DY185" s="5">
        <f t="shared" si="558"/>
        <v>1.5264241117572741</v>
      </c>
      <c r="DZ185" s="5"/>
      <c r="EA185" s="173">
        <f t="shared" si="559"/>
        <v>0.59915611814345993</v>
      </c>
      <c r="EB185" s="173">
        <f t="shared" si="560"/>
        <v>52.500000000000007</v>
      </c>
      <c r="EC185" s="173">
        <f t="shared" si="561"/>
        <v>1.8485915492957745</v>
      </c>
      <c r="ED185" s="173">
        <f t="shared" si="562"/>
        <v>28.400000000000006</v>
      </c>
      <c r="EE185" s="460">
        <f t="shared" si="563"/>
        <v>15.278587208848659</v>
      </c>
      <c r="EF185" s="5">
        <f t="shared" si="564"/>
        <v>3.0126791679419878</v>
      </c>
      <c r="EH185" s="173">
        <f t="shared" si="565"/>
        <v>4.121972324802285</v>
      </c>
      <c r="EI185" s="173">
        <f t="shared" si="566"/>
        <v>3.3714964135050733</v>
      </c>
      <c r="EK185" s="528">
        <f t="shared" si="567"/>
        <v>0.20388787015723145</v>
      </c>
      <c r="EL185" s="528">
        <f t="shared" si="568"/>
        <v>2.1813617021276603</v>
      </c>
      <c r="EM185" s="528">
        <f t="shared" si="569"/>
        <v>3.019936992506856E-2</v>
      </c>
      <c r="EN185" s="528">
        <f t="shared" si="570"/>
        <v>0.29057815359675793</v>
      </c>
      <c r="EO185">
        <f t="shared" si="571"/>
        <v>8.5500000000000003E-3</v>
      </c>
      <c r="EP185" s="460">
        <f t="shared" si="572"/>
        <v>38.749369925068564</v>
      </c>
      <c r="EQ185" s="460"/>
      <c r="ER185" s="460">
        <f t="shared" si="592"/>
        <v>2714.5770958067183</v>
      </c>
      <c r="ES185" s="528">
        <f t="shared" si="573"/>
        <v>1.3125</v>
      </c>
      <c r="EV185" s="460">
        <f t="shared" si="494"/>
        <v>1312.5</v>
      </c>
      <c r="EW185" s="528">
        <f t="shared" si="574"/>
        <v>0.23786918185010333</v>
      </c>
      <c r="EX185" s="528">
        <f t="shared" si="575"/>
        <v>0.15913783292788602</v>
      </c>
      <c r="EY185" s="528">
        <f t="shared" si="576"/>
        <v>14.436414989687011</v>
      </c>
      <c r="EZ185" s="528"/>
      <c r="FA185" s="528">
        <f t="shared" si="577"/>
        <v>2.2340425531914905</v>
      </c>
      <c r="FB185" s="460">
        <f t="shared" si="578"/>
        <v>17067.464557656491</v>
      </c>
      <c r="FC185" s="173">
        <f t="shared" si="579"/>
        <v>21.094541653463207</v>
      </c>
      <c r="FD185" s="5">
        <f t="shared" si="580"/>
        <v>52.5</v>
      </c>
      <c r="FE185" s="173">
        <f t="shared" si="581"/>
        <v>0.71336812242419145</v>
      </c>
      <c r="FF185" s="5">
        <f t="shared" si="582"/>
        <v>71.336812242419143</v>
      </c>
      <c r="FI185" s="562">
        <f t="shared" si="583"/>
        <v>-50</v>
      </c>
      <c r="FJ185">
        <f t="shared" si="584"/>
        <v>-50</v>
      </c>
      <c r="FL185">
        <f t="shared" si="585"/>
        <v>0.40084388185654007</v>
      </c>
    </row>
    <row r="186" spans="5:168">
      <c r="E186" s="170">
        <v>76</v>
      </c>
      <c r="F186" s="217">
        <f t="shared" si="586"/>
        <v>1.9</v>
      </c>
      <c r="G186" s="217"/>
      <c r="H186" s="217">
        <f t="shared" si="495"/>
        <v>53.199999999999996</v>
      </c>
      <c r="I186" s="541">
        <f t="shared" si="496"/>
        <v>18.872643152711969</v>
      </c>
      <c r="J186" s="172">
        <f t="shared" si="497"/>
        <v>28.468576763924322</v>
      </c>
      <c r="K186" s="172">
        <f t="shared" si="498"/>
        <v>47.341219916636291</v>
      </c>
      <c r="L186" s="443"/>
      <c r="M186" s="217">
        <f t="shared" si="499"/>
        <v>0.60132994157417552</v>
      </c>
      <c r="N186" s="172">
        <f t="shared" si="500"/>
        <v>95.260543335764325</v>
      </c>
      <c r="O186" s="172">
        <f t="shared" si="438"/>
        <v>53.199999999999996</v>
      </c>
      <c r="P186" s="217">
        <f t="shared" si="501"/>
        <v>3.4021622619915832</v>
      </c>
      <c r="Q186" s="217">
        <f t="shared" si="502"/>
        <v>28</v>
      </c>
      <c r="R186" s="217"/>
      <c r="S186" s="172">
        <f t="shared" si="503"/>
        <v>64.019293794920131</v>
      </c>
      <c r="T186" s="536">
        <f t="shared" si="504"/>
        <v>28</v>
      </c>
      <c r="U186" s="217">
        <f t="shared" si="505"/>
        <v>9.5316914819350984</v>
      </c>
      <c r="V186" s="217">
        <f t="shared" si="506"/>
        <v>2.3737507037352858</v>
      </c>
      <c r="W186" s="217">
        <f t="shared" si="507"/>
        <v>1.5736280157800042</v>
      </c>
      <c r="X186" s="197">
        <f t="shared" si="508"/>
        <v>350</v>
      </c>
      <c r="Y186" s="443">
        <f t="shared" si="509"/>
        <v>241.11615254583538</v>
      </c>
      <c r="AA186" s="217">
        <f t="shared" si="510"/>
        <v>6.8991110732451704</v>
      </c>
      <c r="AB186" s="173">
        <f t="shared" si="511"/>
        <v>1.1390039731576129</v>
      </c>
      <c r="AC186" s="173">
        <f t="shared" si="512"/>
        <v>1.3751701116443382</v>
      </c>
      <c r="AD186" s="173"/>
      <c r="AE186" s="173">
        <f t="shared" si="513"/>
        <v>0.5503143622732708</v>
      </c>
      <c r="AF186" s="545">
        <f t="shared" si="514"/>
        <v>2071.5432453749181</v>
      </c>
      <c r="AG186" s="528">
        <f t="shared" si="515"/>
        <v>0.32101671132607462</v>
      </c>
      <c r="AI186" s="173">
        <f t="shared" si="516"/>
        <v>8.1094560625821135</v>
      </c>
      <c r="AJ186" s="173">
        <f t="shared" si="517"/>
        <v>9.5316914819350984</v>
      </c>
      <c r="AK186" s="173">
        <f t="shared" si="518"/>
        <v>5.7913764063716773</v>
      </c>
      <c r="AM186" s="545">
        <f t="shared" si="519"/>
        <v>1900</v>
      </c>
      <c r="AN186" s="460">
        <f t="shared" si="520"/>
        <v>241.11615254583538</v>
      </c>
      <c r="AP186">
        <f t="shared" si="521"/>
        <v>1900</v>
      </c>
      <c r="AQ186">
        <f t="shared" si="522"/>
        <v>241.11615254583538</v>
      </c>
      <c r="AS186" s="5">
        <f t="shared" si="439"/>
        <v>4.1473787195152898</v>
      </c>
      <c r="AT186" s="5">
        <f t="shared" si="523"/>
        <v>2.3737507037352858</v>
      </c>
      <c r="AU186" s="5">
        <f t="shared" si="477"/>
        <v>1.773628015780004</v>
      </c>
      <c r="AV186" s="5"/>
      <c r="AW186" s="173">
        <f t="shared" si="478"/>
        <v>0.5723496367876213</v>
      </c>
      <c r="AX186" s="173">
        <f t="shared" si="435"/>
        <v>51.479476394651215</v>
      </c>
      <c r="AY186" s="173">
        <f t="shared" si="436"/>
        <v>2.0381156621389405</v>
      </c>
      <c r="AZ186" s="173">
        <f t="shared" si="440"/>
        <v>25.258368477785538</v>
      </c>
      <c r="BA186" s="460">
        <f t="shared" si="593"/>
        <v>16.107594061060869</v>
      </c>
      <c r="BB186" s="5">
        <f t="shared" si="594"/>
        <v>3.57119371432375</v>
      </c>
      <c r="BD186" s="173">
        <f t="shared" si="441"/>
        <v>4.1633225159231344</v>
      </c>
      <c r="BE186" s="173">
        <f t="shared" si="437"/>
        <v>3.5987673534149858</v>
      </c>
      <c r="BG186" s="528">
        <f t="shared" si="479"/>
        <v>0.20799905245911046</v>
      </c>
      <c r="BH186" s="528">
        <f t="shared" si="524"/>
        <v>1.9856312335631459</v>
      </c>
      <c r="BI186" s="528">
        <f t="shared" si="480"/>
        <v>2.7728357542771073E-2</v>
      </c>
      <c r="BJ186" s="528">
        <f t="shared" si="481"/>
        <v>0.26614078264178792</v>
      </c>
      <c r="BK186">
        <f t="shared" si="482"/>
        <v>8.4926894187203859E-3</v>
      </c>
      <c r="BL186" s="460">
        <f t="shared" si="587"/>
        <v>36.22104696149146</v>
      </c>
      <c r="BM186" s="528">
        <f t="shared" si="525"/>
        <v>2.6467339249098534</v>
      </c>
      <c r="BN186" s="460">
        <f t="shared" si="526"/>
        <v>2646.7339249098532</v>
      </c>
      <c r="BO186" s="528">
        <f t="shared" si="483"/>
        <v>1.3299999999999998</v>
      </c>
      <c r="BR186" s="460">
        <f t="shared" si="484"/>
        <v>1329.9999999999998</v>
      </c>
      <c r="BS186" s="528">
        <f t="shared" si="485"/>
        <v>0.24266556120229554</v>
      </c>
      <c r="BT186" s="528">
        <f t="shared" si="486"/>
        <v>0.18131577049607703</v>
      </c>
      <c r="BU186" s="528">
        <f t="shared" si="487"/>
        <v>12.660787192045602</v>
      </c>
      <c r="BV186" s="528"/>
      <c r="BW186" s="528">
        <f t="shared" si="488"/>
        <v>2.190616016793669</v>
      </c>
      <c r="BX186" s="460">
        <f t="shared" si="489"/>
        <v>15275.384540537643</v>
      </c>
      <c r="BY186" s="173">
        <f t="shared" si="490"/>
        <v>19.101376656163179</v>
      </c>
      <c r="BZ186" s="5">
        <f t="shared" si="491"/>
        <v>53.199999999999996</v>
      </c>
      <c r="CA186" s="173">
        <f t="shared" si="492"/>
        <v>0.73580894943395359</v>
      </c>
      <c r="CB186" s="5">
        <f t="shared" si="493"/>
        <v>73.580894943395364</v>
      </c>
      <c r="CE186" s="562">
        <f t="shared" si="527"/>
        <v>-50</v>
      </c>
      <c r="CF186">
        <f t="shared" si="528"/>
        <v>-50</v>
      </c>
      <c r="CG186" s="173">
        <f t="shared" si="529"/>
        <v>0.38788648629372463</v>
      </c>
      <c r="CI186" s="170">
        <v>76</v>
      </c>
      <c r="CJ186" s="217">
        <f t="shared" si="588"/>
        <v>1.9</v>
      </c>
      <c r="CK186" s="217"/>
      <c r="CL186" s="217">
        <f t="shared" si="530"/>
        <v>53.199999999999996</v>
      </c>
      <c r="CM186" s="541">
        <f t="shared" si="531"/>
        <v>19</v>
      </c>
      <c r="CN186" s="443">
        <f t="shared" si="532"/>
        <v>28.4</v>
      </c>
      <c r="CO186" s="443">
        <f t="shared" si="533"/>
        <v>47.4</v>
      </c>
      <c r="CP186" s="443"/>
      <c r="CQ186" s="217">
        <f t="shared" si="534"/>
        <v>0.59915611814345993</v>
      </c>
      <c r="CR186" s="172">
        <f t="shared" si="589"/>
        <v>95.556689708830859</v>
      </c>
      <c r="CS186" s="172">
        <f t="shared" si="535"/>
        <v>53.199999999999996</v>
      </c>
      <c r="CT186" s="217">
        <f t="shared" si="536"/>
        <v>3.4127389181725305</v>
      </c>
      <c r="CU186" s="217">
        <f t="shared" si="537"/>
        <v>28</v>
      </c>
      <c r="CV186" s="217"/>
      <c r="CW186" s="172">
        <f t="shared" si="538"/>
        <v>64.45052590646624</v>
      </c>
      <c r="CX186" s="536">
        <f t="shared" si="539"/>
        <v>28</v>
      </c>
      <c r="CY186" s="217">
        <f t="shared" si="540"/>
        <v>9.3464788732394357</v>
      </c>
      <c r="CZ186" s="217">
        <f t="shared" si="541"/>
        <v>2.3120237212750183</v>
      </c>
      <c r="DA186" s="217">
        <f t="shared" si="542"/>
        <v>1.5467764332473715</v>
      </c>
      <c r="DB186" s="197">
        <f t="shared" si="543"/>
        <v>350</v>
      </c>
      <c r="DC186" s="443">
        <f t="shared" si="544"/>
        <v>259.14791125630904</v>
      </c>
      <c r="DE186" s="217">
        <f t="shared" si="545"/>
        <v>6.9203442217177731</v>
      </c>
      <c r="DF186" s="173">
        <f t="shared" si="546"/>
        <v>1.1452682338758289</v>
      </c>
      <c r="DG186" s="173">
        <f t="shared" si="547"/>
        <v>1.3869888208084145</v>
      </c>
      <c r="DH186" s="173"/>
      <c r="DI186" s="173">
        <f t="shared" si="548"/>
        <v>0.55164319248826299</v>
      </c>
      <c r="DJ186" s="545">
        <f t="shared" si="549"/>
        <v>2066.5531914893613</v>
      </c>
      <c r="DK186" s="528">
        <f t="shared" si="550"/>
        <v>0.3217918622848201</v>
      </c>
      <c r="DM186" s="173">
        <f t="shared" si="551"/>
        <v>8.0996829087245441</v>
      </c>
      <c r="DN186" s="173">
        <f t="shared" si="552"/>
        <v>9.3464788732394357</v>
      </c>
      <c r="DO186" s="173">
        <f t="shared" si="553"/>
        <v>5.6541818814119269</v>
      </c>
      <c r="DQ186" s="545">
        <f t="shared" si="554"/>
        <v>1900</v>
      </c>
      <c r="DR186" s="460">
        <f t="shared" si="555"/>
        <v>259.14791125630904</v>
      </c>
      <c r="DT186">
        <f t="shared" si="590"/>
        <v>1900</v>
      </c>
      <c r="DU186">
        <f t="shared" si="591"/>
        <v>259.14791125630904</v>
      </c>
      <c r="DW186" s="5">
        <f t="shared" si="556"/>
        <v>3.85880015452239</v>
      </c>
      <c r="DX186" s="5">
        <f t="shared" si="557"/>
        <v>2.3120237212750183</v>
      </c>
      <c r="DY186" s="5">
        <f t="shared" si="558"/>
        <v>1.5467764332473717</v>
      </c>
      <c r="DZ186" s="5"/>
      <c r="EA186" s="173">
        <f t="shared" si="559"/>
        <v>0.59915611814345993</v>
      </c>
      <c r="EB186" s="173">
        <f t="shared" si="560"/>
        <v>53.199999999999982</v>
      </c>
      <c r="EC186" s="173">
        <f t="shared" si="561"/>
        <v>1.873239436619718</v>
      </c>
      <c r="ED186" s="173">
        <f t="shared" si="562"/>
        <v>28.399999999999995</v>
      </c>
      <c r="EE186" s="460">
        <f t="shared" si="563"/>
        <v>15.688732394366196</v>
      </c>
      <c r="EF186" s="5">
        <f t="shared" si="564"/>
        <v>3.0935528664947425</v>
      </c>
      <c r="EH186" s="173">
        <f t="shared" si="565"/>
        <v>4.1769319557996489</v>
      </c>
      <c r="EI186" s="173">
        <f t="shared" si="566"/>
        <v>3.4164496990184743</v>
      </c>
      <c r="EK186" s="528">
        <f t="shared" si="567"/>
        <v>0.20936112676056337</v>
      </c>
      <c r="EL186" s="528">
        <f t="shared" si="568"/>
        <v>2.1813617021276595</v>
      </c>
      <c r="EM186" s="528">
        <f t="shared" si="569"/>
        <v>2.9802009794475545E-2</v>
      </c>
      <c r="EN186" s="528">
        <f t="shared" si="570"/>
        <v>0.28675475683890572</v>
      </c>
      <c r="EO186">
        <f t="shared" si="571"/>
        <v>8.5500000000000003E-3</v>
      </c>
      <c r="EP186" s="460">
        <f t="shared" si="572"/>
        <v>38.352009794475549</v>
      </c>
      <c r="EQ186" s="460"/>
      <c r="ER186" s="460">
        <f t="shared" si="592"/>
        <v>2715.8295955216045</v>
      </c>
      <c r="ES186" s="528">
        <f t="shared" si="573"/>
        <v>1.3299999999999998</v>
      </c>
      <c r="EV186" s="460">
        <f t="shared" si="494"/>
        <v>1329.9999999999998</v>
      </c>
      <c r="EW186" s="528">
        <f t="shared" si="574"/>
        <v>0.24425464788732393</v>
      </c>
      <c r="EX186" s="528">
        <f t="shared" si="575"/>
        <v>0.16340979964292793</v>
      </c>
      <c r="EY186" s="528">
        <f t="shared" si="576"/>
        <v>14.436414989687012</v>
      </c>
      <c r="EZ186" s="528"/>
      <c r="FA186" s="528">
        <f t="shared" si="577"/>
        <v>2.2638297872340418</v>
      </c>
      <c r="FB186" s="460">
        <f t="shared" si="578"/>
        <v>17107.909224451305</v>
      </c>
      <c r="FC186" s="173">
        <f t="shared" si="579"/>
        <v>21.153738819972908</v>
      </c>
      <c r="FD186" s="5">
        <f t="shared" si="580"/>
        <v>53.199999999999996</v>
      </c>
      <c r="FE186" s="173">
        <f t="shared" si="581"/>
        <v>0.71549865338727814</v>
      </c>
      <c r="FF186" s="5">
        <f t="shared" si="582"/>
        <v>71.549865338727813</v>
      </c>
      <c r="FI186" s="562">
        <f t="shared" si="583"/>
        <v>-50</v>
      </c>
      <c r="FJ186">
        <f t="shared" si="584"/>
        <v>-50</v>
      </c>
      <c r="FL186">
        <f t="shared" si="585"/>
        <v>0.40084388185654007</v>
      </c>
    </row>
    <row r="187" spans="5:168">
      <c r="E187" s="170">
        <v>77</v>
      </c>
      <c r="F187" s="217">
        <f t="shared" si="586"/>
        <v>1.925</v>
      </c>
      <c r="G187" s="217"/>
      <c r="H187" s="217">
        <f t="shared" si="495"/>
        <v>53.9</v>
      </c>
      <c r="I187" s="541">
        <f t="shared" si="496"/>
        <v>18.871023359013321</v>
      </c>
      <c r="J187" s="172">
        <f t="shared" si="497"/>
        <v>28.469448960531288</v>
      </c>
      <c r="K187" s="172">
        <f t="shared" si="498"/>
        <v>47.34047231954461</v>
      </c>
      <c r="L187" s="443"/>
      <c r="M187" s="217">
        <f t="shared" si="499"/>
        <v>0.6013578710429891</v>
      </c>
      <c r="N187" s="172">
        <f t="shared" si="500"/>
        <v>95.256791458830165</v>
      </c>
      <c r="O187" s="172">
        <f t="shared" si="438"/>
        <v>53.9</v>
      </c>
      <c r="P187" s="217">
        <f t="shared" si="501"/>
        <v>3.4020282663867918</v>
      </c>
      <c r="Q187" s="217">
        <f t="shared" si="502"/>
        <v>28</v>
      </c>
      <c r="R187" s="217"/>
      <c r="S187" s="172">
        <f t="shared" si="503"/>
        <v>62.940889647244539</v>
      </c>
      <c r="T187" s="536">
        <f t="shared" si="504"/>
        <v>28</v>
      </c>
      <c r="U187" s="217">
        <f t="shared" si="505"/>
        <v>9.6577850667037257</v>
      </c>
      <c r="V187" s="217">
        <f t="shared" si="506"/>
        <v>2.4053592086635422</v>
      </c>
      <c r="W187" s="217">
        <f t="shared" si="507"/>
        <v>1.5943965011910235</v>
      </c>
      <c r="X187" s="197">
        <f t="shared" si="508"/>
        <v>350</v>
      </c>
      <c r="Y187" s="443">
        <f t="shared" si="509"/>
        <v>238.10908754848248</v>
      </c>
      <c r="AA187" s="217">
        <f t="shared" si="510"/>
        <v>6.8988392343983485</v>
      </c>
      <c r="AB187" s="173">
        <f t="shared" si="511"/>
        <v>1.1389242006975302</v>
      </c>
      <c r="AC187" s="173">
        <f t="shared" si="512"/>
        <v>1.3750196181361325</v>
      </c>
      <c r="AD187" s="173"/>
      <c r="AE187" s="173">
        <f t="shared" si="513"/>
        <v>0.55029750271549682</v>
      </c>
      <c r="AF187" s="545">
        <f t="shared" si="514"/>
        <v>2098.8646946434237</v>
      </c>
      <c r="AG187" s="528">
        <f t="shared" si="515"/>
        <v>0.32100687658403981</v>
      </c>
      <c r="AI187" s="173">
        <f t="shared" si="516"/>
        <v>8.1627584324648108</v>
      </c>
      <c r="AJ187" s="173">
        <f t="shared" si="517"/>
        <v>9.6577850667037257</v>
      </c>
      <c r="AK187" s="173">
        <f t="shared" si="518"/>
        <v>5.8847790617558458</v>
      </c>
      <c r="AM187" s="545">
        <f t="shared" si="519"/>
        <v>1925</v>
      </c>
      <c r="AN187" s="460">
        <f t="shared" si="520"/>
        <v>238.10908754848248</v>
      </c>
      <c r="AP187">
        <f t="shared" si="521"/>
        <v>1925</v>
      </c>
      <c r="AQ187">
        <f t="shared" si="522"/>
        <v>238.10908754848248</v>
      </c>
      <c r="AS187" s="5">
        <f t="shared" si="439"/>
        <v>4.1997557098545659</v>
      </c>
      <c r="AT187" s="5">
        <f t="shared" si="523"/>
        <v>2.4053592086635422</v>
      </c>
      <c r="AU187" s="5">
        <f t="shared" si="477"/>
        <v>1.7943965011910237</v>
      </c>
      <c r="AV187" s="5"/>
      <c r="AW187" s="173">
        <f t="shared" si="478"/>
        <v>0.57273788640121592</v>
      </c>
      <c r="AX187" s="173">
        <f t="shared" si="435"/>
        <v>52.191394993069082</v>
      </c>
      <c r="AY187" s="173">
        <f t="shared" si="436"/>
        <v>2.0632028301413037</v>
      </c>
      <c r="AZ187" s="173">
        <f t="shared" si="440"/>
        <v>25.296298662742053</v>
      </c>
      <c r="BA187" s="460">
        <f t="shared" si="593"/>
        <v>16.536844559561853</v>
      </c>
      <c r="BB187" s="5">
        <f t="shared" si="594"/>
        <v>3.6608648074646073</v>
      </c>
      <c r="BD187" s="173">
        <f t="shared" si="441"/>
        <v>4.2198291209323626</v>
      </c>
      <c r="BE187" s="173">
        <f t="shared" si="437"/>
        <v>3.644719420615671</v>
      </c>
      <c r="BG187" s="528">
        <f t="shared" si="479"/>
        <v>0.21368349371842554</v>
      </c>
      <c r="BH187" s="528">
        <f t="shared" si="524"/>
        <v>1.9867762608684512</v>
      </c>
      <c r="BI187" s="528">
        <f t="shared" si="480"/>
        <v>2.7382545068075487E-2</v>
      </c>
      <c r="BJ187" s="528">
        <f t="shared" si="481"/>
        <v>0.26281332381621431</v>
      </c>
      <c r="BK187">
        <f t="shared" si="482"/>
        <v>8.4919605115559935E-3</v>
      </c>
      <c r="BL187" s="460">
        <f t="shared" si="587"/>
        <v>35.874505579631482</v>
      </c>
      <c r="BM187" s="528">
        <f t="shared" si="525"/>
        <v>2.655806078240512</v>
      </c>
      <c r="BN187" s="460">
        <f t="shared" si="526"/>
        <v>2655.8060782405119</v>
      </c>
      <c r="BO187" s="528">
        <f t="shared" si="483"/>
        <v>1.3474999999999999</v>
      </c>
      <c r="BR187" s="460">
        <f t="shared" si="484"/>
        <v>1347.5</v>
      </c>
      <c r="BS187" s="528">
        <f t="shared" si="485"/>
        <v>0.24929740933816313</v>
      </c>
      <c r="BT187" s="528">
        <f t="shared" si="486"/>
        <v>0.18597571517018247</v>
      </c>
      <c r="BU187" s="528">
        <f t="shared" si="487"/>
        <v>12.679547974501194</v>
      </c>
      <c r="BV187" s="528"/>
      <c r="BW187" s="528">
        <f t="shared" si="488"/>
        <v>2.2209104252369829</v>
      </c>
      <c r="BX187" s="460">
        <f t="shared" si="489"/>
        <v>15335.731524246523</v>
      </c>
      <c r="BY187" s="173">
        <f t="shared" si="490"/>
        <v>19.182379108229245</v>
      </c>
      <c r="BZ187" s="5">
        <f t="shared" si="491"/>
        <v>53.9</v>
      </c>
      <c r="CA187" s="173">
        <f t="shared" si="492"/>
        <v>0.73752388274303915</v>
      </c>
      <c r="CB187" s="5">
        <f t="shared" si="493"/>
        <v>73.752388274303911</v>
      </c>
      <c r="CE187" s="562">
        <f t="shared" si="527"/>
        <v>-50</v>
      </c>
      <c r="CF187">
        <f t="shared" si="528"/>
        <v>-50</v>
      </c>
      <c r="CG187" s="173">
        <f t="shared" si="529"/>
        <v>0.38805476415817675</v>
      </c>
      <c r="CI187" s="170">
        <v>77</v>
      </c>
      <c r="CJ187" s="217">
        <f t="shared" si="588"/>
        <v>1.925</v>
      </c>
      <c r="CK187" s="217"/>
      <c r="CL187" s="217">
        <f t="shared" si="530"/>
        <v>53.9</v>
      </c>
      <c r="CM187" s="541">
        <f t="shared" si="531"/>
        <v>19</v>
      </c>
      <c r="CN187" s="443">
        <f t="shared" si="532"/>
        <v>28.4</v>
      </c>
      <c r="CO187" s="443">
        <f t="shared" si="533"/>
        <v>47.4</v>
      </c>
      <c r="CP187" s="443"/>
      <c r="CQ187" s="217">
        <f t="shared" si="534"/>
        <v>0.59915611814345993</v>
      </c>
      <c r="CR187" s="172">
        <f t="shared" si="589"/>
        <v>95.556689708830859</v>
      </c>
      <c r="CS187" s="172">
        <f t="shared" si="535"/>
        <v>53.9</v>
      </c>
      <c r="CT187" s="217">
        <f t="shared" si="536"/>
        <v>3.4127389181725305</v>
      </c>
      <c r="CU187" s="217">
        <f t="shared" si="537"/>
        <v>28</v>
      </c>
      <c r="CV187" s="217"/>
      <c r="CW187" s="172">
        <f t="shared" si="538"/>
        <v>63.370260062065043</v>
      </c>
      <c r="CX187" s="536">
        <f t="shared" si="539"/>
        <v>28</v>
      </c>
      <c r="CY187" s="217">
        <f t="shared" si="540"/>
        <v>9.4694588584136383</v>
      </c>
      <c r="CZ187" s="217">
        <f t="shared" si="541"/>
        <v>2.3424450860286368</v>
      </c>
      <c r="DA187" s="217">
        <f t="shared" si="542"/>
        <v>1.5671287547374684</v>
      </c>
      <c r="DB187" s="197">
        <f t="shared" si="543"/>
        <v>350</v>
      </c>
      <c r="DC187" s="443">
        <f t="shared" si="544"/>
        <v>255.78235396726612</v>
      </c>
      <c r="DE187" s="217">
        <f t="shared" si="545"/>
        <v>6.9203442217177731</v>
      </c>
      <c r="DF187" s="173">
        <f t="shared" si="546"/>
        <v>1.1452682338758289</v>
      </c>
      <c r="DG187" s="173">
        <f t="shared" si="547"/>
        <v>1.3869888208084145</v>
      </c>
      <c r="DH187" s="173"/>
      <c r="DI187" s="173">
        <f t="shared" si="548"/>
        <v>0.55164319248826299</v>
      </c>
      <c r="DJ187" s="545">
        <f t="shared" si="549"/>
        <v>2093.7446808510635</v>
      </c>
      <c r="DK187" s="528">
        <f t="shared" si="550"/>
        <v>0.3217918622848201</v>
      </c>
      <c r="DM187" s="173">
        <f t="shared" si="551"/>
        <v>8.1527961526327264</v>
      </c>
      <c r="DN187" s="173">
        <f t="shared" si="552"/>
        <v>9.4694588584136383</v>
      </c>
      <c r="DO187" s="173">
        <f t="shared" si="553"/>
        <v>5.7452781667261519</v>
      </c>
      <c r="DQ187" s="545">
        <f t="shared" si="554"/>
        <v>1925</v>
      </c>
      <c r="DR187" s="460">
        <f t="shared" si="555"/>
        <v>255.78235396726612</v>
      </c>
      <c r="DT187">
        <f t="shared" si="590"/>
        <v>1925</v>
      </c>
      <c r="DU187">
        <f t="shared" si="591"/>
        <v>255.78235396726612</v>
      </c>
      <c r="DW187" s="5">
        <f t="shared" si="556"/>
        <v>3.9095738407661047</v>
      </c>
      <c r="DX187" s="5">
        <f t="shared" si="557"/>
        <v>2.3424450860286368</v>
      </c>
      <c r="DY187" s="5">
        <f t="shared" si="558"/>
        <v>1.5671287547374679</v>
      </c>
      <c r="DZ187" s="5"/>
      <c r="EA187" s="173">
        <f t="shared" si="559"/>
        <v>0.59915611814345993</v>
      </c>
      <c r="EB187" s="173">
        <f t="shared" si="560"/>
        <v>53.9</v>
      </c>
      <c r="EC187" s="173">
        <f t="shared" si="561"/>
        <v>1.8978873239436616</v>
      </c>
      <c r="ED187" s="173">
        <f t="shared" si="562"/>
        <v>28.400000000000006</v>
      </c>
      <c r="EE187" s="460">
        <f t="shared" si="563"/>
        <v>16.104309966446877</v>
      </c>
      <c r="EF187" s="5">
        <f t="shared" si="564"/>
        <v>3.1754977398627631</v>
      </c>
      <c r="EH187" s="173">
        <f t="shared" si="565"/>
        <v>4.2318915867970119</v>
      </c>
      <c r="EI187" s="173">
        <f t="shared" si="566"/>
        <v>3.4614029845318752</v>
      </c>
      <c r="EK187" s="528">
        <f t="shared" si="567"/>
        <v>0.21490687682883999</v>
      </c>
      <c r="EL187" s="528">
        <f t="shared" si="568"/>
        <v>2.1813617021276599</v>
      </c>
      <c r="EM187" s="528">
        <f t="shared" si="569"/>
        <v>2.9414970706235607E-2</v>
      </c>
      <c r="EN187" s="528">
        <f t="shared" si="570"/>
        <v>0.28303066908775115</v>
      </c>
      <c r="EO187">
        <f t="shared" si="571"/>
        <v>8.5500000000000003E-3</v>
      </c>
      <c r="EP187" s="460">
        <f t="shared" si="572"/>
        <v>37.964970706235604</v>
      </c>
      <c r="EQ187" s="460"/>
      <c r="ER187" s="460">
        <f t="shared" si="592"/>
        <v>2717.2642187504862</v>
      </c>
      <c r="ES187" s="528">
        <f t="shared" si="573"/>
        <v>1.3474999999999999</v>
      </c>
      <c r="EV187" s="460">
        <f t="shared" si="494"/>
        <v>1347.5</v>
      </c>
      <c r="EW187" s="528">
        <f t="shared" si="574"/>
        <v>0.25072468963364664</v>
      </c>
      <c r="EX187" s="528">
        <f t="shared" si="575"/>
        <v>0.16773834869856644</v>
      </c>
      <c r="EY187" s="528">
        <f t="shared" si="576"/>
        <v>14.436414989686972</v>
      </c>
      <c r="EZ187" s="528"/>
      <c r="FA187" s="528">
        <f t="shared" si="577"/>
        <v>2.2936170212765954</v>
      </c>
      <c r="FB187" s="460">
        <f t="shared" si="578"/>
        <v>17148.49504929578</v>
      </c>
      <c r="FC187" s="173">
        <f t="shared" si="579"/>
        <v>21.213259268046269</v>
      </c>
      <c r="FD187" s="5">
        <f t="shared" si="580"/>
        <v>53.9</v>
      </c>
      <c r="FE187" s="173">
        <f t="shared" si="581"/>
        <v>0.7175830276203905</v>
      </c>
      <c r="FF187" s="5">
        <f t="shared" si="582"/>
        <v>71.758302762039051</v>
      </c>
      <c r="FI187" s="562">
        <f t="shared" si="583"/>
        <v>-50</v>
      </c>
      <c r="FJ187">
        <f t="shared" si="584"/>
        <v>-50</v>
      </c>
      <c r="FL187">
        <f t="shared" si="585"/>
        <v>0.40084388185654007</v>
      </c>
    </row>
    <row r="188" spans="5:168">
      <c r="E188" s="170">
        <v>78</v>
      </c>
      <c r="F188" s="217">
        <f t="shared" si="586"/>
        <v>1.9500000000000002</v>
      </c>
      <c r="G188" s="217"/>
      <c r="H188" s="217">
        <f t="shared" si="495"/>
        <v>54.600000000000009</v>
      </c>
      <c r="I188" s="541">
        <f t="shared" si="496"/>
        <v>18.869403518050405</v>
      </c>
      <c r="J188" s="172">
        <f t="shared" si="497"/>
        <v>28.470321182588243</v>
      </c>
      <c r="K188" s="172">
        <f t="shared" si="498"/>
        <v>47.339724700638648</v>
      </c>
      <c r="L188" s="443"/>
      <c r="M188" s="217">
        <f t="shared" si="499"/>
        <v>0.60138580199329905</v>
      </c>
      <c r="N188" s="172">
        <f t="shared" si="500"/>
        <v>95.253038818472149</v>
      </c>
      <c r="O188" s="172">
        <f t="shared" si="438"/>
        <v>54.600000000000009</v>
      </c>
      <c r="P188" s="217">
        <f t="shared" si="501"/>
        <v>3.4018942435168626</v>
      </c>
      <c r="Q188" s="217">
        <f t="shared" si="502"/>
        <v>28</v>
      </c>
      <c r="R188" s="217"/>
      <c r="S188" s="172">
        <f t="shared" si="503"/>
        <v>61.890243898510697</v>
      </c>
      <c r="T188" s="536">
        <f t="shared" si="504"/>
        <v>28</v>
      </c>
      <c r="U188" s="217">
        <f t="shared" si="505"/>
        <v>9.7838963576867837</v>
      </c>
      <c r="V188" s="217">
        <f t="shared" si="506"/>
        <v>2.436977556664123</v>
      </c>
      <c r="W188" s="217">
        <f t="shared" si="507"/>
        <v>1.6151666356771124</v>
      </c>
      <c r="X188" s="197">
        <f t="shared" si="508"/>
        <v>350</v>
      </c>
      <c r="Y188" s="443">
        <f t="shared" si="509"/>
        <v>235.17546789715021</v>
      </c>
      <c r="AA188" s="217">
        <f t="shared" si="510"/>
        <v>6.8985673427478984</v>
      </c>
      <c r="AB188" s="173">
        <f t="shared" si="511"/>
        <v>1.1388444233900812</v>
      </c>
      <c r="AC188" s="173">
        <f t="shared" si="512"/>
        <v>1.3748691158421407</v>
      </c>
      <c r="AD188" s="173"/>
      <c r="AE188" s="173">
        <f t="shared" si="513"/>
        <v>0.55028064369881502</v>
      </c>
      <c r="AF188" s="545">
        <f t="shared" si="514"/>
        <v>2126.1878159762709</v>
      </c>
      <c r="AG188" s="528">
        <f t="shared" si="515"/>
        <v>0.32099704215764213</v>
      </c>
      <c r="AI188" s="173">
        <f t="shared" si="516"/>
        <v>8.2157182220429519</v>
      </c>
      <c r="AJ188" s="173">
        <f t="shared" si="517"/>
        <v>9.7838963576867837</v>
      </c>
      <c r="AK188" s="173">
        <f t="shared" si="518"/>
        <v>5.978194832854407</v>
      </c>
      <c r="AM188" s="545">
        <f t="shared" si="519"/>
        <v>1950.0000000000002</v>
      </c>
      <c r="AN188" s="460">
        <f t="shared" si="520"/>
        <v>235.17546789715021</v>
      </c>
      <c r="AP188">
        <f t="shared" si="521"/>
        <v>1950.0000000000002</v>
      </c>
      <c r="AQ188">
        <f t="shared" si="522"/>
        <v>235.17546789715021</v>
      </c>
      <c r="AS188" s="5">
        <f t="shared" si="439"/>
        <v>4.2521441923412358</v>
      </c>
      <c r="AT188" s="5">
        <f t="shared" si="523"/>
        <v>2.436977556664123</v>
      </c>
      <c r="AU188" s="5">
        <f t="shared" si="477"/>
        <v>1.8151666356771128</v>
      </c>
      <c r="AV188" s="5"/>
      <c r="AW188" s="173">
        <f t="shared" si="478"/>
        <v>0.57311733714333901</v>
      </c>
      <c r="AX188" s="173">
        <f t="shared" si="435"/>
        <v>52.903397786785533</v>
      </c>
      <c r="AY188" s="173">
        <f t="shared" si="436"/>
        <v>2.0882878651414605</v>
      </c>
      <c r="AZ188" s="173">
        <f t="shared" si="440"/>
        <v>25.33338371106316</v>
      </c>
      <c r="BA188" s="460">
        <f t="shared" si="593"/>
        <v>16.971807983910857</v>
      </c>
      <c r="BB188" s="5">
        <f t="shared" si="594"/>
        <v>3.7516553569745064</v>
      </c>
      <c r="BD188" s="173">
        <f t="shared" si="441"/>
        <v>4.2763475015811734</v>
      </c>
      <c r="BE188" s="173">
        <f t="shared" si="437"/>
        <v>3.6906722095537958</v>
      </c>
      <c r="BG188" s="528">
        <f t="shared" si="479"/>
        <v>0.21944577545135452</v>
      </c>
      <c r="BH188" s="528">
        <f t="shared" si="524"/>
        <v>1.9878904945291902</v>
      </c>
      <c r="BI188" s="528">
        <f t="shared" si="480"/>
        <v>2.7045178808172279E-2</v>
      </c>
      <c r="BJ188" s="528">
        <f t="shared" si="481"/>
        <v>0.25956713740883958</v>
      </c>
      <c r="BK188">
        <f t="shared" si="482"/>
        <v>8.4912315831226822E-3</v>
      </c>
      <c r="BL188" s="460">
        <f t="shared" si="587"/>
        <v>35.536410391294957</v>
      </c>
      <c r="BM188" s="528">
        <f t="shared" si="525"/>
        <v>2.6651136344988564</v>
      </c>
      <c r="BN188" s="460">
        <f t="shared" si="526"/>
        <v>2665.1136344988563</v>
      </c>
      <c r="BO188" s="528">
        <f t="shared" si="483"/>
        <v>1.365</v>
      </c>
      <c r="BR188" s="460">
        <f t="shared" si="484"/>
        <v>1365</v>
      </c>
      <c r="BS188" s="528">
        <f t="shared" si="485"/>
        <v>0.25602007135991361</v>
      </c>
      <c r="BT188" s="528">
        <f t="shared" si="486"/>
        <v>0.19069485901721778</v>
      </c>
      <c r="BU188" s="528">
        <f t="shared" si="487"/>
        <v>12.697834286063809</v>
      </c>
      <c r="BV188" s="528"/>
      <c r="BW188" s="528">
        <f t="shared" si="488"/>
        <v>2.251208416458959</v>
      </c>
      <c r="BX188" s="460">
        <f t="shared" si="489"/>
        <v>15395.7576328999</v>
      </c>
      <c r="BY188" s="173">
        <f t="shared" si="490"/>
        <v>19.263197450680579</v>
      </c>
      <c r="BZ188" s="5">
        <f t="shared" si="491"/>
        <v>54.600000000000009</v>
      </c>
      <c r="CA188" s="173">
        <f t="shared" si="492"/>
        <v>0.73920439250490255</v>
      </c>
      <c r="CB188" s="5">
        <f t="shared" si="493"/>
        <v>73.920439250490261</v>
      </c>
      <c r="CE188" s="562">
        <f t="shared" si="527"/>
        <v>-50</v>
      </c>
      <c r="CF188">
        <f t="shared" si="528"/>
        <v>-50</v>
      </c>
      <c r="CG188" s="173">
        <f t="shared" si="529"/>
        <v>0.3882187272055917</v>
      </c>
      <c r="CI188" s="170">
        <v>78</v>
      </c>
      <c r="CJ188" s="217">
        <f t="shared" si="588"/>
        <v>1.9500000000000002</v>
      </c>
      <c r="CK188" s="217"/>
      <c r="CL188" s="217">
        <f t="shared" si="530"/>
        <v>54.600000000000009</v>
      </c>
      <c r="CM188" s="541">
        <f t="shared" si="531"/>
        <v>19</v>
      </c>
      <c r="CN188" s="443">
        <f t="shared" si="532"/>
        <v>28.4</v>
      </c>
      <c r="CO188" s="443">
        <f t="shared" si="533"/>
        <v>47.4</v>
      </c>
      <c r="CP188" s="443"/>
      <c r="CQ188" s="217">
        <f t="shared" si="534"/>
        <v>0.59915611814345993</v>
      </c>
      <c r="CR188" s="172">
        <f t="shared" si="589"/>
        <v>95.556689708830859</v>
      </c>
      <c r="CS188" s="172">
        <f t="shared" si="535"/>
        <v>54.600000000000009</v>
      </c>
      <c r="CT188" s="217">
        <f t="shared" si="536"/>
        <v>3.4127389181725305</v>
      </c>
      <c r="CU188" s="217">
        <f t="shared" si="537"/>
        <v>28</v>
      </c>
      <c r="CV188" s="217"/>
      <c r="CW188" s="172">
        <f t="shared" si="538"/>
        <v>62.317758995687868</v>
      </c>
      <c r="CX188" s="536">
        <f t="shared" si="539"/>
        <v>28</v>
      </c>
      <c r="CY188" s="217">
        <f t="shared" si="540"/>
        <v>9.5924388435878445</v>
      </c>
      <c r="CZ188" s="217">
        <f t="shared" si="541"/>
        <v>2.3728664507822566</v>
      </c>
      <c r="DA188" s="217">
        <f t="shared" si="542"/>
        <v>1.5874810762275657</v>
      </c>
      <c r="DB188" s="197">
        <f t="shared" si="543"/>
        <v>350</v>
      </c>
      <c r="DC188" s="443">
        <f t="shared" si="544"/>
        <v>252.50309301896772</v>
      </c>
      <c r="DE188" s="217">
        <f t="shared" si="545"/>
        <v>6.9203442217177731</v>
      </c>
      <c r="DF188" s="173">
        <f t="shared" si="546"/>
        <v>1.1452682338758289</v>
      </c>
      <c r="DG188" s="173">
        <f t="shared" si="547"/>
        <v>1.3869888208084145</v>
      </c>
      <c r="DH188" s="173"/>
      <c r="DI188" s="173">
        <f t="shared" si="548"/>
        <v>0.55164319248826299</v>
      </c>
      <c r="DJ188" s="545">
        <f t="shared" si="549"/>
        <v>2120.9361702127658</v>
      </c>
      <c r="DK188" s="528">
        <f t="shared" si="550"/>
        <v>0.3217918622848201</v>
      </c>
      <c r="DM188" s="173">
        <f t="shared" si="551"/>
        <v>8.2055656106621608</v>
      </c>
      <c r="DN188" s="173">
        <f t="shared" si="552"/>
        <v>9.5924388435878445</v>
      </c>
      <c r="DO188" s="173">
        <f t="shared" si="553"/>
        <v>5.8363744520403777</v>
      </c>
      <c r="DQ188" s="545">
        <f t="shared" si="554"/>
        <v>1950.0000000000002</v>
      </c>
      <c r="DR188" s="460">
        <f t="shared" si="555"/>
        <v>252.50309301896772</v>
      </c>
      <c r="DT188">
        <f t="shared" si="590"/>
        <v>1950.0000000000002</v>
      </c>
      <c r="DU188">
        <f t="shared" si="591"/>
        <v>252.50309301896772</v>
      </c>
      <c r="DW188" s="5">
        <f t="shared" si="556"/>
        <v>3.9603475270098225</v>
      </c>
      <c r="DX188" s="5">
        <f t="shared" si="557"/>
        <v>2.3728664507822566</v>
      </c>
      <c r="DY188" s="5">
        <f t="shared" si="558"/>
        <v>1.587481076227566</v>
      </c>
      <c r="DZ188" s="5"/>
      <c r="EA188" s="173">
        <f t="shared" si="559"/>
        <v>0.59915611814345993</v>
      </c>
      <c r="EB188" s="173">
        <f t="shared" si="560"/>
        <v>54.6</v>
      </c>
      <c r="EC188" s="173">
        <f t="shared" si="561"/>
        <v>1.922535211267606</v>
      </c>
      <c r="ED188" s="173">
        <f t="shared" si="562"/>
        <v>28.399999999999995</v>
      </c>
      <c r="EE188" s="460">
        <f t="shared" si="563"/>
        <v>16.525319925090717</v>
      </c>
      <c r="EF188" s="5">
        <f t="shared" si="564"/>
        <v>3.2585137880460566</v>
      </c>
      <c r="EH188" s="173">
        <f t="shared" si="565"/>
        <v>4.2868512177943776</v>
      </c>
      <c r="EI188" s="173">
        <f t="shared" si="566"/>
        <v>3.5063562700452771</v>
      </c>
      <c r="EK188" s="528">
        <f t="shared" si="567"/>
        <v>0.22052512036206168</v>
      </c>
      <c r="EL188" s="528">
        <f t="shared" si="568"/>
        <v>2.1813617021276595</v>
      </c>
      <c r="EM188" s="528">
        <f t="shared" si="569"/>
        <v>2.903785569718129E-2</v>
      </c>
      <c r="EN188" s="528">
        <f t="shared" si="570"/>
        <v>0.27940207076611323</v>
      </c>
      <c r="EO188">
        <f t="shared" si="571"/>
        <v>8.5500000000000003E-3</v>
      </c>
      <c r="EP188" s="460">
        <f t="shared" si="572"/>
        <v>37.58785569718129</v>
      </c>
      <c r="EQ188" s="460"/>
      <c r="ER188" s="460">
        <f t="shared" si="592"/>
        <v>2718.8767489530155</v>
      </c>
      <c r="ES188" s="528">
        <f t="shared" si="573"/>
        <v>1.365</v>
      </c>
      <c r="EV188" s="460">
        <f t="shared" si="494"/>
        <v>1365</v>
      </c>
      <c r="EW188" s="528">
        <f t="shared" si="574"/>
        <v>0.25727930708907193</v>
      </c>
      <c r="EX188" s="528">
        <f t="shared" si="575"/>
        <v>0.17212348009480161</v>
      </c>
      <c r="EY188" s="528">
        <f t="shared" si="576"/>
        <v>14.436414989687002</v>
      </c>
      <c r="EZ188" s="528"/>
      <c r="FA188" s="528">
        <f t="shared" si="577"/>
        <v>2.3234042553191498</v>
      </c>
      <c r="FB188" s="460">
        <f t="shared" si="578"/>
        <v>17189.222032190024</v>
      </c>
      <c r="FC188" s="173">
        <f t="shared" si="579"/>
        <v>21.273098781143041</v>
      </c>
      <c r="FD188" s="5">
        <f t="shared" si="580"/>
        <v>54.600000000000009</v>
      </c>
      <c r="FE188" s="173">
        <f t="shared" si="581"/>
        <v>0.71962264461471936</v>
      </c>
      <c r="FF188" s="5">
        <f t="shared" si="582"/>
        <v>71.962264461471932</v>
      </c>
      <c r="FI188" s="562">
        <f t="shared" si="583"/>
        <v>-50</v>
      </c>
      <c r="FJ188">
        <f t="shared" si="584"/>
        <v>-50</v>
      </c>
      <c r="FL188">
        <f t="shared" si="585"/>
        <v>0.40084388185654007</v>
      </c>
    </row>
    <row r="189" spans="5:168">
      <c r="E189" s="170">
        <v>79</v>
      </c>
      <c r="F189" s="217">
        <f t="shared" si="586"/>
        <v>1.9750000000000001</v>
      </c>
      <c r="G189" s="217"/>
      <c r="H189" s="217">
        <f t="shared" si="495"/>
        <v>55.300000000000004</v>
      </c>
      <c r="I189" s="541">
        <f t="shared" si="496"/>
        <v>18.867783631675678</v>
      </c>
      <c r="J189" s="172">
        <f t="shared" si="497"/>
        <v>28.47119342909771</v>
      </c>
      <c r="K189" s="172">
        <f t="shared" si="498"/>
        <v>47.338977060773388</v>
      </c>
      <c r="L189" s="443"/>
      <c r="M189" s="217">
        <f t="shared" si="499"/>
        <v>0.6014137344017233</v>
      </c>
      <c r="N189" s="172">
        <f t="shared" si="500"/>
        <v>95.249285420245144</v>
      </c>
      <c r="O189" s="172">
        <f t="shared" si="438"/>
        <v>55.300000000000004</v>
      </c>
      <c r="P189" s="217">
        <f t="shared" si="501"/>
        <v>3.4017601935801838</v>
      </c>
      <c r="Q189" s="217">
        <f t="shared" si="502"/>
        <v>28</v>
      </c>
      <c r="R189" s="217"/>
      <c r="S189" s="172">
        <f t="shared" si="503"/>
        <v>60.866303157870099</v>
      </c>
      <c r="T189" s="536">
        <f t="shared" si="504"/>
        <v>28</v>
      </c>
      <c r="U189" s="217">
        <f t="shared" si="505"/>
        <v>9.9100253594314491</v>
      </c>
      <c r="V189" s="217">
        <f t="shared" si="506"/>
        <v>2.4686057514001303</v>
      </c>
      <c r="W189" s="217">
        <f t="shared" si="507"/>
        <v>1.6359384198389713</v>
      </c>
      <c r="X189" s="197">
        <f t="shared" si="508"/>
        <v>350</v>
      </c>
      <c r="Y189" s="443">
        <f t="shared" si="509"/>
        <v>232.31263525683394</v>
      </c>
      <c r="AA189" s="217">
        <f t="shared" si="510"/>
        <v>6.8982953985987816</v>
      </c>
      <c r="AB189" s="173">
        <f t="shared" si="511"/>
        <v>1.1387646413261634</v>
      </c>
      <c r="AC189" s="173">
        <f t="shared" si="512"/>
        <v>1.3747186049357716</v>
      </c>
      <c r="AD189" s="173"/>
      <c r="AE189" s="173">
        <f t="shared" si="513"/>
        <v>0.55026378524249886</v>
      </c>
      <c r="AF189" s="545">
        <f t="shared" si="514"/>
        <v>2153.5126093711142</v>
      </c>
      <c r="AG189" s="528">
        <f t="shared" si="515"/>
        <v>0.32098720805812436</v>
      </c>
      <c r="AI189" s="173">
        <f t="shared" si="516"/>
        <v>8.2683420141268371</v>
      </c>
      <c r="AJ189" s="173">
        <f t="shared" si="517"/>
        <v>9.9100253594314491</v>
      </c>
      <c r="AK189" s="173">
        <f t="shared" si="518"/>
        <v>6.0716237230356409</v>
      </c>
      <c r="AM189" s="545">
        <f t="shared" si="519"/>
        <v>1975</v>
      </c>
      <c r="AN189" s="460">
        <f t="shared" si="520"/>
        <v>232.31263525683394</v>
      </c>
      <c r="AP189">
        <f t="shared" si="521"/>
        <v>1975</v>
      </c>
      <c r="AQ189">
        <f t="shared" si="522"/>
        <v>232.31263525683394</v>
      </c>
      <c r="AS189" s="5">
        <f t="shared" si="439"/>
        <v>4.304544171239101</v>
      </c>
      <c r="AT189" s="5">
        <f t="shared" si="523"/>
        <v>2.4686057514001303</v>
      </c>
      <c r="AU189" s="5">
        <f t="shared" si="477"/>
        <v>1.8359384198389708</v>
      </c>
      <c r="AV189" s="5"/>
      <c r="AW189" s="173">
        <f t="shared" si="478"/>
        <v>0.573488307517941</v>
      </c>
      <c r="AX189" s="173">
        <f t="shared" si="435"/>
        <v>53.615483309424341</v>
      </c>
      <c r="AY189" s="173">
        <f t="shared" si="436"/>
        <v>2.1133708442956163</v>
      </c>
      <c r="AZ189" s="173">
        <f t="shared" si="440"/>
        <v>25.369652209475007</v>
      </c>
      <c r="BA189" s="460">
        <f t="shared" si="593"/>
        <v>17.412486996483064</v>
      </c>
      <c r="BB189" s="5">
        <f t="shared" si="594"/>
        <v>3.8435657838418176</v>
      </c>
      <c r="BD189" s="173">
        <f t="shared" si="441"/>
        <v>4.3328776158910527</v>
      </c>
      <c r="BE189" s="173">
        <f t="shared" si="437"/>
        <v>3.7366258095464153</v>
      </c>
      <c r="BG189" s="528">
        <f t="shared" si="479"/>
        <v>0.2252859412114768</v>
      </c>
      <c r="BH189" s="528">
        <f t="shared" si="524"/>
        <v>1.9889750487189108</v>
      </c>
      <c r="BI189" s="528">
        <f t="shared" si="480"/>
        <v>2.6715953054535904E-2</v>
      </c>
      <c r="BJ189" s="528">
        <f t="shared" si="481"/>
        <v>0.25639928179522115</v>
      </c>
      <c r="BK189">
        <f t="shared" si="482"/>
        <v>8.4905026342540543E-3</v>
      </c>
      <c r="BL189" s="460">
        <f t="shared" si="587"/>
        <v>35.206455688789958</v>
      </c>
      <c r="BM189" s="528">
        <f t="shared" si="525"/>
        <v>2.6746563177660252</v>
      </c>
      <c r="BN189" s="460">
        <f t="shared" si="526"/>
        <v>2674.656317766025</v>
      </c>
      <c r="BO189" s="528">
        <f t="shared" si="483"/>
        <v>1.3825000000000001</v>
      </c>
      <c r="BR189" s="460">
        <f t="shared" si="484"/>
        <v>1382.5</v>
      </c>
      <c r="BS189" s="528">
        <f t="shared" si="485"/>
        <v>0.26283359808005624</v>
      </c>
      <c r="BT189" s="528">
        <f t="shared" si="486"/>
        <v>0.19547321416795765</v>
      </c>
      <c r="BU189" s="528">
        <f t="shared" si="487"/>
        <v>12.715662641443805</v>
      </c>
      <c r="BV189" s="528"/>
      <c r="BW189" s="528">
        <f t="shared" si="488"/>
        <v>2.2815099280606104</v>
      </c>
      <c r="BX189" s="460">
        <f t="shared" si="489"/>
        <v>15455.47938175243</v>
      </c>
      <c r="BY189" s="173">
        <f t="shared" si="490"/>
        <v>19.343846109166829</v>
      </c>
      <c r="BZ189" s="5">
        <f t="shared" si="491"/>
        <v>55.300000000000004</v>
      </c>
      <c r="CA189" s="173">
        <f t="shared" si="492"/>
        <v>0.74085142824933758</v>
      </c>
      <c r="CB189" s="5">
        <f t="shared" si="493"/>
        <v>74.085142824933754</v>
      </c>
      <c r="CE189" s="562">
        <f t="shared" si="527"/>
        <v>-50</v>
      </c>
      <c r="CF189">
        <f t="shared" si="528"/>
        <v>-50</v>
      </c>
      <c r="CG189" s="173">
        <f t="shared" si="529"/>
        <v>0.38837853928978089</v>
      </c>
      <c r="CI189" s="170">
        <v>79</v>
      </c>
      <c r="CJ189" s="217">
        <f t="shared" si="588"/>
        <v>1.9750000000000001</v>
      </c>
      <c r="CK189" s="217"/>
      <c r="CL189" s="217">
        <f t="shared" si="530"/>
        <v>55.300000000000004</v>
      </c>
      <c r="CM189" s="541">
        <f t="shared" si="531"/>
        <v>19</v>
      </c>
      <c r="CN189" s="443">
        <f t="shared" si="532"/>
        <v>28.4</v>
      </c>
      <c r="CO189" s="443">
        <f t="shared" si="533"/>
        <v>47.4</v>
      </c>
      <c r="CP189" s="443"/>
      <c r="CQ189" s="217">
        <f t="shared" si="534"/>
        <v>0.59915611814345993</v>
      </c>
      <c r="CR189" s="172">
        <f t="shared" si="589"/>
        <v>95.556689708830859</v>
      </c>
      <c r="CS189" s="172">
        <f t="shared" si="535"/>
        <v>55.300000000000004</v>
      </c>
      <c r="CT189" s="217">
        <f t="shared" si="536"/>
        <v>3.4127389181725305</v>
      </c>
      <c r="CU189" s="217">
        <f t="shared" si="537"/>
        <v>28</v>
      </c>
      <c r="CV189" s="217"/>
      <c r="CW189" s="172">
        <f t="shared" si="538"/>
        <v>61.291969067454417</v>
      </c>
      <c r="CX189" s="536">
        <f t="shared" si="539"/>
        <v>28</v>
      </c>
      <c r="CY189" s="217">
        <f t="shared" si="540"/>
        <v>9.7154188287620453</v>
      </c>
      <c r="CZ189" s="217">
        <f t="shared" si="541"/>
        <v>2.4032878155358746</v>
      </c>
      <c r="DA189" s="217">
        <f t="shared" si="542"/>
        <v>1.6078333977176624</v>
      </c>
      <c r="DB189" s="197">
        <f t="shared" si="543"/>
        <v>350</v>
      </c>
      <c r="DC189" s="443">
        <f t="shared" si="544"/>
        <v>249.30685133518341</v>
      </c>
      <c r="DE189" s="217">
        <f t="shared" si="545"/>
        <v>6.9203442217177731</v>
      </c>
      <c r="DF189" s="173">
        <f t="shared" si="546"/>
        <v>1.1452682338758289</v>
      </c>
      <c r="DG189" s="173">
        <f t="shared" si="547"/>
        <v>1.3869888208084145</v>
      </c>
      <c r="DH189" s="173"/>
      <c r="DI189" s="173">
        <f t="shared" si="548"/>
        <v>0.55164319248826299</v>
      </c>
      <c r="DJ189" s="545">
        <f t="shared" si="549"/>
        <v>2148.127659574468</v>
      </c>
      <c r="DK189" s="528">
        <f t="shared" si="550"/>
        <v>0.3217918622848201</v>
      </c>
      <c r="DM189" s="173">
        <f t="shared" si="551"/>
        <v>8.257997873297132</v>
      </c>
      <c r="DN189" s="173">
        <f t="shared" si="552"/>
        <v>9.7154188287620453</v>
      </c>
      <c r="DO189" s="173">
        <f t="shared" si="553"/>
        <v>5.9274707373546009</v>
      </c>
      <c r="DQ189" s="545">
        <f t="shared" si="554"/>
        <v>1975</v>
      </c>
      <c r="DR189" s="460">
        <f t="shared" si="555"/>
        <v>249.30685133518341</v>
      </c>
      <c r="DT189">
        <f t="shared" si="590"/>
        <v>1975</v>
      </c>
      <c r="DU189">
        <f t="shared" si="591"/>
        <v>249.30685133518341</v>
      </c>
      <c r="DW189" s="5">
        <f t="shared" si="556"/>
        <v>4.0111212132535368</v>
      </c>
      <c r="DX189" s="5">
        <f t="shared" si="557"/>
        <v>2.4032878155358746</v>
      </c>
      <c r="DY189" s="5">
        <f t="shared" si="558"/>
        <v>1.6078333977176622</v>
      </c>
      <c r="DZ189" s="5"/>
      <c r="EA189" s="173">
        <f t="shared" si="559"/>
        <v>0.59915611814345993</v>
      </c>
      <c r="EB189" s="173">
        <f t="shared" si="560"/>
        <v>55.3</v>
      </c>
      <c r="EC189" s="173">
        <f t="shared" si="561"/>
        <v>1.947183098591549</v>
      </c>
      <c r="ED189" s="173">
        <f t="shared" si="562"/>
        <v>28.400000000000002</v>
      </c>
      <c r="EE189" s="460">
        <f t="shared" si="563"/>
        <v>16.951762270297689</v>
      </c>
      <c r="EF189" s="5">
        <f t="shared" si="564"/>
        <v>3.3426010110446134</v>
      </c>
      <c r="EH189" s="173">
        <f t="shared" si="565"/>
        <v>4.3418108487917397</v>
      </c>
      <c r="EI189" s="173">
        <f t="shared" si="566"/>
        <v>3.5513095555586771</v>
      </c>
      <c r="EK189" s="528">
        <f t="shared" si="567"/>
        <v>0.22621585736022778</v>
      </c>
      <c r="EL189" s="528">
        <f t="shared" si="568"/>
        <v>2.1813617021276599</v>
      </c>
      <c r="EM189" s="528">
        <f t="shared" si="569"/>
        <v>2.8670287903546095E-2</v>
      </c>
      <c r="EN189" s="528">
        <f t="shared" si="570"/>
        <v>0.27586533569312455</v>
      </c>
      <c r="EO189">
        <f t="shared" si="571"/>
        <v>8.5500000000000003E-3</v>
      </c>
      <c r="EP189" s="460">
        <f t="shared" si="572"/>
        <v>37.220287903546094</v>
      </c>
      <c r="EQ189" s="460"/>
      <c r="ER189" s="460">
        <f t="shared" si="592"/>
        <v>2720.6631830845586</v>
      </c>
      <c r="ES189" s="528">
        <f t="shared" si="573"/>
        <v>1.3825000000000001</v>
      </c>
      <c r="EV189" s="460">
        <f t="shared" si="494"/>
        <v>1382.5</v>
      </c>
      <c r="EW189" s="528">
        <f t="shared" si="574"/>
        <v>0.26391850025359909</v>
      </c>
      <c r="EX189" s="528">
        <f t="shared" si="575"/>
        <v>0.17656519383163316</v>
      </c>
      <c r="EY189" s="528">
        <f t="shared" si="576"/>
        <v>14.436414989687011</v>
      </c>
      <c r="EZ189" s="528"/>
      <c r="FA189" s="528">
        <f t="shared" si="577"/>
        <v>2.3531914893617025</v>
      </c>
      <c r="FB189" s="460">
        <f t="shared" si="578"/>
        <v>17230.090173133944</v>
      </c>
      <c r="FC189" s="173">
        <f t="shared" si="579"/>
        <v>21.333253356218503</v>
      </c>
      <c r="FD189" s="5">
        <f t="shared" si="580"/>
        <v>55.300000000000004</v>
      </c>
      <c r="FE189" s="173">
        <f t="shared" si="581"/>
        <v>0.7216188479294493</v>
      </c>
      <c r="FF189" s="5">
        <f t="shared" si="582"/>
        <v>72.161884792944932</v>
      </c>
      <c r="FI189" s="562">
        <f t="shared" si="583"/>
        <v>-50</v>
      </c>
      <c r="FJ189">
        <f t="shared" si="584"/>
        <v>-50</v>
      </c>
      <c r="FL189">
        <f t="shared" si="585"/>
        <v>0.40084388185654007</v>
      </c>
    </row>
    <row r="190" spans="5:168">
      <c r="E190" s="170">
        <v>80</v>
      </c>
      <c r="F190" s="217">
        <f t="shared" si="586"/>
        <v>2</v>
      </c>
      <c r="G190" s="217"/>
      <c r="H190" s="217">
        <f t="shared" si="495"/>
        <v>56</v>
      </c>
      <c r="I190" s="541">
        <f t="shared" si="496"/>
        <v>18.866163701646034</v>
      </c>
      <c r="J190" s="172">
        <f t="shared" si="497"/>
        <v>28.472065699113671</v>
      </c>
      <c r="K190" s="172">
        <f t="shared" si="498"/>
        <v>47.338229400759701</v>
      </c>
      <c r="L190" s="443"/>
      <c r="M190" s="217">
        <f t="shared" si="499"/>
        <v>0.60144166824608902</v>
      </c>
      <c r="N190" s="172">
        <f t="shared" si="500"/>
        <v>95.24553126941602</v>
      </c>
      <c r="O190" s="172">
        <f t="shared" si="438"/>
        <v>56</v>
      </c>
      <c r="P190" s="217">
        <f t="shared" si="501"/>
        <v>3.401626116764858</v>
      </c>
      <c r="Q190" s="217">
        <f t="shared" si="502"/>
        <v>28</v>
      </c>
      <c r="R190" s="217"/>
      <c r="S190" s="172">
        <f t="shared" si="503"/>
        <v>59.868066713700699</v>
      </c>
      <c r="T190" s="536">
        <f t="shared" si="504"/>
        <v>28</v>
      </c>
      <c r="U190" s="217">
        <f t="shared" si="505"/>
        <v>10.036172076487389</v>
      </c>
      <c r="V190" s="217">
        <f t="shared" si="506"/>
        <v>2.5002437965369313</v>
      </c>
      <c r="W190" s="217">
        <f t="shared" si="507"/>
        <v>1.6567118542775463</v>
      </c>
      <c r="X190" s="197">
        <f t="shared" si="508"/>
        <v>350</v>
      </c>
      <c r="Y190" s="443">
        <f t="shared" si="509"/>
        <v>229.51805805346277</v>
      </c>
      <c r="AA190" s="217">
        <f t="shared" si="510"/>
        <v>6.8980234022401126</v>
      </c>
      <c r="AB190" s="173">
        <f t="shared" si="511"/>
        <v>1.1386848545919792</v>
      </c>
      <c r="AC190" s="173">
        <f t="shared" si="512"/>
        <v>1.3745680855815743</v>
      </c>
      <c r="AD190" s="173"/>
      <c r="AE190" s="173">
        <f t="shared" si="513"/>
        <v>0.55024692736482295</v>
      </c>
      <c r="AF190" s="545">
        <f t="shared" si="514"/>
        <v>2180.8390748257279</v>
      </c>
      <c r="AG190" s="528">
        <f t="shared" si="515"/>
        <v>0.3209773742961467</v>
      </c>
      <c r="AI190" s="173">
        <f t="shared" si="516"/>
        <v>8.3206361837544662</v>
      </c>
      <c r="AJ190" s="173">
        <f t="shared" si="517"/>
        <v>10.036172076487389</v>
      </c>
      <c r="AK190" s="173">
        <f t="shared" si="518"/>
        <v>6.1650657356696712</v>
      </c>
      <c r="AM190" s="545">
        <f t="shared" si="519"/>
        <v>2000</v>
      </c>
      <c r="AN190" s="460">
        <f t="shared" si="520"/>
        <v>229.51805805346277</v>
      </c>
      <c r="AP190">
        <f t="shared" si="521"/>
        <v>2000</v>
      </c>
      <c r="AQ190">
        <f t="shared" si="522"/>
        <v>229.51805805346277</v>
      </c>
      <c r="AS190" s="5">
        <f t="shared" si="439"/>
        <v>4.356955650814478</v>
      </c>
      <c r="AT190" s="5">
        <f t="shared" si="523"/>
        <v>2.5002437965369313</v>
      </c>
      <c r="AU190" s="5">
        <f t="shared" si="477"/>
        <v>1.8567118542775467</v>
      </c>
      <c r="AV190" s="5"/>
      <c r="AW190" s="173">
        <f t="shared" si="478"/>
        <v>0.57385110084137358</v>
      </c>
      <c r="AX190" s="173">
        <f t="shared" si="435"/>
        <v>54.327650164532784</v>
      </c>
      <c r="AY190" s="173">
        <f t="shared" si="436"/>
        <v>2.1384518410808235</v>
      </c>
      <c r="AZ190" s="173">
        <f t="shared" si="440"/>
        <v>25.405131469818052</v>
      </c>
      <c r="BA190" s="460">
        <f t="shared" si="593"/>
        <v>17.85888426097808</v>
      </c>
      <c r="BB190" s="5">
        <f t="shared" si="594"/>
        <v>3.9365965092639419</v>
      </c>
      <c r="BD190" s="173">
        <f t="shared" si="441"/>
        <v>4.3894194240289677</v>
      </c>
      <c r="BE190" s="173">
        <f t="shared" si="437"/>
        <v>3.7825803057673393</v>
      </c>
      <c r="BG190" s="528">
        <f t="shared" si="479"/>
        <v>0.23120403456051355</v>
      </c>
      <c r="BH190" s="528">
        <f t="shared" si="524"/>
        <v>1.9900309844823389</v>
      </c>
      <c r="BI190" s="528">
        <f t="shared" si="480"/>
        <v>2.639457667614822E-2</v>
      </c>
      <c r="BJ190" s="528">
        <f t="shared" si="481"/>
        <v>0.25330695561984207</v>
      </c>
      <c r="BK190">
        <f t="shared" si="482"/>
        <v>8.4897736657407151E-3</v>
      </c>
      <c r="BL190" s="460">
        <f t="shared" si="587"/>
        <v>34.884350341888933</v>
      </c>
      <c r="BM190" s="528">
        <f t="shared" si="525"/>
        <v>2.6844339707720133</v>
      </c>
      <c r="BN190" s="460">
        <f t="shared" si="526"/>
        <v>2684.4339707720133</v>
      </c>
      <c r="BO190" s="528">
        <f t="shared" si="483"/>
        <v>1.4</v>
      </c>
      <c r="BR190" s="460">
        <f t="shared" si="484"/>
        <v>1400</v>
      </c>
      <c r="BS190" s="528">
        <f t="shared" si="485"/>
        <v>0.26973804032059917</v>
      </c>
      <c r="BT190" s="528">
        <f t="shared" si="486"/>
        <v>0.20031079277410516</v>
      </c>
      <c r="BU190" s="528">
        <f t="shared" si="487"/>
        <v>12.73304879838456</v>
      </c>
      <c r="BV190" s="528"/>
      <c r="BW190" s="528">
        <f t="shared" si="488"/>
        <v>2.3118149006184163</v>
      </c>
      <c r="BX190" s="460">
        <f t="shared" si="489"/>
        <v>15514.912532097682</v>
      </c>
      <c r="BY190" s="173">
        <f t="shared" si="490"/>
        <v>19.424338857102263</v>
      </c>
      <c r="BZ190" s="5">
        <f t="shared" si="491"/>
        <v>56</v>
      </c>
      <c r="CA190" s="173">
        <f t="shared" si="492"/>
        <v>0.74246590488644115</v>
      </c>
      <c r="CB190" s="5">
        <f t="shared" si="493"/>
        <v>74.246590488644117</v>
      </c>
      <c r="CE190" s="562">
        <f t="shared" si="527"/>
        <v>-50</v>
      </c>
      <c r="CF190">
        <f t="shared" si="528"/>
        <v>-50</v>
      </c>
      <c r="CG190" s="173">
        <f t="shared" si="529"/>
        <v>0.38853435607186548</v>
      </c>
      <c r="CI190" s="170">
        <v>80</v>
      </c>
      <c r="CJ190" s="217">
        <f t="shared" si="588"/>
        <v>2</v>
      </c>
      <c r="CK190" s="217"/>
      <c r="CL190" s="217">
        <f t="shared" si="530"/>
        <v>56</v>
      </c>
      <c r="CM190" s="541">
        <f t="shared" si="531"/>
        <v>19</v>
      </c>
      <c r="CN190" s="443">
        <f t="shared" si="532"/>
        <v>28.4</v>
      </c>
      <c r="CO190" s="443">
        <f t="shared" si="533"/>
        <v>47.4</v>
      </c>
      <c r="CP190" s="443"/>
      <c r="CQ190" s="217">
        <f t="shared" si="534"/>
        <v>0.59915611814345993</v>
      </c>
      <c r="CR190" s="172">
        <f t="shared" si="589"/>
        <v>95.556689708830859</v>
      </c>
      <c r="CS190" s="172">
        <f t="shared" si="535"/>
        <v>56</v>
      </c>
      <c r="CT190" s="217">
        <f t="shared" si="536"/>
        <v>3.4127389181725305</v>
      </c>
      <c r="CU190" s="217">
        <f t="shared" si="537"/>
        <v>28</v>
      </c>
      <c r="CV190" s="217"/>
      <c r="CW190" s="172">
        <f t="shared" si="538"/>
        <v>60.291889329594952</v>
      </c>
      <c r="CX190" s="536">
        <f t="shared" si="539"/>
        <v>28</v>
      </c>
      <c r="CY190" s="217">
        <f t="shared" si="540"/>
        <v>9.8383988139362479</v>
      </c>
      <c r="CZ190" s="217">
        <f t="shared" si="541"/>
        <v>2.4337091802894926</v>
      </c>
      <c r="DA190" s="217">
        <f t="shared" si="542"/>
        <v>1.6281857192077593</v>
      </c>
      <c r="DB190" s="197">
        <f t="shared" si="543"/>
        <v>350</v>
      </c>
      <c r="DC190" s="443">
        <f t="shared" si="544"/>
        <v>246.19051569349361</v>
      </c>
      <c r="DE190" s="217">
        <f t="shared" si="545"/>
        <v>6.9203442217177731</v>
      </c>
      <c r="DF190" s="173">
        <f t="shared" si="546"/>
        <v>1.1452682338758289</v>
      </c>
      <c r="DG190" s="173">
        <f t="shared" si="547"/>
        <v>1.3869888208084145</v>
      </c>
      <c r="DH190" s="173"/>
      <c r="DI190" s="173">
        <f t="shared" si="548"/>
        <v>0.55164319248826299</v>
      </c>
      <c r="DJ190" s="545">
        <f t="shared" si="549"/>
        <v>2175.3191489361702</v>
      </c>
      <c r="DK190" s="528">
        <f t="shared" si="550"/>
        <v>0.3217918622848201</v>
      </c>
      <c r="DM190" s="173">
        <f t="shared" si="551"/>
        <v>8.3100993231054954</v>
      </c>
      <c r="DN190" s="173">
        <f t="shared" si="552"/>
        <v>9.8383988139362479</v>
      </c>
      <c r="DO190" s="173">
        <f t="shared" si="553"/>
        <v>6.0185670226688259</v>
      </c>
      <c r="DQ190" s="545">
        <f t="shared" si="554"/>
        <v>2000</v>
      </c>
      <c r="DR190" s="460">
        <f t="shared" si="555"/>
        <v>246.19051569349361</v>
      </c>
      <c r="DT190">
        <f t="shared" si="590"/>
        <v>2000</v>
      </c>
      <c r="DU190">
        <f t="shared" si="591"/>
        <v>246.19051569349361</v>
      </c>
      <c r="DW190" s="5">
        <f t="shared" si="556"/>
        <v>4.0618948994972524</v>
      </c>
      <c r="DX190" s="5">
        <f t="shared" si="557"/>
        <v>2.4337091802894926</v>
      </c>
      <c r="DY190" s="5">
        <f t="shared" si="558"/>
        <v>1.6281857192077598</v>
      </c>
      <c r="DZ190" s="5"/>
      <c r="EA190" s="173">
        <f t="shared" si="559"/>
        <v>0.59915611814345981</v>
      </c>
      <c r="EB190" s="173">
        <f t="shared" si="560"/>
        <v>55.999999999999986</v>
      </c>
      <c r="EC190" s="173">
        <f t="shared" si="561"/>
        <v>1.9718309859154932</v>
      </c>
      <c r="ED190" s="173">
        <f t="shared" si="562"/>
        <v>28.399999999999988</v>
      </c>
      <c r="EE190" s="460">
        <f t="shared" si="563"/>
        <v>17.383637002067804</v>
      </c>
      <c r="EF190" s="5">
        <f t="shared" si="564"/>
        <v>3.4277594088584413</v>
      </c>
      <c r="EH190" s="173">
        <f t="shared" si="565"/>
        <v>4.3967704797891036</v>
      </c>
      <c r="EI190" s="173">
        <f t="shared" si="566"/>
        <v>3.5962628410720794</v>
      </c>
      <c r="EK190" s="528">
        <f t="shared" si="567"/>
        <v>0.23197908782333884</v>
      </c>
      <c r="EL190" s="528">
        <f t="shared" si="568"/>
        <v>2.1813617021276595</v>
      </c>
      <c r="EM190" s="528">
        <f t="shared" si="569"/>
        <v>2.8311909304751769E-2</v>
      </c>
      <c r="EN190" s="528">
        <f t="shared" si="570"/>
        <v>0.27241701899696047</v>
      </c>
      <c r="EO190">
        <f t="shared" si="571"/>
        <v>8.5500000000000003E-3</v>
      </c>
      <c r="EP190" s="460">
        <f t="shared" si="572"/>
        <v>36.861909304751769</v>
      </c>
      <c r="EQ190" s="460"/>
      <c r="ER190" s="460">
        <f t="shared" si="592"/>
        <v>2722.6197182527108</v>
      </c>
      <c r="ES190" s="528">
        <f t="shared" si="573"/>
        <v>1.4</v>
      </c>
      <c r="EV190" s="460">
        <f t="shared" si="494"/>
        <v>1400</v>
      </c>
      <c r="EW190" s="528">
        <f t="shared" si="574"/>
        <v>0.27064226912722866</v>
      </c>
      <c r="EX190" s="528">
        <f t="shared" si="575"/>
        <v>0.18106348990906154</v>
      </c>
      <c r="EY190" s="528">
        <f t="shared" si="576"/>
        <v>14.436414989686984</v>
      </c>
      <c r="EZ190" s="528"/>
      <c r="FA190" s="528">
        <f t="shared" si="577"/>
        <v>2.3829787234042548</v>
      </c>
      <c r="FB190" s="460">
        <f t="shared" si="578"/>
        <v>17271.099472127527</v>
      </c>
      <c r="FC190" s="173">
        <f t="shared" si="579"/>
        <v>21.393719190380239</v>
      </c>
      <c r="FD190" s="5">
        <f t="shared" si="580"/>
        <v>56</v>
      </c>
      <c r="FE190" s="173">
        <f t="shared" si="581"/>
        <v>0.72357292795615635</v>
      </c>
      <c r="FF190" s="5">
        <f t="shared" si="582"/>
        <v>72.357292795615635</v>
      </c>
      <c r="FI190" s="562">
        <f t="shared" si="583"/>
        <v>-50</v>
      </c>
      <c r="FJ190">
        <f t="shared" si="584"/>
        <v>-50</v>
      </c>
      <c r="FL190">
        <f t="shared" si="585"/>
        <v>0.40084388185654019</v>
      </c>
    </row>
    <row r="191" spans="5:168">
      <c r="E191" s="170">
        <v>81</v>
      </c>
      <c r="F191" s="217">
        <f t="shared" si="586"/>
        <v>2.0250000000000004</v>
      </c>
      <c r="G191" s="217"/>
      <c r="H191" s="217">
        <f t="shared" si="495"/>
        <v>56.70000000000001</v>
      </c>
      <c r="I191" s="541">
        <f t="shared" si="496"/>
        <v>18.864543729628895</v>
      </c>
      <c r="J191" s="172">
        <f t="shared" si="497"/>
        <v>28.472937991738284</v>
      </c>
      <c r="K191" s="172">
        <f t="shared" si="498"/>
        <v>47.337481721367183</v>
      </c>
      <c r="L191" s="443"/>
      <c r="M191" s="217">
        <f t="shared" si="499"/>
        <v>0.60146960350535361</v>
      </c>
      <c r="N191" s="172">
        <f t="shared" si="500"/>
        <v>95.241776370981796</v>
      </c>
      <c r="O191" s="172">
        <f t="shared" si="438"/>
        <v>56.70000000000001</v>
      </c>
      <c r="P191" s="217">
        <f t="shared" si="501"/>
        <v>3.4014920132493498</v>
      </c>
      <c r="Q191" s="217">
        <f t="shared" si="502"/>
        <v>28</v>
      </c>
      <c r="R191" s="217"/>
      <c r="S191" s="172">
        <f t="shared" si="503"/>
        <v>58.894583281996979</v>
      </c>
      <c r="T191" s="536">
        <f t="shared" si="504"/>
        <v>28</v>
      </c>
      <c r="U191" s="217">
        <f t="shared" si="505"/>
        <v>10.16233651340672</v>
      </c>
      <c r="V191" s="217">
        <f t="shared" si="506"/>
        <v>2.5318916957421251</v>
      </c>
      <c r="W191" s="217">
        <f t="shared" si="507"/>
        <v>1.6774869395940277</v>
      </c>
      <c r="X191" s="197">
        <f t="shared" si="508"/>
        <v>350</v>
      </c>
      <c r="Y191" s="443">
        <f t="shared" si="509"/>
        <v>226.78932400727345</v>
      </c>
      <c r="AA191" s="217">
        <f t="shared" si="510"/>
        <v>6.897751353946175</v>
      </c>
      <c r="AB191" s="173">
        <f t="shared" si="511"/>
        <v>1.1386050632693352</v>
      </c>
      <c r="AC191" s="173">
        <f t="shared" si="512"/>
        <v>1.3744175579358049</v>
      </c>
      <c r="AD191" s="173"/>
      <c r="AE191" s="173">
        <f t="shared" si="513"/>
        <v>0.55023007008312641</v>
      </c>
      <c r="AF191" s="545">
        <f t="shared" si="514"/>
        <v>2208.1672123380008</v>
      </c>
      <c r="AG191" s="528">
        <f t="shared" si="515"/>
        <v>0.32096754088182372</v>
      </c>
      <c r="AI191" s="173">
        <f t="shared" si="516"/>
        <v>8.3726069072558644</v>
      </c>
      <c r="AJ191" s="173">
        <f t="shared" si="517"/>
        <v>10.16233651340672</v>
      </c>
      <c r="AK191" s="173">
        <f t="shared" si="518"/>
        <v>6.2585208741284335</v>
      </c>
      <c r="AM191" s="545">
        <f t="shared" si="519"/>
        <v>2025.0000000000005</v>
      </c>
      <c r="AN191" s="460">
        <f t="shared" si="520"/>
        <v>226.78932400727345</v>
      </c>
      <c r="AP191">
        <f t="shared" si="521"/>
        <v>2025.0000000000005</v>
      </c>
      <c r="AQ191">
        <f t="shared" si="522"/>
        <v>226.78932400727345</v>
      </c>
      <c r="AS191" s="5">
        <f t="shared" si="439"/>
        <v>4.4093786353361528</v>
      </c>
      <c r="AT191" s="5">
        <f t="shared" si="523"/>
        <v>2.5318916957421251</v>
      </c>
      <c r="AU191" s="5">
        <f t="shared" si="477"/>
        <v>1.8774869395940277</v>
      </c>
      <c r="AV191" s="5"/>
      <c r="AW191" s="173">
        <f t="shared" si="478"/>
        <v>0.5742060061369858</v>
      </c>
      <c r="AX191" s="173">
        <f t="shared" si="435"/>
        <v>55.039897021462949</v>
      </c>
      <c r="AY191" s="173">
        <f t="shared" si="436"/>
        <v>2.1635309255116928</v>
      </c>
      <c r="AZ191" s="173">
        <f t="shared" si="440"/>
        <v>25.439847599333742</v>
      </c>
      <c r="BA191" s="460">
        <f t="shared" si="593"/>
        <v>18.311002442420733</v>
      </c>
      <c r="BB191" s="5">
        <f t="shared" si="594"/>
        <v>4.030747954647401</v>
      </c>
      <c r="BD191" s="173">
        <f t="shared" si="441"/>
        <v>4.4459728881800151</v>
      </c>
      <c r="BE191" s="173">
        <f t="shared" si="437"/>
        <v>3.8285357794864705</v>
      </c>
      <c r="BG191" s="528">
        <f t="shared" si="479"/>
        <v>0.23720009906918094</v>
      </c>
      <c r="BH191" s="528">
        <f t="shared" si="524"/>
        <v>1.9910593128648513</v>
      </c>
      <c r="BI191" s="528">
        <f t="shared" si="480"/>
        <v>2.6080772260836452E-2</v>
      </c>
      <c r="BJ191" s="528">
        <f t="shared" si="481"/>
        <v>0.25028748953385027</v>
      </c>
      <c r="BK191">
        <f t="shared" si="482"/>
        <v>8.489044678333002E-3</v>
      </c>
      <c r="BL191" s="460">
        <f t="shared" si="587"/>
        <v>34.569816939169456</v>
      </c>
      <c r="BM191" s="528">
        <f t="shared" si="525"/>
        <v>2.6944465503254587</v>
      </c>
      <c r="BN191" s="460">
        <f t="shared" si="526"/>
        <v>2694.4465503254587</v>
      </c>
      <c r="BO191" s="528">
        <f t="shared" si="483"/>
        <v>1.4175000000000002</v>
      </c>
      <c r="BR191" s="460">
        <f t="shared" si="484"/>
        <v>1417.5000000000002</v>
      </c>
      <c r="BS191" s="528">
        <f t="shared" si="485"/>
        <v>0.27673344891404439</v>
      </c>
      <c r="BT191" s="528">
        <f t="shared" si="486"/>
        <v>0.20520760700731308</v>
      </c>
      <c r="BU191" s="528">
        <f t="shared" si="487"/>
        <v>12.750007800488195</v>
      </c>
      <c r="BV191" s="528"/>
      <c r="BW191" s="528">
        <f t="shared" si="488"/>
        <v>2.3421232775090619</v>
      </c>
      <c r="BX191" s="460">
        <f t="shared" si="489"/>
        <v>15574.072133918615</v>
      </c>
      <c r="BY191" s="173">
        <f t="shared" si="490"/>
        <v>19.504688852325664</v>
      </c>
      <c r="BZ191" s="5">
        <f t="shared" si="491"/>
        <v>56.70000000000001</v>
      </c>
      <c r="CA191" s="173">
        <f t="shared" si="492"/>
        <v>0.74404870427168723</v>
      </c>
      <c r="CB191" s="5">
        <f t="shared" si="493"/>
        <v>74.404870427168717</v>
      </c>
      <c r="CE191" s="562">
        <f t="shared" si="527"/>
        <v>-50</v>
      </c>
      <c r="CF191">
        <f t="shared" si="528"/>
        <v>-50</v>
      </c>
      <c r="CG191" s="173">
        <f t="shared" si="529"/>
        <v>0.38868632552599708</v>
      </c>
      <c r="CI191" s="170">
        <v>81</v>
      </c>
      <c r="CJ191" s="217">
        <f t="shared" si="588"/>
        <v>2.0250000000000004</v>
      </c>
      <c r="CK191" s="217"/>
      <c r="CL191" s="217">
        <f t="shared" si="530"/>
        <v>56.70000000000001</v>
      </c>
      <c r="CM191" s="541">
        <f t="shared" si="531"/>
        <v>19</v>
      </c>
      <c r="CN191" s="443">
        <f t="shared" si="532"/>
        <v>28.4</v>
      </c>
      <c r="CO191" s="443">
        <f t="shared" si="533"/>
        <v>47.4</v>
      </c>
      <c r="CP191" s="443"/>
      <c r="CQ191" s="217">
        <f t="shared" si="534"/>
        <v>0.59915611814345993</v>
      </c>
      <c r="CR191" s="172">
        <f t="shared" si="589"/>
        <v>95.556689708830859</v>
      </c>
      <c r="CS191" s="172">
        <f t="shared" si="535"/>
        <v>56.70000000000001</v>
      </c>
      <c r="CT191" s="217">
        <f t="shared" si="536"/>
        <v>3.4127389181725305</v>
      </c>
      <c r="CU191" s="217">
        <f t="shared" si="537"/>
        <v>28</v>
      </c>
      <c r="CV191" s="217"/>
      <c r="CW191" s="172">
        <f t="shared" si="538"/>
        <v>59.316568274021456</v>
      </c>
      <c r="CX191" s="536">
        <f t="shared" si="539"/>
        <v>28</v>
      </c>
      <c r="CY191" s="217">
        <f t="shared" si="540"/>
        <v>9.9613787991104523</v>
      </c>
      <c r="CZ191" s="217">
        <f t="shared" si="541"/>
        <v>2.4641305450431119</v>
      </c>
      <c r="DA191" s="217">
        <f t="shared" si="542"/>
        <v>1.6485380406978565</v>
      </c>
      <c r="DB191" s="197">
        <f t="shared" si="543"/>
        <v>350</v>
      </c>
      <c r="DC191" s="443">
        <f t="shared" si="544"/>
        <v>243.15112661085792</v>
      </c>
      <c r="DE191" s="217">
        <f t="shared" si="545"/>
        <v>6.9203442217177731</v>
      </c>
      <c r="DF191" s="173">
        <f t="shared" si="546"/>
        <v>1.1452682338758289</v>
      </c>
      <c r="DG191" s="173">
        <f t="shared" si="547"/>
        <v>1.3869888208084145</v>
      </c>
      <c r="DH191" s="173"/>
      <c r="DI191" s="173">
        <f t="shared" si="548"/>
        <v>0.55164319248826299</v>
      </c>
      <c r="DJ191" s="545">
        <f t="shared" si="549"/>
        <v>2202.5106382978724</v>
      </c>
      <c r="DK191" s="528">
        <f t="shared" si="550"/>
        <v>0.3217918622848201</v>
      </c>
      <c r="DM191" s="173">
        <f t="shared" si="551"/>
        <v>8.3618761438074962</v>
      </c>
      <c r="DN191" s="173">
        <f t="shared" si="552"/>
        <v>9.9613787991104523</v>
      </c>
      <c r="DO191" s="173">
        <f t="shared" si="553"/>
        <v>6.1096633079830509</v>
      </c>
      <c r="DQ191" s="545">
        <f t="shared" si="554"/>
        <v>2025.0000000000005</v>
      </c>
      <c r="DR191" s="460">
        <f t="shared" si="555"/>
        <v>243.15112661085792</v>
      </c>
      <c r="DT191">
        <f t="shared" si="590"/>
        <v>2025.0000000000005</v>
      </c>
      <c r="DU191">
        <f t="shared" si="591"/>
        <v>243.15112661085792</v>
      </c>
      <c r="DW191" s="5">
        <f t="shared" si="556"/>
        <v>4.1126685857409679</v>
      </c>
      <c r="DX191" s="5">
        <f t="shared" si="557"/>
        <v>2.4641305450431119</v>
      </c>
      <c r="DY191" s="5">
        <f t="shared" si="558"/>
        <v>1.648538040697856</v>
      </c>
      <c r="DZ191" s="5"/>
      <c r="EA191" s="173">
        <f t="shared" si="559"/>
        <v>0.59915611814346004</v>
      </c>
      <c r="EB191" s="173">
        <f t="shared" si="560"/>
        <v>56.70000000000001</v>
      </c>
      <c r="EC191" s="173">
        <f t="shared" si="561"/>
        <v>1.9964788732394361</v>
      </c>
      <c r="ED191" s="173">
        <f t="shared" si="562"/>
        <v>28.400000000000013</v>
      </c>
      <c r="EE191" s="460">
        <f t="shared" si="563"/>
        <v>17.820944120401084</v>
      </c>
      <c r="EF191" s="5">
        <f t="shared" si="564"/>
        <v>3.5139889814875351</v>
      </c>
      <c r="EH191" s="173">
        <f t="shared" si="565"/>
        <v>4.4517301107864684</v>
      </c>
      <c r="EI191" s="173">
        <f t="shared" si="566"/>
        <v>3.6412161265854794</v>
      </c>
      <c r="EK191" s="528">
        <f t="shared" si="567"/>
        <v>0.23781481175139485</v>
      </c>
      <c r="EL191" s="528">
        <f t="shared" si="568"/>
        <v>2.1813617021276599</v>
      </c>
      <c r="EM191" s="528">
        <f t="shared" si="569"/>
        <v>2.7962379560248662E-2</v>
      </c>
      <c r="EN191" s="528">
        <f t="shared" si="570"/>
        <v>0.26905384592292392</v>
      </c>
      <c r="EO191">
        <f t="shared" si="571"/>
        <v>8.5500000000000003E-3</v>
      </c>
      <c r="EP191" s="460">
        <f t="shared" si="572"/>
        <v>36.512379560248661</v>
      </c>
      <c r="EQ191" s="460"/>
      <c r="ER191" s="460">
        <f t="shared" si="592"/>
        <v>2724.742739362227</v>
      </c>
      <c r="ES191" s="528">
        <f t="shared" si="573"/>
        <v>1.4175000000000002</v>
      </c>
      <c r="EV191" s="460">
        <f t="shared" si="494"/>
        <v>1417.5000000000002</v>
      </c>
      <c r="EW191" s="528">
        <f t="shared" si="574"/>
        <v>0.27745061370996066</v>
      </c>
      <c r="EX191" s="528">
        <f t="shared" si="575"/>
        <v>0.18561836832708628</v>
      </c>
      <c r="EY191" s="528">
        <f t="shared" si="576"/>
        <v>14.436414989686998</v>
      </c>
      <c r="EZ191" s="528"/>
      <c r="FA191" s="528">
        <f t="shared" si="577"/>
        <v>2.4127659574468092</v>
      </c>
      <c r="FB191" s="460">
        <f t="shared" si="578"/>
        <v>17312.249929170852</v>
      </c>
      <c r="FC191" s="173">
        <f t="shared" si="579"/>
        <v>21.454492668533081</v>
      </c>
      <c r="FD191" s="5">
        <f t="shared" si="580"/>
        <v>56.70000000000001</v>
      </c>
      <c r="FE191" s="173">
        <f t="shared" si="581"/>
        <v>0.72548612452101313</v>
      </c>
      <c r="FF191" s="5">
        <f t="shared" si="582"/>
        <v>72.54861245210131</v>
      </c>
      <c r="FI191" s="562">
        <f t="shared" si="583"/>
        <v>-50</v>
      </c>
      <c r="FJ191">
        <f t="shared" si="584"/>
        <v>-50</v>
      </c>
      <c r="FL191">
        <f t="shared" si="585"/>
        <v>0.40084388185653996</v>
      </c>
    </row>
    <row r="192" spans="5:168">
      <c r="E192" s="170">
        <v>82</v>
      </c>
      <c r="F192" s="217">
        <f t="shared" si="586"/>
        <v>2.0499999999999998</v>
      </c>
      <c r="G192" s="217"/>
      <c r="H192" s="217">
        <f t="shared" si="495"/>
        <v>57.399999999999991</v>
      </c>
      <c r="I192" s="541">
        <f t="shared" si="496"/>
        <v>18.862923717207838</v>
      </c>
      <c r="J192" s="172">
        <f t="shared" si="497"/>
        <v>28.473810306118857</v>
      </c>
      <c r="K192" s="172">
        <f t="shared" si="498"/>
        <v>47.336734023326699</v>
      </c>
      <c r="L192" s="443"/>
      <c r="M192" s="217">
        <f t="shared" si="499"/>
        <v>0.60149754015953594</v>
      </c>
      <c r="N192" s="172">
        <f t="shared" si="500"/>
        <v>95.238020729686895</v>
      </c>
      <c r="O192" s="172">
        <f t="shared" si="438"/>
        <v>57.399999999999991</v>
      </c>
      <c r="P192" s="217">
        <f t="shared" si="501"/>
        <v>3.4013578832031035</v>
      </c>
      <c r="Q192" s="217">
        <f t="shared" si="502"/>
        <v>28</v>
      </c>
      <c r="R192" s="217"/>
      <c r="S192" s="172">
        <f t="shared" si="503"/>
        <v>57.94494799268427</v>
      </c>
      <c r="T192" s="536">
        <f t="shared" si="504"/>
        <v>28</v>
      </c>
      <c r="U192" s="217">
        <f t="shared" si="505"/>
        <v>10.288518674743909</v>
      </c>
      <c r="V192" s="217">
        <f t="shared" si="506"/>
        <v>2.5635494526854936</v>
      </c>
      <c r="W192" s="217">
        <f t="shared" si="507"/>
        <v>1.6982636763898415</v>
      </c>
      <c r="X192" s="197">
        <f t="shared" si="508"/>
        <v>350</v>
      </c>
      <c r="Y192" s="443">
        <f t="shared" si="509"/>
        <v>224.12413318781006</v>
      </c>
      <c r="AA192" s="217">
        <f t="shared" si="510"/>
        <v>6.8974792539773579</v>
      </c>
      <c r="AB192" s="173">
        <f t="shared" si="511"/>
        <v>1.1385252674359185</v>
      </c>
      <c r="AC192" s="173">
        <f t="shared" si="512"/>
        <v>1.3742670221469475</v>
      </c>
      <c r="AD192" s="173"/>
      <c r="AE192" s="173">
        <f t="shared" si="513"/>
        <v>0.55021321341387142</v>
      </c>
      <c r="AF192" s="545">
        <f t="shared" si="514"/>
        <v>2235.4970219059269</v>
      </c>
      <c r="AG192" s="528">
        <f t="shared" si="515"/>
        <v>0.32095770782475835</v>
      </c>
      <c r="AI192" s="173">
        <f t="shared" si="516"/>
        <v>8.4242601708152982</v>
      </c>
      <c r="AJ192" s="173">
        <f t="shared" si="517"/>
        <v>10.288518674743909</v>
      </c>
      <c r="AK192" s="173">
        <f t="shared" si="518"/>
        <v>6.3519891417856114</v>
      </c>
      <c r="AM192" s="545">
        <f t="shared" si="519"/>
        <v>2050</v>
      </c>
      <c r="AN192" s="460">
        <f t="shared" si="520"/>
        <v>224.12413318781006</v>
      </c>
      <c r="AP192">
        <f t="shared" si="521"/>
        <v>2050</v>
      </c>
      <c r="AQ192">
        <f t="shared" si="522"/>
        <v>224.12413318781006</v>
      </c>
      <c r="AS192" s="5">
        <f t="shared" si="439"/>
        <v>4.4618131290753347</v>
      </c>
      <c r="AT192" s="5">
        <f t="shared" si="523"/>
        <v>2.5635494526854936</v>
      </c>
      <c r="AU192" s="5">
        <f t="shared" si="477"/>
        <v>1.8982636763898411</v>
      </c>
      <c r="AV192" s="5"/>
      <c r="AW192" s="173">
        <f t="shared" si="478"/>
        <v>0.57455329896722118</v>
      </c>
      <c r="AX192" s="173">
        <f t="shared" si="435"/>
        <v>55.752222611540518</v>
      </c>
      <c r="AY192" s="173">
        <f t="shared" si="436"/>
        <v>2.1886081643419666</v>
      </c>
      <c r="AZ192" s="173">
        <f t="shared" si="440"/>
        <v>25.473825566351731</v>
      </c>
      <c r="BA192" s="460">
        <f t="shared" si="593"/>
        <v>18.768844207161646</v>
      </c>
      <c r="BB192" s="5">
        <f t="shared" si="594"/>
        <v>4.1260205416079572</v>
      </c>
      <c r="BD192" s="173">
        <f t="shared" si="441"/>
        <v>4.502537972429014</v>
      </c>
      <c r="BE192" s="173">
        <f t="shared" si="437"/>
        <v>3.8744923082927318</v>
      </c>
      <c r="BG192" s="528">
        <f t="shared" si="479"/>
        <v>0.24327417831798215</v>
      </c>
      <c r="BH192" s="528">
        <f t="shared" si="524"/>
        <v>1.9920609978233137</v>
      </c>
      <c r="BI192" s="528">
        <f t="shared" si="480"/>
        <v>2.577427531659816E-2</v>
      </c>
      <c r="BJ192" s="528">
        <f t="shared" si="481"/>
        <v>0.24733833851000589</v>
      </c>
      <c r="BK192">
        <f t="shared" si="482"/>
        <v>8.4883156727435273E-3</v>
      </c>
      <c r="BL192" s="460">
        <f t="shared" si="587"/>
        <v>34.262590989341689</v>
      </c>
      <c r="BM192" s="528">
        <f t="shared" si="525"/>
        <v>2.7046941231168442</v>
      </c>
      <c r="BN192" s="460">
        <f t="shared" si="526"/>
        <v>2704.6941231168444</v>
      </c>
      <c r="BO192" s="528">
        <f t="shared" si="483"/>
        <v>1.4349999999999998</v>
      </c>
      <c r="BR192" s="460">
        <f t="shared" si="484"/>
        <v>1434.9999999999998</v>
      </c>
      <c r="BS192" s="528">
        <f t="shared" si="485"/>
        <v>0.28381987470431247</v>
      </c>
      <c r="BT192" s="528">
        <f t="shared" si="486"/>
        <v>0.21016366905827358</v>
      </c>
      <c r="BU192" s="528">
        <f t="shared" si="487"/>
        <v>12.766554017169804</v>
      </c>
      <c r="BV192" s="528"/>
      <c r="BW192" s="528">
        <f t="shared" si="488"/>
        <v>2.3724350047464049</v>
      </c>
      <c r="BX192" s="460">
        <f t="shared" si="489"/>
        <v>15632.972565678794</v>
      </c>
      <c r="BY192" s="173">
        <f t="shared" si="490"/>
        <v>19.584908671319436</v>
      </c>
      <c r="BZ192" s="5">
        <f t="shared" si="491"/>
        <v>57.399999999999991</v>
      </c>
      <c r="CA192" s="173">
        <f t="shared" si="492"/>
        <v>0.74560067668670549</v>
      </c>
      <c r="CB192" s="5">
        <f t="shared" si="493"/>
        <v>74.560067668670555</v>
      </c>
      <c r="CE192" s="562">
        <f t="shared" si="527"/>
        <v>-50</v>
      </c>
      <c r="CF192">
        <f t="shared" si="528"/>
        <v>-50</v>
      </c>
      <c r="CG192" s="173">
        <f t="shared" si="529"/>
        <v>0.38883458840807705</v>
      </c>
      <c r="CI192" s="170">
        <v>82</v>
      </c>
      <c r="CJ192" s="217">
        <f t="shared" si="588"/>
        <v>2.0499999999999998</v>
      </c>
      <c r="CK192" s="217"/>
      <c r="CL192" s="217">
        <f t="shared" si="530"/>
        <v>57.399999999999991</v>
      </c>
      <c r="CM192" s="541">
        <f t="shared" si="531"/>
        <v>19</v>
      </c>
      <c r="CN192" s="443">
        <f t="shared" si="532"/>
        <v>28.4</v>
      </c>
      <c r="CO192" s="443">
        <f t="shared" si="533"/>
        <v>47.4</v>
      </c>
      <c r="CP192" s="443"/>
      <c r="CQ192" s="217">
        <f t="shared" si="534"/>
        <v>0.59915611814345993</v>
      </c>
      <c r="CR192" s="172">
        <f t="shared" si="589"/>
        <v>95.556689708830859</v>
      </c>
      <c r="CS192" s="172">
        <f t="shared" si="535"/>
        <v>57.399999999999991</v>
      </c>
      <c r="CT192" s="217">
        <f t="shared" si="536"/>
        <v>3.4127389181725305</v>
      </c>
      <c r="CU192" s="217">
        <f t="shared" si="537"/>
        <v>28</v>
      </c>
      <c r="CV192" s="217"/>
      <c r="CW192" s="172">
        <f t="shared" si="538"/>
        <v>58.36510081788488</v>
      </c>
      <c r="CX192" s="536">
        <f t="shared" si="539"/>
        <v>28</v>
      </c>
      <c r="CY192" s="217">
        <f t="shared" si="540"/>
        <v>10.084358784284653</v>
      </c>
      <c r="CZ192" s="217">
        <f t="shared" si="541"/>
        <v>2.4945519097967299</v>
      </c>
      <c r="DA192" s="217">
        <f t="shared" si="542"/>
        <v>1.6688903621879532</v>
      </c>
      <c r="DB192" s="197">
        <f t="shared" si="543"/>
        <v>350</v>
      </c>
      <c r="DC192" s="443">
        <f t="shared" si="544"/>
        <v>240.18586896926209</v>
      </c>
      <c r="DE192" s="217">
        <f t="shared" si="545"/>
        <v>6.9203442217177731</v>
      </c>
      <c r="DF192" s="173">
        <f t="shared" si="546"/>
        <v>1.1452682338758289</v>
      </c>
      <c r="DG192" s="173">
        <f t="shared" si="547"/>
        <v>1.3869888208084145</v>
      </c>
      <c r="DH192" s="173"/>
      <c r="DI192" s="173">
        <f t="shared" si="548"/>
        <v>0.55164319248826299</v>
      </c>
      <c r="DJ192" s="545">
        <f t="shared" si="549"/>
        <v>2229.7021276595742</v>
      </c>
      <c r="DK192" s="528">
        <f t="shared" si="550"/>
        <v>0.3217918622848201</v>
      </c>
      <c r="DM192" s="173">
        <f t="shared" si="551"/>
        <v>8.4133343288422449</v>
      </c>
      <c r="DN192" s="173">
        <f t="shared" si="552"/>
        <v>10.084358784284653</v>
      </c>
      <c r="DO192" s="173">
        <f t="shared" si="553"/>
        <v>6.2007595932972741</v>
      </c>
      <c r="DQ192" s="545">
        <f t="shared" si="554"/>
        <v>2050</v>
      </c>
      <c r="DR192" s="460">
        <f t="shared" si="555"/>
        <v>240.18586896926209</v>
      </c>
      <c r="DT192">
        <f t="shared" si="590"/>
        <v>2050</v>
      </c>
      <c r="DU192">
        <f t="shared" si="591"/>
        <v>240.18586896926209</v>
      </c>
      <c r="DW192" s="5">
        <f t="shared" si="556"/>
        <v>4.1634422719846835</v>
      </c>
      <c r="DX192" s="5">
        <f t="shared" si="557"/>
        <v>2.4945519097967299</v>
      </c>
      <c r="DY192" s="5">
        <f t="shared" si="558"/>
        <v>1.6688903621879536</v>
      </c>
      <c r="DZ192" s="5"/>
      <c r="EA192" s="173">
        <f t="shared" si="559"/>
        <v>0.59915611814345981</v>
      </c>
      <c r="EB192" s="173">
        <f t="shared" si="560"/>
        <v>57.399999999999984</v>
      </c>
      <c r="EC192" s="173">
        <f t="shared" si="561"/>
        <v>2.0211267605633805</v>
      </c>
      <c r="ED192" s="173">
        <f t="shared" si="562"/>
        <v>28.399999999999988</v>
      </c>
      <c r="EE192" s="460">
        <f t="shared" si="563"/>
        <v>18.263683625297485</v>
      </c>
      <c r="EF192" s="5">
        <f t="shared" si="564"/>
        <v>3.6012897289318992</v>
      </c>
      <c r="EH192" s="173">
        <f t="shared" si="565"/>
        <v>4.5066897417838305</v>
      </c>
      <c r="EI192" s="173">
        <f t="shared" si="566"/>
        <v>3.6861694120988808</v>
      </c>
      <c r="EK192" s="528">
        <f t="shared" si="567"/>
        <v>0.24372302914439531</v>
      </c>
      <c r="EL192" s="528">
        <f t="shared" si="568"/>
        <v>2.1813617021276599</v>
      </c>
      <c r="EM192" s="528">
        <f t="shared" si="569"/>
        <v>2.7621374931465142E-2</v>
      </c>
      <c r="EN192" s="528">
        <f t="shared" si="570"/>
        <v>0.26577270146044929</v>
      </c>
      <c r="EO192">
        <f t="shared" si="571"/>
        <v>8.5500000000000003E-3</v>
      </c>
      <c r="EP192" s="460">
        <f t="shared" si="572"/>
        <v>36.171374931465138</v>
      </c>
      <c r="EQ192" s="460"/>
      <c r="ER192" s="460">
        <f t="shared" si="592"/>
        <v>2727.0288076639699</v>
      </c>
      <c r="ES192" s="528">
        <f t="shared" si="573"/>
        <v>1.4349999999999998</v>
      </c>
      <c r="EV192" s="460">
        <f t="shared" si="494"/>
        <v>1434.9999999999998</v>
      </c>
      <c r="EW192" s="528">
        <f t="shared" si="574"/>
        <v>0.28434353400179452</v>
      </c>
      <c r="EX192" s="528">
        <f t="shared" si="575"/>
        <v>0.19022982908570774</v>
      </c>
      <c r="EY192" s="528">
        <f t="shared" si="576"/>
        <v>14.436414989686986</v>
      </c>
      <c r="EZ192" s="528"/>
      <c r="FA192" s="528">
        <f t="shared" si="577"/>
        <v>2.4425531914893615</v>
      </c>
      <c r="FB192" s="460">
        <f t="shared" si="578"/>
        <v>17353.541544263848</v>
      </c>
      <c r="FC192" s="173">
        <f t="shared" si="579"/>
        <v>21.515570351927821</v>
      </c>
      <c r="FD192" s="5">
        <f t="shared" si="580"/>
        <v>57.399999999999991</v>
      </c>
      <c r="FE192" s="173">
        <f t="shared" si="581"/>
        <v>0.72735962933578135</v>
      </c>
      <c r="FF192" s="5">
        <f t="shared" si="582"/>
        <v>72.735962933578136</v>
      </c>
      <c r="FI192" s="562">
        <f t="shared" si="583"/>
        <v>-50</v>
      </c>
      <c r="FJ192">
        <f t="shared" si="584"/>
        <v>-50</v>
      </c>
      <c r="FL192">
        <f t="shared" si="585"/>
        <v>0.40084388185654019</v>
      </c>
    </row>
    <row r="193" spans="5:168">
      <c r="E193" s="170">
        <v>83</v>
      </c>
      <c r="F193" s="217">
        <f t="shared" si="586"/>
        <v>2.0749999999999997</v>
      </c>
      <c r="G193" s="217"/>
      <c r="H193" s="217">
        <f t="shared" si="495"/>
        <v>58.099999999999994</v>
      </c>
      <c r="I193" s="541">
        <f t="shared" si="496"/>
        <v>18.861303665887782</v>
      </c>
      <c r="J193" s="172">
        <f t="shared" si="497"/>
        <v>28.474682641445039</v>
      </c>
      <c r="K193" s="172">
        <f t="shared" si="498"/>
        <v>47.335986307332817</v>
      </c>
      <c r="L193" s="443"/>
      <c r="M193" s="217">
        <f t="shared" si="499"/>
        <v>0.6015254781896483</v>
      </c>
      <c r="N193" s="172">
        <f t="shared" si="500"/>
        <v>95.234264350038444</v>
      </c>
      <c r="O193" s="172">
        <f t="shared" si="438"/>
        <v>58.099999999999994</v>
      </c>
      <c r="P193" s="217">
        <f t="shared" si="501"/>
        <v>3.4012237267870873</v>
      </c>
      <c r="Q193" s="217">
        <f t="shared" si="502"/>
        <v>28</v>
      </c>
      <c r="R193" s="217"/>
      <c r="S193" s="172">
        <f t="shared" si="503"/>
        <v>57.018299593790921</v>
      </c>
      <c r="T193" s="536">
        <f t="shared" si="504"/>
        <v>28</v>
      </c>
      <c r="U193" s="217">
        <f t="shared" si="505"/>
        <v>10.414718565055795</v>
      </c>
      <c r="V193" s="217">
        <f t="shared" si="506"/>
        <v>2.5952170710389888</v>
      </c>
      <c r="W193" s="217">
        <f t="shared" si="507"/>
        <v>1.7190420652666545</v>
      </c>
      <c r="X193" s="197">
        <f t="shared" si="508"/>
        <v>350</v>
      </c>
      <c r="Y193" s="443">
        <f t="shared" si="509"/>
        <v>221.52029154852085</v>
      </c>
      <c r="AA193" s="217">
        <f t="shared" si="510"/>
        <v>6.8972071025810031</v>
      </c>
      <c r="AB193" s="173">
        <f t="shared" si="511"/>
        <v>1.1384454671655513</v>
      </c>
      <c r="AC193" s="173">
        <f t="shared" si="512"/>
        <v>1.374116478356193</v>
      </c>
      <c r="AD193" s="173"/>
      <c r="AE193" s="173">
        <f t="shared" si="513"/>
        <v>0.55019635737269834</v>
      </c>
      <c r="AF193" s="545">
        <f t="shared" si="514"/>
        <v>2262.8285035276003</v>
      </c>
      <c r="AG193" s="528">
        <f t="shared" si="515"/>
        <v>0.32094787513407408</v>
      </c>
      <c r="AI193" s="173">
        <f t="shared" si="516"/>
        <v>8.4756017785649114</v>
      </c>
      <c r="AJ193" s="173">
        <f t="shared" si="517"/>
        <v>10.414718565055795</v>
      </c>
      <c r="AK193" s="173">
        <f t="shared" si="518"/>
        <v>6.4454705420166372</v>
      </c>
      <c r="AM193" s="545">
        <f t="shared" si="519"/>
        <v>2074.9999999999995</v>
      </c>
      <c r="AN193" s="460">
        <f t="shared" si="520"/>
        <v>221.52029154852085</v>
      </c>
      <c r="AP193">
        <f t="shared" si="521"/>
        <v>2074.9999999999995</v>
      </c>
      <c r="AQ193">
        <f t="shared" si="522"/>
        <v>221.52029154852085</v>
      </c>
      <c r="AS193" s="5">
        <f t="shared" si="439"/>
        <v>4.5142591363056432</v>
      </c>
      <c r="AT193" s="5">
        <f t="shared" si="523"/>
        <v>2.5952170710389888</v>
      </c>
      <c r="AU193" s="5">
        <f t="shared" si="477"/>
        <v>1.9190420652666544</v>
      </c>
      <c r="AV193" s="5"/>
      <c r="AW193" s="173">
        <f t="shared" si="478"/>
        <v>0.57489324220825511</v>
      </c>
      <c r="AX193" s="173">
        <f t="shared" si="435"/>
        <v>56.464625724498696</v>
      </c>
      <c r="AY193" s="173">
        <f t="shared" si="436"/>
        <v>2.2136836212521813</v>
      </c>
      <c r="AZ193" s="173">
        <f t="shared" si="440"/>
        <v>25.507089261725302</v>
      </c>
      <c r="BA193" s="460">
        <f t="shared" si="593"/>
        <v>19.232412222878217</v>
      </c>
      <c r="BB193" s="5">
        <f t="shared" si="594"/>
        <v>4.2224146919707399</v>
      </c>
      <c r="BD193" s="173">
        <f t="shared" si="441"/>
        <v>4.5591146426503961</v>
      </c>
      <c r="BE193" s="173">
        <f t="shared" si="437"/>
        <v>3.9204499663019154</v>
      </c>
      <c r="BG193" s="528">
        <f t="shared" si="479"/>
        <v>0.249426315897951</v>
      </c>
      <c r="BH193" s="528">
        <f t="shared" si="524"/>
        <v>1.9930369589359129</v>
      </c>
      <c r="BI193" s="528">
        <f t="shared" si="480"/>
        <v>2.5474833528079898E-2</v>
      </c>
      <c r="BJ193" s="528">
        <f t="shared" si="481"/>
        <v>0.244457074688329</v>
      </c>
      <c r="BK193">
        <f t="shared" si="482"/>
        <v>8.4875866496495009E-3</v>
      </c>
      <c r="BL193" s="460">
        <f t="shared" si="587"/>
        <v>33.962420177729399</v>
      </c>
      <c r="BM193" s="528">
        <f t="shared" si="525"/>
        <v>2.7151768618666625</v>
      </c>
      <c r="BN193" s="460">
        <f t="shared" si="526"/>
        <v>2715.1768618666624</v>
      </c>
      <c r="BO193" s="528">
        <f t="shared" si="483"/>
        <v>1.4524999999999997</v>
      </c>
      <c r="BR193" s="460">
        <f t="shared" si="484"/>
        <v>1452.4999999999998</v>
      </c>
      <c r="BS193" s="528">
        <f t="shared" si="485"/>
        <v>0.29099736854760949</v>
      </c>
      <c r="BT193" s="528">
        <f t="shared" si="486"/>
        <v>0.21517899113587369</v>
      </c>
      <c r="BU193" s="528">
        <f t="shared" si="487"/>
        <v>12.782701180962716</v>
      </c>
      <c r="BV193" s="528"/>
      <c r="BW193" s="528">
        <f t="shared" si="488"/>
        <v>2.4027500308297318</v>
      </c>
      <c r="BX193" s="460">
        <f t="shared" si="489"/>
        <v>15691.62757147593</v>
      </c>
      <c r="BY193" s="173">
        <f t="shared" si="490"/>
        <v>19.665010341175854</v>
      </c>
      <c r="BZ193" s="5">
        <f t="shared" si="491"/>
        <v>58.099999999999994</v>
      </c>
      <c r="CA193" s="173">
        <f t="shared" si="492"/>
        <v>0.74712264224102576</v>
      </c>
      <c r="CB193" s="5">
        <f t="shared" si="493"/>
        <v>74.712264224102569</v>
      </c>
      <c r="CE193" s="562">
        <f t="shared" si="527"/>
        <v>-50</v>
      </c>
      <c r="CF193">
        <f t="shared" si="528"/>
        <v>-50</v>
      </c>
      <c r="CG193" s="173">
        <f t="shared" si="529"/>
        <v>0.38897927869058857</v>
      </c>
      <c r="CI193" s="170">
        <v>83</v>
      </c>
      <c r="CJ193" s="217">
        <f t="shared" si="588"/>
        <v>2.0749999999999997</v>
      </c>
      <c r="CK193" s="217"/>
      <c r="CL193" s="217">
        <f t="shared" si="530"/>
        <v>58.099999999999994</v>
      </c>
      <c r="CM193" s="541">
        <f t="shared" si="531"/>
        <v>19</v>
      </c>
      <c r="CN193" s="443">
        <f t="shared" si="532"/>
        <v>28.4</v>
      </c>
      <c r="CO193" s="443">
        <f t="shared" si="533"/>
        <v>47.4</v>
      </c>
      <c r="CP193" s="443"/>
      <c r="CQ193" s="217">
        <f t="shared" si="534"/>
        <v>0.59915611814345993</v>
      </c>
      <c r="CR193" s="172">
        <f t="shared" si="589"/>
        <v>95.556689708830859</v>
      </c>
      <c r="CS193" s="172">
        <f t="shared" si="535"/>
        <v>58.099999999999994</v>
      </c>
      <c r="CT193" s="217">
        <f t="shared" si="536"/>
        <v>3.4127389181725305</v>
      </c>
      <c r="CU193" s="217">
        <f t="shared" si="537"/>
        <v>28</v>
      </c>
      <c r="CV193" s="217"/>
      <c r="CW193" s="172">
        <f t="shared" si="538"/>
        <v>57.436625507046884</v>
      </c>
      <c r="CX193" s="536">
        <f t="shared" si="539"/>
        <v>28</v>
      </c>
      <c r="CY193" s="217">
        <f t="shared" si="540"/>
        <v>10.207338769458856</v>
      </c>
      <c r="CZ193" s="217">
        <f t="shared" si="541"/>
        <v>2.5249732745503484</v>
      </c>
      <c r="DA193" s="217">
        <f t="shared" si="542"/>
        <v>1.6892426836780501</v>
      </c>
      <c r="DB193" s="197">
        <f t="shared" si="543"/>
        <v>350</v>
      </c>
      <c r="DC193" s="443">
        <f t="shared" si="544"/>
        <v>237.29206331903006</v>
      </c>
      <c r="DE193" s="217">
        <f t="shared" si="545"/>
        <v>6.9203442217177731</v>
      </c>
      <c r="DF193" s="173">
        <f t="shared" si="546"/>
        <v>1.1452682338758289</v>
      </c>
      <c r="DG193" s="173">
        <f t="shared" si="547"/>
        <v>1.3869888208084145</v>
      </c>
      <c r="DH193" s="173"/>
      <c r="DI193" s="173">
        <f t="shared" si="548"/>
        <v>0.55164319248826299</v>
      </c>
      <c r="DJ193" s="545">
        <f t="shared" si="549"/>
        <v>2256.893617021276</v>
      </c>
      <c r="DK193" s="528">
        <f t="shared" si="550"/>
        <v>0.3217918622848201</v>
      </c>
      <c r="DM193" s="173">
        <f t="shared" si="551"/>
        <v>8.4644796894654935</v>
      </c>
      <c r="DN193" s="173">
        <f t="shared" si="552"/>
        <v>10.207338769458856</v>
      </c>
      <c r="DO193" s="173">
        <f t="shared" si="553"/>
        <v>6.2918558786114973</v>
      </c>
      <c r="DQ193" s="545">
        <f t="shared" si="554"/>
        <v>2074.9999999999995</v>
      </c>
      <c r="DR193" s="460">
        <f t="shared" si="555"/>
        <v>237.29206331903006</v>
      </c>
      <c r="DT193">
        <f t="shared" si="590"/>
        <v>2074.9999999999995</v>
      </c>
      <c r="DU193">
        <f t="shared" si="591"/>
        <v>237.29206331903006</v>
      </c>
      <c r="DW193" s="5">
        <f t="shared" si="556"/>
        <v>4.2142159582283982</v>
      </c>
      <c r="DX193" s="5">
        <f t="shared" si="557"/>
        <v>2.5249732745503484</v>
      </c>
      <c r="DY193" s="5">
        <f t="shared" si="558"/>
        <v>1.6892426836780499</v>
      </c>
      <c r="DZ193" s="5"/>
      <c r="EA193" s="173">
        <f t="shared" si="559"/>
        <v>0.59915611814345993</v>
      </c>
      <c r="EB193" s="173">
        <f t="shared" si="560"/>
        <v>58.099999999999994</v>
      </c>
      <c r="EC193" s="173">
        <f t="shared" si="561"/>
        <v>2.0457746478873235</v>
      </c>
      <c r="ED193" s="173">
        <f t="shared" si="562"/>
        <v>28.400000000000002</v>
      </c>
      <c r="EE193" s="460">
        <f t="shared" si="563"/>
        <v>18.711855516757044</v>
      </c>
      <c r="EF193" s="5">
        <f t="shared" si="564"/>
        <v>3.6896616511915288</v>
      </c>
      <c r="EH193" s="173">
        <f t="shared" si="565"/>
        <v>4.5616493727811944</v>
      </c>
      <c r="EI193" s="173">
        <f t="shared" si="566"/>
        <v>3.7311226976122804</v>
      </c>
      <c r="EK193" s="528">
        <f t="shared" si="567"/>
        <v>0.24970374000234077</v>
      </c>
      <c r="EL193" s="528">
        <f t="shared" si="568"/>
        <v>2.1813617021276599</v>
      </c>
      <c r="EM193" s="528">
        <f t="shared" si="569"/>
        <v>2.728858728168846E-2</v>
      </c>
      <c r="EN193" s="528">
        <f t="shared" si="570"/>
        <v>0.26257062071996196</v>
      </c>
      <c r="EO193">
        <f t="shared" si="571"/>
        <v>8.5500000000000003E-3</v>
      </c>
      <c r="EP193" s="460">
        <f t="shared" si="572"/>
        <v>35.838587281688461</v>
      </c>
      <c r="EQ193" s="460"/>
      <c r="ER193" s="460">
        <f t="shared" si="592"/>
        <v>2729.4746501316513</v>
      </c>
      <c r="ES193" s="528">
        <f t="shared" si="573"/>
        <v>1.4524999999999997</v>
      </c>
      <c r="EV193" s="460">
        <f t="shared" si="494"/>
        <v>1452.4999999999998</v>
      </c>
      <c r="EW193" s="528">
        <f t="shared" si="574"/>
        <v>0.29132103000273091</v>
      </c>
      <c r="EX193" s="528">
        <f t="shared" si="575"/>
        <v>0.19489787218492557</v>
      </c>
      <c r="EY193" s="528">
        <f t="shared" si="576"/>
        <v>14.436414989687021</v>
      </c>
      <c r="EZ193" s="528"/>
      <c r="FA193" s="528">
        <f t="shared" si="577"/>
        <v>2.4723404255319146</v>
      </c>
      <c r="FB193" s="460">
        <f t="shared" si="578"/>
        <v>17394.974317406592</v>
      </c>
      <c r="FC193" s="173">
        <f t="shared" si="579"/>
        <v>21.576948967538243</v>
      </c>
      <c r="FD193" s="5">
        <f t="shared" si="580"/>
        <v>58.099999999999994</v>
      </c>
      <c r="FE193" s="173">
        <f t="shared" si="581"/>
        <v>0.72919458830772921</v>
      </c>
      <c r="FF193" s="5">
        <f t="shared" si="582"/>
        <v>72.919458830772925</v>
      </c>
      <c r="FI193" s="562">
        <f t="shared" si="583"/>
        <v>-50</v>
      </c>
      <c r="FJ193">
        <f t="shared" si="584"/>
        <v>-50</v>
      </c>
      <c r="FL193">
        <f t="shared" si="585"/>
        <v>0.40084388185654007</v>
      </c>
    </row>
    <row r="194" spans="5:168">
      <c r="E194" s="170">
        <v>84</v>
      </c>
      <c r="F194" s="217">
        <f t="shared" si="586"/>
        <v>2.1</v>
      </c>
      <c r="G194" s="217"/>
      <c r="H194" s="217">
        <f t="shared" si="495"/>
        <v>58.800000000000004</v>
      </c>
      <c r="I194" s="541">
        <f t="shared" si="496"/>
        <v>18.859683577099833</v>
      </c>
      <c r="J194" s="172">
        <f t="shared" si="497"/>
        <v>28.475554996946244</v>
      </c>
      <c r="K194" s="172">
        <f t="shared" si="498"/>
        <v>47.335238574046073</v>
      </c>
      <c r="L194" s="443"/>
      <c r="M194" s="217">
        <f t="shared" si="499"/>
        <v>0.60155341757763703</v>
      </c>
      <c r="N194" s="172">
        <f t="shared" si="500"/>
        <v>95.230507236321174</v>
      </c>
      <c r="O194" s="172">
        <f t="shared" si="438"/>
        <v>58.800000000000004</v>
      </c>
      <c r="P194" s="217">
        <f t="shared" si="501"/>
        <v>3.4010895441543276</v>
      </c>
      <c r="Q194" s="217">
        <f t="shared" si="502"/>
        <v>28</v>
      </c>
      <c r="R194" s="217"/>
      <c r="S194" s="172">
        <f t="shared" si="503"/>
        <v>56.113817855324903</v>
      </c>
      <c r="T194" s="536">
        <f t="shared" si="504"/>
        <v>28</v>
      </c>
      <c r="U194" s="217">
        <f t="shared" si="505"/>
        <v>10.540936188901476</v>
      </c>
      <c r="V194" s="217">
        <f t="shared" si="506"/>
        <v>2.626894554476686</v>
      </c>
      <c r="W194" s="217">
        <f t="shared" si="507"/>
        <v>1.7398221068263615</v>
      </c>
      <c r="X194" s="197">
        <f t="shared" si="508"/>
        <v>350</v>
      </c>
      <c r="Y194" s="443">
        <f t="shared" si="509"/>
        <v>218.97570490275706</v>
      </c>
      <c r="AA194" s="217">
        <f t="shared" si="510"/>
        <v>6.8969348999922211</v>
      </c>
      <c r="AB194" s="173">
        <f t="shared" si="511"/>
        <v>1.1383656625284293</v>
      </c>
      <c r="AC194" s="173">
        <f t="shared" si="512"/>
        <v>1.373965926697891</v>
      </c>
      <c r="AD194" s="173"/>
      <c r="AE194" s="173">
        <f t="shared" si="513"/>
        <v>0.55017950197447529</v>
      </c>
      <c r="AF194" s="545">
        <f t="shared" si="514"/>
        <v>2290.1616572012085</v>
      </c>
      <c r="AG194" s="528">
        <f t="shared" si="515"/>
        <v>0.32093804281844396</v>
      </c>
      <c r="AI194" s="173">
        <f t="shared" si="516"/>
        <v>8.5266373602408034</v>
      </c>
      <c r="AJ194" s="173">
        <f t="shared" si="517"/>
        <v>10.540936188901476</v>
      </c>
      <c r="AK194" s="173">
        <f t="shared" si="518"/>
        <v>6.5389650781986237</v>
      </c>
      <c r="AM194" s="545">
        <f t="shared" si="519"/>
        <v>2100</v>
      </c>
      <c r="AN194" s="460">
        <f t="shared" si="520"/>
        <v>218.97570490275706</v>
      </c>
      <c r="AP194">
        <f t="shared" si="521"/>
        <v>2100</v>
      </c>
      <c r="AQ194">
        <f t="shared" si="522"/>
        <v>218.97570490275706</v>
      </c>
      <c r="AS194" s="5">
        <f t="shared" si="439"/>
        <v>4.5667166613030474</v>
      </c>
      <c r="AT194" s="5">
        <f t="shared" si="523"/>
        <v>2.626894554476686</v>
      </c>
      <c r="AU194" s="5">
        <f t="shared" si="477"/>
        <v>1.9398221068263615</v>
      </c>
      <c r="AV194" s="5"/>
      <c r="AW194" s="173">
        <f t="shared" si="478"/>
        <v>0.57522608677174625</v>
      </c>
      <c r="AX194" s="173">
        <f t="shared" si="435"/>
        <v>57.177105205154888</v>
      </c>
      <c r="AY194" s="173">
        <f t="shared" si="436"/>
        <v>2.2387573570244976</v>
      </c>
      <c r="AZ194" s="173">
        <f t="shared" si="440"/>
        <v>25.539661556332398</v>
      </c>
      <c r="BA194" s="460">
        <f t="shared" si="593"/>
        <v>19.701709158575149</v>
      </c>
      <c r="BB194" s="5">
        <f t="shared" si="594"/>
        <v>4.3199308277703192</v>
      </c>
      <c r="BD194" s="173">
        <f t="shared" si="441"/>
        <v>4.6157028664056092</v>
      </c>
      <c r="BE194" s="173">
        <f t="shared" si="437"/>
        <v>3.9664088243505571</v>
      </c>
      <c r="BG194" s="528">
        <f t="shared" si="479"/>
        <v>0.25565655541133947</v>
      </c>
      <c r="BH194" s="528">
        <f t="shared" si="524"/>
        <v>1.9939880739269806</v>
      </c>
      <c r="BI194" s="528">
        <f t="shared" si="480"/>
        <v>2.5182206063817065E-2</v>
      </c>
      <c r="BJ194" s="528">
        <f t="shared" si="481"/>
        <v>0.24164138071018307</v>
      </c>
      <c r="BK194">
        <f t="shared" si="482"/>
        <v>8.4868576096949252E-3</v>
      </c>
      <c r="BL194" s="460">
        <f t="shared" si="587"/>
        <v>33.669063673511985</v>
      </c>
      <c r="BM194" s="528">
        <f t="shared" si="525"/>
        <v>2.7258950417926653</v>
      </c>
      <c r="BN194" s="460">
        <f t="shared" si="526"/>
        <v>2725.8950417926653</v>
      </c>
      <c r="BO194" s="528">
        <f t="shared" si="483"/>
        <v>1.47</v>
      </c>
      <c r="BR194" s="460">
        <f t="shared" si="484"/>
        <v>1470</v>
      </c>
      <c r="BS194" s="528">
        <f t="shared" si="485"/>
        <v>0.2982659813132294</v>
      </c>
      <c r="BT194" s="528">
        <f t="shared" si="486"/>
        <v>0.22025358546640356</v>
      </c>
      <c r="BU194" s="528">
        <f t="shared" si="487"/>
        <v>12.798462422376621</v>
      </c>
      <c r="BV194" s="528"/>
      <c r="BW194" s="528">
        <f t="shared" si="488"/>
        <v>2.433068306602336</v>
      </c>
      <c r="BX194" s="460">
        <f t="shared" si="489"/>
        <v>15750.05029575859</v>
      </c>
      <c r="BY194" s="173">
        <f t="shared" si="490"/>
        <v>19.745005369480609</v>
      </c>
      <c r="BZ194" s="5">
        <f t="shared" si="491"/>
        <v>58.800000000000004</v>
      </c>
      <c r="CA194" s="173">
        <f t="shared" si="492"/>
        <v>0.74861539219968398</v>
      </c>
      <c r="CB194" s="5">
        <f t="shared" si="493"/>
        <v>74.861539219968392</v>
      </c>
      <c r="CE194" s="562">
        <f t="shared" si="527"/>
        <v>-50</v>
      </c>
      <c r="CF194">
        <f t="shared" si="528"/>
        <v>-50</v>
      </c>
      <c r="CG194" s="173">
        <f t="shared" si="529"/>
        <v>0.38912052396637381</v>
      </c>
      <c r="CI194" s="170">
        <v>84</v>
      </c>
      <c r="CJ194" s="217">
        <f t="shared" si="588"/>
        <v>2.1</v>
      </c>
      <c r="CK194" s="217"/>
      <c r="CL194" s="217">
        <f t="shared" si="530"/>
        <v>58.800000000000004</v>
      </c>
      <c r="CM194" s="541">
        <f t="shared" si="531"/>
        <v>19</v>
      </c>
      <c r="CN194" s="443">
        <f t="shared" si="532"/>
        <v>28.4</v>
      </c>
      <c r="CO194" s="443">
        <f t="shared" si="533"/>
        <v>47.4</v>
      </c>
      <c r="CP194" s="443"/>
      <c r="CQ194" s="217">
        <f t="shared" si="534"/>
        <v>0.59915611814345993</v>
      </c>
      <c r="CR194" s="172">
        <f t="shared" si="589"/>
        <v>95.556689708830859</v>
      </c>
      <c r="CS194" s="172">
        <f t="shared" si="535"/>
        <v>58.800000000000004</v>
      </c>
      <c r="CT194" s="217">
        <f t="shared" si="536"/>
        <v>3.4127389181725305</v>
      </c>
      <c r="CU194" s="217">
        <f t="shared" si="537"/>
        <v>28</v>
      </c>
      <c r="CV194" s="217"/>
      <c r="CW194" s="172">
        <f t="shared" si="538"/>
        <v>56.530321919307248</v>
      </c>
      <c r="CX194" s="536">
        <f t="shared" si="539"/>
        <v>28</v>
      </c>
      <c r="CY194" s="217">
        <f t="shared" si="540"/>
        <v>10.330318754633062</v>
      </c>
      <c r="CZ194" s="217">
        <f t="shared" si="541"/>
        <v>2.5553946393039677</v>
      </c>
      <c r="DA194" s="217">
        <f t="shared" si="542"/>
        <v>1.7095950051681477</v>
      </c>
      <c r="DB194" s="197">
        <f t="shared" si="543"/>
        <v>350</v>
      </c>
      <c r="DC194" s="443">
        <f t="shared" si="544"/>
        <v>234.46715780332721</v>
      </c>
      <c r="DE194" s="217">
        <f t="shared" si="545"/>
        <v>6.9203442217177731</v>
      </c>
      <c r="DF194" s="173">
        <f t="shared" si="546"/>
        <v>1.1452682338758289</v>
      </c>
      <c r="DG194" s="173">
        <f t="shared" si="547"/>
        <v>1.3869888208084145</v>
      </c>
      <c r="DH194" s="173"/>
      <c r="DI194" s="173">
        <f t="shared" si="548"/>
        <v>0.55164319248826299</v>
      </c>
      <c r="DJ194" s="545">
        <f t="shared" si="549"/>
        <v>2284.0851063829787</v>
      </c>
      <c r="DK194" s="528">
        <f t="shared" si="550"/>
        <v>0.3217918622848201</v>
      </c>
      <c r="DM194" s="173">
        <f t="shared" si="551"/>
        <v>8.5153178624096206</v>
      </c>
      <c r="DN194" s="173">
        <f t="shared" si="552"/>
        <v>10.330318754633062</v>
      </c>
      <c r="DO194" s="173">
        <f t="shared" si="553"/>
        <v>6.382952163925725</v>
      </c>
      <c r="DQ194" s="545">
        <f t="shared" si="554"/>
        <v>2100</v>
      </c>
      <c r="DR194" s="460">
        <f t="shared" si="555"/>
        <v>234.46715780332721</v>
      </c>
      <c r="DT194">
        <f t="shared" si="590"/>
        <v>2100</v>
      </c>
      <c r="DU194">
        <f t="shared" si="591"/>
        <v>234.46715780332721</v>
      </c>
      <c r="DW194" s="5">
        <f t="shared" si="556"/>
        <v>4.2649896444721156</v>
      </c>
      <c r="DX194" s="5">
        <f t="shared" si="557"/>
        <v>2.5553946393039677</v>
      </c>
      <c r="DY194" s="5">
        <f t="shared" si="558"/>
        <v>1.7095950051681479</v>
      </c>
      <c r="DZ194" s="5"/>
      <c r="EA194" s="173">
        <f t="shared" si="559"/>
        <v>0.59915611814345981</v>
      </c>
      <c r="EB194" s="173">
        <f t="shared" si="560"/>
        <v>58.8</v>
      </c>
      <c r="EC194" s="173">
        <f t="shared" si="561"/>
        <v>2.0704225352112684</v>
      </c>
      <c r="ED194" s="173">
        <f t="shared" si="562"/>
        <v>28.399999999999988</v>
      </c>
      <c r="EE194" s="460">
        <f t="shared" si="563"/>
        <v>19.165459794779757</v>
      </c>
      <c r="EF194" s="5">
        <f t="shared" si="564"/>
        <v>3.7791047482664322</v>
      </c>
      <c r="EH194" s="173">
        <f t="shared" si="565"/>
        <v>4.6166090037785592</v>
      </c>
      <c r="EI194" s="173">
        <f t="shared" si="566"/>
        <v>3.7760759831256836</v>
      </c>
      <c r="EK194" s="528">
        <f t="shared" si="567"/>
        <v>0.25575694432523111</v>
      </c>
      <c r="EL194" s="528">
        <f t="shared" si="568"/>
        <v>2.1813617021276595</v>
      </c>
      <c r="EM194" s="528">
        <f t="shared" si="569"/>
        <v>2.6963723147382632E-2</v>
      </c>
      <c r="EN194" s="528">
        <f t="shared" si="570"/>
        <v>0.25944477999710513</v>
      </c>
      <c r="EO194">
        <f t="shared" si="571"/>
        <v>8.5500000000000003E-3</v>
      </c>
      <c r="EP194" s="460">
        <f t="shared" si="572"/>
        <v>35.513723147382628</v>
      </c>
      <c r="EQ194" s="460"/>
      <c r="ER194" s="460">
        <f t="shared" si="592"/>
        <v>2732.0771495973786</v>
      </c>
      <c r="ES194" s="528">
        <f t="shared" si="573"/>
        <v>1.47</v>
      </c>
      <c r="EV194" s="460">
        <f t="shared" si="494"/>
        <v>1470</v>
      </c>
      <c r="EW194" s="528">
        <f t="shared" si="574"/>
        <v>0.29838310171276966</v>
      </c>
      <c r="EX194" s="528">
        <f t="shared" si="575"/>
        <v>0.19962249762474038</v>
      </c>
      <c r="EY194" s="528">
        <f t="shared" si="576"/>
        <v>14.436414989686986</v>
      </c>
      <c r="EZ194" s="528"/>
      <c r="FA194" s="528">
        <f t="shared" si="577"/>
        <v>2.5021276595744681</v>
      </c>
      <c r="FB194" s="460">
        <f t="shared" si="578"/>
        <v>17436.548248598963</v>
      </c>
      <c r="FC194" s="173">
        <f t="shared" si="579"/>
        <v>21.638625398196346</v>
      </c>
      <c r="FD194" s="5">
        <f t="shared" si="580"/>
        <v>58.800000000000004</v>
      </c>
      <c r="FE194" s="173">
        <f t="shared" si="581"/>
        <v>0.73099210371785461</v>
      </c>
      <c r="FF194" s="5">
        <f t="shared" si="582"/>
        <v>73.09921037178546</v>
      </c>
      <c r="FI194" s="562">
        <f t="shared" si="583"/>
        <v>-50</v>
      </c>
      <c r="FJ194">
        <f t="shared" si="584"/>
        <v>-50</v>
      </c>
      <c r="FL194">
        <f t="shared" si="585"/>
        <v>0.40084388185654019</v>
      </c>
    </row>
    <row r="195" spans="5:168">
      <c r="E195" s="170">
        <v>85</v>
      </c>
      <c r="F195" s="217">
        <f t="shared" si="586"/>
        <v>2.125</v>
      </c>
      <c r="G195" s="217"/>
      <c r="H195" s="217">
        <f t="shared" si="495"/>
        <v>59.5</v>
      </c>
      <c r="I195" s="541">
        <f t="shared" si="496"/>
        <v>18.858063452205752</v>
      </c>
      <c r="J195" s="172">
        <f t="shared" si="497"/>
        <v>28.476427371889208</v>
      </c>
      <c r="K195" s="172">
        <f t="shared" si="498"/>
        <v>47.334490824094956</v>
      </c>
      <c r="L195" s="443"/>
      <c r="M195" s="217">
        <f t="shared" si="499"/>
        <v>0.6015813583063252</v>
      </c>
      <c r="N195" s="172">
        <f t="shared" si="500"/>
        <v>95.22674939261077</v>
      </c>
      <c r="O195" s="172">
        <f t="shared" si="438"/>
        <v>59.5</v>
      </c>
      <c r="P195" s="217">
        <f t="shared" si="501"/>
        <v>3.4009553354503845</v>
      </c>
      <c r="Q195" s="217">
        <f t="shared" si="502"/>
        <v>28</v>
      </c>
      <c r="R195" s="217"/>
      <c r="S195" s="172">
        <f t="shared" si="503"/>
        <v>55.230721156407725</v>
      </c>
      <c r="T195" s="536">
        <f t="shared" si="504"/>
        <v>28</v>
      </c>
      <c r="U195" s="217">
        <f t="shared" si="505"/>
        <v>10.667171550842298</v>
      </c>
      <c r="V195" s="217">
        <f t="shared" si="506"/>
        <v>2.6585819066747614</v>
      </c>
      <c r="W195" s="217">
        <f t="shared" si="507"/>
        <v>1.760603801671089</v>
      </c>
      <c r="X195" s="197">
        <f t="shared" si="508"/>
        <v>350</v>
      </c>
      <c r="Y195" s="443">
        <f t="shared" si="509"/>
        <v>216.48837330640777</v>
      </c>
      <c r="AA195" s="217">
        <f t="shared" si="510"/>
        <v>6.8966626464346241</v>
      </c>
      <c r="AB195" s="173">
        <f t="shared" si="511"/>
        <v>1.1382858535913409</v>
      </c>
      <c r="AC195" s="173">
        <f t="shared" si="512"/>
        <v>1.3738153672999618</v>
      </c>
      <c r="AD195" s="173"/>
      <c r="AE195" s="173">
        <f t="shared" si="513"/>
        <v>0.55016264723334551</v>
      </c>
      <c r="AF195" s="545">
        <f t="shared" si="514"/>
        <v>2317.4964829250262</v>
      </c>
      <c r="AG195" s="528">
        <f t="shared" si="515"/>
        <v>0.32092821088611817</v>
      </c>
      <c r="AI195" s="173">
        <f t="shared" si="516"/>
        <v>8.5773723784300504</v>
      </c>
      <c r="AJ195" s="173">
        <f t="shared" si="517"/>
        <v>10.667171550842298</v>
      </c>
      <c r="AK195" s="173">
        <f t="shared" si="518"/>
        <v>6.6324727537103438</v>
      </c>
      <c r="AM195" s="545">
        <f t="shared" si="519"/>
        <v>2125</v>
      </c>
      <c r="AN195" s="460">
        <f t="shared" si="520"/>
        <v>216.48837330640777</v>
      </c>
      <c r="AP195">
        <f t="shared" si="521"/>
        <v>2125</v>
      </c>
      <c r="AQ195">
        <f t="shared" si="522"/>
        <v>216.48837330640777</v>
      </c>
      <c r="AS195" s="5">
        <f t="shared" si="439"/>
        <v>4.6191857083458503</v>
      </c>
      <c r="AT195" s="5">
        <f t="shared" si="523"/>
        <v>2.6585819066747614</v>
      </c>
      <c r="AU195" s="5">
        <f t="shared" si="477"/>
        <v>1.9606038016710889</v>
      </c>
      <c r="AV195" s="5"/>
      <c r="AW195" s="173">
        <f t="shared" si="478"/>
        <v>0.57555207227786709</v>
      </c>
      <c r="AX195" s="173">
        <f t="shared" si="435"/>
        <v>57.889659950312208</v>
      </c>
      <c r="AY195" s="173">
        <f t="shared" si="436"/>
        <v>2.2638294297057522</v>
      </c>
      <c r="AZ195" s="173">
        <f t="shared" si="440"/>
        <v>25.57156435493313</v>
      </c>
      <c r="BA195" s="460">
        <f t="shared" si="593"/>
        <v>20.176737684585241</v>
      </c>
      <c r="BB195" s="5">
        <f t="shared" si="594"/>
        <v>4.4185693712508431</v>
      </c>
      <c r="BD195" s="173">
        <f t="shared" si="441"/>
        <v>4.6723026128475382</v>
      </c>
      <c r="BE195" s="173">
        <f t="shared" si="437"/>
        <v>4.0123689501770015</v>
      </c>
      <c r="BG195" s="528">
        <f t="shared" si="479"/>
        <v>0.26196494047226321</v>
      </c>
      <c r="BH195" s="528">
        <f t="shared" si="524"/>
        <v>1.994915181021383</v>
      </c>
      <c r="BI195" s="528">
        <f t="shared" si="480"/>
        <v>2.4896162930236894E-2</v>
      </c>
      <c r="BJ195" s="528">
        <f t="shared" si="481"/>
        <v>0.2388890435023234</v>
      </c>
      <c r="BK195">
        <f t="shared" si="482"/>
        <v>8.4861285534925876E-3</v>
      </c>
      <c r="BL195" s="460">
        <f t="shared" si="587"/>
        <v>33.382291483729482</v>
      </c>
      <c r="BM195" s="528">
        <f t="shared" si="525"/>
        <v>2.736849037372767</v>
      </c>
      <c r="BN195" s="460">
        <f t="shared" si="526"/>
        <v>2736.8490373727668</v>
      </c>
      <c r="BO195" s="528">
        <f t="shared" si="483"/>
        <v>1.4874999999999998</v>
      </c>
      <c r="BR195" s="460">
        <f t="shared" si="484"/>
        <v>1487.4999999999998</v>
      </c>
      <c r="BS195" s="528">
        <f t="shared" si="485"/>
        <v>0.30562576388430707</v>
      </c>
      <c r="BT195" s="528">
        <f t="shared" si="486"/>
        <v>0.22538746429282289</v>
      </c>
      <c r="BU195" s="528">
        <f t="shared" si="487"/>
        <v>12.813850302493631</v>
      </c>
      <c r="BV195" s="528"/>
      <c r="BW195" s="528">
        <f t="shared" si="488"/>
        <v>2.4633897851196687</v>
      </c>
      <c r="BX195" s="460">
        <f t="shared" si="489"/>
        <v>15808.253315790429</v>
      </c>
      <c r="BY195" s="173">
        <f t="shared" si="490"/>
        <v>19.824904772270131</v>
      </c>
      <c r="BZ195" s="5">
        <f t="shared" si="491"/>
        <v>59.5</v>
      </c>
      <c r="CA195" s="173">
        <f t="shared" si="492"/>
        <v>0.750079690241237</v>
      </c>
      <c r="CB195" s="5">
        <f t="shared" si="493"/>
        <v>75.007969024123696</v>
      </c>
      <c r="CE195" s="562">
        <f t="shared" si="527"/>
        <v>-50</v>
      </c>
      <c r="CF195">
        <f t="shared" si="528"/>
        <v>-50</v>
      </c>
      <c r="CG195" s="173">
        <f t="shared" si="529"/>
        <v>0.38925844582390517</v>
      </c>
      <c r="CI195" s="170">
        <v>85</v>
      </c>
      <c r="CJ195" s="217">
        <f t="shared" si="588"/>
        <v>2.125</v>
      </c>
      <c r="CK195" s="217"/>
      <c r="CL195" s="217">
        <f t="shared" si="530"/>
        <v>59.5</v>
      </c>
      <c r="CM195" s="541">
        <f t="shared" si="531"/>
        <v>19</v>
      </c>
      <c r="CN195" s="443">
        <f t="shared" si="532"/>
        <v>28.4</v>
      </c>
      <c r="CO195" s="443">
        <f t="shared" si="533"/>
        <v>47.4</v>
      </c>
      <c r="CP195" s="443"/>
      <c r="CQ195" s="217">
        <f t="shared" si="534"/>
        <v>0.59915611814345993</v>
      </c>
      <c r="CR195" s="172">
        <f t="shared" si="589"/>
        <v>95.556689708830859</v>
      </c>
      <c r="CS195" s="172">
        <f t="shared" si="535"/>
        <v>59.5</v>
      </c>
      <c r="CT195" s="217">
        <f t="shared" si="536"/>
        <v>3.4127389181725305</v>
      </c>
      <c r="CU195" s="217">
        <f t="shared" si="537"/>
        <v>28</v>
      </c>
      <c r="CV195" s="217"/>
      <c r="CW195" s="172">
        <f t="shared" si="538"/>
        <v>55.645408250936207</v>
      </c>
      <c r="CX195" s="536">
        <f t="shared" si="539"/>
        <v>28</v>
      </c>
      <c r="CY195" s="217">
        <f t="shared" si="540"/>
        <v>10.453298739807265</v>
      </c>
      <c r="CZ195" s="217">
        <f t="shared" si="541"/>
        <v>2.5858160040575866</v>
      </c>
      <c r="DA195" s="217">
        <f t="shared" si="542"/>
        <v>1.7299473266582446</v>
      </c>
      <c r="DB195" s="197">
        <f t="shared" si="543"/>
        <v>350</v>
      </c>
      <c r="DC195" s="443">
        <f t="shared" si="544"/>
        <v>231.70872065269984</v>
      </c>
      <c r="DE195" s="217">
        <f t="shared" si="545"/>
        <v>6.9203442217177731</v>
      </c>
      <c r="DF195" s="173">
        <f t="shared" si="546"/>
        <v>1.1452682338758289</v>
      </c>
      <c r="DG195" s="173">
        <f t="shared" si="547"/>
        <v>1.3869888208084145</v>
      </c>
      <c r="DH195" s="173"/>
      <c r="DI195" s="173">
        <f t="shared" si="548"/>
        <v>0.55164319248826299</v>
      </c>
      <c r="DJ195" s="545">
        <f t="shared" si="549"/>
        <v>2311.2765957446804</v>
      </c>
      <c r="DK195" s="528">
        <f t="shared" si="550"/>
        <v>0.3217918622848201</v>
      </c>
      <c r="DM195" s="173">
        <f t="shared" si="551"/>
        <v>8.5658543171344448</v>
      </c>
      <c r="DN195" s="173">
        <f t="shared" si="552"/>
        <v>10.453298739807265</v>
      </c>
      <c r="DO195" s="173">
        <f t="shared" si="553"/>
        <v>6.474048449239949</v>
      </c>
      <c r="DQ195" s="545">
        <f t="shared" si="554"/>
        <v>2125</v>
      </c>
      <c r="DR195" s="460">
        <f t="shared" si="555"/>
        <v>231.70872065269984</v>
      </c>
      <c r="DT195">
        <f t="shared" si="590"/>
        <v>2125</v>
      </c>
      <c r="DU195">
        <f t="shared" si="591"/>
        <v>231.70872065269984</v>
      </c>
      <c r="DW195" s="5">
        <f t="shared" si="556"/>
        <v>4.3157633307158321</v>
      </c>
      <c r="DX195" s="5">
        <f t="shared" si="557"/>
        <v>2.5858160040575866</v>
      </c>
      <c r="DY195" s="5">
        <f t="shared" si="558"/>
        <v>1.7299473266582455</v>
      </c>
      <c r="DZ195" s="5"/>
      <c r="EA195" s="173">
        <f t="shared" si="559"/>
        <v>0.59915611814345981</v>
      </c>
      <c r="EB195" s="173">
        <f t="shared" si="560"/>
        <v>59.499999999999993</v>
      </c>
      <c r="EC195" s="173">
        <f t="shared" si="561"/>
        <v>2.0950704225352119</v>
      </c>
      <c r="ED195" s="173">
        <f t="shared" si="562"/>
        <v>28.399999999999988</v>
      </c>
      <c r="EE195" s="460">
        <f t="shared" si="563"/>
        <v>19.624496459365609</v>
      </c>
      <c r="EF195" s="5">
        <f t="shared" si="564"/>
        <v>3.8696190201566019</v>
      </c>
      <c r="EH195" s="173">
        <f t="shared" si="565"/>
        <v>4.6715686347759222</v>
      </c>
      <c r="EI195" s="173">
        <f t="shared" si="566"/>
        <v>3.8210292686390845</v>
      </c>
      <c r="EK195" s="528">
        <f t="shared" si="567"/>
        <v>0.26188264211306606</v>
      </c>
      <c r="EL195" s="528">
        <f t="shared" si="568"/>
        <v>2.1813617021276595</v>
      </c>
      <c r="EM195" s="528">
        <f t="shared" si="569"/>
        <v>2.6646502875060485E-2</v>
      </c>
      <c r="EN195" s="528">
        <f t="shared" si="570"/>
        <v>0.25639248846772744</v>
      </c>
      <c r="EO195">
        <f t="shared" si="571"/>
        <v>8.5500000000000003E-3</v>
      </c>
      <c r="EP195" s="460">
        <f t="shared" si="572"/>
        <v>35.196502875060489</v>
      </c>
      <c r="EQ195" s="460"/>
      <c r="ER195" s="460">
        <f t="shared" si="592"/>
        <v>2734.8333355835139</v>
      </c>
      <c r="ES195" s="528">
        <f t="shared" si="573"/>
        <v>1.4874999999999998</v>
      </c>
      <c r="EV195" s="460">
        <f t="shared" si="494"/>
        <v>1487.4999999999998</v>
      </c>
      <c r="EW195" s="528">
        <f t="shared" si="574"/>
        <v>0.30552974913191044</v>
      </c>
      <c r="EX195" s="528">
        <f t="shared" si="575"/>
        <v>0.20440370540515154</v>
      </c>
      <c r="EY195" s="528">
        <f t="shared" si="576"/>
        <v>14.436414989687012</v>
      </c>
      <c r="EZ195" s="528"/>
      <c r="FA195" s="528">
        <f t="shared" si="577"/>
        <v>2.5319148936170213</v>
      </c>
      <c r="FB195" s="460">
        <f t="shared" si="578"/>
        <v>17478.263337841097</v>
      </c>
      <c r="FC195" s="173">
        <f t="shared" si="579"/>
        <v>21.700596673424609</v>
      </c>
      <c r="FD195" s="5">
        <f t="shared" si="580"/>
        <v>59.5</v>
      </c>
      <c r="FE195" s="173">
        <f t="shared" si="581"/>
        <v>0.73275323627607281</v>
      </c>
      <c r="FF195" s="5">
        <f t="shared" si="582"/>
        <v>73.275323627607278</v>
      </c>
      <c r="FI195" s="562">
        <f t="shared" si="583"/>
        <v>-50</v>
      </c>
      <c r="FJ195">
        <f t="shared" si="584"/>
        <v>-50</v>
      </c>
      <c r="FL195">
        <f t="shared" si="585"/>
        <v>0.40084388185654019</v>
      </c>
    </row>
    <row r="196" spans="5:168">
      <c r="E196" s="170">
        <v>86</v>
      </c>
      <c r="F196" s="217">
        <f t="shared" si="586"/>
        <v>2.15</v>
      </c>
      <c r="G196" s="217"/>
      <c r="H196" s="217">
        <f t="shared" si="495"/>
        <v>60.199999999999996</v>
      </c>
      <c r="I196" s="541">
        <f t="shared" si="496"/>
        <v>18.856443292502085</v>
      </c>
      <c r="J196" s="172">
        <f t="shared" si="497"/>
        <v>28.4772997655758</v>
      </c>
      <c r="K196" s="172">
        <f t="shared" si="498"/>
        <v>47.333743058077886</v>
      </c>
      <c r="L196" s="443"/>
      <c r="M196" s="217">
        <f t="shared" si="499"/>
        <v>0.60160930035936033</v>
      </c>
      <c r="N196" s="172">
        <f t="shared" si="500"/>
        <v>95.222990822786244</v>
      </c>
      <c r="O196" s="172">
        <f t="shared" si="438"/>
        <v>60.199999999999996</v>
      </c>
      <c r="P196" s="217">
        <f t="shared" si="501"/>
        <v>3.4008211008137943</v>
      </c>
      <c r="Q196" s="217">
        <f t="shared" si="502"/>
        <v>28</v>
      </c>
      <c r="R196" s="217"/>
      <c r="S196" s="172">
        <f t="shared" si="503"/>
        <v>54.368264240749959</v>
      </c>
      <c r="T196" s="536">
        <f t="shared" si="504"/>
        <v>28</v>
      </c>
      <c r="U196" s="217">
        <f t="shared" si="505"/>
        <v>10.793424655441823</v>
      </c>
      <c r="V196" s="217">
        <f t="shared" si="506"/>
        <v>2.6902791313114736</v>
      </c>
      <c r="W196" s="217">
        <f t="shared" si="507"/>
        <v>1.7813871504031924</v>
      </c>
      <c r="X196" s="197">
        <f t="shared" si="508"/>
        <v>350</v>
      </c>
      <c r="Y196" s="443">
        <f t="shared" si="509"/>
        <v>214.05638581550497</v>
      </c>
      <c r="AA196" s="217">
        <f t="shared" si="510"/>
        <v>6.8963903421210144</v>
      </c>
      <c r="AB196" s="173">
        <f t="shared" si="511"/>
        <v>1.13820604041787</v>
      </c>
      <c r="AC196" s="173">
        <f t="shared" si="512"/>
        <v>1.3736648002842802</v>
      </c>
      <c r="AD196" s="173"/>
      <c r="AE196" s="173">
        <f t="shared" si="513"/>
        <v>0.55014579316277012</v>
      </c>
      <c r="AF196" s="545">
        <f t="shared" si="514"/>
        <v>2344.8329806974116</v>
      </c>
      <c r="AG196" s="528">
        <f t="shared" si="515"/>
        <v>0.32091837934494921</v>
      </c>
      <c r="AI196" s="173">
        <f t="shared" si="516"/>
        <v>8.627812135435164</v>
      </c>
      <c r="AJ196" s="173">
        <f t="shared" si="517"/>
        <v>10.793424655441823</v>
      </c>
      <c r="AK196" s="173">
        <f t="shared" si="518"/>
        <v>6.7259935719322153</v>
      </c>
      <c r="AM196" s="545">
        <f t="shared" si="519"/>
        <v>2150</v>
      </c>
      <c r="AN196" s="460">
        <f t="shared" si="520"/>
        <v>214.05638581550497</v>
      </c>
      <c r="AP196">
        <f t="shared" si="521"/>
        <v>2150</v>
      </c>
      <c r="AQ196">
        <f t="shared" si="522"/>
        <v>214.05638581550497</v>
      </c>
      <c r="AS196" s="5">
        <f t="shared" si="439"/>
        <v>4.6716662817146659</v>
      </c>
      <c r="AT196" s="5">
        <f t="shared" si="523"/>
        <v>2.6902791313114736</v>
      </c>
      <c r="AU196" s="5">
        <f t="shared" si="477"/>
        <v>1.9813871504031924</v>
      </c>
      <c r="AV196" s="5"/>
      <c r="AW196" s="173">
        <f t="shared" si="478"/>
        <v>0.57587142768341026</v>
      </c>
      <c r="AX196" s="173">
        <f t="shared" si="435"/>
        <v>58.602288905867731</v>
      </c>
      <c r="AY196" s="173">
        <f t="shared" si="436"/>
        <v>2.2888998947596102</v>
      </c>
      <c r="AZ196" s="173">
        <f t="shared" si="440"/>
        <v>25.602818646650508</v>
      </c>
      <c r="BA196" s="460">
        <f t="shared" si="593"/>
        <v>20.657500472570241</v>
      </c>
      <c r="BB196" s="5">
        <f t="shared" si="594"/>
        <v>4.5183307448661498</v>
      </c>
      <c r="BD196" s="173">
        <f t="shared" si="441"/>
        <v>4.7289138526313597</v>
      </c>
      <c r="BE196" s="173">
        <f t="shared" si="437"/>
        <v>4.0583304085905878</v>
      </c>
      <c r="BG196" s="528">
        <f t="shared" si="479"/>
        <v>0.26835151470730523</v>
      </c>
      <c r="BH196" s="528">
        <f t="shared" si="524"/>
        <v>1.9958190811417504</v>
      </c>
      <c r="BI196" s="528">
        <f t="shared" si="480"/>
        <v>2.4616484368783074E-2</v>
      </c>
      <c r="BJ196" s="528">
        <f t="shared" si="481"/>
        <v>0.23619794847587158</v>
      </c>
      <c r="BK196">
        <f t="shared" si="482"/>
        <v>8.4853994816259382E-3</v>
      </c>
      <c r="BL196" s="460">
        <f t="shared" si="587"/>
        <v>33.10188385040901</v>
      </c>
      <c r="BM196" s="528">
        <f t="shared" si="525"/>
        <v>2.7480393193822548</v>
      </c>
      <c r="BN196" s="460">
        <f t="shared" si="526"/>
        <v>2748.0393193822547</v>
      </c>
      <c r="BO196" s="528">
        <f t="shared" si="483"/>
        <v>1.5049999999999999</v>
      </c>
      <c r="BR196" s="460">
        <f t="shared" si="484"/>
        <v>1505</v>
      </c>
      <c r="BS196" s="528">
        <f t="shared" si="485"/>
        <v>0.31307676715852273</v>
      </c>
      <c r="BT196" s="528">
        <f t="shared" si="486"/>
        <v>0.23058063987407465</v>
      </c>
      <c r="BU196" s="528">
        <f t="shared" si="487"/>
        <v>12.8288768434719</v>
      </c>
      <c r="BV196" s="528"/>
      <c r="BW196" s="528">
        <f t="shared" si="488"/>
        <v>2.4937144215262865</v>
      </c>
      <c r="BX196" s="460">
        <f t="shared" si="489"/>
        <v>15866.248672030784</v>
      </c>
      <c r="BY196" s="173">
        <f t="shared" si="490"/>
        <v>19.904719100206115</v>
      </c>
      <c r="BZ196" s="5">
        <f t="shared" si="491"/>
        <v>60.199999999999996</v>
      </c>
      <c r="CA196" s="173">
        <f t="shared" si="492"/>
        <v>0.7515162736504134</v>
      </c>
      <c r="CB196" s="5">
        <f t="shared" si="493"/>
        <v>75.151627365041335</v>
      </c>
      <c r="CE196" s="562">
        <f t="shared" si="527"/>
        <v>-50</v>
      </c>
      <c r="CF196">
        <f t="shared" si="528"/>
        <v>-50</v>
      </c>
      <c r="CG196" s="173">
        <f t="shared" si="529"/>
        <v>0.3893931601963776</v>
      </c>
      <c r="CI196" s="170">
        <v>86</v>
      </c>
      <c r="CJ196" s="217">
        <f t="shared" si="588"/>
        <v>2.15</v>
      </c>
      <c r="CK196" s="217"/>
      <c r="CL196" s="217">
        <f t="shared" si="530"/>
        <v>60.199999999999996</v>
      </c>
      <c r="CM196" s="541">
        <f t="shared" si="531"/>
        <v>19</v>
      </c>
      <c r="CN196" s="443">
        <f t="shared" si="532"/>
        <v>28.4</v>
      </c>
      <c r="CO196" s="443">
        <f t="shared" si="533"/>
        <v>47.4</v>
      </c>
      <c r="CP196" s="443"/>
      <c r="CQ196" s="217">
        <f t="shared" si="534"/>
        <v>0.59915611814345993</v>
      </c>
      <c r="CR196" s="172">
        <f t="shared" si="589"/>
        <v>95.556689708830859</v>
      </c>
      <c r="CS196" s="172">
        <f t="shared" si="535"/>
        <v>60.199999999999996</v>
      </c>
      <c r="CT196" s="217">
        <f t="shared" si="536"/>
        <v>3.4127389181725305</v>
      </c>
      <c r="CU196" s="217">
        <f t="shared" si="537"/>
        <v>28</v>
      </c>
      <c r="CV196" s="217"/>
      <c r="CW196" s="172">
        <f t="shared" si="538"/>
        <v>54.781139071591376</v>
      </c>
      <c r="CX196" s="536">
        <f t="shared" si="539"/>
        <v>28</v>
      </c>
      <c r="CY196" s="217">
        <f t="shared" si="540"/>
        <v>10.576278724981465</v>
      </c>
      <c r="CZ196" s="217">
        <f t="shared" si="541"/>
        <v>2.6162373688112046</v>
      </c>
      <c r="DA196" s="217">
        <f t="shared" si="542"/>
        <v>1.7502996481483413</v>
      </c>
      <c r="DB196" s="197">
        <f t="shared" si="543"/>
        <v>350</v>
      </c>
      <c r="DC196" s="443">
        <f t="shared" si="544"/>
        <v>229.01443320324989</v>
      </c>
      <c r="DE196" s="217">
        <f t="shared" si="545"/>
        <v>6.9203442217177731</v>
      </c>
      <c r="DF196" s="173">
        <f t="shared" si="546"/>
        <v>1.1452682338758289</v>
      </c>
      <c r="DG196" s="173">
        <f t="shared" si="547"/>
        <v>1.3869888208084145</v>
      </c>
      <c r="DH196" s="173"/>
      <c r="DI196" s="173">
        <f t="shared" si="548"/>
        <v>0.55164319248826299</v>
      </c>
      <c r="DJ196" s="545">
        <f t="shared" si="549"/>
        <v>2338.4680851063827</v>
      </c>
      <c r="DK196" s="528">
        <f t="shared" si="550"/>
        <v>0.3217918622848201</v>
      </c>
      <c r="DM196" s="173">
        <f t="shared" si="551"/>
        <v>8.6160943626952751</v>
      </c>
      <c r="DN196" s="173">
        <f t="shared" si="552"/>
        <v>10.576278724981465</v>
      </c>
      <c r="DO196" s="173">
        <f t="shared" si="553"/>
        <v>6.5651447345541714</v>
      </c>
      <c r="DQ196" s="545">
        <f t="shared" si="554"/>
        <v>2150</v>
      </c>
      <c r="DR196" s="460">
        <f t="shared" si="555"/>
        <v>229.01443320324989</v>
      </c>
      <c r="DT196">
        <f t="shared" si="590"/>
        <v>2150</v>
      </c>
      <c r="DU196">
        <f t="shared" si="591"/>
        <v>229.01443320324989</v>
      </c>
      <c r="DW196" s="5">
        <f t="shared" si="556"/>
        <v>4.3665370169595459</v>
      </c>
      <c r="DX196" s="5">
        <f t="shared" si="557"/>
        <v>2.6162373688112046</v>
      </c>
      <c r="DY196" s="5">
        <f t="shared" si="558"/>
        <v>1.7502996481483413</v>
      </c>
      <c r="DZ196" s="5"/>
      <c r="EA196" s="173">
        <f t="shared" si="559"/>
        <v>0.59915611814345993</v>
      </c>
      <c r="EB196" s="173">
        <f t="shared" si="560"/>
        <v>60.199999999999974</v>
      </c>
      <c r="EC196" s="173">
        <f t="shared" si="561"/>
        <v>2.1197183098591545</v>
      </c>
      <c r="ED196" s="173">
        <f t="shared" si="562"/>
        <v>28.399999999999991</v>
      </c>
      <c r="EE196" s="460">
        <f t="shared" si="563"/>
        <v>20.088965510514608</v>
      </c>
      <c r="EF196" s="5">
        <f t="shared" si="564"/>
        <v>3.9612044668620348</v>
      </c>
      <c r="EH196" s="173">
        <f t="shared" si="565"/>
        <v>4.7265282657732861</v>
      </c>
      <c r="EI196" s="173">
        <f t="shared" si="566"/>
        <v>3.8659825541524837</v>
      </c>
      <c r="EK196" s="528">
        <f t="shared" si="567"/>
        <v>0.26808083336584593</v>
      </c>
      <c r="EL196" s="528">
        <f t="shared" si="568"/>
        <v>2.1813617021276599</v>
      </c>
      <c r="EM196" s="528">
        <f t="shared" si="569"/>
        <v>2.6336659818373739E-2</v>
      </c>
      <c r="EN196" s="528">
        <f t="shared" si="570"/>
        <v>0.25341118046228883</v>
      </c>
      <c r="EO196">
        <f t="shared" si="571"/>
        <v>8.5500000000000003E-3</v>
      </c>
      <c r="EP196" s="460">
        <f t="shared" si="572"/>
        <v>34.886659818373737</v>
      </c>
      <c r="EQ196" s="460"/>
      <c r="ER196" s="460">
        <f t="shared" si="592"/>
        <v>2737.7403757741686</v>
      </c>
      <c r="ES196" s="528">
        <f t="shared" si="573"/>
        <v>1.5049999999999999</v>
      </c>
      <c r="EV196" s="460">
        <f t="shared" si="494"/>
        <v>1505</v>
      </c>
      <c r="EW196" s="528">
        <f t="shared" si="574"/>
        <v>0.31276097226015359</v>
      </c>
      <c r="EX196" s="528">
        <f t="shared" si="575"/>
        <v>0.20924149552615909</v>
      </c>
      <c r="EY196" s="528">
        <f t="shared" si="576"/>
        <v>14.436414989686986</v>
      </c>
      <c r="EZ196" s="528"/>
      <c r="FA196" s="528">
        <f t="shared" si="577"/>
        <v>2.5617021276595739</v>
      </c>
      <c r="FB196" s="460">
        <f t="shared" si="578"/>
        <v>17520.119585132874</v>
      </c>
      <c r="FC196" s="173">
        <f t="shared" si="579"/>
        <v>21.762859960907043</v>
      </c>
      <c r="FD196" s="5">
        <f t="shared" si="580"/>
        <v>60.199999999999996</v>
      </c>
      <c r="FE196" s="173">
        <f t="shared" si="581"/>
        <v>0.73447900706140512</v>
      </c>
      <c r="FF196" s="5">
        <f t="shared" si="582"/>
        <v>73.447900706140516</v>
      </c>
      <c r="FI196" s="562">
        <f t="shared" si="583"/>
        <v>-50</v>
      </c>
      <c r="FJ196">
        <f t="shared" si="584"/>
        <v>-50</v>
      </c>
      <c r="FL196">
        <f t="shared" si="585"/>
        <v>0.40084388185654007</v>
      </c>
    </row>
    <row r="197" spans="5:168">
      <c r="E197" s="170">
        <v>87</v>
      </c>
      <c r="F197" s="217">
        <f t="shared" si="586"/>
        <v>2.1749999999999998</v>
      </c>
      <c r="G197" s="217"/>
      <c r="H197" s="217">
        <f t="shared" si="495"/>
        <v>60.899999999999991</v>
      </c>
      <c r="I197" s="541">
        <f t="shared" si="496"/>
        <v>18.854823099224049</v>
      </c>
      <c r="J197" s="172">
        <f t="shared" si="497"/>
        <v>28.478172177340895</v>
      </c>
      <c r="K197" s="172">
        <f t="shared" si="498"/>
        <v>47.332995276564944</v>
      </c>
      <c r="L197" s="443"/>
      <c r="M197" s="217">
        <f t="shared" si="499"/>
        <v>0.60163724372116545</v>
      </c>
      <c r="N197" s="172">
        <f t="shared" si="500"/>
        <v>95.219231530541762</v>
      </c>
      <c r="O197" s="172">
        <f t="shared" si="438"/>
        <v>60.899999999999991</v>
      </c>
      <c r="P197" s="217">
        <f t="shared" si="501"/>
        <v>3.4006868403764914</v>
      </c>
      <c r="Q197" s="217">
        <f t="shared" si="502"/>
        <v>28</v>
      </c>
      <c r="R197" s="217"/>
      <c r="S197" s="172">
        <f t="shared" si="503"/>
        <v>53.525736126924009</v>
      </c>
      <c r="T197" s="536">
        <f t="shared" si="504"/>
        <v>28</v>
      </c>
      <c r="U197" s="217">
        <f t="shared" si="505"/>
        <v>10.919695507265772</v>
      </c>
      <c r="V197" s="217">
        <f t="shared" si="506"/>
        <v>2.7219862320671284</v>
      </c>
      <c r="W197" s="217">
        <f t="shared" si="507"/>
        <v>1.8021721536252504</v>
      </c>
      <c r="X197" s="197">
        <f t="shared" si="508"/>
        <v>350</v>
      </c>
      <c r="Y197" s="443">
        <f t="shared" si="509"/>
        <v>211.67791558991911</v>
      </c>
      <c r="AA197" s="217">
        <f t="shared" si="510"/>
        <v>6.8961179872540246</v>
      </c>
      <c r="AB197" s="173">
        <f t="shared" si="511"/>
        <v>1.1381262230685874</v>
      </c>
      <c r="AC197" s="173">
        <f t="shared" si="512"/>
        <v>1.3735142257670352</v>
      </c>
      <c r="AD197" s="173"/>
      <c r="AE197" s="173">
        <f t="shared" si="513"/>
        <v>0.55012893977556954</v>
      </c>
      <c r="AF197" s="545">
        <f t="shared" si="514"/>
        <v>2372.1711505167996</v>
      </c>
      <c r="AG197" s="528">
        <f t="shared" si="515"/>
        <v>0.32090854820241554</v>
      </c>
      <c r="AI197" s="173">
        <f t="shared" si="516"/>
        <v>8.6779617797802597</v>
      </c>
      <c r="AJ197" s="173">
        <f t="shared" si="517"/>
        <v>10.919695507265772</v>
      </c>
      <c r="AK197" s="173">
        <f t="shared" si="518"/>
        <v>6.81952753624625</v>
      </c>
      <c r="AM197" s="545">
        <f t="shared" si="519"/>
        <v>2175</v>
      </c>
      <c r="AN197" s="460">
        <f t="shared" si="520"/>
        <v>211.67791558991911</v>
      </c>
      <c r="AP197">
        <f t="shared" si="521"/>
        <v>2175</v>
      </c>
      <c r="AQ197">
        <f t="shared" si="522"/>
        <v>211.67791558991911</v>
      </c>
      <c r="AS197" s="5">
        <f t="shared" si="439"/>
        <v>4.7241583856923794</v>
      </c>
      <c r="AT197" s="5">
        <f t="shared" si="523"/>
        <v>2.7219862320671284</v>
      </c>
      <c r="AU197" s="5">
        <f t="shared" si="477"/>
        <v>2.002172153625251</v>
      </c>
      <c r="AV197" s="5"/>
      <c r="AW197" s="173">
        <f t="shared" si="478"/>
        <v>0.57618437186842753</v>
      </c>
      <c r="AX197" s="173">
        <f t="shared" ref="AX197:AX210" si="595">0.5*L*AJ197^2*AN197*1000</f>
        <v>59.314991064111446</v>
      </c>
      <c r="AY197" s="173">
        <f t="shared" ref="AY197:AY210" si="596">AJ197*Nps/2*(1-AW197)</f>
        <v>2.3139688052086766</v>
      </c>
      <c r="AZ197" s="173">
        <f t="shared" si="440"/>
        <v>25.633444552318561</v>
      </c>
      <c r="BA197" s="460">
        <f t="shared" si="593"/>
        <v>21.144000195521443</v>
      </c>
      <c r="BB197" s="5">
        <f t="shared" si="594"/>
        <v>4.6192153712798651</v>
      </c>
      <c r="BD197" s="173">
        <f t="shared" si="441"/>
        <v>4.7855365578313025</v>
      </c>
      <c r="BE197" s="173">
        <f t="shared" ref="BE197:BE210" si="597">AJ197*Nps*SQRT((1-AW197)/3)</f>
        <v>4.1042932616298531</v>
      </c>
      <c r="BG197" s="528">
        <f t="shared" si="479"/>
        <v>0.27481632175607845</v>
      </c>
      <c r="BH197" s="528">
        <f t="shared" si="524"/>
        <v>1.9967005399606532</v>
      </c>
      <c r="BI197" s="528">
        <f t="shared" si="480"/>
        <v>2.43429602928407E-2</v>
      </c>
      <c r="BJ197" s="528">
        <f t="shared" si="481"/>
        <v>0.233566074108258</v>
      </c>
      <c r="BK197">
        <f t="shared" si="482"/>
        <v>8.4846703946508222E-3</v>
      </c>
      <c r="BL197" s="460">
        <f t="shared" si="587"/>
        <v>32.827630687491521</v>
      </c>
      <c r="BM197" s="528">
        <f t="shared" si="525"/>
        <v>2.7594664521859418</v>
      </c>
      <c r="BN197" s="460">
        <f t="shared" si="526"/>
        <v>2759.4664521859418</v>
      </c>
      <c r="BO197" s="528">
        <f t="shared" si="483"/>
        <v>1.5224999999999997</v>
      </c>
      <c r="BR197" s="460">
        <f t="shared" si="484"/>
        <v>1522.4999999999998</v>
      </c>
      <c r="BS197" s="528">
        <f t="shared" si="485"/>
        <v>0.32061904204875824</v>
      </c>
      <c r="BT197" s="528">
        <f t="shared" si="486"/>
        <v>0.23583312448444302</v>
      </c>
      <c r="BU197" s="528">
        <f t="shared" si="487"/>
        <v>12.843553557111195</v>
      </c>
      <c r="BV197" s="528"/>
      <c r="BW197" s="528">
        <f t="shared" si="488"/>
        <v>2.5240421729409133</v>
      </c>
      <c r="BX197" s="460">
        <f t="shared" si="489"/>
        <v>15924.047896585309</v>
      </c>
      <c r="BY197" s="173">
        <f t="shared" si="490"/>
        <v>19.984458463097788</v>
      </c>
      <c r="BZ197" s="5">
        <f t="shared" si="491"/>
        <v>60.899999999999991</v>
      </c>
      <c r="CA197" s="173">
        <f t="shared" si="492"/>
        <v>0.75292585444933924</v>
      </c>
      <c r="CB197" s="5">
        <f t="shared" si="493"/>
        <v>75.29258544493392</v>
      </c>
      <c r="CE197" s="562">
        <f t="shared" si="527"/>
        <v>-50</v>
      </c>
      <c r="CF197">
        <f t="shared" si="528"/>
        <v>-50</v>
      </c>
      <c r="CG197" s="173">
        <f t="shared" si="529"/>
        <v>0.38952477768672439</v>
      </c>
      <c r="CI197" s="170">
        <v>87</v>
      </c>
      <c r="CJ197" s="217">
        <f t="shared" si="588"/>
        <v>2.1749999999999998</v>
      </c>
      <c r="CK197" s="217"/>
      <c r="CL197" s="217">
        <f t="shared" si="530"/>
        <v>60.899999999999991</v>
      </c>
      <c r="CM197" s="541">
        <f t="shared" si="531"/>
        <v>19</v>
      </c>
      <c r="CN197" s="443">
        <f t="shared" si="532"/>
        <v>28.4</v>
      </c>
      <c r="CO197" s="443">
        <f t="shared" si="533"/>
        <v>47.4</v>
      </c>
      <c r="CP197" s="443"/>
      <c r="CQ197" s="217">
        <f t="shared" si="534"/>
        <v>0.59915611814345993</v>
      </c>
      <c r="CR197" s="172">
        <f t="shared" si="589"/>
        <v>95.556689708830859</v>
      </c>
      <c r="CS197" s="172">
        <f t="shared" si="535"/>
        <v>60.899999999999991</v>
      </c>
      <c r="CT197" s="217">
        <f t="shared" si="536"/>
        <v>3.4127389181725305</v>
      </c>
      <c r="CU197" s="217">
        <f t="shared" si="537"/>
        <v>28</v>
      </c>
      <c r="CV197" s="217"/>
      <c r="CW197" s="172">
        <f t="shared" si="538"/>
        <v>53.936803234071796</v>
      </c>
      <c r="CX197" s="536">
        <f t="shared" si="539"/>
        <v>28</v>
      </c>
      <c r="CY197" s="217">
        <f t="shared" si="540"/>
        <v>10.699258710155668</v>
      </c>
      <c r="CZ197" s="217">
        <f t="shared" si="541"/>
        <v>2.6466587335648231</v>
      </c>
      <c r="DA197" s="217">
        <f t="shared" si="542"/>
        <v>1.770651969638438</v>
      </c>
      <c r="DB197" s="197">
        <f t="shared" si="543"/>
        <v>350</v>
      </c>
      <c r="DC197" s="443">
        <f t="shared" si="544"/>
        <v>226.38208339631601</v>
      </c>
      <c r="DE197" s="217">
        <f t="shared" si="545"/>
        <v>6.9203442217177731</v>
      </c>
      <c r="DF197" s="173">
        <f t="shared" si="546"/>
        <v>1.1452682338758289</v>
      </c>
      <c r="DG197" s="173">
        <f t="shared" si="547"/>
        <v>1.3869888208084145</v>
      </c>
      <c r="DH197" s="173"/>
      <c r="DI197" s="173">
        <f t="shared" si="548"/>
        <v>0.55164319248826299</v>
      </c>
      <c r="DJ197" s="545">
        <f t="shared" si="549"/>
        <v>2365.6595744680844</v>
      </c>
      <c r="DK197" s="528">
        <f t="shared" si="550"/>
        <v>0.3217918622848201</v>
      </c>
      <c r="DM197" s="173">
        <f t="shared" si="551"/>
        <v>8.6660431542525664</v>
      </c>
      <c r="DN197" s="173">
        <f t="shared" si="552"/>
        <v>10.699258710155668</v>
      </c>
      <c r="DO197" s="173">
        <f t="shared" si="553"/>
        <v>6.6562410198683954</v>
      </c>
      <c r="DQ197" s="545">
        <f t="shared" si="554"/>
        <v>2175</v>
      </c>
      <c r="DR197" s="460">
        <f t="shared" si="555"/>
        <v>226.38208339631601</v>
      </c>
      <c r="DT197">
        <f t="shared" si="590"/>
        <v>2175</v>
      </c>
      <c r="DU197">
        <f t="shared" si="591"/>
        <v>226.38208339631601</v>
      </c>
      <c r="DW197" s="5">
        <f t="shared" si="556"/>
        <v>4.4173107032032615</v>
      </c>
      <c r="DX197" s="5">
        <f t="shared" si="557"/>
        <v>2.6466587335648231</v>
      </c>
      <c r="DY197" s="5">
        <f t="shared" si="558"/>
        <v>1.7706519696384384</v>
      </c>
      <c r="DZ197" s="5"/>
      <c r="EA197" s="173">
        <f t="shared" si="559"/>
        <v>0.59915611814345981</v>
      </c>
      <c r="EB197" s="173">
        <f t="shared" si="560"/>
        <v>60.899999999999984</v>
      </c>
      <c r="EC197" s="173">
        <f t="shared" si="561"/>
        <v>2.1443661971830985</v>
      </c>
      <c r="ED197" s="173">
        <f t="shared" si="562"/>
        <v>28.399999999999995</v>
      </c>
      <c r="EE197" s="460">
        <f t="shared" si="563"/>
        <v>20.558866948226747</v>
      </c>
      <c r="EF197" s="5">
        <f t="shared" si="564"/>
        <v>4.0538610883827397</v>
      </c>
      <c r="EH197" s="173">
        <f t="shared" si="565"/>
        <v>4.7814878967706491</v>
      </c>
      <c r="EI197" s="173">
        <f t="shared" si="566"/>
        <v>3.9109358396658855</v>
      </c>
      <c r="EK197" s="528">
        <f t="shared" si="567"/>
        <v>0.27435151808357044</v>
      </c>
      <c r="EL197" s="528">
        <f t="shared" si="568"/>
        <v>2.1813617021276599</v>
      </c>
      <c r="EM197" s="528">
        <f t="shared" si="569"/>
        <v>2.6033939590576344E-2</v>
      </c>
      <c r="EN197" s="528">
        <f t="shared" si="570"/>
        <v>0.25049840827306713</v>
      </c>
      <c r="EO197">
        <f t="shared" si="571"/>
        <v>8.5500000000000003E-3</v>
      </c>
      <c r="EP197" s="460">
        <f t="shared" si="572"/>
        <v>34.583939590576342</v>
      </c>
      <c r="EQ197" s="460"/>
      <c r="ER197" s="460">
        <f t="shared" si="592"/>
        <v>2740.7955680748742</v>
      </c>
      <c r="ES197" s="528">
        <f t="shared" si="573"/>
        <v>1.5224999999999997</v>
      </c>
      <c r="EV197" s="460">
        <f t="shared" si="494"/>
        <v>1522.4999999999998</v>
      </c>
      <c r="EW197" s="528">
        <f t="shared" si="574"/>
        <v>0.32007677109749888</v>
      </c>
      <c r="EX197" s="528">
        <f t="shared" si="575"/>
        <v>0.21413586798776349</v>
      </c>
      <c r="EY197" s="528">
        <f t="shared" si="576"/>
        <v>14.436414989687012</v>
      </c>
      <c r="EZ197" s="528"/>
      <c r="FA197" s="528">
        <f t="shared" si="577"/>
        <v>2.5914893617021271</v>
      </c>
      <c r="FB197" s="460">
        <f t="shared" si="578"/>
        <v>17562.116990474402</v>
      </c>
      <c r="FC197" s="173">
        <f t="shared" si="579"/>
        <v>21.825412558549274</v>
      </c>
      <c r="FD197" s="5">
        <f t="shared" si="580"/>
        <v>60.899999999999991</v>
      </c>
      <c r="FE197" s="173">
        <f t="shared" si="581"/>
        <v>0.73617039935458473</v>
      </c>
      <c r="FF197" s="5">
        <f t="shared" si="582"/>
        <v>73.617039935458479</v>
      </c>
      <c r="FI197" s="562">
        <f t="shared" si="583"/>
        <v>-50</v>
      </c>
      <c r="FJ197">
        <f t="shared" si="584"/>
        <v>-50</v>
      </c>
      <c r="FL197">
        <f t="shared" si="585"/>
        <v>0.40084388185654019</v>
      </c>
    </row>
    <row r="198" spans="5:168">
      <c r="E198" s="170">
        <v>88</v>
      </c>
      <c r="F198" s="217">
        <f t="shared" si="586"/>
        <v>2.2000000000000002</v>
      </c>
      <c r="G198" s="217"/>
      <c r="H198" s="217">
        <f t="shared" si="495"/>
        <v>61.600000000000009</v>
      </c>
      <c r="I198" s="541">
        <f t="shared" si="496"/>
        <v>18.853202873549094</v>
      </c>
      <c r="J198" s="172">
        <f t="shared" si="497"/>
        <v>28.479044606550488</v>
      </c>
      <c r="K198" s="172">
        <f t="shared" si="498"/>
        <v>47.332247480099582</v>
      </c>
      <c r="L198" s="443"/>
      <c r="M198" s="217">
        <f t="shared" si="499"/>
        <v>0.6016651883768942</v>
      </c>
      <c r="N198" s="172">
        <f t="shared" si="500"/>
        <v>95.215471519397354</v>
      </c>
      <c r="O198" s="172">
        <f t="shared" ref="O198:O261" si="598">T198*F198</f>
        <v>61.600000000000009</v>
      </c>
      <c r="P198" s="217">
        <f t="shared" si="501"/>
        <v>3.4005525542641912</v>
      </c>
      <c r="Q198" s="217">
        <f t="shared" si="502"/>
        <v>28</v>
      </c>
      <c r="R198" s="217"/>
      <c r="S198" s="172">
        <f t="shared" si="503"/>
        <v>52.702458161120539</v>
      </c>
      <c r="T198" s="536">
        <f t="shared" si="504"/>
        <v>28</v>
      </c>
      <c r="U198" s="217">
        <f t="shared" si="505"/>
        <v>11.045984110881999</v>
      </c>
      <c r="V198" s="217">
        <f t="shared" si="506"/>
        <v>2.7537032126240653</v>
      </c>
      <c r="W198" s="217">
        <f t="shared" si="507"/>
        <v>1.822958811940065</v>
      </c>
      <c r="X198" s="197">
        <f t="shared" si="508"/>
        <v>350</v>
      </c>
      <c r="Y198" s="443">
        <f t="shared" si="509"/>
        <v>209.3512153167776</v>
      </c>
      <c r="AA198" s="217">
        <f t="shared" si="510"/>
        <v>6.8958455820267153</v>
      </c>
      <c r="AB198" s="173">
        <f t="shared" si="511"/>
        <v>1.1380464016012251</v>
      </c>
      <c r="AC198" s="173">
        <f t="shared" si="512"/>
        <v>1.3733636438590615</v>
      </c>
      <c r="AD198" s="173"/>
      <c r="AE198" s="173">
        <f t="shared" si="513"/>
        <v>0.55011208708395942</v>
      </c>
      <c r="AF198" s="545">
        <f t="shared" si="514"/>
        <v>2399.5109923817008</v>
      </c>
      <c r="AG198" s="528">
        <f t="shared" si="515"/>
        <v>0.32089871746564302</v>
      </c>
      <c r="AI198" s="173">
        <f t="shared" si="516"/>
        <v>8.7278263123816568</v>
      </c>
      <c r="AJ198" s="173">
        <f t="shared" si="517"/>
        <v>11.045984110881999</v>
      </c>
      <c r="AK198" s="173">
        <f t="shared" si="518"/>
        <v>6.9130746500360489</v>
      </c>
      <c r="AM198" s="545">
        <f t="shared" si="519"/>
        <v>2200</v>
      </c>
      <c r="AN198" s="460">
        <f t="shared" si="520"/>
        <v>209.3512153167776</v>
      </c>
      <c r="AP198">
        <f t="shared" si="521"/>
        <v>2200</v>
      </c>
      <c r="AQ198">
        <f t="shared" si="522"/>
        <v>209.3512153167776</v>
      </c>
      <c r="AS198" s="5">
        <f t="shared" ref="AS198:AS262" si="599">1/AN198*1000</f>
        <v>4.7766620245641302</v>
      </c>
      <c r="AT198" s="5">
        <f t="shared" si="523"/>
        <v>2.7537032126240653</v>
      </c>
      <c r="AU198" s="5">
        <f t="shared" si="477"/>
        <v>2.022958811940065</v>
      </c>
      <c r="AV198" s="5"/>
      <c r="AW198" s="173">
        <f t="shared" si="478"/>
        <v>0.57649111418456289</v>
      </c>
      <c r="AX198" s="173">
        <f t="shared" si="595"/>
        <v>60.027765461201888</v>
      </c>
      <c r="AY198" s="173">
        <f t="shared" si="596"/>
        <v>2.3390362117673287</v>
      </c>
      <c r="AZ198" s="173">
        <f t="shared" ref="AZ198:AZ210" si="600">AX198/AY198</f>
        <v>25.663461368922594</v>
      </c>
      <c r="BA198" s="460">
        <f t="shared" si="593"/>
        <v>21.636239527760512</v>
      </c>
      <c r="BB198" s="5">
        <f t="shared" si="594"/>
        <v>4.7212236733655217</v>
      </c>
      <c r="BD198" s="173">
        <f t="shared" ref="BD198:BD210" si="601">AJ198*SQRT(AW198/3)</f>
        <v>4.8421707018629059</v>
      </c>
      <c r="BE198" s="173">
        <f t="shared" si="597"/>
        <v>4.1502575687106082</v>
      </c>
      <c r="BG198" s="528">
        <f t="shared" si="479"/>
        <v>0.28135940527175407</v>
      </c>
      <c r="BH198" s="528">
        <f t="shared" si="524"/>
        <v>1.997560289818771</v>
      </c>
      <c r="BI198" s="528">
        <f t="shared" si="480"/>
        <v>2.4075389761429426E-2</v>
      </c>
      <c r="BJ198" s="528">
        <f t="shared" si="481"/>
        <v>0.23099148687895671</v>
      </c>
      <c r="BK198">
        <f t="shared" si="482"/>
        <v>8.4839412930970918E-3</v>
      </c>
      <c r="BL198" s="460">
        <f t="shared" si="587"/>
        <v>32.559331054526517</v>
      </c>
      <c r="BM198" s="528">
        <f t="shared" si="525"/>
        <v>2.7711310912675979</v>
      </c>
      <c r="BN198" s="460">
        <f t="shared" si="526"/>
        <v>2771.1310912675981</v>
      </c>
      <c r="BO198" s="528">
        <f t="shared" si="483"/>
        <v>1.54</v>
      </c>
      <c r="BR198" s="460">
        <f t="shared" si="484"/>
        <v>1540</v>
      </c>
      <c r="BS198" s="528">
        <f t="shared" si="485"/>
        <v>0.32825263948371308</v>
      </c>
      <c r="BT198" s="528">
        <f t="shared" si="486"/>
        <v>0.24114493041295562</v>
      </c>
      <c r="BU198" s="528">
        <f t="shared" si="487"/>
        <v>12.857891471622542</v>
      </c>
      <c r="BV198" s="528"/>
      <c r="BW198" s="528">
        <f t="shared" si="488"/>
        <v>2.5543729983490162</v>
      </c>
      <c r="BX198" s="460">
        <f t="shared" si="489"/>
        <v>15981.662039868228</v>
      </c>
      <c r="BY198" s="173">
        <f t="shared" si="490"/>
        <v>20.064132552892236</v>
      </c>
      <c r="BZ198" s="5">
        <f t="shared" si="491"/>
        <v>61.600000000000009</v>
      </c>
      <c r="CA198" s="173">
        <f t="shared" si="492"/>
        <v>0.75430912047100862</v>
      </c>
      <c r="CB198" s="5">
        <f t="shared" si="493"/>
        <v>75.430912047100861</v>
      </c>
      <c r="CE198" s="562">
        <f t="shared" si="527"/>
        <v>-50</v>
      </c>
      <c r="CF198">
        <f t="shared" si="528"/>
        <v>-50</v>
      </c>
      <c r="CG198" s="173">
        <f t="shared" si="529"/>
        <v>0.3896534038704722</v>
      </c>
      <c r="CI198" s="170">
        <v>88</v>
      </c>
      <c r="CJ198" s="217">
        <f t="shared" si="588"/>
        <v>2.2000000000000002</v>
      </c>
      <c r="CK198" s="217"/>
      <c r="CL198" s="217">
        <f t="shared" si="530"/>
        <v>61.600000000000009</v>
      </c>
      <c r="CM198" s="541">
        <f t="shared" si="531"/>
        <v>19</v>
      </c>
      <c r="CN198" s="443">
        <f t="shared" si="532"/>
        <v>28.4</v>
      </c>
      <c r="CO198" s="443">
        <f t="shared" si="533"/>
        <v>47.4</v>
      </c>
      <c r="CP198" s="443"/>
      <c r="CQ198" s="217">
        <f t="shared" si="534"/>
        <v>0.59915611814345993</v>
      </c>
      <c r="CR198" s="172">
        <f t="shared" si="589"/>
        <v>95.556689708830859</v>
      </c>
      <c r="CS198" s="172">
        <f t="shared" si="535"/>
        <v>61.600000000000009</v>
      </c>
      <c r="CT198" s="217">
        <f t="shared" si="536"/>
        <v>3.4127389181725305</v>
      </c>
      <c r="CU198" s="217">
        <f t="shared" si="537"/>
        <v>28</v>
      </c>
      <c r="CV198" s="217"/>
      <c r="CW198" s="172">
        <f t="shared" si="538"/>
        <v>53.11172192659194</v>
      </c>
      <c r="CX198" s="536">
        <f t="shared" si="539"/>
        <v>28</v>
      </c>
      <c r="CY198" s="217">
        <f t="shared" si="540"/>
        <v>10.822238695329874</v>
      </c>
      <c r="CZ198" s="217">
        <f t="shared" si="541"/>
        <v>2.6770800983184428</v>
      </c>
      <c r="DA198" s="217">
        <f t="shared" si="542"/>
        <v>1.7910042911285355</v>
      </c>
      <c r="DB198" s="197">
        <f t="shared" si="543"/>
        <v>350</v>
      </c>
      <c r="DC198" s="443">
        <f t="shared" si="544"/>
        <v>223.80955972135777</v>
      </c>
      <c r="DE198" s="217">
        <f t="shared" si="545"/>
        <v>6.9203442217177731</v>
      </c>
      <c r="DF198" s="173">
        <f t="shared" si="546"/>
        <v>1.1452682338758289</v>
      </c>
      <c r="DG198" s="173">
        <f t="shared" si="547"/>
        <v>1.3869888208084145</v>
      </c>
      <c r="DH198" s="173"/>
      <c r="DI198" s="173">
        <f t="shared" si="548"/>
        <v>0.55164319248826299</v>
      </c>
      <c r="DJ198" s="545">
        <f t="shared" si="549"/>
        <v>2392.8510638297871</v>
      </c>
      <c r="DK198" s="528">
        <f t="shared" si="550"/>
        <v>0.3217918622848201</v>
      </c>
      <c r="DM198" s="173">
        <f t="shared" si="551"/>
        <v>8.7157056992458308</v>
      </c>
      <c r="DN198" s="173">
        <f t="shared" si="552"/>
        <v>10.822238695329874</v>
      </c>
      <c r="DO198" s="173">
        <f t="shared" si="553"/>
        <v>6.7473373051826231</v>
      </c>
      <c r="DQ198" s="545">
        <f t="shared" si="554"/>
        <v>2200</v>
      </c>
      <c r="DR198" s="460">
        <f t="shared" si="555"/>
        <v>223.80955972135777</v>
      </c>
      <c r="DT198">
        <f t="shared" si="590"/>
        <v>2200</v>
      </c>
      <c r="DU198">
        <f t="shared" si="591"/>
        <v>223.80955972135777</v>
      </c>
      <c r="DW198" s="5">
        <f t="shared" si="556"/>
        <v>4.4680843894469788</v>
      </c>
      <c r="DX198" s="5">
        <f t="shared" si="557"/>
        <v>2.6770800983184428</v>
      </c>
      <c r="DY198" s="5">
        <f t="shared" si="558"/>
        <v>1.791004291128536</v>
      </c>
      <c r="DZ198" s="5"/>
      <c r="EA198" s="173">
        <f t="shared" si="559"/>
        <v>0.59915611814345993</v>
      </c>
      <c r="EB198" s="173">
        <f t="shared" si="560"/>
        <v>61.59999999999998</v>
      </c>
      <c r="EC198" s="173">
        <f t="shared" si="561"/>
        <v>2.169014084507042</v>
      </c>
      <c r="ED198" s="173">
        <f t="shared" si="562"/>
        <v>28.399999999999995</v>
      </c>
      <c r="EE198" s="460">
        <f t="shared" si="563"/>
        <v>21.03420077250205</v>
      </c>
      <c r="EF198" s="5">
        <f t="shared" si="564"/>
        <v>4.147588884718715</v>
      </c>
      <c r="EH198" s="173">
        <f t="shared" si="565"/>
        <v>4.8364475277680148</v>
      </c>
      <c r="EI198" s="173">
        <f t="shared" si="566"/>
        <v>3.9558891251792865</v>
      </c>
      <c r="EK198" s="528">
        <f t="shared" si="567"/>
        <v>0.28069469626624011</v>
      </c>
      <c r="EL198" s="528">
        <f t="shared" si="568"/>
        <v>2.181361702127659</v>
      </c>
      <c r="EM198" s="528">
        <f t="shared" si="569"/>
        <v>2.5738099367956149E-2</v>
      </c>
      <c r="EN198" s="528">
        <f t="shared" si="570"/>
        <v>0.24765183545178218</v>
      </c>
      <c r="EO198">
        <f t="shared" si="571"/>
        <v>8.5500000000000003E-3</v>
      </c>
      <c r="EP198" s="460">
        <f t="shared" si="572"/>
        <v>34.28809936795615</v>
      </c>
      <c r="EQ198" s="460"/>
      <c r="ER198" s="460">
        <f t="shared" si="592"/>
        <v>2743.9963332136376</v>
      </c>
      <c r="ES198" s="528">
        <f t="shared" si="573"/>
        <v>1.54</v>
      </c>
      <c r="EV198" s="460">
        <f t="shared" si="494"/>
        <v>1540</v>
      </c>
      <c r="EW198" s="528">
        <f t="shared" si="574"/>
        <v>0.32747714564394681</v>
      </c>
      <c r="EX198" s="528">
        <f t="shared" si="575"/>
        <v>0.21908682278996436</v>
      </c>
      <c r="EY198" s="528">
        <f t="shared" si="576"/>
        <v>14.436414989686998</v>
      </c>
      <c r="EZ198" s="528"/>
      <c r="FA198" s="528">
        <f t="shared" si="577"/>
        <v>2.6212765957446806</v>
      </c>
      <c r="FB198" s="460">
        <f t="shared" si="578"/>
        <v>17604.255553865591</v>
      </c>
      <c r="FC198" s="173">
        <f t="shared" si="579"/>
        <v>21.888251887079228</v>
      </c>
      <c r="FD198" s="5">
        <f t="shared" si="580"/>
        <v>61.600000000000009</v>
      </c>
      <c r="FE198" s="173">
        <f t="shared" si="581"/>
        <v>0.73782836036998545</v>
      </c>
      <c r="FF198" s="5">
        <f t="shared" si="582"/>
        <v>73.782836036998546</v>
      </c>
      <c r="FI198" s="562">
        <f t="shared" si="583"/>
        <v>-50</v>
      </c>
      <c r="FJ198">
        <f t="shared" si="584"/>
        <v>-50</v>
      </c>
      <c r="FL198">
        <f t="shared" si="585"/>
        <v>0.40084388185654007</v>
      </c>
    </row>
    <row r="199" spans="5:168">
      <c r="E199" s="170">
        <v>89</v>
      </c>
      <c r="F199" s="217">
        <f t="shared" si="586"/>
        <v>2.2250000000000001</v>
      </c>
      <c r="G199" s="217"/>
      <c r="H199" s="217">
        <f t="shared" si="495"/>
        <v>62.300000000000004</v>
      </c>
      <c r="I199" s="541">
        <f t="shared" si="496"/>
        <v>18.851582616600247</v>
      </c>
      <c r="J199" s="172">
        <f t="shared" si="497"/>
        <v>28.479917052599866</v>
      </c>
      <c r="K199" s="172">
        <f t="shared" si="498"/>
        <v>47.331499669200113</v>
      </c>
      <c r="L199" s="443"/>
      <c r="M199" s="217">
        <f t="shared" si="499"/>
        <v>0.60169313431238836</v>
      </c>
      <c r="N199" s="172">
        <f t="shared" si="500"/>
        <v>95.211710792708999</v>
      </c>
      <c r="O199" s="172">
        <f t="shared" si="598"/>
        <v>62.300000000000004</v>
      </c>
      <c r="P199" s="217">
        <f t="shared" si="501"/>
        <v>3.40041824259675</v>
      </c>
      <c r="Q199" s="217">
        <f t="shared" si="502"/>
        <v>28</v>
      </c>
      <c r="R199" s="217"/>
      <c r="S199" s="172">
        <f t="shared" si="503"/>
        <v>51.89778220118238</v>
      </c>
      <c r="T199" s="536">
        <f t="shared" si="504"/>
        <v>28</v>
      </c>
      <c r="U199" s="217">
        <f t="shared" si="505"/>
        <v>11.17229047086046</v>
      </c>
      <c r="V199" s="217">
        <f t="shared" si="506"/>
        <v>2.7854300766666311</v>
      </c>
      <c r="W199" s="217">
        <f t="shared" si="507"/>
        <v>1.843747125950659</v>
      </c>
      <c r="X199" s="197">
        <f t="shared" si="508"/>
        <v>350</v>
      </c>
      <c r="Y199" s="443">
        <f t="shared" si="509"/>
        <v>207.0746129295122</v>
      </c>
      <c r="AA199" s="217">
        <f t="shared" si="510"/>
        <v>6.8955731266231197</v>
      </c>
      <c r="AB199" s="173">
        <f t="shared" si="511"/>
        <v>1.1379665760708422</v>
      </c>
      <c r="AC199" s="173">
        <f t="shared" si="512"/>
        <v>1.373213054666149</v>
      </c>
      <c r="AD199" s="173"/>
      <c r="AE199" s="173">
        <f t="shared" si="513"/>
        <v>0.55009523509958724</v>
      </c>
      <c r="AF199" s="545">
        <f t="shared" si="514"/>
        <v>2426.8525062906906</v>
      </c>
      <c r="AG199" s="528">
        <f t="shared" si="515"/>
        <v>0.32088888714142594</v>
      </c>
      <c r="AI199" s="173">
        <f t="shared" si="516"/>
        <v>8.7774105924037169</v>
      </c>
      <c r="AJ199" s="173">
        <f t="shared" si="517"/>
        <v>11.17229047086046</v>
      </c>
      <c r="AK199" s="173">
        <f t="shared" si="518"/>
        <v>7.0066349166867603</v>
      </c>
      <c r="AM199" s="545">
        <f t="shared" si="519"/>
        <v>2225</v>
      </c>
      <c r="AN199" s="460">
        <f t="shared" si="520"/>
        <v>207.0746129295122</v>
      </c>
      <c r="AP199">
        <f t="shared" si="521"/>
        <v>2225</v>
      </c>
      <c r="AQ199">
        <f t="shared" si="522"/>
        <v>207.0746129295122</v>
      </c>
      <c r="AS199" s="5">
        <f t="shared" si="599"/>
        <v>4.8291772026172906</v>
      </c>
      <c r="AT199" s="5">
        <f t="shared" si="523"/>
        <v>2.7854300766666311</v>
      </c>
      <c r="AU199" s="5">
        <f t="shared" si="477"/>
        <v>2.0437471259506594</v>
      </c>
      <c r="AV199" s="5"/>
      <c r="AW199" s="173">
        <f t="shared" si="478"/>
        <v>0.57679185496796415</v>
      </c>
      <c r="AX199" s="173">
        <f t="shared" si="595"/>
        <v>60.740611174804442</v>
      </c>
      <c r="AY199" s="173">
        <f t="shared" si="596"/>
        <v>2.3641021629659731</v>
      </c>
      <c r="AZ199" s="173">
        <f t="shared" si="600"/>
        <v>25.692887611337419</v>
      </c>
      <c r="BA199" s="460">
        <f t="shared" si="593"/>
        <v>22.134221144940195</v>
      </c>
      <c r="BB199" s="5">
        <f t="shared" si="594"/>
        <v>4.8243560742066736</v>
      </c>
      <c r="BD199" s="173">
        <f t="shared" si="601"/>
        <v>4.89881625941032</v>
      </c>
      <c r="BE199" s="173">
        <f t="shared" si="597"/>
        <v>4.1962233867646068</v>
      </c>
      <c r="BG199" s="528">
        <f t="shared" si="479"/>
        <v>0.28798080892155503</v>
      </c>
      <c r="BH199" s="528">
        <f t="shared" si="524"/>
        <v>1.9983990315191489</v>
      </c>
      <c r="BI199" s="528">
        <f t="shared" si="480"/>
        <v>2.3813580486893905E-2</v>
      </c>
      <c r="BJ199" s="528">
        <f t="shared" si="481"/>
        <v>0.22847233653234975</v>
      </c>
      <c r="BK199">
        <f t="shared" si="482"/>
        <v>8.4832121774701102E-3</v>
      </c>
      <c r="BL199" s="460">
        <f t="shared" si="587"/>
        <v>32.296792664364013</v>
      </c>
      <c r="BM199" s="528">
        <f t="shared" si="525"/>
        <v>2.783033980980588</v>
      </c>
      <c r="BN199" s="460">
        <f t="shared" si="526"/>
        <v>2783.0339809805878</v>
      </c>
      <c r="BO199" s="528">
        <f t="shared" si="483"/>
        <v>1.5574999999999999</v>
      </c>
      <c r="BR199" s="460">
        <f t="shared" si="484"/>
        <v>1557.4999999999998</v>
      </c>
      <c r="BS199" s="528">
        <f t="shared" si="485"/>
        <v>0.3359776104084809</v>
      </c>
      <c r="BT199" s="528">
        <f t="shared" si="486"/>
        <v>0.24651606996282321</v>
      </c>
      <c r="BU199" s="528">
        <f t="shared" si="487"/>
        <v>12.871901156732353</v>
      </c>
      <c r="BV199" s="528"/>
      <c r="BW199" s="528">
        <f t="shared" si="488"/>
        <v>2.584706858502317</v>
      </c>
      <c r="BX199" s="460">
        <f t="shared" si="489"/>
        <v>16039.101695605972</v>
      </c>
      <c r="BY199" s="173">
        <f t="shared" si="490"/>
        <v>20.143750665243388</v>
      </c>
      <c r="BZ199" s="5">
        <f t="shared" si="491"/>
        <v>62.300000000000004</v>
      </c>
      <c r="CA199" s="173">
        <f t="shared" si="492"/>
        <v>0.75566673637841197</v>
      </c>
      <c r="CB199" s="5">
        <f t="shared" si="493"/>
        <v>75.566673637841191</v>
      </c>
      <c r="CE199" s="562">
        <f t="shared" si="527"/>
        <v>-50</v>
      </c>
      <c r="CF199">
        <f t="shared" si="528"/>
        <v>-50</v>
      </c>
      <c r="CG199" s="173">
        <f t="shared" si="529"/>
        <v>0.38977913957818061</v>
      </c>
      <c r="CI199" s="170">
        <v>89</v>
      </c>
      <c r="CJ199" s="217">
        <f t="shared" si="588"/>
        <v>2.2250000000000001</v>
      </c>
      <c r="CK199" s="217"/>
      <c r="CL199" s="217">
        <f t="shared" si="530"/>
        <v>62.300000000000004</v>
      </c>
      <c r="CM199" s="541">
        <f t="shared" si="531"/>
        <v>19</v>
      </c>
      <c r="CN199" s="443">
        <f t="shared" si="532"/>
        <v>28.4</v>
      </c>
      <c r="CO199" s="443">
        <f t="shared" si="533"/>
        <v>47.4</v>
      </c>
      <c r="CP199" s="443"/>
      <c r="CQ199" s="217">
        <f t="shared" si="534"/>
        <v>0.59915611814345993</v>
      </c>
      <c r="CR199" s="172">
        <f t="shared" si="589"/>
        <v>95.556689708830859</v>
      </c>
      <c r="CS199" s="172">
        <f t="shared" si="535"/>
        <v>62.300000000000004</v>
      </c>
      <c r="CT199" s="217">
        <f t="shared" si="536"/>
        <v>3.4127389181725305</v>
      </c>
      <c r="CU199" s="217">
        <f t="shared" si="537"/>
        <v>28</v>
      </c>
      <c r="CV199" s="217"/>
      <c r="CW199" s="172">
        <f t="shared" si="538"/>
        <v>52.305246856366821</v>
      </c>
      <c r="CX199" s="536">
        <f t="shared" si="539"/>
        <v>28</v>
      </c>
      <c r="CY199" s="217">
        <f t="shared" si="540"/>
        <v>10.945218680504077</v>
      </c>
      <c r="CZ199" s="217">
        <f t="shared" si="541"/>
        <v>2.7075014630720609</v>
      </c>
      <c r="DA199" s="217">
        <f t="shared" si="542"/>
        <v>1.8113566126186322</v>
      </c>
      <c r="DB199" s="197">
        <f t="shared" si="543"/>
        <v>350</v>
      </c>
      <c r="DC199" s="443">
        <f t="shared" si="544"/>
        <v>221.29484556718532</v>
      </c>
      <c r="DE199" s="217">
        <f t="shared" si="545"/>
        <v>6.9203442217177731</v>
      </c>
      <c r="DF199" s="173">
        <f t="shared" si="546"/>
        <v>1.1452682338758289</v>
      </c>
      <c r="DG199" s="173">
        <f t="shared" si="547"/>
        <v>1.3869888208084145</v>
      </c>
      <c r="DH199" s="173"/>
      <c r="DI199" s="173">
        <f t="shared" si="548"/>
        <v>0.55164319248826299</v>
      </c>
      <c r="DJ199" s="545">
        <f t="shared" si="549"/>
        <v>2420.0425531914889</v>
      </c>
      <c r="DK199" s="528">
        <f t="shared" si="550"/>
        <v>0.3217918622848201</v>
      </c>
      <c r="DM199" s="173">
        <f t="shared" si="551"/>
        <v>8.7650868632526819</v>
      </c>
      <c r="DN199" s="173">
        <f t="shared" si="552"/>
        <v>10.945218680504077</v>
      </c>
      <c r="DO199" s="173">
        <f t="shared" si="553"/>
        <v>6.8384335904968463</v>
      </c>
      <c r="DQ199" s="545">
        <f t="shared" si="554"/>
        <v>2225</v>
      </c>
      <c r="DR199" s="460">
        <f t="shared" si="555"/>
        <v>221.29484556718532</v>
      </c>
      <c r="DT199">
        <f t="shared" si="590"/>
        <v>2225</v>
      </c>
      <c r="DU199">
        <f t="shared" si="591"/>
        <v>221.29484556718532</v>
      </c>
      <c r="DW199" s="5">
        <f t="shared" si="556"/>
        <v>4.5188580756906918</v>
      </c>
      <c r="DX199" s="5">
        <f t="shared" si="557"/>
        <v>2.7075014630720609</v>
      </c>
      <c r="DY199" s="5">
        <f t="shared" si="558"/>
        <v>1.8113566126186309</v>
      </c>
      <c r="DZ199" s="5"/>
      <c r="EA199" s="173">
        <f t="shared" si="559"/>
        <v>0.59915611814346015</v>
      </c>
      <c r="EB199" s="173">
        <f t="shared" si="560"/>
        <v>62.300000000000018</v>
      </c>
      <c r="EC199" s="173">
        <f t="shared" si="561"/>
        <v>2.1936619718309847</v>
      </c>
      <c r="ED199" s="173">
        <f t="shared" si="562"/>
        <v>28.400000000000023</v>
      </c>
      <c r="EE199" s="460">
        <f t="shared" si="563"/>
        <v>21.514966983340486</v>
      </c>
      <c r="EF199" s="5">
        <f t="shared" si="564"/>
        <v>4.2423878558699508</v>
      </c>
      <c r="EH199" s="173">
        <f t="shared" si="565"/>
        <v>4.8914071587653796</v>
      </c>
      <c r="EI199" s="173">
        <f t="shared" si="566"/>
        <v>4.0008424106926865</v>
      </c>
      <c r="EK199" s="528">
        <f t="shared" si="567"/>
        <v>0.28711036791385441</v>
      </c>
      <c r="EL199" s="528">
        <f t="shared" si="568"/>
        <v>2.1813617021276599</v>
      </c>
      <c r="EM199" s="528">
        <f t="shared" si="569"/>
        <v>2.5448907240226314E-2</v>
      </c>
      <c r="EN199" s="528">
        <f t="shared" si="570"/>
        <v>0.24486923055906565</v>
      </c>
      <c r="EO199">
        <f t="shared" si="571"/>
        <v>8.5500000000000003E-3</v>
      </c>
      <c r="EP199" s="460">
        <f t="shared" si="572"/>
        <v>33.998907240226316</v>
      </c>
      <c r="EQ199" s="460"/>
      <c r="ER199" s="460">
        <f t="shared" si="592"/>
        <v>2747.3402078408062</v>
      </c>
      <c r="ES199" s="528">
        <f t="shared" si="573"/>
        <v>1.5574999999999999</v>
      </c>
      <c r="EV199" s="460">
        <f t="shared" si="494"/>
        <v>1557.4999999999998</v>
      </c>
      <c r="EW199" s="528">
        <f t="shared" si="574"/>
        <v>0.33496209589949683</v>
      </c>
      <c r="EX199" s="528">
        <f t="shared" si="575"/>
        <v>0.22409435993276175</v>
      </c>
      <c r="EY199" s="528">
        <f t="shared" si="576"/>
        <v>14.436414989687011</v>
      </c>
      <c r="EZ199" s="528"/>
      <c r="FA199" s="528">
        <f t="shared" si="577"/>
        <v>2.6510638297872346</v>
      </c>
      <c r="FB199" s="460">
        <f t="shared" si="578"/>
        <v>17646.535275306505</v>
      </c>
      <c r="FC199" s="173">
        <f t="shared" si="579"/>
        <v>21.951375483147309</v>
      </c>
      <c r="FD199" s="5">
        <f t="shared" si="580"/>
        <v>62.300000000000004</v>
      </c>
      <c r="FE199" s="173">
        <f t="shared" si="581"/>
        <v>0.73945380289324525</v>
      </c>
      <c r="FF199" s="5">
        <f t="shared" si="582"/>
        <v>73.945380289324518</v>
      </c>
      <c r="FI199" s="562">
        <f t="shared" si="583"/>
        <v>-50</v>
      </c>
      <c r="FJ199">
        <f t="shared" si="584"/>
        <v>-50</v>
      </c>
      <c r="FL199">
        <f t="shared" si="585"/>
        <v>0.40084388185653985</v>
      </c>
    </row>
    <row r="200" spans="5:168">
      <c r="E200" s="170">
        <v>90</v>
      </c>
      <c r="F200" s="217">
        <f t="shared" si="586"/>
        <v>2.25</v>
      </c>
      <c r="G200" s="217"/>
      <c r="H200" s="217">
        <f t="shared" si="495"/>
        <v>63</v>
      </c>
      <c r="I200" s="541">
        <f t="shared" si="496"/>
        <v>18.849962329449234</v>
      </c>
      <c r="J200" s="172">
        <f t="shared" si="497"/>
        <v>28.480789514911951</v>
      </c>
      <c r="K200" s="172">
        <f t="shared" si="498"/>
        <v>47.330751844361188</v>
      </c>
      <c r="L200" s="443"/>
      <c r="M200" s="217">
        <f t="shared" si="499"/>
        <v>0.60172108151413828</v>
      </c>
      <c r="N200" s="172">
        <f t="shared" si="500"/>
        <v>95.207949353678018</v>
      </c>
      <c r="O200" s="172">
        <f t="shared" si="598"/>
        <v>63</v>
      </c>
      <c r="P200" s="217">
        <f t="shared" si="501"/>
        <v>3.4002839054885006</v>
      </c>
      <c r="Q200" s="217">
        <f t="shared" si="502"/>
        <v>28</v>
      </c>
      <c r="R200" s="217"/>
      <c r="S200" s="172">
        <f t="shared" si="503"/>
        <v>51.111088921705331</v>
      </c>
      <c r="T200" s="536">
        <f t="shared" si="504"/>
        <v>28</v>
      </c>
      <c r="U200" s="217">
        <f t="shared" si="505"/>
        <v>11.298614591773186</v>
      </c>
      <c r="V200" s="217">
        <f t="shared" si="506"/>
        <v>2.8171668278811657</v>
      </c>
      <c r="W200" s="217">
        <f t="shared" si="507"/>
        <v>1.8645370962602734</v>
      </c>
      <c r="X200" s="197">
        <f t="shared" si="508"/>
        <v>350</v>
      </c>
      <c r="Y200" s="443">
        <f t="shared" si="509"/>
        <v>204.84650760049382</v>
      </c>
      <c r="AA200" s="217">
        <f t="shared" si="510"/>
        <v>6.8953006212187695</v>
      </c>
      <c r="AB200" s="173">
        <f t="shared" si="511"/>
        <v>1.137886746529976</v>
      </c>
      <c r="AC200" s="173">
        <f t="shared" si="512"/>
        <v>1.3730624582893309</v>
      </c>
      <c r="AD200" s="173"/>
      <c r="AE200" s="173">
        <f t="shared" si="513"/>
        <v>0.55007838383356356</v>
      </c>
      <c r="AF200" s="545">
        <f t="shared" si="514"/>
        <v>2454.1956922424129</v>
      </c>
      <c r="AG200" s="528">
        <f t="shared" si="515"/>
        <v>0.32087905723624544</v>
      </c>
      <c r="AI200" s="173">
        <f t="shared" si="516"/>
        <v>8.8267193428193913</v>
      </c>
      <c r="AJ200" s="173">
        <f t="shared" si="517"/>
        <v>11.298614591773186</v>
      </c>
      <c r="AK200" s="173">
        <f t="shared" si="518"/>
        <v>7.100208339585075</v>
      </c>
      <c r="AM200" s="545">
        <f t="shared" si="519"/>
        <v>2250</v>
      </c>
      <c r="AN200" s="460">
        <f t="shared" si="520"/>
        <v>204.84650760049382</v>
      </c>
      <c r="AP200">
        <f t="shared" si="521"/>
        <v>2250</v>
      </c>
      <c r="AQ200">
        <f t="shared" si="522"/>
        <v>204.84650760049382</v>
      </c>
      <c r="AS200" s="5">
        <f t="shared" si="599"/>
        <v>4.8817039241414397</v>
      </c>
      <c r="AT200" s="5">
        <f t="shared" si="523"/>
        <v>2.8171668278811657</v>
      </c>
      <c r="AU200" s="5">
        <f t="shared" si="477"/>
        <v>2.064537096260274</v>
      </c>
      <c r="AV200" s="5"/>
      <c r="AW200" s="173">
        <f t="shared" si="478"/>
        <v>0.57708678601941832</v>
      </c>
      <c r="AX200" s="173">
        <f t="shared" si="595"/>
        <v>61.45352732188114</v>
      </c>
      <c r="AY200" s="173">
        <f t="shared" si="596"/>
        <v>2.389166705267348</v>
      </c>
      <c r="AZ200" s="173">
        <f t="shared" si="600"/>
        <v>25.721741051553991</v>
      </c>
      <c r="BA200" s="460">
        <f t="shared" si="593"/>
        <v>22.637947724045084</v>
      </c>
      <c r="BB200" s="5">
        <f t="shared" si="594"/>
        <v>4.928612997096999</v>
      </c>
      <c r="BD200" s="173">
        <f t="shared" si="601"/>
        <v>4.9554732063583087</v>
      </c>
      <c r="BE200" s="173">
        <f t="shared" si="597"/>
        <v>4.242190770369505</v>
      </c>
      <c r="BG200" s="528">
        <f t="shared" si="479"/>
        <v>0.29468057638722117</v>
      </c>
      <c r="BH200" s="528">
        <f t="shared" si="524"/>
        <v>1.9992174360068</v>
      </c>
      <c r="BI200" s="528">
        <f t="shared" si="480"/>
        <v>2.3557348374056791E-2</v>
      </c>
      <c r="BJ200" s="528">
        <f t="shared" si="481"/>
        <v>0.22600685164333204</v>
      </c>
      <c r="BK200">
        <f t="shared" si="482"/>
        <v>8.4824830482521547E-3</v>
      </c>
      <c r="BL200" s="460">
        <f t="shared" si="587"/>
        <v>32.039831422308943</v>
      </c>
      <c r="BM200" s="528">
        <f t="shared" si="525"/>
        <v>2.7951759525051094</v>
      </c>
      <c r="BN200" s="460">
        <f t="shared" si="526"/>
        <v>2795.1759525051093</v>
      </c>
      <c r="BO200" s="528">
        <f t="shared" si="483"/>
        <v>1.575</v>
      </c>
      <c r="BR200" s="460">
        <f t="shared" si="484"/>
        <v>1575</v>
      </c>
      <c r="BS200" s="528">
        <f t="shared" si="485"/>
        <v>0.34379400578509134</v>
      </c>
      <c r="BT200" s="528">
        <f t="shared" si="486"/>
        <v>0.25194655545091499</v>
      </c>
      <c r="BU200" s="528">
        <f t="shared" si="487"/>
        <v>12.885592747240407</v>
      </c>
      <c r="BV200" s="528"/>
      <c r="BW200" s="528">
        <f t="shared" si="488"/>
        <v>2.6150437158247297</v>
      </c>
      <c r="BX200" s="460">
        <f t="shared" si="489"/>
        <v>16096.377024301144</v>
      </c>
      <c r="BY200" s="173">
        <f t="shared" si="490"/>
        <v>20.223321719760804</v>
      </c>
      <c r="BZ200" s="5">
        <f t="shared" si="491"/>
        <v>63</v>
      </c>
      <c r="CA200" s="173">
        <f t="shared" si="492"/>
        <v>0.75699934463251639</v>
      </c>
      <c r="CB200" s="5">
        <f t="shared" si="493"/>
        <v>75.699934463251637</v>
      </c>
      <c r="CE200" s="562">
        <f t="shared" si="527"/>
        <v>-50</v>
      </c>
      <c r="CF200">
        <f t="shared" si="528"/>
        <v>-50</v>
      </c>
      <c r="CG200" s="173">
        <f t="shared" si="529"/>
        <v>0.38990208115905156</v>
      </c>
      <c r="CI200" s="170">
        <v>90</v>
      </c>
      <c r="CJ200" s="217">
        <f t="shared" si="588"/>
        <v>2.25</v>
      </c>
      <c r="CK200" s="217"/>
      <c r="CL200" s="217">
        <f t="shared" si="530"/>
        <v>63</v>
      </c>
      <c r="CM200" s="541">
        <f t="shared" si="531"/>
        <v>19</v>
      </c>
      <c r="CN200" s="443">
        <f t="shared" si="532"/>
        <v>28.4</v>
      </c>
      <c r="CO200" s="443">
        <f t="shared" si="533"/>
        <v>47.4</v>
      </c>
      <c r="CP200" s="443"/>
      <c r="CQ200" s="217">
        <f t="shared" si="534"/>
        <v>0.59915611814345993</v>
      </c>
      <c r="CR200" s="172">
        <f t="shared" si="589"/>
        <v>95.556689708830859</v>
      </c>
      <c r="CS200" s="172">
        <f t="shared" si="535"/>
        <v>63</v>
      </c>
      <c r="CT200" s="217">
        <f t="shared" si="536"/>
        <v>3.4127389181725305</v>
      </c>
      <c r="CU200" s="217">
        <f t="shared" si="537"/>
        <v>28</v>
      </c>
      <c r="CV200" s="217"/>
      <c r="CW200" s="172">
        <f t="shared" si="538"/>
        <v>51.516758554294682</v>
      </c>
      <c r="CX200" s="536">
        <f t="shared" si="539"/>
        <v>28</v>
      </c>
      <c r="CY200" s="217">
        <f t="shared" si="540"/>
        <v>11.068198665678279</v>
      </c>
      <c r="CZ200" s="217">
        <f t="shared" si="541"/>
        <v>2.7379228278256798</v>
      </c>
      <c r="DA200" s="217">
        <f t="shared" si="542"/>
        <v>1.8317089341087294</v>
      </c>
      <c r="DB200" s="197">
        <f t="shared" si="543"/>
        <v>350</v>
      </c>
      <c r="DC200" s="443">
        <f t="shared" si="544"/>
        <v>218.83601394977208</v>
      </c>
      <c r="DE200" s="217">
        <f t="shared" si="545"/>
        <v>6.9203442217177731</v>
      </c>
      <c r="DF200" s="173">
        <f t="shared" si="546"/>
        <v>1.1452682338758289</v>
      </c>
      <c r="DG200" s="173">
        <f t="shared" si="547"/>
        <v>1.3869888208084145</v>
      </c>
      <c r="DH200" s="173"/>
      <c r="DI200" s="173">
        <f t="shared" si="548"/>
        <v>0.55164319248826299</v>
      </c>
      <c r="DJ200" s="545">
        <f t="shared" si="549"/>
        <v>2447.2340425531911</v>
      </c>
      <c r="DK200" s="528">
        <f t="shared" si="550"/>
        <v>0.3217918622848201</v>
      </c>
      <c r="DM200" s="173">
        <f t="shared" si="551"/>
        <v>8.8141913755524524</v>
      </c>
      <c r="DN200" s="173">
        <f t="shared" si="552"/>
        <v>11.068198665678279</v>
      </c>
      <c r="DO200" s="173">
        <f t="shared" si="553"/>
        <v>6.9295298758110713</v>
      </c>
      <c r="DQ200" s="545">
        <f t="shared" si="554"/>
        <v>2250</v>
      </c>
      <c r="DR200" s="460">
        <f t="shared" si="555"/>
        <v>218.83601394977208</v>
      </c>
      <c r="DT200">
        <f t="shared" si="590"/>
        <v>2250</v>
      </c>
      <c r="DU200">
        <f t="shared" si="591"/>
        <v>218.83601394977208</v>
      </c>
      <c r="DW200" s="5">
        <f t="shared" si="556"/>
        <v>4.56963176193441</v>
      </c>
      <c r="DX200" s="5">
        <f t="shared" si="557"/>
        <v>2.7379228278256798</v>
      </c>
      <c r="DY200" s="5">
        <f t="shared" si="558"/>
        <v>1.8317089341087303</v>
      </c>
      <c r="DZ200" s="5"/>
      <c r="EA200" s="173">
        <f t="shared" si="559"/>
        <v>0.59915611814345981</v>
      </c>
      <c r="EB200" s="173">
        <f t="shared" si="560"/>
        <v>62.999999999999986</v>
      </c>
      <c r="EC200" s="173">
        <f t="shared" si="561"/>
        <v>2.21830985915493</v>
      </c>
      <c r="ED200" s="173">
        <f t="shared" si="562"/>
        <v>28.399999999999988</v>
      </c>
      <c r="EE200" s="460">
        <f t="shared" si="563"/>
        <v>22.001165580742072</v>
      </c>
      <c r="EF200" s="5">
        <f t="shared" si="564"/>
        <v>4.3382580018364658</v>
      </c>
      <c r="EH200" s="173">
        <f t="shared" si="565"/>
        <v>4.9463667897627417</v>
      </c>
      <c r="EI200" s="173">
        <f t="shared" si="566"/>
        <v>4.0457956962060893</v>
      </c>
      <c r="EK200" s="528">
        <f t="shared" si="567"/>
        <v>0.29359853302641326</v>
      </c>
      <c r="EL200" s="528">
        <f t="shared" si="568"/>
        <v>2.181361702127659</v>
      </c>
      <c r="EM200" s="528">
        <f t="shared" si="569"/>
        <v>2.5166141604223792E-2</v>
      </c>
      <c r="EN200" s="528">
        <f t="shared" si="570"/>
        <v>0.24214846133063153</v>
      </c>
      <c r="EO200">
        <f t="shared" si="571"/>
        <v>8.5500000000000003E-3</v>
      </c>
      <c r="EP200" s="460">
        <f t="shared" si="572"/>
        <v>33.716141604223793</v>
      </c>
      <c r="EQ200" s="460"/>
      <c r="ER200" s="460">
        <f t="shared" si="592"/>
        <v>2750.8248380889281</v>
      </c>
      <c r="ES200" s="528">
        <f t="shared" si="573"/>
        <v>1.575</v>
      </c>
      <c r="EV200" s="460">
        <f t="shared" si="494"/>
        <v>1575</v>
      </c>
      <c r="EW200" s="528">
        <f t="shared" si="574"/>
        <v>0.34253162186414876</v>
      </c>
      <c r="EX200" s="528">
        <f t="shared" si="575"/>
        <v>0.229158479416156</v>
      </c>
      <c r="EY200" s="528">
        <f t="shared" si="576"/>
        <v>14.436414989687025</v>
      </c>
      <c r="EZ200" s="528"/>
      <c r="FA200" s="528">
        <f t="shared" si="577"/>
        <v>2.6808510638297869</v>
      </c>
      <c r="FB200" s="460">
        <f t="shared" si="578"/>
        <v>17688.956154797117</v>
      </c>
      <c r="FC200" s="173">
        <f t="shared" si="579"/>
        <v>22.014780992886045</v>
      </c>
      <c r="FD200" s="5">
        <f t="shared" si="580"/>
        <v>63</v>
      </c>
      <c r="FE200" s="173">
        <f t="shared" si="581"/>
        <v>0.74104760683053195</v>
      </c>
      <c r="FF200" s="5">
        <f t="shared" si="582"/>
        <v>74.1047606830532</v>
      </c>
      <c r="FI200" s="562">
        <f t="shared" si="583"/>
        <v>-50</v>
      </c>
      <c r="FJ200">
        <f t="shared" si="584"/>
        <v>-50</v>
      </c>
      <c r="FL200">
        <f t="shared" si="585"/>
        <v>0.40084388185654019</v>
      </c>
    </row>
    <row r="201" spans="5:168">
      <c r="E201" s="170">
        <v>91</v>
      </c>
      <c r="F201" s="217">
        <f t="shared" si="586"/>
        <v>2.2749999999999999</v>
      </c>
      <c r="G201" s="217"/>
      <c r="H201" s="217">
        <f t="shared" si="495"/>
        <v>63.699999999999996</v>
      </c>
      <c r="I201" s="541">
        <f t="shared" si="496"/>
        <v>18.84834201311935</v>
      </c>
      <c r="J201" s="172">
        <f t="shared" si="497"/>
        <v>28.481661992935734</v>
      </c>
      <c r="K201" s="172">
        <f t="shared" si="498"/>
        <v>47.330004006055084</v>
      </c>
      <c r="L201" s="443"/>
      <c r="M201" s="217">
        <f t="shared" si="499"/>
        <v>0.60174902996924673</v>
      </c>
      <c r="N201" s="172">
        <f t="shared" si="500"/>
        <v>95.204187205359688</v>
      </c>
      <c r="O201" s="172">
        <f t="shared" si="598"/>
        <v>63.699999999999996</v>
      </c>
      <c r="P201" s="217">
        <f t="shared" si="501"/>
        <v>3.4001495430485602</v>
      </c>
      <c r="Q201" s="217">
        <f t="shared" si="502"/>
        <v>28</v>
      </c>
      <c r="R201" s="217"/>
      <c r="S201" s="172">
        <f t="shared" si="503"/>
        <v>50.341786230893391</v>
      </c>
      <c r="T201" s="536">
        <f t="shared" si="504"/>
        <v>28</v>
      </c>
      <c r="U201" s="217">
        <f t="shared" si="505"/>
        <v>11.424956478194254</v>
      </c>
      <c r="V201" s="217">
        <f t="shared" si="506"/>
        <v>2.8489134699559835</v>
      </c>
      <c r="W201" s="217">
        <f t="shared" si="507"/>
        <v>1.8853287234723681</v>
      </c>
      <c r="X201" s="197">
        <f t="shared" si="508"/>
        <v>350</v>
      </c>
      <c r="Y201" s="443">
        <f t="shared" si="509"/>
        <v>202.66536598707</v>
      </c>
      <c r="AA201" s="217">
        <f t="shared" si="510"/>
        <v>6.8950280659811662</v>
      </c>
      <c r="AB201" s="173">
        <f t="shared" si="511"/>
        <v>1.1378069130287849</v>
      </c>
      <c r="AC201" s="173">
        <f t="shared" si="512"/>
        <v>1.3729118548251511</v>
      </c>
      <c r="AD201" s="173"/>
      <c r="AE201" s="173">
        <f t="shared" si="513"/>
        <v>0.55006153329649254</v>
      </c>
      <c r="AF201" s="545">
        <f t="shared" si="514"/>
        <v>2481.5405502355707</v>
      </c>
      <c r="AG201" s="528">
        <f t="shared" si="515"/>
        <v>0.32086922775628729</v>
      </c>
      <c r="AI201" s="173">
        <f t="shared" si="516"/>
        <v>8.8757571556934529</v>
      </c>
      <c r="AJ201" s="173">
        <f t="shared" si="517"/>
        <v>11.424956478194254</v>
      </c>
      <c r="AK201" s="173">
        <f t="shared" si="518"/>
        <v>7.1937949221192001</v>
      </c>
      <c r="AM201" s="545">
        <f t="shared" si="519"/>
        <v>2275</v>
      </c>
      <c r="AN201" s="460">
        <f t="shared" si="520"/>
        <v>202.66536598707</v>
      </c>
      <c r="AP201">
        <f t="shared" si="521"/>
        <v>2275</v>
      </c>
      <c r="AQ201">
        <f t="shared" si="522"/>
        <v>202.66536598707</v>
      </c>
      <c r="AS201" s="5">
        <f t="shared" si="599"/>
        <v>4.9342421934283518</v>
      </c>
      <c r="AT201" s="5">
        <f t="shared" si="523"/>
        <v>2.8489134699559835</v>
      </c>
      <c r="AU201" s="5">
        <f t="shared" si="477"/>
        <v>2.0853287234723683</v>
      </c>
      <c r="AV201" s="5"/>
      <c r="AW201" s="173">
        <f t="shared" si="478"/>
        <v>0.57737609105412302</v>
      </c>
      <c r="AX201" s="173">
        <f t="shared" si="595"/>
        <v>62.16651305661965</v>
      </c>
      <c r="AY201" s="173">
        <f t="shared" si="596"/>
        <v>2.414229883175488</v>
      </c>
      <c r="AZ201" s="173">
        <f t="shared" si="600"/>
        <v>25.750038755568177</v>
      </c>
      <c r="BA201" s="460">
        <f t="shared" si="593"/>
        <v>23.147421943392366</v>
      </c>
      <c r="BB201" s="5">
        <f t="shared" si="594"/>
        <v>5.0339948655404285</v>
      </c>
      <c r="BD201" s="173">
        <f t="shared" si="601"/>
        <v>5.0121415197285666</v>
      </c>
      <c r="BE201" s="173">
        <f t="shared" si="597"/>
        <v>4.2881597718707534</v>
      </c>
      <c r="BG201" s="528">
        <f t="shared" si="479"/>
        <v>0.30145875136544381</v>
      </c>
      <c r="BH201" s="528">
        <f t="shared" si="524"/>
        <v>2.0000161459420838</v>
      </c>
      <c r="BI201" s="528">
        <f t="shared" si="480"/>
        <v>2.3306517088513053E-2</v>
      </c>
      <c r="BJ201" s="528">
        <f t="shared" si="481"/>
        <v>0.22359333546332061</v>
      </c>
      <c r="BK201">
        <f t="shared" si="482"/>
        <v>8.4817539059037078E-3</v>
      </c>
      <c r="BL201" s="460">
        <f t="shared" si="587"/>
        <v>31.788270994416763</v>
      </c>
      <c r="BM201" s="528">
        <f t="shared" si="525"/>
        <v>2.807557921998642</v>
      </c>
      <c r="BN201" s="460">
        <f t="shared" si="526"/>
        <v>2807.5579219986421</v>
      </c>
      <c r="BO201" s="528">
        <f t="shared" si="483"/>
        <v>1.5924999999999998</v>
      </c>
      <c r="BR201" s="460">
        <f t="shared" si="484"/>
        <v>1592.4999999999998</v>
      </c>
      <c r="BS201" s="528">
        <f t="shared" si="485"/>
        <v>0.35170187659301777</v>
      </c>
      <c r="BT201" s="528">
        <f t="shared" si="486"/>
        <v>0.25743639920726885</v>
      </c>
      <c r="BU201" s="528">
        <f t="shared" si="487"/>
        <v>12.898975965141195</v>
      </c>
      <c r="BV201" s="528"/>
      <c r="BW201" s="528">
        <f t="shared" si="488"/>
        <v>2.6453835343242407</v>
      </c>
      <c r="BX201" s="460">
        <f t="shared" si="489"/>
        <v>16153.497775265723</v>
      </c>
      <c r="BY201" s="173">
        <f t="shared" si="490"/>
        <v>20.302854279030988</v>
      </c>
      <c r="BZ201" s="5">
        <f t="shared" si="491"/>
        <v>63.699999999999996</v>
      </c>
      <c r="CA201" s="173">
        <f t="shared" si="492"/>
        <v>0.7583075664120732</v>
      </c>
      <c r="CB201" s="5">
        <f t="shared" si="493"/>
        <v>75.830756641207316</v>
      </c>
      <c r="CE201" s="562">
        <f t="shared" si="527"/>
        <v>-50</v>
      </c>
      <c r="CF201">
        <f t="shared" si="528"/>
        <v>-50</v>
      </c>
      <c r="CG201" s="173">
        <f t="shared" si="529"/>
        <v>0.39002232072715576</v>
      </c>
      <c r="CI201" s="170">
        <v>91</v>
      </c>
      <c r="CJ201" s="217">
        <f t="shared" si="588"/>
        <v>2.2749999999999999</v>
      </c>
      <c r="CK201" s="217"/>
      <c r="CL201" s="217">
        <f t="shared" si="530"/>
        <v>63.699999999999996</v>
      </c>
      <c r="CM201" s="541">
        <f t="shared" si="531"/>
        <v>19</v>
      </c>
      <c r="CN201" s="443">
        <f t="shared" si="532"/>
        <v>28.4</v>
      </c>
      <c r="CO201" s="443">
        <f t="shared" si="533"/>
        <v>47.4</v>
      </c>
      <c r="CP201" s="443"/>
      <c r="CQ201" s="217">
        <f t="shared" si="534"/>
        <v>0.59915611814345993</v>
      </c>
      <c r="CR201" s="172">
        <f t="shared" si="589"/>
        <v>95.556689708830859</v>
      </c>
      <c r="CS201" s="172">
        <f t="shared" si="535"/>
        <v>63.699999999999996</v>
      </c>
      <c r="CT201" s="217">
        <f t="shared" si="536"/>
        <v>3.4127389181725305</v>
      </c>
      <c r="CU201" s="217">
        <f t="shared" si="537"/>
        <v>28</v>
      </c>
      <c r="CV201" s="217"/>
      <c r="CW201" s="172">
        <f t="shared" si="538"/>
        <v>50.745664791422705</v>
      </c>
      <c r="CX201" s="536">
        <f t="shared" si="539"/>
        <v>28</v>
      </c>
      <c r="CY201" s="217">
        <f t="shared" si="540"/>
        <v>11.191178650852482</v>
      </c>
      <c r="CZ201" s="217">
        <f t="shared" si="541"/>
        <v>2.7683441925792982</v>
      </c>
      <c r="DA201" s="217">
        <f t="shared" si="542"/>
        <v>1.8520612555988263</v>
      </c>
      <c r="DB201" s="197">
        <f t="shared" si="543"/>
        <v>350</v>
      </c>
      <c r="DC201" s="443">
        <f t="shared" si="544"/>
        <v>216.43122258768668</v>
      </c>
      <c r="DE201" s="217">
        <f t="shared" si="545"/>
        <v>6.9203442217177731</v>
      </c>
      <c r="DF201" s="173">
        <f t="shared" si="546"/>
        <v>1.1452682338758289</v>
      </c>
      <c r="DG201" s="173">
        <f t="shared" si="547"/>
        <v>1.3869888208084145</v>
      </c>
      <c r="DH201" s="173"/>
      <c r="DI201" s="173">
        <f t="shared" si="548"/>
        <v>0.55164319248826299</v>
      </c>
      <c r="DJ201" s="545">
        <f t="shared" si="549"/>
        <v>2474.4255319148929</v>
      </c>
      <c r="DK201" s="528">
        <f t="shared" si="550"/>
        <v>0.3217918622848201</v>
      </c>
      <c r="DM201" s="173">
        <f t="shared" si="551"/>
        <v>8.8630238344123669</v>
      </c>
      <c r="DN201" s="173">
        <f t="shared" si="552"/>
        <v>11.191178650852482</v>
      </c>
      <c r="DO201" s="173">
        <f t="shared" si="553"/>
        <v>7.0206261611252945</v>
      </c>
      <c r="DQ201" s="545">
        <f t="shared" si="554"/>
        <v>2275</v>
      </c>
      <c r="DR201" s="460">
        <f t="shared" si="555"/>
        <v>216.43122258768668</v>
      </c>
      <c r="DT201">
        <f t="shared" si="590"/>
        <v>2275</v>
      </c>
      <c r="DU201">
        <f t="shared" si="591"/>
        <v>216.43122258768668</v>
      </c>
      <c r="DW201" s="5">
        <f t="shared" si="556"/>
        <v>4.6204054481781247</v>
      </c>
      <c r="DX201" s="5">
        <f t="shared" si="557"/>
        <v>2.7683441925792982</v>
      </c>
      <c r="DY201" s="5">
        <f t="shared" si="558"/>
        <v>1.8520612555988265</v>
      </c>
      <c r="DZ201" s="5"/>
      <c r="EA201" s="173">
        <f t="shared" si="559"/>
        <v>0.59915611814345993</v>
      </c>
      <c r="EB201" s="173">
        <f t="shared" si="560"/>
        <v>63.699999999999982</v>
      </c>
      <c r="EC201" s="173">
        <f t="shared" si="561"/>
        <v>2.242957746478873</v>
      </c>
      <c r="ED201" s="173">
        <f t="shared" si="562"/>
        <v>28.399999999999995</v>
      </c>
      <c r="EE201" s="460">
        <f t="shared" si="563"/>
        <v>22.492796564706797</v>
      </c>
      <c r="EF201" s="5">
        <f t="shared" si="564"/>
        <v>4.4351993226182413</v>
      </c>
      <c r="EH201" s="173">
        <f t="shared" si="565"/>
        <v>5.0013264207601056</v>
      </c>
      <c r="EI201" s="173">
        <f t="shared" si="566"/>
        <v>4.0907489817194884</v>
      </c>
      <c r="EK201" s="528">
        <f t="shared" si="567"/>
        <v>0.30015919160391707</v>
      </c>
      <c r="EL201" s="528">
        <f t="shared" si="568"/>
        <v>2.181361702127659</v>
      </c>
      <c r="EM201" s="528">
        <f t="shared" si="569"/>
        <v>2.4889590597583968E-2</v>
      </c>
      <c r="EN201" s="528">
        <f t="shared" si="570"/>
        <v>0.23948748922809712</v>
      </c>
      <c r="EO201">
        <f t="shared" si="571"/>
        <v>8.5500000000000003E-3</v>
      </c>
      <c r="EP201" s="460">
        <f t="shared" si="572"/>
        <v>33.439590597583965</v>
      </c>
      <c r="EQ201" s="460"/>
      <c r="ER201" s="460">
        <f t="shared" si="592"/>
        <v>2754.4479735572572</v>
      </c>
      <c r="ES201" s="528">
        <f t="shared" si="573"/>
        <v>1.5924999999999998</v>
      </c>
      <c r="EV201" s="460">
        <f t="shared" si="494"/>
        <v>1592.4999999999998</v>
      </c>
      <c r="EW201" s="528">
        <f t="shared" si="574"/>
        <v>0.35018572353790323</v>
      </c>
      <c r="EX201" s="528">
        <f t="shared" si="575"/>
        <v>0.23427918124014646</v>
      </c>
      <c r="EY201" s="528">
        <f t="shared" si="576"/>
        <v>14.436414989686986</v>
      </c>
      <c r="EZ201" s="528"/>
      <c r="FA201" s="528">
        <f t="shared" si="577"/>
        <v>2.71063829787234</v>
      </c>
      <c r="FB201" s="460">
        <f t="shared" si="578"/>
        <v>17731.518192337375</v>
      </c>
      <c r="FC201" s="173">
        <f t="shared" si="579"/>
        <v>22.078466165894632</v>
      </c>
      <c r="FD201" s="5">
        <f t="shared" si="580"/>
        <v>63.699999999999996</v>
      </c>
      <c r="FE201" s="173">
        <f t="shared" si="581"/>
        <v>0.74261062067494754</v>
      </c>
      <c r="FF201" s="5">
        <f t="shared" si="582"/>
        <v>74.261062067494748</v>
      </c>
      <c r="FI201" s="562">
        <f t="shared" si="583"/>
        <v>-50</v>
      </c>
      <c r="FJ201">
        <f t="shared" si="584"/>
        <v>-50</v>
      </c>
      <c r="FL201">
        <f t="shared" si="585"/>
        <v>0.40084388185654007</v>
      </c>
    </row>
    <row r="202" spans="5:168">
      <c r="E202" s="170">
        <v>92</v>
      </c>
      <c r="F202" s="217">
        <f t="shared" si="586"/>
        <v>2.3000000000000003</v>
      </c>
      <c r="G202" s="217"/>
      <c r="H202" s="217">
        <f t="shared" si="495"/>
        <v>64.400000000000006</v>
      </c>
      <c r="I202" s="541">
        <f t="shared" si="496"/>
        <v>18.846721668588184</v>
      </c>
      <c r="J202" s="172">
        <f t="shared" si="497"/>
        <v>28.482534486144822</v>
      </c>
      <c r="K202" s="172">
        <f t="shared" si="498"/>
        <v>47.329256154733002</v>
      </c>
      <c r="L202" s="443"/>
      <c r="M202" s="217">
        <f t="shared" si="499"/>
        <v>0.60177697966539445</v>
      </c>
      <c r="N202" s="172">
        <f t="shared" si="500"/>
        <v>95.200424350671554</v>
      </c>
      <c r="O202" s="172">
        <f t="shared" si="598"/>
        <v>64.400000000000006</v>
      </c>
      <c r="P202" s="217">
        <f t="shared" si="501"/>
        <v>3.4000151553811269</v>
      </c>
      <c r="Q202" s="217">
        <f t="shared" si="502"/>
        <v>28</v>
      </c>
      <c r="R202" s="217"/>
      <c r="S202" s="172">
        <f t="shared" si="503"/>
        <v>49.58930779066543</v>
      </c>
      <c r="T202" s="536">
        <f t="shared" si="504"/>
        <v>28</v>
      </c>
      <c r="U202" s="217">
        <f t="shared" si="505"/>
        <v>11.551316134699762</v>
      </c>
      <c r="V202" s="217">
        <f t="shared" si="506"/>
        <v>2.8806700065813544</v>
      </c>
      <c r="W202" s="217">
        <f t="shared" si="507"/>
        <v>1.9061220081906172</v>
      </c>
      <c r="X202" s="197">
        <f t="shared" si="508"/>
        <v>350</v>
      </c>
      <c r="Y202" s="443">
        <f t="shared" si="509"/>
        <v>200.5297187125071</v>
      </c>
      <c r="AA202" s="217">
        <f t="shared" si="510"/>
        <v>6.8947554610702397</v>
      </c>
      <c r="AB202" s="173">
        <f t="shared" si="511"/>
        <v>1.1377270756151823</v>
      </c>
      <c r="AC202" s="173">
        <f t="shared" si="512"/>
        <v>1.3727612443659192</v>
      </c>
      <c r="AD202" s="173"/>
      <c r="AE202" s="173">
        <f t="shared" si="513"/>
        <v>0.55004468349850089</v>
      </c>
      <c r="AF202" s="545">
        <f t="shared" si="514"/>
        <v>2508.8870802689275</v>
      </c>
      <c r="AG202" s="528">
        <f t="shared" si="515"/>
        <v>0.32085939870745889</v>
      </c>
      <c r="AI202" s="173">
        <f t="shared" si="516"/>
        <v>8.9245284972051202</v>
      </c>
      <c r="AJ202" s="173">
        <f t="shared" si="517"/>
        <v>11.551316134699762</v>
      </c>
      <c r="AK202" s="173">
        <f t="shared" si="518"/>
        <v>7.2873946676788366</v>
      </c>
      <c r="AM202" s="545">
        <f t="shared" si="519"/>
        <v>2300.0000000000005</v>
      </c>
      <c r="AN202" s="460">
        <f t="shared" si="520"/>
        <v>200.5297187125071</v>
      </c>
      <c r="AP202">
        <f t="shared" si="521"/>
        <v>2300.0000000000005</v>
      </c>
      <c r="AQ202">
        <f t="shared" si="522"/>
        <v>200.5297187125071</v>
      </c>
      <c r="AS202" s="5">
        <f t="shared" si="599"/>
        <v>4.9867920147719715</v>
      </c>
      <c r="AT202" s="5">
        <f t="shared" si="523"/>
        <v>2.8806700065813544</v>
      </c>
      <c r="AU202" s="5">
        <f t="shared" si="477"/>
        <v>2.1061220081906171</v>
      </c>
      <c r="AV202" s="5"/>
      <c r="AW202" s="173">
        <f t="shared" si="478"/>
        <v>0.57765994612331495</v>
      </c>
      <c r="AX202" s="173">
        <f t="shared" si="595"/>
        <v>62.879567568492185</v>
      </c>
      <c r="AY202" s="173">
        <f t="shared" si="596"/>
        <v>2.4392917393378593</v>
      </c>
      <c r="AZ202" s="173">
        <f t="shared" si="600"/>
        <v>25.777797118093268</v>
      </c>
      <c r="BA202" s="460">
        <f t="shared" si="593"/>
        <v>23.662646482632553</v>
      </c>
      <c r="BB202" s="5">
        <f t="shared" si="594"/>
        <v>5.1405021032512455</v>
      </c>
      <c r="BD202" s="173">
        <f t="shared" si="601"/>
        <v>5.06882117762005</v>
      </c>
      <c r="BE202" s="173">
        <f t="shared" si="597"/>
        <v>4.3341304414959847</v>
      </c>
      <c r="BG202" s="528">
        <f t="shared" si="479"/>
        <v>0.30831537756827415</v>
      </c>
      <c r="BH202" s="528">
        <f t="shared" si="524"/>
        <v>2.0007957771756426</v>
      </c>
      <c r="BI202" s="528">
        <f t="shared" si="480"/>
        <v>2.306091765193832E-2</v>
      </c>
      <c r="BJ202" s="528">
        <f t="shared" si="481"/>
        <v>0.22123016202619997</v>
      </c>
      <c r="BK202">
        <f t="shared" si="482"/>
        <v>8.4810247508646831E-3</v>
      </c>
      <c r="BL202" s="460">
        <f t="shared" si="587"/>
        <v>31.541942402803002</v>
      </c>
      <c r="BM202" s="528">
        <f t="shared" si="525"/>
        <v>2.8201808889274789</v>
      </c>
      <c r="BN202" s="460">
        <f t="shared" si="526"/>
        <v>2820.1808889274789</v>
      </c>
      <c r="BO202" s="528">
        <f t="shared" si="483"/>
        <v>1.61</v>
      </c>
      <c r="BR202" s="460">
        <f t="shared" si="484"/>
        <v>1610</v>
      </c>
      <c r="BS202" s="528">
        <f t="shared" si="485"/>
        <v>0.35970127382965317</v>
      </c>
      <c r="BT202" s="528">
        <f t="shared" si="486"/>
        <v>0.26298561357463052</v>
      </c>
      <c r="BU202" s="528">
        <f t="shared" si="487"/>
        <v>12.912060140410551</v>
      </c>
      <c r="BV202" s="528"/>
      <c r="BW202" s="528">
        <f t="shared" si="488"/>
        <v>2.6757262795103056</v>
      </c>
      <c r="BX202" s="460">
        <f t="shared" si="489"/>
        <v>16210.473307325137</v>
      </c>
      <c r="BY202" s="173">
        <f t="shared" si="490"/>
        <v>20.382356566498061</v>
      </c>
      <c r="BZ202" s="5">
        <f t="shared" si="491"/>
        <v>64.400000000000006</v>
      </c>
      <c r="CA202" s="173">
        <f t="shared" si="492"/>
        <v>0.75959200248802483</v>
      </c>
      <c r="CB202" s="5">
        <f t="shared" si="493"/>
        <v>75.959200248802489</v>
      </c>
      <c r="CE202" s="562">
        <f t="shared" si="527"/>
        <v>-50</v>
      </c>
      <c r="CF202">
        <f t="shared" si="528"/>
        <v>-50</v>
      </c>
      <c r="CG202" s="173">
        <f t="shared" si="529"/>
        <v>0.39013994639160554</v>
      </c>
      <c r="CI202" s="170">
        <v>92</v>
      </c>
      <c r="CJ202" s="217">
        <f t="shared" si="588"/>
        <v>2.3000000000000003</v>
      </c>
      <c r="CK202" s="217"/>
      <c r="CL202" s="217">
        <f t="shared" si="530"/>
        <v>64.400000000000006</v>
      </c>
      <c r="CM202" s="541">
        <f t="shared" si="531"/>
        <v>19</v>
      </c>
      <c r="CN202" s="443">
        <f t="shared" si="532"/>
        <v>28.4</v>
      </c>
      <c r="CO202" s="443">
        <f t="shared" si="533"/>
        <v>47.4</v>
      </c>
      <c r="CP202" s="443"/>
      <c r="CQ202" s="217">
        <f t="shared" si="534"/>
        <v>0.59915611814345993</v>
      </c>
      <c r="CR202" s="172">
        <f t="shared" si="589"/>
        <v>95.556689708830859</v>
      </c>
      <c r="CS202" s="172">
        <f t="shared" si="535"/>
        <v>64.400000000000006</v>
      </c>
      <c r="CT202" s="217">
        <f t="shared" si="536"/>
        <v>3.4127389181725305</v>
      </c>
      <c r="CU202" s="217">
        <f t="shared" si="537"/>
        <v>28</v>
      </c>
      <c r="CV202" s="217"/>
      <c r="CW202" s="172">
        <f t="shared" si="538"/>
        <v>49.991399098690088</v>
      </c>
      <c r="CX202" s="536">
        <f t="shared" si="539"/>
        <v>28</v>
      </c>
      <c r="CY202" s="217">
        <f t="shared" si="540"/>
        <v>11.314158636026686</v>
      </c>
      <c r="CZ202" s="217">
        <f t="shared" si="541"/>
        <v>2.7987655573329171</v>
      </c>
      <c r="DA202" s="217">
        <f t="shared" si="542"/>
        <v>1.8724135770889234</v>
      </c>
      <c r="DB202" s="197">
        <f t="shared" si="543"/>
        <v>350</v>
      </c>
      <c r="DC202" s="443">
        <f t="shared" si="544"/>
        <v>214.07870929869011</v>
      </c>
      <c r="DE202" s="217">
        <f t="shared" si="545"/>
        <v>6.9203442217177731</v>
      </c>
      <c r="DF202" s="173">
        <f t="shared" si="546"/>
        <v>1.1452682338758289</v>
      </c>
      <c r="DG202" s="173">
        <f t="shared" si="547"/>
        <v>1.3869888208084145</v>
      </c>
      <c r="DH202" s="173"/>
      <c r="DI202" s="173">
        <f t="shared" si="548"/>
        <v>0.55164319248826299</v>
      </c>
      <c r="DJ202" s="545">
        <f t="shared" si="549"/>
        <v>2501.6170212765956</v>
      </c>
      <c r="DK202" s="528">
        <f t="shared" si="550"/>
        <v>0.3217918622848201</v>
      </c>
      <c r="DM202" s="173">
        <f t="shared" si="551"/>
        <v>8.9115887121130193</v>
      </c>
      <c r="DN202" s="173">
        <f t="shared" si="552"/>
        <v>11.314158636026686</v>
      </c>
      <c r="DO202" s="173">
        <f t="shared" si="553"/>
        <v>7.1117224464395203</v>
      </c>
      <c r="DQ202" s="545">
        <f t="shared" si="554"/>
        <v>2300.0000000000005</v>
      </c>
      <c r="DR202" s="460">
        <f t="shared" si="555"/>
        <v>214.07870929869011</v>
      </c>
      <c r="DT202">
        <f t="shared" si="590"/>
        <v>2300.0000000000005</v>
      </c>
      <c r="DU202">
        <f t="shared" si="591"/>
        <v>214.07870929869011</v>
      </c>
      <c r="DW202" s="5">
        <f t="shared" si="556"/>
        <v>4.6711791344218403</v>
      </c>
      <c r="DX202" s="5">
        <f t="shared" si="557"/>
        <v>2.7987655573329171</v>
      </c>
      <c r="DY202" s="5">
        <f t="shared" si="558"/>
        <v>1.8724135770889232</v>
      </c>
      <c r="DZ202" s="5"/>
      <c r="EA202" s="173">
        <f t="shared" si="559"/>
        <v>0.59915611814345993</v>
      </c>
      <c r="EB202" s="173">
        <f t="shared" si="560"/>
        <v>64.400000000000006</v>
      </c>
      <c r="EC202" s="173">
        <f t="shared" si="561"/>
        <v>2.267605633802817</v>
      </c>
      <c r="ED202" s="173">
        <f t="shared" si="562"/>
        <v>28.400000000000002</v>
      </c>
      <c r="EE202" s="460">
        <f t="shared" si="563"/>
        <v>22.98985993523468</v>
      </c>
      <c r="EF202" s="5">
        <f t="shared" si="564"/>
        <v>4.5332118182152881</v>
      </c>
      <c r="EH202" s="173">
        <f t="shared" si="565"/>
        <v>5.0562860517574695</v>
      </c>
      <c r="EI202" s="173">
        <f t="shared" si="566"/>
        <v>4.1357022672328903</v>
      </c>
      <c r="EK202" s="528">
        <f t="shared" si="567"/>
        <v>0.30679234364636565</v>
      </c>
      <c r="EL202" s="528">
        <f t="shared" si="568"/>
        <v>2.1813617021276599</v>
      </c>
      <c r="EM202" s="528">
        <f t="shared" si="569"/>
        <v>2.4619051569349366E-2</v>
      </c>
      <c r="EN202" s="528">
        <f t="shared" si="570"/>
        <v>0.23688436434518303</v>
      </c>
      <c r="EO202">
        <f t="shared" si="571"/>
        <v>8.5500000000000003E-3</v>
      </c>
      <c r="EP202" s="460">
        <f t="shared" si="572"/>
        <v>33.169051569349364</v>
      </c>
      <c r="EQ202" s="460"/>
      <c r="ER202" s="460">
        <f t="shared" si="592"/>
        <v>2758.2074616885579</v>
      </c>
      <c r="ES202" s="528">
        <f t="shared" si="573"/>
        <v>1.61</v>
      </c>
      <c r="EV202" s="460">
        <f t="shared" si="494"/>
        <v>1610</v>
      </c>
      <c r="EW202" s="528">
        <f t="shared" si="574"/>
        <v>0.35792440092075994</v>
      </c>
      <c r="EX202" s="528">
        <f t="shared" si="575"/>
        <v>0.23945646540473375</v>
      </c>
      <c r="EY202" s="528">
        <f t="shared" si="576"/>
        <v>14.436414989686998</v>
      </c>
      <c r="EZ202" s="528"/>
      <c r="FA202" s="528">
        <f t="shared" si="577"/>
        <v>2.7404255319148945</v>
      </c>
      <c r="FB202" s="460">
        <f t="shared" si="578"/>
        <v>17774.221387927388</v>
      </c>
      <c r="FC202" s="173">
        <f t="shared" si="579"/>
        <v>22.142428849615946</v>
      </c>
      <c r="FD202" s="5">
        <f t="shared" si="580"/>
        <v>64.400000000000006</v>
      </c>
      <c r="FE202" s="173">
        <f t="shared" si="581"/>
        <v>0.74414366289519485</v>
      </c>
      <c r="FF202" s="5">
        <f t="shared" si="582"/>
        <v>74.414366289519478</v>
      </c>
      <c r="FI202" s="562">
        <f t="shared" si="583"/>
        <v>-50</v>
      </c>
      <c r="FJ202">
        <f t="shared" si="584"/>
        <v>-50</v>
      </c>
      <c r="FL202">
        <f t="shared" si="585"/>
        <v>0.40084388185654007</v>
      </c>
    </row>
    <row r="203" spans="5:168">
      <c r="E203" s="170">
        <v>93</v>
      </c>
      <c r="F203" s="217">
        <f t="shared" si="586"/>
        <v>2.3250000000000002</v>
      </c>
      <c r="G203" s="217"/>
      <c r="H203" s="217">
        <f t="shared" si="495"/>
        <v>65.100000000000009</v>
      </c>
      <c r="I203" s="541">
        <f t="shared" si="496"/>
        <v>18.845101296790144</v>
      </c>
      <c r="J203" s="172">
        <f t="shared" si="497"/>
        <v>28.483406994036073</v>
      </c>
      <c r="K203" s="172">
        <f t="shared" si="498"/>
        <v>47.328508290826221</v>
      </c>
      <c r="L203" s="443"/>
      <c r="M203" s="217">
        <f t="shared" si="499"/>
        <v>0.60180493059080808</v>
      </c>
      <c r="N203" s="172">
        <f t="shared" si="500"/>
        <v>95.196660792400948</v>
      </c>
      <c r="O203" s="172">
        <f t="shared" si="598"/>
        <v>65.100000000000009</v>
      </c>
      <c r="P203" s="217">
        <f t="shared" si="501"/>
        <v>3.399880742585748</v>
      </c>
      <c r="Q203" s="217">
        <f t="shared" si="502"/>
        <v>28</v>
      </c>
      <c r="R203" s="217"/>
      <c r="S203" s="172">
        <f t="shared" si="503"/>
        <v>48.853111632241827</v>
      </c>
      <c r="T203" s="536">
        <f t="shared" si="504"/>
        <v>28</v>
      </c>
      <c r="U203" s="217">
        <f t="shared" si="505"/>
        <v>11.677693565867797</v>
      </c>
      <c r="V203" s="217">
        <f t="shared" si="506"/>
        <v>2.9124364414494894</v>
      </c>
      <c r="W203" s="217">
        <f t="shared" si="507"/>
        <v>1.9269169510189081</v>
      </c>
      <c r="X203" s="197">
        <f t="shared" si="508"/>
        <v>350</v>
      </c>
      <c r="Y203" s="443">
        <f t="shared" si="509"/>
        <v>198.43815706486419</v>
      </c>
      <c r="AA203" s="217">
        <f t="shared" si="510"/>
        <v>6.8944828066387496</v>
      </c>
      <c r="AB203" s="173">
        <f t="shared" si="511"/>
        <v>1.1376472343349575</v>
      </c>
      <c r="AC203" s="173">
        <f t="shared" si="512"/>
        <v>1.3726106269999356</v>
      </c>
      <c r="AD203" s="173"/>
      <c r="AE203" s="173">
        <f t="shared" si="513"/>
        <v>0.55002783444926351</v>
      </c>
      <c r="AF203" s="545">
        <f t="shared" si="514"/>
        <v>2536.2352823412966</v>
      </c>
      <c r="AG203" s="528">
        <f t="shared" si="515"/>
        <v>0.32084957009540371</v>
      </c>
      <c r="AI203" s="173">
        <f t="shared" si="516"/>
        <v>8.9730377124256311</v>
      </c>
      <c r="AJ203" s="173">
        <f t="shared" si="517"/>
        <v>11.677693565867797</v>
      </c>
      <c r="AK203" s="173">
        <f t="shared" si="518"/>
        <v>7.381007579655158</v>
      </c>
      <c r="AM203" s="545">
        <f t="shared" si="519"/>
        <v>2325</v>
      </c>
      <c r="AN203" s="460">
        <f t="shared" si="520"/>
        <v>198.43815706486419</v>
      </c>
      <c r="AP203">
        <f t="shared" si="521"/>
        <v>2325</v>
      </c>
      <c r="AQ203">
        <f t="shared" si="522"/>
        <v>198.43815706486419</v>
      </c>
      <c r="AS203" s="5">
        <f t="shared" si="599"/>
        <v>5.0393533924683966</v>
      </c>
      <c r="AT203" s="5">
        <f t="shared" si="523"/>
        <v>2.9124364414494894</v>
      </c>
      <c r="AU203" s="5">
        <f t="shared" si="477"/>
        <v>2.1269169510189072</v>
      </c>
      <c r="AV203" s="5"/>
      <c r="AW203" s="173">
        <f t="shared" si="478"/>
        <v>0.57793852000978796</v>
      </c>
      <c r="AX203" s="173">
        <f t="shared" si="595"/>
        <v>63.592690080434473</v>
      </c>
      <c r="AY203" s="173">
        <f t="shared" si="596"/>
        <v>2.4643523146411694</v>
      </c>
      <c r="AZ203" s="173">
        <f t="shared" si="600"/>
        <v>25.805031895244291</v>
      </c>
      <c r="BA203" s="460">
        <f t="shared" si="593"/>
        <v>24.183624022750227</v>
      </c>
      <c r="BB203" s="5">
        <f t="shared" si="594"/>
        <v>5.2481351341541975</v>
      </c>
      <c r="BD203" s="173">
        <f t="shared" si="601"/>
        <v>5.1255121591530388</v>
      </c>
      <c r="BE203" s="173">
        <f t="shared" si="597"/>
        <v>4.3801028274624327</v>
      </c>
      <c r="BG203" s="528">
        <f t="shared" si="479"/>
        <v>0.31525049872350774</v>
      </c>
      <c r="BH203" s="528">
        <f t="shared" si="524"/>
        <v>2.0015569201319843</v>
      </c>
      <c r="BI203" s="528">
        <f t="shared" si="480"/>
        <v>2.2820388062459382E-2</v>
      </c>
      <c r="BJ203" s="528">
        <f t="shared" si="481"/>
        <v>0.21891577249542149</v>
      </c>
      <c r="BK203">
        <f t="shared" si="482"/>
        <v>8.4802955835555638E-3</v>
      </c>
      <c r="BL203" s="460">
        <f t="shared" si="587"/>
        <v>31.300683646014946</v>
      </c>
      <c r="BM203" s="528">
        <f t="shared" si="525"/>
        <v>2.8330459345682062</v>
      </c>
      <c r="BN203" s="460">
        <f t="shared" si="526"/>
        <v>2833.0459345682061</v>
      </c>
      <c r="BO203" s="528">
        <f t="shared" si="483"/>
        <v>1.6274999999999999</v>
      </c>
      <c r="BR203" s="460">
        <f t="shared" si="484"/>
        <v>1627.5</v>
      </c>
      <c r="BS203" s="528">
        <f t="shared" si="485"/>
        <v>0.36779224851075903</v>
      </c>
      <c r="BT203" s="528">
        <f t="shared" si="486"/>
        <v>0.2685942109080216</v>
      </c>
      <c r="BU203" s="528">
        <f t="shared" si="487"/>
        <v>12.924854230549544</v>
      </c>
      <c r="BV203" s="528"/>
      <c r="BW203" s="528">
        <f t="shared" si="488"/>
        <v>2.7060719183163604</v>
      </c>
      <c r="BX203" s="460">
        <f t="shared" si="489"/>
        <v>16267.312608284683</v>
      </c>
      <c r="BY203" s="173">
        <f t="shared" si="490"/>
        <v>20.461836483281616</v>
      </c>
      <c r="BZ203" s="5">
        <f t="shared" si="491"/>
        <v>65.100000000000009</v>
      </c>
      <c r="CA203" s="173">
        <f t="shared" si="492"/>
        <v>0.76085323405511796</v>
      </c>
      <c r="CB203" s="5">
        <f t="shared" si="493"/>
        <v>76.085323405511801</v>
      </c>
      <c r="CE203" s="562">
        <f t="shared" si="527"/>
        <v>-50</v>
      </c>
      <c r="CF203">
        <f t="shared" si="528"/>
        <v>-50</v>
      </c>
      <c r="CG203" s="173">
        <f t="shared" si="529"/>
        <v>0.3902550424718737</v>
      </c>
      <c r="CI203" s="170">
        <v>93</v>
      </c>
      <c r="CJ203" s="217">
        <f t="shared" si="588"/>
        <v>2.3250000000000002</v>
      </c>
      <c r="CK203" s="217"/>
      <c r="CL203" s="217">
        <f t="shared" si="530"/>
        <v>65.100000000000009</v>
      </c>
      <c r="CM203" s="541">
        <f t="shared" si="531"/>
        <v>19</v>
      </c>
      <c r="CN203" s="443">
        <f t="shared" si="532"/>
        <v>28.4</v>
      </c>
      <c r="CO203" s="443">
        <f t="shared" si="533"/>
        <v>47.4</v>
      </c>
      <c r="CP203" s="443"/>
      <c r="CQ203" s="217">
        <f t="shared" si="534"/>
        <v>0.59915611814345993</v>
      </c>
      <c r="CR203" s="172">
        <f t="shared" si="589"/>
        <v>95.556689708830859</v>
      </c>
      <c r="CS203" s="172">
        <f t="shared" si="535"/>
        <v>65.100000000000009</v>
      </c>
      <c r="CT203" s="217">
        <f t="shared" si="536"/>
        <v>3.4127389181725305</v>
      </c>
      <c r="CU203" s="217">
        <f t="shared" si="537"/>
        <v>28</v>
      </c>
      <c r="CV203" s="217"/>
      <c r="CW203" s="172">
        <f t="shared" si="538"/>
        <v>49.253419382175402</v>
      </c>
      <c r="CX203" s="536">
        <f t="shared" si="539"/>
        <v>28</v>
      </c>
      <c r="CY203" s="217">
        <f t="shared" si="540"/>
        <v>11.437138621200891</v>
      </c>
      <c r="CZ203" s="217">
        <f t="shared" si="541"/>
        <v>2.829186922086536</v>
      </c>
      <c r="DA203" s="217">
        <f t="shared" si="542"/>
        <v>1.8927658985790206</v>
      </c>
      <c r="DB203" s="197">
        <f t="shared" si="543"/>
        <v>350</v>
      </c>
      <c r="DC203" s="443">
        <f t="shared" si="544"/>
        <v>211.7767876933278</v>
      </c>
      <c r="DE203" s="217">
        <f t="shared" si="545"/>
        <v>6.9203442217177731</v>
      </c>
      <c r="DF203" s="173">
        <f t="shared" si="546"/>
        <v>1.1452682338758289</v>
      </c>
      <c r="DG203" s="173">
        <f t="shared" si="547"/>
        <v>1.3869888208084145</v>
      </c>
      <c r="DH203" s="173"/>
      <c r="DI203" s="173">
        <f t="shared" si="548"/>
        <v>0.55164319248826299</v>
      </c>
      <c r="DJ203" s="545">
        <f t="shared" si="549"/>
        <v>2528.8085106382978</v>
      </c>
      <c r="DK203" s="528">
        <f t="shared" si="550"/>
        <v>0.3217918622848201</v>
      </c>
      <c r="DM203" s="173">
        <f t="shared" si="551"/>
        <v>8.9598903597286643</v>
      </c>
      <c r="DN203" s="173">
        <f t="shared" si="552"/>
        <v>11.437138621200891</v>
      </c>
      <c r="DO203" s="173">
        <f t="shared" si="553"/>
        <v>7.2028187317537453</v>
      </c>
      <c r="DQ203" s="545">
        <f t="shared" si="554"/>
        <v>2325</v>
      </c>
      <c r="DR203" s="460">
        <f t="shared" si="555"/>
        <v>211.7767876933278</v>
      </c>
      <c r="DT203">
        <f t="shared" si="590"/>
        <v>2325</v>
      </c>
      <c r="DU203">
        <f t="shared" si="591"/>
        <v>211.7767876933278</v>
      </c>
      <c r="DW203" s="5">
        <f t="shared" si="556"/>
        <v>4.7219528206655568</v>
      </c>
      <c r="DX203" s="5">
        <f t="shared" si="557"/>
        <v>2.829186922086536</v>
      </c>
      <c r="DY203" s="5">
        <f t="shared" si="558"/>
        <v>1.8927658985790208</v>
      </c>
      <c r="DZ203" s="5"/>
      <c r="EA203" s="173">
        <f t="shared" si="559"/>
        <v>0.59915611814345993</v>
      </c>
      <c r="EB203" s="173">
        <f t="shared" si="560"/>
        <v>65.100000000000023</v>
      </c>
      <c r="EC203" s="173">
        <f t="shared" si="561"/>
        <v>2.292253521126761</v>
      </c>
      <c r="ED203" s="173">
        <f t="shared" si="562"/>
        <v>28.400000000000006</v>
      </c>
      <c r="EE203" s="460">
        <f t="shared" si="563"/>
        <v>23.492355692325702</v>
      </c>
      <c r="EF203" s="5">
        <f t="shared" si="564"/>
        <v>4.6322954886276042</v>
      </c>
      <c r="EH203" s="173">
        <f t="shared" si="565"/>
        <v>5.1112456827548343</v>
      </c>
      <c r="EI203" s="173">
        <f t="shared" si="566"/>
        <v>4.1806555527462921</v>
      </c>
      <c r="EK203" s="528">
        <f t="shared" si="567"/>
        <v>0.31349798915375915</v>
      </c>
      <c r="EL203" s="528">
        <f t="shared" si="568"/>
        <v>2.1813617021276599</v>
      </c>
      <c r="EM203" s="528">
        <f t="shared" si="569"/>
        <v>2.43543305847327E-2</v>
      </c>
      <c r="EN203" s="528">
        <f t="shared" si="570"/>
        <v>0.23433722064254658</v>
      </c>
      <c r="EO203">
        <f t="shared" si="571"/>
        <v>8.5500000000000003E-3</v>
      </c>
      <c r="EP203" s="460">
        <f t="shared" si="572"/>
        <v>32.904330584732705</v>
      </c>
      <c r="EQ203" s="460"/>
      <c r="ER203" s="460">
        <f t="shared" si="592"/>
        <v>2762.1012425086983</v>
      </c>
      <c r="ES203" s="528">
        <f t="shared" si="573"/>
        <v>1.6274999999999999</v>
      </c>
      <c r="EV203" s="460">
        <f t="shared" si="494"/>
        <v>1627.5</v>
      </c>
      <c r="EW203" s="528">
        <f t="shared" si="574"/>
        <v>0.36574765401271903</v>
      </c>
      <c r="EX203" s="528">
        <f t="shared" si="575"/>
        <v>0.24469033190991768</v>
      </c>
      <c r="EY203" s="528">
        <f t="shared" si="576"/>
        <v>14.436414989687021</v>
      </c>
      <c r="EZ203" s="528"/>
      <c r="FA203" s="528">
        <f t="shared" si="577"/>
        <v>2.7702127659574476</v>
      </c>
      <c r="FB203" s="460">
        <f t="shared" si="578"/>
        <v>17817.065741567105</v>
      </c>
      <c r="FC203" s="173">
        <f t="shared" si="579"/>
        <v>22.206666984075802</v>
      </c>
      <c r="FD203" s="5">
        <f t="shared" si="580"/>
        <v>65.100000000000009</v>
      </c>
      <c r="FE203" s="173">
        <f t="shared" si="581"/>
        <v>0.74564752325127526</v>
      </c>
      <c r="FF203" s="5">
        <f t="shared" si="582"/>
        <v>74.564752325127529</v>
      </c>
      <c r="FI203" s="562">
        <f t="shared" si="583"/>
        <v>-50</v>
      </c>
      <c r="FJ203">
        <f t="shared" si="584"/>
        <v>-50</v>
      </c>
      <c r="FL203">
        <f t="shared" si="585"/>
        <v>0.40084388185654007</v>
      </c>
    </row>
    <row r="204" spans="5:168">
      <c r="E204" s="170">
        <v>94</v>
      </c>
      <c r="F204" s="217">
        <f t="shared" si="586"/>
        <v>2.3499999999999996</v>
      </c>
      <c r="G204" s="217"/>
      <c r="H204" s="217">
        <f t="shared" si="495"/>
        <v>65.799999999999983</v>
      </c>
      <c r="I204" s="541">
        <f>VIN_min-F204*(Rdcr_pri+RON/1000)/CG204/Nps</f>
        <v>18.8434808986188</v>
      </c>
      <c r="J204" s="172">
        <f t="shared" si="497"/>
        <v>28.484279516128336</v>
      </c>
      <c r="K204" s="172">
        <f t="shared" si="498"/>
        <v>47.327760414747132</v>
      </c>
      <c r="L204" s="443"/>
      <c r="M204" s="217">
        <f t="shared" si="499"/>
        <v>0.60183288273423097</v>
      </c>
      <c r="N204" s="172">
        <f t="shared" si="500"/>
        <v>95.192896533212135</v>
      </c>
      <c r="O204" s="172">
        <f t="shared" si="598"/>
        <v>65.799999999999983</v>
      </c>
      <c r="P204" s="217">
        <f t="shared" si="501"/>
        <v>3.3997463047575764</v>
      </c>
      <c r="Q204" s="217">
        <f t="shared" si="502"/>
        <v>28</v>
      </c>
      <c r="R204" s="217"/>
      <c r="S204" s="172">
        <f>(SQRT(Isw_max^2*Nps^2*I204^2+4*Isw_max*F204/Efficiency*(Nps^2*Vfwd1*I204-Nps*I204^2)+4*(F204/Efficiency)^2*Nps^2*Vfwd1^2+8*(F204/Efficiency)^2*Nps*Vfwd1*I204+4*(F204/Efficiency)^2*I204^2)-2*0*F204/Efficiency*I204-2*F204/Efficiency*Nps*Vfwd1+Isw_max*Nps*I204)/(4*F204/Efficiency*Nps)</f>
        <v>57.554419309410228</v>
      </c>
      <c r="T204" s="536">
        <f t="shared" si="504"/>
        <v>28</v>
      </c>
      <c r="U204" s="217">
        <f t="shared" si="505"/>
        <v>11.804088776278423</v>
      </c>
      <c r="V204" s="217">
        <f t="shared" si="506"/>
        <v>2.9442127782545282</v>
      </c>
      <c r="W204" s="217">
        <f t="shared" si="507"/>
        <v>1.9477135525613418</v>
      </c>
      <c r="X204" s="197">
        <f t="shared" si="508"/>
        <v>350</v>
      </c>
      <c r="Y204" s="443">
        <f t="shared" si="509"/>
        <v>196.38932989821393</v>
      </c>
      <c r="AA204" s="217">
        <f t="shared" si="510"/>
        <v>6.894210102832699</v>
      </c>
      <c r="AB204" s="173">
        <f t="shared" si="511"/>
        <v>1.1375673892318958</v>
      </c>
      <c r="AC204" s="173">
        <f t="shared" si="512"/>
        <v>1.3724600028117218</v>
      </c>
      <c r="AD204" s="173"/>
      <c r="AE204" s="173">
        <f t="shared" si="513"/>
        <v>0.55001098615802813</v>
      </c>
      <c r="AF204" s="545">
        <f t="shared" si="514"/>
        <v>2563.5851564515497</v>
      </c>
      <c r="AG204" s="528">
        <f t="shared" si="515"/>
        <v>0.3208397419255164</v>
      </c>
      <c r="AI204" s="173">
        <f t="shared" si="516"/>
        <v>9.0212890298652244</v>
      </c>
      <c r="AJ204" s="173">
        <f t="shared" si="517"/>
        <v>11.804088776278423</v>
      </c>
      <c r="AK204" s="173">
        <f t="shared" si="518"/>
        <v>7.4746336614408069</v>
      </c>
      <c r="AM204" s="545">
        <f t="shared" si="519"/>
        <v>2349.9999999999995</v>
      </c>
      <c r="AN204" s="460">
        <f t="shared" si="520"/>
        <v>196.38932989821393</v>
      </c>
      <c r="AP204">
        <f t="shared" si="521"/>
        <v>2349.9999999999995</v>
      </c>
      <c r="AQ204">
        <f t="shared" si="522"/>
        <v>196.38932989821393</v>
      </c>
      <c r="AS204" s="5">
        <f t="shared" si="599"/>
        <v>5.0919263308158706</v>
      </c>
      <c r="AT204" s="5">
        <f t="shared" si="523"/>
        <v>2.9442127782545282</v>
      </c>
      <c r="AU204" s="5">
        <f t="shared" si="477"/>
        <v>2.1477135525613424</v>
      </c>
      <c r="AV204" s="5"/>
      <c r="AW204" s="173">
        <f t="shared" si="478"/>
        <v>0.57821197459916551</v>
      </c>
      <c r="AX204" s="173">
        <f t="shared" si="595"/>
        <v>64.305879847136538</v>
      </c>
      <c r="AY204" s="173">
        <f t="shared" si="596"/>
        <v>2.4894116483013145</v>
      </c>
      <c r="AZ204" s="173">
        <f t="shared" si="600"/>
        <v>25.831758235331055</v>
      </c>
      <c r="BA204" s="460">
        <f t="shared" si="593"/>
        <v>24.710357246064788</v>
      </c>
      <c r="BB204" s="5">
        <f t="shared" si="594"/>
        <v>5.3568943823846267</v>
      </c>
      <c r="BD204" s="173">
        <f t="shared" si="601"/>
        <v>5.1822144444166467</v>
      </c>
      <c r="BE204" s="173">
        <f t="shared" si="597"/>
        <v>4.4260769760778995</v>
      </c>
      <c r="BG204" s="528">
        <f t="shared" si="479"/>
        <v>0.32226415857504642</v>
      </c>
      <c r="BH204" s="528">
        <f t="shared" si="524"/>
        <v>2.0023001411082686</v>
      </c>
      <c r="BI204" s="528">
        <f t="shared" si="480"/>
        <v>2.2584772938294605E-2</v>
      </c>
      <c r="BJ204" s="528">
        <f t="shared" si="481"/>
        <v>0.21664867173501068</v>
      </c>
      <c r="BK204">
        <f t="shared" si="482"/>
        <v>8.4795664043784604E-3</v>
      </c>
      <c r="BL204" s="460">
        <f t="shared" si="587"/>
        <v>31.064339342673065</v>
      </c>
      <c r="BM204" s="528">
        <f t="shared" si="525"/>
        <v>2.8461542206690456</v>
      </c>
      <c r="BN204" s="460">
        <f t="shared" si="526"/>
        <v>2846.1542206690456</v>
      </c>
      <c r="BO204" s="528">
        <f t="shared" si="483"/>
        <v>1.6449999999999996</v>
      </c>
      <c r="BR204" s="460">
        <f t="shared" si="484"/>
        <v>1644.9999999999995</v>
      </c>
      <c r="BS204" s="528">
        <f t="shared" si="485"/>
        <v>0.37597485167088746</v>
      </c>
      <c r="BT204" s="528">
        <f t="shared" si="486"/>
        <v>0.27426220357433639</v>
      </c>
      <c r="BU204" s="528">
        <f t="shared" si="487"/>
        <v>12.937366838972041</v>
      </c>
      <c r="BV204" s="528"/>
      <c r="BW204" s="528">
        <f t="shared" si="488"/>
        <v>2.7364204190270871</v>
      </c>
      <c r="BX204" s="460">
        <f t="shared" si="489"/>
        <v>16324.02431324435</v>
      </c>
      <c r="BY204" s="173">
        <f t="shared" si="490"/>
        <v>20.541301624005353</v>
      </c>
      <c r="BZ204" s="5">
        <f t="shared" si="491"/>
        <v>65.799999999999983</v>
      </c>
      <c r="CA204" s="173">
        <f t="shared" si="492"/>
        <v>0.76209182352314353</v>
      </c>
      <c r="CB204" s="5">
        <f t="shared" si="493"/>
        <v>76.209182352314357</v>
      </c>
      <c r="CE204" s="562">
        <f t="shared" si="527"/>
        <v>-50</v>
      </c>
      <c r="CF204">
        <f t="shared" si="528"/>
        <v>-50</v>
      </c>
      <c r="CG204" s="173">
        <f t="shared" si="529"/>
        <v>0.39036768969937014</v>
      </c>
      <c r="CI204" s="170">
        <v>94</v>
      </c>
      <c r="CJ204" s="217">
        <f t="shared" si="588"/>
        <v>2.3499999999999996</v>
      </c>
      <c r="CK204" s="217"/>
      <c r="CL204" s="217">
        <f t="shared" si="530"/>
        <v>65.799999999999983</v>
      </c>
      <c r="CM204" s="541">
        <f t="shared" si="531"/>
        <v>19</v>
      </c>
      <c r="CN204" s="443">
        <f t="shared" si="532"/>
        <v>28.4</v>
      </c>
      <c r="CO204" s="443">
        <f t="shared" si="533"/>
        <v>47.4</v>
      </c>
      <c r="CP204" s="443"/>
      <c r="CQ204" s="217">
        <f t="shared" si="534"/>
        <v>0.59915611814345993</v>
      </c>
      <c r="CR204" s="172">
        <f t="shared" si="589"/>
        <v>95.556689708830859</v>
      </c>
      <c r="CS204" s="172">
        <f t="shared" si="535"/>
        <v>65.799999999999983</v>
      </c>
      <c r="CT204" s="217">
        <f t="shared" si="536"/>
        <v>3.4127389181725305</v>
      </c>
      <c r="CU204" s="217">
        <f t="shared" si="537"/>
        <v>28</v>
      </c>
      <c r="CV204" s="217"/>
      <c r="CW204" s="172">
        <f t="shared" si="538"/>
        <v>48.531206626735901</v>
      </c>
      <c r="CX204" s="536">
        <f t="shared" si="539"/>
        <v>28</v>
      </c>
      <c r="CY204" s="217">
        <f t="shared" si="540"/>
        <v>11.560118606375088</v>
      </c>
      <c r="CZ204" s="217">
        <f t="shared" si="541"/>
        <v>2.8596082868401531</v>
      </c>
      <c r="DA204" s="217">
        <f t="shared" si="542"/>
        <v>1.9131182200691166</v>
      </c>
      <c r="DB204" s="197">
        <f t="shared" si="543"/>
        <v>350</v>
      </c>
      <c r="DC204" s="443">
        <f t="shared" si="544"/>
        <v>209.52384314339892</v>
      </c>
      <c r="DE204" s="217">
        <f t="shared" si="545"/>
        <v>6.9203442217177731</v>
      </c>
      <c r="DF204" s="173">
        <f t="shared" si="546"/>
        <v>1.1452682338758289</v>
      </c>
      <c r="DG204" s="173">
        <f t="shared" si="547"/>
        <v>1.3869888208084145</v>
      </c>
      <c r="DH204" s="173"/>
      <c r="DI204" s="173">
        <f t="shared" si="548"/>
        <v>0.55164319248826299</v>
      </c>
      <c r="DJ204" s="545">
        <f t="shared" si="549"/>
        <v>2555.9999999999995</v>
      </c>
      <c r="DK204" s="528">
        <f t="shared" si="550"/>
        <v>0.3217918622848201</v>
      </c>
      <c r="DM204" s="173">
        <f t="shared" si="551"/>
        <v>9.0079330116768261</v>
      </c>
      <c r="DN204" s="173">
        <f t="shared" si="552"/>
        <v>11.560118606375088</v>
      </c>
      <c r="DO204" s="173">
        <f t="shared" si="553"/>
        <v>7.2939150170679659</v>
      </c>
      <c r="DQ204" s="545">
        <f t="shared" si="554"/>
        <v>2349.9999999999995</v>
      </c>
      <c r="DR204" s="460">
        <f t="shared" si="555"/>
        <v>209.52384314339892</v>
      </c>
      <c r="DT204">
        <f t="shared" si="590"/>
        <v>2349.9999999999995</v>
      </c>
      <c r="DU204">
        <f t="shared" si="591"/>
        <v>209.52384314339892</v>
      </c>
      <c r="DW204" s="5">
        <f t="shared" si="556"/>
        <v>4.7727265069092697</v>
      </c>
      <c r="DX204" s="5">
        <f t="shared" si="557"/>
        <v>2.8596082868401531</v>
      </c>
      <c r="DY204" s="5">
        <f t="shared" si="558"/>
        <v>1.9131182200691166</v>
      </c>
      <c r="DZ204" s="5"/>
      <c r="EA204" s="173">
        <f t="shared" si="559"/>
        <v>0.59915611814345993</v>
      </c>
      <c r="EB204" s="173">
        <f t="shared" si="560"/>
        <v>65.799999999999983</v>
      </c>
      <c r="EC204" s="173">
        <f t="shared" si="561"/>
        <v>2.3169014084507031</v>
      </c>
      <c r="ED204" s="173">
        <f t="shared" si="562"/>
        <v>28.400000000000006</v>
      </c>
      <c r="EE204" s="460">
        <f t="shared" si="563"/>
        <v>24.00028383597985</v>
      </c>
      <c r="EF204" s="5">
        <f t="shared" si="564"/>
        <v>4.7324503338551818</v>
      </c>
      <c r="EH204" s="173">
        <f t="shared" si="565"/>
        <v>5.1662053137521955</v>
      </c>
      <c r="EI204" s="173">
        <f t="shared" si="566"/>
        <v>4.2256088382596904</v>
      </c>
      <c r="EK204" s="528">
        <f t="shared" si="567"/>
        <v>0.32027612812609707</v>
      </c>
      <c r="EL204" s="528">
        <f t="shared" si="568"/>
        <v>2.1813617021276603</v>
      </c>
      <c r="EM204" s="528">
        <f t="shared" si="569"/>
        <v>2.4095241961490876E-2</v>
      </c>
      <c r="EN204" s="528">
        <f t="shared" si="570"/>
        <v>0.231844271486775</v>
      </c>
      <c r="EO204">
        <f t="shared" si="571"/>
        <v>8.5500000000000003E-3</v>
      </c>
      <c r="EP204" s="460">
        <f t="shared" si="572"/>
        <v>32.645241961490882</v>
      </c>
      <c r="EQ204" s="460"/>
      <c r="ER204" s="460">
        <f t="shared" si="592"/>
        <v>2766.1273437020232</v>
      </c>
      <c r="ES204" s="528">
        <f t="shared" si="573"/>
        <v>1.6449999999999996</v>
      </c>
      <c r="EV204" s="460">
        <f t="shared" si="494"/>
        <v>1644.9999999999995</v>
      </c>
      <c r="EW204" s="528">
        <f t="shared" si="574"/>
        <v>0.37365548281377992</v>
      </c>
      <c r="EX204" s="528">
        <f t="shared" si="575"/>
        <v>0.24998078075569777</v>
      </c>
      <c r="EY204" s="528">
        <f t="shared" si="576"/>
        <v>14.436414989686986</v>
      </c>
      <c r="EZ204" s="528"/>
      <c r="FA204" s="528">
        <f t="shared" si="577"/>
        <v>2.7999999999999994</v>
      </c>
      <c r="FB204" s="460">
        <f t="shared" si="578"/>
        <v>17860.051253256464</v>
      </c>
      <c r="FC204" s="173">
        <f t="shared" si="579"/>
        <v>22.271178596958489</v>
      </c>
      <c r="FD204" s="5">
        <f t="shared" si="580"/>
        <v>65.799999999999983</v>
      </c>
      <c r="FE204" s="173">
        <f t="shared" si="581"/>
        <v>0.74712296404163681</v>
      </c>
      <c r="FF204" s="5">
        <f t="shared" si="582"/>
        <v>74.712296404163681</v>
      </c>
      <c r="FI204" s="562">
        <f t="shared" si="583"/>
        <v>-50</v>
      </c>
      <c r="FJ204">
        <f t="shared" si="584"/>
        <v>-50</v>
      </c>
      <c r="FL204">
        <f t="shared" si="585"/>
        <v>0.40084388185654007</v>
      </c>
    </row>
    <row r="205" spans="5:168">
      <c r="E205" s="170">
        <v>95</v>
      </c>
      <c r="F205" s="217">
        <f t="shared" si="586"/>
        <v>2.375</v>
      </c>
      <c r="G205" s="217"/>
      <c r="H205" s="217">
        <f t="shared" si="495"/>
        <v>66.5</v>
      </c>
      <c r="I205" s="541">
        <f t="shared" si="496"/>
        <v>18.841860474929103</v>
      </c>
      <c r="J205" s="172">
        <f t="shared" si="497"/>
        <v>28.485152051961251</v>
      </c>
      <c r="K205" s="172">
        <f t="shared" si="498"/>
        <v>47.327012526890357</v>
      </c>
      <c r="L205" s="443"/>
      <c r="M205" s="217">
        <f t="shared" si="499"/>
        <v>0.60186083608489438</v>
      </c>
      <c r="N205" s="172">
        <f t="shared" si="500"/>
        <v>95.189131575652908</v>
      </c>
      <c r="O205" s="172">
        <f t="shared" si="598"/>
        <v>66.5</v>
      </c>
      <c r="P205" s="217">
        <f t="shared" si="501"/>
        <v>3.3996118419876038</v>
      </c>
      <c r="Q205" s="217">
        <f t="shared" si="502"/>
        <v>28</v>
      </c>
      <c r="R205" s="217"/>
      <c r="S205" s="172">
        <f t="shared" si="503"/>
        <v>47.427512437793418</v>
      </c>
      <c r="T205" s="536">
        <f t="shared" si="504"/>
        <v>28</v>
      </c>
      <c r="U205" s="217">
        <f t="shared" si="505"/>
        <v>11.930501770513674</v>
      </c>
      <c r="V205" s="217">
        <f t="shared" si="506"/>
        <v>2.975999020692528</v>
      </c>
      <c r="W205" s="217">
        <f t="shared" si="507"/>
        <v>1.9685118134222321</v>
      </c>
      <c r="X205" s="197">
        <f t="shared" si="508"/>
        <v>350</v>
      </c>
      <c r="Y205" s="443">
        <f t="shared" si="509"/>
        <v>194.38194072188682</v>
      </c>
      <c r="AA205" s="217">
        <f t="shared" si="510"/>
        <v>6.8939373497916776</v>
      </c>
      <c r="AB205" s="173">
        <f t="shared" si="511"/>
        <v>1.1374875403478839</v>
      </c>
      <c r="AC205" s="173">
        <f t="shared" si="512"/>
        <v>1.3723093718822155</v>
      </c>
      <c r="AD205" s="173"/>
      <c r="AE205" s="173">
        <f t="shared" si="513"/>
        <v>0.54999413863363911</v>
      </c>
      <c r="AF205" s="545">
        <f t="shared" si="514"/>
        <v>2590.936702598603</v>
      </c>
      <c r="AG205" s="528">
        <f t="shared" si="515"/>
        <v>0.32082991420295615</v>
      </c>
      <c r="AI205" s="173">
        <f t="shared" si="516"/>
        <v>9.0692865658029618</v>
      </c>
      <c r="AJ205" s="173">
        <f t="shared" si="517"/>
        <v>11.930501770513674</v>
      </c>
      <c r="AK205" s="173">
        <f t="shared" si="518"/>
        <v>7.5682729164298816</v>
      </c>
      <c r="AM205" s="545">
        <f t="shared" si="519"/>
        <v>2375</v>
      </c>
      <c r="AN205" s="460">
        <f t="shared" si="520"/>
        <v>194.38194072188682</v>
      </c>
      <c r="AP205">
        <f t="shared" si="521"/>
        <v>2375</v>
      </c>
      <c r="AQ205">
        <f t="shared" si="522"/>
        <v>194.38194072188682</v>
      </c>
      <c r="AS205" s="5">
        <f t="shared" si="599"/>
        <v>5.1445108341147616</v>
      </c>
      <c r="AT205" s="5">
        <f t="shared" si="523"/>
        <v>2.975999020692528</v>
      </c>
      <c r="AU205" s="5">
        <f t="shared" si="477"/>
        <v>2.1685118134222336</v>
      </c>
      <c r="AV205" s="5"/>
      <c r="AW205" s="173">
        <f t="shared" si="478"/>
        <v>0.57848046522864816</v>
      </c>
      <c r="AX205" s="173">
        <f t="shared" si="595"/>
        <v>65.019136153437174</v>
      </c>
      <c r="AY205" s="173">
        <f t="shared" si="596"/>
        <v>2.5144697779478564</v>
      </c>
      <c r="AZ205" s="173">
        <f t="shared" si="600"/>
        <v>25.857990707886529</v>
      </c>
      <c r="BA205" s="460">
        <f t="shared" si="593"/>
        <v>25.242848836231268</v>
      </c>
      <c r="BB205" s="5">
        <f t="shared" si="594"/>
        <v>5.4667802722885659</v>
      </c>
      <c r="BD205" s="173">
        <f t="shared" si="601"/>
        <v>5.2389280144195487</v>
      </c>
      <c r="BE205" s="173">
        <f t="shared" si="597"/>
        <v>4.4720529318356705</v>
      </c>
      <c r="BG205" s="528">
        <f t="shared" si="479"/>
        <v>0.32935640088323948</v>
      </c>
      <c r="BH205" s="528">
        <f t="shared" si="524"/>
        <v>2.0030259834942776</v>
      </c>
      <c r="BI205" s="528">
        <f t="shared" si="480"/>
        <v>2.2353923183016985E-2</v>
      </c>
      <c r="BJ205" s="528">
        <f t="shared" si="481"/>
        <v>0.21442742508863519</v>
      </c>
      <c r="BK205">
        <f t="shared" si="482"/>
        <v>8.4788372137180965E-3</v>
      </c>
      <c r="BL205" s="460">
        <f t="shared" si="587"/>
        <v>30.832760396735083</v>
      </c>
      <c r="BM205" s="528">
        <f t="shared" si="525"/>
        <v>2.8595069882617863</v>
      </c>
      <c r="BN205" s="460">
        <f t="shared" si="526"/>
        <v>2859.5069882617863</v>
      </c>
      <c r="BO205" s="528">
        <f t="shared" si="483"/>
        <v>1.6624999999999999</v>
      </c>
      <c r="BR205" s="460">
        <f t="shared" si="484"/>
        <v>1662.4999999999998</v>
      </c>
      <c r="BS205" s="528">
        <f t="shared" si="485"/>
        <v>0.38424913436377939</v>
      </c>
      <c r="BT205" s="528">
        <f t="shared" si="486"/>
        <v>0.27998960395196021</v>
      </c>
      <c r="BU205" s="528">
        <f t="shared" si="487"/>
        <v>12.94960623231446</v>
      </c>
      <c r="BV205" s="528"/>
      <c r="BW205" s="528">
        <f t="shared" si="488"/>
        <v>2.7667717512100927</v>
      </c>
      <c r="BX205" s="460">
        <f t="shared" si="489"/>
        <v>16380.616721840293</v>
      </c>
      <c r="BY205" s="173">
        <f t="shared" si="490"/>
        <v>20.62075929170318</v>
      </c>
      <c r="BZ205" s="5">
        <f t="shared" si="491"/>
        <v>66.5</v>
      </c>
      <c r="CA205" s="173">
        <f t="shared" si="492"/>
        <v>0.76330831527007859</v>
      </c>
      <c r="CB205" s="5">
        <f t="shared" si="493"/>
        <v>76.330831527007859</v>
      </c>
      <c r="CE205" s="562">
        <f t="shared" si="527"/>
        <v>-50</v>
      </c>
      <c r="CF205">
        <f t="shared" si="528"/>
        <v>-50</v>
      </c>
      <c r="CG205" s="173">
        <f t="shared" si="529"/>
        <v>0.39047796540628771</v>
      </c>
      <c r="CI205" s="170">
        <v>95</v>
      </c>
      <c r="CJ205" s="217">
        <f t="shared" si="588"/>
        <v>2.375</v>
      </c>
      <c r="CK205" s="217"/>
      <c r="CL205" s="217">
        <f t="shared" si="530"/>
        <v>66.5</v>
      </c>
      <c r="CM205" s="541">
        <f t="shared" si="531"/>
        <v>19</v>
      </c>
      <c r="CN205" s="443">
        <f t="shared" si="532"/>
        <v>28.4</v>
      </c>
      <c r="CO205" s="443">
        <f t="shared" si="533"/>
        <v>47.4</v>
      </c>
      <c r="CP205" s="443"/>
      <c r="CQ205" s="217">
        <f t="shared" si="534"/>
        <v>0.59915611814345993</v>
      </c>
      <c r="CR205" s="172">
        <f t="shared" si="589"/>
        <v>95.556689708830859</v>
      </c>
      <c r="CS205" s="172">
        <f t="shared" si="535"/>
        <v>66.5</v>
      </c>
      <c r="CT205" s="217">
        <f t="shared" si="536"/>
        <v>3.4127389181725305</v>
      </c>
      <c r="CU205" s="217">
        <f t="shared" si="537"/>
        <v>28</v>
      </c>
      <c r="CV205" s="217"/>
      <c r="CW205" s="172">
        <f t="shared" si="538"/>
        <v>47.824263681526048</v>
      </c>
      <c r="CX205" s="536">
        <f t="shared" si="539"/>
        <v>28</v>
      </c>
      <c r="CY205" s="217">
        <f t="shared" si="540"/>
        <v>11.683098591549294</v>
      </c>
      <c r="CZ205" s="217">
        <f t="shared" si="541"/>
        <v>2.8900296515937729</v>
      </c>
      <c r="DA205" s="217">
        <f t="shared" si="542"/>
        <v>1.9334705415592146</v>
      </c>
      <c r="DB205" s="197">
        <f t="shared" si="543"/>
        <v>350</v>
      </c>
      <c r="DC205" s="443">
        <f t="shared" si="544"/>
        <v>207.31832900504725</v>
      </c>
      <c r="DE205" s="217">
        <f t="shared" si="545"/>
        <v>6.9203442217177731</v>
      </c>
      <c r="DF205" s="173">
        <f t="shared" si="546"/>
        <v>1.1452682338758289</v>
      </c>
      <c r="DG205" s="173">
        <f t="shared" si="547"/>
        <v>1.3869888208084145</v>
      </c>
      <c r="DH205" s="173"/>
      <c r="DI205" s="173">
        <f t="shared" si="548"/>
        <v>0.55164319248826299</v>
      </c>
      <c r="DJ205" s="545">
        <f t="shared" si="549"/>
        <v>2583.1914893617022</v>
      </c>
      <c r="DK205" s="528">
        <f t="shared" si="550"/>
        <v>0.3217918622848201</v>
      </c>
      <c r="DM205" s="173">
        <f t="shared" si="551"/>
        <v>9.0557207900506533</v>
      </c>
      <c r="DN205" s="173">
        <f t="shared" si="552"/>
        <v>11.683098591549294</v>
      </c>
      <c r="DO205" s="173">
        <f t="shared" si="553"/>
        <v>7.3850113023821935</v>
      </c>
      <c r="DQ205" s="545">
        <f t="shared" si="554"/>
        <v>2375</v>
      </c>
      <c r="DR205" s="460">
        <f t="shared" si="555"/>
        <v>207.31832900504725</v>
      </c>
      <c r="DT205">
        <f t="shared" si="590"/>
        <v>2375</v>
      </c>
      <c r="DU205">
        <f t="shared" si="591"/>
        <v>207.31832900504725</v>
      </c>
      <c r="DW205" s="5">
        <f t="shared" si="556"/>
        <v>4.8235001931529871</v>
      </c>
      <c r="DX205" s="5">
        <f t="shared" si="557"/>
        <v>2.8900296515937729</v>
      </c>
      <c r="DY205" s="5">
        <f t="shared" si="558"/>
        <v>1.9334705415592142</v>
      </c>
      <c r="DZ205" s="5"/>
      <c r="EA205" s="173">
        <f t="shared" si="559"/>
        <v>0.59915611814345993</v>
      </c>
      <c r="EB205" s="173">
        <f t="shared" si="560"/>
        <v>66.499999999999986</v>
      </c>
      <c r="EC205" s="173">
        <f t="shared" si="561"/>
        <v>2.3415492957746475</v>
      </c>
      <c r="ED205" s="173">
        <f t="shared" si="562"/>
        <v>28.4</v>
      </c>
      <c r="EE205" s="460">
        <f t="shared" si="563"/>
        <v>24.51364436619718</v>
      </c>
      <c r="EF205" s="5">
        <f t="shared" si="564"/>
        <v>4.833676353898035</v>
      </c>
      <c r="EH205" s="173">
        <f t="shared" si="565"/>
        <v>5.2211649447495603</v>
      </c>
      <c r="EI205" s="173">
        <f t="shared" si="566"/>
        <v>4.2705621237730931</v>
      </c>
      <c r="EK205" s="528">
        <f t="shared" si="567"/>
        <v>0.32712676056338014</v>
      </c>
      <c r="EL205" s="528">
        <f t="shared" si="568"/>
        <v>2.1813617021276595</v>
      </c>
      <c r="EM205" s="528">
        <f t="shared" si="569"/>
        <v>2.3841607835580435E-2</v>
      </c>
      <c r="EN205" s="528">
        <f t="shared" si="570"/>
        <v>0.2294038054711246</v>
      </c>
      <c r="EO205">
        <f t="shared" si="571"/>
        <v>8.5500000000000003E-3</v>
      </c>
      <c r="EP205" s="460">
        <f t="shared" si="572"/>
        <v>32.391607835580437</v>
      </c>
      <c r="EQ205" s="460"/>
      <c r="ER205" s="460">
        <f t="shared" si="592"/>
        <v>2770.2838759977444</v>
      </c>
      <c r="ES205" s="528">
        <f t="shared" si="573"/>
        <v>1.6624999999999999</v>
      </c>
      <c r="EV205" s="460">
        <f t="shared" si="494"/>
        <v>1662.4999999999998</v>
      </c>
      <c r="EW205" s="528">
        <f t="shared" si="574"/>
        <v>0.3816478873239435</v>
      </c>
      <c r="EX205" s="528">
        <f t="shared" si="575"/>
        <v>0.25532781194207493</v>
      </c>
      <c r="EY205" s="528">
        <f t="shared" si="576"/>
        <v>14.436414989687012</v>
      </c>
      <c r="EZ205" s="528"/>
      <c r="FA205" s="528">
        <f t="shared" si="577"/>
        <v>2.8297872340425529</v>
      </c>
      <c r="FB205" s="460">
        <f t="shared" si="578"/>
        <v>17903.177922995586</v>
      </c>
      <c r="FC205" s="173">
        <f t="shared" si="579"/>
        <v>22.335961798993328</v>
      </c>
      <c r="FD205" s="5">
        <f t="shared" si="580"/>
        <v>66.5</v>
      </c>
      <c r="FE205" s="173">
        <f t="shared" si="581"/>
        <v>0.74857072128591018</v>
      </c>
      <c r="FF205" s="5">
        <f t="shared" si="582"/>
        <v>74.857072128591014</v>
      </c>
      <c r="FI205" s="562">
        <f t="shared" si="583"/>
        <v>-50</v>
      </c>
      <c r="FJ205">
        <f t="shared" si="584"/>
        <v>-50</v>
      </c>
      <c r="FL205">
        <f t="shared" si="585"/>
        <v>0.40084388185654007</v>
      </c>
    </row>
    <row r="206" spans="5:168">
      <c r="E206" s="170">
        <v>96</v>
      </c>
      <c r="F206" s="217">
        <f t="shared" si="586"/>
        <v>2.4</v>
      </c>
      <c r="G206" s="217"/>
      <c r="H206" s="217">
        <f>F206*Vout</f>
        <v>67.2</v>
      </c>
      <c r="I206" s="541">
        <f t="shared" si="496"/>
        <v>18.840240026539444</v>
      </c>
      <c r="J206" s="172">
        <f t="shared" si="497"/>
        <v>28.486024601094144</v>
      </c>
      <c r="K206" s="172">
        <f t="shared" si="498"/>
        <v>47.326264627633591</v>
      </c>
      <c r="L206" s="443"/>
      <c r="M206" s="217">
        <f t="shared" si="499"/>
        <v>0.60188879063249223</v>
      </c>
      <c r="N206" s="172">
        <f>M206*I206*(Isw_max+VIN_min/Lmag*ILIM_delay)*0.5*Efficiency</f>
        <v>95.185365922160884</v>
      </c>
      <c r="O206" s="172">
        <f t="shared" si="598"/>
        <v>67.2</v>
      </c>
      <c r="P206" s="217">
        <f>N206/Vout</f>
        <v>3.3994773543628889</v>
      </c>
      <c r="Q206" s="217">
        <f t="shared" si="502"/>
        <v>28</v>
      </c>
      <c r="R206" s="217"/>
      <c r="S206" s="172">
        <f t="shared" si="503"/>
        <v>46.737136049648242</v>
      </c>
      <c r="T206" s="536">
        <f>MIN(Vout, S206)</f>
        <v>28</v>
      </c>
      <c r="U206" s="217">
        <f t="shared" si="505"/>
        <v>12.056932553157486</v>
      </c>
      <c r="V206" s="217">
        <f>L*U206/I206*1000000</f>
        <v>3.0077951724614427</v>
      </c>
      <c r="W206" s="217">
        <f t="shared" si="507"/>
        <v>1.9893117342060986</v>
      </c>
      <c r="X206" s="197">
        <f t="shared" si="508"/>
        <v>350</v>
      </c>
      <c r="Y206" s="443">
        <f t="shared" si="509"/>
        <v>192.41474496456223</v>
      </c>
      <c r="AA206" s="217">
        <f t="shared" si="510"/>
        <v>6.8936645476492222</v>
      </c>
      <c r="AB206" s="173">
        <f>L*AA206/J206*1000000</f>
        <v>1.1374076877230126</v>
      </c>
      <c r="AC206" s="173">
        <f>0.5*AB206*AA206*Nps*X206/1000</f>
        <v>1.3721587342889665</v>
      </c>
      <c r="AD206" s="173"/>
      <c r="AE206" s="173">
        <f t="shared" si="513"/>
        <v>0.54997729188455846</v>
      </c>
      <c r="AF206" s="545">
        <f>MAX(12000,F206/(0.5*AE206/1000000*Isw_min*Nps))/1000</f>
        <v>2618.2899207814194</v>
      </c>
      <c r="AG206" s="528">
        <f t="shared" si="515"/>
        <v>0.32082008693265907</v>
      </c>
      <c r="AI206" s="173">
        <f t="shared" si="516"/>
        <v>9.1170343284119468</v>
      </c>
      <c r="AJ206" s="173">
        <f>MAX(IF(F206&gt;AC206,U206,AI206),Isw_min)</f>
        <v>12.056932553157486</v>
      </c>
      <c r="AK206" s="173">
        <f>IF(F206&gt;AG206, (AJ206-Isw_min)/1.08*0.8+1.2, AF206*0.2/350+1)</f>
        <v>7.6619253480178902</v>
      </c>
      <c r="AM206" s="545">
        <f t="shared" si="519"/>
        <v>2400</v>
      </c>
      <c r="AN206" s="460">
        <f t="shared" si="520"/>
        <v>192.41474496456223</v>
      </c>
      <c r="AP206">
        <f t="shared" si="521"/>
        <v>2400</v>
      </c>
      <c r="AQ206">
        <f t="shared" si="522"/>
        <v>192.41474496456223</v>
      </c>
      <c r="AS206" s="5">
        <f t="shared" si="599"/>
        <v>5.1971069066675426</v>
      </c>
      <c r="AT206" s="5">
        <f t="shared" si="523"/>
        <v>3.0077951724614427</v>
      </c>
      <c r="AU206" s="5">
        <f t="shared" si="477"/>
        <v>2.1893117342060999</v>
      </c>
      <c r="AV206" s="5"/>
      <c r="AW206" s="173">
        <f t="shared" si="478"/>
        <v>0.57874414101480987</v>
      </c>
      <c r="AX206" s="173">
        <f t="shared" si="595"/>
        <v>65.732458312814302</v>
      </c>
      <c r="AY206" s="173">
        <f t="shared" si="596"/>
        <v>2.5395267397034291</v>
      </c>
      <c r="AZ206" s="173">
        <f t="shared" si="600"/>
        <v>25.883743331047054</v>
      </c>
      <c r="BA206" s="460">
        <f t="shared" si="593"/>
        <v>25.781101478240938</v>
      </c>
      <c r="BB206" s="5">
        <f t="shared" si="594"/>
        <v>5.5777932284228466</v>
      </c>
      <c r="BD206" s="173">
        <f t="shared" si="601"/>
        <v>5.2956528510436538</v>
      </c>
      <c r="BE206" s="173">
        <f t="shared" si="597"/>
        <v>4.5180307375038353</v>
      </c>
      <c r="BG206" s="528">
        <f t="shared" si="479"/>
        <v>0.33652726942520134</v>
      </c>
      <c r="BH206" s="528">
        <f t="shared" si="524"/>
        <v>2.0037349689191073</v>
      </c>
      <c r="BI206" s="528">
        <f t="shared" si="480"/>
        <v>2.2127695670924659E-2</v>
      </c>
      <c r="BJ206" s="528">
        <f t="shared" si="481"/>
        <v>0.21225065535214893</v>
      </c>
      <c r="BK206">
        <f t="shared" si="482"/>
        <v>8.4781080119427504E-3</v>
      </c>
      <c r="BL206" s="460">
        <f t="shared" si="587"/>
        <v>30.60580368286741</v>
      </c>
      <c r="BM206" s="528">
        <f t="shared" si="525"/>
        <v>2.8731055566158856</v>
      </c>
      <c r="BN206" s="460">
        <f t="shared" si="526"/>
        <v>2873.1055566158857</v>
      </c>
      <c r="BO206" s="528">
        <f t="shared" si="483"/>
        <v>1.68</v>
      </c>
      <c r="BR206" s="460">
        <f t="shared" si="484"/>
        <v>1680</v>
      </c>
      <c r="BS206" s="528">
        <f t="shared" si="485"/>
        <v>0.39261514766273492</v>
      </c>
      <c r="BT206" s="528">
        <f t="shared" si="486"/>
        <v>0.28577642443041235</v>
      </c>
      <c r="BU206" s="528">
        <f t="shared" si="487"/>
        <v>12.961580356741131</v>
      </c>
      <c r="BV206" s="528"/>
      <c r="BW206" s="528">
        <f t="shared" si="488"/>
        <v>2.7971258856516723</v>
      </c>
      <c r="BX206" s="460">
        <f t="shared" si="489"/>
        <v>16437.097814485951</v>
      </c>
      <c r="BY206" s="173">
        <f t="shared" si="490"/>
        <v>20.700216511865278</v>
      </c>
      <c r="BZ206" s="5">
        <f t="shared" si="491"/>
        <v>67.2</v>
      </c>
      <c r="CA206" s="173">
        <f t="shared" si="492"/>
        <v>0.76450323635925244</v>
      </c>
      <c r="CB206" s="5">
        <f t="shared" si="493"/>
        <v>76.450323635925244</v>
      </c>
      <c r="CE206" s="562">
        <f t="shared" si="527"/>
        <v>-50</v>
      </c>
      <c r="CF206">
        <f t="shared" si="528"/>
        <v>-50</v>
      </c>
      <c r="CG206" s="173">
        <f t="shared" si="529"/>
        <v>0.39058594370264449</v>
      </c>
      <c r="CI206" s="170">
        <v>96</v>
      </c>
      <c r="CJ206" s="217">
        <f t="shared" si="588"/>
        <v>2.4</v>
      </c>
      <c r="CK206" s="217"/>
      <c r="CL206" s="217">
        <f t="shared" si="530"/>
        <v>67.2</v>
      </c>
      <c r="CM206" s="541">
        <f t="shared" si="531"/>
        <v>19</v>
      </c>
      <c r="CN206" s="443">
        <f t="shared" si="532"/>
        <v>28.4</v>
      </c>
      <c r="CO206" s="443">
        <f t="shared" si="533"/>
        <v>47.4</v>
      </c>
      <c r="CP206" s="443"/>
      <c r="CQ206" s="217">
        <f t="shared" si="534"/>
        <v>0.59915611814345993</v>
      </c>
      <c r="CR206" s="172">
        <f t="shared" si="589"/>
        <v>95.556689708830859</v>
      </c>
      <c r="CS206" s="172">
        <f t="shared" si="535"/>
        <v>67.2</v>
      </c>
      <c r="CT206" s="217">
        <f t="shared" si="536"/>
        <v>3.4127389181725305</v>
      </c>
      <c r="CU206" s="217">
        <f t="shared" si="537"/>
        <v>28</v>
      </c>
      <c r="CV206" s="217"/>
      <c r="CW206" s="172">
        <f t="shared" si="538"/>
        <v>47.132114121425055</v>
      </c>
      <c r="CX206" s="536">
        <f t="shared" si="539"/>
        <v>28</v>
      </c>
      <c r="CY206" s="217">
        <f t="shared" si="540"/>
        <v>11.806078576723499</v>
      </c>
      <c r="CZ206" s="217">
        <f t="shared" si="541"/>
        <v>2.9204510163473913</v>
      </c>
      <c r="DA206" s="217">
        <f t="shared" si="542"/>
        <v>1.9538228630493115</v>
      </c>
      <c r="DB206" s="197">
        <f t="shared" si="543"/>
        <v>350</v>
      </c>
      <c r="DC206" s="443">
        <f t="shared" si="544"/>
        <v>205.15876307791137</v>
      </c>
      <c r="DE206" s="217">
        <f t="shared" si="545"/>
        <v>6.9203442217177731</v>
      </c>
      <c r="DF206" s="173">
        <f t="shared" si="546"/>
        <v>1.1452682338758289</v>
      </c>
      <c r="DG206" s="173">
        <f t="shared" si="547"/>
        <v>1.3869888208084145</v>
      </c>
      <c r="DH206" s="173"/>
      <c r="DI206" s="173">
        <f t="shared" si="548"/>
        <v>0.55164319248826299</v>
      </c>
      <c r="DJ206" s="545">
        <f t="shared" si="549"/>
        <v>2610.382978723404</v>
      </c>
      <c r="DK206" s="528">
        <f t="shared" si="550"/>
        <v>0.3217918622848201</v>
      </c>
      <c r="DM206" s="173">
        <f t="shared" si="551"/>
        <v>9.1032577087465842</v>
      </c>
      <c r="DN206" s="173">
        <f t="shared" si="552"/>
        <v>11.806078576723499</v>
      </c>
      <c r="DO206" s="173">
        <f t="shared" si="553"/>
        <v>7.4761075876964185</v>
      </c>
      <c r="DQ206" s="545">
        <f t="shared" si="554"/>
        <v>2400</v>
      </c>
      <c r="DR206" s="460">
        <f t="shared" si="555"/>
        <v>205.15876307791137</v>
      </c>
      <c r="DT206">
        <f t="shared" si="590"/>
        <v>2400</v>
      </c>
      <c r="DU206">
        <f t="shared" si="591"/>
        <v>205.15876307791137</v>
      </c>
      <c r="DW206" s="5">
        <f t="shared" si="556"/>
        <v>4.8742738793967026</v>
      </c>
      <c r="DX206" s="5">
        <f t="shared" si="557"/>
        <v>2.9204510163473913</v>
      </c>
      <c r="DY206" s="5">
        <f t="shared" si="558"/>
        <v>1.9538228630493113</v>
      </c>
      <c r="DZ206" s="5"/>
      <c r="EA206" s="173">
        <f t="shared" si="559"/>
        <v>0.59915611814345993</v>
      </c>
      <c r="EB206" s="173">
        <f t="shared" si="560"/>
        <v>67.2</v>
      </c>
      <c r="EC206" s="173">
        <f t="shared" si="561"/>
        <v>2.3661971830985915</v>
      </c>
      <c r="ED206" s="173">
        <f t="shared" si="562"/>
        <v>28.400000000000002</v>
      </c>
      <c r="EE206" s="460">
        <f t="shared" si="563"/>
        <v>25.032437282977643</v>
      </c>
      <c r="EF206" s="5">
        <f t="shared" si="564"/>
        <v>4.9359735487561549</v>
      </c>
      <c r="EH206" s="173">
        <f t="shared" si="565"/>
        <v>5.2761245757469251</v>
      </c>
      <c r="EI206" s="173">
        <f t="shared" si="566"/>
        <v>4.315515409286494</v>
      </c>
      <c r="EK206" s="528">
        <f t="shared" si="567"/>
        <v>0.33404988646560801</v>
      </c>
      <c r="EL206" s="528">
        <f t="shared" si="568"/>
        <v>2.1813617021276599</v>
      </c>
      <c r="EM206" s="528">
        <f t="shared" si="569"/>
        <v>2.3593257753959811E-2</v>
      </c>
      <c r="EN206" s="528">
        <f t="shared" si="570"/>
        <v>0.2270141824974671</v>
      </c>
      <c r="EO206">
        <f t="shared" si="571"/>
        <v>8.5500000000000003E-3</v>
      </c>
      <c r="EP206" s="460">
        <f t="shared" si="572"/>
        <v>32.143257753959816</v>
      </c>
      <c r="EQ206" s="460"/>
      <c r="ER206" s="460">
        <f t="shared" si="592"/>
        <v>2774.5690288446949</v>
      </c>
      <c r="ES206" s="528">
        <f t="shared" si="573"/>
        <v>1.68</v>
      </c>
      <c r="EV206" s="460">
        <f t="shared" si="494"/>
        <v>1680</v>
      </c>
      <c r="EW206" s="528">
        <f t="shared" si="574"/>
        <v>0.3897248675432094</v>
      </c>
      <c r="EX206" s="528">
        <f t="shared" si="575"/>
        <v>0.26073142546904848</v>
      </c>
      <c r="EY206" s="528">
        <f t="shared" si="576"/>
        <v>14.436414989687025</v>
      </c>
      <c r="EZ206" s="528"/>
      <c r="FA206" s="528">
        <f t="shared" si="577"/>
        <v>2.859574468085107</v>
      </c>
      <c r="FB206" s="460">
        <f t="shared" si="578"/>
        <v>17946.445750784391</v>
      </c>
      <c r="FC206" s="173">
        <f t="shared" si="579"/>
        <v>22.401014779629083</v>
      </c>
      <c r="FD206" s="5">
        <f t="shared" si="580"/>
        <v>67.2</v>
      </c>
      <c r="FE206" s="173">
        <f t="shared" si="581"/>
        <v>0.74999150584707464</v>
      </c>
      <c r="FF206" s="5">
        <f t="shared" si="582"/>
        <v>74.999150584707465</v>
      </c>
      <c r="FI206" s="562">
        <f t="shared" si="583"/>
        <v>-50</v>
      </c>
      <c r="FJ206">
        <f t="shared" si="584"/>
        <v>-50</v>
      </c>
      <c r="FL206">
        <f t="shared" si="585"/>
        <v>0.40084388185654007</v>
      </c>
    </row>
    <row r="207" spans="5:168">
      <c r="E207" s="170">
        <v>97</v>
      </c>
      <c r="F207" s="217">
        <f>IF(PLOT_TYPE=1, E207/100*Iout_max, min_I*EXP(N207*rr/100))</f>
        <v>2.4249999999999998</v>
      </c>
      <c r="G207" s="217"/>
      <c r="H207" s="217">
        <f>F207*Vout</f>
        <v>67.899999999999991</v>
      </c>
      <c r="I207" s="541">
        <f t="shared" si="496"/>
        <v>18.838619554233592</v>
      </c>
      <c r="J207" s="172">
        <f t="shared" si="497"/>
        <v>28.486897163104988</v>
      </c>
      <c r="K207" s="172">
        <f t="shared" si="498"/>
        <v>47.32551671733858</v>
      </c>
      <c r="L207" s="443"/>
      <c r="M207" s="217">
        <f t="shared" si="499"/>
        <v>0.60191674636715575</v>
      </c>
      <c r="N207" s="172">
        <f>M207*I207*(Isw_max+VIN_min/Lmag*ILIM_delay)*0.5*Efficiency</f>
        <v>95.181599575069285</v>
      </c>
      <c r="O207" s="172">
        <f t="shared" si="598"/>
        <v>67.899999999999991</v>
      </c>
      <c r="P207" s="217">
        <f>N207/Vout</f>
        <v>3.3993428419667602</v>
      </c>
      <c r="Q207" s="217">
        <f t="shared" si="502"/>
        <v>28</v>
      </c>
      <c r="R207" s="217"/>
      <c r="S207" s="172">
        <f t="shared" si="503"/>
        <v>46.061093032889467</v>
      </c>
      <c r="T207" s="536">
        <f>MIN(Vout, S207)</f>
        <v>28</v>
      </c>
      <c r="U207" s="217">
        <f t="shared" si="505"/>
        <v>12.183381128795736</v>
      </c>
      <c r="V207" s="217">
        <f>L*U207/I207*1000000</f>
        <v>3.0396012372611203</v>
      </c>
      <c r="W207" s="217">
        <f t="shared" si="507"/>
        <v>2.0101133155176729</v>
      </c>
      <c r="X207" s="197">
        <f t="shared" si="508"/>
        <v>350</v>
      </c>
      <c r="Y207" s="443">
        <f t="shared" si="509"/>
        <v>190.48654740107293</v>
      </c>
      <c r="AA207" s="217">
        <f t="shared" si="510"/>
        <v>6.8933916965331266</v>
      </c>
      <c r="AB207" s="173">
        <f>L*AA207/J207*1000000</f>
        <v>1.1373278313956712</v>
      </c>
      <c r="AC207" s="173">
        <f>0.5*AB207*AA207*Nps*X207/1000</f>
        <v>1.3720080901063156</v>
      </c>
      <c r="AD207" s="173"/>
      <c r="AE207" s="173">
        <f t="shared" si="513"/>
        <v>0.54996044591888593</v>
      </c>
      <c r="AF207" s="545">
        <f>MAX(12000,F207/(0.5*AE207/1000000*Isw_min*Nps))/1000</f>
        <v>2645.6448109990056</v>
      </c>
      <c r="AG207" s="528">
        <f t="shared" si="515"/>
        <v>0.32081026011935015</v>
      </c>
      <c r="AI207" s="173">
        <f t="shared" si="516"/>
        <v>9.1645362216916677</v>
      </c>
      <c r="AJ207" s="173">
        <f>MAX(IF(F207&gt;AC207,U207,AI207),Isw_min)</f>
        <v>12.183381128795736</v>
      </c>
      <c r="AK207" s="173">
        <f>IF(F207&gt;AG207, (AJ207-Isw_min)/1.08*0.8+1.2, AF207*0.2/350+1)</f>
        <v>7.7555909596017791</v>
      </c>
      <c r="AM207" s="545">
        <f t="shared" si="519"/>
        <v>2425</v>
      </c>
      <c r="AN207" s="460">
        <f t="shared" si="520"/>
        <v>190.48654740107293</v>
      </c>
      <c r="AP207">
        <f t="shared" si="521"/>
        <v>2425</v>
      </c>
      <c r="AQ207">
        <f t="shared" si="522"/>
        <v>190.48654740107293</v>
      </c>
      <c r="AS207" s="5">
        <f t="shared" si="599"/>
        <v>5.2497145527787934</v>
      </c>
      <c r="AT207" s="5">
        <f t="shared" si="523"/>
        <v>3.0396012372611203</v>
      </c>
      <c r="AU207" s="5">
        <f t="shared" si="477"/>
        <v>2.2101133155176731</v>
      </c>
      <c r="AV207" s="5"/>
      <c r="AW207" s="173">
        <f t="shared" si="478"/>
        <v>0.57900314516190032</v>
      </c>
      <c r="AX207" s="173">
        <f t="shared" si="595"/>
        <v>66.445845665966061</v>
      </c>
      <c r="AY207" s="173">
        <f t="shared" si="596"/>
        <v>2.5645825682584307</v>
      </c>
      <c r="AZ207" s="173">
        <f t="shared" si="600"/>
        <v>25.90902959739309</v>
      </c>
      <c r="BA207" s="460">
        <f t="shared" si="593"/>
        <v>26.3251178584222</v>
      </c>
      <c r="BB207" s="5">
        <f t="shared" si="594"/>
        <v>5.6899336755552383</v>
      </c>
      <c r="BD207" s="173">
        <f t="shared" si="601"/>
        <v>5.352388937000609</v>
      </c>
      <c r="BE207" s="173">
        <f t="shared" si="597"/>
        <v>4.564010434209389</v>
      </c>
      <c r="BG207" s="528">
        <f t="shared" si="479"/>
        <v>0.34377680799511812</v>
      </c>
      <c r="BH207" s="528">
        <f t="shared" si="524"/>
        <v>2.004427598329662</v>
      </c>
      <c r="BI207" s="528">
        <f t="shared" si="480"/>
        <v>2.1905952951123388E-2</v>
      </c>
      <c r="BJ207" s="528">
        <f t="shared" si="481"/>
        <v>0.21011703992619019</v>
      </c>
      <c r="BK207">
        <f t="shared" si="482"/>
        <v>8.4773787994051157E-3</v>
      </c>
      <c r="BL207" s="460">
        <f t="shared" si="587"/>
        <v>30.383331750528505</v>
      </c>
      <c r="BM207" s="528">
        <f t="shared" si="525"/>
        <v>2.8869513223270813</v>
      </c>
      <c r="BN207" s="460">
        <f t="shared" si="526"/>
        <v>2886.9513223270815</v>
      </c>
      <c r="BO207" s="528">
        <f t="shared" si="483"/>
        <v>1.6974999999999998</v>
      </c>
      <c r="BR207" s="460">
        <f t="shared" si="484"/>
        <v>1697.4999999999998</v>
      </c>
      <c r="BS207" s="528">
        <f t="shared" si="485"/>
        <v>0.40107294266097115</v>
      </c>
      <c r="BT207" s="528">
        <f t="shared" si="486"/>
        <v>0.29162267741001047</v>
      </c>
      <c r="BU207" s="528">
        <f t="shared" si="487"/>
        <v>12.973296853311904</v>
      </c>
      <c r="BV207" s="528"/>
      <c r="BW207" s="528">
        <f t="shared" si="488"/>
        <v>2.827482794296428</v>
      </c>
      <c r="BX207" s="460">
        <f t="shared" si="489"/>
        <v>16493.475267679314</v>
      </c>
      <c r="BY207" s="173">
        <f t="shared" si="490"/>
        <v>20.779680045680813</v>
      </c>
      <c r="BZ207" s="5">
        <f t="shared" si="491"/>
        <v>67.899999999999991</v>
      </c>
      <c r="CA207" s="173">
        <f t="shared" si="492"/>
        <v>0.76567709722253441</v>
      </c>
      <c r="CB207" s="5">
        <f t="shared" si="493"/>
        <v>76.56770972225344</v>
      </c>
      <c r="CE207" s="562">
        <f t="shared" si="527"/>
        <v>-50</v>
      </c>
      <c r="CF207">
        <f t="shared" si="528"/>
        <v>-50</v>
      </c>
      <c r="CG207" s="173">
        <f t="shared" si="529"/>
        <v>0.39069169564237538</v>
      </c>
      <c r="CI207" s="170">
        <v>97</v>
      </c>
      <c r="CJ207" s="217">
        <f t="shared" si="588"/>
        <v>2.4249999999999998</v>
      </c>
      <c r="CK207" s="217"/>
      <c r="CL207" s="217">
        <f t="shared" si="530"/>
        <v>67.899999999999991</v>
      </c>
      <c r="CM207" s="541">
        <f t="shared" si="531"/>
        <v>19</v>
      </c>
      <c r="CN207" s="443">
        <f t="shared" si="532"/>
        <v>28.4</v>
      </c>
      <c r="CO207" s="443">
        <f t="shared" si="533"/>
        <v>47.4</v>
      </c>
      <c r="CP207" s="443"/>
      <c r="CQ207" s="217">
        <f t="shared" si="534"/>
        <v>0.59915611814345993</v>
      </c>
      <c r="CR207" s="172">
        <f t="shared" si="589"/>
        <v>95.556689708830859</v>
      </c>
      <c r="CS207" s="172">
        <f t="shared" si="535"/>
        <v>67.899999999999991</v>
      </c>
      <c r="CT207" s="217">
        <f t="shared" si="536"/>
        <v>3.4127389181725305</v>
      </c>
      <c r="CU207" s="217">
        <f t="shared" si="537"/>
        <v>28</v>
      </c>
      <c r="CV207" s="217"/>
      <c r="CW207" s="172">
        <f t="shared" si="538"/>
        <v>46.454301178895079</v>
      </c>
      <c r="CX207" s="536">
        <f t="shared" si="539"/>
        <v>28</v>
      </c>
      <c r="CY207" s="217">
        <f t="shared" si="540"/>
        <v>11.929058561897699</v>
      </c>
      <c r="CZ207" s="217">
        <f t="shared" si="541"/>
        <v>2.9508723811010098</v>
      </c>
      <c r="DA207" s="217">
        <f t="shared" si="542"/>
        <v>1.9741751845394078</v>
      </c>
      <c r="DB207" s="197">
        <f t="shared" si="543"/>
        <v>350</v>
      </c>
      <c r="DC207" s="443">
        <f t="shared" si="544"/>
        <v>203.04372428329376</v>
      </c>
      <c r="DE207" s="217">
        <f t="shared" si="545"/>
        <v>6.9203442217177731</v>
      </c>
      <c r="DF207" s="173">
        <f t="shared" si="546"/>
        <v>1.1452682338758289</v>
      </c>
      <c r="DG207" s="173">
        <f t="shared" si="547"/>
        <v>1.3869888208084145</v>
      </c>
      <c r="DH207" s="173"/>
      <c r="DI207" s="173">
        <f t="shared" si="548"/>
        <v>0.55164319248826299</v>
      </c>
      <c r="DJ207" s="545">
        <f t="shared" si="549"/>
        <v>2637.5744680851062</v>
      </c>
      <c r="DK207" s="528">
        <f t="shared" si="550"/>
        <v>0.3217918622848201</v>
      </c>
      <c r="DM207" s="173">
        <f t="shared" si="551"/>
        <v>9.15054767739902</v>
      </c>
      <c r="DN207" s="173">
        <f t="shared" si="552"/>
        <v>11.929058561897699</v>
      </c>
      <c r="DO207" s="173">
        <f t="shared" si="553"/>
        <v>7.5672038730106417</v>
      </c>
      <c r="DQ207" s="545">
        <f t="shared" si="554"/>
        <v>2425</v>
      </c>
      <c r="DR207" s="460">
        <f t="shared" si="555"/>
        <v>203.04372428329376</v>
      </c>
      <c r="DT207">
        <f t="shared" si="590"/>
        <v>2425</v>
      </c>
      <c r="DU207">
        <f t="shared" si="591"/>
        <v>203.04372428329376</v>
      </c>
      <c r="DW207" s="5">
        <f t="shared" si="556"/>
        <v>4.9250475656404173</v>
      </c>
      <c r="DX207" s="5">
        <f t="shared" si="557"/>
        <v>2.9508723811010098</v>
      </c>
      <c r="DY207" s="5">
        <f t="shared" si="558"/>
        <v>1.9741751845394075</v>
      </c>
      <c r="DZ207" s="5"/>
      <c r="EA207" s="173">
        <f t="shared" si="559"/>
        <v>0.59915611814345993</v>
      </c>
      <c r="EB207" s="173">
        <f t="shared" si="560"/>
        <v>67.899999999999991</v>
      </c>
      <c r="EC207" s="173">
        <f t="shared" si="561"/>
        <v>2.3908450704225346</v>
      </c>
      <c r="ED207" s="173">
        <f t="shared" si="562"/>
        <v>28.400000000000006</v>
      </c>
      <c r="EE207" s="460">
        <f t="shared" si="563"/>
        <v>25.556662586321242</v>
      </c>
      <c r="EF207" s="5">
        <f t="shared" si="564"/>
        <v>5.0393419184295389</v>
      </c>
      <c r="EH207" s="173">
        <f t="shared" si="565"/>
        <v>5.3310842067442881</v>
      </c>
      <c r="EI207" s="173">
        <f t="shared" si="566"/>
        <v>4.3604686947998941</v>
      </c>
      <c r="EK207" s="528">
        <f t="shared" si="567"/>
        <v>0.34104550583278054</v>
      </c>
      <c r="EL207" s="528">
        <f t="shared" si="568"/>
        <v>2.1813617021276599</v>
      </c>
      <c r="EM207" s="528">
        <f t="shared" si="569"/>
        <v>2.3350028292578786E-2</v>
      </c>
      <c r="EN207" s="528">
        <f t="shared" si="570"/>
        <v>0.22467383010058603</v>
      </c>
      <c r="EO207">
        <f t="shared" si="571"/>
        <v>8.5500000000000003E-3</v>
      </c>
      <c r="EP207" s="460">
        <f t="shared" si="572"/>
        <v>31.900028292578785</v>
      </c>
      <c r="EQ207" s="460"/>
      <c r="ER207" s="460">
        <f t="shared" si="592"/>
        <v>2778.981066353605</v>
      </c>
      <c r="ES207" s="528">
        <f t="shared" si="573"/>
        <v>1.6974999999999998</v>
      </c>
      <c r="EV207" s="460">
        <f t="shared" si="494"/>
        <v>1697.4999999999998</v>
      </c>
      <c r="EW207" s="528">
        <f t="shared" si="574"/>
        <v>0.39788642347157727</v>
      </c>
      <c r="EX207" s="528">
        <f t="shared" si="575"/>
        <v>0.26619162133661844</v>
      </c>
      <c r="EY207" s="528">
        <f t="shared" si="576"/>
        <v>14.436414989687025</v>
      </c>
      <c r="EZ207" s="528"/>
      <c r="FA207" s="528">
        <f t="shared" si="577"/>
        <v>2.8893617021276592</v>
      </c>
      <c r="FB207" s="460">
        <f t="shared" si="578"/>
        <v>17989.854736622881</v>
      </c>
      <c r="FC207" s="173">
        <f t="shared" si="579"/>
        <v>22.466335802976484</v>
      </c>
      <c r="FD207" s="5">
        <f t="shared" si="580"/>
        <v>67.899999999999991</v>
      </c>
      <c r="FE207" s="173">
        <f t="shared" si="581"/>
        <v>0.75138600449663806</v>
      </c>
      <c r="FF207" s="5">
        <f t="shared" si="582"/>
        <v>75.138600449663812</v>
      </c>
      <c r="FI207" s="562">
        <f t="shared" si="583"/>
        <v>-50</v>
      </c>
      <c r="FJ207">
        <f t="shared" si="584"/>
        <v>-50</v>
      </c>
      <c r="FL207">
        <f t="shared" si="585"/>
        <v>0.40084388185654007</v>
      </c>
    </row>
    <row r="208" spans="5:168">
      <c r="E208" s="170">
        <v>98</v>
      </c>
      <c r="F208" s="217">
        <f>IF(PLOT_TYPE=1, E208/100*Iout_max, min_I*EXP(N208*rr/100))</f>
        <v>2.4500000000000002</v>
      </c>
      <c r="G208" s="217"/>
      <c r="H208" s="217">
        <f>F208*Vout</f>
        <v>68.600000000000009</v>
      </c>
      <c r="I208" s="541">
        <f t="shared" si="496"/>
        <v>18.836999058762498</v>
      </c>
      <c r="J208" s="172">
        <f t="shared" si="497"/>
        <v>28.487769737589421</v>
      </c>
      <c r="K208" s="172">
        <f t="shared" si="498"/>
        <v>47.324768796351918</v>
      </c>
      <c r="L208" s="443"/>
      <c r="M208" s="217">
        <f t="shared" si="499"/>
        <v>0.60194470327943173</v>
      </c>
      <c r="N208" s="172">
        <f>M208*I208*(Isw_max+VIN_min/Lmag*ILIM_delay)*0.5*Efficiency</f>
        <v>95.177832536612414</v>
      </c>
      <c r="O208" s="172">
        <f t="shared" si="598"/>
        <v>68.600000000000009</v>
      </c>
      <c r="P208" s="217">
        <f>N208/Vout</f>
        <v>3.3992083048790147</v>
      </c>
      <c r="Q208" s="217">
        <f t="shared" si="502"/>
        <v>28</v>
      </c>
      <c r="R208" s="217"/>
      <c r="S208" s="172">
        <f t="shared" si="503"/>
        <v>45.398945375138673</v>
      </c>
      <c r="T208" s="536">
        <f>MIN(Vout, S208)</f>
        <v>28</v>
      </c>
      <c r="U208" s="217">
        <f t="shared" si="505"/>
        <v>12.309847502016192</v>
      </c>
      <c r="V208" s="217">
        <f>L*U208/I208*1000000</f>
        <v>3.0714172187932882</v>
      </c>
      <c r="W208" s="217">
        <f t="shared" si="507"/>
        <v>2.0309165579618931</v>
      </c>
      <c r="X208" s="197">
        <f t="shared" si="508"/>
        <v>350</v>
      </c>
      <c r="Y208" s="443">
        <f t="shared" si="509"/>
        <v>188.59619973074584</v>
      </c>
      <c r="AA208" s="217">
        <f t="shared" si="510"/>
        <v>6.8931187965657399</v>
      </c>
      <c r="AB208" s="173">
        <f>L*AA208/J208*1000000</f>
        <v>1.1372479714026362</v>
      </c>
      <c r="AC208" s="173">
        <f>0.5*AB208*AA208*Nps*X208/1000</f>
        <v>1.3718574394055596</v>
      </c>
      <c r="AD208" s="173"/>
      <c r="AE208" s="173">
        <f t="shared" si="513"/>
        <v>0.54994360074437854</v>
      </c>
      <c r="AF208" s="545">
        <f>MAX(12000,F208/(0.5*AE208/1000000*Isw_min*Nps))/1000</f>
        <v>2673.0013732504117</v>
      </c>
      <c r="AG208" s="528">
        <f t="shared" si="515"/>
        <v>0.32080043376755413</v>
      </c>
      <c r="AI208" s="173">
        <f t="shared" si="516"/>
        <v>9.2117960492183091</v>
      </c>
      <c r="AJ208" s="173">
        <f>MAX(IF(F208&gt;AC208,U208,AI208),Isw_min)</f>
        <v>12.309847502016192</v>
      </c>
      <c r="AK208" s="173">
        <f>IF(F208&gt;AG208, (AJ208-Isw_min)/1.08*0.8+1.2, AF208*0.2/350+1)</f>
        <v>7.8492697545798951</v>
      </c>
      <c r="AM208" s="545">
        <f t="shared" si="519"/>
        <v>2450</v>
      </c>
      <c r="AN208" s="460">
        <f t="shared" si="520"/>
        <v>188.59619973074584</v>
      </c>
      <c r="AP208">
        <f t="shared" si="521"/>
        <v>2450</v>
      </c>
      <c r="AQ208">
        <f t="shared" si="522"/>
        <v>188.59619973074584</v>
      </c>
      <c r="AS208" s="5">
        <f t="shared" si="599"/>
        <v>5.302333776755181</v>
      </c>
      <c r="AT208" s="5">
        <f t="shared" si="523"/>
        <v>3.0714172187932882</v>
      </c>
      <c r="AU208" s="5">
        <f t="shared" si="477"/>
        <v>2.2309165579618928</v>
      </c>
      <c r="AV208" s="5"/>
      <c r="AW208" s="173">
        <f t="shared" si="478"/>
        <v>0.57925761525199082</v>
      </c>
      <c r="AX208" s="173">
        <f t="shared" si="595"/>
        <v>67.159297579474767</v>
      </c>
      <c r="AY208" s="173">
        <f t="shared" si="596"/>
        <v>2.5896372969413082</v>
      </c>
      <c r="AZ208" s="173">
        <f t="shared" si="600"/>
        <v>25.933862498350042</v>
      </c>
      <c r="BA208" s="460">
        <f t="shared" si="593"/>
        <v>26.874900664441274</v>
      </c>
      <c r="BB208" s="5">
        <f t="shared" si="594"/>
        <v>5.8032020386645513</v>
      </c>
      <c r="BD208" s="173">
        <f t="shared" si="601"/>
        <v>5.4091362557908278</v>
      </c>
      <c r="BE208" s="173">
        <f t="shared" si="597"/>
        <v>4.6099920615174543</v>
      </c>
      <c r="BG208" s="528">
        <f t="shared" si="479"/>
        <v>0.35110506040452982</v>
      </c>
      <c r="BH208" s="528">
        <f t="shared" si="524"/>
        <v>2.0051043530056334</v>
      </c>
      <c r="BI208" s="528">
        <f t="shared" si="480"/>
        <v>2.1688562969035773E-2</v>
      </c>
      <c r="BJ208" s="528">
        <f t="shared" si="481"/>
        <v>0.20802530813646272</v>
      </c>
      <c r="BK208">
        <f t="shared" si="482"/>
        <v>8.4766495764431234E-3</v>
      </c>
      <c r="BL208" s="460">
        <f t="shared" si="587"/>
        <v>30.165212545478894</v>
      </c>
      <c r="BM208" s="528">
        <f t="shared" si="525"/>
        <v>2.9010457585334479</v>
      </c>
      <c r="BN208" s="460">
        <f t="shared" si="526"/>
        <v>2901.045758533448</v>
      </c>
      <c r="BO208" s="528">
        <f t="shared" si="483"/>
        <v>1.7150000000000001</v>
      </c>
      <c r="BR208" s="460">
        <f t="shared" si="484"/>
        <v>1715</v>
      </c>
      <c r="BS208" s="528">
        <f t="shared" si="485"/>
        <v>0.40962257047195144</v>
      </c>
      <c r="BT208" s="528">
        <f t="shared" si="486"/>
        <v>0.29752837530155529</v>
      </c>
      <c r="BU208" s="528">
        <f t="shared" si="487"/>
        <v>12.984763072474891</v>
      </c>
      <c r="BV208" s="528"/>
      <c r="BW208" s="528">
        <f t="shared" si="488"/>
        <v>2.8578424501904163</v>
      </c>
      <c r="BX208" s="460">
        <f t="shared" si="489"/>
        <v>16549.756468438816</v>
      </c>
      <c r="BY208" s="173">
        <f t="shared" si="490"/>
        <v>20.859156402530921</v>
      </c>
      <c r="BZ208" s="5">
        <f t="shared" si="491"/>
        <v>68.600000000000009</v>
      </c>
      <c r="CA208" s="173">
        <f t="shared" si="492"/>
        <v>0.7668303923114036</v>
      </c>
      <c r="CB208" s="5">
        <f t="shared" si="493"/>
        <v>76.683039231140356</v>
      </c>
      <c r="CE208" s="562">
        <f t="shared" si="527"/>
        <v>-50</v>
      </c>
      <c r="CF208">
        <f t="shared" si="528"/>
        <v>-50</v>
      </c>
      <c r="CG208" s="173">
        <f t="shared" si="529"/>
        <v>0.39079528937925462</v>
      </c>
      <c r="CI208" s="170">
        <v>98</v>
      </c>
      <c r="CJ208" s="217">
        <f t="shared" si="588"/>
        <v>2.4500000000000002</v>
      </c>
      <c r="CK208" s="217"/>
      <c r="CL208" s="217">
        <f t="shared" si="530"/>
        <v>68.600000000000009</v>
      </c>
      <c r="CM208" s="541">
        <f t="shared" si="531"/>
        <v>19</v>
      </c>
      <c r="CN208" s="443">
        <f t="shared" si="532"/>
        <v>28.4</v>
      </c>
      <c r="CO208" s="443">
        <f t="shared" si="533"/>
        <v>47.4</v>
      </c>
      <c r="CP208" s="443"/>
      <c r="CQ208" s="217">
        <f t="shared" si="534"/>
        <v>0.59915611814345993</v>
      </c>
      <c r="CR208" s="172">
        <f t="shared" si="589"/>
        <v>95.556689708830859</v>
      </c>
      <c r="CS208" s="172">
        <f t="shared" si="535"/>
        <v>68.600000000000009</v>
      </c>
      <c r="CT208" s="217">
        <f t="shared" si="536"/>
        <v>3.4127389181725305</v>
      </c>
      <c r="CU208" s="217">
        <f t="shared" si="537"/>
        <v>28</v>
      </c>
      <c r="CV208" s="217"/>
      <c r="CW208" s="172">
        <f t="shared" si="538"/>
        <v>45.790386741239935</v>
      </c>
      <c r="CX208" s="536">
        <f t="shared" si="539"/>
        <v>28</v>
      </c>
      <c r="CY208" s="217">
        <f t="shared" si="540"/>
        <v>12.052038547071906</v>
      </c>
      <c r="CZ208" s="217">
        <f t="shared" si="541"/>
        <v>2.9812937458546291</v>
      </c>
      <c r="DA208" s="217">
        <f t="shared" si="542"/>
        <v>1.9945275060295058</v>
      </c>
      <c r="DB208" s="197">
        <f t="shared" si="543"/>
        <v>350</v>
      </c>
      <c r="DC208" s="443">
        <f t="shared" si="544"/>
        <v>200.97184954570903</v>
      </c>
      <c r="DE208" s="217">
        <f t="shared" si="545"/>
        <v>6.9203442217177731</v>
      </c>
      <c r="DF208" s="173">
        <f t="shared" si="546"/>
        <v>1.1452682338758289</v>
      </c>
      <c r="DG208" s="173">
        <f t="shared" si="547"/>
        <v>1.3869888208084145</v>
      </c>
      <c r="DH208" s="173"/>
      <c r="DI208" s="173">
        <f t="shared" si="548"/>
        <v>0.55164319248826299</v>
      </c>
      <c r="DJ208" s="545">
        <f t="shared" si="549"/>
        <v>2664.7659574468084</v>
      </c>
      <c r="DK208" s="528">
        <f t="shared" si="550"/>
        <v>0.3217918622848201</v>
      </c>
      <c r="DM208" s="173">
        <f t="shared" si="551"/>
        <v>9.1975945051329084</v>
      </c>
      <c r="DN208" s="173">
        <f t="shared" si="552"/>
        <v>12.052038547071906</v>
      </c>
      <c r="DO208" s="173">
        <f t="shared" si="553"/>
        <v>7.6583001583248675</v>
      </c>
      <c r="DQ208" s="545">
        <f t="shared" si="554"/>
        <v>2450</v>
      </c>
      <c r="DR208" s="460">
        <f t="shared" si="555"/>
        <v>200.97184954570903</v>
      </c>
      <c r="DT208">
        <f t="shared" si="590"/>
        <v>2450</v>
      </c>
      <c r="DU208">
        <f t="shared" si="591"/>
        <v>200.97184954570903</v>
      </c>
      <c r="DW208" s="5">
        <f t="shared" si="556"/>
        <v>4.9758212518841347</v>
      </c>
      <c r="DX208" s="5">
        <f t="shared" si="557"/>
        <v>2.9812937458546291</v>
      </c>
      <c r="DY208" s="5">
        <f t="shared" si="558"/>
        <v>1.9945275060295056</v>
      </c>
      <c r="DZ208" s="5"/>
      <c r="EA208" s="173">
        <f t="shared" si="559"/>
        <v>0.59915611814345993</v>
      </c>
      <c r="EB208" s="173">
        <f t="shared" si="560"/>
        <v>68.599999999999994</v>
      </c>
      <c r="EC208" s="173">
        <f t="shared" si="561"/>
        <v>2.415492957746479</v>
      </c>
      <c r="ED208" s="173">
        <f t="shared" si="562"/>
        <v>28.399999999999995</v>
      </c>
      <c r="EE208" s="460">
        <f t="shared" si="563"/>
        <v>26.086320276228008</v>
      </c>
      <c r="EF208" s="5">
        <f t="shared" si="564"/>
        <v>5.1437814629181995</v>
      </c>
      <c r="EH208" s="173">
        <f t="shared" si="565"/>
        <v>5.3860438377416529</v>
      </c>
      <c r="EI208" s="173">
        <f t="shared" si="566"/>
        <v>4.4054219803132968</v>
      </c>
      <c r="EK208" s="528">
        <f t="shared" si="567"/>
        <v>0.34811361866489798</v>
      </c>
      <c r="EL208" s="528">
        <f t="shared" si="568"/>
        <v>2.1813617021276599</v>
      </c>
      <c r="EM208" s="528">
        <f t="shared" si="569"/>
        <v>2.3111762697756541E-2</v>
      </c>
      <c r="EN208" s="528">
        <f t="shared" si="570"/>
        <v>0.22238123999751871</v>
      </c>
      <c r="EO208">
        <f t="shared" si="571"/>
        <v>8.5500000000000003E-3</v>
      </c>
      <c r="EP208" s="460">
        <f t="shared" si="572"/>
        <v>31.661762697756544</v>
      </c>
      <c r="EQ208" s="460"/>
      <c r="ER208" s="460">
        <f t="shared" si="592"/>
        <v>2783.5183234878332</v>
      </c>
      <c r="ES208" s="528">
        <f t="shared" si="573"/>
        <v>1.7150000000000001</v>
      </c>
      <c r="EV208" s="460">
        <f t="shared" si="494"/>
        <v>1715</v>
      </c>
      <c r="EW208" s="528">
        <f t="shared" si="574"/>
        <v>0.40613255510904767</v>
      </c>
      <c r="EX208" s="528">
        <f t="shared" si="575"/>
        <v>0.27170839954478543</v>
      </c>
      <c r="EY208" s="528">
        <f t="shared" si="576"/>
        <v>14.436414989687002</v>
      </c>
      <c r="EZ208" s="528"/>
      <c r="FA208" s="528">
        <f t="shared" si="577"/>
        <v>2.9191489361702128</v>
      </c>
      <c r="FB208" s="460">
        <f t="shared" si="578"/>
        <v>18033.404880511047</v>
      </c>
      <c r="FC208" s="173">
        <f t="shared" si="579"/>
        <v>22.531923203998883</v>
      </c>
      <c r="FD208" s="5">
        <f t="shared" si="580"/>
        <v>68.600000000000009</v>
      </c>
      <c r="FE208" s="173">
        <f t="shared" si="581"/>
        <v>0.75275488092618048</v>
      </c>
      <c r="FF208" s="5">
        <f t="shared" si="582"/>
        <v>75.275488092618048</v>
      </c>
      <c r="FI208" s="562">
        <f t="shared" si="583"/>
        <v>-50</v>
      </c>
      <c r="FJ208">
        <f t="shared" si="584"/>
        <v>-50</v>
      </c>
      <c r="FL208">
        <f t="shared" si="585"/>
        <v>0.40084388185654007</v>
      </c>
    </row>
    <row r="209" spans="5:168">
      <c r="E209" s="170">
        <v>99</v>
      </c>
      <c r="F209" s="217">
        <f>IF(PLOT_TYPE=1, E209/100*Iout_max, min_I*EXP(N209*rr/100))</f>
        <v>2.4750000000000001</v>
      </c>
      <c r="G209" s="217"/>
      <c r="H209" s="217">
        <f>F209*Vout</f>
        <v>69.3</v>
      </c>
      <c r="I209" s="541">
        <f t="shared" si="496"/>
        <v>18.835378540846005</v>
      </c>
      <c r="J209" s="172">
        <f t="shared" si="497"/>
        <v>28.488642324159841</v>
      </c>
      <c r="K209" s="172">
        <f t="shared" si="498"/>
        <v>47.324020865005849</v>
      </c>
      <c r="L209" s="443"/>
      <c r="M209" s="217">
        <f t="shared" si="499"/>
        <v>0.60197266136026006</v>
      </c>
      <c r="N209" s="172">
        <f>M209*I209*(Isw_max+VIN_min/Lmag*ILIM_delay)*0.5*Efficiency</f>
        <v>95.174064808930822</v>
      </c>
      <c r="O209" s="172">
        <f t="shared" si="598"/>
        <v>69.3</v>
      </c>
      <c r="P209" s="217">
        <f>N209/Vout</f>
        <v>3.3990737431761007</v>
      </c>
      <c r="Q209" s="217">
        <f t="shared" si="502"/>
        <v>28</v>
      </c>
      <c r="R209" s="217"/>
      <c r="S209" s="172">
        <f t="shared" si="503"/>
        <v>44.75027277267781</v>
      </c>
      <c r="T209" s="536">
        <f>MIN(Vout, S209)</f>
        <v>28</v>
      </c>
      <c r="U209" s="217">
        <f t="shared" si="505"/>
        <v>12.4363316774085</v>
      </c>
      <c r="V209" s="217">
        <f>L*U209/I209*1000000</f>
        <v>3.1032431207615425</v>
      </c>
      <c r="W209" s="217">
        <f t="shared" si="507"/>
        <v>2.0517214621439046</v>
      </c>
      <c r="X209" s="197">
        <f t="shared" si="508"/>
        <v>350</v>
      </c>
      <c r="Y209" s="443">
        <f t="shared" si="509"/>
        <v>186.74259829696749</v>
      </c>
      <c r="AA209" s="217">
        <f t="shared" si="510"/>
        <v>6.8928458478642636</v>
      </c>
      <c r="AB209" s="173">
        <f>L*AA209/J209*1000000</f>
        <v>1.1371681077791564</v>
      </c>
      <c r="AC209" s="173">
        <f>0.5*AB209*AA209*Nps*X209/1000</f>
        <v>1.3717067822551134</v>
      </c>
      <c r="AD209" s="173"/>
      <c r="AE209" s="173">
        <f t="shared" si="513"/>
        <v>0.54992675636846766</v>
      </c>
      <c r="AF209" s="545">
        <f>MAX(12000,F209/(0.5*AE209/1000000*Isw_min*Nps))/1000</f>
        <v>2700.3596075347259</v>
      </c>
      <c r="AG209" s="528">
        <f t="shared" si="515"/>
        <v>0.32079060788160618</v>
      </c>
      <c r="AI209" s="173">
        <f t="shared" si="516"/>
        <v>9.2588175177232674</v>
      </c>
      <c r="AJ209" s="173">
        <f>MAX(IF(F209&gt;AC209,U209,AI209),Isw_min)</f>
        <v>12.4363316774085</v>
      </c>
      <c r="AK209" s="173">
        <f>IF(F209&gt;AG209, (AJ209-Isw_min)/1.08*0.8+1.2, AF209*0.2/350+1)</f>
        <v>7.9429617363519744</v>
      </c>
      <c r="AM209" s="545">
        <f t="shared" si="519"/>
        <v>2475</v>
      </c>
      <c r="AN209" s="460">
        <f t="shared" si="520"/>
        <v>186.74259829696749</v>
      </c>
      <c r="AP209">
        <f t="shared" si="521"/>
        <v>2475</v>
      </c>
      <c r="AQ209">
        <f t="shared" si="522"/>
        <v>186.74259829696749</v>
      </c>
      <c r="AS209" s="5">
        <f t="shared" si="599"/>
        <v>5.3549645829054473</v>
      </c>
      <c r="AT209" s="5">
        <f t="shared" si="523"/>
        <v>3.1032431207615425</v>
      </c>
      <c r="AU209" s="5">
        <f t="shared" si="477"/>
        <v>2.2517214621439048</v>
      </c>
      <c r="AV209" s="5"/>
      <c r="AW209" s="173">
        <f t="shared" si="478"/>
        <v>0.57950768351820048</v>
      </c>
      <c r="AX209" s="173">
        <f t="shared" si="595"/>
        <v>67.872813444548925</v>
      </c>
      <c r="AY209" s="173">
        <f t="shared" si="596"/>
        <v>2.6146909577847417</v>
      </c>
      <c r="AZ209" s="173">
        <f t="shared" si="600"/>
        <v>25.958254547242234</v>
      </c>
      <c r="BA209" s="460">
        <f t="shared" si="593"/>
        <v>27.430452585302923</v>
      </c>
      <c r="BB209" s="5">
        <f t="shared" si="594"/>
        <v>5.9175987429407391</v>
      </c>
      <c r="BD209" s="173">
        <f t="shared" si="601"/>
        <v>5.4658947916649536</v>
      </c>
      <c r="BE209" s="173">
        <f t="shared" si="597"/>
        <v>4.6559756575059508</v>
      </c>
      <c r="BG209" s="528">
        <f t="shared" si="479"/>
        <v>0.35851207048260081</v>
      </c>
      <c r="BH209" s="528">
        <f t="shared" si="524"/>
        <v>2.0057656955152896</v>
      </c>
      <c r="BI209" s="528">
        <f t="shared" si="480"/>
        <v>2.1475398804151263E-2</v>
      </c>
      <c r="BJ209" s="528">
        <f t="shared" si="481"/>
        <v>0.20597423871029058</v>
      </c>
      <c r="BK209">
        <f t="shared" si="482"/>
        <v>8.475920343380702E-3</v>
      </c>
      <c r="BL209" s="460">
        <f t="shared" si="587"/>
        <v>29.951319147531962</v>
      </c>
      <c r="BM209" s="528">
        <f t="shared" si="525"/>
        <v>2.91539041425257</v>
      </c>
      <c r="BN209" s="460">
        <f t="shared" si="526"/>
        <v>2915.3904142525698</v>
      </c>
      <c r="BO209" s="528">
        <f t="shared" si="483"/>
        <v>1.7324999999999999</v>
      </c>
      <c r="BR209" s="460">
        <f t="shared" si="484"/>
        <v>1732.5</v>
      </c>
      <c r="BS209" s="528">
        <f t="shared" si="485"/>
        <v>0.41826408222970096</v>
      </c>
      <c r="BT209" s="528">
        <f t="shared" si="486"/>
        <v>0.30349353052603156</v>
      </c>
      <c r="BU209" s="528">
        <f t="shared" si="487"/>
        <v>12.995986087741356</v>
      </c>
      <c r="BV209" s="528"/>
      <c r="BW209" s="528">
        <f t="shared" si="488"/>
        <v>2.888204827427614</v>
      </c>
      <c r="BX209" s="460">
        <f t="shared" si="489"/>
        <v>16605.948527924702</v>
      </c>
      <c r="BY209" s="173">
        <f t="shared" si="490"/>
        <v>20.938651851780413</v>
      </c>
      <c r="BZ209" s="5">
        <f t="shared" si="491"/>
        <v>69.3</v>
      </c>
      <c r="CA209" s="173">
        <f t="shared" si="492"/>
        <v>0.76796360071765302</v>
      </c>
      <c r="CB209" s="5">
        <f t="shared" si="493"/>
        <v>76.796360071765307</v>
      </c>
      <c r="CE209" s="562">
        <f t="shared" si="527"/>
        <v>-50</v>
      </c>
      <c r="CF209">
        <f t="shared" si="528"/>
        <v>-50</v>
      </c>
      <c r="CG209" s="173">
        <f t="shared" si="529"/>
        <v>0.39089679031336849</v>
      </c>
      <c r="CI209" s="170">
        <v>99</v>
      </c>
      <c r="CJ209" s="217">
        <f t="shared" si="588"/>
        <v>2.4750000000000001</v>
      </c>
      <c r="CK209" s="217"/>
      <c r="CL209" s="217">
        <f t="shared" si="530"/>
        <v>69.3</v>
      </c>
      <c r="CM209" s="541">
        <f t="shared" si="531"/>
        <v>19</v>
      </c>
      <c r="CN209" s="443">
        <f t="shared" si="532"/>
        <v>28.4</v>
      </c>
      <c r="CO209" s="443">
        <f t="shared" si="533"/>
        <v>47.4</v>
      </c>
      <c r="CP209" s="443"/>
      <c r="CQ209" s="217">
        <f t="shared" si="534"/>
        <v>0.59915611814345993</v>
      </c>
      <c r="CR209" s="172">
        <f t="shared" si="589"/>
        <v>95.556689708830859</v>
      </c>
      <c r="CS209" s="172">
        <f t="shared" si="535"/>
        <v>69.3</v>
      </c>
      <c r="CT209" s="217">
        <f t="shared" si="536"/>
        <v>3.4127389181725305</v>
      </c>
      <c r="CU209" s="217">
        <f t="shared" si="537"/>
        <v>28</v>
      </c>
      <c r="CV209" s="217"/>
      <c r="CW209" s="172">
        <f t="shared" si="538"/>
        <v>45.139950408639855</v>
      </c>
      <c r="CX209" s="536">
        <f t="shared" si="539"/>
        <v>28</v>
      </c>
      <c r="CY209" s="217">
        <f t="shared" si="540"/>
        <v>12.175018532246106</v>
      </c>
      <c r="CZ209" s="217">
        <f t="shared" si="541"/>
        <v>3.0117151106082471</v>
      </c>
      <c r="DA209" s="217">
        <f t="shared" si="542"/>
        <v>2.0148798275196018</v>
      </c>
      <c r="DB209" s="197">
        <f t="shared" si="543"/>
        <v>350</v>
      </c>
      <c r="DC209" s="443">
        <f t="shared" si="544"/>
        <v>198.94183086342923</v>
      </c>
      <c r="DE209" s="217">
        <f t="shared" si="545"/>
        <v>6.9203442217177731</v>
      </c>
      <c r="DF209" s="173">
        <f t="shared" si="546"/>
        <v>1.1452682338758289</v>
      </c>
      <c r="DG209" s="173">
        <f t="shared" si="547"/>
        <v>1.3869888208084145</v>
      </c>
      <c r="DH209" s="173"/>
      <c r="DI209" s="173">
        <f t="shared" si="548"/>
        <v>0.55164319248826299</v>
      </c>
      <c r="DJ209" s="545">
        <f t="shared" si="549"/>
        <v>2691.9574468085107</v>
      </c>
      <c r="DK209" s="528">
        <f t="shared" si="550"/>
        <v>0.3217918622848201</v>
      </c>
      <c r="DM209" s="173">
        <f t="shared" si="551"/>
        <v>9.2444019041444498</v>
      </c>
      <c r="DN209" s="173">
        <f t="shared" si="552"/>
        <v>12.175018532246106</v>
      </c>
      <c r="DO209" s="173">
        <f t="shared" si="553"/>
        <v>7.7493964436390899</v>
      </c>
      <c r="DQ209" s="545">
        <f t="shared" si="554"/>
        <v>2475</v>
      </c>
      <c r="DR209" s="460">
        <f t="shared" si="555"/>
        <v>198.94183086342923</v>
      </c>
      <c r="DT209">
        <f t="shared" si="590"/>
        <v>2475</v>
      </c>
      <c r="DU209">
        <f t="shared" si="591"/>
        <v>198.94183086342923</v>
      </c>
      <c r="DW209" s="5">
        <f t="shared" si="556"/>
        <v>5.0265949381278485</v>
      </c>
      <c r="DX209" s="5">
        <f t="shared" si="557"/>
        <v>3.0117151106082471</v>
      </c>
      <c r="DY209" s="5">
        <f t="shared" si="558"/>
        <v>2.0148798275196014</v>
      </c>
      <c r="DZ209" s="5"/>
      <c r="EA209" s="173">
        <f t="shared" si="559"/>
        <v>0.59915611814346004</v>
      </c>
      <c r="EB209" s="173">
        <f t="shared" si="560"/>
        <v>69.299999999999983</v>
      </c>
      <c r="EC209" s="173">
        <f t="shared" si="561"/>
        <v>2.4401408450704216</v>
      </c>
      <c r="ED209" s="173">
        <f t="shared" si="562"/>
        <v>28.400000000000002</v>
      </c>
      <c r="EE209" s="460">
        <f t="shared" si="563"/>
        <v>26.6214103526979</v>
      </c>
      <c r="EF209" s="5">
        <f t="shared" si="564"/>
        <v>5.2492921822221188</v>
      </c>
      <c r="EH209" s="173">
        <f t="shared" si="565"/>
        <v>5.4410034687390167</v>
      </c>
      <c r="EI209" s="173">
        <f t="shared" si="566"/>
        <v>4.4503752658266968</v>
      </c>
      <c r="EK209" s="528">
        <f t="shared" si="567"/>
        <v>0.35525422496196019</v>
      </c>
      <c r="EL209" s="528">
        <f t="shared" si="568"/>
        <v>2.1813617021276599</v>
      </c>
      <c r="EM209" s="528">
        <f t="shared" si="569"/>
        <v>2.2878310549294362E-2</v>
      </c>
      <c r="EN209" s="528">
        <f t="shared" si="570"/>
        <v>0.22013496484602874</v>
      </c>
      <c r="EO209">
        <f t="shared" si="571"/>
        <v>8.5500000000000003E-3</v>
      </c>
      <c r="EP209" s="460">
        <f t="shared" si="572"/>
        <v>31.428310549294363</v>
      </c>
      <c r="EQ209" s="460"/>
      <c r="ER209" s="460">
        <f t="shared" si="592"/>
        <v>2788.1792024849428</v>
      </c>
      <c r="ES209" s="528">
        <f t="shared" si="573"/>
        <v>1.7324999999999999</v>
      </c>
      <c r="EV209" s="460">
        <f t="shared" si="494"/>
        <v>1732.5</v>
      </c>
      <c r="EW209" s="528">
        <f t="shared" si="574"/>
        <v>0.41446326245562021</v>
      </c>
      <c r="EX209" s="528">
        <f t="shared" si="575"/>
        <v>0.2772817600935486</v>
      </c>
      <c r="EY209" s="528">
        <f t="shared" si="576"/>
        <v>14.436414989687012</v>
      </c>
      <c r="EZ209" s="528"/>
      <c r="FA209" s="528">
        <f t="shared" si="577"/>
        <v>2.9489361702127663</v>
      </c>
      <c r="FB209" s="460">
        <f t="shared" si="578"/>
        <v>18077.096182448946</v>
      </c>
      <c r="FC209" s="173">
        <f t="shared" si="579"/>
        <v>22.59777538493389</v>
      </c>
      <c r="FD209" s="5">
        <f t="shared" si="580"/>
        <v>69.3</v>
      </c>
      <c r="FE209" s="173">
        <f t="shared" si="581"/>
        <v>0.75409877670837877</v>
      </c>
      <c r="FF209" s="5">
        <f t="shared" si="582"/>
        <v>75.409877670837872</v>
      </c>
      <c r="FI209" s="562">
        <f t="shared" si="583"/>
        <v>-50</v>
      </c>
      <c r="FJ209">
        <f t="shared" si="584"/>
        <v>-50</v>
      </c>
      <c r="FL209">
        <f t="shared" si="585"/>
        <v>0.40084388185653996</v>
      </c>
    </row>
    <row r="210" spans="5:168">
      <c r="E210" s="170">
        <v>100</v>
      </c>
      <c r="F210" s="217">
        <f>IF(PLOT_TYPE=1, E210/100*Iout_max, min_I*EXP(N210*rr/100))</f>
        <v>2.5</v>
      </c>
      <c r="G210" s="217"/>
      <c r="H210" s="217">
        <f>F210*Vout</f>
        <v>70</v>
      </c>
      <c r="I210" s="541">
        <f t="shared" si="496"/>
        <v>18.833758001174431</v>
      </c>
      <c r="J210" s="172">
        <f t="shared" si="497"/>
        <v>28.489514922444535</v>
      </c>
      <c r="K210" s="172">
        <f t="shared" si="498"/>
        <v>47.323272923618966</v>
      </c>
      <c r="L210" s="443"/>
      <c r="M210" s="217">
        <f>(Vout+Vfwd1+F210/FL210*Rdcr_sec)*Nps/((Vout+Vfwd1+F210/FL210*Rdcr_sec)*Nps+I210)</f>
        <v>0.60200062060095361</v>
      </c>
      <c r="N210" s="172">
        <f>M210*I210*(Isw_max+VIN_min/Lmag*ILIM_delay)*0.5*Efficiency</f>
        <v>95.170296394075947</v>
      </c>
      <c r="O210" s="172">
        <f t="shared" si="598"/>
        <v>70</v>
      </c>
      <c r="P210" s="217">
        <f>N210/Vout</f>
        <v>3.3989391569312839</v>
      </c>
      <c r="Q210" s="217">
        <f t="shared" si="502"/>
        <v>28</v>
      </c>
      <c r="R210" s="217"/>
      <c r="S210" s="172">
        <f t="shared" si="503"/>
        <v>44.114671745219582</v>
      </c>
      <c r="T210" s="536">
        <f>MIN(Vout, S210)</f>
        <v>28</v>
      </c>
      <c r="U210" s="217">
        <f>MIN(2*(Vout+Vfwd1+F210/FL210*Rdcr_sec)*F210/(I210*M210), Isw_max)</f>
        <v>12.562833659564191</v>
      </c>
      <c r="V210" s="217">
        <f>L*U210/I210*1000000</f>
        <v>3.1350789468713449</v>
      </c>
      <c r="W210" s="217">
        <f t="shared" si="507"/>
        <v>2.0725280286690588</v>
      </c>
      <c r="X210" s="197">
        <f t="shared" si="508"/>
        <v>350</v>
      </c>
      <c r="Y210" s="443">
        <f>MIN(1/(V210+W210+0.2)*1000, 350)</f>
        <v>184.92468193845872</v>
      </c>
      <c r="AA210" s="217">
        <f t="shared" si="510"/>
        <v>6.8925728505409953</v>
      </c>
      <c r="AB210" s="173">
        <f>L*AA210/J210*1000000</f>
        <v>1.1370882405590297</v>
      </c>
      <c r="AC210" s="173">
        <f>0.5*AB210*AA210*Nps*X210/1000</f>
        <v>1.3715561187206542</v>
      </c>
      <c r="AD210" s="173"/>
      <c r="AE210" s="173">
        <f t="shared" si="513"/>
        <v>0.54990991279827628</v>
      </c>
      <c r="AF210" s="545">
        <f>MAX(12000,F210/(0.5*AE210/1000000*Isw_min*Nps))/1000</f>
        <v>2727.719513851072</v>
      </c>
      <c r="AG210" s="528">
        <f t="shared" si="515"/>
        <v>0.32078078246566122</v>
      </c>
      <c r="AI210" s="173">
        <f t="shared" si="516"/>
        <v>9.3056042405093944</v>
      </c>
      <c r="AJ210" s="173">
        <f>MAX(IF(F210&gt;AC210,U210,AI210),Isw_min)</f>
        <v>12.562833659564191</v>
      </c>
      <c r="AK210" s="173">
        <f>IF(F210&gt;AG210, (AJ210-Isw_min)/1.08*0.8+1.2, AF210*0.2/350+1)</f>
        <v>8.0366669083191518</v>
      </c>
      <c r="AM210" s="545">
        <f t="shared" si="519"/>
        <v>2500</v>
      </c>
      <c r="AN210" s="460">
        <f t="shared" si="520"/>
        <v>184.92468193845872</v>
      </c>
      <c r="AP210">
        <f t="shared" si="521"/>
        <v>2500</v>
      </c>
      <c r="AQ210">
        <f t="shared" si="522"/>
        <v>184.92468193845872</v>
      </c>
      <c r="AS210" s="5">
        <f t="shared" si="599"/>
        <v>5.4076069755404044</v>
      </c>
      <c r="AT210" s="5">
        <f t="shared" si="523"/>
        <v>3.1350789468713449</v>
      </c>
      <c r="AU210" s="5">
        <f t="shared" si="477"/>
        <v>2.2725280286690595</v>
      </c>
      <c r="AV210" s="5"/>
      <c r="AW210" s="173">
        <f t="shared" si="478"/>
        <v>0.57975347710214153</v>
      </c>
      <c r="AX210" s="173">
        <f t="shared" si="595"/>
        <v>68.586392675838141</v>
      </c>
      <c r="AY210" s="173">
        <f t="shared" si="596"/>
        <v>2.6397435815880148</v>
      </c>
      <c r="AZ210" s="173">
        <f t="shared" si="600"/>
        <v>25.982217801085813</v>
      </c>
      <c r="BA210" s="460">
        <f t="shared" si="593"/>
        <v>27.991776311351295</v>
      </c>
      <c r="BB210" s="5">
        <f t="shared" si="594"/>
        <v>6.0331242137850278</v>
      </c>
      <c r="BD210" s="173">
        <f t="shared" si="601"/>
        <v>5.5226645295875709</v>
      </c>
      <c r="BE210" s="173">
        <f t="shared" si="597"/>
        <v>4.7019612588360369</v>
      </c>
      <c r="BG210" s="528">
        <f t="shared" si="479"/>
        <v>0.36599788207637646</v>
      </c>
      <c r="BH210" s="528">
        <f t="shared" si="524"/>
        <v>2.0064120706160633</v>
      </c>
      <c r="BI210" s="528">
        <f t="shared" si="480"/>
        <v>2.1266338422922755E-2</v>
      </c>
      <c r="BJ210" s="528">
        <f t="shared" si="481"/>
        <v>0.20396265739891659</v>
      </c>
      <c r="BK210">
        <f t="shared" si="482"/>
        <v>8.4751911005284935E-3</v>
      </c>
      <c r="BL210" s="460">
        <f t="shared" si="587"/>
        <v>29.741529523451252</v>
      </c>
      <c r="BM210" s="528">
        <f t="shared" si="525"/>
        <v>2.9299869138339742</v>
      </c>
      <c r="BN210" s="460">
        <f t="shared" si="526"/>
        <v>2929.9869138339741</v>
      </c>
      <c r="BO210" s="528">
        <f t="shared" si="483"/>
        <v>1.75</v>
      </c>
      <c r="BR210" s="460">
        <f t="shared" si="484"/>
        <v>1750</v>
      </c>
      <c r="BS210" s="528">
        <f t="shared" si="485"/>
        <v>0.42699752908910588</v>
      </c>
      <c r="BT210" s="528">
        <f t="shared" si="486"/>
        <v>0.3095181555143296</v>
      </c>
      <c r="BU210" s="528">
        <f t="shared" si="487"/>
        <v>13.006972708596463</v>
      </c>
      <c r="BV210" s="528"/>
      <c r="BW210" s="528">
        <f t="shared" si="488"/>
        <v>2.9185699010994961</v>
      </c>
      <c r="BX210" s="460">
        <f t="shared" si="489"/>
        <v>16662.058294299397</v>
      </c>
      <c r="BY210" s="173">
        <f t="shared" si="490"/>
        <v>21.018172433914202</v>
      </c>
      <c r="BZ210" s="5">
        <f t="shared" si="491"/>
        <v>70</v>
      </c>
      <c r="CA210" s="173">
        <f t="shared" si="492"/>
        <v>0.76907718676536907</v>
      </c>
      <c r="CB210" s="5">
        <f t="shared" si="493"/>
        <v>76.907718676536902</v>
      </c>
      <c r="CE210" s="562">
        <f t="shared" si="527"/>
        <v>-50</v>
      </c>
      <c r="CF210">
        <f t="shared" si="528"/>
        <v>-50</v>
      </c>
      <c r="CG210" s="173">
        <f t="shared" si="529"/>
        <v>0.39099626122880032</v>
      </c>
      <c r="CI210" s="170">
        <v>100</v>
      </c>
      <c r="CJ210" s="217">
        <f t="shared" si="588"/>
        <v>2.5</v>
      </c>
      <c r="CK210" s="217"/>
      <c r="CL210" s="217">
        <f t="shared" si="530"/>
        <v>70</v>
      </c>
      <c r="CM210" s="541">
        <f t="shared" si="531"/>
        <v>19</v>
      </c>
      <c r="CN210" s="443">
        <f t="shared" si="532"/>
        <v>28.4</v>
      </c>
      <c r="CO210" s="443">
        <f t="shared" si="533"/>
        <v>47.4</v>
      </c>
      <c r="CP210" s="443"/>
      <c r="CQ210" s="217">
        <f t="shared" si="534"/>
        <v>0.59915611814345993</v>
      </c>
      <c r="CR210" s="172">
        <f t="shared" si="589"/>
        <v>95.556689708830859</v>
      </c>
      <c r="CS210" s="172">
        <f t="shared" si="535"/>
        <v>70</v>
      </c>
      <c r="CT210" s="217">
        <f t="shared" si="536"/>
        <v>3.4127389181725305</v>
      </c>
      <c r="CU210" s="217">
        <f t="shared" si="537"/>
        <v>28</v>
      </c>
      <c r="CV210" s="217"/>
      <c r="CW210" s="172">
        <f t="shared" si="538"/>
        <v>44.50258860870796</v>
      </c>
      <c r="CX210" s="536">
        <f t="shared" si="539"/>
        <v>28</v>
      </c>
      <c r="CY210" s="217">
        <f t="shared" si="540"/>
        <v>12.297998517420311</v>
      </c>
      <c r="CZ210" s="217">
        <f t="shared" si="541"/>
        <v>3.0421364753618665</v>
      </c>
      <c r="DA210" s="217">
        <f t="shared" si="542"/>
        <v>2.0352321490096994</v>
      </c>
      <c r="DB210" s="197">
        <f t="shared" si="543"/>
        <v>350</v>
      </c>
      <c r="DC210" s="443">
        <f t="shared" si="544"/>
        <v>196.95241255479488</v>
      </c>
      <c r="DE210" s="217">
        <f t="shared" si="545"/>
        <v>6.9203442217177731</v>
      </c>
      <c r="DF210" s="173">
        <f t="shared" si="546"/>
        <v>1.1452682338758289</v>
      </c>
      <c r="DG210" s="173">
        <f t="shared" si="547"/>
        <v>1.3869888208084145</v>
      </c>
      <c r="DH210" s="173"/>
      <c r="DI210" s="173">
        <f t="shared" si="548"/>
        <v>0.55164319248826299</v>
      </c>
      <c r="DJ210" s="545">
        <f t="shared" si="549"/>
        <v>2719.1489361702124</v>
      </c>
      <c r="DK210" s="528">
        <f t="shared" si="550"/>
        <v>0.3217918622848201</v>
      </c>
      <c r="DM210" s="173">
        <f t="shared" si="551"/>
        <v>9.2909734931194397</v>
      </c>
      <c r="DN210" s="173">
        <f t="shared" si="552"/>
        <v>12.297998517420311</v>
      </c>
      <c r="DO210" s="173">
        <f t="shared" si="553"/>
        <v>7.8404927289533166</v>
      </c>
      <c r="DQ210" s="545">
        <f t="shared" si="554"/>
        <v>2500</v>
      </c>
      <c r="DR210" s="460">
        <f t="shared" si="555"/>
        <v>196.95241255479488</v>
      </c>
      <c r="DT210">
        <f>IF(CL210&gt;CR210, " ",DQ210)</f>
        <v>2500</v>
      </c>
      <c r="DU210">
        <f>IF(CL210&gt;CR210, " ",DR210)</f>
        <v>196.95241255479488</v>
      </c>
      <c r="DW210" s="5">
        <f t="shared" si="556"/>
        <v>5.0773686243715659</v>
      </c>
      <c r="DX210" s="5">
        <f t="shared" si="557"/>
        <v>3.0421364753618665</v>
      </c>
      <c r="DY210" s="5">
        <f t="shared" si="558"/>
        <v>2.0352321490096994</v>
      </c>
      <c r="DZ210" s="5"/>
      <c r="EA210" s="173">
        <f t="shared" si="559"/>
        <v>0.59915611814345993</v>
      </c>
      <c r="EB210" s="173">
        <f t="shared" si="560"/>
        <v>69.999999999999986</v>
      </c>
      <c r="EC210" s="173">
        <f t="shared" si="561"/>
        <v>2.464788732394366</v>
      </c>
      <c r="ED210" s="173">
        <f t="shared" si="562"/>
        <v>28.399999999999995</v>
      </c>
      <c r="EE210" s="460">
        <f t="shared" si="563"/>
        <v>27.16193281573095</v>
      </c>
      <c r="EF210" s="5">
        <f t="shared" si="564"/>
        <v>5.3558740763413137</v>
      </c>
      <c r="EH210" s="173">
        <f t="shared" si="565"/>
        <v>5.4959630997363798</v>
      </c>
      <c r="EI210" s="173">
        <f t="shared" si="566"/>
        <v>4.4953285513400978</v>
      </c>
      <c r="EK210" s="528">
        <f t="shared" si="567"/>
        <v>0.36246732472396698</v>
      </c>
      <c r="EL210" s="528">
        <f t="shared" si="568"/>
        <v>2.1813617021276599</v>
      </c>
      <c r="EM210" s="528">
        <f t="shared" si="569"/>
        <v>2.2649527443801411E-2</v>
      </c>
      <c r="EN210" s="528">
        <f t="shared" si="570"/>
        <v>0.21793361519756835</v>
      </c>
      <c r="EO210">
        <f t="shared" si="571"/>
        <v>8.5500000000000003E-3</v>
      </c>
      <c r="EP210" s="460">
        <f t="shared" si="572"/>
        <v>31.199527443801411</v>
      </c>
      <c r="EQ210" s="460"/>
      <c r="ER210" s="460">
        <f t="shared" si="592"/>
        <v>2792.9621694929965</v>
      </c>
      <c r="ES210" s="528">
        <f t="shared" si="573"/>
        <v>1.75</v>
      </c>
      <c r="EV210" s="460">
        <f t="shared" si="494"/>
        <v>1750</v>
      </c>
      <c r="EW210" s="528">
        <f t="shared" si="574"/>
        <v>0.42287854551129478</v>
      </c>
      <c r="EX210" s="528">
        <f t="shared" si="575"/>
        <v>0.28291170298290846</v>
      </c>
      <c r="EY210" s="528">
        <f t="shared" si="576"/>
        <v>14.436414989687002</v>
      </c>
      <c r="EZ210" s="528"/>
      <c r="FA210" s="528">
        <f t="shared" si="577"/>
        <v>2.978723404255319</v>
      </c>
      <c r="FB210" s="460">
        <f t="shared" si="578"/>
        <v>18120.928642436524</v>
      </c>
      <c r="FC210" s="173">
        <f t="shared" si="579"/>
        <v>22.663890811929519</v>
      </c>
      <c r="FD210" s="5">
        <f t="shared" si="580"/>
        <v>70</v>
      </c>
      <c r="FE210" s="173">
        <f t="shared" si="581"/>
        <v>0.75541831221043676</v>
      </c>
      <c r="FF210" s="5">
        <f t="shared" si="582"/>
        <v>75.54183122104368</v>
      </c>
      <c r="FI210" s="562">
        <f t="shared" si="583"/>
        <v>-50</v>
      </c>
      <c r="FJ210">
        <f t="shared" si="584"/>
        <v>-50</v>
      </c>
      <c r="FL210">
        <f t="shared" si="585"/>
        <v>0.40084388185654007</v>
      </c>
    </row>
    <row r="211" spans="5:168" ht="13">
      <c r="E211" s="170"/>
      <c r="F211" s="217"/>
      <c r="G211" s="217"/>
      <c r="H211" s="217"/>
      <c r="I211" s="541"/>
      <c r="J211" s="443"/>
      <c r="K211" s="443"/>
      <c r="L211" s="443"/>
      <c r="M211" s="217"/>
      <c r="N211" s="172"/>
      <c r="O211" s="172"/>
      <c r="P211" s="217"/>
      <c r="Q211" s="217"/>
      <c r="R211" s="217"/>
      <c r="S211" s="172"/>
      <c r="T211" s="536"/>
      <c r="U211" s="217"/>
      <c r="V211" s="217"/>
      <c r="W211" s="217"/>
      <c r="X211" s="197"/>
      <c r="Y211" s="443"/>
      <c r="AA211" s="217"/>
      <c r="AB211" s="173"/>
      <c r="AC211" s="173"/>
      <c r="AD211" s="173"/>
      <c r="AE211" s="173"/>
      <c r="AF211" s="545"/>
      <c r="AG211" s="528"/>
      <c r="AI211" s="173"/>
      <c r="AJ211" s="173"/>
      <c r="AK211" s="173"/>
      <c r="AM211" s="545"/>
      <c r="AN211" s="460"/>
      <c r="AS211" s="5"/>
      <c r="AT211" s="5"/>
      <c r="AU211" s="5"/>
      <c r="AV211" s="5"/>
      <c r="AW211" s="173"/>
      <c r="AX211" s="173"/>
      <c r="BA211" s="460"/>
      <c r="BB211" s="5"/>
      <c r="CE211" s="562"/>
      <c r="CF211" s="530">
        <f>MAX(CF110:CF210)</f>
        <v>-50</v>
      </c>
      <c r="CH211" s="76"/>
      <c r="CI211" s="170"/>
      <c r="CJ211" s="217"/>
      <c r="CK211" s="217"/>
      <c r="CL211" s="217"/>
      <c r="CM211" s="541"/>
      <c r="CN211" s="443"/>
      <c r="CO211" s="443"/>
      <c r="CP211" s="443"/>
      <c r="CQ211" s="217"/>
      <c r="CR211" s="172"/>
      <c r="CS211" s="172"/>
      <c r="CT211" s="217"/>
      <c r="CU211" s="217"/>
      <c r="CV211" s="217"/>
      <c r="CW211" s="172"/>
      <c r="CX211" s="536"/>
      <c r="CY211" s="217"/>
      <c r="CZ211" s="217"/>
      <c r="DA211" s="217"/>
      <c r="DB211" s="197"/>
      <c r="DC211" s="443"/>
      <c r="DE211" s="217"/>
      <c r="DF211" s="173"/>
      <c r="DG211" s="173"/>
      <c r="DH211" s="173"/>
      <c r="DI211" s="173"/>
      <c r="DJ211" s="545"/>
      <c r="DK211" s="528"/>
      <c r="DM211" s="173"/>
      <c r="DN211" s="173"/>
      <c r="DO211" s="173"/>
      <c r="DQ211" s="545"/>
      <c r="DR211" s="460"/>
      <c r="DW211" s="5"/>
      <c r="DX211" s="5"/>
      <c r="DY211" s="5"/>
      <c r="DZ211" s="5"/>
      <c r="EA211" s="173"/>
      <c r="EB211" s="173"/>
      <c r="EE211" s="460"/>
      <c r="EF211" s="5"/>
      <c r="FI211" s="562"/>
    </row>
    <row r="212" spans="5:168">
      <c r="E212" s="170">
        <v>110</v>
      </c>
      <c r="F212" s="217">
        <f>Ioutmax_Vinmin</f>
        <v>3.4127378624637865</v>
      </c>
      <c r="G212" s="217"/>
      <c r="H212" s="217">
        <f>F212*Vout</f>
        <v>95.556660148986026</v>
      </c>
      <c r="I212" s="541">
        <f>VIN_min-F212*(Rdcr_pri+RON/1000)/CG212/Nps</f>
        <v>18.773063854510529</v>
      </c>
      <c r="J212" s="172">
        <f>(T212+Vfwd1+F212/CG212*Rdcr_sec)*Nps</f>
        <v>27.860521678060561</v>
      </c>
      <c r="K212" s="172">
        <f>(Vout+Vfwd1+F212/CG212*Rdcr_sec)*Nps++I212</f>
        <v>47.295260240543321</v>
      </c>
      <c r="L212" s="443"/>
      <c r="M212" s="217">
        <f>(Vout+Vfwd1+F212/FL212*Rdcr_sec)*Nps/((Vout+Vfwd1+F212/FL212*Rdcr_sec)*Nps+I212)</f>
        <v>0.60304150059311612</v>
      </c>
      <c r="N212" s="172">
        <f>M212*I212*(Isw_max+VIN_min/Lmag*ILIM_delay)*0.5*Efficiency</f>
        <v>95.027620638549877</v>
      </c>
      <c r="O212" s="172">
        <f>T212*F212</f>
        <v>93.298537820454513</v>
      </c>
      <c r="P212" s="217">
        <f>N212/Vout</f>
        <v>3.3938435942339242</v>
      </c>
      <c r="Q212" s="217">
        <f>MIN(Vout,N212/F212)</f>
        <v>27.844980912171728</v>
      </c>
      <c r="R212" s="217"/>
      <c r="S212" s="172">
        <f>(SQRT(Isw_max^2*Nps^2*I212^2+4*Isw_max*F212/Efficiency*(Nps^2*Vfwd1*I212-Nps*I212^2)+4*(F212/Efficiency)^2*Nps^2*Vfwd1^2+8*(F212/Efficiency)^2*Nps*Vfwd1*I212+4*(F212/Efficiency)^2*I212^2)-2*F212/Efficiency*I212-2*F212/Efficiency*Nps*Vfwd1+Isw_max*Nps*I212)/(4*F212/Efficiency*Nps)</f>
        <v>27.338325292027768</v>
      </c>
      <c r="T212" s="536">
        <f>MIN(Vout, S212)</f>
        <v>27.338325292027768</v>
      </c>
      <c r="U212" s="217">
        <f>MIN(2*(Vout+Vfwd1+F212/FL212*Rdcr_sec)*F212/(I212*M212), Isw_max)</f>
        <v>16.666666666666668</v>
      </c>
      <c r="V212" s="217">
        <f>L*U212/I212*1000000</f>
        <v>4.1726451228424546</v>
      </c>
      <c r="W212" s="217">
        <f>L*U212/J212*1000000</f>
        <v>2.8116247871632214</v>
      </c>
      <c r="X212" s="197">
        <f>IF(1/((350000*L)*(1/I212+1/J212))&gt;Isw_min, 350, 0.001/((Isw_min*L)*(1/I212+1/J212)))</f>
        <v>350</v>
      </c>
      <c r="Y212" s="443">
        <f>MIN(1/(V212+W212+0.2)*1000, 350)</f>
        <v>139.19298864415993</v>
      </c>
      <c r="AA212" s="217">
        <f>1/((X212*1000*L)*(1/I212+1/J212))</f>
        <v>6.8180422911245877</v>
      </c>
      <c r="AB212" s="173">
        <f>L*AA212/J212*1000000</f>
        <v>1.1501866023391807</v>
      </c>
      <c r="AC212" s="173">
        <f>0.5*AB212*AA212*Nps*X212/1000</f>
        <v>1.3723536570508506</v>
      </c>
      <c r="AD212" s="173"/>
      <c r="AE212" s="173">
        <f>L*Isw_min/J212*1000000</f>
        <v>0.56232495743264421</v>
      </c>
      <c r="AF212" s="545">
        <f>MAX(12000,F212/(0.5*AE212/1000000*Isw_min*Nps))/1000</f>
        <v>3641.3868714399723</v>
      </c>
      <c r="AG212" s="528">
        <f>0.5*AE212/1000000*Isw_min*Nps*X212*1000</f>
        <v>0.32802289183570915</v>
      </c>
      <c r="AI212" s="173">
        <f>SQRT(F212/(0.5*L/J212*Fsw_DCM*Nps))</f>
        <v>10.75172466259793</v>
      </c>
      <c r="AJ212" s="173">
        <f>MAX(IF(F212&gt;AC212,U212,AI212),Isw_min)</f>
        <v>16.666666666666668</v>
      </c>
      <c r="AK212" s="173">
        <f>IF(F212&gt;AG212, (AJ212-Isw_min)/1.08*0.8+1.2, AF212*0.2/350+1)</f>
        <v>11.076543209876544</v>
      </c>
      <c r="AM212" s="545">
        <f>F212*1000</f>
        <v>3412.7378624637863</v>
      </c>
      <c r="AN212" s="460">
        <f>IF(F212&gt;AG212, Y212, AF212)</f>
        <v>139.19298864415993</v>
      </c>
      <c r="AP212" t="str">
        <f>IF(H212&gt;N212, "",AM212)</f>
        <v/>
      </c>
      <c r="AQ212" t="str">
        <f>IF(H212&gt;N212, "",AN212)</f>
        <v/>
      </c>
      <c r="AS212" s="5">
        <f>1/AN212*1000</f>
        <v>7.1842699100056766</v>
      </c>
      <c r="AT212" s="5">
        <f>L*AJ212/I212*1000000</f>
        <v>4.1726451228424546</v>
      </c>
      <c r="AU212" s="5">
        <f>AS212-AT212</f>
        <v>3.011624787163222</v>
      </c>
      <c r="AV212" s="5"/>
      <c r="AW212" s="173">
        <f>AT212/AS212</f>
        <v>0.58080294519991904</v>
      </c>
      <c r="AX212" s="173">
        <f>0.5*L*AJ212^2*AN212*1000</f>
        <v>90.862089809382184</v>
      </c>
      <c r="AY212" s="173">
        <f>AJ212*Nps/2*(1-AW212)</f>
        <v>3.493308790000675</v>
      </c>
      <c r="AZ212" s="173">
        <f>AX212/AY212</f>
        <v>26.010322954978346</v>
      </c>
      <c r="BA212" s="460">
        <f>F212*AT212/Vout_ripple*1000</f>
        <v>50.857657133390362</v>
      </c>
      <c r="BB212" s="5">
        <f>H212/Efficiency/I212*AU212/Vinripple1</f>
        <v>10.949609523878484</v>
      </c>
      <c r="BD212" s="173">
        <f>AJ212*SQRT(AW212/3)</f>
        <v>7.3333519267435943</v>
      </c>
      <c r="BE212" s="173">
        <f>AJ212*Nps*SQRT((1-AW212)/3)</f>
        <v>6.2301317892255392</v>
      </c>
      <c r="BG212" s="528">
        <f>Rdson*BD212^2</f>
        <v>0.64533660577768781</v>
      </c>
      <c r="BH212" s="528">
        <f>0.5*K212*AJ212*AN212*1000*Tfall</f>
        <v>2.0023804557319629</v>
      </c>
      <c r="BI212" s="528">
        <f>Qg*Vdd*AN212*1000</f>
        <v>1.6007193694078391E-2</v>
      </c>
      <c r="BJ212" s="528">
        <f>0.5*(Coss+Csw)*K212^2*AN212*1000</f>
        <v>0.15334119153387057</v>
      </c>
      <c r="BK212">
        <f>I212*IQ</f>
        <v>8.4478787345297381E-3</v>
      </c>
      <c r="BL212" s="460">
        <f>(BK212+BI212)*1000</f>
        <v>24.45507242860813</v>
      </c>
      <c r="BM212" s="528">
        <f>(BH212+BI212*0+BJ212+BK212*0+BG212*(1+RdsonTC*(Ta-25)))/(1-BG212*RdsonTC*ThetaJA)</f>
        <v>3.5141272111982773</v>
      </c>
      <c r="BN212" s="460">
        <f>BM212*1000</f>
        <v>3514.1272111982771</v>
      </c>
      <c r="BO212" s="528">
        <f>Vfwd2*F212</f>
        <v>2.3889165037246505</v>
      </c>
      <c r="BR212" s="460">
        <f>SUM(BO212:BQ212)*1000</f>
        <v>2388.9165037246503</v>
      </c>
      <c r="BS212" s="528">
        <f>Rdcr_pri*BD212^2</f>
        <v>0.7528927067406358</v>
      </c>
      <c r="BT212" s="528">
        <f>Rdcr_sec*BE212^2</f>
        <v>0.5434035895556607</v>
      </c>
      <c r="BU212" s="528">
        <f>AJ212^2.5*AN212^2.5*k_core</f>
        <v>12.960903521019867</v>
      </c>
      <c r="BV212" s="528"/>
      <c r="BW212" s="528">
        <f>0.5*Lleak*0.000000001*AJ212^2*AN212*1000</f>
        <v>3.8664719067822211</v>
      </c>
      <c r="BX212" s="460">
        <f>SUM(BS212:BW212)*1000</f>
        <v>18123.671724098382</v>
      </c>
      <c r="BY212" s="173">
        <f>SUM(BG212:BK212,BO212:BQ212,BS212:BW212)</f>
        <v>23.338101553295164</v>
      </c>
      <c r="BZ212" s="5">
        <f>MIN(H212,O212)</f>
        <v>93.298537820454513</v>
      </c>
      <c r="CA212" s="173">
        <f>BZ212/(BZ212+BY212)</f>
        <v>0.79990763041010893</v>
      </c>
      <c r="CB212" s="5">
        <f>CA212*100</f>
        <v>79.990763041010894</v>
      </c>
      <c r="CE212" s="562">
        <f>IF(ABS(F212-Ioutmax_Vinmin)&lt;Iout/200, AN212, -50)</f>
        <v>139.19298864415993</v>
      </c>
      <c r="CF212">
        <f>IF(ABS(F212-Ioutmax_Vinmin)&lt;Iout/200, N212*CA212, -50)</f>
        <v>76.013318848493199</v>
      </c>
      <c r="CG212" s="173">
        <f>MIN(SQRT(2*DU212*1000*Ls1_*CL212)/CU212,1-EA212-0.00000005*DU212*1000)</f>
        <v>0.39099626122880032</v>
      </c>
      <c r="CI212" s="170">
        <v>100</v>
      </c>
      <c r="CJ212" s="217">
        <f>IF(PLOT_TYPE=1, CI212/100*Iout_max, min_I*EXP(CR212*rr/100))</f>
        <v>2.5</v>
      </c>
      <c r="CK212" s="217"/>
      <c r="CL212" s="217">
        <f>CJ212*Vout</f>
        <v>70</v>
      </c>
      <c r="CM212" s="541">
        <f t="shared" si="531"/>
        <v>19</v>
      </c>
      <c r="CN212" s="443">
        <f>(CX212+Vfwd1)*Nps</f>
        <v>28.4</v>
      </c>
      <c r="CO212" s="443">
        <f>(Vout+Vfwd1)*Nps+CM212</f>
        <v>47.4</v>
      </c>
      <c r="CP212" s="443"/>
      <c r="CQ212" s="217">
        <f>(Vout+Vfwd1)*Nps/((Vout+Vfwd1)*Nps+CM212)</f>
        <v>0.59915611814345993</v>
      </c>
      <c r="CR212" s="172">
        <f>CQ212*CM212*(Isw_max+VIN_min/Lmag*ILIM_delay)*0.5*Efficiency</f>
        <v>95.556689708830859</v>
      </c>
      <c r="CS212" s="172">
        <f>CX212*CJ212</f>
        <v>70</v>
      </c>
      <c r="CT212" s="217">
        <f>CR212/Vout</f>
        <v>3.4127389181725305</v>
      </c>
      <c r="CU212" s="217">
        <f>MIN(Vout,CR212/CJ212)</f>
        <v>28</v>
      </c>
      <c r="CV212" s="217"/>
      <c r="CW212" s="172">
        <f>(SQRT(Isw_max^2*Nps^2*CM212^2+4*Isw_max*CJ212/Efficiency*(Nps^2*Vfwd1*CM212-Nps*CM212^2)+4*(CJ212/Efficiency)^2*Nps^2*Vfwd1^2+8*(CJ212/Efficiency)^2*Nps*Vfwd1*CM212+4*(CJ212/Efficiency)^2*CM212^2)-2*CJ212/Efficiency*CM212-2*CJ212/Efficiency*Nps*Vfwd1+Isw_max*Nps*CM212)/(4*CJ212/Efficiency*Nps)</f>
        <v>44.50258860870796</v>
      </c>
      <c r="CX212" s="536">
        <f>MIN(Vout, CW212)</f>
        <v>28</v>
      </c>
      <c r="CY212" s="217">
        <f>MIN(2*Vout*CJ212/(Efficiency*CM212*CQ212), Isw_max)</f>
        <v>12.297998517420311</v>
      </c>
      <c r="CZ212" s="217">
        <f>L*CY212/CM212*1000000</f>
        <v>3.0421364753618665</v>
      </c>
      <c r="DA212" s="217">
        <f>L*CY212/CN212*1000000</f>
        <v>2.0352321490096994</v>
      </c>
      <c r="DB212" s="197">
        <f>IF(1/((350000*L)*(1/CM212+1/CN212))&gt;Isw_min, 350, 0.001/((Isw_min*L)*(1/CM212+1/CN212)))</f>
        <v>350</v>
      </c>
      <c r="DC212" s="443">
        <f>MIN(1/(CZ212+DA212)*1000, 350)</f>
        <v>196.95241255479488</v>
      </c>
      <c r="DE212" s="217">
        <f>1/((DB212*1000*L)*(1/CM212+1/CN212))</f>
        <v>6.9203442217177731</v>
      </c>
      <c r="DF212" s="173">
        <f>L*DE212/CN212*1000000</f>
        <v>1.1452682338758289</v>
      </c>
      <c r="DG212" s="173">
        <f>0.5*DF212*DE212*Nps*DB212/1000</f>
        <v>1.3869888208084145</v>
      </c>
      <c r="DH212" s="173"/>
      <c r="DI212" s="173">
        <f>L*Isw_min/CN212*1000000</f>
        <v>0.55164319248826299</v>
      </c>
      <c r="DJ212" s="545">
        <f>MAX(12000,CJ212/(0.5*DI212/1000000*Isw_min*Nps))/1000</f>
        <v>2719.1489361702124</v>
      </c>
      <c r="DK212" s="528">
        <f>0.5*DI212/1000000*Isw_min*Nps*DB212*1000</f>
        <v>0.3217918622848201</v>
      </c>
      <c r="DM212" s="173">
        <f>SQRT(CJ212/(0.5*L/CN212*Fsw_DCM*Nps))</f>
        <v>9.2909734931194397</v>
      </c>
      <c r="DN212" s="173">
        <f>MAX(IF(CJ212&gt;DG212,CY212,DM212),Isw_min)</f>
        <v>12.297998517420311</v>
      </c>
      <c r="DO212" s="173">
        <f>IF(CJ212&gt;DK212, (DN212-Isw_min)/1.08*0.8+1.2, DJ212*0.2/350+1)</f>
        <v>7.8404927289533166</v>
      </c>
      <c r="DQ212" s="545">
        <f>CJ212*1000</f>
        <v>2500</v>
      </c>
      <c r="DR212" s="460">
        <f>IF(CJ212&gt;DK212, DC212, DJ212)</f>
        <v>196.95241255479488</v>
      </c>
      <c r="DT212">
        <f>IF(CL212&gt;CR212, " ",DQ212)</f>
        <v>2500</v>
      </c>
      <c r="DU212">
        <f>IF(CL212&gt;CR212, " ",DR212)</f>
        <v>196.95241255479488</v>
      </c>
      <c r="DW212" s="5">
        <f>1/DR212*1000</f>
        <v>5.0773686243715659</v>
      </c>
      <c r="DX212" s="5">
        <f>L*DN212/CM212*1000000</f>
        <v>3.0421364753618665</v>
      </c>
      <c r="DY212" s="5">
        <f>DW212-DX212</f>
        <v>2.0352321490096994</v>
      </c>
      <c r="DZ212" s="5"/>
      <c r="EA212" s="173">
        <f>DX212/DW212</f>
        <v>0.59915611814345993</v>
      </c>
      <c r="EB212" s="173">
        <f>0.5*L*DN212^2*DR212*1000</f>
        <v>69.999999999999986</v>
      </c>
      <c r="EC212" s="173">
        <f>DN212*Nps/2*(1-EA212)</f>
        <v>2.464788732394366</v>
      </c>
      <c r="ED212" s="173">
        <f>EB212/EC212</f>
        <v>28.399999999999995</v>
      </c>
      <c r="EE212" s="460">
        <f>CJ212*DX212/Vout_ripple*1000</f>
        <v>27.16193281573095</v>
      </c>
      <c r="EF212" s="5">
        <f>CL212/Efficiency/CM212*DY212/Vinripple1</f>
        <v>5.3558740763413137</v>
      </c>
      <c r="EH212" s="173">
        <f>DN212*SQRT(EA212/3)</f>
        <v>5.4959630997363798</v>
      </c>
      <c r="EI212" s="173">
        <f>DN212*Nps*SQRT((1-EA212)/3)</f>
        <v>4.4953285513400978</v>
      </c>
      <c r="EK212" s="528">
        <f>Rdson*EH212^2</f>
        <v>0.36246732472396698</v>
      </c>
      <c r="EL212" s="528">
        <f>0.5*CO212*DN212*DR212*1000*Trise</f>
        <v>2.1813617021276599</v>
      </c>
      <c r="EM212" s="528">
        <f>Qg*Vdd*DR212*1000</f>
        <v>2.2649527443801411E-2</v>
      </c>
      <c r="EN212" s="528">
        <f>0.5*(Coss+Csw)*CO212^2*DR212*1000</f>
        <v>0.21793361519756835</v>
      </c>
      <c r="EO212">
        <f>CM212*IQ</f>
        <v>8.5500000000000003E-3</v>
      </c>
      <c r="EP212" s="460">
        <f>(EO212+EM212)*1000</f>
        <v>31.199527443801411</v>
      </c>
      <c r="EQ212" s="460"/>
      <c r="ER212" s="460">
        <f>SUM(EK212:EO212)*1000</f>
        <v>2792.9621694929965</v>
      </c>
      <c r="ES212" s="528">
        <f>Vfwd2*CJ212</f>
        <v>1.75</v>
      </c>
      <c r="EV212" s="460">
        <f>SUM(ES212:EU212)*1000</f>
        <v>1750</v>
      </c>
      <c r="EW212" s="528">
        <f>Rdcr_pri*EH212^2</f>
        <v>0.42287854551129478</v>
      </c>
      <c r="EX212" s="528">
        <f>Rdcr_sec*EI212^2</f>
        <v>0.28291170298290846</v>
      </c>
      <c r="EY212" s="528">
        <f>DN212^2.5*DR212^2.5*k_core</f>
        <v>14.436414989687002</v>
      </c>
      <c r="EZ212" s="528"/>
      <c r="FA212" s="528">
        <f>0.5*Lleak*0.000000001*DN212^2*DR212*1000</f>
        <v>2.978723404255319</v>
      </c>
      <c r="FB212" s="460">
        <f>SUM(EW212:FA212)*1000</f>
        <v>18120.928642436524</v>
      </c>
      <c r="FC212" s="173">
        <f>SUM(EK212:EO212,ES212:EU212,EW212:FA212)</f>
        <v>22.663890811929519</v>
      </c>
      <c r="FD212" s="5">
        <f>MIN(CL212,CS212)</f>
        <v>70</v>
      </c>
      <c r="FE212" s="173">
        <f>FD212/(FD212+FC212)</f>
        <v>0.75541831221043676</v>
      </c>
      <c r="FF212" s="5">
        <f>FE212*100</f>
        <v>75.54183122104368</v>
      </c>
      <c r="FI212" s="562">
        <f>IF(ABS(CJ212-Ioutmax_Vinmin)&lt;Iout/200, DR212, -50)</f>
        <v>-50</v>
      </c>
      <c r="FJ212">
        <f>IF(ABS(CJ212-Ioutmax_Vinmin)&lt;Iout/200, CR212*FE212, -50)</f>
        <v>-50</v>
      </c>
      <c r="FL212">
        <f>MIN(SQRT(2*L*DR212*1000*CJ212*(CX212+Vfwd1))/(Nps*(CX212+Vfwd1)), 1-EA212)</f>
        <v>0.40084388185654007</v>
      </c>
    </row>
    <row r="213" spans="5:168">
      <c r="H213" s="217"/>
      <c r="I213" s="541"/>
      <c r="J213" s="443"/>
      <c r="K213" s="443"/>
      <c r="L213" s="443"/>
      <c r="M213" s="217"/>
      <c r="N213" s="172"/>
      <c r="O213" s="172"/>
      <c r="P213" s="217"/>
      <c r="Q213" s="217"/>
      <c r="R213" s="217"/>
      <c r="S213" s="172"/>
      <c r="T213" s="172"/>
      <c r="U213" s="217"/>
      <c r="V213" s="217"/>
      <c r="W213" s="217"/>
      <c r="X213" s="197"/>
      <c r="Y213" s="443"/>
      <c r="AA213" s="217"/>
      <c r="AB213" s="173"/>
      <c r="AC213" s="173"/>
      <c r="AD213" s="173"/>
      <c r="AE213" s="173"/>
      <c r="AF213" s="545"/>
      <c r="AI213" s="173"/>
      <c r="AJ213" s="173"/>
      <c r="AK213" s="173"/>
      <c r="AM213" s="545"/>
      <c r="AN213" s="460"/>
      <c r="AS213" s="5"/>
      <c r="AT213" s="5"/>
      <c r="AU213" s="5"/>
      <c r="AV213" s="5"/>
      <c r="AW213" s="173"/>
      <c r="AX213" s="173"/>
      <c r="BA213" s="460"/>
      <c r="BB213" s="5"/>
      <c r="CE213" s="562"/>
      <c r="CL213" s="217"/>
      <c r="CM213" s="541"/>
      <c r="CN213" s="443"/>
      <c r="CO213" s="443"/>
      <c r="CP213" s="443"/>
      <c r="CQ213" s="217"/>
      <c r="CR213" s="172"/>
      <c r="CS213" s="172"/>
      <c r="CT213" s="217"/>
      <c r="CU213" s="217"/>
      <c r="CV213" s="217"/>
      <c r="CW213" s="172"/>
      <c r="CX213" s="172"/>
      <c r="CY213" s="217"/>
      <c r="CZ213" s="217"/>
      <c r="DA213" s="217"/>
      <c r="DB213" s="197"/>
      <c r="DC213" s="443"/>
      <c r="DE213" s="217"/>
      <c r="DF213" s="173"/>
      <c r="DG213" s="173"/>
      <c r="DH213" s="173"/>
      <c r="DI213" s="173"/>
      <c r="DJ213" s="545"/>
      <c r="DM213" s="173"/>
      <c r="DN213" s="173"/>
      <c r="DO213" s="173"/>
      <c r="DQ213" s="545"/>
      <c r="DR213" s="460"/>
      <c r="DW213" s="5"/>
      <c r="DX213" s="5"/>
      <c r="DY213" s="5"/>
      <c r="DZ213" s="5"/>
      <c r="EA213" s="173"/>
      <c r="EB213" s="173"/>
      <c r="EE213" s="460"/>
      <c r="EF213" s="5"/>
      <c r="FI213" s="562"/>
    </row>
    <row r="214" spans="5:168" ht="13">
      <c r="E214" s="445" t="s">
        <v>435</v>
      </c>
      <c r="H214" s="217"/>
      <c r="I214" s="541"/>
      <c r="J214" s="443"/>
      <c r="K214" s="443"/>
      <c r="L214" s="443"/>
      <c r="M214" s="217"/>
      <c r="N214" s="172"/>
      <c r="O214" s="172"/>
      <c r="P214" s="217"/>
      <c r="Q214" s="217"/>
      <c r="R214" s="217"/>
      <c r="S214" s="172"/>
      <c r="T214" s="172"/>
      <c r="U214" s="217"/>
      <c r="V214" s="217"/>
      <c r="W214" s="217"/>
      <c r="X214" s="197"/>
      <c r="Y214" s="443"/>
      <c r="AA214" s="217"/>
      <c r="AB214" s="173"/>
      <c r="AC214" s="173"/>
      <c r="AD214" s="173"/>
      <c r="AE214" s="173"/>
      <c r="AF214" s="545"/>
      <c r="AI214" s="173"/>
      <c r="AJ214" s="173"/>
      <c r="AK214" s="173"/>
      <c r="AM214" s="545"/>
      <c r="AN214" s="460"/>
      <c r="AS214" s="5"/>
      <c r="AT214" s="5"/>
      <c r="AU214" s="5"/>
      <c r="AV214" s="5"/>
      <c r="AW214" s="173"/>
      <c r="AX214" s="173"/>
      <c r="BA214" s="460"/>
      <c r="BB214" s="5"/>
      <c r="CE214" s="562"/>
      <c r="CI214" s="445" t="s">
        <v>435</v>
      </c>
      <c r="CL214" s="217"/>
      <c r="CM214" s="541"/>
      <c r="CN214" s="443"/>
      <c r="CO214" s="443"/>
      <c r="CP214" s="443"/>
      <c r="CQ214" s="217"/>
      <c r="CR214" s="172"/>
      <c r="CS214" s="172"/>
      <c r="CT214" s="217"/>
      <c r="CU214" s="217"/>
      <c r="CV214" s="217"/>
      <c r="CW214" s="172"/>
      <c r="CX214" s="172"/>
      <c r="CY214" s="217"/>
      <c r="CZ214" s="217"/>
      <c r="DA214" s="217"/>
      <c r="DB214" s="197"/>
      <c r="DC214" s="443"/>
      <c r="DE214" s="217"/>
      <c r="DF214" s="173"/>
      <c r="DG214" s="173"/>
      <c r="DH214" s="173"/>
      <c r="DI214" s="173"/>
      <c r="DJ214" s="545"/>
      <c r="DM214" s="173"/>
      <c r="DN214" s="173"/>
      <c r="DO214" s="173"/>
      <c r="DQ214" s="545"/>
      <c r="DR214" s="460"/>
      <c r="DW214" s="5"/>
      <c r="DX214" s="5"/>
      <c r="DY214" s="5"/>
      <c r="DZ214" s="5"/>
      <c r="EA214" s="173"/>
      <c r="EB214" s="173"/>
      <c r="EE214" s="460"/>
      <c r="EF214" s="5"/>
      <c r="FI214" s="562"/>
    </row>
    <row r="215" spans="5:168" ht="45" customHeight="1" thickBot="1">
      <c r="E215" s="241" t="s">
        <v>25</v>
      </c>
      <c r="F215" s="444" t="s">
        <v>194</v>
      </c>
      <c r="G215" s="260"/>
      <c r="H215" s="527" t="s">
        <v>223</v>
      </c>
      <c r="I215" s="242" t="s">
        <v>412</v>
      </c>
      <c r="J215" s="243" t="s">
        <v>418</v>
      </c>
      <c r="K215" s="527" t="s">
        <v>413</v>
      </c>
      <c r="L215" s="527"/>
      <c r="M215" s="244" t="s">
        <v>48</v>
      </c>
      <c r="N215" s="527" t="s">
        <v>402</v>
      </c>
      <c r="O215" s="527" t="s">
        <v>656</v>
      </c>
      <c r="P215" s="527" t="s">
        <v>403</v>
      </c>
      <c r="Q215" s="527" t="s">
        <v>433</v>
      </c>
      <c r="R215" s="527" t="s">
        <v>654</v>
      </c>
      <c r="S215" s="527" t="s">
        <v>657</v>
      </c>
      <c r="T215" s="527" t="s">
        <v>655</v>
      </c>
      <c r="U215" s="527" t="s">
        <v>414</v>
      </c>
      <c r="V215" s="527" t="s">
        <v>466</v>
      </c>
      <c r="W215" s="527" t="s">
        <v>465</v>
      </c>
      <c r="X215" s="546" t="s">
        <v>420</v>
      </c>
      <c r="Y215" s="542" t="s">
        <v>425</v>
      </c>
      <c r="AA215" s="245" t="s">
        <v>417</v>
      </c>
      <c r="AB215" s="245" t="s">
        <v>464</v>
      </c>
      <c r="AC215" s="245" t="s">
        <v>423</v>
      </c>
      <c r="AD215" s="544"/>
      <c r="AE215" s="245" t="s">
        <v>463</v>
      </c>
      <c r="AF215" s="245" t="s">
        <v>681</v>
      </c>
      <c r="AG215" s="245" t="s">
        <v>427</v>
      </c>
      <c r="AH215" s="544"/>
      <c r="AI215" s="245" t="s">
        <v>429</v>
      </c>
      <c r="AJ215" s="547" t="s">
        <v>430</v>
      </c>
      <c r="AK215" s="547" t="s">
        <v>431</v>
      </c>
      <c r="AM215" s="543" t="s">
        <v>275</v>
      </c>
      <c r="AN215" s="543" t="s">
        <v>432</v>
      </c>
      <c r="AP215" s="245" t="s">
        <v>275</v>
      </c>
      <c r="AQ215" s="245" t="s">
        <v>432</v>
      </c>
      <c r="AR215" s="548"/>
      <c r="AS215" s="245" t="s">
        <v>467</v>
      </c>
      <c r="AT215" s="245" t="s">
        <v>461</v>
      </c>
      <c r="AU215" s="245" t="s">
        <v>462</v>
      </c>
      <c r="AV215" s="245" t="s">
        <v>653</v>
      </c>
      <c r="AW215" s="245" t="s">
        <v>48</v>
      </c>
      <c r="AX215" s="548" t="s">
        <v>651</v>
      </c>
      <c r="AY215" s="544" t="s">
        <v>650</v>
      </c>
      <c r="AZ215" s="544" t="s">
        <v>652</v>
      </c>
      <c r="BA215" s="245" t="s">
        <v>481</v>
      </c>
      <c r="BB215" s="245" t="s">
        <v>514</v>
      </c>
      <c r="BC215" s="544"/>
      <c r="BD215" s="557" t="s">
        <v>456</v>
      </c>
      <c r="BE215" s="245" t="s">
        <v>457</v>
      </c>
      <c r="BF215" s="544"/>
      <c r="BG215" s="557" t="s">
        <v>474</v>
      </c>
      <c r="BH215" s="245" t="s">
        <v>475</v>
      </c>
      <c r="BI215" s="245" t="s">
        <v>473</v>
      </c>
      <c r="BJ215" s="245" t="s">
        <v>469</v>
      </c>
      <c r="BK215" s="245" t="s">
        <v>478</v>
      </c>
      <c r="BL215" s="245" t="s">
        <v>777</v>
      </c>
      <c r="BM215" s="245" t="s">
        <v>776</v>
      </c>
      <c r="BN215" s="245" t="s">
        <v>491</v>
      </c>
      <c r="BO215" s="557" t="s">
        <v>476</v>
      </c>
      <c r="BP215" s="245" t="s">
        <v>477</v>
      </c>
      <c r="BQ215" s="245" t="s">
        <v>483</v>
      </c>
      <c r="BR215" s="245" t="s">
        <v>487</v>
      </c>
      <c r="BS215" s="557" t="s">
        <v>458</v>
      </c>
      <c r="BT215" s="245" t="s">
        <v>459</v>
      </c>
      <c r="BU215" s="245" t="s">
        <v>468</v>
      </c>
      <c r="BV215" s="245" t="s">
        <v>666</v>
      </c>
      <c r="BW215" s="245" t="s">
        <v>484</v>
      </c>
      <c r="BX215" s="245" t="s">
        <v>667</v>
      </c>
      <c r="BY215" s="557" t="s">
        <v>482</v>
      </c>
      <c r="BZ215" s="245" t="s">
        <v>223</v>
      </c>
      <c r="CA215" s="245" t="s">
        <v>47</v>
      </c>
      <c r="CB215" s="245" t="s">
        <v>485</v>
      </c>
      <c r="CC215" s="245"/>
      <c r="CE215" s="569" t="s">
        <v>664</v>
      </c>
      <c r="CF215" s="569" t="s">
        <v>665</v>
      </c>
      <c r="CG215" s="781" t="s">
        <v>828</v>
      </c>
      <c r="CI215" s="241" t="s">
        <v>25</v>
      </c>
      <c r="CJ215" s="444" t="s">
        <v>194</v>
      </c>
      <c r="CK215" s="260"/>
      <c r="CL215" s="527" t="s">
        <v>223</v>
      </c>
      <c r="CM215" s="242" t="s">
        <v>412</v>
      </c>
      <c r="CN215" s="243" t="s">
        <v>418</v>
      </c>
      <c r="CO215" s="527" t="s">
        <v>413</v>
      </c>
      <c r="CP215" s="527"/>
      <c r="CQ215" s="244" t="s">
        <v>48</v>
      </c>
      <c r="CR215" s="527" t="s">
        <v>402</v>
      </c>
      <c r="CS215" s="527" t="s">
        <v>656</v>
      </c>
      <c r="CT215" s="527" t="s">
        <v>403</v>
      </c>
      <c r="CU215" s="527" t="s">
        <v>433</v>
      </c>
      <c r="CV215" s="527" t="s">
        <v>654</v>
      </c>
      <c r="CW215" s="527" t="s">
        <v>657</v>
      </c>
      <c r="CX215" s="527" t="s">
        <v>655</v>
      </c>
      <c r="CY215" s="527" t="s">
        <v>414</v>
      </c>
      <c r="CZ215" s="527" t="s">
        <v>466</v>
      </c>
      <c r="DA215" s="527" t="s">
        <v>465</v>
      </c>
      <c r="DB215" s="546" t="s">
        <v>420</v>
      </c>
      <c r="DC215" s="542" t="s">
        <v>425</v>
      </c>
      <c r="DE215" s="245" t="s">
        <v>417</v>
      </c>
      <c r="DF215" s="245" t="s">
        <v>464</v>
      </c>
      <c r="DG215" s="245" t="s">
        <v>423</v>
      </c>
      <c r="DH215" s="544"/>
      <c r="DI215" s="245" t="s">
        <v>463</v>
      </c>
      <c r="DJ215" s="245" t="s">
        <v>681</v>
      </c>
      <c r="DK215" s="245" t="s">
        <v>427</v>
      </c>
      <c r="DL215" s="544"/>
      <c r="DM215" s="245" t="s">
        <v>429</v>
      </c>
      <c r="DN215" s="547" t="s">
        <v>430</v>
      </c>
      <c r="DO215" s="547" t="s">
        <v>431</v>
      </c>
      <c r="DQ215" s="543" t="s">
        <v>275</v>
      </c>
      <c r="DR215" s="543" t="s">
        <v>432</v>
      </c>
      <c r="DT215" s="245" t="s">
        <v>275</v>
      </c>
      <c r="DU215" s="245" t="s">
        <v>432</v>
      </c>
      <c r="DV215" s="548"/>
      <c r="DW215" s="245" t="s">
        <v>467</v>
      </c>
      <c r="DX215" s="245" t="s">
        <v>461</v>
      </c>
      <c r="DY215" s="245" t="s">
        <v>462</v>
      </c>
      <c r="DZ215" s="245" t="s">
        <v>653</v>
      </c>
      <c r="EA215" s="245" t="s">
        <v>48</v>
      </c>
      <c r="EB215" s="548" t="s">
        <v>651</v>
      </c>
      <c r="EC215" s="544" t="s">
        <v>650</v>
      </c>
      <c r="ED215" s="544" t="s">
        <v>652</v>
      </c>
      <c r="EE215" s="245" t="s">
        <v>481</v>
      </c>
      <c r="EF215" s="245" t="s">
        <v>514</v>
      </c>
      <c r="EG215" s="544"/>
      <c r="EH215" s="557" t="s">
        <v>456</v>
      </c>
      <c r="EI215" s="245" t="s">
        <v>457</v>
      </c>
      <c r="EJ215" s="544"/>
      <c r="EK215" s="557" t="s">
        <v>474</v>
      </c>
      <c r="EL215" s="245" t="s">
        <v>475</v>
      </c>
      <c r="EM215" s="245" t="s">
        <v>473</v>
      </c>
      <c r="EN215" s="245" t="s">
        <v>469</v>
      </c>
      <c r="EO215" s="245" t="s">
        <v>478</v>
      </c>
      <c r="EP215" s="245" t="s">
        <v>777</v>
      </c>
      <c r="EQ215" s="245" t="s">
        <v>776</v>
      </c>
      <c r="ER215" s="245" t="s">
        <v>491</v>
      </c>
      <c r="ES215" s="557" t="s">
        <v>476</v>
      </c>
      <c r="ET215" s="245" t="s">
        <v>477</v>
      </c>
      <c r="EU215" s="245" t="s">
        <v>483</v>
      </c>
      <c r="EV215" s="245" t="s">
        <v>487</v>
      </c>
      <c r="EW215" s="557" t="s">
        <v>458</v>
      </c>
      <c r="EX215" s="245" t="s">
        <v>459</v>
      </c>
      <c r="EY215" s="245" t="s">
        <v>468</v>
      </c>
      <c r="EZ215" s="245" t="s">
        <v>666</v>
      </c>
      <c r="FA215" s="245" t="s">
        <v>484</v>
      </c>
      <c r="FB215" s="245" t="s">
        <v>667</v>
      </c>
      <c r="FC215" s="557" t="s">
        <v>482</v>
      </c>
      <c r="FD215" s="245" t="s">
        <v>223</v>
      </c>
      <c r="FE215" s="245" t="s">
        <v>47</v>
      </c>
      <c r="FF215" s="245" t="s">
        <v>485</v>
      </c>
      <c r="FG215" s="245"/>
      <c r="FI215" s="569" t="s">
        <v>664</v>
      </c>
      <c r="FJ215" s="569" t="s">
        <v>665</v>
      </c>
      <c r="FL215" t="s">
        <v>825</v>
      </c>
    </row>
    <row r="216" spans="5:168">
      <c r="E216" s="170">
        <v>0.1</v>
      </c>
      <c r="F216" s="217">
        <v>1.0000000000000001E-9</v>
      </c>
      <c r="G216" s="217"/>
      <c r="H216" s="217">
        <f t="shared" ref="H216:H247" si="602">F216*Vout</f>
        <v>2.8000000000000003E-8</v>
      </c>
      <c r="I216" s="541">
        <f t="shared" ref="I216:I247" si="603">VIN_max-F216*(Rdcr_pri+RON/1000)/CG216/Nps</f>
        <v>39.999987046181317</v>
      </c>
      <c r="J216" s="172">
        <f t="shared" ref="J216:J247" si="604">(T216+Vfwd1+F216/CG216*Rdcr_sec)*Nps</f>
        <v>28.400006975133135</v>
      </c>
      <c r="K216" s="172">
        <f t="shared" ref="K216:K247" si="605">(Vout+Vfwd1+F216/CG216*Rdcr_sec)*Nps+I216</f>
        <v>68.399994021314455</v>
      </c>
      <c r="L216" s="443"/>
      <c r="M216" s="217">
        <f t="shared" ref="M216:M247" si="606">(Vout+Vfwd1+F216/FL216*Rdcr_sec)*Nps/((Vout+Vfwd1+F216/FL216*Rdcr_sec)*Nps+I216)</f>
        <v>0.41520481705474765</v>
      </c>
      <c r="N216" s="172">
        <f t="shared" ref="N216:N247" si="607">M216*I216*(Isw_max+VIN_max/Lmag*ILIM_delay)*0.5*Efficiency</f>
        <v>140.52175498806011</v>
      </c>
      <c r="O216" s="172">
        <f t="shared" si="598"/>
        <v>2.8000000000000003E-8</v>
      </c>
      <c r="P216" s="217">
        <f t="shared" ref="P216:P247" si="608">N216/Vout</f>
        <v>5.0186341067164326</v>
      </c>
      <c r="Q216" s="217">
        <f t="shared" ref="Q216:Q247" si="609">MIN(Vout,N216/F216)</f>
        <v>28</v>
      </c>
      <c r="R216" s="217"/>
      <c r="S216" s="172">
        <f t="shared" ref="S216:S247" si="610">(SQRT(Isw_max^2*Nps^2*I216^2+4*Isw_max*F216/Efficiency*(Nps^2*Vfwd1*I216-Nps*I216^2)+4*(F216/Efficiency)^2*Nps^2*Vfwd1^2+8*(F216/Efficiency)^2*Nps*Vfwd1*I216+4*(F216/Efficiency)^2*I216^2)-2*F216/Efficiency*I216-2*F216/Efficiency*Nps*Vfwd1+Isw_max*Nps*I216)/(4*F216/Efficiency*Nps)</f>
        <v>333333225344.8443</v>
      </c>
      <c r="T216" s="172">
        <f t="shared" ref="T216:T247" si="611">MIN(Vout, S216)</f>
        <v>28</v>
      </c>
      <c r="U216" s="217">
        <f t="shared" ref="U216:U247" si="612">MIN(2*Vout*F216/(Efficiency*I216*M216), Isw_max)</f>
        <v>3.3718309515643241E-9</v>
      </c>
      <c r="V216" s="217">
        <f t="shared" ref="V216:V247" si="613">L*U216/I216*1000000</f>
        <v>3.9619026511322954E-10</v>
      </c>
      <c r="W216" s="217">
        <f t="shared" ref="W216:W247" si="614">L*U216/J216*1000000</f>
        <v>5.5801414014540156E-10</v>
      </c>
      <c r="X216" s="197">
        <f t="shared" ref="X216:X247" si="615">IF(1/((350000*L)*(1/I216+1/J216))&gt;Isw_min, 350, 0.001/((Isw_min*L)*(1/I216+1/J216)))</f>
        <v>350</v>
      </c>
      <c r="Y216" s="443">
        <f>MIN(1/(V216+W216+0.2)*1000, 350)</f>
        <v>350</v>
      </c>
      <c r="AA216" s="217">
        <f t="shared" ref="AA216:AA247" si="616">1/((X216*1000*L)*(1/I216+1/J216))</f>
        <v>10.09616248433063</v>
      </c>
      <c r="AB216" s="173">
        <f t="shared" ref="AB216:AB247" si="617">L*AA216/J216*1000000</f>
        <v>1.6708433810563004</v>
      </c>
      <c r="AC216" s="173">
        <f t="shared" ref="AC216:AC247" si="618">0.5*AB216*AA216*Nps*X216/1000</f>
        <v>2.9520935956772343</v>
      </c>
      <c r="AD216" s="173"/>
      <c r="AE216" s="173">
        <f t="shared" ref="AE216:AE247" si="619">L*Isw_min/J216*1000000</f>
        <v>0.55164305700291905</v>
      </c>
      <c r="AF216" s="545">
        <f t="shared" ref="AF216:AF247" si="620">MAX(12000,F216/(0.5*AE216/1000000*Isw_min*Nps))/1000</f>
        <v>12</v>
      </c>
      <c r="AG216" s="528">
        <f t="shared" ref="AG216:AG247" si="621">0.5*AE216/1000000*Isw_min*Nps*X216*1000</f>
        <v>0.32179178325170277</v>
      </c>
      <c r="AI216" s="173">
        <f t="shared" ref="AI216:AI247" si="622">SQRT(F216/(0.5*L/J216*Fsw_DCM*Nps))</f>
        <v>1.8581949268132298E-4</v>
      </c>
      <c r="AJ216" s="173">
        <f t="shared" ref="AJ216:AJ247" si="623">MAX(IF(F216&gt;AC216,U216,AI216),Isw_min)</f>
        <v>3.3333333333333335</v>
      </c>
      <c r="AK216" s="173">
        <f t="shared" ref="AK216:AK247" si="624">IF(F216&gt;AG216, (AJ216-Isw_min)/1.08*0.8+1.2, AF216*0.2/350+1)</f>
        <v>1.0068571428571429</v>
      </c>
      <c r="AM216" s="545">
        <f t="shared" ref="AM216:AM247" si="625">F216*1000</f>
        <v>1.0000000000000002E-6</v>
      </c>
      <c r="AN216" s="460">
        <f t="shared" ref="AN216:AN247" si="626">IF(F216&gt;AG216, Y216, AF216)</f>
        <v>12</v>
      </c>
      <c r="AP216">
        <f t="shared" ref="AP216:AP247" si="627">IF(H216&gt;N216, "",AM216)</f>
        <v>1.0000000000000002E-6</v>
      </c>
      <c r="AQ216">
        <f t="shared" ref="AQ216:AQ247" si="628">IF(H216&gt;N216, "",AN216)</f>
        <v>12</v>
      </c>
      <c r="AS216" s="5">
        <f t="shared" si="599"/>
        <v>83.333333333333329</v>
      </c>
      <c r="AT216" s="5">
        <f t="shared" ref="AT216:AT247" si="629">L*AJ216/I216*1000000</f>
        <v>0.39166679350618239</v>
      </c>
      <c r="AU216" s="5">
        <f t="shared" si="477"/>
        <v>82.941666539827139</v>
      </c>
      <c r="AV216" s="5"/>
      <c r="AW216" s="173">
        <f t="shared" si="478"/>
        <v>4.7000015220741891E-3</v>
      </c>
      <c r="AX216" s="173">
        <f t="shared" ref="AX216:AX279" si="630">0.5*L*AJ216^2*AN216*1000</f>
        <v>0.31333333333333335</v>
      </c>
      <c r="AY216" s="173">
        <f t="shared" ref="AY216:AY279" si="631">AJ216*Nps/2*(1-AW216)</f>
        <v>1.658833330796543</v>
      </c>
      <c r="AZ216" s="173">
        <f t="shared" ref="AZ216:AZ279" si="632">AX216/AY216</f>
        <v>0.18888777281975405</v>
      </c>
      <c r="BA216" s="460">
        <f t="shared" si="593"/>
        <v>1.3988099768077944E-9</v>
      </c>
      <c r="BB216" s="5">
        <f t="shared" si="594"/>
        <v>4.1470846700059289E-8</v>
      </c>
      <c r="BD216" s="173">
        <f>AJ216*SQRT(AW216/3)</f>
        <v>0.13193715566404796</v>
      </c>
      <c r="BE216" s="173">
        <f>AJ216*Nps*SQRT((1-AW216)/3)</f>
        <v>1.9199729921691566</v>
      </c>
      <c r="BG216" s="528">
        <f>Rdson*BD216^2</f>
        <v>2.0888895653663067E-4</v>
      </c>
      <c r="BH216" s="528">
        <f t="shared" ref="BH216:BH247" si="633">0.5*K216*AJ216*AN216*1000*Tfall</f>
        <v>4.9931995635559556E-2</v>
      </c>
      <c r="BI216" s="528">
        <f>Qg*Vdd*AN216*1000</f>
        <v>1.3800000000000002E-3</v>
      </c>
      <c r="BJ216" s="528">
        <f>0.5*(Coss+Csw)*K216^2*AN216*1000</f>
        <v>2.7650284766304691E-2</v>
      </c>
      <c r="BK216">
        <f>I216*IQ</f>
        <v>1.7999994170781592E-2</v>
      </c>
      <c r="BL216" s="460">
        <f>(BK216+BI216)*1000</f>
        <v>19.37999417078159</v>
      </c>
      <c r="BM216" s="528">
        <f t="shared" ref="BM216:BM247" si="634">(BH216+BI216*0+BJ216+BK216*0+BG216*(1+RdsonTC*(Ta-25)))/(1-BG216*RdsonTC*ThetaJA)</f>
        <v>7.7851433300254638E-2</v>
      </c>
      <c r="BN216" s="460">
        <f>BM216*1000</f>
        <v>77.851433300254641</v>
      </c>
      <c r="BO216" s="528">
        <f t="shared" ref="BO216:BO279" si="635">Vfwd2*F216</f>
        <v>6.9999999999999996E-10</v>
      </c>
      <c r="BR216" s="460">
        <f>SUM(BO216:BQ216)*1000</f>
        <v>6.9999999999999997E-7</v>
      </c>
      <c r="BS216" s="528">
        <f>Rdcr_pri*BD216^2</f>
        <v>2.437037826260691E-4</v>
      </c>
      <c r="BT216" s="528">
        <f>Rdcr_sec*BE216^2</f>
        <v>5.1608148069225784E-2</v>
      </c>
      <c r="BU216" s="528">
        <f>AJ216^2.5*AN216^2.5*k_core</f>
        <v>5.0596442562694083E-4</v>
      </c>
      <c r="BV216" s="528"/>
      <c r="BW216" s="528">
        <f>0.5*Lleak*0.000000001*AJ216^2*AN216*1000</f>
        <v>1.3333333333333334E-2</v>
      </c>
      <c r="BX216" s="460">
        <f>SUM(BS216:BW216)*1000</f>
        <v>65.691149610812133</v>
      </c>
      <c r="BY216" s="173">
        <f>SUM(BG216:BK216,BO216:BQ216,BS216:BW216)</f>
        <v>0.16286231383999461</v>
      </c>
      <c r="BZ216" s="5">
        <f>MIN(H216,O216)</f>
        <v>2.8000000000000003E-8</v>
      </c>
      <c r="CA216" s="173">
        <f>BZ216/(BZ216+BY216)</f>
        <v>1.7192433612129205E-7</v>
      </c>
      <c r="CB216" s="5">
        <f>CA216*100</f>
        <v>1.7192433612129205E-5</v>
      </c>
      <c r="CE216" s="562">
        <f t="shared" ref="CE216:CE247" si="636">IF(ABS(F216-Ioutmax_Vinmax)&lt;Iout/200, AN216, -50)</f>
        <v>-50</v>
      </c>
      <c r="CF216">
        <f t="shared" ref="CF216:CF247" si="637">IF(ABS(F216-Ioutmax_Vinmin)&lt;Iout/200, N216*CA216, -50)</f>
        <v>-50</v>
      </c>
      <c r="CG216" s="173">
        <f t="shared" ref="CG216:CG247" si="638">MIN(SQRT(2*DU216*1000*Ls1_*CL216)/CU216,1-EA216-0.00000005*DU216*1000)</f>
        <v>2.0071301473923978E-6</v>
      </c>
      <c r="CI216" s="170">
        <v>0.1</v>
      </c>
      <c r="CJ216" s="217">
        <v>1.0000000000000001E-9</v>
      </c>
      <c r="CK216" s="217"/>
      <c r="CL216" s="217">
        <f t="shared" ref="CL216:CL279" si="639">CJ216*Vout</f>
        <v>2.8000000000000003E-8</v>
      </c>
      <c r="CM216" s="541">
        <f t="shared" ref="CM216:CM279" si="640">VIN_max</f>
        <v>40</v>
      </c>
      <c r="CN216" s="443">
        <f t="shared" ref="CN216:CN279" si="641">(CX216+Vfwd1)*Nps</f>
        <v>28.4</v>
      </c>
      <c r="CO216" s="443">
        <f t="shared" ref="CO216:CO279" si="642">(Vout+Vfwd1)*Nps+CM216</f>
        <v>68.400000000000006</v>
      </c>
      <c r="CP216" s="443"/>
      <c r="CQ216" s="217">
        <f t="shared" ref="CQ216:CQ279" si="643">(Vout+Vfwd1)*Nps/((Vout+Vfwd1)*Nps+CM216)</f>
        <v>0.41520467836257302</v>
      </c>
      <c r="CR216" s="172">
        <f t="shared" ref="CR216:CR279" si="644">CQ216*CM216*(Isw_max+VIN_max/Lmag*ILIM_delay)*0.5*Efficiency</f>
        <v>140.52175355646798</v>
      </c>
      <c r="CS216" s="172">
        <f t="shared" ref="CS216:CS279" si="645">CX216*CJ216</f>
        <v>2.8000000000000003E-8</v>
      </c>
      <c r="CT216" s="217">
        <f t="shared" ref="CT216:CT279" si="646">CR216/Vout</f>
        <v>5.0186340555881426</v>
      </c>
      <c r="CU216" s="217">
        <f t="shared" ref="CU216:CU279" si="647">MIN(Vout,CR216/CJ216)</f>
        <v>28</v>
      </c>
      <c r="CV216" s="217"/>
      <c r="CW216" s="172">
        <f t="shared" ref="CW216:CW279" si="648">(SQRT(Isw_max^2*Nps^2*CM216^2+4*Isw_max*CJ216/Efficiency*(Nps^2*Vfwd1*CM216-Nps*CM216^2)+4*(CJ216/Efficiency)^2*Nps^2*Vfwd1^2+8*(CJ216/Efficiency)^2*Nps*Vfwd1*CM216+4*(CJ216/Efficiency)^2*CM216^2)-2*CJ216/Efficiency*CM216-2*CJ216/Efficiency*Nps*Vfwd1+Isw_max*Nps*CM216)/(4*CJ216/Efficiency*Nps)</f>
        <v>333333333293.33331</v>
      </c>
      <c r="CX216" s="172">
        <f t="shared" ref="CX216:CX279" si="649">MIN(Vout, CW216)</f>
        <v>28</v>
      </c>
      <c r="CY216" s="217">
        <f t="shared" ref="CY216:CY279" si="650">MIN(2*Vout*CJ216/(Efficiency*CM216*CQ216), Isw_max)</f>
        <v>3.3718309859154942E-9</v>
      </c>
      <c r="CZ216" s="217">
        <f t="shared" ref="CZ216:CZ279" si="651">L*CY216/CM216*1000000</f>
        <v>3.9619014084507052E-10</v>
      </c>
      <c r="DA216" s="217">
        <f t="shared" ref="DA216:DA279" si="652">L*CY216/CN216*1000000</f>
        <v>5.5801428288038099E-10</v>
      </c>
      <c r="DB216" s="197">
        <f t="shared" ref="DB216:DB279" si="653">IF(1/((350000*L)*(1/CM216+1/CN216))&gt;Isw_min, 350, 0.001/((Isw_min*L)*(1/CM216+1/CN216)))</f>
        <v>350</v>
      </c>
      <c r="DC216" s="443">
        <f t="shared" ref="DC216:DC279" si="654">MIN(1/(CZ216+DA216)*1000, 350)</f>
        <v>350</v>
      </c>
      <c r="DE216" s="217">
        <f t="shared" ref="DE216:DE279" si="655">1/((DB216*1000*L)*(1/CM216+1/CN216))</f>
        <v>10.09616239179509</v>
      </c>
      <c r="DF216" s="173">
        <f t="shared" ref="DF216:DF279" si="656">L*DE216/CN216*1000000</f>
        <v>1.6708437761069339</v>
      </c>
      <c r="DG216" s="173">
        <f t="shared" ref="DG216:DG279" si="657">0.5*DF216*DE216*Nps*DB216/1000</f>
        <v>2.9520942666067511</v>
      </c>
      <c r="DH216" s="173"/>
      <c r="DI216" s="173">
        <f t="shared" ref="DI216:DI279" si="658">L*Isw_min/CN216*1000000</f>
        <v>0.55164319248826299</v>
      </c>
      <c r="DJ216" s="545">
        <f t="shared" ref="DJ216:DJ279" si="659">MAX(12000,CJ216/(0.5*DI216/1000000*Isw_min*Nps))/1000</f>
        <v>12</v>
      </c>
      <c r="DK216" s="528">
        <f t="shared" ref="DK216:DK279" si="660">0.5*DI216/1000000*Isw_min*Nps*DB216*1000</f>
        <v>0.3217918622848201</v>
      </c>
      <c r="DM216" s="173">
        <f t="shared" ref="DM216:DM279" si="661">SQRT(CJ216/(0.5*L/CN216*Fsw_DCM*Nps))</f>
        <v>1.8581946986238879E-4</v>
      </c>
      <c r="DN216" s="173">
        <f t="shared" ref="DN216:DN279" si="662">MAX(IF(CJ216&gt;DG216,CY216,DM216),Isw_min)</f>
        <v>3.3333333333333335</v>
      </c>
      <c r="DO216" s="173">
        <f t="shared" ref="DO216:DO279" si="663">IF(CJ216&gt;DK216, (DN216-Isw_min)/1.08*0.8+1.2, DJ216*0.2/350+1)</f>
        <v>1.0068571428571429</v>
      </c>
      <c r="DQ216" s="545">
        <f t="shared" ref="DQ216:DQ279" si="664">CJ216*1000</f>
        <v>1.0000000000000002E-6</v>
      </c>
      <c r="DR216" s="460">
        <f t="shared" ref="DR216:DR279" si="665">IF(CJ216&gt;DK216, DC216, DJ216)</f>
        <v>12</v>
      </c>
      <c r="DT216">
        <f t="shared" ref="DT216:DT279" si="666">IF(CL216&gt;CR216, "",DQ216)</f>
        <v>1.0000000000000002E-6</v>
      </c>
      <c r="DU216">
        <f t="shared" ref="DU216:DU279" si="667">IF(CL216&gt;CR216, "",DR216)</f>
        <v>12</v>
      </c>
      <c r="DW216" s="5">
        <f t="shared" ref="DW216:DW280" si="668">1/DR216*1000</f>
        <v>83.333333333333329</v>
      </c>
      <c r="DX216" s="5">
        <f t="shared" ref="DX216:DX279" si="669">L*DN216/CM216*1000000</f>
        <v>0.39166666666666672</v>
      </c>
      <c r="DY216" s="5">
        <f t="shared" ref="DY216:DY279" si="670">DW216-DX216</f>
        <v>82.941666666666663</v>
      </c>
      <c r="DZ216" s="5"/>
      <c r="EA216" s="173">
        <f t="shared" ref="EA216:EA279" si="671">DX216/DW216</f>
        <v>4.7000000000000011E-3</v>
      </c>
      <c r="EB216" s="173">
        <f>0.5*L*DN216^2*DR216*1000</f>
        <v>0.31333333333333335</v>
      </c>
      <c r="EC216" s="173">
        <f>DN216*Nps/2*(1-EA216)</f>
        <v>1.6588333333333334</v>
      </c>
      <c r="ED216" s="173">
        <f>EB216/EC216</f>
        <v>0.18888777253089523</v>
      </c>
      <c r="EE216" s="460">
        <f t="shared" ref="EE216:EE279" si="672">CJ216*DX216/Vout_ripple*1000</f>
        <v>1.3988095238095243E-9</v>
      </c>
      <c r="EF216" s="5">
        <f t="shared" ref="EF216:EF279" si="673">CL216/Efficiency/CM216*DY216/Vinripple1</f>
        <v>4.147083333333333E-8</v>
      </c>
      <c r="EH216" s="173">
        <f>DN216*SQRT(EA216/3)</f>
        <v>0.13193713430042134</v>
      </c>
      <c r="EI216" s="173">
        <f>DN216*Nps*SQRT((1-EA216)/3)</f>
        <v>1.9199729936372272</v>
      </c>
      <c r="EK216" s="528">
        <f>Rdson*EH216^2</f>
        <v>2.0888888888888899E-4</v>
      </c>
      <c r="EL216" s="528">
        <f>0.5*CO216*DN216*DR216*1000*Trise</f>
        <v>5.1984000000000009E-2</v>
      </c>
      <c r="EM216" s="528">
        <f>Qg*Vdd*DR216*1000</f>
        <v>1.3800000000000002E-3</v>
      </c>
      <c r="EN216" s="528">
        <f>0.5*(Coss+Csw)*CO216^2*DR216*1000</f>
        <v>2.7650289600000006E-2</v>
      </c>
      <c r="EO216">
        <f>CM216*IQ</f>
        <v>1.7999999999999999E-2</v>
      </c>
      <c r="EP216" s="460">
        <f>(EO216+EM216)*1000</f>
        <v>19.38</v>
      </c>
      <c r="EQ216" s="460"/>
      <c r="ER216" s="460">
        <f>SUM(EK216:EO216)*1000</f>
        <v>99.223178488888905</v>
      </c>
      <c r="ES216" s="528">
        <f>Vfwd2*CJ216</f>
        <v>6.9999999999999996E-10</v>
      </c>
      <c r="EV216" s="460">
        <f>SUM(ES216:EU216)*1000</f>
        <v>6.9999999999999997E-7</v>
      </c>
      <c r="EW216" s="528">
        <f>Rdcr_pri*EH216^2</f>
        <v>2.4370370370370385E-4</v>
      </c>
      <c r="EX216" s="528">
        <f>Rdcr_sec*EI216^2</f>
        <v>5.1608148148148146E-2</v>
      </c>
      <c r="EY216" s="528">
        <f>DN216^2.5*DR216^2.5*k_core</f>
        <v>5.0596442562694083E-4</v>
      </c>
      <c r="EZ216" s="528"/>
      <c r="FA216" s="528">
        <f>0.5*Lleak*0.000000001*DN216^2*DR216*1000</f>
        <v>1.3333333333333334E-2</v>
      </c>
      <c r="FB216" s="460">
        <f>SUM(EW216:FA216)*1000</f>
        <v>65.691149610812133</v>
      </c>
      <c r="FC216" s="173">
        <f>SUM(EK216:EO216,ES216:EU216,EW216:FA216)</f>
        <v>0.16491432879970105</v>
      </c>
      <c r="FD216" s="5">
        <f>MIN(CL216,CS216)</f>
        <v>2.8000000000000003E-8</v>
      </c>
      <c r="FE216" s="173">
        <f>FD216/(FD216+FC216)</f>
        <v>1.6978509660021762E-7</v>
      </c>
      <c r="FF216" s="5">
        <f>FE216*100</f>
        <v>1.6978509660021762E-5</v>
      </c>
      <c r="FI216" s="562">
        <f t="shared" ref="FI216:FI279" si="674">IF(ABS(CJ216-Ioutmax_Vinmax)&lt;Iout/200, DR216, -50)</f>
        <v>-50</v>
      </c>
      <c r="FJ216">
        <f t="shared" ref="FJ216:FJ279" si="675">IF(ABS(CJ216-Ioutmax_Vinmin)&lt;Iout/200, CR216*FE216, -50)</f>
        <v>-50</v>
      </c>
      <c r="FL216">
        <f t="shared" ref="FL216:FL247" si="676">MIN(SQRT(2*L*DR216*1000*CJ216*(CX216+Vfwd1))/(Nps*(CX216+Vfwd1)), 1-EA216)</f>
        <v>1.9929453042960042E-6</v>
      </c>
    </row>
    <row r="217" spans="5:168">
      <c r="E217" s="170">
        <v>1</v>
      </c>
      <c r="F217" s="217">
        <f t="shared" ref="F217:F248" si="677">IF(PLOT_TYPE=1, E217/100*Iout_max, min_I*EXP(N217*rr/100))</f>
        <v>2.5000000000000001E-2</v>
      </c>
      <c r="G217" s="217"/>
      <c r="H217" s="217">
        <f t="shared" si="602"/>
        <v>0.70000000000000007</v>
      </c>
      <c r="I217" s="541">
        <f t="shared" si="603"/>
        <v>39.956972913142501</v>
      </c>
      <c r="J217" s="172">
        <f t="shared" si="604"/>
        <v>28.423168431384806</v>
      </c>
      <c r="K217" s="172">
        <f t="shared" si="605"/>
        <v>68.380141344527303</v>
      </c>
      <c r="L217" s="443"/>
      <c r="M217" s="217">
        <f t="shared" si="606"/>
        <v>0.41566548752914079</v>
      </c>
      <c r="N217" s="172">
        <f t="shared" si="607"/>
        <v>140.52638587924221</v>
      </c>
      <c r="O217" s="172">
        <f t="shared" si="598"/>
        <v>0.70000000000000007</v>
      </c>
      <c r="P217" s="217">
        <f t="shared" si="608"/>
        <v>5.0187994956872215</v>
      </c>
      <c r="Q217" s="217">
        <f t="shared" si="609"/>
        <v>28</v>
      </c>
      <c r="R217" s="217"/>
      <c r="S217" s="172">
        <f t="shared" si="610"/>
        <v>13279.035201708826</v>
      </c>
      <c r="T217" s="172">
        <f t="shared" si="611"/>
        <v>28</v>
      </c>
      <c r="U217" s="217">
        <f t="shared" si="612"/>
        <v>8.4292995915379365E-2</v>
      </c>
      <c r="V217" s="217">
        <f t="shared" si="613"/>
        <v>9.9150924586675557E-3</v>
      </c>
      <c r="W217" s="217">
        <f t="shared" si="614"/>
        <v>1.3938526303240179E-2</v>
      </c>
      <c r="X217" s="197">
        <f t="shared" si="615"/>
        <v>350</v>
      </c>
      <c r="Y217" s="443">
        <f t="shared" ref="Y217:Y280" si="678">MIN(1/(V217+W217+0.2)*1000, 350)</f>
        <v>350</v>
      </c>
      <c r="AA217" s="217">
        <f t="shared" si="616"/>
        <v>10.096460985257099</v>
      </c>
      <c r="AB217" s="173">
        <f t="shared" si="617"/>
        <v>1.669531204632009</v>
      </c>
      <c r="AC217" s="173">
        <f t="shared" si="618"/>
        <v>2.9498624174663641</v>
      </c>
      <c r="AD217" s="173"/>
      <c r="AE217" s="173">
        <f t="shared" si="619"/>
        <v>0.55119353440440388</v>
      </c>
      <c r="AF217" s="545">
        <f t="shared" si="620"/>
        <v>27.213671902389706</v>
      </c>
      <c r="AG217" s="528">
        <f t="shared" si="621"/>
        <v>0.3215295617359023</v>
      </c>
      <c r="AI217" s="173">
        <f t="shared" si="622"/>
        <v>0.92947624614045721</v>
      </c>
      <c r="AJ217" s="173">
        <f t="shared" si="623"/>
        <v>3.3333333333333335</v>
      </c>
      <c r="AK217" s="173">
        <f t="shared" si="624"/>
        <v>1.0155506696585084</v>
      </c>
      <c r="AM217" s="545">
        <f t="shared" si="625"/>
        <v>25</v>
      </c>
      <c r="AN217" s="460">
        <f t="shared" si="626"/>
        <v>27.213671902389706</v>
      </c>
      <c r="AP217">
        <f t="shared" si="627"/>
        <v>25</v>
      </c>
      <c r="AQ217">
        <f t="shared" si="628"/>
        <v>27.213671902389706</v>
      </c>
      <c r="AS217" s="5">
        <f t="shared" si="599"/>
        <v>36.746235626960257</v>
      </c>
      <c r="AT217" s="5">
        <f t="shared" si="629"/>
        <v>0.39208842723703041</v>
      </c>
      <c r="AU217" s="5">
        <f t="shared" si="477"/>
        <v>36.354147199723229</v>
      </c>
      <c r="AV217" s="5"/>
      <c r="AW217" s="173">
        <f t="shared" si="478"/>
        <v>1.0670165815552546E-2</v>
      </c>
      <c r="AX217" s="173">
        <f t="shared" si="630"/>
        <v>0.71057921078462016</v>
      </c>
      <c r="AY217" s="173">
        <f t="shared" si="631"/>
        <v>1.6488830569740791</v>
      </c>
      <c r="AZ217" s="173">
        <f t="shared" si="632"/>
        <v>0.43094578950227558</v>
      </c>
      <c r="BA217" s="460">
        <f t="shared" si="593"/>
        <v>3.5007895289020569E-2</v>
      </c>
      <c r="BB217" s="5">
        <f t="shared" si="594"/>
        <v>0.45491618294945657</v>
      </c>
      <c r="BD217" s="173">
        <f t="shared" ref="BD217:BD280" si="679">AJ217*SQRT(AW217/3)</f>
        <v>0.19879419672162119</v>
      </c>
      <c r="BE217" s="173">
        <f t="shared" ref="BE217:BE280" si="680">AJ217*Nps*SQRT((1-AW217)/3)</f>
        <v>1.9142059897131001</v>
      </c>
      <c r="BG217" s="528">
        <f t="shared" ref="BG217:BG280" si="681">Rdson*BD217^2</f>
        <v>4.7422959180233555E-4</v>
      </c>
      <c r="BH217" s="528">
        <f t="shared" si="633"/>
        <v>0.11320321281399746</v>
      </c>
      <c r="BI217" s="528">
        <f t="shared" ref="BI217:BI280" si="682">Qg*Vdd*AN217*1000</f>
        <v>3.1295722687748164E-3</v>
      </c>
      <c r="BJ217" s="528">
        <f t="shared" ref="BJ217:BJ280" si="683">0.5*(Coss+Csw)*K217^2*AN217*1000</f>
        <v>6.26690869930078E-2</v>
      </c>
      <c r="BK217">
        <f t="shared" ref="BK217:BK280" si="684">I217*IQ</f>
        <v>1.7980637810914125E-2</v>
      </c>
      <c r="BL217" s="460">
        <f t="shared" ref="BL217:BL280" si="685">(BK217+BI217)*1000</f>
        <v>21.11021007968894</v>
      </c>
      <c r="BM217" s="528">
        <f t="shared" si="634"/>
        <v>0.17649445824601992</v>
      </c>
      <c r="BN217" s="460">
        <f t="shared" ref="BN217:BN280" si="686">BM217*1000</f>
        <v>176.49445824601992</v>
      </c>
      <c r="BO217" s="528">
        <f t="shared" si="635"/>
        <v>1.7499999999999998E-2</v>
      </c>
      <c r="BR217" s="460">
        <f t="shared" ref="BR217:BR280" si="687">SUM(BO217:BQ217)*1000</f>
        <v>17.499999999999996</v>
      </c>
      <c r="BS217" s="528">
        <f t="shared" ref="BS217:BS280" si="688">Rdcr_pri*BD217^2</f>
        <v>5.5326785710272481E-4</v>
      </c>
      <c r="BT217" s="528">
        <f t="shared" ref="BT217:BT280" si="689">Rdcr_sec*BE217^2</f>
        <v>5.1298583994749125E-2</v>
      </c>
      <c r="BU217" s="528">
        <f t="shared" ref="BU217:BU280" si="690">AJ217^2.5*AN217^2.5*k_core</f>
        <v>3.9186342383187092E-3</v>
      </c>
      <c r="BV217" s="528"/>
      <c r="BW217" s="528">
        <f t="shared" ref="BW217:BW280" si="691">0.5*Lleak*0.000000001*AJ217^2*AN217*1000</f>
        <v>3.0237413224877455E-2</v>
      </c>
      <c r="BX217" s="460">
        <f t="shared" ref="BX217:BX280" si="692">SUM(BS217:BW217)*1000</f>
        <v>86.007899315048007</v>
      </c>
      <c r="BY217" s="173">
        <f t="shared" ref="BY217:BY280" si="693">SUM(BG217:BK217,BO217:BQ217,BS217:BW217)</f>
        <v>0.30096463879354457</v>
      </c>
      <c r="BZ217" s="5">
        <f t="shared" ref="BZ217:BZ280" si="694">MIN(H217,O217)</f>
        <v>0.70000000000000007</v>
      </c>
      <c r="CA217" s="173">
        <f t="shared" ref="CA217:CA280" si="695">BZ217/(BZ217+BY217)</f>
        <v>0.69932540358638928</v>
      </c>
      <c r="CB217" s="5">
        <f t="shared" ref="CB217:CB280" si="696">CA217*100</f>
        <v>69.932540358638931</v>
      </c>
      <c r="CE217" s="562">
        <f t="shared" si="636"/>
        <v>-50</v>
      </c>
      <c r="CF217">
        <f t="shared" si="637"/>
        <v>-50</v>
      </c>
      <c r="CG217" s="173">
        <f t="shared" si="638"/>
        <v>1.5106762913155344E-2</v>
      </c>
      <c r="CI217" s="170">
        <v>1</v>
      </c>
      <c r="CJ217" s="217">
        <f t="shared" ref="CJ217:CJ280" si="697">IF(PLOT_TYPE=1, CI217/100*Iout_max, min_I*EXP(CR217*rr/100))</f>
        <v>2.5000000000000001E-2</v>
      </c>
      <c r="CK217" s="217"/>
      <c r="CL217" s="217">
        <f t="shared" si="639"/>
        <v>0.70000000000000007</v>
      </c>
      <c r="CM217" s="541">
        <f t="shared" si="640"/>
        <v>40</v>
      </c>
      <c r="CN217" s="443">
        <f t="shared" si="641"/>
        <v>28.4</v>
      </c>
      <c r="CO217" s="443">
        <f t="shared" si="642"/>
        <v>68.400000000000006</v>
      </c>
      <c r="CP217" s="443"/>
      <c r="CQ217" s="217">
        <f t="shared" si="643"/>
        <v>0.41520467836257302</v>
      </c>
      <c r="CR217" s="172">
        <f t="shared" si="644"/>
        <v>140.52175355646798</v>
      </c>
      <c r="CS217" s="172">
        <f t="shared" si="645"/>
        <v>0.70000000000000007</v>
      </c>
      <c r="CT217" s="217">
        <f t="shared" si="646"/>
        <v>5.0186340555881426</v>
      </c>
      <c r="CU217" s="217">
        <f t="shared" si="647"/>
        <v>28</v>
      </c>
      <c r="CV217" s="217"/>
      <c r="CW217" s="172">
        <f t="shared" si="648"/>
        <v>13293.334536907842</v>
      </c>
      <c r="CX217" s="172">
        <f t="shared" si="649"/>
        <v>28</v>
      </c>
      <c r="CY217" s="217">
        <f t="shared" si="650"/>
        <v>8.4295774647887359E-2</v>
      </c>
      <c r="CZ217" s="217">
        <f t="shared" si="651"/>
        <v>9.9047535211267638E-3</v>
      </c>
      <c r="DA217" s="217">
        <f t="shared" si="652"/>
        <v>1.3950357072009527E-2</v>
      </c>
      <c r="DB217" s="197">
        <f t="shared" si="653"/>
        <v>350</v>
      </c>
      <c r="DC217" s="443">
        <f t="shared" si="654"/>
        <v>350</v>
      </c>
      <c r="DE217" s="217">
        <f t="shared" si="655"/>
        <v>10.09616239179509</v>
      </c>
      <c r="DF217" s="173">
        <f t="shared" si="656"/>
        <v>1.6708437761069339</v>
      </c>
      <c r="DG217" s="173">
        <f t="shared" si="657"/>
        <v>2.9520942666067511</v>
      </c>
      <c r="DH217" s="173"/>
      <c r="DI217" s="173">
        <f t="shared" si="658"/>
        <v>0.55164319248826299</v>
      </c>
      <c r="DJ217" s="545">
        <f t="shared" si="659"/>
        <v>27.191489361702125</v>
      </c>
      <c r="DK217" s="528">
        <f t="shared" si="660"/>
        <v>0.3217918622848201</v>
      </c>
      <c r="DM217" s="173">
        <f t="shared" si="661"/>
        <v>0.92909734931194388</v>
      </c>
      <c r="DN217" s="173">
        <f t="shared" si="662"/>
        <v>3.3333333333333335</v>
      </c>
      <c r="DO217" s="173">
        <f t="shared" si="663"/>
        <v>1.0155379939209725</v>
      </c>
      <c r="DQ217" s="545">
        <f t="shared" si="664"/>
        <v>25</v>
      </c>
      <c r="DR217" s="460">
        <f t="shared" si="665"/>
        <v>27.191489361702125</v>
      </c>
      <c r="DT217">
        <f t="shared" si="666"/>
        <v>25</v>
      </c>
      <c r="DU217">
        <f t="shared" si="667"/>
        <v>27.191489361702125</v>
      </c>
      <c r="DW217" s="5">
        <f t="shared" si="668"/>
        <v>36.776212832550861</v>
      </c>
      <c r="DX217" s="5">
        <f t="shared" si="669"/>
        <v>0.39166666666666672</v>
      </c>
      <c r="DY217" s="5">
        <f t="shared" si="670"/>
        <v>36.384546165884196</v>
      </c>
      <c r="DZ217" s="5"/>
      <c r="EA217" s="173">
        <f t="shared" si="671"/>
        <v>1.0650000000000001E-2</v>
      </c>
      <c r="EB217" s="173">
        <f t="shared" ref="EB217:EB280" si="698">0.5*L*DN217^2*DR217*1000</f>
        <v>0.71</v>
      </c>
      <c r="EC217" s="173">
        <f t="shared" ref="EC217:EC280" si="699">DN217*Nps/2*(1-EA217)</f>
        <v>1.6489166666666666</v>
      </c>
      <c r="ED217" s="173">
        <f t="shared" ref="ED217:ED280" si="700">EB217/EC217</f>
        <v>0.43058573811088086</v>
      </c>
      <c r="EE217" s="460">
        <f t="shared" si="672"/>
        <v>3.4970238095238103E-2</v>
      </c>
      <c r="EF217" s="5">
        <f t="shared" si="673"/>
        <v>0.45480682707355247</v>
      </c>
      <c r="EH217" s="173">
        <f t="shared" ref="EH217:EH280" si="701">DN217*SQRT(EA217/3)</f>
        <v>0.1986062547968831</v>
      </c>
      <c r="EI217" s="173">
        <f t="shared" ref="EI217:EI280" si="702">DN217*Nps*SQRT((1-EA217)/3)</f>
        <v>1.9142254985396205</v>
      </c>
      <c r="EK217" s="528">
        <f t="shared" ref="EK217:EK280" si="703">Rdson*EH217^2</f>
        <v>4.7333333333333342E-4</v>
      </c>
      <c r="EL217" s="528">
        <f t="shared" ref="EL217:EL280" si="704">0.5*CO217*DN217*DR217*1000*Trise</f>
        <v>0.11779353191489364</v>
      </c>
      <c r="EM217" s="528">
        <f t="shared" ref="EM217:EM280" si="705">Qg*Vdd*DR217*1000</f>
        <v>3.1270212765957444E-3</v>
      </c>
      <c r="EN217" s="528">
        <f t="shared" ref="EN217:EN280" si="706">0.5*(Coss+Csw)*CO217^2*DR217*1000</f>
        <v>6.2654379625531928E-2</v>
      </c>
      <c r="EO217">
        <f t="shared" ref="EO217:EO280" si="707">CM217*IQ</f>
        <v>1.7999999999999999E-2</v>
      </c>
      <c r="EP217" s="460">
        <f t="shared" ref="EP217:EP280" si="708">(EO217+EM217)*1000</f>
        <v>21.127021276595741</v>
      </c>
      <c r="EQ217" s="460"/>
      <c r="ER217" s="460">
        <f t="shared" ref="ER217:ER280" si="709">SUM(EK217:EO217)*1000</f>
        <v>202.04826615035464</v>
      </c>
      <c r="ES217" s="528">
        <f t="shared" ref="ES217:ES280" si="710">Vfwd2*CJ217</f>
        <v>1.7499999999999998E-2</v>
      </c>
      <c r="EV217" s="460">
        <f t="shared" ref="EV217:EV280" si="711">SUM(ES217:EU217)*1000</f>
        <v>17.499999999999996</v>
      </c>
      <c r="EW217" s="528">
        <f t="shared" ref="EW217:EW280" si="712">Rdcr_pri*EH217^2</f>
        <v>5.5222222222222229E-4</v>
      </c>
      <c r="EX217" s="528">
        <f t="shared" ref="EX217:EX280" si="713">Rdcr_sec*EI217^2</f>
        <v>5.1299629629629626E-2</v>
      </c>
      <c r="EY217" s="528">
        <f t="shared" ref="EY217:EY280" si="714">DN217^2.5*DR217^2.5*k_core</f>
        <v>3.9106536789738338E-3</v>
      </c>
      <c r="EZ217" s="528"/>
      <c r="FA217" s="528">
        <f t="shared" ref="FA217:FA280" si="715">0.5*Lleak*0.000000001*DN217^2*DR217*1000</f>
        <v>3.0212765957446808E-2</v>
      </c>
      <c r="FB217" s="460">
        <f t="shared" ref="FB217:FB280" si="716">SUM(EW217:FA217)*1000</f>
        <v>85.975271488272497</v>
      </c>
      <c r="FC217" s="173">
        <f t="shared" ref="FC217:FC280" si="717">SUM(EK217:EO217,ES217:EU217,EW217:FA217)</f>
        <v>0.30552353763862711</v>
      </c>
      <c r="FD217" s="5">
        <f t="shared" ref="FD217:FD280" si="718">MIN(CL217,CS217)</f>
        <v>0.70000000000000007</v>
      </c>
      <c r="FE217" s="173">
        <f t="shared" ref="FE217:FE280" si="719">FD217/(FD217+FC217)</f>
        <v>0.69615476296445633</v>
      </c>
      <c r="FF217" s="5">
        <f t="shared" ref="FF217:FF280" si="720">FE217*100</f>
        <v>69.615476296445635</v>
      </c>
      <c r="FI217" s="562">
        <f t="shared" si="674"/>
        <v>-50</v>
      </c>
      <c r="FJ217">
        <f t="shared" si="675"/>
        <v>-50</v>
      </c>
      <c r="FL217">
        <f t="shared" si="676"/>
        <v>1.5000000000000001E-2</v>
      </c>
    </row>
    <row r="218" spans="5:168">
      <c r="E218" s="170">
        <v>2</v>
      </c>
      <c r="F218" s="217">
        <f t="shared" si="677"/>
        <v>0.05</v>
      </c>
      <c r="G218" s="217"/>
      <c r="H218" s="217">
        <f t="shared" si="602"/>
        <v>1.4000000000000001</v>
      </c>
      <c r="I218" s="541">
        <f t="shared" si="603"/>
        <v>39.956972913142501</v>
      </c>
      <c r="J218" s="172">
        <f t="shared" si="604"/>
        <v>28.423168431384806</v>
      </c>
      <c r="K218" s="172">
        <f t="shared" si="605"/>
        <v>68.380141344527303</v>
      </c>
      <c r="L218" s="443"/>
      <c r="M218" s="217">
        <f t="shared" si="606"/>
        <v>0.41566548752914079</v>
      </c>
      <c r="N218" s="172">
        <f t="shared" si="607"/>
        <v>140.52638587924221</v>
      </c>
      <c r="O218" s="172">
        <f t="shared" si="598"/>
        <v>1.4000000000000001</v>
      </c>
      <c r="P218" s="217">
        <f t="shared" si="608"/>
        <v>5.0187994956872215</v>
      </c>
      <c r="Q218" s="217">
        <f t="shared" si="609"/>
        <v>28</v>
      </c>
      <c r="R218" s="217"/>
      <c r="S218" s="172">
        <f t="shared" si="610"/>
        <v>6619.5409269507581</v>
      </c>
      <c r="T218" s="172">
        <f t="shared" si="611"/>
        <v>28</v>
      </c>
      <c r="U218" s="217">
        <f t="shared" si="612"/>
        <v>0.16858599183075873</v>
      </c>
      <c r="V218" s="217">
        <f t="shared" si="613"/>
        <v>1.9830184917335111E-2</v>
      </c>
      <c r="W218" s="217">
        <f t="shared" si="614"/>
        <v>2.7877052606480358E-2</v>
      </c>
      <c r="X218" s="197">
        <f t="shared" si="615"/>
        <v>350</v>
      </c>
      <c r="Y218" s="443">
        <f t="shared" si="678"/>
        <v>350</v>
      </c>
      <c r="AA218" s="217">
        <f t="shared" si="616"/>
        <v>10.096460985257099</v>
      </c>
      <c r="AB218" s="173">
        <f t="shared" si="617"/>
        <v>1.669531204632009</v>
      </c>
      <c r="AC218" s="173">
        <f t="shared" si="618"/>
        <v>2.9498624174663641</v>
      </c>
      <c r="AD218" s="173"/>
      <c r="AE218" s="173">
        <f t="shared" si="619"/>
        <v>0.55119353440440388</v>
      </c>
      <c r="AF218" s="545">
        <f t="shared" si="620"/>
        <v>54.427343804779412</v>
      </c>
      <c r="AG218" s="528">
        <f t="shared" si="621"/>
        <v>0.3215295617359023</v>
      </c>
      <c r="AI218" s="173">
        <f t="shared" si="622"/>
        <v>1.3144779131954678</v>
      </c>
      <c r="AJ218" s="173">
        <f t="shared" si="623"/>
        <v>3.3333333333333335</v>
      </c>
      <c r="AK218" s="173">
        <f t="shared" si="624"/>
        <v>1.0311013393170168</v>
      </c>
      <c r="AM218" s="545">
        <f t="shared" si="625"/>
        <v>50</v>
      </c>
      <c r="AN218" s="460">
        <f t="shared" si="626"/>
        <v>54.427343804779412</v>
      </c>
      <c r="AP218">
        <f t="shared" si="627"/>
        <v>50</v>
      </c>
      <c r="AQ218">
        <f t="shared" si="628"/>
        <v>54.427343804779412</v>
      </c>
      <c r="AS218" s="5">
        <f t="shared" si="599"/>
        <v>18.373117813480128</v>
      </c>
      <c r="AT218" s="5">
        <f t="shared" si="629"/>
        <v>0.39208842723703041</v>
      </c>
      <c r="AU218" s="5">
        <f t="shared" si="477"/>
        <v>17.981029386243097</v>
      </c>
      <c r="AV218" s="5"/>
      <c r="AW218" s="173">
        <f t="shared" si="478"/>
        <v>2.1340331631105092E-2</v>
      </c>
      <c r="AX218" s="173">
        <f t="shared" si="630"/>
        <v>1.4211584215692403</v>
      </c>
      <c r="AY218" s="173">
        <f t="shared" si="631"/>
        <v>1.6310994472814917</v>
      </c>
      <c r="AZ218" s="173">
        <f t="shared" si="632"/>
        <v>0.87128864149751617</v>
      </c>
      <c r="BA218" s="460">
        <f t="shared" si="593"/>
        <v>7.0015790578041137E-2</v>
      </c>
      <c r="BB218" s="5">
        <f t="shared" si="594"/>
        <v>0.45000979992477963</v>
      </c>
      <c r="BD218" s="173">
        <f t="shared" si="679"/>
        <v>0.28113744912478172</v>
      </c>
      <c r="BE218" s="173">
        <f t="shared" si="680"/>
        <v>1.9038554142590018</v>
      </c>
      <c r="BG218" s="528">
        <f t="shared" si="681"/>
        <v>9.4845918360467088E-4</v>
      </c>
      <c r="BH218" s="528">
        <f t="shared" si="633"/>
        <v>0.22640642562799493</v>
      </c>
      <c r="BI218" s="528">
        <f t="shared" si="682"/>
        <v>6.2591445375496328E-3</v>
      </c>
      <c r="BJ218" s="528">
        <f t="shared" si="683"/>
        <v>0.1253381739860156</v>
      </c>
      <c r="BK218">
        <f t="shared" si="684"/>
        <v>1.7980637810914125E-2</v>
      </c>
      <c r="BL218" s="460">
        <f t="shared" si="685"/>
        <v>24.239782348463759</v>
      </c>
      <c r="BM218" s="528">
        <f t="shared" si="634"/>
        <v>0.35302869917207347</v>
      </c>
      <c r="BN218" s="460">
        <f t="shared" si="686"/>
        <v>353.02869917207346</v>
      </c>
      <c r="BO218" s="528">
        <f t="shared" si="635"/>
        <v>3.4999999999999996E-2</v>
      </c>
      <c r="BR218" s="460">
        <f t="shared" si="687"/>
        <v>34.999999999999993</v>
      </c>
      <c r="BS218" s="528">
        <f t="shared" si="688"/>
        <v>1.1065357142054494E-3</v>
      </c>
      <c r="BT218" s="528">
        <f t="shared" si="689"/>
        <v>5.0745316137646421E-2</v>
      </c>
      <c r="BU218" s="528">
        <f t="shared" si="690"/>
        <v>2.2167142743239557E-2</v>
      </c>
      <c r="BV218" s="528"/>
      <c r="BW218" s="528">
        <f t="shared" si="691"/>
        <v>6.0474826449754909E-2</v>
      </c>
      <c r="BX218" s="460">
        <f t="shared" si="692"/>
        <v>134.49382104484633</v>
      </c>
      <c r="BY218" s="173">
        <f t="shared" si="693"/>
        <v>0.54642666219092528</v>
      </c>
      <c r="BZ218" s="5">
        <f t="shared" si="694"/>
        <v>1.4000000000000001</v>
      </c>
      <c r="CA218" s="173">
        <f t="shared" si="695"/>
        <v>0.71926676056941197</v>
      </c>
      <c r="CB218" s="5">
        <f t="shared" si="696"/>
        <v>71.92667605694119</v>
      </c>
      <c r="CE218" s="562">
        <f t="shared" si="636"/>
        <v>-50</v>
      </c>
      <c r="CF218">
        <f t="shared" si="637"/>
        <v>-50</v>
      </c>
      <c r="CG218" s="173">
        <f t="shared" si="638"/>
        <v>3.0213525826310688E-2</v>
      </c>
      <c r="CI218" s="170">
        <v>2</v>
      </c>
      <c r="CJ218" s="217">
        <f t="shared" si="697"/>
        <v>0.05</v>
      </c>
      <c r="CK218" s="217"/>
      <c r="CL218" s="217">
        <f t="shared" si="639"/>
        <v>1.4000000000000001</v>
      </c>
      <c r="CM218" s="541">
        <f t="shared" si="640"/>
        <v>40</v>
      </c>
      <c r="CN218" s="443">
        <f t="shared" si="641"/>
        <v>28.4</v>
      </c>
      <c r="CO218" s="443">
        <f t="shared" si="642"/>
        <v>68.400000000000006</v>
      </c>
      <c r="CP218" s="443"/>
      <c r="CQ218" s="217">
        <f t="shared" si="643"/>
        <v>0.41520467836257302</v>
      </c>
      <c r="CR218" s="172">
        <f t="shared" si="644"/>
        <v>140.52175355646798</v>
      </c>
      <c r="CS218" s="172">
        <f t="shared" si="645"/>
        <v>1.4000000000000001</v>
      </c>
      <c r="CT218" s="217">
        <f t="shared" si="646"/>
        <v>5.0186340555881426</v>
      </c>
      <c r="CU218" s="217">
        <f t="shared" si="647"/>
        <v>28</v>
      </c>
      <c r="CV218" s="217"/>
      <c r="CW218" s="172">
        <f t="shared" si="648"/>
        <v>6626.669081006974</v>
      </c>
      <c r="CX218" s="172">
        <f t="shared" si="649"/>
        <v>28</v>
      </c>
      <c r="CY218" s="217">
        <f t="shared" si="650"/>
        <v>0.16859154929577472</v>
      </c>
      <c r="CZ218" s="217">
        <f t="shared" si="651"/>
        <v>1.9809507042253528E-2</v>
      </c>
      <c r="DA218" s="217">
        <f t="shared" si="652"/>
        <v>2.7900714144019054E-2</v>
      </c>
      <c r="DB218" s="197">
        <f t="shared" si="653"/>
        <v>350</v>
      </c>
      <c r="DC218" s="443">
        <f t="shared" si="654"/>
        <v>350</v>
      </c>
      <c r="DE218" s="217">
        <f t="shared" si="655"/>
        <v>10.09616239179509</v>
      </c>
      <c r="DF218" s="173">
        <f t="shared" si="656"/>
        <v>1.6708437761069339</v>
      </c>
      <c r="DG218" s="173">
        <f t="shared" si="657"/>
        <v>2.9520942666067511</v>
      </c>
      <c r="DH218" s="173"/>
      <c r="DI218" s="173">
        <f t="shared" si="658"/>
        <v>0.55164319248826299</v>
      </c>
      <c r="DJ218" s="545">
        <f t="shared" si="659"/>
        <v>54.38297872340425</v>
      </c>
      <c r="DK218" s="528">
        <f t="shared" si="660"/>
        <v>0.3217918622848201</v>
      </c>
      <c r="DM218" s="173">
        <f t="shared" si="661"/>
        <v>1.313942072161844</v>
      </c>
      <c r="DN218" s="173">
        <f t="shared" si="662"/>
        <v>3.3333333333333335</v>
      </c>
      <c r="DO218" s="173">
        <f t="shared" si="663"/>
        <v>1.0310759878419453</v>
      </c>
      <c r="DQ218" s="545">
        <f t="shared" si="664"/>
        <v>50</v>
      </c>
      <c r="DR218" s="460">
        <f t="shared" si="665"/>
        <v>54.38297872340425</v>
      </c>
      <c r="DT218">
        <f t="shared" si="666"/>
        <v>50</v>
      </c>
      <c r="DU218">
        <f t="shared" si="667"/>
        <v>54.38297872340425</v>
      </c>
      <c r="DW218" s="5">
        <f t="shared" si="668"/>
        <v>18.388106416275431</v>
      </c>
      <c r="DX218" s="5">
        <f t="shared" si="669"/>
        <v>0.39166666666666672</v>
      </c>
      <c r="DY218" s="5">
        <f t="shared" si="670"/>
        <v>17.996439749608765</v>
      </c>
      <c r="DZ218" s="5"/>
      <c r="EA218" s="173">
        <f t="shared" si="671"/>
        <v>2.1300000000000003E-2</v>
      </c>
      <c r="EB218" s="173">
        <f t="shared" si="698"/>
        <v>1.42</v>
      </c>
      <c r="EC218" s="173">
        <f t="shared" si="699"/>
        <v>1.6311666666666667</v>
      </c>
      <c r="ED218" s="173">
        <f t="shared" si="700"/>
        <v>0.87054255645243683</v>
      </c>
      <c r="EE218" s="460">
        <f t="shared" si="672"/>
        <v>6.9940476190476206E-2</v>
      </c>
      <c r="EF218" s="5">
        <f t="shared" si="673"/>
        <v>0.44991099374021915</v>
      </c>
      <c r="EH218" s="173">
        <f t="shared" si="701"/>
        <v>0.28087165910587869</v>
      </c>
      <c r="EI218" s="173">
        <f t="shared" si="702"/>
        <v>1.9038946438326925</v>
      </c>
      <c r="EK218" s="528">
        <f t="shared" si="703"/>
        <v>9.4666666666666716E-4</v>
      </c>
      <c r="EL218" s="528">
        <f t="shared" si="704"/>
        <v>0.23558706382978728</v>
      </c>
      <c r="EM218" s="528">
        <f t="shared" si="705"/>
        <v>6.2540425531914887E-3</v>
      </c>
      <c r="EN218" s="528">
        <f t="shared" si="706"/>
        <v>0.12530875925106386</v>
      </c>
      <c r="EO218">
        <f t="shared" si="707"/>
        <v>1.7999999999999999E-2</v>
      </c>
      <c r="EP218" s="460">
        <f t="shared" si="708"/>
        <v>24.254042553191489</v>
      </c>
      <c r="EQ218" s="460"/>
      <c r="ER218" s="460">
        <f t="shared" si="709"/>
        <v>386.09653230070927</v>
      </c>
      <c r="ES218" s="528">
        <f t="shared" si="710"/>
        <v>3.4999999999999996E-2</v>
      </c>
      <c r="EV218" s="460">
        <f t="shared" si="711"/>
        <v>34.999999999999993</v>
      </c>
      <c r="EW218" s="528">
        <f t="shared" si="712"/>
        <v>1.104444444444445E-3</v>
      </c>
      <c r="EX218" s="528">
        <f t="shared" si="713"/>
        <v>5.0747407407407408E-2</v>
      </c>
      <c r="EY218" s="528">
        <f t="shared" si="714"/>
        <v>2.2121997882196168E-2</v>
      </c>
      <c r="EZ218" s="528"/>
      <c r="FA218" s="528">
        <f t="shared" si="715"/>
        <v>6.0425531914893617E-2</v>
      </c>
      <c r="FB218" s="460">
        <f t="shared" si="716"/>
        <v>134.39938164894164</v>
      </c>
      <c r="FC218" s="173">
        <f t="shared" si="717"/>
        <v>0.55549591394965092</v>
      </c>
      <c r="FD218" s="5">
        <f t="shared" si="718"/>
        <v>1.4000000000000001</v>
      </c>
      <c r="FE218" s="173">
        <f t="shared" si="719"/>
        <v>0.71593092576313433</v>
      </c>
      <c r="FF218" s="5">
        <f t="shared" si="720"/>
        <v>71.593092576313438</v>
      </c>
      <c r="FI218" s="562">
        <f t="shared" si="674"/>
        <v>-50</v>
      </c>
      <c r="FJ218">
        <f t="shared" si="675"/>
        <v>-50</v>
      </c>
      <c r="FL218">
        <f t="shared" si="676"/>
        <v>3.0000000000000002E-2</v>
      </c>
    </row>
    <row r="219" spans="5:168">
      <c r="E219" s="170">
        <v>3</v>
      </c>
      <c r="F219" s="217">
        <f t="shared" si="677"/>
        <v>7.4999999999999997E-2</v>
      </c>
      <c r="G219" s="217"/>
      <c r="H219" s="217">
        <f t="shared" si="602"/>
        <v>2.1</v>
      </c>
      <c r="I219" s="541">
        <f t="shared" si="603"/>
        <v>39.956972913142501</v>
      </c>
      <c r="J219" s="172">
        <f t="shared" si="604"/>
        <v>28.423168431384806</v>
      </c>
      <c r="K219" s="172">
        <f t="shared" si="605"/>
        <v>68.380141344527303</v>
      </c>
      <c r="L219" s="443"/>
      <c r="M219" s="217">
        <f t="shared" si="606"/>
        <v>0.41566548752914079</v>
      </c>
      <c r="N219" s="172">
        <f t="shared" si="607"/>
        <v>140.52638587924221</v>
      </c>
      <c r="O219" s="172">
        <f t="shared" si="598"/>
        <v>2.1</v>
      </c>
      <c r="P219" s="217">
        <f t="shared" si="608"/>
        <v>5.0187994956872215</v>
      </c>
      <c r="Q219" s="217">
        <f t="shared" si="609"/>
        <v>28</v>
      </c>
      <c r="R219" s="217"/>
      <c r="S219" s="172">
        <f t="shared" si="610"/>
        <v>4399.7103164637047</v>
      </c>
      <c r="T219" s="172">
        <f t="shared" si="611"/>
        <v>28</v>
      </c>
      <c r="U219" s="217">
        <f t="shared" si="612"/>
        <v>0.25287898774613804</v>
      </c>
      <c r="V219" s="217">
        <f t="shared" si="613"/>
        <v>2.974527737600266E-2</v>
      </c>
      <c r="W219" s="217">
        <f t="shared" si="614"/>
        <v>4.1815578909720527E-2</v>
      </c>
      <c r="X219" s="197">
        <f t="shared" si="615"/>
        <v>350</v>
      </c>
      <c r="Y219" s="443">
        <f t="shared" si="678"/>
        <v>350</v>
      </c>
      <c r="AA219" s="217">
        <f t="shared" si="616"/>
        <v>10.096460985257099</v>
      </c>
      <c r="AB219" s="173">
        <f t="shared" si="617"/>
        <v>1.669531204632009</v>
      </c>
      <c r="AC219" s="173">
        <f t="shared" si="618"/>
        <v>2.9498624174663641</v>
      </c>
      <c r="AD219" s="173"/>
      <c r="AE219" s="173">
        <f t="shared" si="619"/>
        <v>0.55119353440440388</v>
      </c>
      <c r="AF219" s="545">
        <f t="shared" si="620"/>
        <v>81.641015707169103</v>
      </c>
      <c r="AG219" s="528">
        <f t="shared" si="621"/>
        <v>0.3215295617359023</v>
      </c>
      <c r="AI219" s="173">
        <f t="shared" si="622"/>
        <v>1.6099000827436676</v>
      </c>
      <c r="AJ219" s="173">
        <f t="shared" si="623"/>
        <v>3.3333333333333335</v>
      </c>
      <c r="AK219" s="173">
        <f t="shared" si="624"/>
        <v>1.0466520089755251</v>
      </c>
      <c r="AM219" s="545">
        <f t="shared" si="625"/>
        <v>75</v>
      </c>
      <c r="AN219" s="460">
        <f t="shared" si="626"/>
        <v>81.641015707169103</v>
      </c>
      <c r="AP219">
        <f t="shared" si="627"/>
        <v>75</v>
      </c>
      <c r="AQ219">
        <f t="shared" si="628"/>
        <v>81.641015707169103</v>
      </c>
      <c r="AS219" s="5">
        <f t="shared" si="599"/>
        <v>12.248745208986755</v>
      </c>
      <c r="AT219" s="5">
        <f t="shared" si="629"/>
        <v>0.39208842723703041</v>
      </c>
      <c r="AU219" s="5">
        <f t="shared" si="477"/>
        <v>11.856656781749724</v>
      </c>
      <c r="AV219" s="5"/>
      <c r="AW219" s="173">
        <f t="shared" si="478"/>
        <v>3.2010497446657633E-2</v>
      </c>
      <c r="AX219" s="173">
        <f t="shared" si="630"/>
        <v>2.1317376323538602</v>
      </c>
      <c r="AY219" s="173">
        <f t="shared" si="631"/>
        <v>1.6133158375889041</v>
      </c>
      <c r="AZ219" s="173">
        <f t="shared" si="632"/>
        <v>1.3213393079558036</v>
      </c>
      <c r="BA219" s="460">
        <f t="shared" si="593"/>
        <v>0.10502368586706172</v>
      </c>
      <c r="BB219" s="5">
        <f t="shared" si="594"/>
        <v>0.44510341690010286</v>
      </c>
      <c r="BD219" s="173">
        <f t="shared" si="679"/>
        <v>0.34432164897169015</v>
      </c>
      <c r="BE219" s="173">
        <f t="shared" si="680"/>
        <v>1.893448258007892</v>
      </c>
      <c r="BG219" s="528">
        <f t="shared" si="681"/>
        <v>1.4226887754070058E-3</v>
      </c>
      <c r="BH219" s="528">
        <f t="shared" si="633"/>
        <v>0.33960963844199238</v>
      </c>
      <c r="BI219" s="528">
        <f t="shared" si="682"/>
        <v>9.3887168063244483E-3</v>
      </c>
      <c r="BJ219" s="528">
        <f t="shared" si="683"/>
        <v>0.18800726097902334</v>
      </c>
      <c r="BK219">
        <f t="shared" si="684"/>
        <v>1.7980637810914125E-2</v>
      </c>
      <c r="BL219" s="460">
        <f t="shared" si="685"/>
        <v>27.369354617238571</v>
      </c>
      <c r="BM219" s="528">
        <f t="shared" si="634"/>
        <v>0.52960273623048115</v>
      </c>
      <c r="BN219" s="460">
        <f t="shared" si="686"/>
        <v>529.60273623048113</v>
      </c>
      <c r="BO219" s="528">
        <f t="shared" si="635"/>
        <v>5.2499999999999998E-2</v>
      </c>
      <c r="BR219" s="460">
        <f t="shared" si="687"/>
        <v>52.5</v>
      </c>
      <c r="BS219" s="528">
        <f t="shared" si="688"/>
        <v>1.6598035713081734E-3</v>
      </c>
      <c r="BT219" s="528">
        <f t="shared" si="689"/>
        <v>5.0192048280543688E-2</v>
      </c>
      <c r="BU219" s="528">
        <f t="shared" si="690"/>
        <v>6.1085462373422723E-2</v>
      </c>
      <c r="BV219" s="528"/>
      <c r="BW219" s="528">
        <f t="shared" si="691"/>
        <v>9.071223967463235E-2</v>
      </c>
      <c r="BX219" s="460">
        <f t="shared" si="692"/>
        <v>203.64955389990695</v>
      </c>
      <c r="BY219" s="173">
        <f t="shared" si="693"/>
        <v>0.81255849671356817</v>
      </c>
      <c r="BZ219" s="5">
        <f t="shared" si="694"/>
        <v>2.1</v>
      </c>
      <c r="CA219" s="173">
        <f t="shared" si="695"/>
        <v>0.72101556153106228</v>
      </c>
      <c r="CB219" s="5">
        <f t="shared" si="696"/>
        <v>72.10155615310623</v>
      </c>
      <c r="CE219" s="562">
        <f t="shared" si="636"/>
        <v>-50</v>
      </c>
      <c r="CF219">
        <f t="shared" si="637"/>
        <v>-50</v>
      </c>
      <c r="CG219" s="173">
        <f t="shared" si="638"/>
        <v>4.532028873946603E-2</v>
      </c>
      <c r="CI219" s="170">
        <v>3</v>
      </c>
      <c r="CJ219" s="217">
        <f t="shared" si="697"/>
        <v>7.4999999999999997E-2</v>
      </c>
      <c r="CK219" s="217"/>
      <c r="CL219" s="217">
        <f t="shared" si="639"/>
        <v>2.1</v>
      </c>
      <c r="CM219" s="541">
        <f t="shared" si="640"/>
        <v>40</v>
      </c>
      <c r="CN219" s="443">
        <f t="shared" si="641"/>
        <v>28.4</v>
      </c>
      <c r="CO219" s="443">
        <f t="shared" si="642"/>
        <v>68.400000000000006</v>
      </c>
      <c r="CP219" s="443"/>
      <c r="CQ219" s="217">
        <f t="shared" si="643"/>
        <v>0.41520467836257302</v>
      </c>
      <c r="CR219" s="172">
        <f t="shared" si="644"/>
        <v>140.52175355646798</v>
      </c>
      <c r="CS219" s="172">
        <f t="shared" si="645"/>
        <v>2.1</v>
      </c>
      <c r="CT219" s="217">
        <f t="shared" si="646"/>
        <v>5.0186340555881426</v>
      </c>
      <c r="CU219" s="217">
        <f t="shared" si="647"/>
        <v>28</v>
      </c>
      <c r="CV219" s="217"/>
      <c r="CW219" s="172">
        <f t="shared" si="648"/>
        <v>4404.4480768058156</v>
      </c>
      <c r="CX219" s="172">
        <f t="shared" si="649"/>
        <v>28</v>
      </c>
      <c r="CY219" s="217">
        <f t="shared" si="650"/>
        <v>0.25288732394366203</v>
      </c>
      <c r="CZ219" s="217">
        <f t="shared" si="651"/>
        <v>2.971426056338029E-2</v>
      </c>
      <c r="DA219" s="217">
        <f t="shared" si="652"/>
        <v>4.1851071216028574E-2</v>
      </c>
      <c r="DB219" s="197">
        <f t="shared" si="653"/>
        <v>350</v>
      </c>
      <c r="DC219" s="443">
        <f t="shared" si="654"/>
        <v>350</v>
      </c>
      <c r="DE219" s="217">
        <f t="shared" si="655"/>
        <v>10.09616239179509</v>
      </c>
      <c r="DF219" s="173">
        <f t="shared" si="656"/>
        <v>1.6708437761069339</v>
      </c>
      <c r="DG219" s="173">
        <f t="shared" si="657"/>
        <v>2.9520942666067511</v>
      </c>
      <c r="DH219" s="173"/>
      <c r="DI219" s="173">
        <f t="shared" si="658"/>
        <v>0.55164319248826299</v>
      </c>
      <c r="DJ219" s="545">
        <f t="shared" si="659"/>
        <v>81.574468085106375</v>
      </c>
      <c r="DK219" s="528">
        <f t="shared" si="660"/>
        <v>0.3217918622848201</v>
      </c>
      <c r="DM219" s="173">
        <f t="shared" si="661"/>
        <v>1.6092438141858556</v>
      </c>
      <c r="DN219" s="173">
        <f t="shared" si="662"/>
        <v>3.3333333333333335</v>
      </c>
      <c r="DO219" s="173">
        <f t="shared" si="663"/>
        <v>1.0466139817629179</v>
      </c>
      <c r="DQ219" s="545">
        <f t="shared" si="664"/>
        <v>75</v>
      </c>
      <c r="DR219" s="460">
        <f t="shared" si="665"/>
        <v>81.574468085106375</v>
      </c>
      <c r="DT219">
        <f t="shared" si="666"/>
        <v>75</v>
      </c>
      <c r="DU219">
        <f t="shared" si="667"/>
        <v>81.574468085106375</v>
      </c>
      <c r="DW219" s="5">
        <f t="shared" si="668"/>
        <v>12.258737610850288</v>
      </c>
      <c r="DX219" s="5">
        <f t="shared" si="669"/>
        <v>0.39166666666666672</v>
      </c>
      <c r="DY219" s="5">
        <f t="shared" si="670"/>
        <v>11.86707094418362</v>
      </c>
      <c r="DZ219" s="5"/>
      <c r="EA219" s="173">
        <f t="shared" si="671"/>
        <v>3.1949999999999999E-2</v>
      </c>
      <c r="EB219" s="173">
        <f t="shared" si="698"/>
        <v>2.13</v>
      </c>
      <c r="EC219" s="173">
        <f t="shared" si="699"/>
        <v>1.6134166666666667</v>
      </c>
      <c r="ED219" s="173">
        <f t="shared" si="700"/>
        <v>1.3201797427818809</v>
      </c>
      <c r="EE219" s="460">
        <f t="shared" si="672"/>
        <v>0.10491071428571429</v>
      </c>
      <c r="EF219" s="5">
        <f t="shared" si="673"/>
        <v>0.44501516040688577</v>
      </c>
      <c r="EH219" s="173">
        <f t="shared" si="701"/>
        <v>0.34399612400917157</v>
      </c>
      <c r="EI219" s="173">
        <f t="shared" si="702"/>
        <v>1.8935074254859341</v>
      </c>
      <c r="EK219" s="528">
        <f t="shared" si="703"/>
        <v>1.4200000000000003E-3</v>
      </c>
      <c r="EL219" s="528">
        <f t="shared" si="704"/>
        <v>0.35338059574468089</v>
      </c>
      <c r="EM219" s="528">
        <f t="shared" si="705"/>
        <v>9.381063829787234E-3</v>
      </c>
      <c r="EN219" s="528">
        <f t="shared" si="706"/>
        <v>0.18796313887659574</v>
      </c>
      <c r="EO219">
        <f t="shared" si="707"/>
        <v>1.7999999999999999E-2</v>
      </c>
      <c r="EP219" s="460">
        <f t="shared" si="708"/>
        <v>27.381063829787234</v>
      </c>
      <c r="EQ219" s="460"/>
      <c r="ER219" s="460">
        <f t="shared" si="709"/>
        <v>570.14479845106393</v>
      </c>
      <c r="ES219" s="528">
        <f t="shared" si="710"/>
        <v>5.2499999999999998E-2</v>
      </c>
      <c r="EV219" s="460">
        <f t="shared" si="711"/>
        <v>52.5</v>
      </c>
      <c r="EW219" s="528">
        <f t="shared" si="712"/>
        <v>1.656666666666667E-3</v>
      </c>
      <c r="EX219" s="528">
        <f t="shared" si="713"/>
        <v>5.0195185185185183E-2</v>
      </c>
      <c r="EY219" s="528">
        <f t="shared" si="714"/>
        <v>6.0961057765099545E-2</v>
      </c>
      <c r="EZ219" s="528"/>
      <c r="FA219" s="528">
        <f t="shared" si="715"/>
        <v>9.0638297872340429E-2</v>
      </c>
      <c r="FB219" s="460">
        <f t="shared" si="716"/>
        <v>203.45120748929182</v>
      </c>
      <c r="FC219" s="173">
        <f t="shared" si="717"/>
        <v>0.8260960059403557</v>
      </c>
      <c r="FD219" s="5">
        <f t="shared" si="718"/>
        <v>2.1</v>
      </c>
      <c r="FE219" s="173">
        <f t="shared" si="719"/>
        <v>0.7176798012562563</v>
      </c>
      <c r="FF219" s="5">
        <f t="shared" si="720"/>
        <v>71.767980125625627</v>
      </c>
      <c r="FI219" s="562">
        <f t="shared" si="674"/>
        <v>-50</v>
      </c>
      <c r="FJ219">
        <f t="shared" si="675"/>
        <v>-50</v>
      </c>
      <c r="FL219">
        <f t="shared" si="676"/>
        <v>4.4999999999999998E-2</v>
      </c>
    </row>
    <row r="220" spans="5:168">
      <c r="E220" s="170">
        <v>4</v>
      </c>
      <c r="F220" s="217">
        <f t="shared" si="677"/>
        <v>0.1</v>
      </c>
      <c r="G220" s="217"/>
      <c r="H220" s="217">
        <f t="shared" si="602"/>
        <v>2.8000000000000003</v>
      </c>
      <c r="I220" s="541">
        <f t="shared" si="603"/>
        <v>39.956972913142501</v>
      </c>
      <c r="J220" s="172">
        <f t="shared" si="604"/>
        <v>28.423168431384806</v>
      </c>
      <c r="K220" s="172">
        <f t="shared" si="605"/>
        <v>68.380141344527303</v>
      </c>
      <c r="L220" s="443"/>
      <c r="M220" s="217">
        <f t="shared" si="606"/>
        <v>0.41566548752914079</v>
      </c>
      <c r="N220" s="172">
        <f t="shared" si="607"/>
        <v>140.52638587924221</v>
      </c>
      <c r="O220" s="172">
        <f t="shared" si="598"/>
        <v>2.8000000000000003</v>
      </c>
      <c r="P220" s="217">
        <f t="shared" si="608"/>
        <v>5.0187994956872215</v>
      </c>
      <c r="Q220" s="217">
        <f t="shared" si="609"/>
        <v>28</v>
      </c>
      <c r="R220" s="217"/>
      <c r="S220" s="172">
        <f t="shared" si="610"/>
        <v>3289.7956275505157</v>
      </c>
      <c r="T220" s="172">
        <f t="shared" si="611"/>
        <v>28</v>
      </c>
      <c r="U220" s="217">
        <f t="shared" si="612"/>
        <v>0.33717198366151746</v>
      </c>
      <c r="V220" s="217">
        <f t="shared" si="613"/>
        <v>3.9660369834670223E-2</v>
      </c>
      <c r="W220" s="217">
        <f t="shared" si="614"/>
        <v>5.5754105212960717E-2</v>
      </c>
      <c r="X220" s="197">
        <f t="shared" si="615"/>
        <v>350</v>
      </c>
      <c r="Y220" s="443">
        <f t="shared" si="678"/>
        <v>350</v>
      </c>
      <c r="AA220" s="217">
        <f t="shared" si="616"/>
        <v>10.096460985257099</v>
      </c>
      <c r="AB220" s="173">
        <f t="shared" si="617"/>
        <v>1.669531204632009</v>
      </c>
      <c r="AC220" s="173">
        <f t="shared" si="618"/>
        <v>2.9498624174663641</v>
      </c>
      <c r="AD220" s="173"/>
      <c r="AE220" s="173">
        <f t="shared" si="619"/>
        <v>0.55119353440440388</v>
      </c>
      <c r="AF220" s="545">
        <f t="shared" si="620"/>
        <v>108.85468760955882</v>
      </c>
      <c r="AG220" s="528">
        <f t="shared" si="621"/>
        <v>0.3215295617359023</v>
      </c>
      <c r="AI220" s="173">
        <f t="shared" si="622"/>
        <v>1.8589524922809144</v>
      </c>
      <c r="AJ220" s="173">
        <f t="shared" si="623"/>
        <v>3.3333333333333335</v>
      </c>
      <c r="AK220" s="173">
        <f t="shared" si="624"/>
        <v>1.0622026786340335</v>
      </c>
      <c r="AM220" s="545">
        <f t="shared" si="625"/>
        <v>100</v>
      </c>
      <c r="AN220" s="460">
        <f t="shared" si="626"/>
        <v>108.85468760955882</v>
      </c>
      <c r="AP220">
        <f t="shared" si="627"/>
        <v>100</v>
      </c>
      <c r="AQ220">
        <f t="shared" si="628"/>
        <v>108.85468760955882</v>
      </c>
      <c r="AS220" s="5">
        <f t="shared" si="599"/>
        <v>9.1865589067400641</v>
      </c>
      <c r="AT220" s="5">
        <f t="shared" si="629"/>
        <v>0.39208842723703041</v>
      </c>
      <c r="AU220" s="5">
        <f t="shared" si="477"/>
        <v>8.7944704795030333</v>
      </c>
      <c r="AV220" s="5"/>
      <c r="AW220" s="173">
        <f t="shared" si="478"/>
        <v>4.2680663262210185E-2</v>
      </c>
      <c r="AX220" s="173">
        <f t="shared" si="630"/>
        <v>2.8423168431384807</v>
      </c>
      <c r="AY220" s="173">
        <f t="shared" si="631"/>
        <v>1.5955322278963164</v>
      </c>
      <c r="AZ220" s="173">
        <f t="shared" si="632"/>
        <v>1.7814223952630714</v>
      </c>
      <c r="BA220" s="460">
        <f t="shared" si="593"/>
        <v>0.14003158115608227</v>
      </c>
      <c r="BB220" s="5">
        <f t="shared" si="594"/>
        <v>0.44019703387542597</v>
      </c>
      <c r="BD220" s="173">
        <f t="shared" si="679"/>
        <v>0.39758839344324237</v>
      </c>
      <c r="BE220" s="173">
        <f t="shared" si="680"/>
        <v>1.8829835828022838</v>
      </c>
      <c r="BG220" s="528">
        <f t="shared" si="681"/>
        <v>1.8969183672093422E-3</v>
      </c>
      <c r="BH220" s="528">
        <f t="shared" si="633"/>
        <v>0.45281285125598986</v>
      </c>
      <c r="BI220" s="528">
        <f t="shared" si="682"/>
        <v>1.2518289075099266E-2</v>
      </c>
      <c r="BJ220" s="528">
        <f t="shared" si="683"/>
        <v>0.2506763479720312</v>
      </c>
      <c r="BK220">
        <f t="shared" si="684"/>
        <v>1.7980637810914125E-2</v>
      </c>
      <c r="BL220" s="460">
        <f t="shared" si="685"/>
        <v>30.49892688601339</v>
      </c>
      <c r="BM220" s="528">
        <f t="shared" si="634"/>
        <v>0.70621658287962952</v>
      </c>
      <c r="BN220" s="460">
        <f t="shared" si="686"/>
        <v>706.21658287962953</v>
      </c>
      <c r="BO220" s="528">
        <f t="shared" si="635"/>
        <v>6.9999999999999993E-2</v>
      </c>
      <c r="BR220" s="460">
        <f t="shared" si="687"/>
        <v>69.999999999999986</v>
      </c>
      <c r="BS220" s="528">
        <f t="shared" si="688"/>
        <v>2.2130714284108993E-3</v>
      </c>
      <c r="BT220" s="528">
        <f t="shared" si="689"/>
        <v>4.9638780423440956E-2</v>
      </c>
      <c r="BU220" s="528">
        <f t="shared" si="690"/>
        <v>0.12539629562619878</v>
      </c>
      <c r="BV220" s="528"/>
      <c r="BW220" s="528">
        <f t="shared" si="691"/>
        <v>0.12094965289950982</v>
      </c>
      <c r="BX220" s="460">
        <f t="shared" si="692"/>
        <v>298.19780037756044</v>
      </c>
      <c r="BY220" s="173">
        <f t="shared" si="693"/>
        <v>1.1040828448588043</v>
      </c>
      <c r="BZ220" s="5">
        <f t="shared" si="694"/>
        <v>2.8000000000000003</v>
      </c>
      <c r="CA220" s="173">
        <f t="shared" si="695"/>
        <v>0.7171978954512338</v>
      </c>
      <c r="CB220" s="5">
        <f t="shared" si="696"/>
        <v>71.719789545123376</v>
      </c>
      <c r="CE220" s="562">
        <f t="shared" si="636"/>
        <v>-50</v>
      </c>
      <c r="CF220">
        <f t="shared" si="637"/>
        <v>-50</v>
      </c>
      <c r="CG220" s="173">
        <f t="shared" si="638"/>
        <v>6.0427051652621376E-2</v>
      </c>
      <c r="CI220" s="170">
        <v>4</v>
      </c>
      <c r="CJ220" s="217">
        <f t="shared" si="697"/>
        <v>0.1</v>
      </c>
      <c r="CK220" s="217"/>
      <c r="CL220" s="217">
        <f t="shared" si="639"/>
        <v>2.8000000000000003</v>
      </c>
      <c r="CM220" s="541">
        <f t="shared" si="640"/>
        <v>40</v>
      </c>
      <c r="CN220" s="443">
        <f t="shared" si="641"/>
        <v>28.4</v>
      </c>
      <c r="CO220" s="443">
        <f t="shared" si="642"/>
        <v>68.400000000000006</v>
      </c>
      <c r="CP220" s="443"/>
      <c r="CQ220" s="217">
        <f t="shared" si="643"/>
        <v>0.41520467836257302</v>
      </c>
      <c r="CR220" s="172">
        <f t="shared" si="644"/>
        <v>140.52175355646798</v>
      </c>
      <c r="CS220" s="172">
        <f t="shared" si="645"/>
        <v>2.8000000000000003</v>
      </c>
      <c r="CT220" s="217">
        <f t="shared" si="646"/>
        <v>5.0186340555881426</v>
      </c>
      <c r="CU220" s="217">
        <f t="shared" si="647"/>
        <v>28</v>
      </c>
      <c r="CV220" s="217"/>
      <c r="CW220" s="172">
        <f t="shared" si="648"/>
        <v>3293.3381910357593</v>
      </c>
      <c r="CX220" s="172">
        <f t="shared" si="649"/>
        <v>28</v>
      </c>
      <c r="CY220" s="217">
        <f t="shared" si="650"/>
        <v>0.33718309859154943</v>
      </c>
      <c r="CZ220" s="217">
        <f t="shared" si="651"/>
        <v>3.9619014084507055E-2</v>
      </c>
      <c r="DA220" s="217">
        <f t="shared" si="652"/>
        <v>5.5801428288038107E-2</v>
      </c>
      <c r="DB220" s="197">
        <f t="shared" si="653"/>
        <v>350</v>
      </c>
      <c r="DC220" s="443">
        <f t="shared" si="654"/>
        <v>350</v>
      </c>
      <c r="DE220" s="217">
        <f t="shared" si="655"/>
        <v>10.09616239179509</v>
      </c>
      <c r="DF220" s="173">
        <f t="shared" si="656"/>
        <v>1.6708437761069339</v>
      </c>
      <c r="DG220" s="173">
        <f t="shared" si="657"/>
        <v>2.9520942666067511</v>
      </c>
      <c r="DH220" s="173"/>
      <c r="DI220" s="173">
        <f t="shared" si="658"/>
        <v>0.55164319248826299</v>
      </c>
      <c r="DJ220" s="545">
        <f t="shared" si="659"/>
        <v>108.7659574468085</v>
      </c>
      <c r="DK220" s="528">
        <f t="shared" si="660"/>
        <v>0.3217918622848201</v>
      </c>
      <c r="DM220" s="173">
        <f t="shared" si="661"/>
        <v>1.8581946986238878</v>
      </c>
      <c r="DN220" s="173">
        <f t="shared" si="662"/>
        <v>3.3333333333333335</v>
      </c>
      <c r="DO220" s="173">
        <f t="shared" si="663"/>
        <v>1.0621519756838906</v>
      </c>
      <c r="DQ220" s="545">
        <f t="shared" si="664"/>
        <v>100</v>
      </c>
      <c r="DR220" s="460">
        <f t="shared" si="665"/>
        <v>108.7659574468085</v>
      </c>
      <c r="DT220">
        <f t="shared" si="666"/>
        <v>100</v>
      </c>
      <c r="DU220">
        <f t="shared" si="667"/>
        <v>108.7659574468085</v>
      </c>
      <c r="DW220" s="5">
        <f t="shared" si="668"/>
        <v>9.1940532081377153</v>
      </c>
      <c r="DX220" s="5">
        <f t="shared" si="669"/>
        <v>0.39166666666666672</v>
      </c>
      <c r="DY220" s="5">
        <f t="shared" si="670"/>
        <v>8.8023865414710478</v>
      </c>
      <c r="DZ220" s="5"/>
      <c r="EA220" s="173">
        <f t="shared" si="671"/>
        <v>4.2600000000000006E-2</v>
      </c>
      <c r="EB220" s="173">
        <f t="shared" si="698"/>
        <v>2.84</v>
      </c>
      <c r="EC220" s="173">
        <f t="shared" si="699"/>
        <v>1.5956666666666668</v>
      </c>
      <c r="ED220" s="173">
        <f t="shared" si="700"/>
        <v>1.7798203467725087</v>
      </c>
      <c r="EE220" s="460">
        <f t="shared" si="672"/>
        <v>0.13988095238095241</v>
      </c>
      <c r="EF220" s="5">
        <f t="shared" si="673"/>
        <v>0.44011932707355239</v>
      </c>
      <c r="EH220" s="173">
        <f t="shared" si="701"/>
        <v>0.39721250959376619</v>
      </c>
      <c r="EI220" s="173">
        <f t="shared" si="702"/>
        <v>1.883062910772215</v>
      </c>
      <c r="EK220" s="528">
        <f t="shared" si="703"/>
        <v>1.8933333333333337E-3</v>
      </c>
      <c r="EL220" s="528">
        <f t="shared" si="704"/>
        <v>0.47117412765957456</v>
      </c>
      <c r="EM220" s="528">
        <f t="shared" si="705"/>
        <v>1.2508085106382977E-2</v>
      </c>
      <c r="EN220" s="528">
        <f t="shared" si="706"/>
        <v>0.25061751850212771</v>
      </c>
      <c r="EO220">
        <f t="shared" si="707"/>
        <v>1.7999999999999999E-2</v>
      </c>
      <c r="EP220" s="460">
        <f t="shared" si="708"/>
        <v>30.508085106382975</v>
      </c>
      <c r="EQ220" s="460"/>
      <c r="ER220" s="460">
        <f t="shared" si="709"/>
        <v>754.19306460141854</v>
      </c>
      <c r="ES220" s="528">
        <f t="shared" si="710"/>
        <v>6.9999999999999993E-2</v>
      </c>
      <c r="EV220" s="460">
        <f t="shared" si="711"/>
        <v>69.999999999999986</v>
      </c>
      <c r="EW220" s="528">
        <f t="shared" si="712"/>
        <v>2.2088888888888891E-3</v>
      </c>
      <c r="EX220" s="528">
        <f t="shared" si="713"/>
        <v>4.9642962962962979E-2</v>
      </c>
      <c r="EY220" s="528">
        <f t="shared" si="714"/>
        <v>0.12514091772716276</v>
      </c>
      <c r="EZ220" s="528"/>
      <c r="FA220" s="528">
        <f t="shared" si="715"/>
        <v>0.12085106382978723</v>
      </c>
      <c r="FB220" s="460">
        <f t="shared" si="716"/>
        <v>297.84383340880186</v>
      </c>
      <c r="FC220" s="173">
        <f t="shared" si="717"/>
        <v>1.1220368980102204</v>
      </c>
      <c r="FD220" s="5">
        <f t="shared" si="718"/>
        <v>2.8000000000000003</v>
      </c>
      <c r="FE220" s="173">
        <f t="shared" si="719"/>
        <v>0.71391475215863809</v>
      </c>
      <c r="FF220" s="5">
        <f t="shared" si="720"/>
        <v>71.391475215863807</v>
      </c>
      <c r="FI220" s="562">
        <f t="shared" si="674"/>
        <v>-50</v>
      </c>
      <c r="FJ220">
        <f t="shared" si="675"/>
        <v>-50</v>
      </c>
      <c r="FL220">
        <f t="shared" si="676"/>
        <v>6.0000000000000005E-2</v>
      </c>
    </row>
    <row r="221" spans="5:168">
      <c r="E221" s="170">
        <v>5</v>
      </c>
      <c r="F221" s="217">
        <f t="shared" si="677"/>
        <v>0.125</v>
      </c>
      <c r="G221" s="217"/>
      <c r="H221" s="217">
        <f t="shared" si="602"/>
        <v>3.5</v>
      </c>
      <c r="I221" s="541">
        <f t="shared" si="603"/>
        <v>39.956972913142501</v>
      </c>
      <c r="J221" s="172">
        <f t="shared" si="604"/>
        <v>28.423168431384806</v>
      </c>
      <c r="K221" s="172">
        <f t="shared" si="605"/>
        <v>68.380141344527303</v>
      </c>
      <c r="L221" s="443"/>
      <c r="M221" s="217">
        <f t="shared" si="606"/>
        <v>0.41566548752914079</v>
      </c>
      <c r="N221" s="172">
        <f t="shared" si="607"/>
        <v>140.52638587924221</v>
      </c>
      <c r="O221" s="172">
        <f t="shared" si="598"/>
        <v>3.5</v>
      </c>
      <c r="P221" s="217">
        <f t="shared" si="608"/>
        <v>5.0187994956872215</v>
      </c>
      <c r="Q221" s="217">
        <f t="shared" si="609"/>
        <v>28</v>
      </c>
      <c r="R221" s="217"/>
      <c r="S221" s="172">
        <f t="shared" si="610"/>
        <v>2623.8473117243038</v>
      </c>
      <c r="T221" s="172">
        <f t="shared" si="611"/>
        <v>28</v>
      </c>
      <c r="U221" s="217">
        <f t="shared" si="612"/>
        <v>0.42146497957689677</v>
      </c>
      <c r="V221" s="217">
        <f t="shared" si="613"/>
        <v>4.9575462293337764E-2</v>
      </c>
      <c r="W221" s="217">
        <f t="shared" si="614"/>
        <v>6.9692631516200879E-2</v>
      </c>
      <c r="X221" s="197">
        <f t="shared" si="615"/>
        <v>350</v>
      </c>
      <c r="Y221" s="443">
        <f t="shared" si="678"/>
        <v>350</v>
      </c>
      <c r="AA221" s="217">
        <f t="shared" si="616"/>
        <v>10.096460985257099</v>
      </c>
      <c r="AB221" s="173">
        <f t="shared" si="617"/>
        <v>1.669531204632009</v>
      </c>
      <c r="AC221" s="173">
        <f t="shared" si="618"/>
        <v>2.9498624174663641</v>
      </c>
      <c r="AD221" s="173"/>
      <c r="AE221" s="173">
        <f t="shared" si="619"/>
        <v>0.55119353440440388</v>
      </c>
      <c r="AF221" s="545">
        <f t="shared" si="620"/>
        <v>136.0683595119485</v>
      </c>
      <c r="AG221" s="528">
        <f t="shared" si="621"/>
        <v>0.3215295617359023</v>
      </c>
      <c r="AI221" s="173">
        <f t="shared" si="622"/>
        <v>2.078372069841389</v>
      </c>
      <c r="AJ221" s="173">
        <f t="shared" si="623"/>
        <v>3.3333333333333335</v>
      </c>
      <c r="AK221" s="173">
        <f t="shared" si="624"/>
        <v>1.0777533482925421</v>
      </c>
      <c r="AM221" s="545">
        <f t="shared" si="625"/>
        <v>125</v>
      </c>
      <c r="AN221" s="460">
        <f t="shared" si="626"/>
        <v>136.0683595119485</v>
      </c>
      <c r="AP221">
        <f t="shared" si="627"/>
        <v>125</v>
      </c>
      <c r="AQ221">
        <f t="shared" si="628"/>
        <v>136.0683595119485</v>
      </c>
      <c r="AS221" s="5">
        <f t="shared" si="599"/>
        <v>7.3492471253920533</v>
      </c>
      <c r="AT221" s="5">
        <f t="shared" si="629"/>
        <v>0.39208842723703041</v>
      </c>
      <c r="AU221" s="5">
        <f t="shared" si="477"/>
        <v>6.9571586981550233</v>
      </c>
      <c r="AV221" s="5"/>
      <c r="AW221" s="173">
        <f t="shared" si="478"/>
        <v>5.3350829077762715E-2</v>
      </c>
      <c r="AX221" s="173">
        <f t="shared" si="630"/>
        <v>3.5528960539231003</v>
      </c>
      <c r="AY221" s="173">
        <f t="shared" si="631"/>
        <v>1.577748618203729</v>
      </c>
      <c r="AZ221" s="173">
        <f t="shared" si="632"/>
        <v>2.2518771450220516</v>
      </c>
      <c r="BA221" s="460">
        <f t="shared" si="593"/>
        <v>0.17503947644510287</v>
      </c>
      <c r="BB221" s="5">
        <f t="shared" si="594"/>
        <v>0.43529065085074919</v>
      </c>
      <c r="BD221" s="173">
        <f t="shared" si="679"/>
        <v>0.44451733740201071</v>
      </c>
      <c r="BE221" s="173">
        <f t="shared" si="680"/>
        <v>1.8724604242687564</v>
      </c>
      <c r="BG221" s="528">
        <f t="shared" si="681"/>
        <v>2.3711479590116762E-3</v>
      </c>
      <c r="BH221" s="528">
        <f t="shared" si="633"/>
        <v>0.56601606406998717</v>
      </c>
      <c r="BI221" s="528">
        <f t="shared" si="682"/>
        <v>1.5647861343874078E-2</v>
      </c>
      <c r="BJ221" s="528">
        <f t="shared" si="683"/>
        <v>0.31334543496503897</v>
      </c>
      <c r="BK221">
        <f t="shared" si="684"/>
        <v>1.7980637810914125E-2</v>
      </c>
      <c r="BL221" s="460">
        <f t="shared" si="685"/>
        <v>33.628499154788202</v>
      </c>
      <c r="BM221" s="528">
        <f t="shared" si="634"/>
        <v>0.88287025258397378</v>
      </c>
      <c r="BN221" s="460">
        <f t="shared" si="686"/>
        <v>882.87025258397375</v>
      </c>
      <c r="BO221" s="528">
        <f t="shared" si="635"/>
        <v>8.7499999999999994E-2</v>
      </c>
      <c r="BR221" s="460">
        <f t="shared" si="687"/>
        <v>87.5</v>
      </c>
      <c r="BS221" s="528">
        <f t="shared" si="688"/>
        <v>2.7663392855136223E-3</v>
      </c>
      <c r="BT221" s="528">
        <f t="shared" si="689"/>
        <v>4.9085512566338238E-2</v>
      </c>
      <c r="BU221" s="528">
        <f t="shared" si="690"/>
        <v>0.21905831339596862</v>
      </c>
      <c r="BV221" s="528"/>
      <c r="BW221" s="528">
        <f t="shared" si="691"/>
        <v>0.15118706612438723</v>
      </c>
      <c r="BX221" s="460">
        <f t="shared" si="692"/>
        <v>422.09723137220766</v>
      </c>
      <c r="BY221" s="173">
        <f t="shared" si="693"/>
        <v>1.4249583775210339</v>
      </c>
      <c r="BZ221" s="5">
        <f t="shared" si="694"/>
        <v>3.5</v>
      </c>
      <c r="CA221" s="173">
        <f t="shared" si="695"/>
        <v>0.71066590450287548</v>
      </c>
      <c r="CB221" s="5">
        <f t="shared" si="696"/>
        <v>71.066590450287549</v>
      </c>
      <c r="CE221" s="562">
        <f t="shared" si="636"/>
        <v>-50</v>
      </c>
      <c r="CF221">
        <f t="shared" si="637"/>
        <v>-50</v>
      </c>
      <c r="CG221" s="173">
        <f t="shared" si="638"/>
        <v>7.5533814565776708E-2</v>
      </c>
      <c r="CI221" s="170">
        <v>5</v>
      </c>
      <c r="CJ221" s="217">
        <f t="shared" si="697"/>
        <v>0.125</v>
      </c>
      <c r="CK221" s="217"/>
      <c r="CL221" s="217">
        <f t="shared" si="639"/>
        <v>3.5</v>
      </c>
      <c r="CM221" s="541">
        <f t="shared" si="640"/>
        <v>40</v>
      </c>
      <c r="CN221" s="443">
        <f t="shared" si="641"/>
        <v>28.4</v>
      </c>
      <c r="CO221" s="443">
        <f t="shared" si="642"/>
        <v>68.400000000000006</v>
      </c>
      <c r="CP221" s="443"/>
      <c r="CQ221" s="217">
        <f t="shared" si="643"/>
        <v>0.41520467836257302</v>
      </c>
      <c r="CR221" s="172">
        <f t="shared" si="644"/>
        <v>140.52175355646798</v>
      </c>
      <c r="CS221" s="172">
        <f t="shared" si="645"/>
        <v>3.5</v>
      </c>
      <c r="CT221" s="217">
        <f t="shared" si="646"/>
        <v>5.0186340555881426</v>
      </c>
      <c r="CU221" s="217">
        <f t="shared" si="647"/>
        <v>28</v>
      </c>
      <c r="CV221" s="217"/>
      <c r="CW221" s="172">
        <f t="shared" si="648"/>
        <v>2626.6727570956268</v>
      </c>
      <c r="CX221" s="172">
        <f t="shared" si="649"/>
        <v>28</v>
      </c>
      <c r="CY221" s="217">
        <f t="shared" si="650"/>
        <v>0.42147887323943672</v>
      </c>
      <c r="CZ221" s="217">
        <f t="shared" si="651"/>
        <v>4.952376760563381E-2</v>
      </c>
      <c r="DA221" s="217">
        <f t="shared" si="652"/>
        <v>6.9751785360047627E-2</v>
      </c>
      <c r="DB221" s="197">
        <f t="shared" si="653"/>
        <v>350</v>
      </c>
      <c r="DC221" s="443">
        <f t="shared" si="654"/>
        <v>350</v>
      </c>
      <c r="DE221" s="217">
        <f t="shared" si="655"/>
        <v>10.09616239179509</v>
      </c>
      <c r="DF221" s="173">
        <f t="shared" si="656"/>
        <v>1.6708437761069339</v>
      </c>
      <c r="DG221" s="173">
        <f t="shared" si="657"/>
        <v>2.9520942666067511</v>
      </c>
      <c r="DH221" s="173"/>
      <c r="DI221" s="173">
        <f t="shared" si="658"/>
        <v>0.55164319248826299</v>
      </c>
      <c r="DJ221" s="545">
        <f t="shared" si="659"/>
        <v>135.95744680851064</v>
      </c>
      <c r="DK221" s="528">
        <f t="shared" si="660"/>
        <v>0.3217918622848201</v>
      </c>
      <c r="DM221" s="173">
        <f t="shared" si="661"/>
        <v>2.0775248307763738</v>
      </c>
      <c r="DN221" s="173">
        <f t="shared" si="662"/>
        <v>3.3333333333333335</v>
      </c>
      <c r="DO221" s="173">
        <f t="shared" si="663"/>
        <v>1.0776899696048632</v>
      </c>
      <c r="DQ221" s="545">
        <f t="shared" si="664"/>
        <v>125</v>
      </c>
      <c r="DR221" s="460">
        <f t="shared" si="665"/>
        <v>135.95744680851064</v>
      </c>
      <c r="DT221">
        <f t="shared" si="666"/>
        <v>125</v>
      </c>
      <c r="DU221">
        <f t="shared" si="667"/>
        <v>135.95744680851064</v>
      </c>
      <c r="DW221" s="5">
        <f t="shared" si="668"/>
        <v>7.3552425665101717</v>
      </c>
      <c r="DX221" s="5">
        <f t="shared" si="669"/>
        <v>0.39166666666666672</v>
      </c>
      <c r="DY221" s="5">
        <f t="shared" si="670"/>
        <v>6.9635758998435051</v>
      </c>
      <c r="DZ221" s="5"/>
      <c r="EA221" s="173">
        <f t="shared" si="671"/>
        <v>5.3250000000000013E-2</v>
      </c>
      <c r="EB221" s="173">
        <f t="shared" si="698"/>
        <v>3.5500000000000003</v>
      </c>
      <c r="EC221" s="173">
        <f t="shared" si="699"/>
        <v>1.5779166666666666</v>
      </c>
      <c r="ED221" s="173">
        <f t="shared" si="700"/>
        <v>2.2498019540533405</v>
      </c>
      <c r="EE221" s="460">
        <f t="shared" si="672"/>
        <v>0.17485119047619049</v>
      </c>
      <c r="EF221" s="5">
        <f t="shared" si="673"/>
        <v>0.43522349374021896</v>
      </c>
      <c r="EH221" s="173">
        <f t="shared" si="701"/>
        <v>0.44409708648247431</v>
      </c>
      <c r="EI221" s="173">
        <f t="shared" si="702"/>
        <v>1.8725601409518153</v>
      </c>
      <c r="EK221" s="528">
        <f t="shared" si="703"/>
        <v>2.3666666666666671E-3</v>
      </c>
      <c r="EL221" s="528">
        <f t="shared" si="704"/>
        <v>0.58896765957446817</v>
      </c>
      <c r="EM221" s="528">
        <f t="shared" si="705"/>
        <v>1.5635106382978724E-2</v>
      </c>
      <c r="EN221" s="528">
        <f t="shared" si="706"/>
        <v>0.31327189812765965</v>
      </c>
      <c r="EO221">
        <f t="shared" si="707"/>
        <v>1.7999999999999999E-2</v>
      </c>
      <c r="EP221" s="460">
        <f t="shared" si="708"/>
        <v>33.635106382978726</v>
      </c>
      <c r="EQ221" s="460"/>
      <c r="ER221" s="460">
        <f t="shared" si="709"/>
        <v>938.24133075177315</v>
      </c>
      <c r="ES221" s="528">
        <f t="shared" si="710"/>
        <v>8.7499999999999994E-2</v>
      </c>
      <c r="EV221" s="460">
        <f t="shared" si="711"/>
        <v>87.5</v>
      </c>
      <c r="EW221" s="528">
        <f t="shared" si="712"/>
        <v>2.7611111111111118E-3</v>
      </c>
      <c r="EX221" s="528">
        <f t="shared" si="713"/>
        <v>4.9090740740740761E-2</v>
      </c>
      <c r="EY221" s="528">
        <f t="shared" si="714"/>
        <v>0.21861218656612871</v>
      </c>
      <c r="EZ221" s="528"/>
      <c r="FA221" s="528">
        <f t="shared" si="715"/>
        <v>0.15106382978723407</v>
      </c>
      <c r="FB221" s="460">
        <f t="shared" si="716"/>
        <v>421.5278682052147</v>
      </c>
      <c r="FC221" s="173">
        <f t="shared" si="717"/>
        <v>1.4472691989569879</v>
      </c>
      <c r="FD221" s="5">
        <f t="shared" si="718"/>
        <v>3.5</v>
      </c>
      <c r="FE221" s="173">
        <f t="shared" si="719"/>
        <v>0.70746099701586684</v>
      </c>
      <c r="FF221" s="5">
        <f t="shared" si="720"/>
        <v>70.746099701586687</v>
      </c>
      <c r="FI221" s="562">
        <f t="shared" si="674"/>
        <v>-50</v>
      </c>
      <c r="FJ221">
        <f t="shared" si="675"/>
        <v>-50</v>
      </c>
      <c r="FL221">
        <f t="shared" si="676"/>
        <v>7.4999999999999997E-2</v>
      </c>
    </row>
    <row r="222" spans="5:168">
      <c r="E222" s="170">
        <v>6</v>
      </c>
      <c r="F222" s="217">
        <f t="shared" si="677"/>
        <v>0.15</v>
      </c>
      <c r="G222" s="217"/>
      <c r="H222" s="217">
        <f t="shared" si="602"/>
        <v>4.2</v>
      </c>
      <c r="I222" s="541">
        <f t="shared" si="603"/>
        <v>39.956972913142501</v>
      </c>
      <c r="J222" s="172">
        <f t="shared" si="604"/>
        <v>28.423168431384806</v>
      </c>
      <c r="K222" s="172">
        <f t="shared" si="605"/>
        <v>68.380141344527303</v>
      </c>
      <c r="L222" s="443"/>
      <c r="M222" s="217">
        <f t="shared" si="606"/>
        <v>0.41566548752914079</v>
      </c>
      <c r="N222" s="172">
        <f t="shared" si="607"/>
        <v>140.52638587924221</v>
      </c>
      <c r="O222" s="172">
        <f t="shared" si="598"/>
        <v>4.2</v>
      </c>
      <c r="P222" s="217">
        <f t="shared" si="608"/>
        <v>5.0187994956872215</v>
      </c>
      <c r="Q222" s="217">
        <f t="shared" si="609"/>
        <v>28</v>
      </c>
      <c r="R222" s="217"/>
      <c r="S222" s="172">
        <f t="shared" si="610"/>
        <v>2179.8821862005407</v>
      </c>
      <c r="T222" s="172">
        <f t="shared" si="611"/>
        <v>28</v>
      </c>
      <c r="U222" s="217">
        <f t="shared" si="612"/>
        <v>0.50575797549227608</v>
      </c>
      <c r="V222" s="217">
        <f t="shared" si="613"/>
        <v>5.949055475200532E-2</v>
      </c>
      <c r="W222" s="217">
        <f t="shared" si="614"/>
        <v>8.3631157819441054E-2</v>
      </c>
      <c r="X222" s="197">
        <f t="shared" si="615"/>
        <v>350</v>
      </c>
      <c r="Y222" s="443">
        <f t="shared" si="678"/>
        <v>350</v>
      </c>
      <c r="AA222" s="217">
        <f t="shared" si="616"/>
        <v>10.096460985257099</v>
      </c>
      <c r="AB222" s="173">
        <f t="shared" si="617"/>
        <v>1.669531204632009</v>
      </c>
      <c r="AC222" s="173">
        <f t="shared" si="618"/>
        <v>2.9498624174663641</v>
      </c>
      <c r="AD222" s="173"/>
      <c r="AE222" s="173">
        <f t="shared" si="619"/>
        <v>0.55119353440440388</v>
      </c>
      <c r="AF222" s="545">
        <f t="shared" si="620"/>
        <v>163.28203141433821</v>
      </c>
      <c r="AG222" s="528">
        <f t="shared" si="621"/>
        <v>0.3215295617359023</v>
      </c>
      <c r="AI222" s="173">
        <f t="shared" si="622"/>
        <v>2.2767425310816627</v>
      </c>
      <c r="AJ222" s="173">
        <f t="shared" si="623"/>
        <v>3.3333333333333335</v>
      </c>
      <c r="AK222" s="173">
        <f t="shared" si="624"/>
        <v>1.0933040179510505</v>
      </c>
      <c r="AM222" s="545">
        <f t="shared" si="625"/>
        <v>150</v>
      </c>
      <c r="AN222" s="460">
        <f t="shared" si="626"/>
        <v>163.28203141433821</v>
      </c>
      <c r="AP222">
        <f t="shared" si="627"/>
        <v>150</v>
      </c>
      <c r="AQ222">
        <f t="shared" si="628"/>
        <v>163.28203141433821</v>
      </c>
      <c r="AS222" s="5">
        <f t="shared" si="599"/>
        <v>6.1243726044933773</v>
      </c>
      <c r="AT222" s="5">
        <f t="shared" si="629"/>
        <v>0.39208842723703041</v>
      </c>
      <c r="AU222" s="5">
        <f t="shared" si="477"/>
        <v>5.7322841772563464</v>
      </c>
      <c r="AV222" s="5"/>
      <c r="AW222" s="173">
        <f t="shared" si="478"/>
        <v>6.4020994893315267E-2</v>
      </c>
      <c r="AX222" s="173">
        <f t="shared" si="630"/>
        <v>4.2634752647077203</v>
      </c>
      <c r="AY222" s="173">
        <f t="shared" si="631"/>
        <v>1.5599650085111414</v>
      </c>
      <c r="AZ222" s="173">
        <f t="shared" si="632"/>
        <v>2.7330582682600411</v>
      </c>
      <c r="BA222" s="460">
        <f t="shared" si="593"/>
        <v>0.21004737173412344</v>
      </c>
      <c r="BB222" s="5">
        <f t="shared" si="594"/>
        <v>0.43038426782607225</v>
      </c>
      <c r="BD222" s="173">
        <f t="shared" si="679"/>
        <v>0.48694434579443235</v>
      </c>
      <c r="BE222" s="173">
        <f t="shared" si="680"/>
        <v>1.8618777907807313</v>
      </c>
      <c r="BG222" s="528">
        <f t="shared" si="681"/>
        <v>2.8453775508140125E-3</v>
      </c>
      <c r="BH222" s="528">
        <f t="shared" si="633"/>
        <v>0.67921927688398476</v>
      </c>
      <c r="BI222" s="528">
        <f t="shared" si="682"/>
        <v>1.8777433612648897E-2</v>
      </c>
      <c r="BJ222" s="528">
        <f t="shared" si="683"/>
        <v>0.37601452195804669</v>
      </c>
      <c r="BK222">
        <f t="shared" si="684"/>
        <v>1.7980637810914125E-2</v>
      </c>
      <c r="BL222" s="460">
        <f t="shared" si="685"/>
        <v>36.758071423563024</v>
      </c>
      <c r="BM222" s="528">
        <f t="shared" si="634"/>
        <v>1.0595637588140425</v>
      </c>
      <c r="BN222" s="460">
        <f t="shared" si="686"/>
        <v>1059.5637588140426</v>
      </c>
      <c r="BO222" s="528">
        <f t="shared" si="635"/>
        <v>0.105</v>
      </c>
      <c r="BR222" s="460">
        <f t="shared" si="687"/>
        <v>105</v>
      </c>
      <c r="BS222" s="528">
        <f t="shared" si="688"/>
        <v>3.319607142616348E-3</v>
      </c>
      <c r="BT222" s="528">
        <f t="shared" si="689"/>
        <v>4.853224470923552E-2</v>
      </c>
      <c r="BU222" s="528">
        <f t="shared" si="690"/>
        <v>0.34555155740930299</v>
      </c>
      <c r="BV222" s="528"/>
      <c r="BW222" s="528">
        <f t="shared" si="691"/>
        <v>0.1814244793492647</v>
      </c>
      <c r="BX222" s="460">
        <f t="shared" si="692"/>
        <v>578.82788861041956</v>
      </c>
      <c r="BY222" s="173">
        <f t="shared" si="693"/>
        <v>1.778665136426828</v>
      </c>
      <c r="BZ222" s="5">
        <f t="shared" si="694"/>
        <v>4.2</v>
      </c>
      <c r="CA222" s="173">
        <f t="shared" si="695"/>
        <v>0.70249794965271228</v>
      </c>
      <c r="CB222" s="5">
        <f t="shared" si="696"/>
        <v>70.249794965271235</v>
      </c>
      <c r="CE222" s="562">
        <f t="shared" si="636"/>
        <v>-50</v>
      </c>
      <c r="CF222">
        <f t="shared" si="637"/>
        <v>-50</v>
      </c>
      <c r="CG222" s="173">
        <f t="shared" si="638"/>
        <v>9.0640577478932061E-2</v>
      </c>
      <c r="CI222" s="170">
        <v>6</v>
      </c>
      <c r="CJ222" s="217">
        <f t="shared" si="697"/>
        <v>0.15</v>
      </c>
      <c r="CK222" s="217"/>
      <c r="CL222" s="217">
        <f t="shared" si="639"/>
        <v>4.2</v>
      </c>
      <c r="CM222" s="541">
        <f t="shared" si="640"/>
        <v>40</v>
      </c>
      <c r="CN222" s="443">
        <f t="shared" si="641"/>
        <v>28.4</v>
      </c>
      <c r="CO222" s="443">
        <f t="shared" si="642"/>
        <v>68.400000000000006</v>
      </c>
      <c r="CP222" s="443"/>
      <c r="CQ222" s="217">
        <f t="shared" si="643"/>
        <v>0.41520467836257302</v>
      </c>
      <c r="CR222" s="172">
        <f t="shared" si="644"/>
        <v>140.52175355646798</v>
      </c>
      <c r="CS222" s="172">
        <f t="shared" si="645"/>
        <v>4.2</v>
      </c>
      <c r="CT222" s="217">
        <f t="shared" si="646"/>
        <v>5.0186340555881426</v>
      </c>
      <c r="CU222" s="217">
        <f t="shared" si="647"/>
        <v>28</v>
      </c>
      <c r="CV222" s="217"/>
      <c r="CW222" s="172">
        <f t="shared" si="648"/>
        <v>2182.2295528294617</v>
      </c>
      <c r="CX222" s="172">
        <f t="shared" si="649"/>
        <v>28</v>
      </c>
      <c r="CY222" s="217">
        <f t="shared" si="650"/>
        <v>0.50577464788732407</v>
      </c>
      <c r="CZ222" s="217">
        <f t="shared" si="651"/>
        <v>5.9428521126760579E-2</v>
      </c>
      <c r="DA222" s="217">
        <f t="shared" si="652"/>
        <v>8.3702142432057147E-2</v>
      </c>
      <c r="DB222" s="197">
        <f t="shared" si="653"/>
        <v>350</v>
      </c>
      <c r="DC222" s="443">
        <f t="shared" si="654"/>
        <v>350</v>
      </c>
      <c r="DE222" s="217">
        <f t="shared" si="655"/>
        <v>10.09616239179509</v>
      </c>
      <c r="DF222" s="173">
        <f t="shared" si="656"/>
        <v>1.6708437761069339</v>
      </c>
      <c r="DG222" s="173">
        <f t="shared" si="657"/>
        <v>2.9520942666067511</v>
      </c>
      <c r="DH222" s="173"/>
      <c r="DI222" s="173">
        <f t="shared" si="658"/>
        <v>0.55164319248826299</v>
      </c>
      <c r="DJ222" s="545">
        <f t="shared" si="659"/>
        <v>163.14893617021275</v>
      </c>
      <c r="DK222" s="528">
        <f t="shared" si="660"/>
        <v>0.3217918622848201</v>
      </c>
      <c r="DM222" s="173">
        <f t="shared" si="661"/>
        <v>2.2758144271866461</v>
      </c>
      <c r="DN222" s="173">
        <f t="shared" si="662"/>
        <v>3.3333333333333335</v>
      </c>
      <c r="DO222" s="173">
        <f t="shared" si="663"/>
        <v>1.093227963525836</v>
      </c>
      <c r="DQ222" s="545">
        <f t="shared" si="664"/>
        <v>150</v>
      </c>
      <c r="DR222" s="460">
        <f t="shared" si="665"/>
        <v>163.14893617021275</v>
      </c>
      <c r="DT222">
        <f t="shared" si="666"/>
        <v>150</v>
      </c>
      <c r="DU222">
        <f t="shared" si="667"/>
        <v>163.14893617021275</v>
      </c>
      <c r="DW222" s="5">
        <f t="shared" si="668"/>
        <v>6.1293688054251438</v>
      </c>
      <c r="DX222" s="5">
        <f t="shared" si="669"/>
        <v>0.39166666666666672</v>
      </c>
      <c r="DY222" s="5">
        <f t="shared" si="670"/>
        <v>5.7377021387584772</v>
      </c>
      <c r="DZ222" s="5"/>
      <c r="EA222" s="173">
        <f t="shared" si="671"/>
        <v>6.3899999999999998E-2</v>
      </c>
      <c r="EB222" s="173">
        <f t="shared" si="698"/>
        <v>4.26</v>
      </c>
      <c r="EC222" s="173">
        <f t="shared" si="699"/>
        <v>1.5601666666666667</v>
      </c>
      <c r="ED222" s="173">
        <f t="shared" si="700"/>
        <v>2.7304775130862087</v>
      </c>
      <c r="EE222" s="460">
        <f t="shared" si="672"/>
        <v>0.20982142857142858</v>
      </c>
      <c r="EF222" s="5">
        <f t="shared" si="673"/>
        <v>0.43032766040688575</v>
      </c>
      <c r="EH222" s="173">
        <f t="shared" si="701"/>
        <v>0.4864839839775475</v>
      </c>
      <c r="EI222" s="173">
        <f t="shared" si="702"/>
        <v>1.8619981302453119</v>
      </c>
      <c r="EK222" s="528">
        <f t="shared" si="703"/>
        <v>2.8400000000000005E-3</v>
      </c>
      <c r="EL222" s="528">
        <f t="shared" si="704"/>
        <v>0.70676119148936178</v>
      </c>
      <c r="EM222" s="528">
        <f t="shared" si="705"/>
        <v>1.8762127659574468E-2</v>
      </c>
      <c r="EN222" s="528">
        <f t="shared" si="706"/>
        <v>0.37592627775319148</v>
      </c>
      <c r="EO222">
        <f t="shared" si="707"/>
        <v>1.7999999999999999E-2</v>
      </c>
      <c r="EP222" s="460">
        <f t="shared" si="708"/>
        <v>36.762127659574467</v>
      </c>
      <c r="EQ222" s="460"/>
      <c r="ER222" s="460">
        <f t="shared" si="709"/>
        <v>1122.2895969021279</v>
      </c>
      <c r="ES222" s="528">
        <f t="shared" si="710"/>
        <v>0.105</v>
      </c>
      <c r="EV222" s="460">
        <f t="shared" si="711"/>
        <v>105</v>
      </c>
      <c r="EW222" s="528">
        <f t="shared" si="712"/>
        <v>3.3133333333333339E-3</v>
      </c>
      <c r="EX222" s="528">
        <f t="shared" si="713"/>
        <v>4.8538518518518523E-2</v>
      </c>
      <c r="EY222" s="528">
        <f t="shared" si="714"/>
        <v>0.344847818672053</v>
      </c>
      <c r="EZ222" s="528"/>
      <c r="FA222" s="528">
        <f t="shared" si="715"/>
        <v>0.18127659574468086</v>
      </c>
      <c r="FB222" s="460">
        <f t="shared" si="716"/>
        <v>577.97626626858562</v>
      </c>
      <c r="FC222" s="173">
        <f t="shared" si="717"/>
        <v>1.8052658631707135</v>
      </c>
      <c r="FD222" s="5">
        <f t="shared" si="718"/>
        <v>4.2</v>
      </c>
      <c r="FE222" s="173">
        <f t="shared" si="719"/>
        <v>0.69938618800507979</v>
      </c>
      <c r="FF222" s="5">
        <f t="shared" si="720"/>
        <v>69.938618800507982</v>
      </c>
      <c r="FI222" s="562">
        <f t="shared" si="674"/>
        <v>-50</v>
      </c>
      <c r="FJ222">
        <f t="shared" si="675"/>
        <v>-50</v>
      </c>
      <c r="FL222">
        <f t="shared" si="676"/>
        <v>0.09</v>
      </c>
    </row>
    <row r="223" spans="5:168">
      <c r="E223" s="170">
        <v>7</v>
      </c>
      <c r="F223" s="217">
        <f t="shared" si="677"/>
        <v>0.17500000000000002</v>
      </c>
      <c r="G223" s="217"/>
      <c r="H223" s="217">
        <f t="shared" si="602"/>
        <v>4.9000000000000004</v>
      </c>
      <c r="I223" s="541">
        <f t="shared" si="603"/>
        <v>39.956972913142501</v>
      </c>
      <c r="J223" s="172">
        <f t="shared" si="604"/>
        <v>28.423168431384806</v>
      </c>
      <c r="K223" s="172">
        <f t="shared" si="605"/>
        <v>68.380141344527303</v>
      </c>
      <c r="L223" s="443"/>
      <c r="M223" s="217">
        <f t="shared" si="606"/>
        <v>0.41566548752914079</v>
      </c>
      <c r="N223" s="172">
        <f t="shared" si="607"/>
        <v>140.52638587924221</v>
      </c>
      <c r="O223" s="172">
        <f t="shared" si="598"/>
        <v>4.9000000000000004</v>
      </c>
      <c r="P223" s="217">
        <f t="shared" si="608"/>
        <v>5.0187994956872215</v>
      </c>
      <c r="Q223" s="217">
        <f t="shared" si="609"/>
        <v>28</v>
      </c>
      <c r="R223" s="217"/>
      <c r="S223" s="172">
        <f t="shared" si="610"/>
        <v>1862.7646012530761</v>
      </c>
      <c r="T223" s="172">
        <f t="shared" si="611"/>
        <v>28</v>
      </c>
      <c r="U223" s="217">
        <f t="shared" si="612"/>
        <v>0.5900509714076555</v>
      </c>
      <c r="V223" s="217">
        <f t="shared" si="613"/>
        <v>6.9405647210672883E-2</v>
      </c>
      <c r="W223" s="217">
        <f t="shared" si="614"/>
        <v>9.7569684122681244E-2</v>
      </c>
      <c r="X223" s="197">
        <f t="shared" si="615"/>
        <v>350</v>
      </c>
      <c r="Y223" s="443">
        <f t="shared" si="678"/>
        <v>350</v>
      </c>
      <c r="AA223" s="217">
        <f t="shared" si="616"/>
        <v>10.096460985257099</v>
      </c>
      <c r="AB223" s="173">
        <f t="shared" si="617"/>
        <v>1.669531204632009</v>
      </c>
      <c r="AC223" s="173">
        <f t="shared" si="618"/>
        <v>2.9498624174663641</v>
      </c>
      <c r="AD223" s="173"/>
      <c r="AE223" s="173">
        <f t="shared" si="619"/>
        <v>0.55119353440440388</v>
      </c>
      <c r="AF223" s="545">
        <f t="shared" si="620"/>
        <v>190.49570331672794</v>
      </c>
      <c r="AG223" s="528">
        <f t="shared" si="621"/>
        <v>0.3215295617359023</v>
      </c>
      <c r="AI223" s="173">
        <f t="shared" si="622"/>
        <v>2.4591629968295088</v>
      </c>
      <c r="AJ223" s="173">
        <f t="shared" si="623"/>
        <v>3.3333333333333335</v>
      </c>
      <c r="AK223" s="173">
        <f t="shared" si="624"/>
        <v>1.1088546876095589</v>
      </c>
      <c r="AM223" s="545">
        <f t="shared" si="625"/>
        <v>175.00000000000003</v>
      </c>
      <c r="AN223" s="460">
        <f t="shared" si="626"/>
        <v>190.49570331672794</v>
      </c>
      <c r="AP223">
        <f t="shared" si="627"/>
        <v>175.00000000000003</v>
      </c>
      <c r="AQ223">
        <f t="shared" si="628"/>
        <v>190.49570331672794</v>
      </c>
      <c r="AS223" s="5">
        <f t="shared" si="599"/>
        <v>5.2494622324228946</v>
      </c>
      <c r="AT223" s="5">
        <f t="shared" si="629"/>
        <v>0.39208842723703041</v>
      </c>
      <c r="AU223" s="5">
        <f t="shared" si="477"/>
        <v>4.8573738051858637</v>
      </c>
      <c r="AV223" s="5"/>
      <c r="AW223" s="173">
        <f t="shared" si="478"/>
        <v>7.4691160708867818E-2</v>
      </c>
      <c r="AX223" s="173">
        <f t="shared" si="630"/>
        <v>4.9740544754923413</v>
      </c>
      <c r="AY223" s="173">
        <f t="shared" si="631"/>
        <v>1.5421813988185538</v>
      </c>
      <c r="AZ223" s="173">
        <f t="shared" si="632"/>
        <v>3.2253368373544795</v>
      </c>
      <c r="BA223" s="460">
        <f t="shared" si="593"/>
        <v>0.24505526702314404</v>
      </c>
      <c r="BB223" s="5">
        <f t="shared" si="594"/>
        <v>0.42547788480139542</v>
      </c>
      <c r="BD223" s="173">
        <f t="shared" si="679"/>
        <v>0.52596000660826137</v>
      </c>
      <c r="BE223" s="173">
        <f t="shared" si="680"/>
        <v>1.8512346623678864</v>
      </c>
      <c r="BG223" s="528">
        <f t="shared" si="681"/>
        <v>3.319607142616348E-3</v>
      </c>
      <c r="BH223" s="528">
        <f t="shared" si="633"/>
        <v>0.79242248969798224</v>
      </c>
      <c r="BI223" s="528">
        <f t="shared" si="682"/>
        <v>2.1907005881423715E-2</v>
      </c>
      <c r="BJ223" s="528">
        <f t="shared" si="683"/>
        <v>0.43868360895105463</v>
      </c>
      <c r="BK223">
        <f t="shared" si="684"/>
        <v>1.7980637810914125E-2</v>
      </c>
      <c r="BL223" s="460">
        <f t="shared" si="685"/>
        <v>39.887643692337839</v>
      </c>
      <c r="BM223" s="528">
        <f t="shared" si="634"/>
        <v>1.2362971150464401</v>
      </c>
      <c r="BN223" s="460">
        <f t="shared" si="686"/>
        <v>1236.2971150464402</v>
      </c>
      <c r="BO223" s="528">
        <f t="shared" si="635"/>
        <v>0.1225</v>
      </c>
      <c r="BR223" s="460">
        <f t="shared" si="687"/>
        <v>122.5</v>
      </c>
      <c r="BS223" s="528">
        <f t="shared" si="688"/>
        <v>3.8728749997190724E-3</v>
      </c>
      <c r="BT223" s="528">
        <f t="shared" si="689"/>
        <v>4.7978976852132794E-2</v>
      </c>
      <c r="BU223" s="528">
        <f t="shared" si="690"/>
        <v>0.50801885200710228</v>
      </c>
      <c r="BV223" s="528"/>
      <c r="BW223" s="528">
        <f t="shared" si="691"/>
        <v>0.21166189257414217</v>
      </c>
      <c r="BX223" s="460">
        <f t="shared" si="692"/>
        <v>771.53259643309627</v>
      </c>
      <c r="BY223" s="173">
        <f t="shared" si="693"/>
        <v>2.1683459459170873</v>
      </c>
      <c r="BZ223" s="5">
        <f t="shared" si="694"/>
        <v>4.9000000000000004</v>
      </c>
      <c r="CA223" s="173">
        <f t="shared" si="695"/>
        <v>0.69323149114262073</v>
      </c>
      <c r="CB223" s="5">
        <f t="shared" si="696"/>
        <v>69.323149114262065</v>
      </c>
      <c r="CE223" s="562">
        <f t="shared" si="636"/>
        <v>-50</v>
      </c>
      <c r="CF223">
        <f t="shared" si="637"/>
        <v>-50</v>
      </c>
      <c r="CG223" s="173">
        <f t="shared" si="638"/>
        <v>0.10574734039208741</v>
      </c>
      <c r="CI223" s="170">
        <v>7</v>
      </c>
      <c r="CJ223" s="217">
        <f t="shared" si="697"/>
        <v>0.17500000000000002</v>
      </c>
      <c r="CK223" s="217"/>
      <c r="CL223" s="217">
        <f t="shared" si="639"/>
        <v>4.9000000000000004</v>
      </c>
      <c r="CM223" s="541">
        <f t="shared" si="640"/>
        <v>40</v>
      </c>
      <c r="CN223" s="443">
        <f t="shared" si="641"/>
        <v>28.4</v>
      </c>
      <c r="CO223" s="443">
        <f t="shared" si="642"/>
        <v>68.400000000000006</v>
      </c>
      <c r="CP223" s="443"/>
      <c r="CQ223" s="217">
        <f t="shared" si="643"/>
        <v>0.41520467836257302</v>
      </c>
      <c r="CR223" s="172">
        <f t="shared" si="644"/>
        <v>140.52175355646798</v>
      </c>
      <c r="CS223" s="172">
        <f t="shared" si="645"/>
        <v>4.9000000000000004</v>
      </c>
      <c r="CT223" s="217">
        <f t="shared" si="646"/>
        <v>5.0186340555881426</v>
      </c>
      <c r="CU223" s="217">
        <f t="shared" si="647"/>
        <v>28</v>
      </c>
      <c r="CV223" s="217"/>
      <c r="CW223" s="172">
        <f t="shared" si="648"/>
        <v>1864.7704830662183</v>
      </c>
      <c r="CX223" s="172">
        <f t="shared" si="649"/>
        <v>28</v>
      </c>
      <c r="CY223" s="217">
        <f t="shared" si="650"/>
        <v>0.59007042253521147</v>
      </c>
      <c r="CZ223" s="217">
        <f t="shared" si="651"/>
        <v>6.9333274647887341E-2</v>
      </c>
      <c r="DA223" s="217">
        <f t="shared" si="652"/>
        <v>9.7652499504066695E-2</v>
      </c>
      <c r="DB223" s="197">
        <f t="shared" si="653"/>
        <v>350</v>
      </c>
      <c r="DC223" s="443">
        <f t="shared" si="654"/>
        <v>350</v>
      </c>
      <c r="DE223" s="217">
        <f t="shared" si="655"/>
        <v>10.09616239179509</v>
      </c>
      <c r="DF223" s="173">
        <f t="shared" si="656"/>
        <v>1.6708437761069339</v>
      </c>
      <c r="DG223" s="173">
        <f t="shared" si="657"/>
        <v>2.9520942666067511</v>
      </c>
      <c r="DH223" s="173"/>
      <c r="DI223" s="173">
        <f t="shared" si="658"/>
        <v>0.55164319248826299</v>
      </c>
      <c r="DJ223" s="545">
        <f t="shared" si="659"/>
        <v>190.34042553191489</v>
      </c>
      <c r="DK223" s="528">
        <f t="shared" si="660"/>
        <v>0.3217918622848201</v>
      </c>
      <c r="DM223" s="173">
        <f t="shared" si="661"/>
        <v>2.4581605300487115</v>
      </c>
      <c r="DN223" s="173">
        <f t="shared" si="662"/>
        <v>3.3333333333333335</v>
      </c>
      <c r="DO223" s="173">
        <f t="shared" si="663"/>
        <v>1.1087659574468085</v>
      </c>
      <c r="DQ223" s="545">
        <f t="shared" si="664"/>
        <v>175.00000000000003</v>
      </c>
      <c r="DR223" s="460">
        <f t="shared" si="665"/>
        <v>190.34042553191489</v>
      </c>
      <c r="DT223">
        <f t="shared" si="666"/>
        <v>175.00000000000003</v>
      </c>
      <c r="DU223">
        <f t="shared" si="667"/>
        <v>190.34042553191489</v>
      </c>
      <c r="DW223" s="5">
        <f t="shared" si="668"/>
        <v>5.2537446903644094</v>
      </c>
      <c r="DX223" s="5">
        <f t="shared" si="669"/>
        <v>0.39166666666666672</v>
      </c>
      <c r="DY223" s="5">
        <f t="shared" si="670"/>
        <v>4.8620780236977428</v>
      </c>
      <c r="DZ223" s="5"/>
      <c r="EA223" s="173">
        <f t="shared" si="671"/>
        <v>7.4550000000000005E-2</v>
      </c>
      <c r="EB223" s="173">
        <f t="shared" si="698"/>
        <v>4.9700000000000006</v>
      </c>
      <c r="EC223" s="173">
        <f t="shared" si="699"/>
        <v>1.5424166666666668</v>
      </c>
      <c r="ED223" s="173">
        <f t="shared" si="700"/>
        <v>3.2222162191366364</v>
      </c>
      <c r="EE223" s="460">
        <f t="shared" si="672"/>
        <v>0.24479166666666671</v>
      </c>
      <c r="EF223" s="5">
        <f t="shared" si="673"/>
        <v>0.42543182707355248</v>
      </c>
      <c r="EH223" s="173">
        <f t="shared" si="701"/>
        <v>0.52546275901448158</v>
      </c>
      <c r="EI223" s="173">
        <f t="shared" si="702"/>
        <v>1.8513758647537224</v>
      </c>
      <c r="EK223" s="528">
        <f t="shared" si="703"/>
        <v>3.3133333333333339E-3</v>
      </c>
      <c r="EL223" s="528">
        <f t="shared" si="704"/>
        <v>0.82455472340425551</v>
      </c>
      <c r="EM223" s="528">
        <f t="shared" si="705"/>
        <v>2.1889148936170215E-2</v>
      </c>
      <c r="EN223" s="528">
        <f t="shared" si="706"/>
        <v>0.43858065737872343</v>
      </c>
      <c r="EO223">
        <f t="shared" si="707"/>
        <v>1.7999999999999999E-2</v>
      </c>
      <c r="EP223" s="460">
        <f t="shared" si="708"/>
        <v>39.889148936170209</v>
      </c>
      <c r="EQ223" s="460"/>
      <c r="ER223" s="460">
        <f t="shared" si="709"/>
        <v>1306.3378630524824</v>
      </c>
      <c r="ES223" s="528">
        <f t="shared" si="710"/>
        <v>0.1225</v>
      </c>
      <c r="EV223" s="460">
        <f t="shared" si="711"/>
        <v>122.5</v>
      </c>
      <c r="EW223" s="528">
        <f t="shared" si="712"/>
        <v>3.8655555555555561E-3</v>
      </c>
      <c r="EX223" s="528">
        <f t="shared" si="713"/>
        <v>4.7986296296296312E-2</v>
      </c>
      <c r="EY223" s="528">
        <f t="shared" si="714"/>
        <v>0.50698423781496538</v>
      </c>
      <c r="EZ223" s="528"/>
      <c r="FA223" s="528">
        <f t="shared" si="715"/>
        <v>0.21148936170212768</v>
      </c>
      <c r="FB223" s="460">
        <f t="shared" si="716"/>
        <v>770.32545136894487</v>
      </c>
      <c r="FC223" s="173">
        <f t="shared" si="717"/>
        <v>2.1991633144214275</v>
      </c>
      <c r="FD223" s="5">
        <f t="shared" si="718"/>
        <v>4.9000000000000004</v>
      </c>
      <c r="FE223" s="173">
        <f t="shared" si="719"/>
        <v>0.69022218295020921</v>
      </c>
      <c r="FF223" s="5">
        <f t="shared" si="720"/>
        <v>69.02221829502092</v>
      </c>
      <c r="FI223" s="562">
        <f t="shared" si="674"/>
        <v>-50</v>
      </c>
      <c r="FJ223">
        <f t="shared" si="675"/>
        <v>-50</v>
      </c>
      <c r="FL223">
        <f t="shared" si="676"/>
        <v>0.10500000000000001</v>
      </c>
    </row>
    <row r="224" spans="5:168">
      <c r="E224" s="170">
        <v>8</v>
      </c>
      <c r="F224" s="217">
        <f t="shared" si="677"/>
        <v>0.2</v>
      </c>
      <c r="G224" s="217"/>
      <c r="H224" s="217">
        <f t="shared" si="602"/>
        <v>5.6000000000000005</v>
      </c>
      <c r="I224" s="541">
        <f t="shared" si="603"/>
        <v>39.956972913142501</v>
      </c>
      <c r="J224" s="172">
        <f t="shared" si="604"/>
        <v>28.423168431384806</v>
      </c>
      <c r="K224" s="172">
        <f t="shared" si="605"/>
        <v>68.380141344527303</v>
      </c>
      <c r="L224" s="443"/>
      <c r="M224" s="217">
        <f t="shared" si="606"/>
        <v>0.41566548752914079</v>
      </c>
      <c r="N224" s="172">
        <f t="shared" si="607"/>
        <v>140.52638587924221</v>
      </c>
      <c r="O224" s="172">
        <f t="shared" si="598"/>
        <v>5.6000000000000005</v>
      </c>
      <c r="P224" s="217">
        <f t="shared" si="608"/>
        <v>5.0187994956872215</v>
      </c>
      <c r="Q224" s="217">
        <f t="shared" si="609"/>
        <v>28</v>
      </c>
      <c r="R224" s="217"/>
      <c r="S224" s="172">
        <f t="shared" si="610"/>
        <v>1624.9267320531601</v>
      </c>
      <c r="T224" s="172">
        <f t="shared" si="611"/>
        <v>28</v>
      </c>
      <c r="U224" s="217">
        <f t="shared" si="612"/>
        <v>0.67434396732303492</v>
      </c>
      <c r="V224" s="217">
        <f t="shared" si="613"/>
        <v>7.9320739669340445E-2</v>
      </c>
      <c r="W224" s="217">
        <f t="shared" si="614"/>
        <v>0.11150821042592143</v>
      </c>
      <c r="X224" s="197">
        <f t="shared" si="615"/>
        <v>350</v>
      </c>
      <c r="Y224" s="443">
        <f t="shared" si="678"/>
        <v>350</v>
      </c>
      <c r="AA224" s="217">
        <f t="shared" si="616"/>
        <v>10.096460985257099</v>
      </c>
      <c r="AB224" s="173">
        <f t="shared" si="617"/>
        <v>1.669531204632009</v>
      </c>
      <c r="AC224" s="173">
        <f t="shared" si="618"/>
        <v>2.9498624174663641</v>
      </c>
      <c r="AD224" s="173"/>
      <c r="AE224" s="173">
        <f t="shared" si="619"/>
        <v>0.55119353440440388</v>
      </c>
      <c r="AF224" s="545">
        <f t="shared" si="620"/>
        <v>217.70937521911765</v>
      </c>
      <c r="AG224" s="528">
        <f t="shared" si="621"/>
        <v>0.3215295617359023</v>
      </c>
      <c r="AI224" s="173">
        <f t="shared" si="622"/>
        <v>2.6289558263909356</v>
      </c>
      <c r="AJ224" s="173">
        <f t="shared" si="623"/>
        <v>3.3333333333333335</v>
      </c>
      <c r="AK224" s="173">
        <f t="shared" si="624"/>
        <v>1.1244053572680672</v>
      </c>
      <c r="AM224" s="545">
        <f t="shared" si="625"/>
        <v>200</v>
      </c>
      <c r="AN224" s="460">
        <f t="shared" si="626"/>
        <v>217.70937521911765</v>
      </c>
      <c r="AP224">
        <f t="shared" si="627"/>
        <v>200</v>
      </c>
      <c r="AQ224">
        <f t="shared" si="628"/>
        <v>217.70937521911765</v>
      </c>
      <c r="AS224" s="5">
        <f t="shared" si="599"/>
        <v>4.5932794533700321</v>
      </c>
      <c r="AT224" s="5">
        <f t="shared" si="629"/>
        <v>0.39208842723703041</v>
      </c>
      <c r="AU224" s="5">
        <f t="shared" si="477"/>
        <v>4.2011910261330012</v>
      </c>
      <c r="AV224" s="5"/>
      <c r="AW224" s="173">
        <f t="shared" si="478"/>
        <v>8.5361326524420369E-2</v>
      </c>
      <c r="AX224" s="173">
        <f t="shared" si="630"/>
        <v>5.6846336862769613</v>
      </c>
      <c r="AY224" s="173">
        <f t="shared" si="631"/>
        <v>1.5243977891259661</v>
      </c>
      <c r="AZ224" s="173">
        <f t="shared" si="632"/>
        <v>3.7291012403897033</v>
      </c>
      <c r="BA224" s="460">
        <f t="shared" si="593"/>
        <v>0.28006316231216455</v>
      </c>
      <c r="BB224" s="5">
        <f t="shared" si="594"/>
        <v>0.42057150177671854</v>
      </c>
      <c r="BD224" s="173">
        <f t="shared" si="679"/>
        <v>0.56227489824956345</v>
      </c>
      <c r="BE224" s="173">
        <f t="shared" si="680"/>
        <v>1.8405299895688054</v>
      </c>
      <c r="BG224" s="528">
        <f t="shared" si="681"/>
        <v>3.7938367344186835E-3</v>
      </c>
      <c r="BH224" s="528">
        <f t="shared" si="633"/>
        <v>0.90562570251197971</v>
      </c>
      <c r="BI224" s="528">
        <f t="shared" si="682"/>
        <v>2.5036578150198531E-2</v>
      </c>
      <c r="BJ224" s="528">
        <f t="shared" si="683"/>
        <v>0.5013526959440624</v>
      </c>
      <c r="BK224">
        <f t="shared" si="684"/>
        <v>1.7980637810914125E-2</v>
      </c>
      <c r="BL224" s="460">
        <f t="shared" si="685"/>
        <v>43.017215961112662</v>
      </c>
      <c r="BM224" s="528">
        <f t="shared" si="634"/>
        <v>1.4130703347638498</v>
      </c>
      <c r="BN224" s="460">
        <f t="shared" si="686"/>
        <v>1413.0703347638498</v>
      </c>
      <c r="BO224" s="528">
        <f t="shared" si="635"/>
        <v>0.13999999999999999</v>
      </c>
      <c r="BR224" s="460">
        <f t="shared" si="687"/>
        <v>139.99999999999997</v>
      </c>
      <c r="BS224" s="528">
        <f t="shared" si="688"/>
        <v>4.4261428568217976E-3</v>
      </c>
      <c r="BT224" s="528">
        <f t="shared" si="689"/>
        <v>4.7425708995030062E-2</v>
      </c>
      <c r="BU224" s="528">
        <f t="shared" si="690"/>
        <v>0.70934856778366606</v>
      </c>
      <c r="BV224" s="528"/>
      <c r="BW224" s="528">
        <f t="shared" si="691"/>
        <v>0.24189930579901964</v>
      </c>
      <c r="BX224" s="460">
        <f t="shared" si="692"/>
        <v>1003.0997254345375</v>
      </c>
      <c r="BY224" s="173">
        <f t="shared" si="693"/>
        <v>2.5968891765861111</v>
      </c>
      <c r="BZ224" s="5">
        <f t="shared" si="694"/>
        <v>5.6000000000000005</v>
      </c>
      <c r="CA224" s="173">
        <f t="shared" si="695"/>
        <v>0.68318600866241319</v>
      </c>
      <c r="CB224" s="5">
        <f t="shared" si="696"/>
        <v>68.318600866241326</v>
      </c>
      <c r="CE224" s="562">
        <f t="shared" si="636"/>
        <v>-50</v>
      </c>
      <c r="CF224">
        <f t="shared" si="637"/>
        <v>-50</v>
      </c>
      <c r="CG224" s="173">
        <f t="shared" si="638"/>
        <v>0.12085410330524275</v>
      </c>
      <c r="CI224" s="170">
        <v>8</v>
      </c>
      <c r="CJ224" s="217">
        <f t="shared" si="697"/>
        <v>0.2</v>
      </c>
      <c r="CK224" s="217"/>
      <c r="CL224" s="217">
        <f t="shared" si="639"/>
        <v>5.6000000000000005</v>
      </c>
      <c r="CM224" s="541">
        <f t="shared" si="640"/>
        <v>40</v>
      </c>
      <c r="CN224" s="443">
        <f t="shared" si="641"/>
        <v>28.4</v>
      </c>
      <c r="CO224" s="443">
        <f t="shared" si="642"/>
        <v>68.400000000000006</v>
      </c>
      <c r="CP224" s="443"/>
      <c r="CQ224" s="217">
        <f t="shared" si="643"/>
        <v>0.41520467836257302</v>
      </c>
      <c r="CR224" s="172">
        <f t="shared" si="644"/>
        <v>140.52175355646798</v>
      </c>
      <c r="CS224" s="172">
        <f t="shared" si="645"/>
        <v>5.6000000000000005</v>
      </c>
      <c r="CT224" s="217">
        <f t="shared" si="646"/>
        <v>5.0186340555881426</v>
      </c>
      <c r="CU224" s="217">
        <f t="shared" si="647"/>
        <v>28</v>
      </c>
      <c r="CV224" s="217"/>
      <c r="CW224" s="172">
        <f t="shared" si="648"/>
        <v>1626.6765002546986</v>
      </c>
      <c r="CX224" s="172">
        <f t="shared" si="649"/>
        <v>28</v>
      </c>
      <c r="CY224" s="217">
        <f t="shared" si="650"/>
        <v>0.67436619718309887</v>
      </c>
      <c r="CZ224" s="217">
        <f t="shared" si="651"/>
        <v>7.923802816901411E-2</v>
      </c>
      <c r="DA224" s="217">
        <f t="shared" si="652"/>
        <v>0.11160285657607621</v>
      </c>
      <c r="DB224" s="197">
        <f t="shared" si="653"/>
        <v>350</v>
      </c>
      <c r="DC224" s="443">
        <f t="shared" si="654"/>
        <v>350</v>
      </c>
      <c r="DE224" s="217">
        <f t="shared" si="655"/>
        <v>10.09616239179509</v>
      </c>
      <c r="DF224" s="173">
        <f t="shared" si="656"/>
        <v>1.6708437761069339</v>
      </c>
      <c r="DG224" s="173">
        <f t="shared" si="657"/>
        <v>2.9520942666067511</v>
      </c>
      <c r="DH224" s="173"/>
      <c r="DI224" s="173">
        <f t="shared" si="658"/>
        <v>0.55164319248826299</v>
      </c>
      <c r="DJ224" s="545">
        <f t="shared" si="659"/>
        <v>217.531914893617</v>
      </c>
      <c r="DK224" s="528">
        <f t="shared" si="660"/>
        <v>0.3217918622848201</v>
      </c>
      <c r="DM224" s="173">
        <f t="shared" si="661"/>
        <v>2.627884144323688</v>
      </c>
      <c r="DN224" s="173">
        <f t="shared" si="662"/>
        <v>3.3333333333333335</v>
      </c>
      <c r="DO224" s="173">
        <f t="shared" si="663"/>
        <v>1.1243039513677811</v>
      </c>
      <c r="DQ224" s="545">
        <f t="shared" si="664"/>
        <v>200</v>
      </c>
      <c r="DR224" s="460">
        <f t="shared" si="665"/>
        <v>217.531914893617</v>
      </c>
      <c r="DT224">
        <f t="shared" si="666"/>
        <v>200</v>
      </c>
      <c r="DU224">
        <f t="shared" si="667"/>
        <v>217.531914893617</v>
      </c>
      <c r="DW224" s="5">
        <f t="shared" si="668"/>
        <v>4.5970266040688577</v>
      </c>
      <c r="DX224" s="5">
        <f t="shared" si="669"/>
        <v>0.39166666666666672</v>
      </c>
      <c r="DY224" s="5">
        <f t="shared" si="670"/>
        <v>4.2053599374021911</v>
      </c>
      <c r="DZ224" s="5"/>
      <c r="EA224" s="173">
        <f t="shared" si="671"/>
        <v>8.5200000000000012E-2</v>
      </c>
      <c r="EB224" s="173">
        <f t="shared" si="698"/>
        <v>5.68</v>
      </c>
      <c r="EC224" s="173">
        <f t="shared" si="699"/>
        <v>1.5246666666666666</v>
      </c>
      <c r="ED224" s="173">
        <f t="shared" si="700"/>
        <v>3.725404459991255</v>
      </c>
      <c r="EE224" s="460">
        <f t="shared" si="672"/>
        <v>0.27976190476190482</v>
      </c>
      <c r="EF224" s="5">
        <f t="shared" si="673"/>
        <v>0.42053599374021911</v>
      </c>
      <c r="EH224" s="173">
        <f t="shared" si="701"/>
        <v>0.56174331821175738</v>
      </c>
      <c r="EI224" s="173">
        <f t="shared" si="702"/>
        <v>1.8406923013225618</v>
      </c>
      <c r="EK224" s="528">
        <f t="shared" si="703"/>
        <v>3.7866666666666686E-3</v>
      </c>
      <c r="EL224" s="528">
        <f t="shared" si="704"/>
        <v>0.94234825531914912</v>
      </c>
      <c r="EM224" s="528">
        <f t="shared" si="705"/>
        <v>2.5016170212765955E-2</v>
      </c>
      <c r="EN224" s="528">
        <f t="shared" si="706"/>
        <v>0.50123503700425542</v>
      </c>
      <c r="EO224">
        <f t="shared" si="707"/>
        <v>1.7999999999999999E-2</v>
      </c>
      <c r="EP224" s="460">
        <f t="shared" si="708"/>
        <v>43.01617021276595</v>
      </c>
      <c r="EQ224" s="460"/>
      <c r="ER224" s="460">
        <f t="shared" si="709"/>
        <v>1490.3861292028371</v>
      </c>
      <c r="ES224" s="528">
        <f t="shared" si="710"/>
        <v>0.13999999999999999</v>
      </c>
      <c r="EV224" s="460">
        <f t="shared" si="711"/>
        <v>139.99999999999997</v>
      </c>
      <c r="EW224" s="528">
        <f t="shared" si="712"/>
        <v>4.41777777777778E-3</v>
      </c>
      <c r="EX224" s="528">
        <f t="shared" si="713"/>
        <v>4.743407407407408E-2</v>
      </c>
      <c r="EY224" s="528">
        <f t="shared" si="714"/>
        <v>0.7079039322302777</v>
      </c>
      <c r="EZ224" s="528"/>
      <c r="FA224" s="528">
        <f t="shared" si="715"/>
        <v>0.24170212765957447</v>
      </c>
      <c r="FB224" s="460">
        <f t="shared" si="716"/>
        <v>1001.4579117417039</v>
      </c>
      <c r="FC224" s="173">
        <f t="shared" si="717"/>
        <v>2.6318440409445412</v>
      </c>
      <c r="FD224" s="5">
        <f t="shared" si="718"/>
        <v>5.6000000000000005</v>
      </c>
      <c r="FE224" s="173">
        <f t="shared" si="719"/>
        <v>0.68028499715811475</v>
      </c>
      <c r="FF224" s="5">
        <f t="shared" si="720"/>
        <v>68.028499715811478</v>
      </c>
      <c r="FI224" s="562">
        <f t="shared" si="674"/>
        <v>-50</v>
      </c>
      <c r="FJ224">
        <f t="shared" si="675"/>
        <v>-50</v>
      </c>
      <c r="FL224">
        <f t="shared" si="676"/>
        <v>0.12000000000000001</v>
      </c>
    </row>
    <row r="225" spans="5:168">
      <c r="E225" s="170">
        <v>9</v>
      </c>
      <c r="F225" s="217">
        <f t="shared" si="677"/>
        <v>0.22499999999999998</v>
      </c>
      <c r="G225" s="217"/>
      <c r="H225" s="217">
        <f t="shared" si="602"/>
        <v>6.2999999999999989</v>
      </c>
      <c r="I225" s="541">
        <f t="shared" si="603"/>
        <v>39.956972913142501</v>
      </c>
      <c r="J225" s="172">
        <f t="shared" si="604"/>
        <v>28.423168431384806</v>
      </c>
      <c r="K225" s="172">
        <f t="shared" si="605"/>
        <v>68.380141344527303</v>
      </c>
      <c r="L225" s="443"/>
      <c r="M225" s="217">
        <f t="shared" si="606"/>
        <v>0.41566548752914079</v>
      </c>
      <c r="N225" s="172">
        <f t="shared" si="607"/>
        <v>140.52638587924221</v>
      </c>
      <c r="O225" s="172">
        <f t="shared" si="598"/>
        <v>6.2999999999999989</v>
      </c>
      <c r="P225" s="217">
        <f t="shared" si="608"/>
        <v>5.0187994956872215</v>
      </c>
      <c r="Q225" s="217">
        <f t="shared" si="609"/>
        <v>28</v>
      </c>
      <c r="R225" s="217"/>
      <c r="S225" s="172">
        <f t="shared" si="610"/>
        <v>1439.9420092824489</v>
      </c>
      <c r="T225" s="172">
        <f t="shared" si="611"/>
        <v>28</v>
      </c>
      <c r="U225" s="217">
        <f t="shared" si="612"/>
        <v>0.75863696323841401</v>
      </c>
      <c r="V225" s="217">
        <f t="shared" si="613"/>
        <v>8.9235832128007966E-2</v>
      </c>
      <c r="W225" s="217">
        <f t="shared" si="614"/>
        <v>0.12544673672916157</v>
      </c>
      <c r="X225" s="197">
        <f t="shared" si="615"/>
        <v>350</v>
      </c>
      <c r="Y225" s="443">
        <f t="shared" si="678"/>
        <v>350</v>
      </c>
      <c r="AA225" s="217">
        <f t="shared" si="616"/>
        <v>10.096460985257099</v>
      </c>
      <c r="AB225" s="173">
        <f t="shared" si="617"/>
        <v>1.669531204632009</v>
      </c>
      <c r="AC225" s="173">
        <f t="shared" si="618"/>
        <v>2.9498624174663641</v>
      </c>
      <c r="AD225" s="173"/>
      <c r="AE225" s="173">
        <f t="shared" si="619"/>
        <v>0.55119353440440388</v>
      </c>
      <c r="AF225" s="545">
        <f t="shared" si="620"/>
        <v>244.92304712150732</v>
      </c>
      <c r="AG225" s="528">
        <f t="shared" si="621"/>
        <v>0.3215295617359023</v>
      </c>
      <c r="AI225" s="173">
        <f t="shared" si="622"/>
        <v>2.7884287384213717</v>
      </c>
      <c r="AJ225" s="173">
        <f t="shared" si="623"/>
        <v>3.3333333333333335</v>
      </c>
      <c r="AK225" s="173">
        <f t="shared" si="624"/>
        <v>1.1399560269265756</v>
      </c>
      <c r="AM225" s="545">
        <f t="shared" si="625"/>
        <v>224.99999999999997</v>
      </c>
      <c r="AN225" s="460">
        <f t="shared" si="626"/>
        <v>244.92304712150732</v>
      </c>
      <c r="AP225">
        <f t="shared" si="627"/>
        <v>224.99999999999997</v>
      </c>
      <c r="AQ225">
        <f t="shared" si="628"/>
        <v>244.92304712150732</v>
      </c>
      <c r="AS225" s="5">
        <f t="shared" si="599"/>
        <v>4.0829150696622518</v>
      </c>
      <c r="AT225" s="5">
        <f t="shared" si="629"/>
        <v>0.39208842723703041</v>
      </c>
      <c r="AU225" s="5">
        <f t="shared" si="477"/>
        <v>3.6908266424252214</v>
      </c>
      <c r="AV225" s="5"/>
      <c r="AW225" s="173">
        <f t="shared" si="478"/>
        <v>9.6031492339972893E-2</v>
      </c>
      <c r="AX225" s="173">
        <f t="shared" si="630"/>
        <v>6.3952128970615805</v>
      </c>
      <c r="AY225" s="173">
        <f t="shared" si="631"/>
        <v>1.5066141794333785</v>
      </c>
      <c r="AZ225" s="173">
        <f t="shared" si="632"/>
        <v>4.2447582031032995</v>
      </c>
      <c r="BA225" s="460">
        <f t="shared" si="593"/>
        <v>0.31507105760118514</v>
      </c>
      <c r="BB225" s="5">
        <f t="shared" si="594"/>
        <v>0.41566511875204171</v>
      </c>
      <c r="BD225" s="173">
        <f t="shared" si="679"/>
        <v>0.5963825901648635</v>
      </c>
      <c r="BE225" s="173">
        <f t="shared" si="680"/>
        <v>1.8297626922232162</v>
      </c>
      <c r="BG225" s="528">
        <f t="shared" si="681"/>
        <v>4.2680663262210181E-3</v>
      </c>
      <c r="BH225" s="528">
        <f t="shared" si="633"/>
        <v>1.0188289153259771</v>
      </c>
      <c r="BI225" s="528">
        <f t="shared" si="682"/>
        <v>2.8166150418973347E-2</v>
      </c>
      <c r="BJ225" s="528">
        <f t="shared" si="683"/>
        <v>0.56402178293707017</v>
      </c>
      <c r="BK225">
        <f t="shared" si="684"/>
        <v>1.7980637810914125E-2</v>
      </c>
      <c r="BL225" s="460">
        <f t="shared" si="685"/>
        <v>46.14678822988747</v>
      </c>
      <c r="BM225" s="528">
        <f t="shared" si="634"/>
        <v>1.589883431455039</v>
      </c>
      <c r="BN225" s="460">
        <f t="shared" si="686"/>
        <v>1589.883431455039</v>
      </c>
      <c r="BO225" s="528">
        <f t="shared" si="635"/>
        <v>0.15749999999999997</v>
      </c>
      <c r="BR225" s="460">
        <f t="shared" si="687"/>
        <v>157.49999999999997</v>
      </c>
      <c r="BS225" s="528">
        <f t="shared" si="688"/>
        <v>4.9794107139245211E-3</v>
      </c>
      <c r="BT225" s="528">
        <f t="shared" si="689"/>
        <v>4.687244113792733E-2</v>
      </c>
      <c r="BU225" s="528">
        <f t="shared" si="690"/>
        <v>0.9522281199114454</v>
      </c>
      <c r="BV225" s="528"/>
      <c r="BW225" s="528">
        <f t="shared" si="691"/>
        <v>0.27213671902389702</v>
      </c>
      <c r="BX225" s="460">
        <f t="shared" si="692"/>
        <v>1276.2166907871942</v>
      </c>
      <c r="BY225" s="173">
        <f t="shared" si="693"/>
        <v>3.0669822436063501</v>
      </c>
      <c r="BZ225" s="5">
        <f t="shared" si="694"/>
        <v>6.2999999999999989</v>
      </c>
      <c r="CA225" s="173">
        <f t="shared" si="695"/>
        <v>0.67257520470909504</v>
      </c>
      <c r="CB225" s="5">
        <f t="shared" si="696"/>
        <v>67.257520470909498</v>
      </c>
      <c r="CE225" s="562">
        <f t="shared" si="636"/>
        <v>-50</v>
      </c>
      <c r="CF225">
        <f t="shared" si="637"/>
        <v>-50</v>
      </c>
      <c r="CG225" s="173">
        <f t="shared" si="638"/>
        <v>0.13596086621839806</v>
      </c>
      <c r="CI225" s="170">
        <v>9</v>
      </c>
      <c r="CJ225" s="217">
        <f t="shared" si="697"/>
        <v>0.22499999999999998</v>
      </c>
      <c r="CK225" s="217"/>
      <c r="CL225" s="217">
        <f t="shared" si="639"/>
        <v>6.2999999999999989</v>
      </c>
      <c r="CM225" s="541">
        <f t="shared" si="640"/>
        <v>40</v>
      </c>
      <c r="CN225" s="443">
        <f t="shared" si="641"/>
        <v>28.4</v>
      </c>
      <c r="CO225" s="443">
        <f t="shared" si="642"/>
        <v>68.400000000000006</v>
      </c>
      <c r="CP225" s="443"/>
      <c r="CQ225" s="217">
        <f t="shared" si="643"/>
        <v>0.41520467836257302</v>
      </c>
      <c r="CR225" s="172">
        <f t="shared" si="644"/>
        <v>140.52175355646798</v>
      </c>
      <c r="CS225" s="172">
        <f t="shared" si="645"/>
        <v>6.2999999999999989</v>
      </c>
      <c r="CT225" s="217">
        <f t="shared" si="646"/>
        <v>5.0186340555881426</v>
      </c>
      <c r="CU225" s="217">
        <f t="shared" si="647"/>
        <v>28</v>
      </c>
      <c r="CV225" s="217"/>
      <c r="CW225" s="172">
        <f t="shared" si="648"/>
        <v>1441.4925780085355</v>
      </c>
      <c r="CX225" s="172">
        <f t="shared" si="649"/>
        <v>28</v>
      </c>
      <c r="CY225" s="217">
        <f t="shared" si="650"/>
        <v>0.75866197183098594</v>
      </c>
      <c r="CZ225" s="217">
        <f t="shared" si="651"/>
        <v>8.9142781690140852E-2</v>
      </c>
      <c r="DA225" s="217">
        <f t="shared" si="652"/>
        <v>0.12555321364808569</v>
      </c>
      <c r="DB225" s="197">
        <f t="shared" si="653"/>
        <v>350</v>
      </c>
      <c r="DC225" s="443">
        <f t="shared" si="654"/>
        <v>350</v>
      </c>
      <c r="DE225" s="217">
        <f t="shared" si="655"/>
        <v>10.09616239179509</v>
      </c>
      <c r="DF225" s="173">
        <f t="shared" si="656"/>
        <v>1.6708437761069339</v>
      </c>
      <c r="DG225" s="173">
        <f t="shared" si="657"/>
        <v>2.9520942666067511</v>
      </c>
      <c r="DH225" s="173"/>
      <c r="DI225" s="173">
        <f t="shared" si="658"/>
        <v>0.55164319248826299</v>
      </c>
      <c r="DJ225" s="545">
        <f t="shared" si="659"/>
        <v>244.72340425531908</v>
      </c>
      <c r="DK225" s="528">
        <f t="shared" si="660"/>
        <v>0.3217918622848201</v>
      </c>
      <c r="DM225" s="173">
        <f t="shared" si="661"/>
        <v>2.7872920479358316</v>
      </c>
      <c r="DN225" s="173">
        <f t="shared" si="662"/>
        <v>3.3333333333333335</v>
      </c>
      <c r="DO225" s="173">
        <f t="shared" si="663"/>
        <v>1.1398419452887538</v>
      </c>
      <c r="DQ225" s="545">
        <f t="shared" si="664"/>
        <v>224.99999999999997</v>
      </c>
      <c r="DR225" s="460">
        <f t="shared" si="665"/>
        <v>244.72340425531908</v>
      </c>
      <c r="DT225">
        <f t="shared" si="666"/>
        <v>224.99999999999997</v>
      </c>
      <c r="DU225">
        <f t="shared" si="667"/>
        <v>244.72340425531908</v>
      </c>
      <c r="DW225" s="5">
        <f t="shared" si="668"/>
        <v>4.0862458702834301</v>
      </c>
      <c r="DX225" s="5">
        <f t="shared" si="669"/>
        <v>0.39166666666666672</v>
      </c>
      <c r="DY225" s="5">
        <f t="shared" si="670"/>
        <v>3.6945792036167635</v>
      </c>
      <c r="DZ225" s="5"/>
      <c r="EA225" s="173">
        <f t="shared" si="671"/>
        <v>9.5849999999999991E-2</v>
      </c>
      <c r="EB225" s="173">
        <f t="shared" si="698"/>
        <v>6.3899999999999988</v>
      </c>
      <c r="EC225" s="173">
        <f t="shared" si="699"/>
        <v>1.5069166666666667</v>
      </c>
      <c r="ED225" s="173">
        <f t="shared" si="700"/>
        <v>4.2404468285129671</v>
      </c>
      <c r="EE225" s="460">
        <f t="shared" si="672"/>
        <v>0.3147321428571429</v>
      </c>
      <c r="EF225" s="5">
        <f t="shared" si="673"/>
        <v>0.41564016040688578</v>
      </c>
      <c r="EH225" s="173">
        <f t="shared" si="701"/>
        <v>0.59581876439064918</v>
      </c>
      <c r="EI225" s="173">
        <f t="shared" si="702"/>
        <v>1.8299463663462117</v>
      </c>
      <c r="EK225" s="528">
        <f t="shared" si="703"/>
        <v>4.259999999999999E-3</v>
      </c>
      <c r="EL225" s="528">
        <f t="shared" si="704"/>
        <v>1.0601417872340426</v>
      </c>
      <c r="EM225" s="528">
        <f t="shared" si="705"/>
        <v>2.8143191489361698E-2</v>
      </c>
      <c r="EN225" s="528">
        <f t="shared" si="706"/>
        <v>0.56388941662978709</v>
      </c>
      <c r="EO225">
        <f t="shared" si="707"/>
        <v>1.7999999999999999E-2</v>
      </c>
      <c r="EP225" s="460">
        <f t="shared" si="708"/>
        <v>46.143191489361698</v>
      </c>
      <c r="EQ225" s="460"/>
      <c r="ER225" s="460">
        <f t="shared" si="709"/>
        <v>1674.4343953531916</v>
      </c>
      <c r="ES225" s="528">
        <f t="shared" si="710"/>
        <v>0.15749999999999997</v>
      </c>
      <c r="EV225" s="460">
        <f t="shared" si="711"/>
        <v>157.49999999999997</v>
      </c>
      <c r="EW225" s="528">
        <f t="shared" si="712"/>
        <v>4.9699999999999987E-3</v>
      </c>
      <c r="EX225" s="528">
        <f t="shared" si="713"/>
        <v>4.6881851851851848E-2</v>
      </c>
      <c r="EY225" s="528">
        <f t="shared" si="714"/>
        <v>0.9502888439906424</v>
      </c>
      <c r="EZ225" s="528"/>
      <c r="FA225" s="528">
        <f t="shared" si="715"/>
        <v>0.27191489361702126</v>
      </c>
      <c r="FB225" s="460">
        <f t="shared" si="716"/>
        <v>1274.0555894595157</v>
      </c>
      <c r="FC225" s="173">
        <f t="shared" si="717"/>
        <v>3.105989984812707</v>
      </c>
      <c r="FD225" s="5">
        <f t="shared" si="718"/>
        <v>6.2999999999999989</v>
      </c>
      <c r="FE225" s="173">
        <f t="shared" si="719"/>
        <v>0.66978595662681284</v>
      </c>
      <c r="FF225" s="5">
        <f t="shared" si="720"/>
        <v>66.978595662681286</v>
      </c>
      <c r="FI225" s="562">
        <f t="shared" si="674"/>
        <v>-50</v>
      </c>
      <c r="FJ225">
        <f t="shared" si="675"/>
        <v>-50</v>
      </c>
      <c r="FL225">
        <f t="shared" si="676"/>
        <v>0.13499999999999998</v>
      </c>
    </row>
    <row r="226" spans="5:168">
      <c r="E226" s="170">
        <v>10</v>
      </c>
      <c r="F226" s="217">
        <f t="shared" si="677"/>
        <v>0.25</v>
      </c>
      <c r="G226" s="217"/>
      <c r="H226" s="217">
        <f t="shared" si="602"/>
        <v>7</v>
      </c>
      <c r="I226" s="541">
        <f t="shared" si="603"/>
        <v>39.956972913142501</v>
      </c>
      <c r="J226" s="172">
        <f t="shared" si="604"/>
        <v>28.423168431384806</v>
      </c>
      <c r="K226" s="172">
        <f t="shared" si="605"/>
        <v>68.380141344527303</v>
      </c>
      <c r="L226" s="443"/>
      <c r="M226" s="217">
        <f t="shared" si="606"/>
        <v>0.41566548752914079</v>
      </c>
      <c r="N226" s="172">
        <f t="shared" si="607"/>
        <v>140.52638587924221</v>
      </c>
      <c r="O226" s="172">
        <f t="shared" si="598"/>
        <v>7</v>
      </c>
      <c r="P226" s="217">
        <f t="shared" si="608"/>
        <v>5.0187994956872215</v>
      </c>
      <c r="Q226" s="217">
        <f t="shared" si="609"/>
        <v>28</v>
      </c>
      <c r="R226" s="217"/>
      <c r="S226" s="172">
        <f t="shared" si="610"/>
        <v>1291.9544913782206</v>
      </c>
      <c r="T226" s="172">
        <f t="shared" si="611"/>
        <v>28</v>
      </c>
      <c r="U226" s="217">
        <f t="shared" si="612"/>
        <v>0.84292995915379354</v>
      </c>
      <c r="V226" s="217">
        <f t="shared" si="613"/>
        <v>9.9150924586675529E-2</v>
      </c>
      <c r="W226" s="217">
        <f t="shared" si="614"/>
        <v>0.13938526303240176</v>
      </c>
      <c r="X226" s="197">
        <f t="shared" si="615"/>
        <v>350</v>
      </c>
      <c r="Y226" s="443">
        <f t="shared" si="678"/>
        <v>350</v>
      </c>
      <c r="AA226" s="217">
        <f t="shared" si="616"/>
        <v>10.096460985257099</v>
      </c>
      <c r="AB226" s="173">
        <f t="shared" si="617"/>
        <v>1.669531204632009</v>
      </c>
      <c r="AC226" s="173">
        <f t="shared" si="618"/>
        <v>2.9498624174663641</v>
      </c>
      <c r="AD226" s="173"/>
      <c r="AE226" s="173">
        <f t="shared" si="619"/>
        <v>0.55119353440440388</v>
      </c>
      <c r="AF226" s="545">
        <f t="shared" si="620"/>
        <v>272.136719023897</v>
      </c>
      <c r="AG226" s="528">
        <f t="shared" si="621"/>
        <v>0.3215295617359023</v>
      </c>
      <c r="AI226" s="173">
        <f t="shared" si="622"/>
        <v>2.9392619688271338</v>
      </c>
      <c r="AJ226" s="173">
        <f t="shared" si="623"/>
        <v>3.3333333333333335</v>
      </c>
      <c r="AK226" s="173">
        <f t="shared" si="624"/>
        <v>1.155506696585084</v>
      </c>
      <c r="AM226" s="545">
        <f t="shared" si="625"/>
        <v>250</v>
      </c>
      <c r="AN226" s="460">
        <f t="shared" si="626"/>
        <v>272.136719023897</v>
      </c>
      <c r="AP226">
        <f t="shared" si="627"/>
        <v>250</v>
      </c>
      <c r="AQ226">
        <f t="shared" si="628"/>
        <v>272.136719023897</v>
      </c>
      <c r="AS226" s="5">
        <f t="shared" si="599"/>
        <v>3.6746235626960266</v>
      </c>
      <c r="AT226" s="5">
        <f t="shared" si="629"/>
        <v>0.39208842723703041</v>
      </c>
      <c r="AU226" s="5">
        <f t="shared" si="477"/>
        <v>3.2825351354589962</v>
      </c>
      <c r="AV226" s="5"/>
      <c r="AW226" s="173">
        <f t="shared" si="478"/>
        <v>0.10670165815552543</v>
      </c>
      <c r="AX226" s="173">
        <f t="shared" si="630"/>
        <v>7.1057921078462005</v>
      </c>
      <c r="AY226" s="173">
        <f t="shared" si="631"/>
        <v>1.4888305697407909</v>
      </c>
      <c r="AZ226" s="173">
        <f t="shared" si="632"/>
        <v>4.772733884073415</v>
      </c>
      <c r="BA226" s="460">
        <f t="shared" si="593"/>
        <v>0.35007895289020574</v>
      </c>
      <c r="BB226" s="5">
        <f t="shared" si="594"/>
        <v>0.41075873572736488</v>
      </c>
      <c r="BD226" s="173">
        <f t="shared" si="679"/>
        <v>0.62864244726390062</v>
      </c>
      <c r="BE226" s="173">
        <f t="shared" si="680"/>
        <v>1.818931658199878</v>
      </c>
      <c r="BG226" s="528">
        <f t="shared" si="681"/>
        <v>4.7422959180233523E-3</v>
      </c>
      <c r="BH226" s="528">
        <f t="shared" si="633"/>
        <v>1.1320321281399743</v>
      </c>
      <c r="BI226" s="528">
        <f t="shared" si="682"/>
        <v>3.1295722687748155E-2</v>
      </c>
      <c r="BJ226" s="528">
        <f t="shared" si="683"/>
        <v>0.62669086993007794</v>
      </c>
      <c r="BK226">
        <f t="shared" si="684"/>
        <v>1.7980637810914125E-2</v>
      </c>
      <c r="BL226" s="460">
        <f t="shared" si="685"/>
        <v>49.276360498662285</v>
      </c>
      <c r="BM226" s="528">
        <f t="shared" si="634"/>
        <v>1.76673641861486</v>
      </c>
      <c r="BN226" s="460">
        <f t="shared" si="686"/>
        <v>1766.73641861486</v>
      </c>
      <c r="BO226" s="528">
        <f t="shared" si="635"/>
        <v>0.17499999999999999</v>
      </c>
      <c r="BR226" s="460">
        <f t="shared" si="687"/>
        <v>175</v>
      </c>
      <c r="BS226" s="528">
        <f t="shared" si="688"/>
        <v>5.5326785710272447E-3</v>
      </c>
      <c r="BT226" s="528">
        <f t="shared" si="689"/>
        <v>4.6319173280824612E-2</v>
      </c>
      <c r="BU226" s="528">
        <f t="shared" si="690"/>
        <v>1.239180951020618</v>
      </c>
      <c r="BV226" s="528"/>
      <c r="BW226" s="528">
        <f t="shared" si="691"/>
        <v>0.30237413224877446</v>
      </c>
      <c r="BX226" s="460">
        <f t="shared" si="692"/>
        <v>1593.4069351212443</v>
      </c>
      <c r="BY226" s="173">
        <f t="shared" si="693"/>
        <v>3.5811485896079827</v>
      </c>
      <c r="BZ226" s="5">
        <f t="shared" si="694"/>
        <v>7</v>
      </c>
      <c r="CA226" s="173">
        <f t="shared" si="695"/>
        <v>0.66155388904328205</v>
      </c>
      <c r="CB226" s="5">
        <f t="shared" si="696"/>
        <v>66.155388904328206</v>
      </c>
      <c r="CE226" s="562">
        <f t="shared" si="636"/>
        <v>-50</v>
      </c>
      <c r="CF226">
        <f t="shared" si="637"/>
        <v>-50</v>
      </c>
      <c r="CG226" s="173">
        <f t="shared" si="638"/>
        <v>0.15106762913155342</v>
      </c>
      <c r="CI226" s="170">
        <v>10</v>
      </c>
      <c r="CJ226" s="217">
        <f t="shared" si="697"/>
        <v>0.25</v>
      </c>
      <c r="CK226" s="217"/>
      <c r="CL226" s="217">
        <f t="shared" si="639"/>
        <v>7</v>
      </c>
      <c r="CM226" s="541">
        <f t="shared" si="640"/>
        <v>40</v>
      </c>
      <c r="CN226" s="443">
        <f t="shared" si="641"/>
        <v>28.4</v>
      </c>
      <c r="CO226" s="443">
        <f t="shared" si="642"/>
        <v>68.400000000000006</v>
      </c>
      <c r="CP226" s="443"/>
      <c r="CQ226" s="217">
        <f t="shared" si="643"/>
        <v>0.41520467836257302</v>
      </c>
      <c r="CR226" s="172">
        <f t="shared" si="644"/>
        <v>140.52175355646798</v>
      </c>
      <c r="CS226" s="172">
        <f t="shared" si="645"/>
        <v>7</v>
      </c>
      <c r="CT226" s="217">
        <f t="shared" si="646"/>
        <v>5.0186340555881426</v>
      </c>
      <c r="CU226" s="217">
        <f t="shared" si="647"/>
        <v>28</v>
      </c>
      <c r="CV226" s="217"/>
      <c r="CW226" s="172">
        <f t="shared" si="648"/>
        <v>1293.3457005241912</v>
      </c>
      <c r="CX226" s="172">
        <f t="shared" si="649"/>
        <v>28</v>
      </c>
      <c r="CY226" s="217">
        <f t="shared" si="650"/>
        <v>0.84295774647887345</v>
      </c>
      <c r="CZ226" s="217">
        <f t="shared" si="651"/>
        <v>9.9047535211267621E-2</v>
      </c>
      <c r="DA226" s="217">
        <f t="shared" si="652"/>
        <v>0.13950357072009525</v>
      </c>
      <c r="DB226" s="197">
        <f t="shared" si="653"/>
        <v>350</v>
      </c>
      <c r="DC226" s="443">
        <f t="shared" si="654"/>
        <v>350</v>
      </c>
      <c r="DE226" s="217">
        <f t="shared" si="655"/>
        <v>10.09616239179509</v>
      </c>
      <c r="DF226" s="173">
        <f t="shared" si="656"/>
        <v>1.6708437761069339</v>
      </c>
      <c r="DG226" s="173">
        <f t="shared" si="657"/>
        <v>2.9520942666067511</v>
      </c>
      <c r="DH226" s="173"/>
      <c r="DI226" s="173">
        <f t="shared" si="658"/>
        <v>0.55164319248826299</v>
      </c>
      <c r="DJ226" s="545">
        <f t="shared" si="659"/>
        <v>271.91489361702128</v>
      </c>
      <c r="DK226" s="528">
        <f t="shared" si="660"/>
        <v>0.3217918622848201</v>
      </c>
      <c r="DM226" s="173">
        <f t="shared" si="661"/>
        <v>2.938063791850817</v>
      </c>
      <c r="DN226" s="173">
        <f t="shared" si="662"/>
        <v>3.3333333333333335</v>
      </c>
      <c r="DO226" s="173">
        <f t="shared" si="663"/>
        <v>1.1553799392097264</v>
      </c>
      <c r="DQ226" s="545">
        <f t="shared" si="664"/>
        <v>250</v>
      </c>
      <c r="DR226" s="460">
        <f t="shared" si="665"/>
        <v>271.91489361702128</v>
      </c>
      <c r="DT226">
        <f t="shared" si="666"/>
        <v>250</v>
      </c>
      <c r="DU226">
        <f t="shared" si="667"/>
        <v>271.91489361702128</v>
      </c>
      <c r="DW226" s="5">
        <f t="shared" si="668"/>
        <v>3.6776212832550859</v>
      </c>
      <c r="DX226" s="5">
        <f t="shared" si="669"/>
        <v>0.39166666666666672</v>
      </c>
      <c r="DY226" s="5">
        <f t="shared" si="670"/>
        <v>3.2859546165884193</v>
      </c>
      <c r="DZ226" s="5"/>
      <c r="EA226" s="173">
        <f t="shared" si="671"/>
        <v>0.10650000000000003</v>
      </c>
      <c r="EB226" s="173">
        <f t="shared" si="698"/>
        <v>7.1000000000000005</v>
      </c>
      <c r="EC226" s="173">
        <f t="shared" si="699"/>
        <v>1.4891666666666667</v>
      </c>
      <c r="ED226" s="173">
        <f t="shared" si="700"/>
        <v>4.7677672076105209</v>
      </c>
      <c r="EE226" s="460">
        <f t="shared" si="672"/>
        <v>0.34970238095238099</v>
      </c>
      <c r="EF226" s="5">
        <f t="shared" si="673"/>
        <v>0.41074432707355235</v>
      </c>
      <c r="EH226" s="173">
        <f t="shared" si="701"/>
        <v>0.62804812271389254</v>
      </c>
      <c r="EI226" s="173">
        <f t="shared" si="702"/>
        <v>1.8191369545087197</v>
      </c>
      <c r="EK226" s="528">
        <f t="shared" si="703"/>
        <v>4.7333333333333359E-3</v>
      </c>
      <c r="EL226" s="528">
        <f t="shared" si="704"/>
        <v>1.1779353191489363</v>
      </c>
      <c r="EM226" s="528">
        <f t="shared" si="705"/>
        <v>3.1270212765957449E-2</v>
      </c>
      <c r="EN226" s="528">
        <f t="shared" si="706"/>
        <v>0.62654379625531931</v>
      </c>
      <c r="EO226">
        <f t="shared" si="707"/>
        <v>1.7999999999999999E-2</v>
      </c>
      <c r="EP226" s="460">
        <f t="shared" si="708"/>
        <v>49.270212765957446</v>
      </c>
      <c r="EQ226" s="460"/>
      <c r="ER226" s="460">
        <f t="shared" si="709"/>
        <v>1858.4826615035463</v>
      </c>
      <c r="ES226" s="528">
        <f t="shared" si="710"/>
        <v>0.17499999999999999</v>
      </c>
      <c r="EV226" s="460">
        <f t="shared" si="711"/>
        <v>175</v>
      </c>
      <c r="EW226" s="528">
        <f t="shared" si="712"/>
        <v>5.5222222222222252E-3</v>
      </c>
      <c r="EX226" s="528">
        <f t="shared" si="713"/>
        <v>4.6329629629629637E-2</v>
      </c>
      <c r="EY226" s="528">
        <f t="shared" si="714"/>
        <v>1.2366572765674253</v>
      </c>
      <c r="EZ226" s="528"/>
      <c r="FA226" s="528">
        <f t="shared" si="715"/>
        <v>0.30212765957446813</v>
      </c>
      <c r="FB226" s="460">
        <f t="shared" si="716"/>
        <v>1590.6367879937452</v>
      </c>
      <c r="FC226" s="173">
        <f t="shared" si="717"/>
        <v>3.6241194494972917</v>
      </c>
      <c r="FD226" s="5">
        <f t="shared" si="718"/>
        <v>7</v>
      </c>
      <c r="FE226" s="173">
        <f t="shared" si="719"/>
        <v>0.65887813416209506</v>
      </c>
      <c r="FF226" s="5">
        <f t="shared" si="720"/>
        <v>65.887813416209511</v>
      </c>
      <c r="FI226" s="562">
        <f t="shared" si="674"/>
        <v>-50</v>
      </c>
      <c r="FJ226">
        <f t="shared" si="675"/>
        <v>-50</v>
      </c>
      <c r="FL226">
        <f t="shared" si="676"/>
        <v>0.15</v>
      </c>
    </row>
    <row r="227" spans="5:168">
      <c r="E227" s="170">
        <v>11</v>
      </c>
      <c r="F227" s="217">
        <f t="shared" si="677"/>
        <v>0.27500000000000002</v>
      </c>
      <c r="G227" s="217"/>
      <c r="H227" s="217">
        <f t="shared" si="602"/>
        <v>7.7000000000000011</v>
      </c>
      <c r="I227" s="541">
        <f t="shared" si="603"/>
        <v>39.956972913142501</v>
      </c>
      <c r="J227" s="172">
        <f t="shared" si="604"/>
        <v>28.423168431384806</v>
      </c>
      <c r="K227" s="172">
        <f t="shared" si="605"/>
        <v>68.380141344527303</v>
      </c>
      <c r="L227" s="443"/>
      <c r="M227" s="217">
        <f t="shared" si="606"/>
        <v>0.41566548752914079</v>
      </c>
      <c r="N227" s="172">
        <f t="shared" si="607"/>
        <v>140.52638587924221</v>
      </c>
      <c r="O227" s="172">
        <f t="shared" si="598"/>
        <v>7.7000000000000011</v>
      </c>
      <c r="P227" s="217">
        <f t="shared" si="608"/>
        <v>5.0187994956872215</v>
      </c>
      <c r="Q227" s="217">
        <f t="shared" si="609"/>
        <v>28</v>
      </c>
      <c r="R227" s="217"/>
      <c r="S227" s="172">
        <f t="shared" si="610"/>
        <v>1170.8740337357515</v>
      </c>
      <c r="T227" s="172">
        <f t="shared" si="611"/>
        <v>28</v>
      </c>
      <c r="U227" s="217">
        <f t="shared" si="612"/>
        <v>0.92722295506917296</v>
      </c>
      <c r="V227" s="217">
        <f t="shared" si="613"/>
        <v>0.10906601704534311</v>
      </c>
      <c r="W227" s="217">
        <f t="shared" si="614"/>
        <v>0.15332378933564197</v>
      </c>
      <c r="X227" s="197">
        <f t="shared" si="615"/>
        <v>350</v>
      </c>
      <c r="Y227" s="443">
        <f t="shared" si="678"/>
        <v>350</v>
      </c>
      <c r="AA227" s="217">
        <f t="shared" si="616"/>
        <v>10.096460985257099</v>
      </c>
      <c r="AB227" s="173">
        <f t="shared" si="617"/>
        <v>1.669531204632009</v>
      </c>
      <c r="AC227" s="173">
        <f t="shared" si="618"/>
        <v>2.9498624174663641</v>
      </c>
      <c r="AD227" s="173"/>
      <c r="AE227" s="173">
        <f t="shared" si="619"/>
        <v>0.55119353440440388</v>
      </c>
      <c r="AF227" s="545">
        <f t="shared" si="620"/>
        <v>299.35039092628676</v>
      </c>
      <c r="AG227" s="528">
        <f t="shared" si="621"/>
        <v>0.3215295617359023</v>
      </c>
      <c r="AI227" s="173">
        <f t="shared" si="622"/>
        <v>3.0827239599959184</v>
      </c>
      <c r="AJ227" s="173">
        <f t="shared" si="623"/>
        <v>3.3333333333333335</v>
      </c>
      <c r="AK227" s="173">
        <f t="shared" si="624"/>
        <v>1.1710573662435924</v>
      </c>
      <c r="AM227" s="545">
        <f t="shared" si="625"/>
        <v>275</v>
      </c>
      <c r="AN227" s="460">
        <f t="shared" si="626"/>
        <v>299.35039092628676</v>
      </c>
      <c r="AP227">
        <f t="shared" si="627"/>
        <v>275</v>
      </c>
      <c r="AQ227">
        <f t="shared" si="628"/>
        <v>299.35039092628676</v>
      </c>
      <c r="AS227" s="5">
        <f t="shared" si="599"/>
        <v>3.3405668751782058</v>
      </c>
      <c r="AT227" s="5">
        <f t="shared" si="629"/>
        <v>0.39208842723703041</v>
      </c>
      <c r="AU227" s="5">
        <f t="shared" si="477"/>
        <v>2.9484784479411754</v>
      </c>
      <c r="AV227" s="5"/>
      <c r="AW227" s="173">
        <f t="shared" si="478"/>
        <v>0.11737182397107798</v>
      </c>
      <c r="AX227" s="173">
        <f t="shared" si="630"/>
        <v>7.8163713186308224</v>
      </c>
      <c r="AY227" s="173">
        <f t="shared" si="631"/>
        <v>1.4710469600482035</v>
      </c>
      <c r="AZ227" s="173">
        <f t="shared" si="632"/>
        <v>5.3134750493449197</v>
      </c>
      <c r="BA227" s="460">
        <f t="shared" si="593"/>
        <v>0.38508684817922634</v>
      </c>
      <c r="BB227" s="5">
        <f t="shared" si="594"/>
        <v>0.4058523527026881</v>
      </c>
      <c r="BD227" s="173">
        <f t="shared" si="679"/>
        <v>0.65932576102571683</v>
      </c>
      <c r="BE227" s="173">
        <f t="shared" si="680"/>
        <v>1.8080357420558821</v>
      </c>
      <c r="BG227" s="528">
        <f t="shared" si="681"/>
        <v>5.2165255098256882E-3</v>
      </c>
      <c r="BH227" s="528">
        <f t="shared" si="633"/>
        <v>1.2452353409539723</v>
      </c>
      <c r="BI227" s="528">
        <f t="shared" si="682"/>
        <v>3.4425294956522981E-2</v>
      </c>
      <c r="BJ227" s="528">
        <f t="shared" si="683"/>
        <v>0.68935995692308571</v>
      </c>
      <c r="BK227">
        <f t="shared" si="684"/>
        <v>1.7980637810914125E-2</v>
      </c>
      <c r="BL227" s="460">
        <f t="shared" si="685"/>
        <v>52.4059327674371</v>
      </c>
      <c r="BM227" s="528">
        <f t="shared" si="634"/>
        <v>1.9436293097442565</v>
      </c>
      <c r="BN227" s="460">
        <f t="shared" si="686"/>
        <v>1943.6293097442565</v>
      </c>
      <c r="BO227" s="528">
        <f t="shared" si="635"/>
        <v>0.1925</v>
      </c>
      <c r="BR227" s="460">
        <f t="shared" si="687"/>
        <v>192.5</v>
      </c>
      <c r="BS227" s="528">
        <f t="shared" si="688"/>
        <v>6.0859464281299699E-3</v>
      </c>
      <c r="BT227" s="528">
        <f t="shared" si="689"/>
        <v>4.57659054237219E-2</v>
      </c>
      <c r="BU227" s="528">
        <f t="shared" si="690"/>
        <v>1.5725933745563392</v>
      </c>
      <c r="BV227" s="528"/>
      <c r="BW227" s="528">
        <f t="shared" si="691"/>
        <v>0.33261154547365201</v>
      </c>
      <c r="BX227" s="460">
        <f t="shared" si="692"/>
        <v>1957.0567718818429</v>
      </c>
      <c r="BY227" s="173">
        <f t="shared" si="693"/>
        <v>4.141774528036164</v>
      </c>
      <c r="BZ227" s="5">
        <f t="shared" si="694"/>
        <v>7.7000000000000011</v>
      </c>
      <c r="CA227" s="173">
        <f t="shared" si="695"/>
        <v>0.65024038261915518</v>
      </c>
      <c r="CB227" s="5">
        <f t="shared" si="696"/>
        <v>65.024038261915521</v>
      </c>
      <c r="CE227" s="562">
        <f t="shared" si="636"/>
        <v>-50</v>
      </c>
      <c r="CF227">
        <f t="shared" si="637"/>
        <v>-50</v>
      </c>
      <c r="CG227" s="173">
        <f t="shared" si="638"/>
        <v>0.16617439204470877</v>
      </c>
      <c r="CI227" s="170">
        <v>11</v>
      </c>
      <c r="CJ227" s="217">
        <f t="shared" si="697"/>
        <v>0.27500000000000002</v>
      </c>
      <c r="CK227" s="217"/>
      <c r="CL227" s="217">
        <f t="shared" si="639"/>
        <v>7.7000000000000011</v>
      </c>
      <c r="CM227" s="541">
        <f t="shared" si="640"/>
        <v>40</v>
      </c>
      <c r="CN227" s="443">
        <f t="shared" si="641"/>
        <v>28.4</v>
      </c>
      <c r="CO227" s="443">
        <f t="shared" si="642"/>
        <v>68.400000000000006</v>
      </c>
      <c r="CP227" s="443"/>
      <c r="CQ227" s="217">
        <f t="shared" si="643"/>
        <v>0.41520467836257302</v>
      </c>
      <c r="CR227" s="172">
        <f t="shared" si="644"/>
        <v>140.52175355646798</v>
      </c>
      <c r="CS227" s="172">
        <f t="shared" si="645"/>
        <v>7.7000000000000011</v>
      </c>
      <c r="CT227" s="217">
        <f t="shared" si="646"/>
        <v>5.0186340555881426</v>
      </c>
      <c r="CU227" s="217">
        <f t="shared" si="647"/>
        <v>28</v>
      </c>
      <c r="CV227" s="217"/>
      <c r="CW227" s="172">
        <f t="shared" si="648"/>
        <v>1172.1348577709716</v>
      </c>
      <c r="CX227" s="172">
        <f t="shared" si="649"/>
        <v>28</v>
      </c>
      <c r="CY227" s="217">
        <f t="shared" si="650"/>
        <v>0.92725352112676096</v>
      </c>
      <c r="CZ227" s="217">
        <f t="shared" si="651"/>
        <v>0.10895228873239442</v>
      </c>
      <c r="DA227" s="217">
        <f t="shared" si="652"/>
        <v>0.15345392779210482</v>
      </c>
      <c r="DB227" s="197">
        <f t="shared" si="653"/>
        <v>350</v>
      </c>
      <c r="DC227" s="443">
        <f t="shared" si="654"/>
        <v>350</v>
      </c>
      <c r="DE227" s="217">
        <f t="shared" si="655"/>
        <v>10.09616239179509</v>
      </c>
      <c r="DF227" s="173">
        <f t="shared" si="656"/>
        <v>1.6708437761069339</v>
      </c>
      <c r="DG227" s="173">
        <f t="shared" si="657"/>
        <v>2.9520942666067511</v>
      </c>
      <c r="DH227" s="173"/>
      <c r="DI227" s="173">
        <f t="shared" si="658"/>
        <v>0.55164319248826299</v>
      </c>
      <c r="DJ227" s="545">
        <f t="shared" si="659"/>
        <v>299.10638297872339</v>
      </c>
      <c r="DK227" s="528">
        <f t="shared" si="660"/>
        <v>0.3217918622848201</v>
      </c>
      <c r="DM227" s="173">
        <f t="shared" si="661"/>
        <v>3.0814673013814837</v>
      </c>
      <c r="DN227" s="173">
        <f t="shared" si="662"/>
        <v>3.3333333333333335</v>
      </c>
      <c r="DO227" s="173">
        <f t="shared" si="663"/>
        <v>1.1709179331306991</v>
      </c>
      <c r="DQ227" s="545">
        <f t="shared" si="664"/>
        <v>275</v>
      </c>
      <c r="DR227" s="460">
        <f t="shared" si="665"/>
        <v>299.10638297872339</v>
      </c>
      <c r="DT227">
        <f t="shared" si="666"/>
        <v>275</v>
      </c>
      <c r="DU227">
        <f t="shared" si="667"/>
        <v>299.10638297872339</v>
      </c>
      <c r="DW227" s="5">
        <f t="shared" si="668"/>
        <v>3.3432920756864424</v>
      </c>
      <c r="DX227" s="5">
        <f t="shared" si="669"/>
        <v>0.39166666666666672</v>
      </c>
      <c r="DY227" s="5">
        <f t="shared" si="670"/>
        <v>2.9516254090197758</v>
      </c>
      <c r="DZ227" s="5"/>
      <c r="EA227" s="173">
        <f t="shared" si="671"/>
        <v>0.11715</v>
      </c>
      <c r="EB227" s="173">
        <f t="shared" si="698"/>
        <v>7.8100000000000005</v>
      </c>
      <c r="EC227" s="173">
        <f t="shared" si="699"/>
        <v>1.4714166666666668</v>
      </c>
      <c r="ED227" s="173">
        <f t="shared" si="700"/>
        <v>5.3078099337373281</v>
      </c>
      <c r="EE227" s="460">
        <f t="shared" si="672"/>
        <v>0.38467261904761912</v>
      </c>
      <c r="EF227" s="5">
        <f t="shared" si="673"/>
        <v>0.40584849374021925</v>
      </c>
      <c r="EH227" s="173">
        <f t="shared" si="701"/>
        <v>0.6587024281789835</v>
      </c>
      <c r="EI227" s="173">
        <f t="shared" si="702"/>
        <v>1.8082629274568494</v>
      </c>
      <c r="EK227" s="528">
        <f t="shared" si="703"/>
        <v>5.2066666666666676E-3</v>
      </c>
      <c r="EL227" s="528">
        <f t="shared" si="704"/>
        <v>1.2957288510638301</v>
      </c>
      <c r="EM227" s="528">
        <f t="shared" si="705"/>
        <v>3.4397234042553189E-2</v>
      </c>
      <c r="EN227" s="528">
        <f t="shared" si="706"/>
        <v>0.68919817588085119</v>
      </c>
      <c r="EO227">
        <f t="shared" si="707"/>
        <v>1.7999999999999999E-2</v>
      </c>
      <c r="EP227" s="460">
        <f t="shared" si="708"/>
        <v>52.397234042553187</v>
      </c>
      <c r="EQ227" s="460"/>
      <c r="ER227" s="460">
        <f t="shared" si="709"/>
        <v>2042.5309276539006</v>
      </c>
      <c r="ES227" s="528">
        <f t="shared" si="710"/>
        <v>0.1925</v>
      </c>
      <c r="EV227" s="460">
        <f t="shared" si="711"/>
        <v>192.5</v>
      </c>
      <c r="EW227" s="528">
        <f t="shared" si="712"/>
        <v>6.0744444444444448E-3</v>
      </c>
      <c r="EX227" s="528">
        <f t="shared" si="713"/>
        <v>4.5777407407407412E-2</v>
      </c>
      <c r="EY227" s="528">
        <f t="shared" si="714"/>
        <v>1.5693906835196809</v>
      </c>
      <c r="EZ227" s="528"/>
      <c r="FA227" s="528">
        <f t="shared" si="715"/>
        <v>0.3323404255319149</v>
      </c>
      <c r="FB227" s="460">
        <f t="shared" si="716"/>
        <v>1953.5829609034477</v>
      </c>
      <c r="FC227" s="173">
        <f t="shared" si="717"/>
        <v>4.1886138885573478</v>
      </c>
      <c r="FD227" s="5">
        <f t="shared" si="718"/>
        <v>7.7000000000000011</v>
      </c>
      <c r="FE227" s="173">
        <f t="shared" si="719"/>
        <v>0.64767853276917009</v>
      </c>
      <c r="FF227" s="5">
        <f t="shared" si="720"/>
        <v>64.767853276917009</v>
      </c>
      <c r="FI227" s="562">
        <f t="shared" si="674"/>
        <v>-50</v>
      </c>
      <c r="FJ227">
        <f t="shared" si="675"/>
        <v>-50</v>
      </c>
      <c r="FL227">
        <f t="shared" si="676"/>
        <v>0.16500000000000001</v>
      </c>
    </row>
    <row r="228" spans="5:168">
      <c r="E228" s="170">
        <v>12</v>
      </c>
      <c r="F228" s="217">
        <f t="shared" si="677"/>
        <v>0.3</v>
      </c>
      <c r="G228" s="217"/>
      <c r="H228" s="217">
        <f t="shared" si="602"/>
        <v>8.4</v>
      </c>
      <c r="I228" s="541">
        <f t="shared" si="603"/>
        <v>39.956972913142501</v>
      </c>
      <c r="J228" s="172">
        <f t="shared" si="604"/>
        <v>28.423168431384806</v>
      </c>
      <c r="K228" s="172">
        <f t="shared" si="605"/>
        <v>68.380141344527303</v>
      </c>
      <c r="L228" s="443"/>
      <c r="M228" s="217">
        <f t="shared" si="606"/>
        <v>0.41566548752914079</v>
      </c>
      <c r="N228" s="172">
        <f t="shared" si="607"/>
        <v>140.52638587924221</v>
      </c>
      <c r="O228" s="172">
        <f t="shared" si="598"/>
        <v>8.4</v>
      </c>
      <c r="P228" s="217">
        <f t="shared" si="608"/>
        <v>5.0187994956872215</v>
      </c>
      <c r="Q228" s="217">
        <f t="shared" si="609"/>
        <v>28</v>
      </c>
      <c r="R228" s="217"/>
      <c r="S228" s="172">
        <f t="shared" si="610"/>
        <v>1069.9738733095082</v>
      </c>
      <c r="T228" s="172">
        <f t="shared" si="611"/>
        <v>28</v>
      </c>
      <c r="U228" s="217">
        <f t="shared" si="612"/>
        <v>1.0115159509845522</v>
      </c>
      <c r="V228" s="217">
        <f t="shared" si="613"/>
        <v>0.11898110950401064</v>
      </c>
      <c r="W228" s="217">
        <f t="shared" si="614"/>
        <v>0.16726231563888211</v>
      </c>
      <c r="X228" s="197">
        <f t="shared" si="615"/>
        <v>350</v>
      </c>
      <c r="Y228" s="443">
        <f t="shared" si="678"/>
        <v>350</v>
      </c>
      <c r="AA228" s="217">
        <f t="shared" si="616"/>
        <v>10.096460985257099</v>
      </c>
      <c r="AB228" s="173">
        <f t="shared" si="617"/>
        <v>1.669531204632009</v>
      </c>
      <c r="AC228" s="173">
        <f t="shared" si="618"/>
        <v>2.9498624174663641</v>
      </c>
      <c r="AD228" s="173"/>
      <c r="AE228" s="173">
        <f t="shared" si="619"/>
        <v>0.55119353440440388</v>
      </c>
      <c r="AF228" s="545">
        <f t="shared" si="620"/>
        <v>326.56406282867641</v>
      </c>
      <c r="AG228" s="528">
        <f t="shared" si="621"/>
        <v>0.3215295617359023</v>
      </c>
      <c r="AI228" s="173">
        <f t="shared" si="622"/>
        <v>3.2198001654873352</v>
      </c>
      <c r="AJ228" s="173">
        <f t="shared" si="623"/>
        <v>3.3333333333333335</v>
      </c>
      <c r="AK228" s="173">
        <f t="shared" si="624"/>
        <v>1.1866080359021007</v>
      </c>
      <c r="AM228" s="545">
        <f t="shared" si="625"/>
        <v>300</v>
      </c>
      <c r="AN228" s="460">
        <f t="shared" si="626"/>
        <v>326.56406282867641</v>
      </c>
      <c r="AP228">
        <f t="shared" si="627"/>
        <v>300</v>
      </c>
      <c r="AQ228">
        <f t="shared" si="628"/>
        <v>326.56406282867641</v>
      </c>
      <c r="AS228" s="5">
        <f t="shared" si="599"/>
        <v>3.0621863022466886</v>
      </c>
      <c r="AT228" s="5">
        <f t="shared" si="629"/>
        <v>0.39208842723703041</v>
      </c>
      <c r="AU228" s="5">
        <f t="shared" si="477"/>
        <v>2.6700978750096582</v>
      </c>
      <c r="AV228" s="5"/>
      <c r="AW228" s="173">
        <f t="shared" si="478"/>
        <v>0.12804198978663053</v>
      </c>
      <c r="AX228" s="173">
        <f t="shared" si="630"/>
        <v>8.5269505294154406</v>
      </c>
      <c r="AY228" s="173">
        <f t="shared" si="631"/>
        <v>1.4532633503556158</v>
      </c>
      <c r="AZ228" s="173">
        <f t="shared" si="632"/>
        <v>5.8674503332991108</v>
      </c>
      <c r="BA228" s="460">
        <f t="shared" si="593"/>
        <v>0.42009474346824688</v>
      </c>
      <c r="BB228" s="5">
        <f t="shared" si="594"/>
        <v>0.40094596967801122</v>
      </c>
      <c r="BD228" s="173">
        <f t="shared" si="679"/>
        <v>0.68864329794338031</v>
      </c>
      <c r="BE228" s="173">
        <f t="shared" si="680"/>
        <v>1.7970737636227871</v>
      </c>
      <c r="BG228" s="528">
        <f t="shared" si="681"/>
        <v>5.6907551016280233E-3</v>
      </c>
      <c r="BH228" s="528">
        <f t="shared" si="633"/>
        <v>1.3584385537679695</v>
      </c>
      <c r="BI228" s="528">
        <f t="shared" si="682"/>
        <v>3.7554867225297793E-2</v>
      </c>
      <c r="BJ228" s="528">
        <f t="shared" si="683"/>
        <v>0.75202904391609338</v>
      </c>
      <c r="BK228">
        <f t="shared" si="684"/>
        <v>1.7980637810914125E-2</v>
      </c>
      <c r="BL228" s="460">
        <f t="shared" si="685"/>
        <v>55.535505036211923</v>
      </c>
      <c r="BM228" s="528">
        <f t="shared" si="634"/>
        <v>2.1205621183502634</v>
      </c>
      <c r="BN228" s="460">
        <f t="shared" si="686"/>
        <v>2120.5621183502635</v>
      </c>
      <c r="BO228" s="528">
        <f t="shared" si="635"/>
        <v>0.21</v>
      </c>
      <c r="BR228" s="460">
        <f t="shared" si="687"/>
        <v>210</v>
      </c>
      <c r="BS228" s="528">
        <f t="shared" si="688"/>
        <v>6.6392142852326934E-3</v>
      </c>
      <c r="BT228" s="528">
        <f t="shared" si="689"/>
        <v>4.5212637566619168E-2</v>
      </c>
      <c r="BU228" s="528">
        <f t="shared" si="690"/>
        <v>1.9547347959495283</v>
      </c>
      <c r="BV228" s="528"/>
      <c r="BW228" s="528">
        <f t="shared" si="691"/>
        <v>0.3628489586985294</v>
      </c>
      <c r="BX228" s="460">
        <f t="shared" si="692"/>
        <v>2369.4356064999097</v>
      </c>
      <c r="BY228" s="173">
        <f t="shared" si="693"/>
        <v>4.7511294643218118</v>
      </c>
      <c r="BZ228" s="5">
        <f t="shared" si="694"/>
        <v>8.4</v>
      </c>
      <c r="CA228" s="173">
        <f t="shared" si="695"/>
        <v>0.6387284090532811</v>
      </c>
      <c r="CB228" s="5">
        <f t="shared" si="696"/>
        <v>63.872840905328111</v>
      </c>
      <c r="CE228" s="562">
        <f t="shared" si="636"/>
        <v>-50</v>
      </c>
      <c r="CF228">
        <f t="shared" si="637"/>
        <v>-50</v>
      </c>
      <c r="CG228" s="173">
        <f t="shared" si="638"/>
        <v>0.18128115495786412</v>
      </c>
      <c r="CI228" s="170">
        <v>12</v>
      </c>
      <c r="CJ228" s="217">
        <f t="shared" si="697"/>
        <v>0.3</v>
      </c>
      <c r="CK228" s="217"/>
      <c r="CL228" s="217">
        <f t="shared" si="639"/>
        <v>8.4</v>
      </c>
      <c r="CM228" s="541">
        <f t="shared" si="640"/>
        <v>40</v>
      </c>
      <c r="CN228" s="443">
        <f t="shared" si="641"/>
        <v>28.4</v>
      </c>
      <c r="CO228" s="443">
        <f t="shared" si="642"/>
        <v>68.400000000000006</v>
      </c>
      <c r="CP228" s="443"/>
      <c r="CQ228" s="217">
        <f t="shared" si="643"/>
        <v>0.41520467836257302</v>
      </c>
      <c r="CR228" s="172">
        <f t="shared" si="644"/>
        <v>140.52175355646798</v>
      </c>
      <c r="CS228" s="172">
        <f t="shared" si="645"/>
        <v>8.4</v>
      </c>
      <c r="CT228" s="217">
        <f t="shared" si="646"/>
        <v>5.0186340555881426</v>
      </c>
      <c r="CU228" s="217">
        <f t="shared" si="647"/>
        <v>28</v>
      </c>
      <c r="CV228" s="217"/>
      <c r="CW228" s="172">
        <f t="shared" si="648"/>
        <v>1071.12604308603</v>
      </c>
      <c r="CX228" s="172">
        <f t="shared" si="649"/>
        <v>28</v>
      </c>
      <c r="CY228" s="217">
        <f t="shared" si="650"/>
        <v>1.0115492957746481</v>
      </c>
      <c r="CZ228" s="217">
        <f t="shared" si="651"/>
        <v>0.11885704225352116</v>
      </c>
      <c r="DA228" s="217">
        <f t="shared" si="652"/>
        <v>0.16740428486411429</v>
      </c>
      <c r="DB228" s="197">
        <f t="shared" si="653"/>
        <v>350</v>
      </c>
      <c r="DC228" s="443">
        <f t="shared" si="654"/>
        <v>350</v>
      </c>
      <c r="DE228" s="217">
        <f t="shared" si="655"/>
        <v>10.09616239179509</v>
      </c>
      <c r="DF228" s="173">
        <f t="shared" si="656"/>
        <v>1.6708437761069339</v>
      </c>
      <c r="DG228" s="173">
        <f t="shared" si="657"/>
        <v>2.9520942666067511</v>
      </c>
      <c r="DH228" s="173"/>
      <c r="DI228" s="173">
        <f t="shared" si="658"/>
        <v>0.55164319248826299</v>
      </c>
      <c r="DJ228" s="545">
        <f t="shared" si="659"/>
        <v>326.2978723404255</v>
      </c>
      <c r="DK228" s="528">
        <f t="shared" si="660"/>
        <v>0.3217918622848201</v>
      </c>
      <c r="DM228" s="173">
        <f t="shared" si="661"/>
        <v>3.2184876283717112</v>
      </c>
      <c r="DN228" s="173">
        <f t="shared" si="662"/>
        <v>3.3333333333333335</v>
      </c>
      <c r="DO228" s="173">
        <f t="shared" si="663"/>
        <v>1.1864559270516717</v>
      </c>
      <c r="DQ228" s="545">
        <f t="shared" si="664"/>
        <v>300</v>
      </c>
      <c r="DR228" s="460">
        <f t="shared" si="665"/>
        <v>326.2978723404255</v>
      </c>
      <c r="DT228">
        <f t="shared" si="666"/>
        <v>300</v>
      </c>
      <c r="DU228">
        <f t="shared" si="667"/>
        <v>326.2978723404255</v>
      </c>
      <c r="DW228" s="5">
        <f t="shared" si="668"/>
        <v>3.0646844027125719</v>
      </c>
      <c r="DX228" s="5">
        <f t="shared" si="669"/>
        <v>0.39166666666666672</v>
      </c>
      <c r="DY228" s="5">
        <f t="shared" si="670"/>
        <v>2.6730177360459053</v>
      </c>
      <c r="DZ228" s="5"/>
      <c r="EA228" s="173">
        <f t="shared" si="671"/>
        <v>0.1278</v>
      </c>
      <c r="EB228" s="173">
        <f t="shared" si="698"/>
        <v>8.52</v>
      </c>
      <c r="EC228" s="173">
        <f t="shared" si="699"/>
        <v>1.4536666666666667</v>
      </c>
      <c r="ED228" s="173">
        <f t="shared" si="700"/>
        <v>5.8610410456317359</v>
      </c>
      <c r="EE228" s="460">
        <f t="shared" si="672"/>
        <v>0.41964285714285715</v>
      </c>
      <c r="EF228" s="5">
        <f t="shared" si="673"/>
        <v>0.40095266040688576</v>
      </c>
      <c r="EH228" s="173">
        <f t="shared" si="701"/>
        <v>0.68799224801834313</v>
      </c>
      <c r="EI228" s="173">
        <f t="shared" si="702"/>
        <v>1.7973231124008757</v>
      </c>
      <c r="EK228" s="528">
        <f t="shared" si="703"/>
        <v>5.680000000000001E-3</v>
      </c>
      <c r="EL228" s="528">
        <f t="shared" si="704"/>
        <v>1.4135223829787236</v>
      </c>
      <c r="EM228" s="528">
        <f t="shared" si="705"/>
        <v>3.7524255319148936E-2</v>
      </c>
      <c r="EN228" s="528">
        <f t="shared" si="706"/>
        <v>0.75185255550638297</v>
      </c>
      <c r="EO228">
        <f t="shared" si="707"/>
        <v>1.7999999999999999E-2</v>
      </c>
      <c r="EP228" s="460">
        <f t="shared" si="708"/>
        <v>55.524255319148935</v>
      </c>
      <c r="EQ228" s="460"/>
      <c r="ER228" s="460">
        <f t="shared" si="709"/>
        <v>2226.5791938042553</v>
      </c>
      <c r="ES228" s="528">
        <f t="shared" si="710"/>
        <v>0.21</v>
      </c>
      <c r="EV228" s="460">
        <f t="shared" si="711"/>
        <v>210</v>
      </c>
      <c r="EW228" s="528">
        <f t="shared" si="712"/>
        <v>6.6266666666666679E-3</v>
      </c>
      <c r="EX228" s="528">
        <f t="shared" si="713"/>
        <v>4.5225185185185195E-2</v>
      </c>
      <c r="EY228" s="528">
        <f t="shared" si="714"/>
        <v>1.9507538484831828</v>
      </c>
      <c r="EZ228" s="528"/>
      <c r="FA228" s="528">
        <f t="shared" si="715"/>
        <v>0.36255319148936171</v>
      </c>
      <c r="FB228" s="460">
        <f t="shared" si="716"/>
        <v>2365.1588918243965</v>
      </c>
      <c r="FC228" s="173">
        <f t="shared" si="717"/>
        <v>4.8017380856286511</v>
      </c>
      <c r="FD228" s="5">
        <f t="shared" si="718"/>
        <v>8.4</v>
      </c>
      <c r="FE228" s="173">
        <f t="shared" si="719"/>
        <v>0.63627985538845067</v>
      </c>
      <c r="FF228" s="5">
        <f t="shared" si="720"/>
        <v>63.627985538845067</v>
      </c>
      <c r="FI228" s="562">
        <f t="shared" si="674"/>
        <v>-50</v>
      </c>
      <c r="FJ228">
        <f t="shared" si="675"/>
        <v>-50</v>
      </c>
      <c r="FL228">
        <f t="shared" si="676"/>
        <v>0.18</v>
      </c>
    </row>
    <row r="229" spans="5:168">
      <c r="E229" s="170">
        <v>13</v>
      </c>
      <c r="F229" s="217">
        <f t="shared" si="677"/>
        <v>0.32500000000000001</v>
      </c>
      <c r="G229" s="217"/>
      <c r="H229" s="217">
        <f t="shared" si="602"/>
        <v>9.1</v>
      </c>
      <c r="I229" s="541">
        <f t="shared" si="603"/>
        <v>39.95675896354107</v>
      </c>
      <c r="J229" s="172">
        <f t="shared" si="604"/>
        <v>28.423283635016347</v>
      </c>
      <c r="K229" s="172">
        <f t="shared" si="605"/>
        <v>68.380042598557424</v>
      </c>
      <c r="L229" s="443"/>
      <c r="M229" s="217">
        <f t="shared" si="606"/>
        <v>0.41566777953820266</v>
      </c>
      <c r="N229" s="172">
        <f t="shared" si="607"/>
        <v>140.52640829908174</v>
      </c>
      <c r="O229" s="172">
        <f t="shared" si="598"/>
        <v>9.1</v>
      </c>
      <c r="P229" s="217">
        <f t="shared" si="608"/>
        <v>5.0188002963957761</v>
      </c>
      <c r="Q229" s="217">
        <f t="shared" si="609"/>
        <v>28</v>
      </c>
      <c r="R229" s="217"/>
      <c r="S229" s="172">
        <f t="shared" si="610"/>
        <v>984.59174838383888</v>
      </c>
      <c r="T229" s="172">
        <f t="shared" si="611"/>
        <v>28</v>
      </c>
      <c r="U229" s="217">
        <f t="shared" si="612"/>
        <v>1.0958087720725731</v>
      </c>
      <c r="V229" s="217">
        <f t="shared" si="613"/>
        <v>0.12889687157660948</v>
      </c>
      <c r="W229" s="217">
        <f t="shared" si="614"/>
        <v>0.18120007860021242</v>
      </c>
      <c r="X229" s="197">
        <f t="shared" si="615"/>
        <v>350</v>
      </c>
      <c r="Y229" s="443">
        <f t="shared" si="678"/>
        <v>350</v>
      </c>
      <c r="AA229" s="217">
        <f t="shared" si="616"/>
        <v>10.096462426142411</v>
      </c>
      <c r="AB229" s="173">
        <f t="shared" si="617"/>
        <v>1.6695246760444198</v>
      </c>
      <c r="AC229" s="173">
        <f t="shared" si="618"/>
        <v>2.9498513032100115</v>
      </c>
      <c r="AD229" s="173"/>
      <c r="AE229" s="173">
        <f t="shared" si="619"/>
        <v>0.55119130033821861</v>
      </c>
      <c r="AF229" s="545">
        <f t="shared" si="620"/>
        <v>353.77916864860765</v>
      </c>
      <c r="AG229" s="528">
        <f t="shared" si="621"/>
        <v>0.3215282585306275</v>
      </c>
      <c r="AI229" s="173">
        <f t="shared" si="622"/>
        <v>3.3512810564026738</v>
      </c>
      <c r="AJ229" s="173">
        <f t="shared" si="623"/>
        <v>3.3512810564026738</v>
      </c>
      <c r="AK229" s="173">
        <f t="shared" si="624"/>
        <v>1.2132946096809929</v>
      </c>
      <c r="AM229" s="545">
        <f t="shared" si="625"/>
        <v>325</v>
      </c>
      <c r="AN229" s="460">
        <f t="shared" si="626"/>
        <v>350</v>
      </c>
      <c r="AP229">
        <f t="shared" si="627"/>
        <v>325</v>
      </c>
      <c r="AQ229">
        <f t="shared" si="628"/>
        <v>350</v>
      </c>
      <c r="AS229" s="5">
        <f t="shared" si="599"/>
        <v>2.8571428571428572</v>
      </c>
      <c r="AT229" s="5">
        <f t="shared" si="629"/>
        <v>0.39420166634297688</v>
      </c>
      <c r="AU229" s="5">
        <f t="shared" si="477"/>
        <v>2.4629411907998802</v>
      </c>
      <c r="AV229" s="5"/>
      <c r="AW229" s="173">
        <f t="shared" si="478"/>
        <v>0.13797058322004191</v>
      </c>
      <c r="AX229" s="173">
        <f t="shared" si="630"/>
        <v>9.2375671813803137</v>
      </c>
      <c r="AY229" s="173">
        <f t="shared" si="631"/>
        <v>1.4444514272582594</v>
      </c>
      <c r="AZ229" s="173">
        <f t="shared" si="632"/>
        <v>6.3952079018083117</v>
      </c>
      <c r="BA229" s="460">
        <f t="shared" si="593"/>
        <v>0.45755550557666957</v>
      </c>
      <c r="BB229" s="5">
        <f t="shared" si="594"/>
        <v>0.40066106850174943</v>
      </c>
      <c r="BD229" s="173">
        <f t="shared" si="679"/>
        <v>0.71869309835622297</v>
      </c>
      <c r="BE229" s="173">
        <f t="shared" si="680"/>
        <v>1.7964340056650026</v>
      </c>
      <c r="BG229" s="528">
        <f t="shared" si="681"/>
        <v>6.1982372354984112E-3</v>
      </c>
      <c r="BH229" s="528">
        <f t="shared" si="633"/>
        <v>1.4637642356704845</v>
      </c>
      <c r="BI229" s="528">
        <f t="shared" si="682"/>
        <v>4.0250000000000001E-2</v>
      </c>
      <c r="BJ229" s="528">
        <f t="shared" si="683"/>
        <v>0.80599623516891861</v>
      </c>
      <c r="BK229">
        <f t="shared" si="684"/>
        <v>1.7980541533593481E-2</v>
      </c>
      <c r="BL229" s="460">
        <f t="shared" si="685"/>
        <v>58.230541533593488</v>
      </c>
      <c r="BM229" s="528">
        <f t="shared" si="634"/>
        <v>2.2809914509004967</v>
      </c>
      <c r="BN229" s="460">
        <f t="shared" si="686"/>
        <v>2280.9914509004966</v>
      </c>
      <c r="BO229" s="528">
        <f t="shared" si="635"/>
        <v>0.22749999999999998</v>
      </c>
      <c r="BR229" s="460">
        <f t="shared" si="687"/>
        <v>227.49999999999997</v>
      </c>
      <c r="BS229" s="528">
        <f t="shared" si="688"/>
        <v>7.2312767747481459E-3</v>
      </c>
      <c r="BT229" s="528">
        <f t="shared" si="689"/>
        <v>4.5180451913934487E-2</v>
      </c>
      <c r="BU229" s="528">
        <f t="shared" si="690"/>
        <v>2.3559563743259622</v>
      </c>
      <c r="BV229" s="528"/>
      <c r="BW229" s="528">
        <f t="shared" si="691"/>
        <v>0.39308796516511979</v>
      </c>
      <c r="BX229" s="460">
        <f t="shared" si="692"/>
        <v>2801.4560681797643</v>
      </c>
      <c r="BY229" s="173">
        <f t="shared" si="693"/>
        <v>5.36314531778826</v>
      </c>
      <c r="BZ229" s="5">
        <f t="shared" si="694"/>
        <v>9.1</v>
      </c>
      <c r="CA229" s="173">
        <f t="shared" si="695"/>
        <v>0.62918540884795549</v>
      </c>
      <c r="CB229" s="5">
        <f t="shared" si="696"/>
        <v>62.918540884795547</v>
      </c>
      <c r="CE229" s="562">
        <f t="shared" si="636"/>
        <v>-50</v>
      </c>
      <c r="CF229">
        <f t="shared" si="637"/>
        <v>-50</v>
      </c>
      <c r="CG229" s="173">
        <f t="shared" si="638"/>
        <v>0.19541622245862802</v>
      </c>
      <c r="CI229" s="170">
        <v>13</v>
      </c>
      <c r="CJ229" s="217">
        <f t="shared" si="697"/>
        <v>0.32500000000000001</v>
      </c>
      <c r="CK229" s="217"/>
      <c r="CL229" s="217">
        <f t="shared" si="639"/>
        <v>9.1</v>
      </c>
      <c r="CM229" s="541">
        <f t="shared" si="640"/>
        <v>40</v>
      </c>
      <c r="CN229" s="443">
        <f t="shared" si="641"/>
        <v>28.4</v>
      </c>
      <c r="CO229" s="443">
        <f t="shared" si="642"/>
        <v>68.400000000000006</v>
      </c>
      <c r="CP229" s="443"/>
      <c r="CQ229" s="217">
        <f t="shared" si="643"/>
        <v>0.41520467836257302</v>
      </c>
      <c r="CR229" s="172">
        <f t="shared" si="644"/>
        <v>140.52175355646798</v>
      </c>
      <c r="CS229" s="172">
        <f t="shared" si="645"/>
        <v>9.1</v>
      </c>
      <c r="CT229" s="217">
        <f t="shared" si="646"/>
        <v>5.0186340555881426</v>
      </c>
      <c r="CU229" s="217">
        <f t="shared" si="647"/>
        <v>28</v>
      </c>
      <c r="CV229" s="217"/>
      <c r="CW229" s="172">
        <f t="shared" si="648"/>
        <v>985.65725187938017</v>
      </c>
      <c r="CX229" s="172">
        <f t="shared" si="649"/>
        <v>28</v>
      </c>
      <c r="CY229" s="217">
        <f t="shared" si="650"/>
        <v>1.0958450704225355</v>
      </c>
      <c r="CZ229" s="217">
        <f t="shared" si="651"/>
        <v>0.12876179577464794</v>
      </c>
      <c r="DA229" s="217">
        <f t="shared" si="652"/>
        <v>0.18135464193612386</v>
      </c>
      <c r="DB229" s="197">
        <f t="shared" si="653"/>
        <v>350</v>
      </c>
      <c r="DC229" s="443">
        <f t="shared" si="654"/>
        <v>350</v>
      </c>
      <c r="DE229" s="217">
        <f t="shared" si="655"/>
        <v>10.09616239179509</v>
      </c>
      <c r="DF229" s="173">
        <f t="shared" si="656"/>
        <v>1.6708437761069339</v>
      </c>
      <c r="DG229" s="173">
        <f t="shared" si="657"/>
        <v>2.9520942666067511</v>
      </c>
      <c r="DH229" s="173"/>
      <c r="DI229" s="173">
        <f t="shared" si="658"/>
        <v>0.55164319248826299</v>
      </c>
      <c r="DJ229" s="545">
        <f t="shared" si="659"/>
        <v>353.48936170212761</v>
      </c>
      <c r="DK229" s="528">
        <f t="shared" si="660"/>
        <v>0.3217918622848201</v>
      </c>
      <c r="DM229" s="173">
        <f t="shared" si="661"/>
        <v>3.3499081328418909</v>
      </c>
      <c r="DN229" s="173">
        <f t="shared" si="662"/>
        <v>3.3499081328418909</v>
      </c>
      <c r="DO229" s="173">
        <f t="shared" si="663"/>
        <v>1.2122776292655981</v>
      </c>
      <c r="DQ229" s="545">
        <f t="shared" si="664"/>
        <v>325</v>
      </c>
      <c r="DR229" s="460">
        <f t="shared" si="665"/>
        <v>350</v>
      </c>
      <c r="DT229">
        <f t="shared" si="666"/>
        <v>325</v>
      </c>
      <c r="DU229">
        <f t="shared" si="667"/>
        <v>350</v>
      </c>
      <c r="DW229" s="5">
        <f t="shared" si="668"/>
        <v>2.8571428571428572</v>
      </c>
      <c r="DX229" s="5">
        <f t="shared" si="669"/>
        <v>0.39361420560892219</v>
      </c>
      <c r="DY229" s="5">
        <f t="shared" si="670"/>
        <v>2.463528651533935</v>
      </c>
      <c r="DZ229" s="5"/>
      <c r="EA229" s="173">
        <f t="shared" si="671"/>
        <v>0.13776497196312276</v>
      </c>
      <c r="EB229" s="173">
        <f t="shared" si="698"/>
        <v>9.2300000000000022</v>
      </c>
      <c r="EC229" s="173">
        <f t="shared" si="699"/>
        <v>1.4442040664209455</v>
      </c>
      <c r="ED229" s="173">
        <f t="shared" si="700"/>
        <v>6.391063572389716</v>
      </c>
      <c r="EE229" s="460">
        <f t="shared" si="672"/>
        <v>0.45687363151035609</v>
      </c>
      <c r="EF229" s="5">
        <f t="shared" si="673"/>
        <v>0.40032340587426435</v>
      </c>
      <c r="EH229" s="173">
        <f t="shared" si="701"/>
        <v>0.71786317250260923</v>
      </c>
      <c r="EI229" s="173">
        <f t="shared" si="702"/>
        <v>1.7959122004498356</v>
      </c>
      <c r="EK229" s="528">
        <f t="shared" si="703"/>
        <v>6.1839304132261311E-3</v>
      </c>
      <c r="EL229" s="528">
        <f t="shared" si="704"/>
        <v>1.5237392133044627</v>
      </c>
      <c r="EM229" s="528">
        <f t="shared" si="705"/>
        <v>4.0250000000000001E-2</v>
      </c>
      <c r="EN229" s="528">
        <f t="shared" si="706"/>
        <v>0.80646678000000016</v>
      </c>
      <c r="EO229">
        <f t="shared" si="707"/>
        <v>1.7999999999999999E-2</v>
      </c>
      <c r="EP229" s="460">
        <f t="shared" si="708"/>
        <v>58.249999999999993</v>
      </c>
      <c r="EQ229" s="460"/>
      <c r="ER229" s="460">
        <f t="shared" si="709"/>
        <v>2394.6399237176888</v>
      </c>
      <c r="ES229" s="528">
        <f t="shared" si="710"/>
        <v>0.22749999999999998</v>
      </c>
      <c r="EV229" s="460">
        <f t="shared" si="711"/>
        <v>227.49999999999997</v>
      </c>
      <c r="EW229" s="528">
        <f t="shared" si="712"/>
        <v>7.2145854820971529E-3</v>
      </c>
      <c r="EX229" s="528">
        <f t="shared" si="713"/>
        <v>4.5154208844143985E-2</v>
      </c>
      <c r="EY229" s="528">
        <f t="shared" si="714"/>
        <v>2.3535441965632744</v>
      </c>
      <c r="EZ229" s="528"/>
      <c r="FA229" s="528">
        <f t="shared" si="715"/>
        <v>0.39276595744680859</v>
      </c>
      <c r="FB229" s="460">
        <f t="shared" si="716"/>
        <v>2798.6789483363245</v>
      </c>
      <c r="FC229" s="173">
        <f t="shared" si="717"/>
        <v>5.4208188720540136</v>
      </c>
      <c r="FD229" s="5">
        <f t="shared" si="718"/>
        <v>9.1</v>
      </c>
      <c r="FE229" s="173">
        <f t="shared" si="719"/>
        <v>0.62668642038593081</v>
      </c>
      <c r="FF229" s="5">
        <f t="shared" si="720"/>
        <v>62.668642038593077</v>
      </c>
      <c r="FI229" s="562">
        <f t="shared" si="674"/>
        <v>-50</v>
      </c>
      <c r="FJ229">
        <f t="shared" si="675"/>
        <v>-50</v>
      </c>
      <c r="FL229">
        <f t="shared" si="676"/>
        <v>0.19403517177904617</v>
      </c>
    </row>
    <row r="230" spans="5:168">
      <c r="E230" s="170">
        <v>14</v>
      </c>
      <c r="F230" s="217">
        <f t="shared" si="677"/>
        <v>0.35000000000000003</v>
      </c>
      <c r="G230" s="217"/>
      <c r="H230" s="217">
        <f t="shared" si="602"/>
        <v>9.8000000000000007</v>
      </c>
      <c r="I230" s="541">
        <f t="shared" si="603"/>
        <v>39.955126655782337</v>
      </c>
      <c r="J230" s="172">
        <f t="shared" si="604"/>
        <v>28.424162569963354</v>
      </c>
      <c r="K230" s="172">
        <f t="shared" si="605"/>
        <v>68.379289225745694</v>
      </c>
      <c r="L230" s="443"/>
      <c r="M230" s="217">
        <f t="shared" si="606"/>
        <v>0.4156852664154142</v>
      </c>
      <c r="N230" s="172">
        <f t="shared" si="607"/>
        <v>140.52657914896884</v>
      </c>
      <c r="O230" s="172">
        <f t="shared" si="598"/>
        <v>9.8000000000000007</v>
      </c>
      <c r="P230" s="217">
        <f t="shared" si="608"/>
        <v>5.0188063981774587</v>
      </c>
      <c r="Q230" s="217">
        <f t="shared" si="609"/>
        <v>28</v>
      </c>
      <c r="R230" s="217"/>
      <c r="S230" s="172">
        <f t="shared" si="610"/>
        <v>911.37494127155958</v>
      </c>
      <c r="T230" s="172">
        <f t="shared" si="611"/>
        <v>28</v>
      </c>
      <c r="U230" s="217">
        <f t="shared" si="612"/>
        <v>1.1801003197915296</v>
      </c>
      <c r="V230" s="217">
        <f t="shared" si="613"/>
        <v>0.13881751773192036</v>
      </c>
      <c r="W230" s="217">
        <f t="shared" si="614"/>
        <v>0.19513227485130233</v>
      </c>
      <c r="X230" s="197">
        <f t="shared" si="615"/>
        <v>350</v>
      </c>
      <c r="Y230" s="443">
        <f t="shared" si="678"/>
        <v>350</v>
      </c>
      <c r="AA230" s="217">
        <f t="shared" si="616"/>
        <v>10.096473404947885</v>
      </c>
      <c r="AB230" s="173">
        <f t="shared" si="617"/>
        <v>1.6694748661971306</v>
      </c>
      <c r="AC230" s="173">
        <f t="shared" si="618"/>
        <v>2.9497665026879449</v>
      </c>
      <c r="AD230" s="173"/>
      <c r="AE230" s="173">
        <f t="shared" si="619"/>
        <v>0.55117425634280925</v>
      </c>
      <c r="AF230" s="545">
        <f t="shared" si="620"/>
        <v>381.00473232078542</v>
      </c>
      <c r="AG230" s="528">
        <f t="shared" si="621"/>
        <v>0.32151831619997212</v>
      </c>
      <c r="AI230" s="173">
        <f t="shared" si="622"/>
        <v>3.4778424817182247</v>
      </c>
      <c r="AJ230" s="173">
        <f t="shared" si="623"/>
        <v>3.4778424817182247</v>
      </c>
      <c r="AK230" s="173">
        <f t="shared" si="624"/>
        <v>1.3070438136184379</v>
      </c>
      <c r="AM230" s="545">
        <f t="shared" si="625"/>
        <v>350.00000000000006</v>
      </c>
      <c r="AN230" s="460">
        <f t="shared" si="626"/>
        <v>350</v>
      </c>
      <c r="AP230">
        <f t="shared" si="627"/>
        <v>350.00000000000006</v>
      </c>
      <c r="AQ230">
        <f t="shared" si="628"/>
        <v>350</v>
      </c>
      <c r="AS230" s="5">
        <f t="shared" si="599"/>
        <v>2.8571428571428572</v>
      </c>
      <c r="AT230" s="5">
        <f t="shared" si="629"/>
        <v>0.40910543983246439</v>
      </c>
      <c r="AU230" s="5">
        <f t="shared" si="477"/>
        <v>2.4480374173103927</v>
      </c>
      <c r="AV230" s="5"/>
      <c r="AW230" s="173">
        <f t="shared" si="478"/>
        <v>0.14318690394136252</v>
      </c>
      <c r="AX230" s="173">
        <f t="shared" si="630"/>
        <v>9.9484568994871729</v>
      </c>
      <c r="AY230" s="173">
        <f t="shared" si="631"/>
        <v>1.4899304921826237</v>
      </c>
      <c r="AZ230" s="173">
        <f t="shared" si="632"/>
        <v>6.6771281960365245</v>
      </c>
      <c r="BA230" s="460">
        <f t="shared" si="593"/>
        <v>0.51138179979058052</v>
      </c>
      <c r="BB230" s="5">
        <f t="shared" si="594"/>
        <v>0.42888768865140803</v>
      </c>
      <c r="BD230" s="173">
        <f t="shared" si="679"/>
        <v>0.75980287061926699</v>
      </c>
      <c r="BE230" s="173">
        <f t="shared" si="680"/>
        <v>1.8586273717486734</v>
      </c>
      <c r="BG230" s="528">
        <f t="shared" si="681"/>
        <v>6.9276048264153428E-3</v>
      </c>
      <c r="BH230" s="528">
        <f t="shared" si="633"/>
        <v>1.5190266854478349</v>
      </c>
      <c r="BI230" s="528">
        <f t="shared" si="682"/>
        <v>4.0250000000000001E-2</v>
      </c>
      <c r="BJ230" s="528">
        <f t="shared" si="683"/>
        <v>0.80597847524125898</v>
      </c>
      <c r="BK230">
        <f t="shared" si="684"/>
        <v>1.797980699510205E-2</v>
      </c>
      <c r="BL230" s="460">
        <f t="shared" si="685"/>
        <v>58.229806995102052</v>
      </c>
      <c r="BM230" s="528">
        <f t="shared" si="634"/>
        <v>2.3376509897922175</v>
      </c>
      <c r="BN230" s="460">
        <f t="shared" si="686"/>
        <v>2337.6509897922174</v>
      </c>
      <c r="BO230" s="528">
        <f t="shared" si="635"/>
        <v>0.245</v>
      </c>
      <c r="BR230" s="460">
        <f t="shared" si="687"/>
        <v>245</v>
      </c>
      <c r="BS230" s="528">
        <f t="shared" si="688"/>
        <v>8.0822056308178999E-3</v>
      </c>
      <c r="BT230" s="528">
        <f t="shared" si="689"/>
        <v>4.8362939898187345E-2</v>
      </c>
      <c r="BU230" s="528">
        <f t="shared" si="690"/>
        <v>2.5847282254211041</v>
      </c>
      <c r="BV230" s="528"/>
      <c r="BW230" s="528">
        <f t="shared" si="691"/>
        <v>0.42333859146753938</v>
      </c>
      <c r="BX230" s="460">
        <f t="shared" si="692"/>
        <v>3064.5119624176491</v>
      </c>
      <c r="BY230" s="173">
        <f t="shared" si="693"/>
        <v>5.6996745349282598</v>
      </c>
      <c r="BZ230" s="5">
        <f t="shared" si="694"/>
        <v>9.8000000000000007</v>
      </c>
      <c r="CA230" s="173">
        <f t="shared" si="695"/>
        <v>0.63227134078950253</v>
      </c>
      <c r="CB230" s="5">
        <f t="shared" si="696"/>
        <v>63.22713407895025</v>
      </c>
      <c r="CE230" s="562">
        <f t="shared" si="636"/>
        <v>-50</v>
      </c>
      <c r="CF230">
        <f t="shared" si="637"/>
        <v>-50</v>
      </c>
      <c r="CG230" s="173">
        <f t="shared" si="638"/>
        <v>0.20279299790673247</v>
      </c>
      <c r="CI230" s="170">
        <v>14</v>
      </c>
      <c r="CJ230" s="217">
        <f t="shared" si="697"/>
        <v>0.35000000000000003</v>
      </c>
      <c r="CK230" s="217"/>
      <c r="CL230" s="217">
        <f t="shared" si="639"/>
        <v>9.8000000000000007</v>
      </c>
      <c r="CM230" s="541">
        <f t="shared" si="640"/>
        <v>40</v>
      </c>
      <c r="CN230" s="443">
        <f t="shared" si="641"/>
        <v>28.4</v>
      </c>
      <c r="CO230" s="443">
        <f t="shared" si="642"/>
        <v>68.400000000000006</v>
      </c>
      <c r="CP230" s="443"/>
      <c r="CQ230" s="217">
        <f t="shared" si="643"/>
        <v>0.41520467836257302</v>
      </c>
      <c r="CR230" s="172">
        <f t="shared" si="644"/>
        <v>140.52175355646798</v>
      </c>
      <c r="CS230" s="172">
        <f t="shared" si="645"/>
        <v>9.8000000000000007</v>
      </c>
      <c r="CT230" s="217">
        <f t="shared" si="646"/>
        <v>5.0186340555881426</v>
      </c>
      <c r="CU230" s="217">
        <f t="shared" si="647"/>
        <v>28</v>
      </c>
      <c r="CV230" s="217"/>
      <c r="CW230" s="172">
        <f t="shared" si="648"/>
        <v>912.39848089391</v>
      </c>
      <c r="CX230" s="172">
        <f t="shared" si="649"/>
        <v>28</v>
      </c>
      <c r="CY230" s="217">
        <f t="shared" si="650"/>
        <v>1.1801408450704229</v>
      </c>
      <c r="CZ230" s="217">
        <f t="shared" si="651"/>
        <v>0.13866654929577468</v>
      </c>
      <c r="DA230" s="217">
        <f t="shared" si="652"/>
        <v>0.19530499900813339</v>
      </c>
      <c r="DB230" s="197">
        <f t="shared" si="653"/>
        <v>350</v>
      </c>
      <c r="DC230" s="443">
        <f t="shared" si="654"/>
        <v>350</v>
      </c>
      <c r="DE230" s="217">
        <f t="shared" si="655"/>
        <v>10.09616239179509</v>
      </c>
      <c r="DF230" s="173">
        <f t="shared" si="656"/>
        <v>1.6708437761069339</v>
      </c>
      <c r="DG230" s="173">
        <f t="shared" si="657"/>
        <v>2.9520942666067511</v>
      </c>
      <c r="DH230" s="173"/>
      <c r="DI230" s="173">
        <f t="shared" si="658"/>
        <v>0.55164319248826299</v>
      </c>
      <c r="DJ230" s="545">
        <f t="shared" si="659"/>
        <v>380.68085106382978</v>
      </c>
      <c r="DK230" s="528">
        <f t="shared" si="660"/>
        <v>0.3217918622848201</v>
      </c>
      <c r="DM230" s="173">
        <f t="shared" si="661"/>
        <v>3.4763639600851239</v>
      </c>
      <c r="DN230" s="173">
        <f t="shared" si="662"/>
        <v>3.4763639600851239</v>
      </c>
      <c r="DO230" s="173">
        <f t="shared" si="663"/>
        <v>1.3059486124087336</v>
      </c>
      <c r="DQ230" s="545">
        <f t="shared" si="664"/>
        <v>350.00000000000006</v>
      </c>
      <c r="DR230" s="460">
        <f t="shared" si="665"/>
        <v>350</v>
      </c>
      <c r="DT230">
        <f t="shared" si="666"/>
        <v>350.00000000000006</v>
      </c>
      <c r="DU230">
        <f t="shared" si="667"/>
        <v>350</v>
      </c>
      <c r="DW230" s="5">
        <f t="shared" si="668"/>
        <v>2.8571428571428572</v>
      </c>
      <c r="DX230" s="5">
        <f t="shared" si="669"/>
        <v>0.40847276531000209</v>
      </c>
      <c r="DY230" s="5">
        <f t="shared" si="670"/>
        <v>2.448670091832855</v>
      </c>
      <c r="DZ230" s="5"/>
      <c r="EA230" s="173">
        <f t="shared" si="671"/>
        <v>0.14296546785850073</v>
      </c>
      <c r="EB230" s="173">
        <f t="shared" si="698"/>
        <v>9.9400000000000031</v>
      </c>
      <c r="EC230" s="173">
        <f t="shared" si="699"/>
        <v>1.489681980042562</v>
      </c>
      <c r="ED230" s="173">
        <f t="shared" si="700"/>
        <v>6.672565106624976</v>
      </c>
      <c r="EE230" s="460">
        <f t="shared" si="672"/>
        <v>0.51059095663750276</v>
      </c>
      <c r="EF230" s="5">
        <f t="shared" si="673"/>
        <v>0.42851726607074958</v>
      </c>
      <c r="EH230" s="173">
        <f t="shared" si="701"/>
        <v>0.75889237009436028</v>
      </c>
      <c r="EI230" s="173">
        <f t="shared" si="702"/>
        <v>1.8580772763636086</v>
      </c>
      <c r="EK230" s="528">
        <f t="shared" si="703"/>
        <v>6.9110115526492266E-3</v>
      </c>
      <c r="EL230" s="528">
        <f t="shared" si="704"/>
        <v>1.5812589108843196</v>
      </c>
      <c r="EM230" s="528">
        <f t="shared" si="705"/>
        <v>4.0250000000000001E-2</v>
      </c>
      <c r="EN230" s="528">
        <f t="shared" si="706"/>
        <v>0.80646678000000016</v>
      </c>
      <c r="EO230">
        <f t="shared" si="707"/>
        <v>1.7999999999999999E-2</v>
      </c>
      <c r="EP230" s="460">
        <f t="shared" si="708"/>
        <v>58.249999999999993</v>
      </c>
      <c r="EQ230" s="460"/>
      <c r="ER230" s="460">
        <f t="shared" si="709"/>
        <v>2452.8867024369683</v>
      </c>
      <c r="ES230" s="528">
        <f t="shared" si="710"/>
        <v>0.245</v>
      </c>
      <c r="EV230" s="460">
        <f t="shared" si="711"/>
        <v>245</v>
      </c>
      <c r="EW230" s="528">
        <f t="shared" si="712"/>
        <v>8.0628468114240966E-3</v>
      </c>
      <c r="EX230" s="528">
        <f t="shared" si="713"/>
        <v>4.833431630914329E-2</v>
      </c>
      <c r="EY230" s="528">
        <f t="shared" si="714"/>
        <v>2.5819820126365904</v>
      </c>
      <c r="EZ230" s="528"/>
      <c r="FA230" s="528">
        <f t="shared" si="715"/>
        <v>0.42297872340425546</v>
      </c>
      <c r="FB230" s="460">
        <f t="shared" si="716"/>
        <v>3061.3578991614131</v>
      </c>
      <c r="FC230" s="173">
        <f t="shared" si="717"/>
        <v>5.7592446015983816</v>
      </c>
      <c r="FD230" s="5">
        <f t="shared" si="718"/>
        <v>9.8000000000000007</v>
      </c>
      <c r="FE230" s="173">
        <f t="shared" si="719"/>
        <v>0.62985062905902633</v>
      </c>
      <c r="FF230" s="5">
        <f t="shared" si="720"/>
        <v>62.98506290590263</v>
      </c>
      <c r="FI230" s="562">
        <f t="shared" si="674"/>
        <v>-50</v>
      </c>
      <c r="FJ230">
        <f t="shared" si="675"/>
        <v>-50</v>
      </c>
      <c r="FL230">
        <f t="shared" si="676"/>
        <v>0.20135981388521229</v>
      </c>
    </row>
    <row r="231" spans="5:168">
      <c r="E231" s="170">
        <v>15</v>
      </c>
      <c r="F231" s="217">
        <f t="shared" si="677"/>
        <v>0.375</v>
      </c>
      <c r="G231" s="217"/>
      <c r="H231" s="217">
        <f t="shared" si="602"/>
        <v>10.5</v>
      </c>
      <c r="I231" s="541">
        <f t="shared" si="603"/>
        <v>39.953551675934321</v>
      </c>
      <c r="J231" s="172">
        <f t="shared" si="604"/>
        <v>28.425010636035367</v>
      </c>
      <c r="K231" s="172">
        <f t="shared" si="605"/>
        <v>68.378562311969688</v>
      </c>
      <c r="L231" s="443"/>
      <c r="M231" s="217">
        <f t="shared" si="606"/>
        <v>0.41570213950220941</v>
      </c>
      <c r="N231" s="172">
        <f t="shared" si="607"/>
        <v>140.52674366305527</v>
      </c>
      <c r="O231" s="172">
        <f t="shared" si="598"/>
        <v>10.5</v>
      </c>
      <c r="P231" s="217">
        <f t="shared" si="608"/>
        <v>5.0188122736805454</v>
      </c>
      <c r="Q231" s="217">
        <f t="shared" si="609"/>
        <v>28</v>
      </c>
      <c r="R231" s="217"/>
      <c r="S231" s="172">
        <f t="shared" si="610"/>
        <v>847.92199109542105</v>
      </c>
      <c r="T231" s="172">
        <f t="shared" si="611"/>
        <v>28</v>
      </c>
      <c r="U231" s="217">
        <f t="shared" si="612"/>
        <v>1.2643917195566696</v>
      </c>
      <c r="V231" s="217">
        <f t="shared" si="613"/>
        <v>0.14873874368210038</v>
      </c>
      <c r="W231" s="217">
        <f t="shared" si="614"/>
        <v>0.20906381207761646</v>
      </c>
      <c r="X231" s="197">
        <f t="shared" si="615"/>
        <v>350</v>
      </c>
      <c r="Y231" s="443">
        <f t="shared" si="678"/>
        <v>350</v>
      </c>
      <c r="AA231" s="217">
        <f t="shared" si="616"/>
        <v>10.096483974217133</v>
      </c>
      <c r="AB231" s="173">
        <f t="shared" si="617"/>
        <v>1.669426804669762</v>
      </c>
      <c r="AC231" s="173">
        <f t="shared" si="618"/>
        <v>2.9496846714084346</v>
      </c>
      <c r="AD231" s="173"/>
      <c r="AE231" s="173">
        <f t="shared" si="619"/>
        <v>0.55115781194486135</v>
      </c>
      <c r="AF231" s="545">
        <f t="shared" si="620"/>
        <v>408.23153573029521</v>
      </c>
      <c r="AG231" s="528">
        <f t="shared" si="621"/>
        <v>0.32150872363450245</v>
      </c>
      <c r="AI231" s="173">
        <f t="shared" si="622"/>
        <v>3.599962679393391</v>
      </c>
      <c r="AJ231" s="173">
        <f t="shared" si="623"/>
        <v>3.599962679393391</v>
      </c>
      <c r="AK231" s="173">
        <f t="shared" si="624"/>
        <v>1.3975032193037462</v>
      </c>
      <c r="AM231" s="545">
        <f t="shared" si="625"/>
        <v>375</v>
      </c>
      <c r="AN231" s="460">
        <f t="shared" si="626"/>
        <v>350</v>
      </c>
      <c r="AP231">
        <f t="shared" si="627"/>
        <v>375</v>
      </c>
      <c r="AQ231">
        <f t="shared" si="628"/>
        <v>350</v>
      </c>
      <c r="AS231" s="5">
        <f t="shared" si="599"/>
        <v>2.8571428571428572</v>
      </c>
      <c r="AT231" s="5">
        <f t="shared" si="629"/>
        <v>0.42348737179579582</v>
      </c>
      <c r="AU231" s="5">
        <f t="shared" si="477"/>
        <v>2.4336554853470616</v>
      </c>
      <c r="AV231" s="5"/>
      <c r="AW231" s="173">
        <f t="shared" si="478"/>
        <v>0.14822058012852854</v>
      </c>
      <c r="AX231" s="173">
        <f t="shared" si="630"/>
        <v>10.659378988513261</v>
      </c>
      <c r="AY231" s="173">
        <f t="shared" si="631"/>
        <v>1.5331870613063252</v>
      </c>
      <c r="AZ231" s="173">
        <f t="shared" si="632"/>
        <v>6.9524321314263657</v>
      </c>
      <c r="BA231" s="460">
        <f t="shared" si="593"/>
        <v>0.56717058722651215</v>
      </c>
      <c r="BB231" s="5">
        <f t="shared" si="594"/>
        <v>0.45684089084618584</v>
      </c>
      <c r="BD231" s="173">
        <f t="shared" si="679"/>
        <v>0.80018724695370447</v>
      </c>
      <c r="BE231" s="173">
        <f t="shared" si="680"/>
        <v>1.9182311645943679</v>
      </c>
      <c r="BG231" s="528">
        <f t="shared" si="681"/>
        <v>7.683595562248186E-3</v>
      </c>
      <c r="BH231" s="528">
        <f t="shared" si="633"/>
        <v>1.5723487399145439</v>
      </c>
      <c r="BI231" s="528">
        <f t="shared" si="682"/>
        <v>4.0250000000000001E-2</v>
      </c>
      <c r="BJ231" s="528">
        <f t="shared" si="683"/>
        <v>0.80596133924147495</v>
      </c>
      <c r="BK231">
        <f t="shared" si="684"/>
        <v>1.7979098254170444E-2</v>
      </c>
      <c r="BL231" s="460">
        <f t="shared" si="685"/>
        <v>58.229098254170438</v>
      </c>
      <c r="BM231" s="528">
        <f t="shared" si="634"/>
        <v>2.3924359299184284</v>
      </c>
      <c r="BN231" s="460">
        <f t="shared" si="686"/>
        <v>2392.4359299184284</v>
      </c>
      <c r="BO231" s="528">
        <f t="shared" si="635"/>
        <v>0.26249999999999996</v>
      </c>
      <c r="BR231" s="460">
        <f t="shared" si="687"/>
        <v>262.49999999999994</v>
      </c>
      <c r="BS231" s="528">
        <f t="shared" si="688"/>
        <v>8.964194822622883E-3</v>
      </c>
      <c r="BT231" s="528">
        <f t="shared" si="689"/>
        <v>5.1514551211494918E-2</v>
      </c>
      <c r="BU231" s="528">
        <f t="shared" si="690"/>
        <v>2.817637452812245</v>
      </c>
      <c r="BV231" s="528"/>
      <c r="BW231" s="528">
        <f t="shared" si="691"/>
        <v>0.45359059525588352</v>
      </c>
      <c r="BX231" s="460">
        <f t="shared" si="692"/>
        <v>3331.706794102246</v>
      </c>
      <c r="BY231" s="173">
        <f t="shared" si="693"/>
        <v>6.038429567074683</v>
      </c>
      <c r="BZ231" s="5">
        <f t="shared" si="694"/>
        <v>10.5</v>
      </c>
      <c r="CA231" s="173">
        <f t="shared" si="695"/>
        <v>0.63488494826037101</v>
      </c>
      <c r="CB231" s="5">
        <f t="shared" si="696"/>
        <v>63.488494826037098</v>
      </c>
      <c r="CE231" s="562">
        <f t="shared" si="636"/>
        <v>-50</v>
      </c>
      <c r="CF231">
        <f t="shared" si="637"/>
        <v>-50</v>
      </c>
      <c r="CG231" s="173">
        <f t="shared" si="638"/>
        <v>0.20991069529683332</v>
      </c>
      <c r="CI231" s="170">
        <v>15</v>
      </c>
      <c r="CJ231" s="217">
        <f t="shared" si="697"/>
        <v>0.375</v>
      </c>
      <c r="CK231" s="217"/>
      <c r="CL231" s="217">
        <f t="shared" si="639"/>
        <v>10.5</v>
      </c>
      <c r="CM231" s="541">
        <f t="shared" si="640"/>
        <v>40</v>
      </c>
      <c r="CN231" s="443">
        <f t="shared" si="641"/>
        <v>28.4</v>
      </c>
      <c r="CO231" s="443">
        <f t="shared" si="642"/>
        <v>68.400000000000006</v>
      </c>
      <c r="CP231" s="443"/>
      <c r="CQ231" s="217">
        <f t="shared" si="643"/>
        <v>0.41520467836257302</v>
      </c>
      <c r="CR231" s="172">
        <f t="shared" si="644"/>
        <v>140.52175355646798</v>
      </c>
      <c r="CS231" s="172">
        <f t="shared" si="645"/>
        <v>10.5</v>
      </c>
      <c r="CT231" s="217">
        <f t="shared" si="646"/>
        <v>5.0186340555881426</v>
      </c>
      <c r="CU231" s="217">
        <f t="shared" si="647"/>
        <v>28</v>
      </c>
      <c r="CV231" s="217"/>
      <c r="CW231" s="172">
        <f t="shared" si="648"/>
        <v>848.90772776139295</v>
      </c>
      <c r="CX231" s="172">
        <f t="shared" si="649"/>
        <v>28</v>
      </c>
      <c r="CY231" s="217">
        <f t="shared" si="650"/>
        <v>1.2644366197183101</v>
      </c>
      <c r="CZ231" s="217">
        <f t="shared" si="651"/>
        <v>0.14857130281690142</v>
      </c>
      <c r="DA231" s="217">
        <f t="shared" si="652"/>
        <v>0.20925535608014287</v>
      </c>
      <c r="DB231" s="197">
        <f t="shared" si="653"/>
        <v>350</v>
      </c>
      <c r="DC231" s="443">
        <f t="shared" si="654"/>
        <v>350</v>
      </c>
      <c r="DE231" s="217">
        <f t="shared" si="655"/>
        <v>10.09616239179509</v>
      </c>
      <c r="DF231" s="173">
        <f t="shared" si="656"/>
        <v>1.6708437761069339</v>
      </c>
      <c r="DG231" s="173">
        <f t="shared" si="657"/>
        <v>2.9520942666067511</v>
      </c>
      <c r="DH231" s="173"/>
      <c r="DI231" s="173">
        <f t="shared" si="658"/>
        <v>0.55164319248826299</v>
      </c>
      <c r="DJ231" s="545">
        <f t="shared" si="659"/>
        <v>407.87234042553183</v>
      </c>
      <c r="DK231" s="528">
        <f t="shared" si="660"/>
        <v>0.3217918622848201</v>
      </c>
      <c r="DM231" s="173">
        <f t="shared" si="661"/>
        <v>3.5983785608906134</v>
      </c>
      <c r="DN231" s="173">
        <f t="shared" si="662"/>
        <v>3.5983785608906134</v>
      </c>
      <c r="DO231" s="173">
        <f t="shared" si="663"/>
        <v>1.3963297981905776</v>
      </c>
      <c r="DQ231" s="545">
        <f t="shared" si="664"/>
        <v>375</v>
      </c>
      <c r="DR231" s="460">
        <f t="shared" si="665"/>
        <v>350</v>
      </c>
      <c r="DT231">
        <f t="shared" si="666"/>
        <v>375</v>
      </c>
      <c r="DU231">
        <f t="shared" si="667"/>
        <v>350</v>
      </c>
      <c r="DW231" s="5">
        <f t="shared" si="668"/>
        <v>2.8571428571428572</v>
      </c>
      <c r="DX231" s="5">
        <f t="shared" si="669"/>
        <v>0.42280948090464704</v>
      </c>
      <c r="DY231" s="5">
        <f t="shared" si="670"/>
        <v>2.43433337623821</v>
      </c>
      <c r="DZ231" s="5"/>
      <c r="EA231" s="173">
        <f t="shared" si="671"/>
        <v>0.14798331831662645</v>
      </c>
      <c r="EB231" s="173">
        <f t="shared" si="698"/>
        <v>10.649999999999999</v>
      </c>
      <c r="EC231" s="173">
        <f t="shared" si="699"/>
        <v>1.5329392804453068</v>
      </c>
      <c r="ED231" s="173">
        <f t="shared" si="700"/>
        <v>6.9474376029468417</v>
      </c>
      <c r="EE231" s="460">
        <f t="shared" si="672"/>
        <v>0.56626269764015236</v>
      </c>
      <c r="EF231" s="5">
        <f t="shared" si="673"/>
        <v>0.45643750804466432</v>
      </c>
      <c r="EH231" s="173">
        <f t="shared" si="701"/>
        <v>0.79919471629765149</v>
      </c>
      <c r="EI231" s="173">
        <f t="shared" si="702"/>
        <v>1.9176540949645526</v>
      </c>
      <c r="EK231" s="528">
        <f t="shared" si="703"/>
        <v>7.6645463346970049E-3</v>
      </c>
      <c r="EL231" s="528">
        <f t="shared" si="704"/>
        <v>1.6367584722067048</v>
      </c>
      <c r="EM231" s="528">
        <f t="shared" si="705"/>
        <v>4.0250000000000001E-2</v>
      </c>
      <c r="EN231" s="528">
        <f t="shared" si="706"/>
        <v>0.80646678000000016</v>
      </c>
      <c r="EO231">
        <f t="shared" si="707"/>
        <v>1.7999999999999999E-2</v>
      </c>
      <c r="EP231" s="460">
        <f t="shared" si="708"/>
        <v>58.249999999999993</v>
      </c>
      <c r="EQ231" s="460"/>
      <c r="ER231" s="460">
        <f t="shared" si="709"/>
        <v>2509.1397985414019</v>
      </c>
      <c r="ES231" s="528">
        <f t="shared" si="710"/>
        <v>0.26249999999999996</v>
      </c>
      <c r="EV231" s="460">
        <f t="shared" si="711"/>
        <v>262.49999999999994</v>
      </c>
      <c r="EW231" s="528">
        <f t="shared" si="712"/>
        <v>8.9419707238131713E-3</v>
      </c>
      <c r="EX231" s="528">
        <f t="shared" si="713"/>
        <v>5.1483561191080447E-2</v>
      </c>
      <c r="EY231" s="528">
        <f t="shared" si="714"/>
        <v>2.8145388105085347</v>
      </c>
      <c r="EZ231" s="528"/>
      <c r="FA231" s="528">
        <f t="shared" si="715"/>
        <v>0.45319148936170206</v>
      </c>
      <c r="FB231" s="460">
        <f t="shared" si="716"/>
        <v>3328.1558317851304</v>
      </c>
      <c r="FC231" s="173">
        <f t="shared" si="717"/>
        <v>6.0997956303265308</v>
      </c>
      <c r="FD231" s="5">
        <f t="shared" si="718"/>
        <v>10.5</v>
      </c>
      <c r="FE231" s="173">
        <f t="shared" si="719"/>
        <v>0.63253790792564446</v>
      </c>
      <c r="FF231" s="5">
        <f t="shared" si="720"/>
        <v>63.253790792564445</v>
      </c>
      <c r="FI231" s="562">
        <f t="shared" si="674"/>
        <v>-50</v>
      </c>
      <c r="FJ231">
        <f t="shared" si="675"/>
        <v>-50</v>
      </c>
      <c r="FL231">
        <f t="shared" si="676"/>
        <v>0.20842720889665703</v>
      </c>
    </row>
    <row r="232" spans="5:168">
      <c r="E232" s="170">
        <v>16</v>
      </c>
      <c r="F232" s="217">
        <f t="shared" si="677"/>
        <v>0.4</v>
      </c>
      <c r="G232" s="217"/>
      <c r="H232" s="217">
        <f t="shared" si="602"/>
        <v>11.200000000000001</v>
      </c>
      <c r="I232" s="541">
        <f t="shared" si="603"/>
        <v>39.952028377182501</v>
      </c>
      <c r="J232" s="172">
        <f t="shared" si="604"/>
        <v>28.425830873824808</v>
      </c>
      <c r="K232" s="172">
        <f t="shared" si="605"/>
        <v>68.377859251007308</v>
      </c>
      <c r="L232" s="443"/>
      <c r="M232" s="217">
        <f t="shared" si="606"/>
        <v>0.41571845925711876</v>
      </c>
      <c r="N232" s="172">
        <f t="shared" si="607"/>
        <v>140.52690246540908</v>
      </c>
      <c r="O232" s="172">
        <f t="shared" si="598"/>
        <v>11.200000000000001</v>
      </c>
      <c r="P232" s="217">
        <f t="shared" si="608"/>
        <v>5.0188179451931818</v>
      </c>
      <c r="Q232" s="217">
        <f t="shared" si="609"/>
        <v>28</v>
      </c>
      <c r="R232" s="217"/>
      <c r="S232" s="172">
        <f t="shared" si="610"/>
        <v>792.40205352630903</v>
      </c>
      <c r="T232" s="172">
        <f t="shared" si="611"/>
        <v>28</v>
      </c>
      <c r="U232" s="217">
        <f t="shared" si="612"/>
        <v>1.3486829767802218</v>
      </c>
      <c r="V232" s="217">
        <f t="shared" si="613"/>
        <v>0.1586605298490246</v>
      </c>
      <c r="W232" s="217">
        <f t="shared" si="614"/>
        <v>0.22299471276682967</v>
      </c>
      <c r="X232" s="197">
        <f t="shared" si="615"/>
        <v>350</v>
      </c>
      <c r="Y232" s="443">
        <f t="shared" si="678"/>
        <v>350</v>
      </c>
      <c r="AA232" s="217">
        <f t="shared" si="616"/>
        <v>10.096494174288866</v>
      </c>
      <c r="AB232" s="173">
        <f t="shared" si="617"/>
        <v>1.6693803192523045</v>
      </c>
      <c r="AC232" s="173">
        <f t="shared" si="618"/>
        <v>2.9496055169005913</v>
      </c>
      <c r="AD232" s="173"/>
      <c r="AE232" s="173">
        <f t="shared" si="619"/>
        <v>0.55114190808378138</v>
      </c>
      <c r="AF232" s="545">
        <f t="shared" si="620"/>
        <v>435.45953679050768</v>
      </c>
      <c r="AG232" s="528">
        <f t="shared" si="621"/>
        <v>0.32149944638220584</v>
      </c>
      <c r="AI232" s="173">
        <f t="shared" si="622"/>
        <v>3.7180791114584606</v>
      </c>
      <c r="AJ232" s="173">
        <f t="shared" si="623"/>
        <v>3.7180791114584606</v>
      </c>
      <c r="AK232" s="173">
        <f t="shared" si="624"/>
        <v>1.4849968726852794</v>
      </c>
      <c r="AM232" s="545">
        <f t="shared" si="625"/>
        <v>400</v>
      </c>
      <c r="AN232" s="460">
        <f t="shared" si="626"/>
        <v>350</v>
      </c>
      <c r="AP232">
        <f t="shared" si="627"/>
        <v>400</v>
      </c>
      <c r="AQ232">
        <f t="shared" si="628"/>
        <v>350</v>
      </c>
      <c r="AS232" s="5">
        <f t="shared" si="599"/>
        <v>2.8571428571428572</v>
      </c>
      <c r="AT232" s="5">
        <f t="shared" si="629"/>
        <v>0.43739886392939969</v>
      </c>
      <c r="AU232" s="5">
        <f t="shared" si="477"/>
        <v>2.4197439932134577</v>
      </c>
      <c r="AV232" s="5"/>
      <c r="AW232" s="173">
        <f t="shared" si="478"/>
        <v>0.1530896023752899</v>
      </c>
      <c r="AX232" s="173">
        <f t="shared" si="630"/>
        <v>11.370332349529923</v>
      </c>
      <c r="AY232" s="173">
        <f t="shared" si="631"/>
        <v>1.5744399293427069</v>
      </c>
      <c r="AZ232" s="173">
        <f t="shared" si="632"/>
        <v>7.2218267192174039</v>
      </c>
      <c r="BA232" s="460">
        <f t="shared" si="593"/>
        <v>0.62485551989914245</v>
      </c>
      <c r="BB232" s="5">
        <f t="shared" si="594"/>
        <v>0.48452989077178926</v>
      </c>
      <c r="BD232" s="173">
        <f t="shared" si="679"/>
        <v>0.83990631461555076</v>
      </c>
      <c r="BE232" s="173">
        <f t="shared" si="680"/>
        <v>1.9754986228857518</v>
      </c>
      <c r="BG232" s="528">
        <f t="shared" si="681"/>
        <v>8.4653114079729173E-3</v>
      </c>
      <c r="BH232" s="528">
        <f t="shared" si="633"/>
        <v>1.6239215284443758</v>
      </c>
      <c r="BI232" s="528">
        <f t="shared" si="682"/>
        <v>4.0250000000000001E-2</v>
      </c>
      <c r="BJ232" s="528">
        <f t="shared" si="683"/>
        <v>0.80594476571250373</v>
      </c>
      <c r="BK232">
        <f t="shared" si="684"/>
        <v>1.7978412769732124E-2</v>
      </c>
      <c r="BL232" s="460">
        <f t="shared" si="685"/>
        <v>58.228412769732124</v>
      </c>
      <c r="BM232" s="528">
        <f t="shared" si="634"/>
        <v>2.44553608819714</v>
      </c>
      <c r="BN232" s="460">
        <f t="shared" si="686"/>
        <v>2445.5360881971401</v>
      </c>
      <c r="BO232" s="528">
        <f t="shared" si="635"/>
        <v>0.27999999999999997</v>
      </c>
      <c r="BR232" s="460">
        <f t="shared" si="687"/>
        <v>279.99999999999994</v>
      </c>
      <c r="BS232" s="528">
        <f t="shared" si="688"/>
        <v>9.8761966426350704E-3</v>
      </c>
      <c r="BT232" s="528">
        <f t="shared" si="689"/>
        <v>5.4636327326329032E-2</v>
      </c>
      <c r="BU232" s="528">
        <f t="shared" si="690"/>
        <v>3.0544757448220108</v>
      </c>
      <c r="BV232" s="528"/>
      <c r="BW232" s="528">
        <f t="shared" si="691"/>
        <v>0.48384392976723073</v>
      </c>
      <c r="BX232" s="460">
        <f t="shared" si="692"/>
        <v>3602.8321985582052</v>
      </c>
      <c r="BY232" s="173">
        <f t="shared" si="693"/>
        <v>6.3793922168927892</v>
      </c>
      <c r="BZ232" s="5">
        <f t="shared" si="694"/>
        <v>11.200000000000001</v>
      </c>
      <c r="CA232" s="173">
        <f t="shared" si="695"/>
        <v>0.63710962596519349</v>
      </c>
      <c r="CB232" s="5">
        <f t="shared" si="696"/>
        <v>63.710962596519352</v>
      </c>
      <c r="CE232" s="562">
        <f t="shared" si="636"/>
        <v>-50</v>
      </c>
      <c r="CF232">
        <f t="shared" si="637"/>
        <v>-50</v>
      </c>
      <c r="CG232" s="173">
        <f t="shared" si="638"/>
        <v>0.216794833886788</v>
      </c>
      <c r="CI232" s="170">
        <v>16</v>
      </c>
      <c r="CJ232" s="217">
        <f t="shared" si="697"/>
        <v>0.4</v>
      </c>
      <c r="CK232" s="217"/>
      <c r="CL232" s="217">
        <f t="shared" si="639"/>
        <v>11.200000000000001</v>
      </c>
      <c r="CM232" s="541">
        <f t="shared" si="640"/>
        <v>40</v>
      </c>
      <c r="CN232" s="443">
        <f t="shared" si="641"/>
        <v>28.4</v>
      </c>
      <c r="CO232" s="443">
        <f t="shared" si="642"/>
        <v>68.400000000000006</v>
      </c>
      <c r="CP232" s="443"/>
      <c r="CQ232" s="217">
        <f t="shared" si="643"/>
        <v>0.41520467836257302</v>
      </c>
      <c r="CR232" s="172">
        <f t="shared" si="644"/>
        <v>140.52175355646798</v>
      </c>
      <c r="CS232" s="172">
        <f t="shared" si="645"/>
        <v>11.200000000000001</v>
      </c>
      <c r="CT232" s="217">
        <f t="shared" si="646"/>
        <v>5.0186340555881426</v>
      </c>
      <c r="CU232" s="217">
        <f t="shared" si="647"/>
        <v>28</v>
      </c>
      <c r="CV232" s="217"/>
      <c r="CW232" s="172">
        <f t="shared" si="648"/>
        <v>793.35349072500094</v>
      </c>
      <c r="CX232" s="172">
        <f t="shared" si="649"/>
        <v>28</v>
      </c>
      <c r="CY232" s="217">
        <f t="shared" si="650"/>
        <v>1.3487323943661977</v>
      </c>
      <c r="CZ232" s="217">
        <f t="shared" si="651"/>
        <v>0.15847605633802822</v>
      </c>
      <c r="DA232" s="217">
        <f t="shared" si="652"/>
        <v>0.22320571315215243</v>
      </c>
      <c r="DB232" s="197">
        <f t="shared" si="653"/>
        <v>350</v>
      </c>
      <c r="DC232" s="443">
        <f t="shared" si="654"/>
        <v>350</v>
      </c>
      <c r="DE232" s="217">
        <f t="shared" si="655"/>
        <v>10.09616239179509</v>
      </c>
      <c r="DF232" s="173">
        <f t="shared" si="656"/>
        <v>1.6708437761069339</v>
      </c>
      <c r="DG232" s="173">
        <f t="shared" si="657"/>
        <v>2.9520942666067511</v>
      </c>
      <c r="DH232" s="173"/>
      <c r="DI232" s="173">
        <f t="shared" si="658"/>
        <v>0.55164319248826299</v>
      </c>
      <c r="DJ232" s="545">
        <f t="shared" si="659"/>
        <v>435.063829787234</v>
      </c>
      <c r="DK232" s="528">
        <f t="shared" si="660"/>
        <v>0.3217918622848201</v>
      </c>
      <c r="DM232" s="173">
        <f t="shared" si="661"/>
        <v>3.7163893972477755</v>
      </c>
      <c r="DN232" s="173">
        <f t="shared" si="662"/>
        <v>3.7163893972477755</v>
      </c>
      <c r="DO232" s="173">
        <f t="shared" si="663"/>
        <v>1.4837452325292162</v>
      </c>
      <c r="DQ232" s="545">
        <f t="shared" si="664"/>
        <v>400</v>
      </c>
      <c r="DR232" s="460">
        <f t="shared" si="665"/>
        <v>350</v>
      </c>
      <c r="DT232">
        <f t="shared" si="666"/>
        <v>400</v>
      </c>
      <c r="DU232">
        <f t="shared" si="667"/>
        <v>350</v>
      </c>
      <c r="DW232" s="5">
        <f t="shared" si="668"/>
        <v>2.8571428571428572</v>
      </c>
      <c r="DX232" s="5">
        <f t="shared" si="669"/>
        <v>0.43667575417661364</v>
      </c>
      <c r="DY232" s="5">
        <f t="shared" si="670"/>
        <v>2.4204671029662435</v>
      </c>
      <c r="DZ232" s="5"/>
      <c r="EA232" s="173">
        <f t="shared" si="671"/>
        <v>0.15283651396181477</v>
      </c>
      <c r="EB232" s="173">
        <f t="shared" si="698"/>
        <v>11.36</v>
      </c>
      <c r="EC232" s="173">
        <f t="shared" si="699"/>
        <v>1.5741946986238877</v>
      </c>
      <c r="ED232" s="173">
        <f t="shared" si="700"/>
        <v>7.2163881697292966</v>
      </c>
      <c r="EE232" s="460">
        <f t="shared" si="672"/>
        <v>0.62382250596659095</v>
      </c>
      <c r="EF232" s="5">
        <f t="shared" si="673"/>
        <v>0.48409342059324872</v>
      </c>
      <c r="EH232" s="173">
        <f t="shared" si="701"/>
        <v>0.8388303717352984</v>
      </c>
      <c r="EI232" s="173">
        <f t="shared" si="702"/>
        <v>1.9748958600678119</v>
      </c>
      <c r="EK232" s="528">
        <f t="shared" si="703"/>
        <v>8.4436367105469468E-3</v>
      </c>
      <c r="EL232" s="528">
        <f t="shared" si="704"/>
        <v>1.6904368812321233</v>
      </c>
      <c r="EM232" s="528">
        <f t="shared" si="705"/>
        <v>4.0250000000000001E-2</v>
      </c>
      <c r="EN232" s="528">
        <f t="shared" si="706"/>
        <v>0.80646678000000016</v>
      </c>
      <c r="EO232">
        <f t="shared" si="707"/>
        <v>1.7999999999999999E-2</v>
      </c>
      <c r="EP232" s="460">
        <f t="shared" si="708"/>
        <v>58.249999999999993</v>
      </c>
      <c r="EQ232" s="460"/>
      <c r="ER232" s="460">
        <f t="shared" si="709"/>
        <v>2563.5972979426701</v>
      </c>
      <c r="ES232" s="528">
        <f t="shared" si="710"/>
        <v>0.27999999999999997</v>
      </c>
      <c r="EV232" s="460">
        <f t="shared" si="711"/>
        <v>279.99999999999994</v>
      </c>
      <c r="EW232" s="528">
        <f t="shared" si="712"/>
        <v>9.8509094956381049E-3</v>
      </c>
      <c r="EX232" s="528">
        <f t="shared" si="713"/>
        <v>5.460299121358176E-2</v>
      </c>
      <c r="EY232" s="528">
        <f t="shared" si="714"/>
        <v>3.0510065932192485</v>
      </c>
      <c r="EZ232" s="528"/>
      <c r="FA232" s="528">
        <f t="shared" si="715"/>
        <v>0.48340425531914893</v>
      </c>
      <c r="FB232" s="460">
        <f t="shared" si="716"/>
        <v>3598.8647492476175</v>
      </c>
      <c r="FC232" s="173">
        <f t="shared" si="717"/>
        <v>6.442462047190288</v>
      </c>
      <c r="FD232" s="5">
        <f t="shared" si="718"/>
        <v>11.200000000000001</v>
      </c>
      <c r="FE232" s="173">
        <f t="shared" si="719"/>
        <v>0.63483203024850465</v>
      </c>
      <c r="FF232" s="5">
        <f t="shared" si="720"/>
        <v>63.483203024850468</v>
      </c>
      <c r="FI232" s="562">
        <f t="shared" si="674"/>
        <v>-50</v>
      </c>
      <c r="FJ232">
        <f t="shared" si="675"/>
        <v>-50</v>
      </c>
      <c r="FL232">
        <f t="shared" si="676"/>
        <v>0.21526269572086587</v>
      </c>
    </row>
    <row r="233" spans="5:168">
      <c r="E233" s="170">
        <v>17</v>
      </c>
      <c r="F233" s="217">
        <f t="shared" si="677"/>
        <v>0.42500000000000004</v>
      </c>
      <c r="G233" s="217"/>
      <c r="H233" s="217">
        <f t="shared" si="602"/>
        <v>11.900000000000002</v>
      </c>
      <c r="I233" s="541">
        <f t="shared" si="603"/>
        <v>39.950551983022784</v>
      </c>
      <c r="J233" s="172">
        <f t="shared" si="604"/>
        <v>28.42662585529542</v>
      </c>
      <c r="K233" s="172">
        <f t="shared" si="605"/>
        <v>68.377177838318204</v>
      </c>
      <c r="L233" s="443"/>
      <c r="M233" s="217">
        <f t="shared" si="606"/>
        <v>0.41573427682055386</v>
      </c>
      <c r="N233" s="172">
        <f t="shared" si="607"/>
        <v>140.52705608391489</v>
      </c>
      <c r="O233" s="172">
        <f t="shared" si="598"/>
        <v>11.900000000000002</v>
      </c>
      <c r="P233" s="217">
        <f t="shared" si="608"/>
        <v>5.0188234315683884</v>
      </c>
      <c r="Q233" s="217">
        <f t="shared" si="609"/>
        <v>28</v>
      </c>
      <c r="R233" s="217"/>
      <c r="S233" s="172">
        <f t="shared" si="610"/>
        <v>743.41508867781977</v>
      </c>
      <c r="T233" s="172">
        <f t="shared" si="611"/>
        <v>28</v>
      </c>
      <c r="U233" s="217">
        <f t="shared" si="612"/>
        <v>1.4329740963578284</v>
      </c>
      <c r="V233" s="217">
        <f t="shared" si="613"/>
        <v>0.16858285852330301</v>
      </c>
      <c r="W233" s="217">
        <f t="shared" si="614"/>
        <v>0.23692499726017169</v>
      </c>
      <c r="X233" s="197">
        <f t="shared" si="615"/>
        <v>350</v>
      </c>
      <c r="Y233" s="443">
        <f t="shared" si="678"/>
        <v>350</v>
      </c>
      <c r="AA233" s="217">
        <f t="shared" si="616"/>
        <v>10.096504039284648</v>
      </c>
      <c r="AB233" s="173">
        <f t="shared" si="617"/>
        <v>1.6693352642764674</v>
      </c>
      <c r="AC233" s="173">
        <f t="shared" si="618"/>
        <v>2.9495287917703403</v>
      </c>
      <c r="AD233" s="173"/>
      <c r="AE233" s="173">
        <f t="shared" si="619"/>
        <v>0.55112649480164111</v>
      </c>
      <c r="AF233" s="545">
        <f t="shared" si="620"/>
        <v>462.68869743193608</v>
      </c>
      <c r="AG233" s="528">
        <f t="shared" si="621"/>
        <v>0.32149045530095732</v>
      </c>
      <c r="AI233" s="173">
        <f t="shared" si="622"/>
        <v>3.8325618164883295</v>
      </c>
      <c r="AJ233" s="173">
        <f t="shared" si="623"/>
        <v>3.8325618164883295</v>
      </c>
      <c r="AK233" s="173">
        <f t="shared" si="624"/>
        <v>1.5697988764111082</v>
      </c>
      <c r="AM233" s="545">
        <f t="shared" si="625"/>
        <v>425.00000000000006</v>
      </c>
      <c r="AN233" s="460">
        <f t="shared" si="626"/>
        <v>350</v>
      </c>
      <c r="AP233">
        <f t="shared" si="627"/>
        <v>425.00000000000006</v>
      </c>
      <c r="AQ233">
        <f t="shared" si="628"/>
        <v>350</v>
      </c>
      <c r="AS233" s="5">
        <f t="shared" si="599"/>
        <v>2.8571428571428572</v>
      </c>
      <c r="AT233" s="5">
        <f t="shared" si="629"/>
        <v>0.45088339568249003</v>
      </c>
      <c r="AU233" s="5">
        <f t="shared" si="477"/>
        <v>2.4062594614603672</v>
      </c>
      <c r="AV233" s="5"/>
      <c r="AW233" s="173">
        <f t="shared" si="478"/>
        <v>0.15780918848887152</v>
      </c>
      <c r="AX233" s="173">
        <f t="shared" si="630"/>
        <v>12.081315988500556</v>
      </c>
      <c r="AY233" s="173">
        <f t="shared" si="631"/>
        <v>1.6138741731974355</v>
      </c>
      <c r="AZ233" s="173">
        <f t="shared" si="632"/>
        <v>7.4859094898116147</v>
      </c>
      <c r="BA233" s="460">
        <f t="shared" si="593"/>
        <v>0.68437658273235102</v>
      </c>
      <c r="BB233" s="5">
        <f t="shared" si="594"/>
        <v>0.51196302446846864</v>
      </c>
      <c r="BD233" s="173">
        <f t="shared" si="679"/>
        <v>0.87901175789974417</v>
      </c>
      <c r="BE233" s="173">
        <f t="shared" si="680"/>
        <v>2.0306439919088337</v>
      </c>
      <c r="BG233" s="528">
        <f t="shared" si="681"/>
        <v>9.2719400463119814E-3</v>
      </c>
      <c r="BH233" s="528">
        <f t="shared" si="633"/>
        <v>1.6739067227638909</v>
      </c>
      <c r="BI233" s="528">
        <f t="shared" si="682"/>
        <v>4.0250000000000001E-2</v>
      </c>
      <c r="BJ233" s="528">
        <f t="shared" si="683"/>
        <v>0.80592870266929983</v>
      </c>
      <c r="BK233">
        <f t="shared" si="684"/>
        <v>1.7977748392360254E-2</v>
      </c>
      <c r="BL233" s="460">
        <f t="shared" si="685"/>
        <v>58.227748392360255</v>
      </c>
      <c r="BM233" s="528">
        <f t="shared" si="634"/>
        <v>2.4971119592884135</v>
      </c>
      <c r="BN233" s="460">
        <f t="shared" si="686"/>
        <v>2497.1119592884133</v>
      </c>
      <c r="BO233" s="528">
        <f t="shared" si="635"/>
        <v>0.29749999999999999</v>
      </c>
      <c r="BR233" s="460">
        <f t="shared" si="687"/>
        <v>297.5</v>
      </c>
      <c r="BS233" s="528">
        <f t="shared" si="688"/>
        <v>1.0817263387363978E-2</v>
      </c>
      <c r="BT233" s="528">
        <f t="shared" si="689"/>
        <v>5.7729210306256218E-2</v>
      </c>
      <c r="BU233" s="528">
        <f t="shared" si="690"/>
        <v>3.2950577937769374</v>
      </c>
      <c r="BV233" s="528"/>
      <c r="BW233" s="528">
        <f t="shared" si="691"/>
        <v>0.51409855270215132</v>
      </c>
      <c r="BX233" s="460">
        <f t="shared" si="692"/>
        <v>3877.7028201727089</v>
      </c>
      <c r="BY233" s="173">
        <f t="shared" si="693"/>
        <v>6.7225379340445715</v>
      </c>
      <c r="BZ233" s="5">
        <f t="shared" si="694"/>
        <v>11.900000000000002</v>
      </c>
      <c r="CA233" s="173">
        <f t="shared" si="695"/>
        <v>0.63901064624737092</v>
      </c>
      <c r="CB233" s="5">
        <f t="shared" si="696"/>
        <v>63.901064624737089</v>
      </c>
      <c r="CE233" s="562">
        <f t="shared" si="636"/>
        <v>-50</v>
      </c>
      <c r="CF233">
        <f t="shared" si="637"/>
        <v>-50</v>
      </c>
      <c r="CG233" s="173">
        <f t="shared" si="638"/>
        <v>0.22346699980086546</v>
      </c>
      <c r="CI233" s="170">
        <v>17</v>
      </c>
      <c r="CJ233" s="217">
        <f t="shared" si="697"/>
        <v>0.42500000000000004</v>
      </c>
      <c r="CK233" s="217"/>
      <c r="CL233" s="217">
        <f t="shared" si="639"/>
        <v>11.900000000000002</v>
      </c>
      <c r="CM233" s="541">
        <f t="shared" si="640"/>
        <v>40</v>
      </c>
      <c r="CN233" s="443">
        <f t="shared" si="641"/>
        <v>28.4</v>
      </c>
      <c r="CO233" s="443">
        <f t="shared" si="642"/>
        <v>68.400000000000006</v>
      </c>
      <c r="CP233" s="443"/>
      <c r="CQ233" s="217">
        <f t="shared" si="643"/>
        <v>0.41520467836257302</v>
      </c>
      <c r="CR233" s="172">
        <f t="shared" si="644"/>
        <v>140.52175355646798</v>
      </c>
      <c r="CS233" s="172">
        <f t="shared" si="645"/>
        <v>11.900000000000002</v>
      </c>
      <c r="CT233" s="217">
        <f t="shared" si="646"/>
        <v>5.0186340555881426</v>
      </c>
      <c r="CU233" s="217">
        <f t="shared" si="647"/>
        <v>28</v>
      </c>
      <c r="CV233" s="217"/>
      <c r="CW233" s="172">
        <f t="shared" si="648"/>
        <v>744.33520963622937</v>
      </c>
      <c r="CX233" s="172">
        <f t="shared" si="649"/>
        <v>28</v>
      </c>
      <c r="CY233" s="217">
        <f t="shared" si="650"/>
        <v>1.4330281690140851</v>
      </c>
      <c r="CZ233" s="217">
        <f t="shared" si="651"/>
        <v>0.16838080985915499</v>
      </c>
      <c r="DA233" s="217">
        <f t="shared" si="652"/>
        <v>0.23715607022416199</v>
      </c>
      <c r="DB233" s="197">
        <f t="shared" si="653"/>
        <v>350</v>
      </c>
      <c r="DC233" s="443">
        <f t="shared" si="654"/>
        <v>350</v>
      </c>
      <c r="DE233" s="217">
        <f t="shared" si="655"/>
        <v>10.09616239179509</v>
      </c>
      <c r="DF233" s="173">
        <f t="shared" si="656"/>
        <v>1.6708437761069339</v>
      </c>
      <c r="DG233" s="173">
        <f t="shared" si="657"/>
        <v>2.9520942666067511</v>
      </c>
      <c r="DH233" s="173"/>
      <c r="DI233" s="173">
        <f t="shared" si="658"/>
        <v>0.55164319248826299</v>
      </c>
      <c r="DJ233" s="545">
        <f t="shared" si="659"/>
        <v>462.25531914893617</v>
      </c>
      <c r="DK233" s="528">
        <f t="shared" si="660"/>
        <v>0.3217918622848201</v>
      </c>
      <c r="DM233" s="173">
        <f t="shared" si="661"/>
        <v>3.8307665076945328</v>
      </c>
      <c r="DN233" s="173">
        <f t="shared" si="662"/>
        <v>3.8307665076945328</v>
      </c>
      <c r="DO233" s="173">
        <f t="shared" si="663"/>
        <v>1.5684690180453327</v>
      </c>
      <c r="DQ233" s="545">
        <f t="shared" si="664"/>
        <v>425.00000000000006</v>
      </c>
      <c r="DR233" s="460">
        <f t="shared" si="665"/>
        <v>350</v>
      </c>
      <c r="DT233">
        <f t="shared" si="666"/>
        <v>425.00000000000006</v>
      </c>
      <c r="DU233">
        <f t="shared" si="667"/>
        <v>350</v>
      </c>
      <c r="DW233" s="5">
        <f t="shared" si="668"/>
        <v>2.8571428571428572</v>
      </c>
      <c r="DX233" s="5">
        <f t="shared" si="669"/>
        <v>0.45011506465410767</v>
      </c>
      <c r="DY233" s="5">
        <f t="shared" si="670"/>
        <v>2.4070277924887495</v>
      </c>
      <c r="DZ233" s="5"/>
      <c r="EA233" s="173">
        <f t="shared" si="671"/>
        <v>0.15754027262893769</v>
      </c>
      <c r="EB233" s="173">
        <f t="shared" si="698"/>
        <v>12.07</v>
      </c>
      <c r="EC233" s="173">
        <f t="shared" si="699"/>
        <v>1.6136332538472664</v>
      </c>
      <c r="ED233" s="173">
        <f t="shared" si="700"/>
        <v>7.4800144154332422</v>
      </c>
      <c r="EE233" s="460">
        <f t="shared" si="672"/>
        <v>0.68321036599284202</v>
      </c>
      <c r="EF233" s="5">
        <f t="shared" si="673"/>
        <v>0.51149340590385928</v>
      </c>
      <c r="EH233" s="173">
        <f t="shared" si="701"/>
        <v>0.87785108596573325</v>
      </c>
      <c r="EI233" s="173">
        <f t="shared" si="702"/>
        <v>2.0300167855693965</v>
      </c>
      <c r="EK233" s="528">
        <f t="shared" si="703"/>
        <v>9.2474703495746061E-3</v>
      </c>
      <c r="EL233" s="528">
        <f t="shared" si="704"/>
        <v>1.7424624536899356</v>
      </c>
      <c r="EM233" s="528">
        <f t="shared" si="705"/>
        <v>4.0250000000000001E-2</v>
      </c>
      <c r="EN233" s="528">
        <f t="shared" si="706"/>
        <v>0.80646678000000016</v>
      </c>
      <c r="EO233">
        <f t="shared" si="707"/>
        <v>1.7999999999999999E-2</v>
      </c>
      <c r="EP233" s="460">
        <f t="shared" si="708"/>
        <v>58.249999999999993</v>
      </c>
      <c r="EQ233" s="460"/>
      <c r="ER233" s="460">
        <f t="shared" si="709"/>
        <v>2616.4267040395098</v>
      </c>
      <c r="ES233" s="528">
        <f t="shared" si="710"/>
        <v>0.29749999999999999</v>
      </c>
      <c r="EV233" s="460">
        <f t="shared" si="711"/>
        <v>297.5</v>
      </c>
      <c r="EW233" s="528">
        <f t="shared" si="712"/>
        <v>1.0788715407837041E-2</v>
      </c>
      <c r="EX233" s="528">
        <f t="shared" si="713"/>
        <v>5.7693554095709074E-2</v>
      </c>
      <c r="EY233" s="528">
        <f t="shared" si="714"/>
        <v>3.2912003425773695</v>
      </c>
      <c r="EZ233" s="528"/>
      <c r="FA233" s="528">
        <f t="shared" si="715"/>
        <v>0.51361702127659592</v>
      </c>
      <c r="FB233" s="460">
        <f t="shared" si="716"/>
        <v>3873.2996333575115</v>
      </c>
      <c r="FC233" s="173">
        <f t="shared" si="717"/>
        <v>6.787226337397021</v>
      </c>
      <c r="FD233" s="5">
        <f t="shared" si="718"/>
        <v>11.900000000000002</v>
      </c>
      <c r="FE233" s="173">
        <f t="shared" si="719"/>
        <v>0.63679862303511736</v>
      </c>
      <c r="FF233" s="5">
        <f t="shared" si="720"/>
        <v>63.679862303511733</v>
      </c>
      <c r="FI233" s="562">
        <f t="shared" si="674"/>
        <v>-50</v>
      </c>
      <c r="FJ233">
        <f t="shared" si="675"/>
        <v>-50</v>
      </c>
      <c r="FL233">
        <f t="shared" si="676"/>
        <v>0.22188770792808121</v>
      </c>
    </row>
    <row r="234" spans="5:168">
      <c r="E234" s="170">
        <v>18</v>
      </c>
      <c r="F234" s="217">
        <f t="shared" si="677"/>
        <v>0.44999999999999996</v>
      </c>
      <c r="G234" s="217"/>
      <c r="H234" s="217">
        <f t="shared" si="602"/>
        <v>12.599999999999998</v>
      </c>
      <c r="I234" s="541">
        <f t="shared" si="603"/>
        <v>39.949118410301828</v>
      </c>
      <c r="J234" s="172">
        <f t="shared" si="604"/>
        <v>28.427397779068244</v>
      </c>
      <c r="K234" s="172">
        <f t="shared" si="605"/>
        <v>68.376516189370079</v>
      </c>
      <c r="L234" s="443"/>
      <c r="M234" s="217">
        <f t="shared" si="606"/>
        <v>0.41574963590945396</v>
      </c>
      <c r="N234" s="172">
        <f t="shared" si="607"/>
        <v>140.52720496983031</v>
      </c>
      <c r="O234" s="172">
        <f t="shared" si="598"/>
        <v>12.599999999999998</v>
      </c>
      <c r="P234" s="217">
        <f t="shared" si="608"/>
        <v>5.0188287489225107</v>
      </c>
      <c r="Q234" s="217">
        <f t="shared" si="609"/>
        <v>28</v>
      </c>
      <c r="R234" s="217"/>
      <c r="S234" s="172">
        <f t="shared" si="610"/>
        <v>699.87218986394839</v>
      </c>
      <c r="T234" s="172">
        <f t="shared" si="611"/>
        <v>28</v>
      </c>
      <c r="U234" s="217">
        <f t="shared" si="612"/>
        <v>1.5172650827458722</v>
      </c>
      <c r="V234" s="217">
        <f t="shared" si="613"/>
        <v>0.17850571358457473</v>
      </c>
      <c r="W234" s="217">
        <f t="shared" si="614"/>
        <v>0.25085468407370121</v>
      </c>
      <c r="X234" s="197">
        <f t="shared" si="615"/>
        <v>350</v>
      </c>
      <c r="Y234" s="443">
        <f t="shared" si="678"/>
        <v>350</v>
      </c>
      <c r="AA234" s="217">
        <f t="shared" si="616"/>
        <v>10.096513598373031</v>
      </c>
      <c r="AB234" s="173">
        <f t="shared" si="617"/>
        <v>1.6692915152189711</v>
      </c>
      <c r="AC234" s="173">
        <f t="shared" si="618"/>
        <v>2.949454284534986</v>
      </c>
      <c r="AD234" s="173"/>
      <c r="AE234" s="173">
        <f t="shared" si="619"/>
        <v>0.55111152939233843</v>
      </c>
      <c r="AF234" s="545">
        <f t="shared" si="620"/>
        <v>489.91898300096329</v>
      </c>
      <c r="AG234" s="528">
        <f t="shared" si="621"/>
        <v>0.32148172547886411</v>
      </c>
      <c r="AI234" s="173">
        <f t="shared" si="622"/>
        <v>3.9437271187712986</v>
      </c>
      <c r="AJ234" s="173">
        <f t="shared" si="623"/>
        <v>3.9437271187712986</v>
      </c>
      <c r="AK234" s="173">
        <f t="shared" si="624"/>
        <v>1.652143544768863</v>
      </c>
      <c r="AM234" s="545">
        <f t="shared" si="625"/>
        <v>449.99999999999994</v>
      </c>
      <c r="AN234" s="460">
        <f t="shared" si="626"/>
        <v>350</v>
      </c>
      <c r="AP234">
        <f t="shared" si="627"/>
        <v>449.99999999999994</v>
      </c>
      <c r="AQ234">
        <f t="shared" si="628"/>
        <v>350</v>
      </c>
      <c r="AS234" s="5">
        <f t="shared" si="599"/>
        <v>2.8571428571428572</v>
      </c>
      <c r="AT234" s="5">
        <f t="shared" si="629"/>
        <v>0.46397813508308311</v>
      </c>
      <c r="AU234" s="5">
        <f t="shared" ref="AU234:AU297" si="721">AS234-AT234</f>
        <v>2.3931647220597743</v>
      </c>
      <c r="AV234" s="5"/>
      <c r="AW234" s="173">
        <f t="shared" ref="AW234:AW297" si="722">AT234/AS234</f>
        <v>0.16239234727907909</v>
      </c>
      <c r="AX234" s="173">
        <f t="shared" si="630"/>
        <v>12.792329000580709</v>
      </c>
      <c r="AY234" s="173">
        <f t="shared" si="631"/>
        <v>1.6516480074629338</v>
      </c>
      <c r="AZ234" s="173">
        <f t="shared" si="632"/>
        <v>7.7451908292680178</v>
      </c>
      <c r="BA234" s="460">
        <f t="shared" si="593"/>
        <v>0.74567914566924065</v>
      </c>
      <c r="BB234" s="5">
        <f t="shared" si="594"/>
        <v>0.53914787999386127</v>
      </c>
      <c r="BD234" s="173">
        <f t="shared" si="679"/>
        <v>0.91754845683844999</v>
      </c>
      <c r="BE234" s="173">
        <f t="shared" si="680"/>
        <v>2.0838504485201033</v>
      </c>
      <c r="BG234" s="528">
        <f t="shared" si="681"/>
        <v>1.0102742047759451E-2</v>
      </c>
      <c r="BH234" s="528">
        <f t="shared" si="633"/>
        <v>1.7224425265572014</v>
      </c>
      <c r="BI234" s="528">
        <f t="shared" si="682"/>
        <v>4.0250000000000001E-2</v>
      </c>
      <c r="BJ234" s="528">
        <f t="shared" si="683"/>
        <v>0.80591310567289565</v>
      </c>
      <c r="BK234">
        <f t="shared" si="684"/>
        <v>1.7977103284635823E-2</v>
      </c>
      <c r="BL234" s="460">
        <f t="shared" si="685"/>
        <v>58.227103284635824</v>
      </c>
      <c r="BM234" s="528">
        <f t="shared" si="634"/>
        <v>2.5473006845146866</v>
      </c>
      <c r="BN234" s="460">
        <f t="shared" si="686"/>
        <v>2547.3006845146865</v>
      </c>
      <c r="BO234" s="528">
        <f t="shared" si="635"/>
        <v>0.31499999999999995</v>
      </c>
      <c r="BR234" s="460">
        <f t="shared" si="687"/>
        <v>314.99999999999994</v>
      </c>
      <c r="BS234" s="528">
        <f t="shared" si="688"/>
        <v>1.1786532389052693E-2</v>
      </c>
      <c r="BT234" s="528">
        <f t="shared" si="689"/>
        <v>6.0794057685164105E-2</v>
      </c>
      <c r="BU234" s="528">
        <f t="shared" si="690"/>
        <v>3.5392175377353503</v>
      </c>
      <c r="BV234" s="528"/>
      <c r="BW234" s="528">
        <f t="shared" si="691"/>
        <v>0.54435442555662594</v>
      </c>
      <c r="BX234" s="460">
        <f t="shared" si="692"/>
        <v>4156.1525533661934</v>
      </c>
      <c r="BY234" s="173">
        <f t="shared" si="693"/>
        <v>7.0678380309286846</v>
      </c>
      <c r="BZ234" s="5">
        <f t="shared" si="694"/>
        <v>12.599999999999998</v>
      </c>
      <c r="CA234" s="173">
        <f t="shared" si="695"/>
        <v>0.64063980902150264</v>
      </c>
      <c r="CB234" s="5">
        <f t="shared" si="696"/>
        <v>64.063980902150263</v>
      </c>
      <c r="CE234" s="562">
        <f t="shared" si="636"/>
        <v>-50</v>
      </c>
      <c r="CF234">
        <f t="shared" si="637"/>
        <v>-50</v>
      </c>
      <c r="CG234" s="173">
        <f t="shared" si="638"/>
        <v>0.22994564575133838</v>
      </c>
      <c r="CI234" s="170">
        <v>18</v>
      </c>
      <c r="CJ234" s="217">
        <f t="shared" si="697"/>
        <v>0.44999999999999996</v>
      </c>
      <c r="CK234" s="217"/>
      <c r="CL234" s="217">
        <f t="shared" si="639"/>
        <v>12.599999999999998</v>
      </c>
      <c r="CM234" s="541">
        <f t="shared" si="640"/>
        <v>40</v>
      </c>
      <c r="CN234" s="443">
        <f t="shared" si="641"/>
        <v>28.4</v>
      </c>
      <c r="CO234" s="443">
        <f t="shared" si="642"/>
        <v>68.400000000000006</v>
      </c>
      <c r="CP234" s="443"/>
      <c r="CQ234" s="217">
        <f t="shared" si="643"/>
        <v>0.41520467836257302</v>
      </c>
      <c r="CR234" s="172">
        <f t="shared" si="644"/>
        <v>140.52175355646798</v>
      </c>
      <c r="CS234" s="172">
        <f t="shared" si="645"/>
        <v>12.599999999999998</v>
      </c>
      <c r="CT234" s="217">
        <f t="shared" si="646"/>
        <v>5.0186340555881426</v>
      </c>
      <c r="CU234" s="217">
        <f t="shared" si="647"/>
        <v>28</v>
      </c>
      <c r="CV234" s="217"/>
      <c r="CW234" s="172">
        <f t="shared" si="648"/>
        <v>700.76355995285314</v>
      </c>
      <c r="CX234" s="172">
        <f t="shared" si="649"/>
        <v>28</v>
      </c>
      <c r="CY234" s="217">
        <f t="shared" si="650"/>
        <v>1.5173239436619719</v>
      </c>
      <c r="CZ234" s="217">
        <f t="shared" si="651"/>
        <v>0.1782855633802817</v>
      </c>
      <c r="DA234" s="217">
        <f t="shared" si="652"/>
        <v>0.25110642729617139</v>
      </c>
      <c r="DB234" s="197">
        <f t="shared" si="653"/>
        <v>350</v>
      </c>
      <c r="DC234" s="443">
        <f t="shared" si="654"/>
        <v>350</v>
      </c>
      <c r="DE234" s="217">
        <f t="shared" si="655"/>
        <v>10.09616239179509</v>
      </c>
      <c r="DF234" s="173">
        <f t="shared" si="656"/>
        <v>1.6708437761069339</v>
      </c>
      <c r="DG234" s="173">
        <f t="shared" si="657"/>
        <v>2.9520942666067511</v>
      </c>
      <c r="DH234" s="173"/>
      <c r="DI234" s="173">
        <f t="shared" si="658"/>
        <v>0.55164319248826299</v>
      </c>
      <c r="DJ234" s="545">
        <f t="shared" si="659"/>
        <v>489.44680851063816</v>
      </c>
      <c r="DK234" s="528">
        <f t="shared" si="660"/>
        <v>0.3217918622848201</v>
      </c>
      <c r="DM234" s="173">
        <f t="shared" si="661"/>
        <v>3.9418262164855316</v>
      </c>
      <c r="DN234" s="173">
        <f t="shared" si="662"/>
        <v>3.9418262164855316</v>
      </c>
      <c r="DO234" s="173">
        <f t="shared" si="663"/>
        <v>1.6507354690016283</v>
      </c>
      <c r="DQ234" s="545">
        <f t="shared" si="664"/>
        <v>449.99999999999994</v>
      </c>
      <c r="DR234" s="460">
        <f t="shared" si="665"/>
        <v>350</v>
      </c>
      <c r="DT234">
        <f t="shared" si="666"/>
        <v>449.99999999999994</v>
      </c>
      <c r="DU234">
        <f t="shared" si="667"/>
        <v>350</v>
      </c>
      <c r="DW234" s="5">
        <f t="shared" si="668"/>
        <v>2.8571428571428572</v>
      </c>
      <c r="DX234" s="5">
        <f t="shared" si="669"/>
        <v>0.46316458043704994</v>
      </c>
      <c r="DY234" s="5">
        <f t="shared" si="670"/>
        <v>2.3939782767058073</v>
      </c>
      <c r="DZ234" s="5"/>
      <c r="EA234" s="173">
        <f t="shared" si="671"/>
        <v>0.16210760315296749</v>
      </c>
      <c r="EB234" s="173">
        <f t="shared" si="698"/>
        <v>12.779999999999996</v>
      </c>
      <c r="EC234" s="173">
        <f t="shared" si="699"/>
        <v>1.6514131082427659</v>
      </c>
      <c r="ED234" s="173">
        <f t="shared" si="700"/>
        <v>7.7388267879252375</v>
      </c>
      <c r="EE234" s="460">
        <f t="shared" si="672"/>
        <v>0.74437164713097304</v>
      </c>
      <c r="EF234" s="5">
        <f t="shared" si="673"/>
        <v>0.53864511225880651</v>
      </c>
      <c r="EH234" s="173">
        <f t="shared" si="701"/>
        <v>0.91630179750528595</v>
      </c>
      <c r="EI234" s="173">
        <f t="shared" si="702"/>
        <v>2.0832000198923439</v>
      </c>
      <c r="EK234" s="528">
        <f t="shared" si="703"/>
        <v>1.0075307809337016E-2</v>
      </c>
      <c r="EL234" s="528">
        <f t="shared" si="704"/>
        <v>1.7929790728306092</v>
      </c>
      <c r="EM234" s="528">
        <f t="shared" si="705"/>
        <v>4.0250000000000001E-2</v>
      </c>
      <c r="EN234" s="528">
        <f t="shared" si="706"/>
        <v>0.80646678000000016</v>
      </c>
      <c r="EO234">
        <f t="shared" si="707"/>
        <v>1.7999999999999999E-2</v>
      </c>
      <c r="EP234" s="460">
        <f t="shared" si="708"/>
        <v>58.249999999999993</v>
      </c>
      <c r="EQ234" s="460"/>
      <c r="ER234" s="460">
        <f t="shared" si="709"/>
        <v>2667.7711606399457</v>
      </c>
      <c r="ES234" s="528">
        <f t="shared" si="710"/>
        <v>0.31499999999999995</v>
      </c>
      <c r="EV234" s="460">
        <f t="shared" si="711"/>
        <v>314.99999999999994</v>
      </c>
      <c r="EW234" s="528">
        <f t="shared" si="712"/>
        <v>1.1754525777559853E-2</v>
      </c>
      <c r="EX234" s="528">
        <f t="shared" si="713"/>
        <v>6.0756112520312468E-2</v>
      </c>
      <c r="EY234" s="528">
        <f t="shared" si="714"/>
        <v>3.5349542643133081</v>
      </c>
      <c r="EZ234" s="528"/>
      <c r="FA234" s="528">
        <f t="shared" si="715"/>
        <v>0.54382978723404241</v>
      </c>
      <c r="FB234" s="460">
        <f t="shared" si="716"/>
        <v>4151.2946898452228</v>
      </c>
      <c r="FC234" s="173">
        <f t="shared" si="717"/>
        <v>7.1340658504851682</v>
      </c>
      <c r="FD234" s="5">
        <f t="shared" si="718"/>
        <v>12.599999999999998</v>
      </c>
      <c r="FE234" s="173">
        <f t="shared" si="719"/>
        <v>0.63848981225986046</v>
      </c>
      <c r="FF234" s="5">
        <f t="shared" si="720"/>
        <v>63.848981225986044</v>
      </c>
      <c r="FI234" s="562">
        <f t="shared" si="674"/>
        <v>-50</v>
      </c>
      <c r="FJ234">
        <f t="shared" si="675"/>
        <v>-50</v>
      </c>
      <c r="FL234">
        <f t="shared" si="676"/>
        <v>0.22832056782108101</v>
      </c>
    </row>
    <row r="235" spans="5:168">
      <c r="E235" s="170">
        <v>19</v>
      </c>
      <c r="F235" s="217">
        <f t="shared" si="677"/>
        <v>0.47499999999999998</v>
      </c>
      <c r="G235" s="217"/>
      <c r="H235" s="217">
        <f t="shared" si="602"/>
        <v>13.299999999999999</v>
      </c>
      <c r="I235" s="541">
        <f t="shared" si="603"/>
        <v>39.947724135995216</v>
      </c>
      <c r="J235" s="172">
        <f t="shared" si="604"/>
        <v>28.428148542156421</v>
      </c>
      <c r="K235" s="172">
        <f t="shared" si="605"/>
        <v>68.375872678151637</v>
      </c>
      <c r="L235" s="443"/>
      <c r="M235" s="217">
        <f t="shared" si="606"/>
        <v>0.41576457424364788</v>
      </c>
      <c r="N235" s="172">
        <f t="shared" si="607"/>
        <v>140.52734951250969</v>
      </c>
      <c r="O235" s="172">
        <f t="shared" si="598"/>
        <v>13.299999999999999</v>
      </c>
      <c r="P235" s="217">
        <f t="shared" si="608"/>
        <v>5.0188339111610603</v>
      </c>
      <c r="Q235" s="217">
        <f t="shared" si="609"/>
        <v>28</v>
      </c>
      <c r="R235" s="217"/>
      <c r="S235" s="172">
        <f t="shared" si="610"/>
        <v>660.91370405488192</v>
      </c>
      <c r="T235" s="172">
        <f t="shared" si="611"/>
        <v>28</v>
      </c>
      <c r="U235" s="217">
        <f t="shared" si="612"/>
        <v>1.6015559400234953</v>
      </c>
      <c r="V235" s="217">
        <f t="shared" si="613"/>
        <v>0.18842908027713856</v>
      </c>
      <c r="W235" s="217">
        <f t="shared" si="614"/>
        <v>0.26478379015601705</v>
      </c>
      <c r="X235" s="197">
        <f t="shared" si="615"/>
        <v>350</v>
      </c>
      <c r="Y235" s="443">
        <f t="shared" si="678"/>
        <v>350</v>
      </c>
      <c r="AA235" s="217">
        <f t="shared" si="616"/>
        <v>10.096522876721215</v>
      </c>
      <c r="AB235" s="173">
        <f t="shared" si="617"/>
        <v>1.6692489646386977</v>
      </c>
      <c r="AC235" s="173">
        <f t="shared" si="618"/>
        <v>2.9493818127231175</v>
      </c>
      <c r="AD235" s="173"/>
      <c r="AE235" s="173">
        <f t="shared" si="619"/>
        <v>0.5510969750082173</v>
      </c>
      <c r="AF235" s="545">
        <f t="shared" si="620"/>
        <v>517.15036177752631</v>
      </c>
      <c r="AG235" s="528">
        <f t="shared" si="621"/>
        <v>0.32147323542146011</v>
      </c>
      <c r="AI235" s="173">
        <f t="shared" si="622"/>
        <v>4.0518479490796731</v>
      </c>
      <c r="AJ235" s="173">
        <f t="shared" si="623"/>
        <v>4.0518479490796731</v>
      </c>
      <c r="AK235" s="173">
        <f t="shared" si="624"/>
        <v>1.732233048700992</v>
      </c>
      <c r="AM235" s="545">
        <f t="shared" si="625"/>
        <v>475</v>
      </c>
      <c r="AN235" s="460">
        <f t="shared" si="626"/>
        <v>350</v>
      </c>
      <c r="AP235">
        <f t="shared" si="627"/>
        <v>475</v>
      </c>
      <c r="AQ235">
        <f t="shared" si="628"/>
        <v>350</v>
      </c>
      <c r="AS235" s="5">
        <f t="shared" si="599"/>
        <v>2.8571428571428572</v>
      </c>
      <c r="AT235" s="5">
        <f t="shared" si="629"/>
        <v>0.47671515142748766</v>
      </c>
      <c r="AU235" s="5">
        <f t="shared" si="721"/>
        <v>2.3804277057153698</v>
      </c>
      <c r="AV235" s="5"/>
      <c r="AW235" s="173">
        <f t="shared" si="722"/>
        <v>0.16685030299962067</v>
      </c>
      <c r="AX235" s="173">
        <f t="shared" si="630"/>
        <v>13.503370557524299</v>
      </c>
      <c r="AY235" s="173">
        <f t="shared" si="631"/>
        <v>1.6878979455336691</v>
      </c>
      <c r="AZ235" s="173">
        <f t="shared" si="632"/>
        <v>8.0001107846925468</v>
      </c>
      <c r="BA235" s="460">
        <f t="shared" si="593"/>
        <v>0.80871320331448793</v>
      </c>
      <c r="BB235" s="5">
        <f t="shared" si="594"/>
        <v>0.5660914030373867</v>
      </c>
      <c r="BD235" s="173">
        <f t="shared" si="679"/>
        <v>0.95555570999783013</v>
      </c>
      <c r="BE235" s="173">
        <f t="shared" si="680"/>
        <v>2.1352760678448415</v>
      </c>
      <c r="BG235" s="528">
        <f t="shared" si="681"/>
        <v>1.0957040578913488E-2</v>
      </c>
      <c r="BH235" s="528">
        <f t="shared" si="633"/>
        <v>1.7696481846625414</v>
      </c>
      <c r="BI235" s="528">
        <f t="shared" si="682"/>
        <v>4.0250000000000001E-2</v>
      </c>
      <c r="BJ235" s="528">
        <f t="shared" si="683"/>
        <v>0.80589793638048124</v>
      </c>
      <c r="BK235">
        <f t="shared" si="684"/>
        <v>1.7976475861197848E-2</v>
      </c>
      <c r="BL235" s="460">
        <f t="shared" si="685"/>
        <v>58.226475861197848</v>
      </c>
      <c r="BM235" s="528">
        <f t="shared" si="634"/>
        <v>2.5962205445590327</v>
      </c>
      <c r="BN235" s="460">
        <f t="shared" si="686"/>
        <v>2596.2205445590325</v>
      </c>
      <c r="BO235" s="528">
        <f t="shared" si="635"/>
        <v>0.33249999999999996</v>
      </c>
      <c r="BR235" s="460">
        <f t="shared" si="687"/>
        <v>332.49999999999994</v>
      </c>
      <c r="BS235" s="528">
        <f t="shared" si="688"/>
        <v>1.2783214008732401E-2</v>
      </c>
      <c r="BT235" s="528">
        <f t="shared" si="689"/>
        <v>6.3831654402752999E-2</v>
      </c>
      <c r="BU235" s="528">
        <f t="shared" si="690"/>
        <v>3.7868051930617814</v>
      </c>
      <c r="BV235" s="528"/>
      <c r="BW235" s="528">
        <f t="shared" si="691"/>
        <v>0.57461151308614045</v>
      </c>
      <c r="BX235" s="460">
        <f t="shared" si="692"/>
        <v>4438.031574559408</v>
      </c>
      <c r="BY235" s="173">
        <f t="shared" si="693"/>
        <v>7.4152612120425418</v>
      </c>
      <c r="BZ235" s="5">
        <f t="shared" si="694"/>
        <v>13.299999999999999</v>
      </c>
      <c r="CA235" s="173">
        <f t="shared" si="695"/>
        <v>0.64203872999043921</v>
      </c>
      <c r="CB235" s="5">
        <f t="shared" si="696"/>
        <v>64.203872999043924</v>
      </c>
      <c r="CE235" s="562">
        <f t="shared" si="636"/>
        <v>-50</v>
      </c>
      <c r="CF235">
        <f t="shared" si="637"/>
        <v>-50</v>
      </c>
      <c r="CG235" s="173">
        <f t="shared" si="638"/>
        <v>0.23624669309854898</v>
      </c>
      <c r="CI235" s="170">
        <v>19</v>
      </c>
      <c r="CJ235" s="217">
        <f t="shared" si="697"/>
        <v>0.47499999999999998</v>
      </c>
      <c r="CK235" s="217"/>
      <c r="CL235" s="217">
        <f t="shared" si="639"/>
        <v>13.299999999999999</v>
      </c>
      <c r="CM235" s="541">
        <f t="shared" si="640"/>
        <v>40</v>
      </c>
      <c r="CN235" s="443">
        <f t="shared" si="641"/>
        <v>28.4</v>
      </c>
      <c r="CO235" s="443">
        <f t="shared" si="642"/>
        <v>68.400000000000006</v>
      </c>
      <c r="CP235" s="443"/>
      <c r="CQ235" s="217">
        <f t="shared" si="643"/>
        <v>0.41520467836257302</v>
      </c>
      <c r="CR235" s="172">
        <f t="shared" si="644"/>
        <v>140.52175355646798</v>
      </c>
      <c r="CS235" s="172">
        <f t="shared" si="645"/>
        <v>13.299999999999999</v>
      </c>
      <c r="CT235" s="217">
        <f t="shared" si="646"/>
        <v>5.0186340555881426</v>
      </c>
      <c r="CU235" s="217">
        <f t="shared" si="647"/>
        <v>28</v>
      </c>
      <c r="CV235" s="217"/>
      <c r="CW235" s="172">
        <f t="shared" si="648"/>
        <v>661.77854863226696</v>
      </c>
      <c r="CX235" s="172">
        <f t="shared" si="649"/>
        <v>28</v>
      </c>
      <c r="CY235" s="217">
        <f t="shared" si="650"/>
        <v>1.6016197183098595</v>
      </c>
      <c r="CZ235" s="217">
        <f t="shared" si="651"/>
        <v>0.18819031690140847</v>
      </c>
      <c r="DA235" s="217">
        <f t="shared" si="652"/>
        <v>0.26505678436818098</v>
      </c>
      <c r="DB235" s="197">
        <f t="shared" si="653"/>
        <v>350</v>
      </c>
      <c r="DC235" s="443">
        <f t="shared" si="654"/>
        <v>350</v>
      </c>
      <c r="DE235" s="217">
        <f t="shared" si="655"/>
        <v>10.09616239179509</v>
      </c>
      <c r="DF235" s="173">
        <f t="shared" si="656"/>
        <v>1.6708437761069339</v>
      </c>
      <c r="DG235" s="173">
        <f t="shared" si="657"/>
        <v>2.9520942666067511</v>
      </c>
      <c r="DH235" s="173"/>
      <c r="DI235" s="173">
        <f t="shared" si="658"/>
        <v>0.55164319248826299</v>
      </c>
      <c r="DJ235" s="545">
        <f t="shared" si="659"/>
        <v>516.63829787234033</v>
      </c>
      <c r="DK235" s="528">
        <f t="shared" si="660"/>
        <v>0.3217918622848201</v>
      </c>
      <c r="DM235" s="173">
        <f t="shared" si="661"/>
        <v>4.0498414543622721</v>
      </c>
      <c r="DN235" s="173">
        <f t="shared" si="662"/>
        <v>4.0498414543622721</v>
      </c>
      <c r="DO235" s="173">
        <f t="shared" si="663"/>
        <v>1.7307467563177323</v>
      </c>
      <c r="DQ235" s="545">
        <f t="shared" si="664"/>
        <v>475</v>
      </c>
      <c r="DR235" s="460">
        <f t="shared" si="665"/>
        <v>350</v>
      </c>
      <c r="DT235">
        <f t="shared" si="666"/>
        <v>475</v>
      </c>
      <c r="DU235">
        <f t="shared" si="667"/>
        <v>350</v>
      </c>
      <c r="DW235" s="5">
        <f t="shared" si="668"/>
        <v>2.8571428571428572</v>
      </c>
      <c r="DX235" s="5">
        <f t="shared" si="669"/>
        <v>0.47585637088756688</v>
      </c>
      <c r="DY235" s="5">
        <f t="shared" si="670"/>
        <v>2.3812864862552905</v>
      </c>
      <c r="DZ235" s="5"/>
      <c r="EA235" s="173">
        <f t="shared" si="671"/>
        <v>0.16654972981064842</v>
      </c>
      <c r="EB235" s="173">
        <f t="shared" si="698"/>
        <v>13.489999999999998</v>
      </c>
      <c r="EC235" s="173">
        <f t="shared" si="699"/>
        <v>1.6876707271811362</v>
      </c>
      <c r="ED235" s="173">
        <f t="shared" si="700"/>
        <v>7.9932653821233988</v>
      </c>
      <c r="EE235" s="460">
        <f t="shared" si="672"/>
        <v>0.80725634346997943</v>
      </c>
      <c r="EF235" s="5">
        <f t="shared" si="673"/>
        <v>0.56555554048563139</v>
      </c>
      <c r="EH235" s="173">
        <f t="shared" si="701"/>
        <v>0.95422185767031342</v>
      </c>
      <c r="EI235" s="173">
        <f t="shared" si="702"/>
        <v>2.1346036122665155</v>
      </c>
      <c r="EK235" s="528">
        <f t="shared" si="703"/>
        <v>1.0926472243869407E-2</v>
      </c>
      <c r="EL235" s="528">
        <f t="shared" si="704"/>
        <v>1.8421108839312232</v>
      </c>
      <c r="EM235" s="528">
        <f t="shared" si="705"/>
        <v>4.0250000000000001E-2</v>
      </c>
      <c r="EN235" s="528">
        <f t="shared" si="706"/>
        <v>0.80646678000000016</v>
      </c>
      <c r="EO235">
        <f t="shared" si="707"/>
        <v>1.7999999999999999E-2</v>
      </c>
      <c r="EP235" s="460">
        <f t="shared" si="708"/>
        <v>58.249999999999993</v>
      </c>
      <c r="EQ235" s="460"/>
      <c r="ER235" s="460">
        <f t="shared" si="709"/>
        <v>2717.7541361750923</v>
      </c>
      <c r="ES235" s="528">
        <f t="shared" si="710"/>
        <v>0.33249999999999996</v>
      </c>
      <c r="EV235" s="460">
        <f t="shared" si="711"/>
        <v>332.49999999999994</v>
      </c>
      <c r="EW235" s="528">
        <f t="shared" si="712"/>
        <v>1.2747550951180974E-2</v>
      </c>
      <c r="EX235" s="528">
        <f t="shared" si="713"/>
        <v>6.3791456141017597E-2</v>
      </c>
      <c r="EY235" s="528">
        <f t="shared" si="714"/>
        <v>3.7821188234451872</v>
      </c>
      <c r="EZ235" s="528"/>
      <c r="FA235" s="528">
        <f t="shared" si="715"/>
        <v>0.57404255319148934</v>
      </c>
      <c r="FB235" s="460">
        <f t="shared" si="716"/>
        <v>4432.7003837288748</v>
      </c>
      <c r="FC235" s="173">
        <f t="shared" si="717"/>
        <v>7.4829545199039682</v>
      </c>
      <c r="FD235" s="5">
        <f t="shared" si="718"/>
        <v>13.299999999999999</v>
      </c>
      <c r="FE235" s="173">
        <f t="shared" si="719"/>
        <v>0.63994751021865082</v>
      </c>
      <c r="FF235" s="5">
        <f t="shared" si="720"/>
        <v>63.994751021865085</v>
      </c>
      <c r="FI235" s="562">
        <f t="shared" si="674"/>
        <v>-50</v>
      </c>
      <c r="FJ235">
        <f t="shared" si="675"/>
        <v>-50</v>
      </c>
      <c r="FL235">
        <f t="shared" si="676"/>
        <v>0.23457708424034993</v>
      </c>
    </row>
    <row r="236" spans="5:168">
      <c r="E236" s="170">
        <v>20</v>
      </c>
      <c r="F236" s="217">
        <f t="shared" si="677"/>
        <v>0.5</v>
      </c>
      <c r="G236" s="217"/>
      <c r="H236" s="217">
        <f t="shared" si="602"/>
        <v>14</v>
      </c>
      <c r="I236" s="541">
        <f t="shared" si="603"/>
        <v>39.946366095194541</v>
      </c>
      <c r="J236" s="172">
        <f t="shared" si="604"/>
        <v>28.428879794895245</v>
      </c>
      <c r="K236" s="172">
        <f t="shared" si="605"/>
        <v>68.375245890089786</v>
      </c>
      <c r="L236" s="443"/>
      <c r="M236" s="217">
        <f t="shared" si="606"/>
        <v>0.41577912463807087</v>
      </c>
      <c r="N236" s="172">
        <f t="shared" si="607"/>
        <v>140.5274900506777</v>
      </c>
      <c r="O236" s="172">
        <f t="shared" si="598"/>
        <v>14</v>
      </c>
      <c r="P236" s="217">
        <f t="shared" si="608"/>
        <v>5.0188389303813468</v>
      </c>
      <c r="Q236" s="217">
        <f t="shared" si="609"/>
        <v>28</v>
      </c>
      <c r="R236" s="217"/>
      <c r="S236" s="172">
        <f t="shared" si="610"/>
        <v>625.85191672496785</v>
      </c>
      <c r="T236" s="172">
        <f t="shared" si="611"/>
        <v>28</v>
      </c>
      <c r="U236" s="217">
        <f t="shared" si="612"/>
        <v>1.6858466719430119</v>
      </c>
      <c r="V236" s="217">
        <f t="shared" si="613"/>
        <v>0.19835294502759121</v>
      </c>
      <c r="W236" s="217">
        <f t="shared" si="614"/>
        <v>0.27871233109772103</v>
      </c>
      <c r="X236" s="197">
        <f t="shared" si="615"/>
        <v>350</v>
      </c>
      <c r="Y236" s="443">
        <f t="shared" si="678"/>
        <v>350</v>
      </c>
      <c r="AA236" s="217">
        <f t="shared" si="616"/>
        <v>10.096531896223809</v>
      </c>
      <c r="AB236" s="173">
        <f t="shared" si="617"/>
        <v>1.6692075190656228</v>
      </c>
      <c r="AC236" s="173">
        <f t="shared" si="618"/>
        <v>2.9493112175909673</v>
      </c>
      <c r="AD236" s="173"/>
      <c r="AE236" s="173">
        <f t="shared" si="619"/>
        <v>0.5510827995931028</v>
      </c>
      <c r="AF236" s="545">
        <f t="shared" si="620"/>
        <v>544.38280458310044</v>
      </c>
      <c r="AG236" s="528">
        <f t="shared" si="621"/>
        <v>0.32146496642931</v>
      </c>
      <c r="AI236" s="173">
        <f t="shared" si="622"/>
        <v>4.1571617476697851</v>
      </c>
      <c r="AJ236" s="173">
        <f t="shared" si="623"/>
        <v>4.1571617476697851</v>
      </c>
      <c r="AK236" s="173">
        <f t="shared" si="624"/>
        <v>1.8102432698788529</v>
      </c>
      <c r="AM236" s="545">
        <f t="shared" si="625"/>
        <v>500</v>
      </c>
      <c r="AN236" s="460">
        <f t="shared" si="626"/>
        <v>350</v>
      </c>
      <c r="AP236">
        <f t="shared" si="627"/>
        <v>500</v>
      </c>
      <c r="AQ236">
        <f t="shared" si="628"/>
        <v>350</v>
      </c>
      <c r="AS236" s="5">
        <f t="shared" si="599"/>
        <v>2.8571428571428572</v>
      </c>
      <c r="AT236" s="5">
        <f t="shared" si="629"/>
        <v>0.48912234388194953</v>
      </c>
      <c r="AU236" s="5">
        <f t="shared" si="721"/>
        <v>2.3680205132609076</v>
      </c>
      <c r="AV236" s="5"/>
      <c r="AW236" s="173">
        <f t="shared" si="722"/>
        <v>0.17119282035868233</v>
      </c>
      <c r="AX236" s="173">
        <f t="shared" si="630"/>
        <v>14.214439897447621</v>
      </c>
      <c r="AY236" s="173">
        <f t="shared" si="631"/>
        <v>1.7227427516994829</v>
      </c>
      <c r="AZ236" s="173">
        <f t="shared" si="632"/>
        <v>8.2510519248594143</v>
      </c>
      <c r="BA236" s="460">
        <f t="shared" si="593"/>
        <v>0.87343275693205269</v>
      </c>
      <c r="BB236" s="5">
        <f t="shared" si="594"/>
        <v>0.59279998276132928</v>
      </c>
      <c r="BD236" s="173">
        <f t="shared" si="679"/>
        <v>0.99306818487083226</v>
      </c>
      <c r="BE236" s="173">
        <f t="shared" si="680"/>
        <v>2.1850583925745135</v>
      </c>
      <c r="BG236" s="528">
        <f t="shared" si="681"/>
        <v>1.1834213037631793E-2</v>
      </c>
      <c r="BH236" s="528">
        <f t="shared" si="633"/>
        <v>1.8156274359327282</v>
      </c>
      <c r="BI236" s="528">
        <f t="shared" si="682"/>
        <v>4.0250000000000001E-2</v>
      </c>
      <c r="BJ236" s="528">
        <f t="shared" si="683"/>
        <v>0.80588316143515015</v>
      </c>
      <c r="BK236">
        <f t="shared" si="684"/>
        <v>1.7975864742837543E-2</v>
      </c>
      <c r="BL236" s="460">
        <f t="shared" si="685"/>
        <v>58.225864742837544</v>
      </c>
      <c r="BM236" s="528">
        <f t="shared" si="634"/>
        <v>2.6439743989834099</v>
      </c>
      <c r="BN236" s="460">
        <f t="shared" si="686"/>
        <v>2643.9743989834101</v>
      </c>
      <c r="BO236" s="528">
        <f t="shared" si="635"/>
        <v>0.35</v>
      </c>
      <c r="BR236" s="460">
        <f t="shared" si="687"/>
        <v>350</v>
      </c>
      <c r="BS236" s="528">
        <f t="shared" si="688"/>
        <v>1.3806581877237094E-2</v>
      </c>
      <c r="BT236" s="528">
        <f t="shared" si="689"/>
        <v>6.684272250544443E-2</v>
      </c>
      <c r="BU236" s="528">
        <f t="shared" si="690"/>
        <v>4.0376848781424011</v>
      </c>
      <c r="BV236" s="528"/>
      <c r="BW236" s="528">
        <f t="shared" si="691"/>
        <v>0.60486978287011162</v>
      </c>
      <c r="BX236" s="460">
        <f t="shared" si="692"/>
        <v>4723.2039653951952</v>
      </c>
      <c r="BY236" s="173">
        <f t="shared" si="693"/>
        <v>7.7647746405435427</v>
      </c>
      <c r="BZ236" s="5">
        <f t="shared" si="694"/>
        <v>14</v>
      </c>
      <c r="CA236" s="173">
        <f t="shared" si="695"/>
        <v>0.64324121114126875</v>
      </c>
      <c r="CB236" s="5">
        <f t="shared" si="696"/>
        <v>64.324121114126882</v>
      </c>
      <c r="CE236" s="562">
        <f t="shared" si="636"/>
        <v>-50</v>
      </c>
      <c r="CF236">
        <f t="shared" si="637"/>
        <v>-50</v>
      </c>
      <c r="CG236" s="173">
        <f t="shared" si="638"/>
        <v>0.24238399287081647</v>
      </c>
      <c r="CI236" s="170">
        <v>20</v>
      </c>
      <c r="CJ236" s="217">
        <f t="shared" si="697"/>
        <v>0.5</v>
      </c>
      <c r="CK236" s="217"/>
      <c r="CL236" s="217">
        <f t="shared" si="639"/>
        <v>14</v>
      </c>
      <c r="CM236" s="541">
        <f t="shared" si="640"/>
        <v>40</v>
      </c>
      <c r="CN236" s="443">
        <f t="shared" si="641"/>
        <v>28.4</v>
      </c>
      <c r="CO236" s="443">
        <f t="shared" si="642"/>
        <v>68.400000000000006</v>
      </c>
      <c r="CP236" s="443"/>
      <c r="CQ236" s="217">
        <f t="shared" si="643"/>
        <v>0.41520467836257302</v>
      </c>
      <c r="CR236" s="172">
        <f t="shared" si="644"/>
        <v>140.52175355646798</v>
      </c>
      <c r="CS236" s="172">
        <f t="shared" si="645"/>
        <v>14</v>
      </c>
      <c r="CT236" s="217">
        <f t="shared" si="646"/>
        <v>5.0186340555881426</v>
      </c>
      <c r="CU236" s="217">
        <f t="shared" si="647"/>
        <v>28</v>
      </c>
      <c r="CV236" s="217"/>
      <c r="CW236" s="172">
        <f t="shared" si="648"/>
        <v>626.69218125683096</v>
      </c>
      <c r="CX236" s="172">
        <f t="shared" si="649"/>
        <v>28</v>
      </c>
      <c r="CY236" s="217">
        <f t="shared" si="650"/>
        <v>1.6859154929577469</v>
      </c>
      <c r="CZ236" s="217">
        <f t="shared" si="651"/>
        <v>0.19809507042253524</v>
      </c>
      <c r="DA236" s="217">
        <f t="shared" si="652"/>
        <v>0.27900714144019051</v>
      </c>
      <c r="DB236" s="197">
        <f t="shared" si="653"/>
        <v>350</v>
      </c>
      <c r="DC236" s="443">
        <f t="shared" si="654"/>
        <v>350</v>
      </c>
      <c r="DE236" s="217">
        <f t="shared" si="655"/>
        <v>10.09616239179509</v>
      </c>
      <c r="DF236" s="173">
        <f t="shared" si="656"/>
        <v>1.6708437761069339</v>
      </c>
      <c r="DG236" s="173">
        <f t="shared" si="657"/>
        <v>2.9520942666067511</v>
      </c>
      <c r="DH236" s="173"/>
      <c r="DI236" s="173">
        <f t="shared" si="658"/>
        <v>0.55164319248826299</v>
      </c>
      <c r="DJ236" s="545">
        <f t="shared" si="659"/>
        <v>543.82978723404256</v>
      </c>
      <c r="DK236" s="528">
        <f t="shared" si="660"/>
        <v>0.3217918622848201</v>
      </c>
      <c r="DM236" s="173">
        <f t="shared" si="661"/>
        <v>4.1550496615527477</v>
      </c>
      <c r="DN236" s="173">
        <f t="shared" si="662"/>
        <v>4.1550496615527477</v>
      </c>
      <c r="DO236" s="173">
        <f t="shared" si="663"/>
        <v>1.8086787616440105</v>
      </c>
      <c r="DQ236" s="545">
        <f t="shared" si="664"/>
        <v>500</v>
      </c>
      <c r="DR236" s="460">
        <f t="shared" si="665"/>
        <v>350</v>
      </c>
      <c r="DT236">
        <f t="shared" si="666"/>
        <v>500</v>
      </c>
      <c r="DU236">
        <f t="shared" si="667"/>
        <v>350</v>
      </c>
      <c r="DW236" s="5">
        <f t="shared" si="668"/>
        <v>2.8571428571428572</v>
      </c>
      <c r="DX236" s="5">
        <f t="shared" si="669"/>
        <v>0.48821833523244784</v>
      </c>
      <c r="DY236" s="5">
        <f t="shared" si="670"/>
        <v>2.3689245219104094</v>
      </c>
      <c r="DZ236" s="5"/>
      <c r="EA236" s="173">
        <f t="shared" si="671"/>
        <v>0.17087641733135675</v>
      </c>
      <c r="EB236" s="173">
        <f t="shared" si="698"/>
        <v>14.2</v>
      </c>
      <c r="EC236" s="173">
        <f t="shared" si="699"/>
        <v>1.7225248307763739</v>
      </c>
      <c r="ED236" s="173">
        <f t="shared" si="700"/>
        <v>8.2437128024446515</v>
      </c>
      <c r="EE236" s="460">
        <f t="shared" si="672"/>
        <v>0.87181845577222838</v>
      </c>
      <c r="EF236" s="5">
        <f t="shared" si="673"/>
        <v>0.59223113047760223</v>
      </c>
      <c r="EH236" s="173">
        <f t="shared" si="701"/>
        <v>0.9916459818070914</v>
      </c>
      <c r="EI236" s="173">
        <f t="shared" si="702"/>
        <v>2.1843650816859919</v>
      </c>
      <c r="EK236" s="528">
        <f t="shared" si="703"/>
        <v>1.1800341038809803E-2</v>
      </c>
      <c r="EL236" s="528">
        <f t="shared" si="704"/>
        <v>1.8899658890538831</v>
      </c>
      <c r="EM236" s="528">
        <f t="shared" si="705"/>
        <v>4.0250000000000001E-2</v>
      </c>
      <c r="EN236" s="528">
        <f t="shared" si="706"/>
        <v>0.80646678000000016</v>
      </c>
      <c r="EO236">
        <f t="shared" si="707"/>
        <v>1.7999999999999999E-2</v>
      </c>
      <c r="EP236" s="460">
        <f t="shared" si="708"/>
        <v>58.249999999999993</v>
      </c>
      <c r="EQ236" s="460"/>
      <c r="ER236" s="460">
        <f t="shared" si="709"/>
        <v>2766.4830100926929</v>
      </c>
      <c r="ES236" s="528">
        <f t="shared" si="710"/>
        <v>0.35</v>
      </c>
      <c r="EV236" s="460">
        <f t="shared" si="711"/>
        <v>350</v>
      </c>
      <c r="EW236" s="528">
        <f t="shared" si="712"/>
        <v>1.3767064545278103E-2</v>
      </c>
      <c r="EX236" s="528">
        <f t="shared" si="713"/>
        <v>6.6800311341246699E-2</v>
      </c>
      <c r="EY236" s="528">
        <f t="shared" si="714"/>
        <v>4.032558370297159</v>
      </c>
      <c r="EZ236" s="528"/>
      <c r="FA236" s="528">
        <f t="shared" si="715"/>
        <v>0.60425531914893615</v>
      </c>
      <c r="FB236" s="460">
        <f t="shared" si="716"/>
        <v>4717.38106533262</v>
      </c>
      <c r="FC236" s="173">
        <f t="shared" si="717"/>
        <v>7.8338640754253133</v>
      </c>
      <c r="FD236" s="5">
        <f t="shared" si="718"/>
        <v>14</v>
      </c>
      <c r="FE236" s="173">
        <f t="shared" si="719"/>
        <v>0.6412057871037784</v>
      </c>
      <c r="FF236" s="5">
        <f t="shared" si="720"/>
        <v>64.120578710377842</v>
      </c>
      <c r="FI236" s="562">
        <f t="shared" si="674"/>
        <v>-50</v>
      </c>
      <c r="FJ236">
        <f t="shared" si="675"/>
        <v>-50</v>
      </c>
      <c r="FL236">
        <f t="shared" si="676"/>
        <v>0.24067101032585458</v>
      </c>
    </row>
    <row r="237" spans="5:168">
      <c r="E237" s="170">
        <v>21</v>
      </c>
      <c r="F237" s="217">
        <f t="shared" si="677"/>
        <v>0.52500000000000002</v>
      </c>
      <c r="G237" s="217"/>
      <c r="H237" s="217">
        <f t="shared" si="602"/>
        <v>14.700000000000001</v>
      </c>
      <c r="I237" s="541">
        <f t="shared" si="603"/>
        <v>39.945041601807233</v>
      </c>
      <c r="J237" s="172">
        <f t="shared" si="604"/>
        <v>28.429592983642259</v>
      </c>
      <c r="K237" s="172">
        <f t="shared" si="605"/>
        <v>68.374634585449485</v>
      </c>
      <c r="L237" s="443"/>
      <c r="M237" s="217">
        <f t="shared" si="606"/>
        <v>0.41579331585180568</v>
      </c>
      <c r="N237" s="172">
        <f t="shared" si="607"/>
        <v>140.52762688119381</v>
      </c>
      <c r="O237" s="172">
        <f t="shared" si="598"/>
        <v>14.700000000000001</v>
      </c>
      <c r="P237" s="217">
        <f t="shared" si="608"/>
        <v>5.018843817185493</v>
      </c>
      <c r="Q237" s="217">
        <f t="shared" si="609"/>
        <v>28</v>
      </c>
      <c r="R237" s="217"/>
      <c r="S237" s="172">
        <f t="shared" si="610"/>
        <v>594.13011282536047</v>
      </c>
      <c r="T237" s="172">
        <f t="shared" si="611"/>
        <v>28</v>
      </c>
      <c r="U237" s="217">
        <f t="shared" si="612"/>
        <v>1.7701372819713592</v>
      </c>
      <c r="V237" s="217">
        <f t="shared" si="613"/>
        <v>0.20827729529486791</v>
      </c>
      <c r="W237" s="217">
        <f t="shared" si="614"/>
        <v>0.29264032130366141</v>
      </c>
      <c r="X237" s="197">
        <f t="shared" si="615"/>
        <v>350</v>
      </c>
      <c r="Y237" s="443">
        <f t="shared" si="678"/>
        <v>350</v>
      </c>
      <c r="AA237" s="217">
        <f t="shared" si="616"/>
        <v>10.096540676069306</v>
      </c>
      <c r="AB237" s="173">
        <f t="shared" si="617"/>
        <v>1.6691670965824077</v>
      </c>
      <c r="AC237" s="173">
        <f t="shared" si="618"/>
        <v>2.9492423600151372</v>
      </c>
      <c r="AD237" s="173"/>
      <c r="AE237" s="173">
        <f t="shared" si="619"/>
        <v>0.55106897505289332</v>
      </c>
      <c r="AF237" s="545">
        <f t="shared" si="620"/>
        <v>571.61628445833912</v>
      </c>
      <c r="AG237" s="528">
        <f t="shared" si="621"/>
        <v>0.32145690211418781</v>
      </c>
      <c r="AI237" s="173">
        <f t="shared" si="622"/>
        <v>4.2598766077156682</v>
      </c>
      <c r="AJ237" s="173">
        <f t="shared" si="623"/>
        <v>4.2598766077156682</v>
      </c>
      <c r="AK237" s="173">
        <f t="shared" si="624"/>
        <v>1.8863283513943219</v>
      </c>
      <c r="AM237" s="545">
        <f t="shared" si="625"/>
        <v>525</v>
      </c>
      <c r="AN237" s="460">
        <f t="shared" si="626"/>
        <v>350</v>
      </c>
      <c r="AP237">
        <f t="shared" si="627"/>
        <v>525</v>
      </c>
      <c r="AQ237">
        <f t="shared" si="628"/>
        <v>350</v>
      </c>
      <c r="AS237" s="5">
        <f t="shared" si="599"/>
        <v>2.8571428571428572</v>
      </c>
      <c r="AT237" s="5">
        <f t="shared" si="629"/>
        <v>0.50122416333540154</v>
      </c>
      <c r="AU237" s="5">
        <f t="shared" si="721"/>
        <v>2.3559186938074559</v>
      </c>
      <c r="AV237" s="5"/>
      <c r="AW237" s="173">
        <f t="shared" si="722"/>
        <v>0.17542845716739053</v>
      </c>
      <c r="AX237" s="173">
        <f t="shared" si="630"/>
        <v>14.925536316412188</v>
      </c>
      <c r="AY237" s="173">
        <f t="shared" si="631"/>
        <v>1.7562865133503256</v>
      </c>
      <c r="AZ237" s="173">
        <f t="shared" si="632"/>
        <v>8.4983493313627694</v>
      </c>
      <c r="BA237" s="460">
        <f t="shared" si="593"/>
        <v>0.93979530625387808</v>
      </c>
      <c r="BB237" s="5">
        <f t="shared" si="594"/>
        <v>0.61927952238905926</v>
      </c>
      <c r="BD237" s="173">
        <f t="shared" si="679"/>
        <v>1.0301166671188304</v>
      </c>
      <c r="BE237" s="173">
        <f t="shared" si="680"/>
        <v>2.2333179852210274</v>
      </c>
      <c r="BG237" s="528">
        <f t="shared" si="681"/>
        <v>1.2733684174512087E-2</v>
      </c>
      <c r="BH237" s="528">
        <f t="shared" si="633"/>
        <v>1.8604711973322474</v>
      </c>
      <c r="BI237" s="528">
        <f t="shared" si="682"/>
        <v>4.0250000000000001E-2</v>
      </c>
      <c r="BJ237" s="528">
        <f t="shared" si="683"/>
        <v>0.80586875160283433</v>
      </c>
      <c r="BK237">
        <f t="shared" si="684"/>
        <v>1.7975268720813255E-2</v>
      </c>
      <c r="BL237" s="460">
        <f t="shared" si="685"/>
        <v>58.225268720813254</v>
      </c>
      <c r="BM237" s="528">
        <f t="shared" si="634"/>
        <v>2.6906523594033604</v>
      </c>
      <c r="BN237" s="460">
        <f t="shared" si="686"/>
        <v>2690.6523594033606</v>
      </c>
      <c r="BO237" s="528">
        <f t="shared" si="635"/>
        <v>0.36749999999999999</v>
      </c>
      <c r="BR237" s="460">
        <f t="shared" si="687"/>
        <v>367.5</v>
      </c>
      <c r="BS237" s="528">
        <f t="shared" si="688"/>
        <v>1.4855964870264103E-2</v>
      </c>
      <c r="BT237" s="528">
        <f t="shared" si="689"/>
        <v>6.9827929123563934E-2</v>
      </c>
      <c r="BU237" s="528">
        <f t="shared" si="690"/>
        <v>4.291732686529679</v>
      </c>
      <c r="BV237" s="528"/>
      <c r="BW237" s="528">
        <f t="shared" si="691"/>
        <v>0.63512920495371028</v>
      </c>
      <c r="BX237" s="460">
        <f t="shared" si="692"/>
        <v>5011.5457854772176</v>
      </c>
      <c r="BY237" s="173">
        <f t="shared" si="693"/>
        <v>8.1163446873076239</v>
      </c>
      <c r="BZ237" s="5">
        <f t="shared" si="694"/>
        <v>14.700000000000001</v>
      </c>
      <c r="CA237" s="173">
        <f t="shared" si="695"/>
        <v>0.64427497925105326</v>
      </c>
      <c r="CB237" s="5">
        <f t="shared" si="696"/>
        <v>64.427497925105328</v>
      </c>
      <c r="CE237" s="562">
        <f t="shared" si="636"/>
        <v>-50</v>
      </c>
      <c r="CF237">
        <f t="shared" si="637"/>
        <v>-50</v>
      </c>
      <c r="CG237" s="173">
        <f t="shared" si="638"/>
        <v>0.24836968414039587</v>
      </c>
      <c r="CI237" s="170">
        <v>21</v>
      </c>
      <c r="CJ237" s="217">
        <f t="shared" si="697"/>
        <v>0.52500000000000002</v>
      </c>
      <c r="CK237" s="217"/>
      <c r="CL237" s="217">
        <f t="shared" si="639"/>
        <v>14.700000000000001</v>
      </c>
      <c r="CM237" s="541">
        <f t="shared" si="640"/>
        <v>40</v>
      </c>
      <c r="CN237" s="443">
        <f t="shared" si="641"/>
        <v>28.4</v>
      </c>
      <c r="CO237" s="443">
        <f t="shared" si="642"/>
        <v>68.400000000000006</v>
      </c>
      <c r="CP237" s="443"/>
      <c r="CQ237" s="217">
        <f t="shared" si="643"/>
        <v>0.41520467836257302</v>
      </c>
      <c r="CR237" s="172">
        <f t="shared" si="644"/>
        <v>140.52175355646798</v>
      </c>
      <c r="CS237" s="172">
        <f t="shared" si="645"/>
        <v>14.700000000000001</v>
      </c>
      <c r="CT237" s="217">
        <f t="shared" si="646"/>
        <v>5.0186340555881426</v>
      </c>
      <c r="CU237" s="217">
        <f t="shared" si="647"/>
        <v>28</v>
      </c>
      <c r="CV237" s="217"/>
      <c r="CW237" s="172">
        <f t="shared" si="648"/>
        <v>594.94750998054826</v>
      </c>
      <c r="CX237" s="172">
        <f t="shared" si="649"/>
        <v>28</v>
      </c>
      <c r="CY237" s="217">
        <f t="shared" si="650"/>
        <v>1.7702112676056343</v>
      </c>
      <c r="CZ237" s="217">
        <f t="shared" si="651"/>
        <v>0.20799982394366201</v>
      </c>
      <c r="DA237" s="217">
        <f t="shared" si="652"/>
        <v>0.29295749851220004</v>
      </c>
      <c r="DB237" s="197">
        <f t="shared" si="653"/>
        <v>350</v>
      </c>
      <c r="DC237" s="443">
        <f t="shared" si="654"/>
        <v>350</v>
      </c>
      <c r="DE237" s="217">
        <f t="shared" si="655"/>
        <v>10.09616239179509</v>
      </c>
      <c r="DF237" s="173">
        <f t="shared" si="656"/>
        <v>1.6708437761069339</v>
      </c>
      <c r="DG237" s="173">
        <f t="shared" si="657"/>
        <v>2.9520942666067511</v>
      </c>
      <c r="DH237" s="173"/>
      <c r="DI237" s="173">
        <f t="shared" si="658"/>
        <v>0.55164319248826299</v>
      </c>
      <c r="DJ237" s="545">
        <f t="shared" si="659"/>
        <v>571.02127659574467</v>
      </c>
      <c r="DK237" s="528">
        <f t="shared" si="660"/>
        <v>0.3217918622848201</v>
      </c>
      <c r="DM237" s="173">
        <f t="shared" si="661"/>
        <v>4.2576589312048103</v>
      </c>
      <c r="DN237" s="173">
        <f t="shared" si="662"/>
        <v>4.2576589312048103</v>
      </c>
      <c r="DO237" s="173">
        <f t="shared" si="663"/>
        <v>1.8846856280529458</v>
      </c>
      <c r="DQ237" s="545">
        <f t="shared" si="664"/>
        <v>525</v>
      </c>
      <c r="DR237" s="460">
        <f t="shared" si="665"/>
        <v>350</v>
      </c>
      <c r="DT237">
        <f t="shared" si="666"/>
        <v>525</v>
      </c>
      <c r="DU237">
        <f t="shared" si="667"/>
        <v>350</v>
      </c>
      <c r="DW237" s="5">
        <f t="shared" si="668"/>
        <v>2.8571428571428572</v>
      </c>
      <c r="DX237" s="5">
        <f t="shared" si="669"/>
        <v>0.50027492441656529</v>
      </c>
      <c r="DY237" s="5">
        <f t="shared" si="670"/>
        <v>2.356867932726292</v>
      </c>
      <c r="DZ237" s="5"/>
      <c r="EA237" s="173">
        <f t="shared" si="671"/>
        <v>0.17509622354579785</v>
      </c>
      <c r="EB237" s="173">
        <f t="shared" si="698"/>
        <v>14.910000000000002</v>
      </c>
      <c r="EC237" s="173">
        <f t="shared" si="699"/>
        <v>1.7560794656024052</v>
      </c>
      <c r="ED237" s="173">
        <f t="shared" si="700"/>
        <v>8.4905041554513474</v>
      </c>
      <c r="EE237" s="460">
        <f t="shared" si="672"/>
        <v>0.93801548328105999</v>
      </c>
      <c r="EF237" s="5">
        <f t="shared" si="673"/>
        <v>0.61867783234065166</v>
      </c>
      <c r="EH237" s="173">
        <f t="shared" si="701"/>
        <v>1.0286049992122319</v>
      </c>
      <c r="EI237" s="173">
        <f t="shared" si="702"/>
        <v>2.2326049688838747</v>
      </c>
      <c r="EK237" s="528">
        <f t="shared" si="703"/>
        <v>1.2696338932852748E-2</v>
      </c>
      <c r="EL237" s="528">
        <f t="shared" si="704"/>
        <v>1.9366387414478206</v>
      </c>
      <c r="EM237" s="528">
        <f t="shared" si="705"/>
        <v>4.0250000000000001E-2</v>
      </c>
      <c r="EN237" s="528">
        <f t="shared" si="706"/>
        <v>0.80646678000000016</v>
      </c>
      <c r="EO237">
        <f t="shared" si="707"/>
        <v>1.7999999999999999E-2</v>
      </c>
      <c r="EP237" s="460">
        <f t="shared" si="708"/>
        <v>58.249999999999993</v>
      </c>
      <c r="EQ237" s="460"/>
      <c r="ER237" s="460">
        <f t="shared" si="709"/>
        <v>2814.0518603806731</v>
      </c>
      <c r="ES237" s="528">
        <f t="shared" si="710"/>
        <v>0.36749999999999999</v>
      </c>
      <c r="EV237" s="460">
        <f t="shared" si="711"/>
        <v>367.5</v>
      </c>
      <c r="EW237" s="528">
        <f t="shared" si="712"/>
        <v>1.4812395421661538E-2</v>
      </c>
      <c r="EX237" s="528">
        <f t="shared" si="713"/>
        <v>6.9783349259189539E-2</v>
      </c>
      <c r="EY237" s="528">
        <f t="shared" si="714"/>
        <v>4.2861492155645431</v>
      </c>
      <c r="EZ237" s="528"/>
      <c r="FA237" s="528">
        <f t="shared" si="715"/>
        <v>0.63446808510638308</v>
      </c>
      <c r="FB237" s="460">
        <f t="shared" si="716"/>
        <v>5005.2130453517775</v>
      </c>
      <c r="FC237" s="173">
        <f t="shared" si="717"/>
        <v>8.186764905732451</v>
      </c>
      <c r="FD237" s="5">
        <f t="shared" si="718"/>
        <v>14.700000000000001</v>
      </c>
      <c r="FE237" s="173">
        <f t="shared" si="719"/>
        <v>0.64229261149609174</v>
      </c>
      <c r="FF237" s="5">
        <f t="shared" si="720"/>
        <v>64.229261149609172</v>
      </c>
      <c r="FI237" s="562">
        <f t="shared" si="674"/>
        <v>-50</v>
      </c>
      <c r="FJ237">
        <f t="shared" si="675"/>
        <v>-50</v>
      </c>
      <c r="FL237">
        <f t="shared" si="676"/>
        <v>0.24661439936027862</v>
      </c>
    </row>
    <row r="238" spans="5:168">
      <c r="E238" s="170">
        <v>22</v>
      </c>
      <c r="F238" s="217">
        <f t="shared" si="677"/>
        <v>0.55000000000000004</v>
      </c>
      <c r="G238" s="217"/>
      <c r="H238" s="217">
        <f t="shared" si="602"/>
        <v>15.400000000000002</v>
      </c>
      <c r="I238" s="541">
        <f t="shared" si="603"/>
        <v>39.943748286078119</v>
      </c>
      <c r="J238" s="172">
        <f t="shared" si="604"/>
        <v>28.430289384419471</v>
      </c>
      <c r="K238" s="172">
        <f t="shared" si="605"/>
        <v>68.374037670497586</v>
      </c>
      <c r="L238" s="443"/>
      <c r="M238" s="217">
        <f t="shared" si="606"/>
        <v>0.41580717325701722</v>
      </c>
      <c r="N238" s="172">
        <f t="shared" si="607"/>
        <v>140.52776026595672</v>
      </c>
      <c r="O238" s="172">
        <f t="shared" si="598"/>
        <v>15.400000000000002</v>
      </c>
      <c r="P238" s="217">
        <f t="shared" si="608"/>
        <v>5.0188485809270258</v>
      </c>
      <c r="Q238" s="217">
        <f t="shared" si="609"/>
        <v>28</v>
      </c>
      <c r="R238" s="217"/>
      <c r="S238" s="172">
        <f t="shared" si="610"/>
        <v>565.2928032056318</v>
      </c>
      <c r="T238" s="172">
        <f t="shared" si="611"/>
        <v>28</v>
      </c>
      <c r="U238" s="217">
        <f t="shared" si="612"/>
        <v>1.8544277733245462</v>
      </c>
      <c r="V238" s="217">
        <f t="shared" si="613"/>
        <v>0.2182021194456393</v>
      </c>
      <c r="W238" s="217">
        <f t="shared" si="614"/>
        <v>0.30656777413605418</v>
      </c>
      <c r="X238" s="197">
        <f t="shared" si="615"/>
        <v>350</v>
      </c>
      <c r="Y238" s="443">
        <f t="shared" si="678"/>
        <v>350</v>
      </c>
      <c r="AA238" s="217">
        <f t="shared" si="616"/>
        <v>10.09654923318641</v>
      </c>
      <c r="AB238" s="173">
        <f t="shared" si="617"/>
        <v>1.669127624919007</v>
      </c>
      <c r="AC238" s="173">
        <f t="shared" si="618"/>
        <v>2.9491751172565945</v>
      </c>
      <c r="AD238" s="173"/>
      <c r="AE238" s="173">
        <f t="shared" si="619"/>
        <v>0.55105547660209198</v>
      </c>
      <c r="AF238" s="545">
        <f t="shared" si="620"/>
        <v>598.85077639521865</v>
      </c>
      <c r="AG238" s="528">
        <f t="shared" si="621"/>
        <v>0.32144902801788694</v>
      </c>
      <c r="AI238" s="173">
        <f t="shared" si="622"/>
        <v>4.3601761155460643</v>
      </c>
      <c r="AJ238" s="173">
        <f t="shared" si="623"/>
        <v>4.3601761155460643</v>
      </c>
      <c r="AK238" s="173">
        <f t="shared" si="624"/>
        <v>1.9606242831205414</v>
      </c>
      <c r="AM238" s="545">
        <f t="shared" si="625"/>
        <v>550</v>
      </c>
      <c r="AN238" s="460">
        <f t="shared" si="626"/>
        <v>350</v>
      </c>
      <c r="AP238">
        <f t="shared" si="627"/>
        <v>550</v>
      </c>
      <c r="AQ238">
        <f t="shared" si="628"/>
        <v>350</v>
      </c>
      <c r="AS238" s="5">
        <f t="shared" si="599"/>
        <v>2.8571428571428572</v>
      </c>
      <c r="AT238" s="5">
        <f t="shared" si="629"/>
        <v>0.5130421811267275</v>
      </c>
      <c r="AU238" s="5">
        <f t="shared" si="721"/>
        <v>2.3441006760161298</v>
      </c>
      <c r="AV238" s="5"/>
      <c r="AW238" s="173">
        <f t="shared" si="722"/>
        <v>0.17956476339435462</v>
      </c>
      <c r="AX238" s="173">
        <f t="shared" si="630"/>
        <v>15.636659161430707</v>
      </c>
      <c r="AY238" s="173">
        <f t="shared" si="631"/>
        <v>1.7886210615001594</v>
      </c>
      <c r="AZ238" s="173">
        <f t="shared" si="632"/>
        <v>8.742298465565348</v>
      </c>
      <c r="BA238" s="460">
        <f t="shared" si="593"/>
        <v>1.0077614272132149</v>
      </c>
      <c r="BB238" s="5">
        <f t="shared" si="594"/>
        <v>0.64553549785823428</v>
      </c>
      <c r="BD238" s="173">
        <f t="shared" si="679"/>
        <v>1.0667286587736482</v>
      </c>
      <c r="BE238" s="173">
        <f t="shared" si="680"/>
        <v>2.2801612270649696</v>
      </c>
      <c r="BG238" s="528">
        <f t="shared" si="681"/>
        <v>1.3654920377388318E-2</v>
      </c>
      <c r="BH238" s="528">
        <f t="shared" si="633"/>
        <v>1.9042596786611636</v>
      </c>
      <c r="BI238" s="528">
        <f t="shared" si="682"/>
        <v>4.0250000000000001E-2</v>
      </c>
      <c r="BJ238" s="528">
        <f t="shared" si="683"/>
        <v>0.80585468109232172</v>
      </c>
      <c r="BK238">
        <f t="shared" si="684"/>
        <v>1.7974686728735152E-2</v>
      </c>
      <c r="BL238" s="460">
        <f t="shared" si="685"/>
        <v>58.224686728735151</v>
      </c>
      <c r="BM238" s="528">
        <f t="shared" si="634"/>
        <v>2.7363338951727414</v>
      </c>
      <c r="BN238" s="460">
        <f t="shared" si="686"/>
        <v>2736.3338951727414</v>
      </c>
      <c r="BO238" s="528">
        <f t="shared" si="635"/>
        <v>0.38500000000000001</v>
      </c>
      <c r="BR238" s="460">
        <f t="shared" si="687"/>
        <v>385</v>
      </c>
      <c r="BS238" s="528">
        <f t="shared" si="688"/>
        <v>1.5930740440286372E-2</v>
      </c>
      <c r="BT238" s="528">
        <f t="shared" si="689"/>
        <v>7.2787893099745996E-2</v>
      </c>
      <c r="BU238" s="528">
        <f t="shared" si="690"/>
        <v>4.5488351069702144</v>
      </c>
      <c r="BV238" s="528"/>
      <c r="BW238" s="528">
        <f t="shared" si="691"/>
        <v>0.66538975155024294</v>
      </c>
      <c r="BX238" s="460">
        <f t="shared" si="692"/>
        <v>5302.943492060489</v>
      </c>
      <c r="BY238" s="173">
        <f t="shared" si="693"/>
        <v>8.4699374589201</v>
      </c>
      <c r="BZ238" s="5">
        <f t="shared" si="694"/>
        <v>15.400000000000002</v>
      </c>
      <c r="CA238" s="173">
        <f t="shared" si="695"/>
        <v>0.64516298069499478</v>
      </c>
      <c r="CB238" s="5">
        <f t="shared" si="696"/>
        <v>64.516298069499484</v>
      </c>
      <c r="CE238" s="562">
        <f t="shared" si="636"/>
        <v>-50</v>
      </c>
      <c r="CF238">
        <f t="shared" si="637"/>
        <v>-50</v>
      </c>
      <c r="CG238" s="173">
        <f t="shared" si="638"/>
        <v>0.25421447637772326</v>
      </c>
      <c r="CI238" s="170">
        <v>22</v>
      </c>
      <c r="CJ238" s="217">
        <f t="shared" si="697"/>
        <v>0.55000000000000004</v>
      </c>
      <c r="CK238" s="217"/>
      <c r="CL238" s="217">
        <f t="shared" si="639"/>
        <v>15.400000000000002</v>
      </c>
      <c r="CM238" s="541">
        <f t="shared" si="640"/>
        <v>40</v>
      </c>
      <c r="CN238" s="443">
        <f t="shared" si="641"/>
        <v>28.4</v>
      </c>
      <c r="CO238" s="443">
        <f t="shared" si="642"/>
        <v>68.400000000000006</v>
      </c>
      <c r="CP238" s="443"/>
      <c r="CQ238" s="217">
        <f t="shared" si="643"/>
        <v>0.41520467836257302</v>
      </c>
      <c r="CR238" s="172">
        <f t="shared" si="644"/>
        <v>140.52175355646798</v>
      </c>
      <c r="CS238" s="172">
        <f t="shared" si="645"/>
        <v>15.400000000000002</v>
      </c>
      <c r="CT238" s="217">
        <f t="shared" si="646"/>
        <v>5.0186340555881426</v>
      </c>
      <c r="CU238" s="217">
        <f t="shared" si="647"/>
        <v>28</v>
      </c>
      <c r="CV238" s="217"/>
      <c r="CW238" s="172">
        <f t="shared" si="648"/>
        <v>566.08885021756316</v>
      </c>
      <c r="CX238" s="172">
        <f t="shared" si="649"/>
        <v>28</v>
      </c>
      <c r="CY238" s="217">
        <f t="shared" si="650"/>
        <v>1.8545070422535219</v>
      </c>
      <c r="CZ238" s="217">
        <f t="shared" si="651"/>
        <v>0.21790457746478883</v>
      </c>
      <c r="DA238" s="217">
        <f t="shared" si="652"/>
        <v>0.30690785558420963</v>
      </c>
      <c r="DB238" s="197">
        <f t="shared" si="653"/>
        <v>350</v>
      </c>
      <c r="DC238" s="443">
        <f t="shared" si="654"/>
        <v>350</v>
      </c>
      <c r="DE238" s="217">
        <f t="shared" si="655"/>
        <v>10.09616239179509</v>
      </c>
      <c r="DF238" s="173">
        <f t="shared" si="656"/>
        <v>1.6708437761069339</v>
      </c>
      <c r="DG238" s="173">
        <f t="shared" si="657"/>
        <v>2.9520942666067511</v>
      </c>
      <c r="DH238" s="173"/>
      <c r="DI238" s="173">
        <f t="shared" si="658"/>
        <v>0.55164319248826299</v>
      </c>
      <c r="DJ238" s="545">
        <f t="shared" si="659"/>
        <v>598.21276595744678</v>
      </c>
      <c r="DK238" s="528">
        <f t="shared" si="660"/>
        <v>0.3217918622848201</v>
      </c>
      <c r="DM238" s="173">
        <f t="shared" si="661"/>
        <v>4.3578528496229154</v>
      </c>
      <c r="DN238" s="173">
        <f t="shared" si="662"/>
        <v>4.3578528496229154</v>
      </c>
      <c r="DO238" s="173">
        <f t="shared" si="663"/>
        <v>1.9589033453996902</v>
      </c>
      <c r="DQ238" s="545">
        <f t="shared" si="664"/>
        <v>550</v>
      </c>
      <c r="DR238" s="460">
        <f t="shared" si="665"/>
        <v>350</v>
      </c>
      <c r="DT238">
        <f t="shared" si="666"/>
        <v>550</v>
      </c>
      <c r="DU238">
        <f t="shared" si="667"/>
        <v>350</v>
      </c>
      <c r="DW238" s="5">
        <f t="shared" si="668"/>
        <v>2.8571428571428572</v>
      </c>
      <c r="DX238" s="5">
        <f t="shared" si="669"/>
        <v>0.51204770983069259</v>
      </c>
      <c r="DY238" s="5">
        <f t="shared" si="670"/>
        <v>2.3450951473121648</v>
      </c>
      <c r="DZ238" s="5"/>
      <c r="EA238" s="173">
        <f t="shared" si="671"/>
        <v>0.17921669844074239</v>
      </c>
      <c r="EB238" s="173">
        <f t="shared" si="698"/>
        <v>15.62</v>
      </c>
      <c r="EC238" s="173">
        <f t="shared" si="699"/>
        <v>1.7884264248114576</v>
      </c>
      <c r="ED238" s="173">
        <f t="shared" si="700"/>
        <v>8.7339349180365176</v>
      </c>
      <c r="EE238" s="460">
        <f t="shared" si="672"/>
        <v>1.0058080014531461</v>
      </c>
      <c r="EF238" s="5">
        <f t="shared" si="673"/>
        <v>0.64490116551084542</v>
      </c>
      <c r="EH238" s="173">
        <f t="shared" si="701"/>
        <v>1.065126451891276</v>
      </c>
      <c r="EI238" s="173">
        <f t="shared" si="702"/>
        <v>2.2794296350484307</v>
      </c>
      <c r="EK238" s="528">
        <f t="shared" si="703"/>
        <v>1.3613932302221982E-2</v>
      </c>
      <c r="EL238" s="528">
        <f t="shared" si="704"/>
        <v>1.9822129471794798</v>
      </c>
      <c r="EM238" s="528">
        <f t="shared" si="705"/>
        <v>4.0250000000000001E-2</v>
      </c>
      <c r="EN238" s="528">
        <f t="shared" si="706"/>
        <v>0.80646678000000016</v>
      </c>
      <c r="EO238">
        <f t="shared" si="707"/>
        <v>1.7999999999999999E-2</v>
      </c>
      <c r="EP238" s="460">
        <f t="shared" si="708"/>
        <v>58.249999999999993</v>
      </c>
      <c r="EQ238" s="460"/>
      <c r="ER238" s="460">
        <f t="shared" si="709"/>
        <v>2860.5436594817015</v>
      </c>
      <c r="ES238" s="528">
        <f t="shared" si="710"/>
        <v>0.38500000000000001</v>
      </c>
      <c r="EV238" s="460">
        <f t="shared" si="711"/>
        <v>385</v>
      </c>
      <c r="EW238" s="528">
        <f t="shared" si="712"/>
        <v>1.5882921019258981E-2</v>
      </c>
      <c r="EX238" s="528">
        <f t="shared" si="713"/>
        <v>7.2741192455918313E-2</v>
      </c>
      <c r="EY238" s="528">
        <f t="shared" si="714"/>
        <v>4.5427780519587202</v>
      </c>
      <c r="EZ238" s="528"/>
      <c r="FA238" s="528">
        <f t="shared" si="715"/>
        <v>0.6646808510638299</v>
      </c>
      <c r="FB238" s="460">
        <f t="shared" si="716"/>
        <v>5296.0830164977269</v>
      </c>
      <c r="FC238" s="173">
        <f t="shared" si="717"/>
        <v>8.5416266759794297</v>
      </c>
      <c r="FD238" s="5">
        <f t="shared" si="718"/>
        <v>15.400000000000002</v>
      </c>
      <c r="FE238" s="173">
        <f t="shared" si="719"/>
        <v>0.6432311475080672</v>
      </c>
      <c r="FF238" s="5">
        <f t="shared" si="720"/>
        <v>64.323114750806724</v>
      </c>
      <c r="FI238" s="562">
        <f t="shared" si="674"/>
        <v>-50</v>
      </c>
      <c r="FJ238">
        <f t="shared" si="675"/>
        <v>-50</v>
      </c>
      <c r="FL238">
        <f t="shared" si="676"/>
        <v>0.25241788512780622</v>
      </c>
    </row>
    <row r="239" spans="5:168">
      <c r="E239" s="170">
        <v>23</v>
      </c>
      <c r="F239" s="217">
        <f t="shared" si="677"/>
        <v>0.57500000000000007</v>
      </c>
      <c r="G239" s="217"/>
      <c r="H239" s="217">
        <f t="shared" si="602"/>
        <v>16.100000000000001</v>
      </c>
      <c r="I239" s="541">
        <f t="shared" si="603"/>
        <v>39.942484044766836</v>
      </c>
      <c r="J239" s="172">
        <f t="shared" si="604"/>
        <v>28.430970129740931</v>
      </c>
      <c r="K239" s="172">
        <f t="shared" si="605"/>
        <v>68.373454174507771</v>
      </c>
      <c r="L239" s="443"/>
      <c r="M239" s="217">
        <f t="shared" si="606"/>
        <v>0.4158207193723869</v>
      </c>
      <c r="N239" s="172">
        <f t="shared" si="607"/>
        <v>140.52789043741089</v>
      </c>
      <c r="O239" s="172">
        <f t="shared" si="598"/>
        <v>16.100000000000001</v>
      </c>
      <c r="P239" s="217">
        <f t="shared" si="608"/>
        <v>5.0188532299075321</v>
      </c>
      <c r="Q239" s="217">
        <f t="shared" si="609"/>
        <v>28</v>
      </c>
      <c r="R239" s="217"/>
      <c r="S239" s="172">
        <f t="shared" si="610"/>
        <v>538.96371824289645</v>
      </c>
      <c r="T239" s="172">
        <f t="shared" si="611"/>
        <v>28</v>
      </c>
      <c r="U239" s="217">
        <f t="shared" si="612"/>
        <v>1.9387181489965393</v>
      </c>
      <c r="V239" s="217">
        <f t="shared" si="613"/>
        <v>0.22812740664980155</v>
      </c>
      <c r="W239" s="217">
        <f t="shared" si="614"/>
        <v>0.32049470203452268</v>
      </c>
      <c r="X239" s="197">
        <f t="shared" si="615"/>
        <v>350</v>
      </c>
      <c r="Y239" s="443">
        <f t="shared" si="678"/>
        <v>350</v>
      </c>
      <c r="AA239" s="217">
        <f t="shared" si="616"/>
        <v>10.096557582599941</v>
      </c>
      <c r="AB239" s="173">
        <f t="shared" si="617"/>
        <v>1.6690890399332332</v>
      </c>
      <c r="AC239" s="173">
        <f t="shared" si="618"/>
        <v>2.9491093803801594</v>
      </c>
      <c r="AD239" s="173"/>
      <c r="AE239" s="173">
        <f t="shared" si="619"/>
        <v>0.55104228224270679</v>
      </c>
      <c r="AF239" s="545">
        <f t="shared" si="620"/>
        <v>626.08625711238017</v>
      </c>
      <c r="AG239" s="528">
        <f t="shared" si="621"/>
        <v>0.32144133130824565</v>
      </c>
      <c r="AI239" s="173">
        <f t="shared" si="622"/>
        <v>4.4582232104330322</v>
      </c>
      <c r="AJ239" s="173">
        <f t="shared" si="623"/>
        <v>4.4582232104330322</v>
      </c>
      <c r="AK239" s="173">
        <f t="shared" si="624"/>
        <v>2.0332517608145917</v>
      </c>
      <c r="AM239" s="545">
        <f t="shared" si="625"/>
        <v>575.00000000000011</v>
      </c>
      <c r="AN239" s="460">
        <f t="shared" si="626"/>
        <v>350</v>
      </c>
      <c r="AP239">
        <f t="shared" si="627"/>
        <v>575.00000000000011</v>
      </c>
      <c r="AQ239">
        <f t="shared" si="628"/>
        <v>350</v>
      </c>
      <c r="AS239" s="5">
        <f t="shared" si="599"/>
        <v>2.8571428571428572</v>
      </c>
      <c r="AT239" s="5">
        <f t="shared" si="629"/>
        <v>0.52459554256942986</v>
      </c>
      <c r="AU239" s="5">
        <f t="shared" si="721"/>
        <v>2.3325473145734272</v>
      </c>
      <c r="AV239" s="5"/>
      <c r="AW239" s="173">
        <f t="shared" si="722"/>
        <v>0.18360843989930045</v>
      </c>
      <c r="AX239" s="173">
        <f t="shared" si="630"/>
        <v>16.347807824601034</v>
      </c>
      <c r="AY239" s="173">
        <f t="shared" si="631"/>
        <v>1.8198279010212863</v>
      </c>
      <c r="AZ239" s="173">
        <f t="shared" si="632"/>
        <v>8.9831614381923988</v>
      </c>
      <c r="BA239" s="460">
        <f t="shared" si="593"/>
        <v>1.077294417776508</v>
      </c>
      <c r="BB239" s="5">
        <f t="shared" si="594"/>
        <v>0.6715730070150423</v>
      </c>
      <c r="BD239" s="173">
        <f t="shared" si="679"/>
        <v>1.1029288613188615</v>
      </c>
      <c r="BE239" s="173">
        <f t="shared" si="680"/>
        <v>2.3256825503246317</v>
      </c>
      <c r="BG239" s="528">
        <f t="shared" si="681"/>
        <v>1.4597424877561443E-2</v>
      </c>
      <c r="BH239" s="528">
        <f t="shared" si="633"/>
        <v>1.9470640689161989</v>
      </c>
      <c r="BI239" s="528">
        <f t="shared" si="682"/>
        <v>4.0250000000000001E-2</v>
      </c>
      <c r="BJ239" s="528">
        <f t="shared" si="683"/>
        <v>0.80584092701301213</v>
      </c>
      <c r="BK239">
        <f t="shared" si="684"/>
        <v>1.7974117820145075E-2</v>
      </c>
      <c r="BL239" s="460">
        <f t="shared" si="685"/>
        <v>58.224117820145075</v>
      </c>
      <c r="BM239" s="528">
        <f t="shared" si="634"/>
        <v>2.7810895121908326</v>
      </c>
      <c r="BN239" s="460">
        <f t="shared" si="686"/>
        <v>2781.0895121908325</v>
      </c>
      <c r="BO239" s="528">
        <f t="shared" si="635"/>
        <v>0.40250000000000002</v>
      </c>
      <c r="BR239" s="460">
        <f t="shared" si="687"/>
        <v>402.5</v>
      </c>
      <c r="BS239" s="528">
        <f t="shared" si="688"/>
        <v>1.7030329023821685E-2</v>
      </c>
      <c r="BT239" s="528">
        <f t="shared" si="689"/>
        <v>7.5723190548382766E-2</v>
      </c>
      <c r="BU239" s="528">
        <f t="shared" si="690"/>
        <v>4.8088877148063851</v>
      </c>
      <c r="BV239" s="528"/>
      <c r="BW239" s="528">
        <f t="shared" si="691"/>
        <v>0.69565139679153343</v>
      </c>
      <c r="BX239" s="460">
        <f t="shared" si="692"/>
        <v>5597.2926311701231</v>
      </c>
      <c r="BY239" s="173">
        <f t="shared" si="693"/>
        <v>8.8255191697970403</v>
      </c>
      <c r="BZ239" s="5">
        <f t="shared" si="694"/>
        <v>16.100000000000001</v>
      </c>
      <c r="CA239" s="173">
        <f t="shared" si="695"/>
        <v>0.64592435930116265</v>
      </c>
      <c r="CB239" s="5">
        <f t="shared" si="696"/>
        <v>64.592435930116267</v>
      </c>
      <c r="CE239" s="562">
        <f t="shared" si="636"/>
        <v>-50</v>
      </c>
      <c r="CF239">
        <f t="shared" si="637"/>
        <v>-50</v>
      </c>
      <c r="CG239" s="173">
        <f t="shared" si="638"/>
        <v>0.2599278746114006</v>
      </c>
      <c r="CI239" s="170">
        <v>23</v>
      </c>
      <c r="CJ239" s="217">
        <f t="shared" si="697"/>
        <v>0.57500000000000007</v>
      </c>
      <c r="CK239" s="217"/>
      <c r="CL239" s="217">
        <f t="shared" si="639"/>
        <v>16.100000000000001</v>
      </c>
      <c r="CM239" s="541">
        <f t="shared" si="640"/>
        <v>40</v>
      </c>
      <c r="CN239" s="443">
        <f t="shared" si="641"/>
        <v>28.4</v>
      </c>
      <c r="CO239" s="443">
        <f t="shared" si="642"/>
        <v>68.400000000000006</v>
      </c>
      <c r="CP239" s="443"/>
      <c r="CQ239" s="217">
        <f t="shared" si="643"/>
        <v>0.41520467836257302</v>
      </c>
      <c r="CR239" s="172">
        <f t="shared" si="644"/>
        <v>140.52175355646798</v>
      </c>
      <c r="CS239" s="172">
        <f t="shared" si="645"/>
        <v>16.100000000000001</v>
      </c>
      <c r="CT239" s="217">
        <f t="shared" si="646"/>
        <v>5.0186340555881426</v>
      </c>
      <c r="CU239" s="217">
        <f t="shared" si="647"/>
        <v>28</v>
      </c>
      <c r="CV239" s="217"/>
      <c r="CW239" s="172">
        <f t="shared" si="648"/>
        <v>539.73976689018514</v>
      </c>
      <c r="CX239" s="172">
        <f t="shared" si="649"/>
        <v>28</v>
      </c>
      <c r="CY239" s="217">
        <f t="shared" si="650"/>
        <v>1.9388028169014091</v>
      </c>
      <c r="CZ239" s="217">
        <f t="shared" si="651"/>
        <v>0.22780933098591558</v>
      </c>
      <c r="DA239" s="217">
        <f t="shared" si="652"/>
        <v>0.32085821265621911</v>
      </c>
      <c r="DB239" s="197">
        <f t="shared" si="653"/>
        <v>350</v>
      </c>
      <c r="DC239" s="443">
        <f t="shared" si="654"/>
        <v>350</v>
      </c>
      <c r="DE239" s="217">
        <f t="shared" si="655"/>
        <v>10.09616239179509</v>
      </c>
      <c r="DF239" s="173">
        <f t="shared" si="656"/>
        <v>1.6708437761069339</v>
      </c>
      <c r="DG239" s="173">
        <f t="shared" si="657"/>
        <v>2.9520942666067511</v>
      </c>
      <c r="DH239" s="173"/>
      <c r="DI239" s="173">
        <f t="shared" si="658"/>
        <v>0.55164319248826299</v>
      </c>
      <c r="DJ239" s="545">
        <f t="shared" si="659"/>
        <v>625.40425531914889</v>
      </c>
      <c r="DK239" s="528">
        <f t="shared" si="660"/>
        <v>0.3217918622848201</v>
      </c>
      <c r="DM239" s="173">
        <f t="shared" si="661"/>
        <v>4.4557943560565096</v>
      </c>
      <c r="DN239" s="173">
        <f t="shared" si="662"/>
        <v>4.4557943560565096</v>
      </c>
      <c r="DO239" s="173">
        <f t="shared" si="663"/>
        <v>2.0314526094245746</v>
      </c>
      <c r="DQ239" s="545">
        <f t="shared" si="664"/>
        <v>575.00000000000011</v>
      </c>
      <c r="DR239" s="460">
        <f t="shared" si="665"/>
        <v>350</v>
      </c>
      <c r="DT239">
        <f t="shared" si="666"/>
        <v>575.00000000000011</v>
      </c>
      <c r="DU239">
        <f t="shared" si="667"/>
        <v>350</v>
      </c>
      <c r="DW239" s="5">
        <f t="shared" si="668"/>
        <v>2.8571428571428572</v>
      </c>
      <c r="DX239" s="5">
        <f t="shared" si="669"/>
        <v>0.52355583683663987</v>
      </c>
      <c r="DY239" s="5">
        <f t="shared" si="670"/>
        <v>2.3335870203062172</v>
      </c>
      <c r="DZ239" s="5"/>
      <c r="EA239" s="173">
        <f t="shared" si="671"/>
        <v>0.18324454289282394</v>
      </c>
      <c r="EB239" s="173">
        <f t="shared" si="698"/>
        <v>16.329999999999998</v>
      </c>
      <c r="EC239" s="173">
        <f t="shared" si="699"/>
        <v>1.8196471780282548</v>
      </c>
      <c r="ED239" s="173">
        <f t="shared" si="700"/>
        <v>8.9742672080501702</v>
      </c>
      <c r="EE239" s="460">
        <f t="shared" si="672"/>
        <v>1.0751593077895283</v>
      </c>
      <c r="EF239" s="5">
        <f t="shared" si="673"/>
        <v>0.67090626833803746</v>
      </c>
      <c r="EH239" s="173">
        <f t="shared" si="701"/>
        <v>1.1012350781009688</v>
      </c>
      <c r="EI239" s="173">
        <f t="shared" si="702"/>
        <v>2.3249334937975399</v>
      </c>
      <c r="EK239" s="528">
        <f t="shared" si="703"/>
        <v>1.4552624366880561E-2</v>
      </c>
      <c r="EL239" s="528">
        <f t="shared" si="704"/>
        <v>2.0267626207958642</v>
      </c>
      <c r="EM239" s="528">
        <f t="shared" si="705"/>
        <v>4.0250000000000001E-2</v>
      </c>
      <c r="EN239" s="528">
        <f t="shared" si="706"/>
        <v>0.80646678000000016</v>
      </c>
      <c r="EO239">
        <f t="shared" si="707"/>
        <v>1.7999999999999999E-2</v>
      </c>
      <c r="EP239" s="460">
        <f t="shared" si="708"/>
        <v>58.249999999999993</v>
      </c>
      <c r="EQ239" s="460"/>
      <c r="ER239" s="460">
        <f t="shared" si="709"/>
        <v>2906.0320251627445</v>
      </c>
      <c r="ES239" s="528">
        <f t="shared" si="710"/>
        <v>0.40250000000000002</v>
      </c>
      <c r="EV239" s="460">
        <f t="shared" si="711"/>
        <v>402.5</v>
      </c>
      <c r="EW239" s="528">
        <f t="shared" si="712"/>
        <v>1.6978061761360654E-2</v>
      </c>
      <c r="EX239" s="528">
        <f t="shared" si="713"/>
        <v>7.5674420508142909E-2</v>
      </c>
      <c r="EY239" s="528">
        <f t="shared" si="714"/>
        <v>4.8023406469822687</v>
      </c>
      <c r="EZ239" s="528"/>
      <c r="FA239" s="528">
        <f t="shared" si="715"/>
        <v>0.69489361702127661</v>
      </c>
      <c r="FB239" s="460">
        <f t="shared" si="716"/>
        <v>5589.8867462730486</v>
      </c>
      <c r="FC239" s="173">
        <f t="shared" si="717"/>
        <v>8.8984187714357947</v>
      </c>
      <c r="FD239" s="5">
        <f t="shared" si="718"/>
        <v>16.100000000000001</v>
      </c>
      <c r="FE239" s="173">
        <f t="shared" si="719"/>
        <v>0.6440407350242694</v>
      </c>
      <c r="FF239" s="5">
        <f t="shared" si="720"/>
        <v>64.40407350242694</v>
      </c>
      <c r="FI239" s="562">
        <f t="shared" si="674"/>
        <v>-50</v>
      </c>
      <c r="FJ239">
        <f t="shared" si="675"/>
        <v>-50</v>
      </c>
      <c r="FL239">
        <f t="shared" si="676"/>
        <v>0.25809090548285069</v>
      </c>
    </row>
    <row r="240" spans="5:168">
      <c r="E240" s="170">
        <v>24</v>
      </c>
      <c r="F240" s="217">
        <f t="shared" si="677"/>
        <v>0.6</v>
      </c>
      <c r="G240" s="217"/>
      <c r="H240" s="217">
        <f t="shared" si="602"/>
        <v>16.8</v>
      </c>
      <c r="I240" s="541">
        <f t="shared" si="603"/>
        <v>39.941247000981932</v>
      </c>
      <c r="J240" s="172">
        <f t="shared" si="604"/>
        <v>28.431636230240496</v>
      </c>
      <c r="K240" s="172">
        <f t="shared" si="605"/>
        <v>68.372883231222431</v>
      </c>
      <c r="L240" s="443"/>
      <c r="M240" s="217">
        <f t="shared" si="606"/>
        <v>0.41583397429315477</v>
      </c>
      <c r="N240" s="172">
        <f t="shared" si="607"/>
        <v>140.52801760298539</v>
      </c>
      <c r="O240" s="172">
        <f t="shared" si="598"/>
        <v>16.8</v>
      </c>
      <c r="P240" s="217">
        <f t="shared" si="608"/>
        <v>5.0188577715351927</v>
      </c>
      <c r="Q240" s="217">
        <f t="shared" si="609"/>
        <v>28</v>
      </c>
      <c r="R240" s="217"/>
      <c r="S240" s="172">
        <f t="shared" si="610"/>
        <v>514.82930320057949</v>
      </c>
      <c r="T240" s="172">
        <f t="shared" si="611"/>
        <v>28</v>
      </c>
      <c r="U240" s="217">
        <f t="shared" si="612"/>
        <v>2.0230084117837026</v>
      </c>
      <c r="V240" s="217">
        <f t="shared" si="613"/>
        <v>0.23805314679207812</v>
      </c>
      <c r="W240" s="217">
        <f t="shared" si="614"/>
        <v>0.33442111661763391</v>
      </c>
      <c r="X240" s="197">
        <f t="shared" si="615"/>
        <v>350</v>
      </c>
      <c r="Y240" s="443">
        <f t="shared" si="678"/>
        <v>350</v>
      </c>
      <c r="AA240" s="217">
        <f t="shared" si="616"/>
        <v>10.09656573771778</v>
      </c>
      <c r="AB240" s="173">
        <f t="shared" si="617"/>
        <v>1.6690512843858289</v>
      </c>
      <c r="AC240" s="173">
        <f t="shared" si="618"/>
        <v>2.9490450521741676</v>
      </c>
      <c r="AD240" s="173"/>
      <c r="AE240" s="173">
        <f t="shared" si="619"/>
        <v>0.55102937234415184</v>
      </c>
      <c r="AF240" s="545">
        <f t="shared" si="620"/>
        <v>653.32270486510072</v>
      </c>
      <c r="AG240" s="528">
        <f t="shared" si="621"/>
        <v>0.3214338005340886</v>
      </c>
      <c r="AI240" s="173">
        <f t="shared" si="622"/>
        <v>4.5541632962653873</v>
      </c>
      <c r="AJ240" s="173">
        <f t="shared" si="623"/>
        <v>4.5541632962653873</v>
      </c>
      <c r="AK240" s="173">
        <f t="shared" si="624"/>
        <v>2.1043184910607806</v>
      </c>
      <c r="AM240" s="545">
        <f t="shared" si="625"/>
        <v>600</v>
      </c>
      <c r="AN240" s="460">
        <f t="shared" si="626"/>
        <v>350</v>
      </c>
      <c r="AP240">
        <f t="shared" si="627"/>
        <v>600</v>
      </c>
      <c r="AQ240">
        <f t="shared" si="628"/>
        <v>350</v>
      </c>
      <c r="AS240" s="5">
        <f t="shared" si="599"/>
        <v>2.8571428571428572</v>
      </c>
      <c r="AT240" s="5">
        <f t="shared" si="629"/>
        <v>0.53590133257284378</v>
      </c>
      <c r="AU240" s="5">
        <f t="shared" si="721"/>
        <v>2.3212415245700133</v>
      </c>
      <c r="AV240" s="5"/>
      <c r="AW240" s="173">
        <f t="shared" si="722"/>
        <v>0.18756546640049532</v>
      </c>
      <c r="AX240" s="173">
        <f t="shared" si="630"/>
        <v>17.058981738144297</v>
      </c>
      <c r="AY240" s="173">
        <f t="shared" si="631"/>
        <v>1.8499797667686764</v>
      </c>
      <c r="AZ240" s="173">
        <f t="shared" si="632"/>
        <v>9.2211720606765812</v>
      </c>
      <c r="BA240" s="460">
        <f t="shared" si="593"/>
        <v>1.1483599983703794</v>
      </c>
      <c r="BB240" s="5">
        <f t="shared" si="594"/>
        <v>0.69739681122513186</v>
      </c>
      <c r="BD240" s="173">
        <f t="shared" si="679"/>
        <v>1.1387395698384835</v>
      </c>
      <c r="BE240" s="173">
        <f t="shared" si="680"/>
        <v>2.3699662378258344</v>
      </c>
      <c r="BG240" s="528">
        <f t="shared" si="681"/>
        <v>1.5560733694991212E-2</v>
      </c>
      <c r="BH240" s="528">
        <f t="shared" si="633"/>
        <v>1.9889478957965299</v>
      </c>
      <c r="BI240" s="528">
        <f t="shared" si="682"/>
        <v>4.0250000000000001E-2</v>
      </c>
      <c r="BJ240" s="528">
        <f t="shared" si="683"/>
        <v>0.80582746893777135</v>
      </c>
      <c r="BK240">
        <f t="shared" si="684"/>
        <v>1.797356115044187E-2</v>
      </c>
      <c r="BL240" s="460">
        <f t="shared" si="685"/>
        <v>58.223561150441874</v>
      </c>
      <c r="BM240" s="528">
        <f t="shared" si="634"/>
        <v>2.8249821060395988</v>
      </c>
      <c r="BN240" s="460">
        <f t="shared" si="686"/>
        <v>2824.9821060395989</v>
      </c>
      <c r="BO240" s="528">
        <f t="shared" si="635"/>
        <v>0.42</v>
      </c>
      <c r="BR240" s="460">
        <f t="shared" si="687"/>
        <v>420</v>
      </c>
      <c r="BS240" s="528">
        <f t="shared" si="688"/>
        <v>1.815418931082308E-2</v>
      </c>
      <c r="BT240" s="528">
        <f t="shared" si="689"/>
        <v>7.8634359558080763E-2</v>
      </c>
      <c r="BU240" s="528">
        <f t="shared" si="690"/>
        <v>5.0717940782749134</v>
      </c>
      <c r="BV240" s="528"/>
      <c r="BW240" s="528">
        <f t="shared" si="691"/>
        <v>0.72591411651677873</v>
      </c>
      <c r="BX240" s="460">
        <f t="shared" si="692"/>
        <v>5894.4967436605966</v>
      </c>
      <c r="BY240" s="173">
        <f t="shared" si="693"/>
        <v>9.1830564032403288</v>
      </c>
      <c r="BZ240" s="5">
        <f t="shared" si="694"/>
        <v>16.8</v>
      </c>
      <c r="CA240" s="173">
        <f t="shared" si="695"/>
        <v>0.64657520421288406</v>
      </c>
      <c r="CB240" s="5">
        <f t="shared" si="696"/>
        <v>64.65752042128841</v>
      </c>
      <c r="CE240" s="562">
        <f t="shared" si="636"/>
        <v>-50</v>
      </c>
      <c r="CF240">
        <f t="shared" si="637"/>
        <v>-50</v>
      </c>
      <c r="CG240" s="173">
        <f t="shared" si="638"/>
        <v>0.26551836094703513</v>
      </c>
      <c r="CI240" s="170">
        <v>24</v>
      </c>
      <c r="CJ240" s="217">
        <f t="shared" si="697"/>
        <v>0.6</v>
      </c>
      <c r="CK240" s="217"/>
      <c r="CL240" s="217">
        <f t="shared" si="639"/>
        <v>16.8</v>
      </c>
      <c r="CM240" s="541">
        <f t="shared" si="640"/>
        <v>40</v>
      </c>
      <c r="CN240" s="443">
        <f t="shared" si="641"/>
        <v>28.4</v>
      </c>
      <c r="CO240" s="443">
        <f t="shared" si="642"/>
        <v>68.400000000000006</v>
      </c>
      <c r="CP240" s="443"/>
      <c r="CQ240" s="217">
        <f t="shared" si="643"/>
        <v>0.41520467836257302</v>
      </c>
      <c r="CR240" s="172">
        <f t="shared" si="644"/>
        <v>140.52175355646798</v>
      </c>
      <c r="CS240" s="172">
        <f t="shared" si="645"/>
        <v>16.8</v>
      </c>
      <c r="CT240" s="217">
        <f t="shared" si="646"/>
        <v>5.0186340555881426</v>
      </c>
      <c r="CU240" s="217">
        <f t="shared" si="647"/>
        <v>28</v>
      </c>
      <c r="CV240" s="217"/>
      <c r="CW240" s="172">
        <f t="shared" si="648"/>
        <v>515.58656411491108</v>
      </c>
      <c r="CX240" s="172">
        <f t="shared" si="649"/>
        <v>28</v>
      </c>
      <c r="CY240" s="217">
        <f t="shared" si="650"/>
        <v>2.0230985915492963</v>
      </c>
      <c r="CZ240" s="217">
        <f t="shared" si="651"/>
        <v>0.23771408450704232</v>
      </c>
      <c r="DA240" s="217">
        <f t="shared" si="652"/>
        <v>0.33480856972822859</v>
      </c>
      <c r="DB240" s="197">
        <f t="shared" si="653"/>
        <v>350</v>
      </c>
      <c r="DC240" s="443">
        <f t="shared" si="654"/>
        <v>350</v>
      </c>
      <c r="DE240" s="217">
        <f t="shared" si="655"/>
        <v>10.09616239179509</v>
      </c>
      <c r="DF240" s="173">
        <f t="shared" si="656"/>
        <v>1.6708437761069339</v>
      </c>
      <c r="DG240" s="173">
        <f t="shared" si="657"/>
        <v>2.9520942666067511</v>
      </c>
      <c r="DH240" s="173"/>
      <c r="DI240" s="173">
        <f t="shared" si="658"/>
        <v>0.55164319248826299</v>
      </c>
      <c r="DJ240" s="545">
        <f t="shared" si="659"/>
        <v>652.595744680851</v>
      </c>
      <c r="DK240" s="528">
        <f t="shared" si="660"/>
        <v>0.3217918622848201</v>
      </c>
      <c r="DM240" s="173">
        <f t="shared" si="661"/>
        <v>4.5516288543732921</v>
      </c>
      <c r="DN240" s="173">
        <f t="shared" si="662"/>
        <v>4.5516288543732921</v>
      </c>
      <c r="DO240" s="173">
        <f t="shared" si="663"/>
        <v>2.1024411266962657</v>
      </c>
      <c r="DQ240" s="545">
        <f t="shared" si="664"/>
        <v>600</v>
      </c>
      <c r="DR240" s="460">
        <f t="shared" si="665"/>
        <v>350</v>
      </c>
      <c r="DT240">
        <f t="shared" si="666"/>
        <v>600</v>
      </c>
      <c r="DU240">
        <f t="shared" si="667"/>
        <v>350</v>
      </c>
      <c r="DW240" s="5">
        <f t="shared" si="668"/>
        <v>2.8571428571428572</v>
      </c>
      <c r="DX240" s="5">
        <f t="shared" si="669"/>
        <v>0.53481639038886186</v>
      </c>
      <c r="DY240" s="5">
        <f t="shared" si="670"/>
        <v>2.3223264667539953</v>
      </c>
      <c r="DZ240" s="5"/>
      <c r="EA240" s="173">
        <f t="shared" si="671"/>
        <v>0.18718573663610164</v>
      </c>
      <c r="EB240" s="173">
        <f t="shared" si="698"/>
        <v>17.04</v>
      </c>
      <c r="EC240" s="173">
        <f t="shared" si="699"/>
        <v>1.8498144271866461</v>
      </c>
      <c r="ED240" s="173">
        <f t="shared" si="700"/>
        <v>9.2117348365132337</v>
      </c>
      <c r="EE240" s="460">
        <f t="shared" si="672"/>
        <v>1.1460351222618468</v>
      </c>
      <c r="EF240" s="5">
        <f t="shared" si="673"/>
        <v>0.69669794002619856</v>
      </c>
      <c r="EH240" s="173">
        <f t="shared" si="701"/>
        <v>1.1369532068832098</v>
      </c>
      <c r="EI240" s="173">
        <f t="shared" si="702"/>
        <v>2.3692008106840219</v>
      </c>
      <c r="EK240" s="528">
        <f t="shared" si="703"/>
        <v>1.5511951135704177E-2</v>
      </c>
      <c r="EL240" s="528">
        <f t="shared" si="704"/>
        <v>2.0703539007002361</v>
      </c>
      <c r="EM240" s="528">
        <f t="shared" si="705"/>
        <v>4.0250000000000001E-2</v>
      </c>
      <c r="EN240" s="528">
        <f t="shared" si="706"/>
        <v>0.80646678000000016</v>
      </c>
      <c r="EO240">
        <f t="shared" si="707"/>
        <v>1.7999999999999999E-2</v>
      </c>
      <c r="EP240" s="460">
        <f t="shared" si="708"/>
        <v>58.249999999999993</v>
      </c>
      <c r="EQ240" s="460"/>
      <c r="ER240" s="460">
        <f t="shared" si="709"/>
        <v>2950.58263183594</v>
      </c>
      <c r="ES240" s="528">
        <f t="shared" si="710"/>
        <v>0.42</v>
      </c>
      <c r="EV240" s="460">
        <f t="shared" si="711"/>
        <v>420</v>
      </c>
      <c r="EW240" s="528">
        <f t="shared" si="712"/>
        <v>1.8097276324988205E-2</v>
      </c>
      <c r="EX240" s="528">
        <f t="shared" si="713"/>
        <v>7.8583574738841575E-2</v>
      </c>
      <c r="EY240" s="528">
        <f t="shared" si="714"/>
        <v>5.0647407504033231</v>
      </c>
      <c r="EZ240" s="528"/>
      <c r="FA240" s="528">
        <f t="shared" si="715"/>
        <v>0.72510638297872354</v>
      </c>
      <c r="FB240" s="460">
        <f t="shared" si="716"/>
        <v>5886.5279844458764</v>
      </c>
      <c r="FC240" s="173">
        <f t="shared" si="717"/>
        <v>9.2571106162818158</v>
      </c>
      <c r="FD240" s="5">
        <f t="shared" si="718"/>
        <v>16.8</v>
      </c>
      <c r="FE240" s="173">
        <f t="shared" si="719"/>
        <v>0.64473763984800758</v>
      </c>
      <c r="FF240" s="5">
        <f t="shared" si="720"/>
        <v>64.473763984800755</v>
      </c>
      <c r="FI240" s="562">
        <f t="shared" si="674"/>
        <v>-50</v>
      </c>
      <c r="FJ240">
        <f t="shared" si="675"/>
        <v>-50</v>
      </c>
      <c r="FL240">
        <f t="shared" si="676"/>
        <v>0.26364188258605864</v>
      </c>
    </row>
    <row r="241" spans="5:168">
      <c r="E241" s="170">
        <v>25</v>
      </c>
      <c r="F241" s="217">
        <f t="shared" si="677"/>
        <v>0.625</v>
      </c>
      <c r="G241" s="217"/>
      <c r="H241" s="217">
        <f t="shared" si="602"/>
        <v>17.5</v>
      </c>
      <c r="I241" s="541">
        <f t="shared" si="603"/>
        <v>39.940035471478126</v>
      </c>
      <c r="J241" s="172">
        <f t="shared" si="604"/>
        <v>28.432288592281008</v>
      </c>
      <c r="K241" s="172">
        <f t="shared" si="605"/>
        <v>68.372324063759137</v>
      </c>
      <c r="L241" s="443"/>
      <c r="M241" s="217">
        <f t="shared" si="606"/>
        <v>0.41584695604125704</v>
      </c>
      <c r="N241" s="172">
        <f t="shared" si="607"/>
        <v>140.52814194870822</v>
      </c>
      <c r="O241" s="172">
        <f t="shared" si="598"/>
        <v>17.5</v>
      </c>
      <c r="P241" s="217">
        <f t="shared" si="608"/>
        <v>5.0188622124538655</v>
      </c>
      <c r="Q241" s="217">
        <f t="shared" si="609"/>
        <v>28</v>
      </c>
      <c r="R241" s="217"/>
      <c r="S241" s="172">
        <f t="shared" si="610"/>
        <v>492.62617480276833</v>
      </c>
      <c r="T241" s="172">
        <f t="shared" si="611"/>
        <v>28</v>
      </c>
      <c r="U241" s="217">
        <f t="shared" si="612"/>
        <v>2.1072985643056232</v>
      </c>
      <c r="V241" s="217">
        <f t="shared" si="613"/>
        <v>0.24797933039667092</v>
      </c>
      <c r="W241" s="217">
        <f t="shared" si="614"/>
        <v>0.3483470287694434</v>
      </c>
      <c r="X241" s="197">
        <f t="shared" si="615"/>
        <v>350</v>
      </c>
      <c r="Y241" s="443">
        <f t="shared" si="678"/>
        <v>350</v>
      </c>
      <c r="AA241" s="217">
        <f t="shared" si="616"/>
        <v>10.09657371056446</v>
      </c>
      <c r="AB241" s="173">
        <f t="shared" si="617"/>
        <v>1.6690143069431305</v>
      </c>
      <c r="AC241" s="173">
        <f t="shared" si="618"/>
        <v>2.9489820454566451</v>
      </c>
      <c r="AD241" s="173"/>
      <c r="AE241" s="173">
        <f t="shared" si="619"/>
        <v>0.55101672930120593</v>
      </c>
      <c r="AF241" s="545">
        <f t="shared" si="620"/>
        <v>680.56009928332185</v>
      </c>
      <c r="AG241" s="528">
        <f t="shared" si="621"/>
        <v>0.32142642542570343</v>
      </c>
      <c r="AI241" s="173">
        <f t="shared" si="622"/>
        <v>4.64812677504937</v>
      </c>
      <c r="AJ241" s="173">
        <f t="shared" si="623"/>
        <v>4.64812677504937</v>
      </c>
      <c r="AK241" s="173">
        <f t="shared" si="624"/>
        <v>2.1739210679378047</v>
      </c>
      <c r="AM241" s="545">
        <f t="shared" si="625"/>
        <v>625</v>
      </c>
      <c r="AN241" s="460">
        <f t="shared" si="626"/>
        <v>350</v>
      </c>
      <c r="AP241">
        <f t="shared" si="627"/>
        <v>625</v>
      </c>
      <c r="AQ241">
        <f t="shared" si="628"/>
        <v>350</v>
      </c>
      <c r="AS241" s="5">
        <f t="shared" si="599"/>
        <v>2.8571428571428572</v>
      </c>
      <c r="AT241" s="5">
        <f t="shared" si="629"/>
        <v>0.54697487332811179</v>
      </c>
      <c r="AU241" s="5">
        <f t="shared" si="721"/>
        <v>2.3101679838147455</v>
      </c>
      <c r="AV241" s="5"/>
      <c r="AW241" s="173">
        <f t="shared" si="722"/>
        <v>0.19144120566483913</v>
      </c>
      <c r="AX241" s="173">
        <f t="shared" si="630"/>
        <v>17.77018037017563</v>
      </c>
      <c r="AY241" s="173">
        <f t="shared" si="631"/>
        <v>1.8791418905754491</v>
      </c>
      <c r="AZ241" s="173">
        <f t="shared" si="632"/>
        <v>9.4565399554441694</v>
      </c>
      <c r="BA241" s="460">
        <f t="shared" si="593"/>
        <v>1.2209260565359639</v>
      </c>
      <c r="BB241" s="5">
        <f t="shared" si="594"/>
        <v>0.72301137084131928</v>
      </c>
      <c r="BD241" s="173">
        <f t="shared" si="679"/>
        <v>1.1741809976219708</v>
      </c>
      <c r="BE241" s="173">
        <f t="shared" si="680"/>
        <v>2.4130878883981324</v>
      </c>
      <c r="BG241" s="528">
        <f t="shared" si="681"/>
        <v>1.6544412182118322E-2</v>
      </c>
      <c r="BH241" s="528">
        <f t="shared" si="633"/>
        <v>2.0299681326029981</v>
      </c>
      <c r="BI241" s="528">
        <f t="shared" si="682"/>
        <v>4.0250000000000001E-2</v>
      </c>
      <c r="BJ241" s="528">
        <f t="shared" si="683"/>
        <v>0.80581428854701276</v>
      </c>
      <c r="BK241">
        <f t="shared" si="684"/>
        <v>1.7973015962165155E-2</v>
      </c>
      <c r="BL241" s="460">
        <f t="shared" si="685"/>
        <v>58.223015962165157</v>
      </c>
      <c r="BM241" s="528">
        <f t="shared" si="634"/>
        <v>2.8680680634708242</v>
      </c>
      <c r="BN241" s="460">
        <f t="shared" si="686"/>
        <v>2868.0680634708242</v>
      </c>
      <c r="BO241" s="528">
        <f t="shared" si="635"/>
        <v>0.4375</v>
      </c>
      <c r="BR241" s="460">
        <f t="shared" si="687"/>
        <v>437.5</v>
      </c>
      <c r="BS241" s="528">
        <f t="shared" si="688"/>
        <v>1.9301814212471374E-2</v>
      </c>
      <c r="BT241" s="528">
        <f t="shared" si="689"/>
        <v>8.1521904199872597E-2</v>
      </c>
      <c r="BU241" s="528">
        <f t="shared" si="690"/>
        <v>5.3374648368612254</v>
      </c>
      <c r="BV241" s="528"/>
      <c r="BW241" s="528">
        <f t="shared" si="691"/>
        <v>0.75617788809258002</v>
      </c>
      <c r="BX241" s="460">
        <f t="shared" si="692"/>
        <v>6194.4664433661492</v>
      </c>
      <c r="BY241" s="173">
        <f t="shared" si="693"/>
        <v>9.5425162926604443</v>
      </c>
      <c r="BZ241" s="5">
        <f t="shared" si="694"/>
        <v>17.5</v>
      </c>
      <c r="CA241" s="173">
        <f t="shared" si="695"/>
        <v>0.64712912846611248</v>
      </c>
      <c r="CB241" s="5">
        <f t="shared" si="696"/>
        <v>64.712912846611246</v>
      </c>
      <c r="CE241" s="562">
        <f t="shared" si="636"/>
        <v>-50</v>
      </c>
      <c r="CF241">
        <f t="shared" si="637"/>
        <v>-50</v>
      </c>
      <c r="CG241" s="173">
        <f t="shared" si="638"/>
        <v>0.270993542358485</v>
      </c>
      <c r="CI241" s="170">
        <v>25</v>
      </c>
      <c r="CJ241" s="217">
        <f t="shared" si="697"/>
        <v>0.625</v>
      </c>
      <c r="CK241" s="217"/>
      <c r="CL241" s="217">
        <f t="shared" si="639"/>
        <v>17.5</v>
      </c>
      <c r="CM241" s="541">
        <f t="shared" si="640"/>
        <v>40</v>
      </c>
      <c r="CN241" s="443">
        <f t="shared" si="641"/>
        <v>28.4</v>
      </c>
      <c r="CO241" s="443">
        <f t="shared" si="642"/>
        <v>68.400000000000006</v>
      </c>
      <c r="CP241" s="443"/>
      <c r="CQ241" s="217">
        <f t="shared" si="643"/>
        <v>0.41520467836257302</v>
      </c>
      <c r="CR241" s="172">
        <f t="shared" si="644"/>
        <v>140.52175355646798</v>
      </c>
      <c r="CS241" s="172">
        <f t="shared" si="645"/>
        <v>17.5</v>
      </c>
      <c r="CT241" s="217">
        <f t="shared" si="646"/>
        <v>5.0186340555881426</v>
      </c>
      <c r="CU241" s="217">
        <f t="shared" si="647"/>
        <v>28</v>
      </c>
      <c r="CV241" s="217"/>
      <c r="CW241" s="172">
        <f t="shared" si="648"/>
        <v>493.36573736380626</v>
      </c>
      <c r="CX241" s="172">
        <f t="shared" si="649"/>
        <v>28</v>
      </c>
      <c r="CY241" s="217">
        <f t="shared" si="650"/>
        <v>2.1073943661971835</v>
      </c>
      <c r="CZ241" s="217">
        <f t="shared" si="651"/>
        <v>0.24761883802816903</v>
      </c>
      <c r="DA241" s="217">
        <f t="shared" si="652"/>
        <v>0.34875892680023812</v>
      </c>
      <c r="DB241" s="197">
        <f t="shared" si="653"/>
        <v>350</v>
      </c>
      <c r="DC241" s="443">
        <f t="shared" si="654"/>
        <v>350</v>
      </c>
      <c r="DE241" s="217">
        <f t="shared" si="655"/>
        <v>10.09616239179509</v>
      </c>
      <c r="DF241" s="173">
        <f t="shared" si="656"/>
        <v>1.6708437761069339</v>
      </c>
      <c r="DG241" s="173">
        <f t="shared" si="657"/>
        <v>2.9520942666067511</v>
      </c>
      <c r="DH241" s="173"/>
      <c r="DI241" s="173">
        <f t="shared" si="658"/>
        <v>0.55164319248826299</v>
      </c>
      <c r="DJ241" s="545">
        <f t="shared" si="659"/>
        <v>679.78723404255311</v>
      </c>
      <c r="DK241" s="528">
        <f t="shared" si="660"/>
        <v>0.3217918622848201</v>
      </c>
      <c r="DM241" s="173">
        <f t="shared" si="661"/>
        <v>4.6454867465597198</v>
      </c>
      <c r="DN241" s="173">
        <f t="shared" si="662"/>
        <v>4.6454867465597198</v>
      </c>
      <c r="DO241" s="173">
        <f t="shared" si="663"/>
        <v>2.1719654912788044</v>
      </c>
      <c r="DQ241" s="545">
        <f t="shared" si="664"/>
        <v>625</v>
      </c>
      <c r="DR241" s="460">
        <f t="shared" si="665"/>
        <v>350</v>
      </c>
      <c r="DT241">
        <f t="shared" si="666"/>
        <v>625</v>
      </c>
      <c r="DU241">
        <f t="shared" si="667"/>
        <v>350</v>
      </c>
      <c r="DW241" s="5">
        <f t="shared" si="668"/>
        <v>2.8571428571428572</v>
      </c>
      <c r="DX241" s="5">
        <f t="shared" si="669"/>
        <v>0.54584469272076708</v>
      </c>
      <c r="DY241" s="5">
        <f t="shared" si="670"/>
        <v>2.31129816442209</v>
      </c>
      <c r="DZ241" s="5"/>
      <c r="EA241" s="173">
        <f t="shared" si="671"/>
        <v>0.19104564245226846</v>
      </c>
      <c r="EB241" s="173">
        <f t="shared" si="698"/>
        <v>17.750000000000004</v>
      </c>
      <c r="EC241" s="173">
        <f t="shared" si="699"/>
        <v>1.87899337327986</v>
      </c>
      <c r="ED241" s="173">
        <f t="shared" si="700"/>
        <v>9.446547418640785</v>
      </c>
      <c r="EE241" s="460">
        <f t="shared" si="672"/>
        <v>1.2184033319659979</v>
      </c>
      <c r="EF241" s="5">
        <f t="shared" si="673"/>
        <v>0.72228067638190308</v>
      </c>
      <c r="EH241" s="173">
        <f t="shared" si="701"/>
        <v>1.172301082994716</v>
      </c>
      <c r="EI241" s="173">
        <f t="shared" si="702"/>
        <v>2.4123071684516919</v>
      </c>
      <c r="EK241" s="528">
        <f t="shared" si="703"/>
        <v>1.649147795028701E-2</v>
      </c>
      <c r="EL241" s="528">
        <f t="shared" si="704"/>
        <v>2.1130461015401547</v>
      </c>
      <c r="EM241" s="528">
        <f t="shared" si="705"/>
        <v>4.0250000000000001E-2</v>
      </c>
      <c r="EN241" s="528">
        <f t="shared" si="706"/>
        <v>0.80646678000000016</v>
      </c>
      <c r="EO241">
        <f t="shared" si="707"/>
        <v>1.7999999999999999E-2</v>
      </c>
      <c r="EP241" s="460">
        <f t="shared" si="708"/>
        <v>58.249999999999993</v>
      </c>
      <c r="EQ241" s="460"/>
      <c r="ER241" s="460">
        <f t="shared" si="709"/>
        <v>2994.2543594904414</v>
      </c>
      <c r="ES241" s="528">
        <f t="shared" si="710"/>
        <v>0.4375</v>
      </c>
      <c r="EV241" s="460">
        <f t="shared" si="711"/>
        <v>437.5</v>
      </c>
      <c r="EW241" s="528">
        <f t="shared" si="712"/>
        <v>1.9240057608668176E-2</v>
      </c>
      <c r="EX241" s="528">
        <f t="shared" si="713"/>
        <v>8.1469162249487873E-2</v>
      </c>
      <c r="EY241" s="528">
        <f t="shared" si="714"/>
        <v>5.3298891736236627</v>
      </c>
      <c r="EZ241" s="528"/>
      <c r="FA241" s="528">
        <f t="shared" si="715"/>
        <v>0.75531914893617058</v>
      </c>
      <c r="FB241" s="460">
        <f t="shared" si="716"/>
        <v>6185.9175424179894</v>
      </c>
      <c r="FC241" s="173">
        <f t="shared" si="717"/>
        <v>9.6176719019084302</v>
      </c>
      <c r="FD241" s="5">
        <f t="shared" si="718"/>
        <v>17.5</v>
      </c>
      <c r="FE241" s="173">
        <f t="shared" si="719"/>
        <v>0.64533563439007546</v>
      </c>
      <c r="FF241" s="5">
        <f t="shared" si="720"/>
        <v>64.533563439007551</v>
      </c>
      <c r="FI241" s="562">
        <f t="shared" si="674"/>
        <v>-50</v>
      </c>
      <c r="FJ241">
        <f t="shared" si="675"/>
        <v>-50</v>
      </c>
      <c r="FL241">
        <f t="shared" si="676"/>
        <v>0.26907836965108234</v>
      </c>
    </row>
    <row r="242" spans="5:168">
      <c r="E242" s="170">
        <v>26</v>
      </c>
      <c r="F242" s="217">
        <f t="shared" si="677"/>
        <v>0.65</v>
      </c>
      <c r="G242" s="217"/>
      <c r="H242" s="217">
        <f t="shared" si="602"/>
        <v>18.2</v>
      </c>
      <c r="I242" s="541">
        <f t="shared" si="603"/>
        <v>39.938847939788708</v>
      </c>
      <c r="J242" s="172">
        <f t="shared" si="604"/>
        <v>28.432928032421461</v>
      </c>
      <c r="K242" s="172">
        <f t="shared" si="605"/>
        <v>68.371775972210173</v>
      </c>
      <c r="L242" s="443"/>
      <c r="M242" s="217">
        <f t="shared" si="606"/>
        <v>0.41585968085298791</v>
      </c>
      <c r="N242" s="172">
        <f t="shared" si="607"/>
        <v>140.52826364217532</v>
      </c>
      <c r="O242" s="172">
        <f t="shared" si="598"/>
        <v>18.2</v>
      </c>
      <c r="P242" s="217">
        <f t="shared" si="608"/>
        <v>5.0188665586491181</v>
      </c>
      <c r="Q242" s="217">
        <f t="shared" si="609"/>
        <v>28</v>
      </c>
      <c r="R242" s="217"/>
      <c r="S242" s="172">
        <f t="shared" si="610"/>
        <v>472.13147252177907</v>
      </c>
      <c r="T242" s="172">
        <f t="shared" si="611"/>
        <v>28</v>
      </c>
      <c r="U242" s="217">
        <f t="shared" si="612"/>
        <v>2.1915886090229941</v>
      </c>
      <c r="V242" s="217">
        <f t="shared" si="613"/>
        <v>0.25790594856258553</v>
      </c>
      <c r="W242" s="217">
        <f t="shared" si="614"/>
        <v>0.3622724487137825</v>
      </c>
      <c r="X242" s="197">
        <f t="shared" si="615"/>
        <v>350</v>
      </c>
      <c r="Y242" s="443">
        <f t="shared" si="678"/>
        <v>350</v>
      </c>
      <c r="AA242" s="217">
        <f t="shared" si="616"/>
        <v>10.09658151197312</v>
      </c>
      <c r="AB242" s="173">
        <f t="shared" si="617"/>
        <v>1.6689780613576963</v>
      </c>
      <c r="AC242" s="173">
        <f t="shared" si="618"/>
        <v>2.9489202816837503</v>
      </c>
      <c r="AD242" s="173"/>
      <c r="AE242" s="173">
        <f t="shared" si="619"/>
        <v>0.55100433725300113</v>
      </c>
      <c r="AF242" s="545">
        <f t="shared" si="620"/>
        <v>707.79842123261949</v>
      </c>
      <c r="AG242" s="528">
        <f t="shared" si="621"/>
        <v>0.32141919673091734</v>
      </c>
      <c r="AI242" s="173">
        <f t="shared" si="622"/>
        <v>4.7402311283567053</v>
      </c>
      <c r="AJ242" s="173">
        <f t="shared" si="623"/>
        <v>4.7402311283567053</v>
      </c>
      <c r="AK242" s="173">
        <f t="shared" si="624"/>
        <v>2.2421465148321271</v>
      </c>
      <c r="AM242" s="545">
        <f t="shared" si="625"/>
        <v>650</v>
      </c>
      <c r="AN242" s="460">
        <f t="shared" si="626"/>
        <v>350</v>
      </c>
      <c r="AP242">
        <f t="shared" si="627"/>
        <v>650</v>
      </c>
      <c r="AQ242">
        <f t="shared" si="628"/>
        <v>350</v>
      </c>
      <c r="AS242" s="5">
        <f t="shared" si="599"/>
        <v>2.8571428571428572</v>
      </c>
      <c r="AT242" s="5">
        <f t="shared" si="629"/>
        <v>0.55782996887802516</v>
      </c>
      <c r="AU242" s="5">
        <f t="shared" si="721"/>
        <v>2.2993128882648319</v>
      </c>
      <c r="AV242" s="5"/>
      <c r="AW242" s="173">
        <f t="shared" si="722"/>
        <v>0.19524048910730879</v>
      </c>
      <c r="AX242" s="173">
        <f t="shared" si="630"/>
        <v>18.481403221073947</v>
      </c>
      <c r="AY242" s="173">
        <f t="shared" si="631"/>
        <v>1.9073730421873261</v>
      </c>
      <c r="AZ242" s="173">
        <f t="shared" si="632"/>
        <v>9.689453930773789</v>
      </c>
      <c r="BA242" s="460">
        <f t="shared" si="593"/>
        <v>1.2949624277525584</v>
      </c>
      <c r="BB242" s="5">
        <f t="shared" si="594"/>
        <v>0.74842087564734472</v>
      </c>
      <c r="BD242" s="173">
        <f t="shared" si="679"/>
        <v>1.2092715457817713</v>
      </c>
      <c r="BE242" s="173">
        <f t="shared" si="680"/>
        <v>2.4551156208978275</v>
      </c>
      <c r="BG242" s="528">
        <f t="shared" si="681"/>
        <v>1.7548052057249214E-2</v>
      </c>
      <c r="BH242" s="528">
        <f t="shared" si="633"/>
        <v>2.0701761076332548</v>
      </c>
      <c r="BI242" s="528">
        <f t="shared" si="682"/>
        <v>4.0250000000000001E-2</v>
      </c>
      <c r="BJ242" s="528">
        <f t="shared" si="683"/>
        <v>0.80580136933628244</v>
      </c>
      <c r="BK242">
        <f t="shared" si="684"/>
        <v>1.797248157290492E-2</v>
      </c>
      <c r="BL242" s="460">
        <f t="shared" si="685"/>
        <v>58.222481572904925</v>
      </c>
      <c r="BM242" s="528">
        <f t="shared" si="634"/>
        <v>2.9103981671684873</v>
      </c>
      <c r="BN242" s="460">
        <f t="shared" si="686"/>
        <v>2910.3981671684874</v>
      </c>
      <c r="BO242" s="528">
        <f t="shared" si="635"/>
        <v>0.45499999999999996</v>
      </c>
      <c r="BR242" s="460">
        <f t="shared" si="687"/>
        <v>454.99999999999994</v>
      </c>
      <c r="BS242" s="528">
        <f t="shared" si="688"/>
        <v>2.0472727400124083E-2</v>
      </c>
      <c r="BT242" s="528">
        <f t="shared" si="689"/>
        <v>8.4386297967671359E-2</v>
      </c>
      <c r="BU242" s="528">
        <f t="shared" si="690"/>
        <v>5.6058169187938711</v>
      </c>
      <c r="BV242" s="528"/>
      <c r="BW242" s="528">
        <f t="shared" si="691"/>
        <v>0.78644269025846614</v>
      </c>
      <c r="BX242" s="460">
        <f t="shared" si="692"/>
        <v>6497.1186344201324</v>
      </c>
      <c r="BY242" s="173">
        <f t="shared" si="693"/>
        <v>9.9038666450198249</v>
      </c>
      <c r="BZ242" s="5">
        <f t="shared" si="694"/>
        <v>18.2</v>
      </c>
      <c r="CA242" s="173">
        <f t="shared" si="695"/>
        <v>0.64759772133437554</v>
      </c>
      <c r="CB242" s="5">
        <f t="shared" si="696"/>
        <v>64.759772133437551</v>
      </c>
      <c r="CE242" s="562">
        <f t="shared" si="636"/>
        <v>-50</v>
      </c>
      <c r="CF242">
        <f t="shared" si="637"/>
        <v>-50</v>
      </c>
      <c r="CG242" s="173">
        <f t="shared" si="638"/>
        <v>0.27636027210870956</v>
      </c>
      <c r="CI242" s="170">
        <v>26</v>
      </c>
      <c r="CJ242" s="217">
        <f t="shared" si="697"/>
        <v>0.65</v>
      </c>
      <c r="CK242" s="217"/>
      <c r="CL242" s="217">
        <f t="shared" si="639"/>
        <v>18.2</v>
      </c>
      <c r="CM242" s="541">
        <f t="shared" si="640"/>
        <v>40</v>
      </c>
      <c r="CN242" s="443">
        <f t="shared" si="641"/>
        <v>28.4</v>
      </c>
      <c r="CO242" s="443">
        <f t="shared" si="642"/>
        <v>68.400000000000006</v>
      </c>
      <c r="CP242" s="443"/>
      <c r="CQ242" s="217">
        <f t="shared" si="643"/>
        <v>0.41520467836257302</v>
      </c>
      <c r="CR242" s="172">
        <f t="shared" si="644"/>
        <v>140.52175355646798</v>
      </c>
      <c r="CS242" s="172">
        <f t="shared" si="645"/>
        <v>18.2</v>
      </c>
      <c r="CT242" s="217">
        <f t="shared" si="646"/>
        <v>5.0186340555881426</v>
      </c>
      <c r="CU242" s="217">
        <f t="shared" si="647"/>
        <v>28</v>
      </c>
      <c r="CV242" s="217"/>
      <c r="CW242" s="172">
        <f t="shared" si="648"/>
        <v>472.85432128095476</v>
      </c>
      <c r="CX242" s="172">
        <f t="shared" si="649"/>
        <v>28</v>
      </c>
      <c r="CY242" s="217">
        <f t="shared" si="650"/>
        <v>2.1916901408450711</v>
      </c>
      <c r="CZ242" s="217">
        <f t="shared" si="651"/>
        <v>0.25752359154929588</v>
      </c>
      <c r="DA242" s="217">
        <f t="shared" si="652"/>
        <v>0.36270928387224771</v>
      </c>
      <c r="DB242" s="197">
        <f t="shared" si="653"/>
        <v>350</v>
      </c>
      <c r="DC242" s="443">
        <f t="shared" si="654"/>
        <v>350</v>
      </c>
      <c r="DE242" s="217">
        <f t="shared" si="655"/>
        <v>10.09616239179509</v>
      </c>
      <c r="DF242" s="173">
        <f t="shared" si="656"/>
        <v>1.6708437761069339</v>
      </c>
      <c r="DG242" s="173">
        <f t="shared" si="657"/>
        <v>2.9520942666067511</v>
      </c>
      <c r="DH242" s="173"/>
      <c r="DI242" s="173">
        <f t="shared" si="658"/>
        <v>0.55164319248826299</v>
      </c>
      <c r="DJ242" s="545">
        <f t="shared" si="659"/>
        <v>706.97872340425522</v>
      </c>
      <c r="DK242" s="528">
        <f t="shared" si="660"/>
        <v>0.3217918622848201</v>
      </c>
      <c r="DM242" s="173">
        <f t="shared" si="661"/>
        <v>4.7374855141689336</v>
      </c>
      <c r="DN242" s="173">
        <f t="shared" si="662"/>
        <v>4.7374855141689336</v>
      </c>
      <c r="DO242" s="173">
        <f t="shared" si="663"/>
        <v>2.240112726544889</v>
      </c>
      <c r="DQ242" s="545">
        <f t="shared" si="664"/>
        <v>650</v>
      </c>
      <c r="DR242" s="460">
        <f t="shared" si="665"/>
        <v>350</v>
      </c>
      <c r="DT242">
        <f t="shared" si="666"/>
        <v>650</v>
      </c>
      <c r="DU242">
        <f t="shared" si="667"/>
        <v>350</v>
      </c>
      <c r="DW242" s="5">
        <f t="shared" si="668"/>
        <v>2.8571428571428572</v>
      </c>
      <c r="DX242" s="5">
        <f t="shared" si="669"/>
        <v>0.5566545479148497</v>
      </c>
      <c r="DY242" s="5">
        <f t="shared" si="670"/>
        <v>2.3004883092280073</v>
      </c>
      <c r="DZ242" s="5"/>
      <c r="EA242" s="173">
        <f t="shared" si="671"/>
        <v>0.19482909177019739</v>
      </c>
      <c r="EB242" s="173">
        <f t="shared" si="698"/>
        <v>18.46</v>
      </c>
      <c r="EC242" s="173">
        <f t="shared" si="699"/>
        <v>1.907242757084467</v>
      </c>
      <c r="ED242" s="173">
        <f t="shared" si="700"/>
        <v>9.6788937493301255</v>
      </c>
      <c r="EE242" s="460">
        <f t="shared" si="672"/>
        <v>1.2922337719451868</v>
      </c>
      <c r="EF242" s="5">
        <f t="shared" si="673"/>
        <v>0.74765870049910221</v>
      </c>
      <c r="EH242" s="173">
        <f t="shared" si="701"/>
        <v>1.2072971368002061</v>
      </c>
      <c r="EI242" s="173">
        <f t="shared" si="702"/>
        <v>2.4543206709381287</v>
      </c>
      <c r="EK242" s="528">
        <f t="shared" si="703"/>
        <v>1.7490796518311709E-2</v>
      </c>
      <c r="EL242" s="528">
        <f t="shared" si="704"/>
        <v>2.1548926609748813</v>
      </c>
      <c r="EM242" s="528">
        <f t="shared" si="705"/>
        <v>4.0250000000000001E-2</v>
      </c>
      <c r="EN242" s="528">
        <f t="shared" si="706"/>
        <v>0.80646678000000016</v>
      </c>
      <c r="EO242">
        <f t="shared" si="707"/>
        <v>1.7999999999999999E-2</v>
      </c>
      <c r="EP242" s="460">
        <f t="shared" si="708"/>
        <v>58.249999999999993</v>
      </c>
      <c r="EQ242" s="460"/>
      <c r="ER242" s="460">
        <f t="shared" si="709"/>
        <v>3037.1002374931927</v>
      </c>
      <c r="ES242" s="528">
        <f t="shared" si="710"/>
        <v>0.45499999999999996</v>
      </c>
      <c r="EV242" s="460">
        <f t="shared" si="711"/>
        <v>454.99999999999994</v>
      </c>
      <c r="EW242" s="528">
        <f t="shared" si="712"/>
        <v>2.040592927136366E-2</v>
      </c>
      <c r="EX242" s="528">
        <f t="shared" si="713"/>
        <v>8.4331659381118612E-2</v>
      </c>
      <c r="EY242" s="528">
        <f t="shared" si="714"/>
        <v>5.5977030080528163</v>
      </c>
      <c r="EZ242" s="528"/>
      <c r="FA242" s="528">
        <f t="shared" si="715"/>
        <v>0.78553191489361707</v>
      </c>
      <c r="FB242" s="460">
        <f t="shared" si="716"/>
        <v>6487.9725115989149</v>
      </c>
      <c r="FC242" s="173">
        <f t="shared" si="717"/>
        <v>9.9800727490921091</v>
      </c>
      <c r="FD242" s="5">
        <f t="shared" si="718"/>
        <v>18.2</v>
      </c>
      <c r="FE242" s="173">
        <f t="shared" si="719"/>
        <v>0.64584645192537193</v>
      </c>
      <c r="FF242" s="5">
        <f t="shared" si="720"/>
        <v>64.584645192537195</v>
      </c>
      <c r="FI242" s="562">
        <f t="shared" si="674"/>
        <v>-50</v>
      </c>
      <c r="FJ242">
        <f t="shared" si="675"/>
        <v>-50</v>
      </c>
      <c r="FL242">
        <f t="shared" si="676"/>
        <v>0.27440717150732025</v>
      </c>
    </row>
    <row r="243" spans="5:168">
      <c r="E243" s="170">
        <v>27</v>
      </c>
      <c r="F243" s="217">
        <f t="shared" si="677"/>
        <v>0.67500000000000004</v>
      </c>
      <c r="G243" s="217"/>
      <c r="H243" s="217">
        <f t="shared" si="602"/>
        <v>18.900000000000002</v>
      </c>
      <c r="I243" s="541">
        <f t="shared" si="603"/>
        <v>39.937683033968916</v>
      </c>
      <c r="J243" s="172">
        <f t="shared" si="604"/>
        <v>28.433555289401351</v>
      </c>
      <c r="K243" s="172">
        <f t="shared" si="605"/>
        <v>68.371238323370264</v>
      </c>
      <c r="L243" s="443"/>
      <c r="M243" s="217">
        <f t="shared" si="606"/>
        <v>0.41587216341729466</v>
      </c>
      <c r="N243" s="172">
        <f t="shared" si="607"/>
        <v>140.52838283501086</v>
      </c>
      <c r="O243" s="172">
        <f t="shared" si="598"/>
        <v>18.900000000000002</v>
      </c>
      <c r="P243" s="217">
        <f t="shared" si="608"/>
        <v>5.0188708155361024</v>
      </c>
      <c r="Q243" s="217">
        <f t="shared" si="609"/>
        <v>28</v>
      </c>
      <c r="R243" s="217"/>
      <c r="S243" s="172">
        <f t="shared" si="610"/>
        <v>453.15535408232904</v>
      </c>
      <c r="T243" s="172">
        <f t="shared" si="611"/>
        <v>28</v>
      </c>
      <c r="U243" s="217">
        <f t="shared" si="612"/>
        <v>2.2758785482530524</v>
      </c>
      <c r="V243" s="217">
        <f t="shared" si="613"/>
        <v>0.26783299290775953</v>
      </c>
      <c r="W243" s="217">
        <f t="shared" si="614"/>
        <v>0.37619738607843139</v>
      </c>
      <c r="X243" s="197">
        <f t="shared" si="615"/>
        <v>350</v>
      </c>
      <c r="Y243" s="443">
        <f t="shared" si="678"/>
        <v>350</v>
      </c>
      <c r="AA243" s="217">
        <f t="shared" si="616"/>
        <v>10.096589151744483</v>
      </c>
      <c r="AB243" s="173">
        <f t="shared" si="617"/>
        <v>1.6689425057895453</v>
      </c>
      <c r="AC243" s="173">
        <f t="shared" si="618"/>
        <v>2.9488596897969965</v>
      </c>
      <c r="AD243" s="173"/>
      <c r="AE243" s="173">
        <f t="shared" si="619"/>
        <v>0.55099218185023935</v>
      </c>
      <c r="AF243" s="545">
        <f t="shared" si="620"/>
        <v>735.03765269409882</v>
      </c>
      <c r="AG243" s="528">
        <f t="shared" si="621"/>
        <v>0.32141210607930631</v>
      </c>
      <c r="AI243" s="173">
        <f t="shared" si="622"/>
        <v>4.8305826415615245</v>
      </c>
      <c r="AJ243" s="173">
        <f t="shared" si="623"/>
        <v>4.8305826415615245</v>
      </c>
      <c r="AK243" s="173">
        <f t="shared" si="624"/>
        <v>2.3090735616505116</v>
      </c>
      <c r="AM243" s="545">
        <f t="shared" si="625"/>
        <v>675</v>
      </c>
      <c r="AN243" s="460">
        <f t="shared" si="626"/>
        <v>350</v>
      </c>
      <c r="AP243">
        <f t="shared" si="627"/>
        <v>675</v>
      </c>
      <c r="AQ243">
        <f t="shared" si="628"/>
        <v>350</v>
      </c>
      <c r="AS243" s="5">
        <f t="shared" si="599"/>
        <v>2.8571428571428572</v>
      </c>
      <c r="AT243" s="5">
        <f t="shared" si="629"/>
        <v>0.56847910771459997</v>
      </c>
      <c r="AU243" s="5">
        <f t="shared" si="721"/>
        <v>2.2886637494282573</v>
      </c>
      <c r="AV243" s="5"/>
      <c r="AW243" s="173">
        <f t="shared" si="722"/>
        <v>0.19896768770010997</v>
      </c>
      <c r="AX243" s="173">
        <f t="shared" si="630"/>
        <v>19.192649820345913</v>
      </c>
      <c r="AY243" s="173">
        <f t="shared" si="631"/>
        <v>1.9347263915628694</v>
      </c>
      <c r="AZ243" s="173">
        <f t="shared" si="632"/>
        <v>9.9200847747996637</v>
      </c>
      <c r="BA243" s="460">
        <f t="shared" si="593"/>
        <v>1.3704407060976964</v>
      </c>
      <c r="BB243" s="5">
        <f t="shared" si="594"/>
        <v>0.77362927115732094</v>
      </c>
      <c r="BD243" s="173">
        <f t="shared" si="679"/>
        <v>1.2440280289509011</v>
      </c>
      <c r="BE243" s="173">
        <f t="shared" si="680"/>
        <v>2.496111071681248</v>
      </c>
      <c r="BG243" s="528">
        <f t="shared" si="681"/>
        <v>1.857126884178557E-2</v>
      </c>
      <c r="BH243" s="528">
        <f t="shared" si="633"/>
        <v>2.1096182575095694</v>
      </c>
      <c r="BI243" s="528">
        <f t="shared" si="682"/>
        <v>4.0250000000000001E-2</v>
      </c>
      <c r="BJ243" s="528">
        <f t="shared" si="683"/>
        <v>0.80578869637402994</v>
      </c>
      <c r="BK243">
        <f t="shared" si="684"/>
        <v>1.7971957365286013E-2</v>
      </c>
      <c r="BL243" s="460">
        <f t="shared" si="685"/>
        <v>58.221957365286016</v>
      </c>
      <c r="BM243" s="528">
        <f t="shared" si="634"/>
        <v>2.9520183450845048</v>
      </c>
      <c r="BN243" s="460">
        <f t="shared" si="686"/>
        <v>2952.0183450845047</v>
      </c>
      <c r="BO243" s="528">
        <f t="shared" si="635"/>
        <v>0.47249999999999998</v>
      </c>
      <c r="BR243" s="460">
        <f t="shared" si="687"/>
        <v>472.5</v>
      </c>
      <c r="BS243" s="528">
        <f t="shared" si="688"/>
        <v>2.1666480315416497E-2</v>
      </c>
      <c r="BT243" s="528">
        <f t="shared" si="689"/>
        <v>8.7227986750375922E-2</v>
      </c>
      <c r="BU243" s="528">
        <f t="shared" si="690"/>
        <v>5.8767728720931247</v>
      </c>
      <c r="BV243" s="528"/>
      <c r="BW243" s="528">
        <f t="shared" si="691"/>
        <v>0.81670850299344322</v>
      </c>
      <c r="BX243" s="460">
        <f t="shared" si="692"/>
        <v>6802.3758421523607</v>
      </c>
      <c r="BY243" s="173">
        <f t="shared" si="693"/>
        <v>10.267076022243032</v>
      </c>
      <c r="BZ243" s="5">
        <f t="shared" si="694"/>
        <v>18.900000000000002</v>
      </c>
      <c r="CA243" s="173">
        <f t="shared" si="695"/>
        <v>0.64799090541632343</v>
      </c>
      <c r="CB243" s="5">
        <f t="shared" si="696"/>
        <v>64.799090541632339</v>
      </c>
      <c r="CE243" s="562">
        <f t="shared" si="636"/>
        <v>-50</v>
      </c>
      <c r="CF243">
        <f t="shared" si="637"/>
        <v>-50</v>
      </c>
      <c r="CG243" s="173">
        <f t="shared" si="638"/>
        <v>0.28162475033277884</v>
      </c>
      <c r="CI243" s="170">
        <v>27</v>
      </c>
      <c r="CJ243" s="217">
        <f t="shared" si="697"/>
        <v>0.67500000000000004</v>
      </c>
      <c r="CK243" s="217"/>
      <c r="CL243" s="217">
        <f t="shared" si="639"/>
        <v>18.900000000000002</v>
      </c>
      <c r="CM243" s="541">
        <f t="shared" si="640"/>
        <v>40</v>
      </c>
      <c r="CN243" s="443">
        <f t="shared" si="641"/>
        <v>28.4</v>
      </c>
      <c r="CO243" s="443">
        <f t="shared" si="642"/>
        <v>68.400000000000006</v>
      </c>
      <c r="CP243" s="443"/>
      <c r="CQ243" s="217">
        <f t="shared" si="643"/>
        <v>0.41520467836257302</v>
      </c>
      <c r="CR243" s="172">
        <f t="shared" si="644"/>
        <v>140.52175355646798</v>
      </c>
      <c r="CS243" s="172">
        <f t="shared" si="645"/>
        <v>18.900000000000002</v>
      </c>
      <c r="CT243" s="217">
        <f t="shared" si="646"/>
        <v>5.0186340555881426</v>
      </c>
      <c r="CU243" s="217">
        <f t="shared" si="647"/>
        <v>28</v>
      </c>
      <c r="CV243" s="217"/>
      <c r="CW243" s="172">
        <f t="shared" si="648"/>
        <v>453.86238242859201</v>
      </c>
      <c r="CX243" s="172">
        <f t="shared" si="649"/>
        <v>28</v>
      </c>
      <c r="CY243" s="217">
        <f t="shared" si="650"/>
        <v>2.2759859154929587</v>
      </c>
      <c r="CZ243" s="217">
        <f t="shared" si="651"/>
        <v>0.26742834507042262</v>
      </c>
      <c r="DA243" s="217">
        <f t="shared" si="652"/>
        <v>0.37665964094425725</v>
      </c>
      <c r="DB243" s="197">
        <f t="shared" si="653"/>
        <v>350</v>
      </c>
      <c r="DC243" s="443">
        <f t="shared" si="654"/>
        <v>350</v>
      </c>
      <c r="DE243" s="217">
        <f t="shared" si="655"/>
        <v>10.09616239179509</v>
      </c>
      <c r="DF243" s="173">
        <f t="shared" si="656"/>
        <v>1.6708437761069339</v>
      </c>
      <c r="DG243" s="173">
        <f t="shared" si="657"/>
        <v>2.9520942666067511</v>
      </c>
      <c r="DH243" s="173"/>
      <c r="DI243" s="173">
        <f t="shared" si="658"/>
        <v>0.55164319248826299</v>
      </c>
      <c r="DJ243" s="545">
        <f t="shared" si="659"/>
        <v>734.17021276595744</v>
      </c>
      <c r="DK243" s="528">
        <f t="shared" si="660"/>
        <v>0.3217918622848201</v>
      </c>
      <c r="DM243" s="173">
        <f t="shared" si="661"/>
        <v>4.8277314425575675</v>
      </c>
      <c r="DN243" s="173">
        <f t="shared" si="662"/>
        <v>4.8277314425575675</v>
      </c>
      <c r="DO243" s="173">
        <f t="shared" si="663"/>
        <v>2.3069615623883215</v>
      </c>
      <c r="DQ243" s="545">
        <f t="shared" si="664"/>
        <v>675</v>
      </c>
      <c r="DR243" s="460">
        <f t="shared" si="665"/>
        <v>350</v>
      </c>
      <c r="DT243">
        <f t="shared" si="666"/>
        <v>675</v>
      </c>
      <c r="DU243">
        <f t="shared" si="667"/>
        <v>350</v>
      </c>
      <c r="DW243" s="5">
        <f t="shared" si="668"/>
        <v>2.8571428571428572</v>
      </c>
      <c r="DX243" s="5">
        <f t="shared" si="669"/>
        <v>0.56725844450051421</v>
      </c>
      <c r="DY243" s="5">
        <f t="shared" si="670"/>
        <v>2.2898844126423432</v>
      </c>
      <c r="DZ243" s="5"/>
      <c r="EA243" s="173">
        <f t="shared" si="671"/>
        <v>0.19854045557517996</v>
      </c>
      <c r="EB243" s="173">
        <f t="shared" si="698"/>
        <v>19.170000000000002</v>
      </c>
      <c r="EC243" s="173">
        <f t="shared" si="699"/>
        <v>1.9346157212787836</v>
      </c>
      <c r="ED243" s="173">
        <f t="shared" si="700"/>
        <v>9.9089445977047088</v>
      </c>
      <c r="EE243" s="460">
        <f t="shared" si="672"/>
        <v>1.367498035849454</v>
      </c>
      <c r="EF243" s="5">
        <f t="shared" si="673"/>
        <v>0.77283598926679076</v>
      </c>
      <c r="EH243" s="173">
        <f t="shared" si="701"/>
        <v>1.2419582102056184</v>
      </c>
      <c r="EI243" s="173">
        <f t="shared" si="702"/>
        <v>2.4953029404441418</v>
      </c>
      <c r="EK243" s="528">
        <f t="shared" si="703"/>
        <v>1.8509522350765716E-2</v>
      </c>
      <c r="EL243" s="528">
        <f t="shared" si="704"/>
        <v>2.1959419239617355</v>
      </c>
      <c r="EM243" s="528">
        <f t="shared" si="705"/>
        <v>4.0250000000000001E-2</v>
      </c>
      <c r="EN243" s="528">
        <f t="shared" si="706"/>
        <v>0.80646678000000016</v>
      </c>
      <c r="EO243">
        <f t="shared" si="707"/>
        <v>1.7999999999999999E-2</v>
      </c>
      <c r="EP243" s="460">
        <f t="shared" si="708"/>
        <v>58.249999999999993</v>
      </c>
      <c r="EQ243" s="460"/>
      <c r="ER243" s="460">
        <f t="shared" si="709"/>
        <v>3079.1682263125008</v>
      </c>
      <c r="ES243" s="528">
        <f t="shared" si="710"/>
        <v>0.47249999999999998</v>
      </c>
      <c r="EV243" s="460">
        <f t="shared" si="711"/>
        <v>472.5</v>
      </c>
      <c r="EW243" s="528">
        <f t="shared" si="712"/>
        <v>2.1594442742560001E-2</v>
      </c>
      <c r="EX243" s="528">
        <f t="shared" si="713"/>
        <v>8.7171514704248526E-2</v>
      </c>
      <c r="EY243" s="528">
        <f t="shared" si="714"/>
        <v>5.8681049569246397</v>
      </c>
      <c r="EZ243" s="528"/>
      <c r="FA243" s="528">
        <f t="shared" si="715"/>
        <v>0.81574468085106411</v>
      </c>
      <c r="FB243" s="460">
        <f t="shared" si="716"/>
        <v>6792.6155952225126</v>
      </c>
      <c r="FC243" s="173">
        <f t="shared" si="717"/>
        <v>10.344283821535015</v>
      </c>
      <c r="FD243" s="5">
        <f t="shared" si="718"/>
        <v>18.900000000000002</v>
      </c>
      <c r="FE243" s="173">
        <f t="shared" si="719"/>
        <v>0.64628014538972389</v>
      </c>
      <c r="FF243" s="5">
        <f t="shared" si="720"/>
        <v>64.628014538972394</v>
      </c>
      <c r="FI243" s="562">
        <f t="shared" si="674"/>
        <v>-50</v>
      </c>
      <c r="FJ243">
        <f t="shared" si="675"/>
        <v>-50</v>
      </c>
      <c r="FL243">
        <f t="shared" si="676"/>
        <v>0.27963444447208446</v>
      </c>
    </row>
    <row r="244" spans="5:168">
      <c r="E244" s="170">
        <v>28</v>
      </c>
      <c r="F244" s="217">
        <f t="shared" si="677"/>
        <v>0.70000000000000007</v>
      </c>
      <c r="G244" s="217"/>
      <c r="H244" s="217">
        <f t="shared" si="602"/>
        <v>19.600000000000001</v>
      </c>
      <c r="I244" s="541">
        <f t="shared" si="603"/>
        <v>39.936539508018349</v>
      </c>
      <c r="J244" s="172">
        <f t="shared" si="604"/>
        <v>28.434171034143965</v>
      </c>
      <c r="K244" s="172">
        <f t="shared" si="605"/>
        <v>68.370710542162314</v>
      </c>
      <c r="L244" s="443"/>
      <c r="M244" s="217">
        <f t="shared" si="606"/>
        <v>0.41588441707468021</v>
      </c>
      <c r="N244" s="172">
        <f t="shared" si="607"/>
        <v>140.52849966491965</v>
      </c>
      <c r="O244" s="172">
        <f t="shared" si="598"/>
        <v>19.600000000000001</v>
      </c>
      <c r="P244" s="217">
        <f t="shared" si="608"/>
        <v>5.0188749880328443</v>
      </c>
      <c r="Q244" s="217">
        <f t="shared" si="609"/>
        <v>28</v>
      </c>
      <c r="R244" s="217"/>
      <c r="S244" s="172">
        <f t="shared" si="610"/>
        <v>435.53509911685177</v>
      </c>
      <c r="T244" s="172">
        <f t="shared" si="611"/>
        <v>28</v>
      </c>
      <c r="U244" s="217">
        <f t="shared" si="612"/>
        <v>2.360168384183007</v>
      </c>
      <c r="V244" s="217">
        <f t="shared" si="613"/>
        <v>0.27776045552051282</v>
      </c>
      <c r="W244" s="217">
        <f t="shared" si="614"/>
        <v>0.39012184995088572</v>
      </c>
      <c r="X244" s="197">
        <f t="shared" si="615"/>
        <v>350</v>
      </c>
      <c r="Y244" s="443">
        <f t="shared" si="678"/>
        <v>350</v>
      </c>
      <c r="AA244" s="217">
        <f t="shared" si="616"/>
        <v>10.096596638779577</v>
      </c>
      <c r="AB244" s="173">
        <f t="shared" si="617"/>
        <v>1.6689076022396041</v>
      </c>
      <c r="AC244" s="173">
        <f t="shared" si="618"/>
        <v>2.9488002052610622</v>
      </c>
      <c r="AD244" s="173"/>
      <c r="AE244" s="173">
        <f t="shared" si="619"/>
        <v>0.55098025006088691</v>
      </c>
      <c r="AF244" s="545">
        <f t="shared" si="620"/>
        <v>762.27777666002964</v>
      </c>
      <c r="AG244" s="528">
        <f t="shared" si="621"/>
        <v>0.32140514586885066</v>
      </c>
      <c r="AI244" s="173">
        <f t="shared" si="622"/>
        <v>4.9192778430521491</v>
      </c>
      <c r="AJ244" s="173">
        <f t="shared" si="623"/>
        <v>4.9192778430521491</v>
      </c>
      <c r="AK244" s="173">
        <f t="shared" si="624"/>
        <v>2.3747737109028262</v>
      </c>
      <c r="AM244" s="545">
        <f t="shared" si="625"/>
        <v>700.00000000000011</v>
      </c>
      <c r="AN244" s="460">
        <f t="shared" si="626"/>
        <v>350</v>
      </c>
      <c r="AP244">
        <f t="shared" si="627"/>
        <v>700.00000000000011</v>
      </c>
      <c r="AQ244">
        <f t="shared" si="628"/>
        <v>350</v>
      </c>
      <c r="AS244" s="5">
        <f t="shared" si="599"/>
        <v>2.8571428571428572</v>
      </c>
      <c r="AT244" s="5">
        <f t="shared" si="629"/>
        <v>0.57893363188623315</v>
      </c>
      <c r="AU244" s="5">
        <f t="shared" si="721"/>
        <v>2.2782092252566239</v>
      </c>
      <c r="AV244" s="5"/>
      <c r="AW244" s="173">
        <f t="shared" si="722"/>
        <v>0.2026267711601816</v>
      </c>
      <c r="AX244" s="173">
        <f t="shared" si="630"/>
        <v>19.903919723900778</v>
      </c>
      <c r="AY244" s="173">
        <f t="shared" si="631"/>
        <v>1.9612502286373348</v>
      </c>
      <c r="AZ244" s="173">
        <f t="shared" si="632"/>
        <v>10.14858758626119</v>
      </c>
      <c r="BA244" s="460">
        <f t="shared" si="593"/>
        <v>1.4473340797155831</v>
      </c>
      <c r="BB244" s="5">
        <f t="shared" si="594"/>
        <v>0.79864028146927857</v>
      </c>
      <c r="BD244" s="173">
        <f t="shared" si="679"/>
        <v>1.278465865573605</v>
      </c>
      <c r="BE244" s="173">
        <f t="shared" si="680"/>
        <v>2.5361302272578725</v>
      </c>
      <c r="BG244" s="528">
        <f t="shared" si="681"/>
        <v>1.9613699633242405E-2</v>
      </c>
      <c r="BH244" s="528">
        <f t="shared" si="633"/>
        <v>2.1483367559777156</v>
      </c>
      <c r="BI244" s="528">
        <f t="shared" si="682"/>
        <v>4.0250000000000001E-2</v>
      </c>
      <c r="BJ244" s="528">
        <f t="shared" si="683"/>
        <v>0.80577625609941994</v>
      </c>
      <c r="BK244">
        <f t="shared" si="684"/>
        <v>1.7971442778608255E-2</v>
      </c>
      <c r="BL244" s="460">
        <f t="shared" si="685"/>
        <v>58.221442778608257</v>
      </c>
      <c r="BM244" s="528">
        <f t="shared" si="634"/>
        <v>2.99297029577663</v>
      </c>
      <c r="BN244" s="460">
        <f t="shared" si="686"/>
        <v>2992.9702957766299</v>
      </c>
      <c r="BO244" s="528">
        <f t="shared" si="635"/>
        <v>0.49</v>
      </c>
      <c r="BR244" s="460">
        <f t="shared" si="687"/>
        <v>490</v>
      </c>
      <c r="BS244" s="528">
        <f t="shared" si="688"/>
        <v>2.2882649572116137E-2</v>
      </c>
      <c r="BT244" s="528">
        <f t="shared" si="689"/>
        <v>9.0047391414554964E-2</v>
      </c>
      <c r="BU244" s="528">
        <f t="shared" si="690"/>
        <v>6.1502602890725901</v>
      </c>
      <c r="BV244" s="528"/>
      <c r="BW244" s="528">
        <f t="shared" si="691"/>
        <v>0.84697530740003335</v>
      </c>
      <c r="BX244" s="460">
        <f t="shared" si="692"/>
        <v>7110.1656374592949</v>
      </c>
      <c r="BY244" s="173">
        <f t="shared" si="693"/>
        <v>10.63211379194828</v>
      </c>
      <c r="BZ244" s="5">
        <f t="shared" si="694"/>
        <v>19.600000000000001</v>
      </c>
      <c r="CA244" s="173">
        <f t="shared" si="695"/>
        <v>0.64831722104790668</v>
      </c>
      <c r="CB244" s="5">
        <f t="shared" si="696"/>
        <v>64.831722104790671</v>
      </c>
      <c r="CE244" s="562">
        <f t="shared" si="636"/>
        <v>-50</v>
      </c>
      <c r="CF244">
        <f t="shared" si="637"/>
        <v>-50</v>
      </c>
      <c r="CG244" s="173">
        <f t="shared" si="638"/>
        <v>0.28679260799399975</v>
      </c>
      <c r="CI244" s="170">
        <v>28</v>
      </c>
      <c r="CJ244" s="217">
        <f t="shared" si="697"/>
        <v>0.70000000000000007</v>
      </c>
      <c r="CK244" s="217"/>
      <c r="CL244" s="217">
        <f t="shared" si="639"/>
        <v>19.600000000000001</v>
      </c>
      <c r="CM244" s="541">
        <f t="shared" si="640"/>
        <v>40</v>
      </c>
      <c r="CN244" s="443">
        <f t="shared" si="641"/>
        <v>28.4</v>
      </c>
      <c r="CO244" s="443">
        <f t="shared" si="642"/>
        <v>68.400000000000006</v>
      </c>
      <c r="CP244" s="443"/>
      <c r="CQ244" s="217">
        <f t="shared" si="643"/>
        <v>0.41520467836257302</v>
      </c>
      <c r="CR244" s="172">
        <f t="shared" si="644"/>
        <v>140.52175355646798</v>
      </c>
      <c r="CS244" s="172">
        <f t="shared" si="645"/>
        <v>19.600000000000001</v>
      </c>
      <c r="CT244" s="217">
        <f t="shared" si="646"/>
        <v>5.0186340555881426</v>
      </c>
      <c r="CU244" s="217">
        <f t="shared" si="647"/>
        <v>28</v>
      </c>
      <c r="CV244" s="217"/>
      <c r="CW244" s="172">
        <f t="shared" si="648"/>
        <v>436.22712073049752</v>
      </c>
      <c r="CX244" s="172">
        <f t="shared" si="649"/>
        <v>28</v>
      </c>
      <c r="CY244" s="217">
        <f t="shared" si="650"/>
        <v>2.3602816901408459</v>
      </c>
      <c r="CZ244" s="217">
        <f t="shared" si="651"/>
        <v>0.27733309859154937</v>
      </c>
      <c r="DA244" s="217">
        <f t="shared" si="652"/>
        <v>0.39060999801626678</v>
      </c>
      <c r="DB244" s="197">
        <f t="shared" si="653"/>
        <v>350</v>
      </c>
      <c r="DC244" s="443">
        <f t="shared" si="654"/>
        <v>350</v>
      </c>
      <c r="DE244" s="217">
        <f t="shared" si="655"/>
        <v>10.09616239179509</v>
      </c>
      <c r="DF244" s="173">
        <f t="shared" si="656"/>
        <v>1.6708437761069339</v>
      </c>
      <c r="DG244" s="173">
        <f t="shared" si="657"/>
        <v>2.9520942666067511</v>
      </c>
      <c r="DH244" s="173"/>
      <c r="DI244" s="173">
        <f t="shared" si="658"/>
        <v>0.55164319248826299</v>
      </c>
      <c r="DJ244" s="545">
        <f t="shared" si="659"/>
        <v>761.36170212765956</v>
      </c>
      <c r="DK244" s="528">
        <f t="shared" si="660"/>
        <v>0.3217918622848201</v>
      </c>
      <c r="DM244" s="173">
        <f t="shared" si="661"/>
        <v>4.916321060097423</v>
      </c>
      <c r="DN244" s="173">
        <f t="shared" si="662"/>
        <v>4.916321060097423</v>
      </c>
      <c r="DO244" s="173">
        <f t="shared" si="663"/>
        <v>2.3725835013067327</v>
      </c>
      <c r="DQ244" s="545">
        <f t="shared" si="664"/>
        <v>700.00000000000011</v>
      </c>
      <c r="DR244" s="460">
        <f t="shared" si="665"/>
        <v>350</v>
      </c>
      <c r="DT244">
        <f t="shared" si="666"/>
        <v>700.00000000000011</v>
      </c>
      <c r="DU244">
        <f t="shared" si="667"/>
        <v>350</v>
      </c>
      <c r="DW244" s="5">
        <f t="shared" si="668"/>
        <v>2.8571428571428572</v>
      </c>
      <c r="DX244" s="5">
        <f t="shared" si="669"/>
        <v>0.57766772456144722</v>
      </c>
      <c r="DY244" s="5">
        <f t="shared" si="670"/>
        <v>2.27947513258141</v>
      </c>
      <c r="DZ244" s="5"/>
      <c r="EA244" s="173">
        <f t="shared" si="671"/>
        <v>0.20218370359650653</v>
      </c>
      <c r="EB244" s="173">
        <f t="shared" si="698"/>
        <v>19.88</v>
      </c>
      <c r="EC244" s="173">
        <f t="shared" si="699"/>
        <v>1.9611605300487114</v>
      </c>
      <c r="ED244" s="173">
        <f t="shared" si="700"/>
        <v>10.136855038330911</v>
      </c>
      <c r="EE244" s="460">
        <f t="shared" si="672"/>
        <v>1.444169311403618</v>
      </c>
      <c r="EF244" s="5">
        <f t="shared" si="673"/>
        <v>0.7978162964034935</v>
      </c>
      <c r="EH244" s="173">
        <f t="shared" si="701"/>
        <v>1.2762997471514856</v>
      </c>
      <c r="EI244" s="173">
        <f t="shared" si="702"/>
        <v>2.5353099502967162</v>
      </c>
      <c r="EK244" s="528">
        <f t="shared" si="703"/>
        <v>1.9547292534947355E-2</v>
      </c>
      <c r="EL244" s="528">
        <f t="shared" si="704"/>
        <v>2.2362377973959142</v>
      </c>
      <c r="EM244" s="528">
        <f t="shared" si="705"/>
        <v>4.0250000000000001E-2</v>
      </c>
      <c r="EN244" s="528">
        <f t="shared" si="706"/>
        <v>0.80646678000000016</v>
      </c>
      <c r="EO244">
        <f t="shared" si="707"/>
        <v>1.7999999999999999E-2</v>
      </c>
      <c r="EP244" s="460">
        <f t="shared" si="708"/>
        <v>58.249999999999993</v>
      </c>
      <c r="EQ244" s="460"/>
      <c r="ER244" s="460">
        <f t="shared" si="709"/>
        <v>3120.5018699308612</v>
      </c>
      <c r="ES244" s="528">
        <f t="shared" si="710"/>
        <v>0.49</v>
      </c>
      <c r="EV244" s="460">
        <f t="shared" si="711"/>
        <v>490</v>
      </c>
      <c r="EW244" s="528">
        <f t="shared" si="712"/>
        <v>2.2805174624105248E-2</v>
      </c>
      <c r="EX244" s="528">
        <f t="shared" si="713"/>
        <v>8.9989151617029528E-2</v>
      </c>
      <c r="EY244" s="528">
        <f t="shared" si="714"/>
        <v>6.1410227604729579</v>
      </c>
      <c r="EZ244" s="528"/>
      <c r="FA244" s="528">
        <f t="shared" si="715"/>
        <v>0.8459574468085107</v>
      </c>
      <c r="FB244" s="460">
        <f t="shared" si="716"/>
        <v>7099.7745335226027</v>
      </c>
      <c r="FC244" s="173">
        <f t="shared" si="717"/>
        <v>10.710276403453465</v>
      </c>
      <c r="FD244" s="5">
        <f t="shared" si="718"/>
        <v>19.600000000000001</v>
      </c>
      <c r="FE244" s="173">
        <f t="shared" si="719"/>
        <v>0.64664537330866556</v>
      </c>
      <c r="FF244" s="5">
        <f t="shared" si="720"/>
        <v>64.664537330866551</v>
      </c>
      <c r="FI244" s="562">
        <f t="shared" si="674"/>
        <v>-50</v>
      </c>
      <c r="FJ244">
        <f t="shared" si="675"/>
        <v>-50</v>
      </c>
      <c r="FL244">
        <f t="shared" si="676"/>
        <v>0.28476577971338951</v>
      </c>
    </row>
    <row r="245" spans="5:168">
      <c r="E245" s="170">
        <v>29</v>
      </c>
      <c r="F245" s="217">
        <f t="shared" si="677"/>
        <v>0.72499999999999998</v>
      </c>
      <c r="G245" s="217"/>
      <c r="H245" s="217">
        <f t="shared" si="602"/>
        <v>20.3</v>
      </c>
      <c r="I245" s="541">
        <f t="shared" si="603"/>
        <v>39.935416226265517</v>
      </c>
      <c r="J245" s="172">
        <f t="shared" si="604"/>
        <v>28.434775878164722</v>
      </c>
      <c r="K245" s="172">
        <f t="shared" si="605"/>
        <v>68.370192104430231</v>
      </c>
      <c r="L245" s="443"/>
      <c r="M245" s="217">
        <f t="shared" si="606"/>
        <v>0.41589645398439384</v>
      </c>
      <c r="N245" s="172">
        <f t="shared" si="607"/>
        <v>140.52861425741361</v>
      </c>
      <c r="O245" s="172">
        <f t="shared" si="598"/>
        <v>20.3</v>
      </c>
      <c r="P245" s="217">
        <f t="shared" si="608"/>
        <v>5.0188790806219146</v>
      </c>
      <c r="Q245" s="217">
        <f t="shared" si="609"/>
        <v>28</v>
      </c>
      <c r="R245" s="217"/>
      <c r="S245" s="172">
        <f t="shared" si="610"/>
        <v>419.13043278912625</v>
      </c>
      <c r="T245" s="172">
        <f t="shared" si="611"/>
        <v>28</v>
      </c>
      <c r="U245" s="217">
        <f t="shared" si="612"/>
        <v>2.4444581188817591</v>
      </c>
      <c r="V245" s="217">
        <f t="shared" si="613"/>
        <v>0.28768832891712753</v>
      </c>
      <c r="W245" s="217">
        <f t="shared" si="614"/>
        <v>0.40404584892707807</v>
      </c>
      <c r="X245" s="197">
        <f t="shared" si="615"/>
        <v>350</v>
      </c>
      <c r="Y245" s="443">
        <f t="shared" si="678"/>
        <v>350</v>
      </c>
      <c r="AA245" s="217">
        <f t="shared" si="616"/>
        <v>10.096603981191278</v>
      </c>
      <c r="AB245" s="173">
        <f t="shared" si="617"/>
        <v>1.6688733160734819</v>
      </c>
      <c r="AC245" s="173">
        <f t="shared" si="618"/>
        <v>2.9487417692549966</v>
      </c>
      <c r="AD245" s="173"/>
      <c r="AE245" s="173">
        <f t="shared" si="619"/>
        <v>0.55096853000685042</v>
      </c>
      <c r="AF245" s="545">
        <f t="shared" si="620"/>
        <v>789.5187770426586</v>
      </c>
      <c r="AG245" s="528">
        <f t="shared" si="621"/>
        <v>0.32139830917066281</v>
      </c>
      <c r="AI245" s="173">
        <f t="shared" si="622"/>
        <v>5.0064047139723336</v>
      </c>
      <c r="AJ245" s="173">
        <f t="shared" si="623"/>
        <v>5.0064047139723336</v>
      </c>
      <c r="AK245" s="173">
        <f t="shared" si="624"/>
        <v>2.4393121338066668</v>
      </c>
      <c r="AM245" s="545">
        <f t="shared" si="625"/>
        <v>725</v>
      </c>
      <c r="AN245" s="460">
        <f t="shared" si="626"/>
        <v>350</v>
      </c>
      <c r="AP245">
        <f t="shared" si="627"/>
        <v>725</v>
      </c>
      <c r="AQ245">
        <f t="shared" si="628"/>
        <v>350</v>
      </c>
      <c r="AS245" s="5">
        <f t="shared" si="599"/>
        <v>2.8571428571428572</v>
      </c>
      <c r="AT245" s="5">
        <f t="shared" si="629"/>
        <v>0.58920387914209904</v>
      </c>
      <c r="AU245" s="5">
        <f t="shared" si="721"/>
        <v>2.2679389780007582</v>
      </c>
      <c r="AV245" s="5"/>
      <c r="AW245" s="173">
        <f t="shared" si="722"/>
        <v>0.20622135769973465</v>
      </c>
      <c r="AX245" s="173">
        <f t="shared" si="630"/>
        <v>20.615212511669419</v>
      </c>
      <c r="AY245" s="173">
        <f t="shared" si="631"/>
        <v>1.9869885683313036</v>
      </c>
      <c r="AZ245" s="173">
        <f t="shared" si="632"/>
        <v>10.375103732470045</v>
      </c>
      <c r="BA245" s="460">
        <f t="shared" ref="BA245:BA308" si="723">F245*AT245/Vout_ripple*1000</f>
        <v>1.5256171870643636</v>
      </c>
      <c r="BB245" s="5">
        <f t="shared" ref="BB245:BB308" si="724">H245/Efficiency/I245*AU245/Vinripple1</f>
        <v>0.82345742923251297</v>
      </c>
      <c r="BD245" s="173">
        <f t="shared" si="679"/>
        <v>1.312599239407374</v>
      </c>
      <c r="BE245" s="173">
        <f t="shared" si="680"/>
        <v>2.5752241242401892</v>
      </c>
      <c r="BG245" s="528">
        <f t="shared" si="681"/>
        <v>2.06750011595138E-2</v>
      </c>
      <c r="BH245" s="528">
        <f t="shared" si="633"/>
        <v>2.1863700424490218</v>
      </c>
      <c r="BI245" s="528">
        <f t="shared" si="682"/>
        <v>4.0250000000000001E-2</v>
      </c>
      <c r="BJ245" s="528">
        <f t="shared" si="683"/>
        <v>0.80576403615238013</v>
      </c>
      <c r="BK245">
        <f t="shared" si="684"/>
        <v>1.7970937301819482E-2</v>
      </c>
      <c r="BL245" s="460">
        <f t="shared" si="685"/>
        <v>58.22093730181949</v>
      </c>
      <c r="BM245" s="528">
        <f t="shared" si="634"/>
        <v>3.0332920139330621</v>
      </c>
      <c r="BN245" s="460">
        <f t="shared" si="686"/>
        <v>3033.2920139330622</v>
      </c>
      <c r="BO245" s="528">
        <f t="shared" si="635"/>
        <v>0.50749999999999995</v>
      </c>
      <c r="BR245" s="460">
        <f t="shared" si="687"/>
        <v>507.49999999999994</v>
      </c>
      <c r="BS245" s="528">
        <f t="shared" si="688"/>
        <v>2.4120834686099435E-2</v>
      </c>
      <c r="BT245" s="528">
        <f t="shared" si="689"/>
        <v>9.28449100609611E-2</v>
      </c>
      <c r="BU245" s="528">
        <f t="shared" si="690"/>
        <v>6.4262113083462769</v>
      </c>
      <c r="BV245" s="528"/>
      <c r="BW245" s="528">
        <f t="shared" si="691"/>
        <v>0.87724308560295405</v>
      </c>
      <c r="BX245" s="460">
        <f t="shared" si="692"/>
        <v>7420.4201386962914</v>
      </c>
      <c r="BY245" s="173">
        <f t="shared" si="693"/>
        <v>10.998950155759026</v>
      </c>
      <c r="BZ245" s="5">
        <f t="shared" si="694"/>
        <v>20.3</v>
      </c>
      <c r="CA245" s="173">
        <f t="shared" si="695"/>
        <v>0.64858405470398139</v>
      </c>
      <c r="CB245" s="5">
        <f t="shared" si="696"/>
        <v>64.858405470398139</v>
      </c>
      <c r="CE245" s="562">
        <f t="shared" si="636"/>
        <v>-50</v>
      </c>
      <c r="CF245">
        <f t="shared" si="637"/>
        <v>-50</v>
      </c>
      <c r="CG245" s="173">
        <f t="shared" si="638"/>
        <v>0.29186897745392537</v>
      </c>
      <c r="CI245" s="170">
        <v>29</v>
      </c>
      <c r="CJ245" s="217">
        <f t="shared" si="697"/>
        <v>0.72499999999999998</v>
      </c>
      <c r="CK245" s="217"/>
      <c r="CL245" s="217">
        <f t="shared" si="639"/>
        <v>20.3</v>
      </c>
      <c r="CM245" s="541">
        <f t="shared" si="640"/>
        <v>40</v>
      </c>
      <c r="CN245" s="443">
        <f t="shared" si="641"/>
        <v>28.4</v>
      </c>
      <c r="CO245" s="443">
        <f t="shared" si="642"/>
        <v>68.400000000000006</v>
      </c>
      <c r="CP245" s="443"/>
      <c r="CQ245" s="217">
        <f t="shared" si="643"/>
        <v>0.41520467836257302</v>
      </c>
      <c r="CR245" s="172">
        <f t="shared" si="644"/>
        <v>140.52175355646798</v>
      </c>
      <c r="CS245" s="172">
        <f t="shared" si="645"/>
        <v>20.3</v>
      </c>
      <c r="CT245" s="217">
        <f t="shared" si="646"/>
        <v>5.0186340555881426</v>
      </c>
      <c r="CU245" s="217">
        <f t="shared" si="647"/>
        <v>28</v>
      </c>
      <c r="CV245" s="217"/>
      <c r="CW245" s="172">
        <f t="shared" si="648"/>
        <v>419.80819130641459</v>
      </c>
      <c r="CX245" s="172">
        <f t="shared" si="649"/>
        <v>28</v>
      </c>
      <c r="CY245" s="217">
        <f t="shared" si="650"/>
        <v>2.4445774647887331</v>
      </c>
      <c r="CZ245" s="217">
        <f t="shared" si="651"/>
        <v>0.28723785211267611</v>
      </c>
      <c r="DA245" s="217">
        <f t="shared" si="652"/>
        <v>0.4045603550882762</v>
      </c>
      <c r="DB245" s="197">
        <f t="shared" si="653"/>
        <v>350</v>
      </c>
      <c r="DC245" s="443">
        <f t="shared" si="654"/>
        <v>350</v>
      </c>
      <c r="DE245" s="217">
        <f t="shared" si="655"/>
        <v>10.09616239179509</v>
      </c>
      <c r="DF245" s="173">
        <f t="shared" si="656"/>
        <v>1.6708437761069339</v>
      </c>
      <c r="DG245" s="173">
        <f t="shared" si="657"/>
        <v>2.9520942666067511</v>
      </c>
      <c r="DH245" s="173"/>
      <c r="DI245" s="173">
        <f t="shared" si="658"/>
        <v>0.55164319248826299</v>
      </c>
      <c r="DJ245" s="545">
        <f t="shared" si="659"/>
        <v>788.55319148936155</v>
      </c>
      <c r="DK245" s="528">
        <f t="shared" si="660"/>
        <v>0.3217918622848201</v>
      </c>
      <c r="DM245" s="173">
        <f t="shared" si="661"/>
        <v>5.0033423479166332</v>
      </c>
      <c r="DN245" s="173">
        <f t="shared" si="662"/>
        <v>5.0033423479166332</v>
      </c>
      <c r="DO245" s="173">
        <f t="shared" si="663"/>
        <v>2.4370437145061477</v>
      </c>
      <c r="DQ245" s="545">
        <f t="shared" si="664"/>
        <v>725</v>
      </c>
      <c r="DR245" s="460">
        <f t="shared" si="665"/>
        <v>350</v>
      </c>
      <c r="DT245">
        <f t="shared" si="666"/>
        <v>725</v>
      </c>
      <c r="DU245">
        <f t="shared" si="667"/>
        <v>350</v>
      </c>
      <c r="DW245" s="5">
        <f t="shared" si="668"/>
        <v>2.8571428571428572</v>
      </c>
      <c r="DX245" s="5">
        <f t="shared" si="669"/>
        <v>0.58789272588020436</v>
      </c>
      <c r="DY245" s="5">
        <f t="shared" si="670"/>
        <v>2.2692501312626527</v>
      </c>
      <c r="DZ245" s="5"/>
      <c r="EA245" s="173">
        <f t="shared" si="671"/>
        <v>0.20576245405807153</v>
      </c>
      <c r="EB245" s="173">
        <f t="shared" si="698"/>
        <v>20.59</v>
      </c>
      <c r="EC245" s="173">
        <f t="shared" si="699"/>
        <v>1.9869211739583166</v>
      </c>
      <c r="ED245" s="173">
        <f t="shared" si="700"/>
        <v>10.362766409590819</v>
      </c>
      <c r="EE245" s="460">
        <f t="shared" si="672"/>
        <v>1.5222222366541005</v>
      </c>
      <c r="EF245" s="5">
        <f t="shared" si="673"/>
        <v>0.82260317258271165</v>
      </c>
      <c r="EH245" s="173">
        <f t="shared" si="701"/>
        <v>1.3103359552903691</v>
      </c>
      <c r="EI245" s="173">
        <f t="shared" si="702"/>
        <v>2.5743927247201266</v>
      </c>
      <c r="EK245" s="528">
        <f t="shared" si="703"/>
        <v>2.060376378872069E-2</v>
      </c>
      <c r="EL245" s="528">
        <f t="shared" si="704"/>
        <v>2.2758203003733604</v>
      </c>
      <c r="EM245" s="528">
        <f t="shared" si="705"/>
        <v>4.0250000000000001E-2</v>
      </c>
      <c r="EN245" s="528">
        <f t="shared" si="706"/>
        <v>0.80646678000000016</v>
      </c>
      <c r="EO245">
        <f t="shared" si="707"/>
        <v>1.7999999999999999E-2</v>
      </c>
      <c r="EP245" s="460">
        <f t="shared" si="708"/>
        <v>58.249999999999993</v>
      </c>
      <c r="EQ245" s="460"/>
      <c r="ER245" s="460">
        <f t="shared" si="709"/>
        <v>3161.1408441620806</v>
      </c>
      <c r="ES245" s="528">
        <f t="shared" si="710"/>
        <v>0.50749999999999995</v>
      </c>
      <c r="EV245" s="460">
        <f t="shared" si="711"/>
        <v>507.49999999999994</v>
      </c>
      <c r="EW245" s="528">
        <f t="shared" si="712"/>
        <v>2.4037724420174138E-2</v>
      </c>
      <c r="EX245" s="528">
        <f t="shared" si="713"/>
        <v>9.2784970615286844E-2</v>
      </c>
      <c r="EY245" s="528">
        <f t="shared" si="714"/>
        <v>6.4163886985333338</v>
      </c>
      <c r="EZ245" s="528"/>
      <c r="FA245" s="528">
        <f t="shared" si="715"/>
        <v>0.87617021276595752</v>
      </c>
      <c r="FB245" s="460">
        <f t="shared" si="716"/>
        <v>7409.3816063347531</v>
      </c>
      <c r="FC245" s="173">
        <f t="shared" si="717"/>
        <v>11.078022450496833</v>
      </c>
      <c r="FD245" s="5">
        <f t="shared" si="718"/>
        <v>20.3</v>
      </c>
      <c r="FE245" s="173">
        <f t="shared" si="719"/>
        <v>0.64694962953851076</v>
      </c>
      <c r="FF245" s="5">
        <f t="shared" si="720"/>
        <v>64.694962953851075</v>
      </c>
      <c r="FI245" s="562">
        <f t="shared" si="674"/>
        <v>-50</v>
      </c>
      <c r="FJ245">
        <f t="shared" si="675"/>
        <v>-50</v>
      </c>
      <c r="FL245">
        <f t="shared" si="676"/>
        <v>0.28980627332122755</v>
      </c>
    </row>
    <row r="246" spans="5:168">
      <c r="E246" s="170">
        <v>30</v>
      </c>
      <c r="F246" s="217">
        <f t="shared" si="677"/>
        <v>0.75</v>
      </c>
      <c r="G246" s="217"/>
      <c r="H246" s="217">
        <f t="shared" si="602"/>
        <v>21</v>
      </c>
      <c r="I246" s="541">
        <f t="shared" si="603"/>
        <v>39.934312150156813</v>
      </c>
      <c r="J246" s="172">
        <f t="shared" si="604"/>
        <v>28.435370380684791</v>
      </c>
      <c r="K246" s="172">
        <f t="shared" si="605"/>
        <v>68.369682530841601</v>
      </c>
      <c r="L246" s="443"/>
      <c r="M246" s="217">
        <f t="shared" si="606"/>
        <v>0.41590828526587614</v>
      </c>
      <c r="N246" s="172">
        <f t="shared" si="607"/>
        <v>140.52872672727128</v>
      </c>
      <c r="O246" s="172">
        <f t="shared" si="598"/>
        <v>21</v>
      </c>
      <c r="P246" s="217">
        <f t="shared" si="608"/>
        <v>5.0188830974025453</v>
      </c>
      <c r="Q246" s="217">
        <f t="shared" si="609"/>
        <v>28</v>
      </c>
      <c r="R246" s="217"/>
      <c r="S246" s="172">
        <f t="shared" si="610"/>
        <v>403.819784720619</v>
      </c>
      <c r="T246" s="172">
        <f t="shared" si="611"/>
        <v>28</v>
      </c>
      <c r="U246" s="217">
        <f t="shared" si="612"/>
        <v>2.5287477543102042</v>
      </c>
      <c r="V246" s="217">
        <f t="shared" si="613"/>
        <v>0.29761660600460066</v>
      </c>
      <c r="W246" s="217">
        <f t="shared" si="614"/>
        <v>0.41796939115416359</v>
      </c>
      <c r="X246" s="197">
        <f t="shared" si="615"/>
        <v>350</v>
      </c>
      <c r="Y246" s="443">
        <f t="shared" si="678"/>
        <v>350</v>
      </c>
      <c r="AA246" s="217">
        <f t="shared" si="616"/>
        <v>10.096611186398688</v>
      </c>
      <c r="AB246" s="173">
        <f t="shared" si="617"/>
        <v>1.6688396156185752</v>
      </c>
      <c r="AC246" s="173">
        <f t="shared" si="618"/>
        <v>2.9486843279879635</v>
      </c>
      <c r="AD246" s="173"/>
      <c r="AE246" s="173">
        <f t="shared" si="619"/>
        <v>0.55095701082580295</v>
      </c>
      <c r="AF246" s="545">
        <f t="shared" si="620"/>
        <v>816.76063859413762</v>
      </c>
      <c r="AG246" s="528">
        <f t="shared" si="621"/>
        <v>0.32139158964838505</v>
      </c>
      <c r="AI246" s="173">
        <f t="shared" si="622"/>
        <v>5.0920437116857755</v>
      </c>
      <c r="AJ246" s="173">
        <f t="shared" si="623"/>
        <v>5.0920437116857755</v>
      </c>
      <c r="AK246" s="173">
        <f t="shared" si="624"/>
        <v>2.5027484284092161</v>
      </c>
      <c r="AM246" s="545">
        <f t="shared" si="625"/>
        <v>750</v>
      </c>
      <c r="AN246" s="460">
        <f t="shared" si="626"/>
        <v>350</v>
      </c>
      <c r="AP246">
        <f t="shared" si="627"/>
        <v>750</v>
      </c>
      <c r="AQ246">
        <f t="shared" si="628"/>
        <v>350</v>
      </c>
      <c r="AS246" s="5">
        <f t="shared" si="599"/>
        <v>2.8571428571428572</v>
      </c>
      <c r="AT246" s="5">
        <f t="shared" si="629"/>
        <v>0.59929930318905378</v>
      </c>
      <c r="AU246" s="5">
        <f t="shared" si="721"/>
        <v>2.2578435539538035</v>
      </c>
      <c r="AV246" s="5"/>
      <c r="AW246" s="173">
        <f t="shared" si="722"/>
        <v>0.20975475611616881</v>
      </c>
      <c r="AX246" s="173">
        <f t="shared" si="630"/>
        <v>21.326527785513591</v>
      </c>
      <c r="AY246" s="173">
        <f t="shared" si="631"/>
        <v>2.0119816624041276</v>
      </c>
      <c r="AZ246" s="173">
        <f t="shared" si="632"/>
        <v>10.599762504808522</v>
      </c>
      <c r="BA246" s="460">
        <f t="shared" si="723"/>
        <v>1.6052659906849656</v>
      </c>
      <c r="BB246" s="5">
        <f t="shared" si="724"/>
        <v>0.84808405318117042</v>
      </c>
      <c r="BD246" s="173">
        <f t="shared" si="679"/>
        <v>1.3464412374322901</v>
      </c>
      <c r="BE246" s="173">
        <f t="shared" si="680"/>
        <v>2.6134394415625333</v>
      </c>
      <c r="BG246" s="528">
        <f t="shared" si="681"/>
        <v>2.1754848070298358E-2</v>
      </c>
      <c r="BH246" s="528">
        <f t="shared" si="633"/>
        <v>2.2237532691571849</v>
      </c>
      <c r="BI246" s="528">
        <f t="shared" si="682"/>
        <v>4.0250000000000001E-2</v>
      </c>
      <c r="BJ246" s="528">
        <f t="shared" si="683"/>
        <v>0.80575202522982059</v>
      </c>
      <c r="BK246">
        <f t="shared" si="684"/>
        <v>1.7970440467570566E-2</v>
      </c>
      <c r="BL246" s="460">
        <f t="shared" si="685"/>
        <v>58.220440467570562</v>
      </c>
      <c r="BM246" s="528">
        <f t="shared" si="634"/>
        <v>3.0730182348848456</v>
      </c>
      <c r="BN246" s="460">
        <f t="shared" si="686"/>
        <v>3073.0182348848457</v>
      </c>
      <c r="BO246" s="528">
        <f t="shared" si="635"/>
        <v>0.52499999999999991</v>
      </c>
      <c r="BR246" s="460">
        <f t="shared" si="687"/>
        <v>524.99999999999989</v>
      </c>
      <c r="BS246" s="528">
        <f t="shared" si="688"/>
        <v>2.5380656082014751E-2</v>
      </c>
      <c r="BT246" s="528">
        <f t="shared" si="689"/>
        <v>9.5620920006005611E-2</v>
      </c>
      <c r="BU246" s="528">
        <f t="shared" si="690"/>
        <v>6.7045621815745964</v>
      </c>
      <c r="BV246" s="528"/>
      <c r="BW246" s="528">
        <f t="shared" si="691"/>
        <v>0.9075118206601529</v>
      </c>
      <c r="BX246" s="460">
        <f t="shared" si="692"/>
        <v>7733.0755783227696</v>
      </c>
      <c r="BY246" s="173">
        <f t="shared" si="693"/>
        <v>11.367556161247643</v>
      </c>
      <c r="BZ246" s="5">
        <f t="shared" si="694"/>
        <v>21</v>
      </c>
      <c r="CA246" s="173">
        <f t="shared" si="695"/>
        <v>0.64879782382651574</v>
      </c>
      <c r="CB246" s="5">
        <f t="shared" si="696"/>
        <v>64.87978238265157</v>
      </c>
      <c r="CE246" s="562">
        <f t="shared" si="636"/>
        <v>-50</v>
      </c>
      <c r="CF246">
        <f t="shared" si="637"/>
        <v>-50</v>
      </c>
      <c r="CG246" s="173">
        <f t="shared" si="638"/>
        <v>0.29685855217594792</v>
      </c>
      <c r="CI246" s="170">
        <v>30</v>
      </c>
      <c r="CJ246" s="217">
        <f t="shared" si="697"/>
        <v>0.75</v>
      </c>
      <c r="CK246" s="217"/>
      <c r="CL246" s="217">
        <f t="shared" si="639"/>
        <v>21</v>
      </c>
      <c r="CM246" s="541">
        <f t="shared" si="640"/>
        <v>40</v>
      </c>
      <c r="CN246" s="443">
        <f t="shared" si="641"/>
        <v>28.4</v>
      </c>
      <c r="CO246" s="443">
        <f t="shared" si="642"/>
        <v>68.400000000000006</v>
      </c>
      <c r="CP246" s="443"/>
      <c r="CQ246" s="217">
        <f t="shared" si="643"/>
        <v>0.41520467836257302</v>
      </c>
      <c r="CR246" s="172">
        <f t="shared" si="644"/>
        <v>140.52175355646798</v>
      </c>
      <c r="CS246" s="172">
        <f t="shared" si="645"/>
        <v>21</v>
      </c>
      <c r="CT246" s="217">
        <f t="shared" si="646"/>
        <v>5.0186340555881426</v>
      </c>
      <c r="CU246" s="217">
        <f t="shared" si="647"/>
        <v>28</v>
      </c>
      <c r="CV246" s="217"/>
      <c r="CW246" s="172">
        <f t="shared" si="648"/>
        <v>404.48396193958888</v>
      </c>
      <c r="CX246" s="172">
        <f t="shared" si="649"/>
        <v>28</v>
      </c>
      <c r="CY246" s="217">
        <f t="shared" si="650"/>
        <v>2.5288732394366202</v>
      </c>
      <c r="CZ246" s="217">
        <f t="shared" si="651"/>
        <v>0.29714260563380285</v>
      </c>
      <c r="DA246" s="217">
        <f t="shared" si="652"/>
        <v>0.41851071216028574</v>
      </c>
      <c r="DB246" s="197">
        <f t="shared" si="653"/>
        <v>350</v>
      </c>
      <c r="DC246" s="443">
        <f t="shared" si="654"/>
        <v>350</v>
      </c>
      <c r="DE246" s="217">
        <f t="shared" si="655"/>
        <v>10.09616239179509</v>
      </c>
      <c r="DF246" s="173">
        <f t="shared" si="656"/>
        <v>1.6708437761069339</v>
      </c>
      <c r="DG246" s="173">
        <f t="shared" si="657"/>
        <v>2.9520942666067511</v>
      </c>
      <c r="DH246" s="173"/>
      <c r="DI246" s="173">
        <f t="shared" si="658"/>
        <v>0.55164319248826299</v>
      </c>
      <c r="DJ246" s="545">
        <f t="shared" si="659"/>
        <v>815.74468085106366</v>
      </c>
      <c r="DK246" s="528">
        <f t="shared" si="660"/>
        <v>0.3217918622848201</v>
      </c>
      <c r="DM246" s="173">
        <f t="shared" si="661"/>
        <v>5.0888757633640855</v>
      </c>
      <c r="DN246" s="173">
        <f t="shared" si="662"/>
        <v>5.0888757633640855</v>
      </c>
      <c r="DO246" s="173">
        <f t="shared" si="663"/>
        <v>2.5004018000227792</v>
      </c>
      <c r="DQ246" s="545">
        <f t="shared" si="664"/>
        <v>750</v>
      </c>
      <c r="DR246" s="460">
        <f t="shared" si="665"/>
        <v>350</v>
      </c>
      <c r="DT246">
        <f t="shared" si="666"/>
        <v>750</v>
      </c>
      <c r="DU246">
        <f t="shared" si="667"/>
        <v>350</v>
      </c>
      <c r="DW246" s="5">
        <f t="shared" si="668"/>
        <v>2.8571428571428572</v>
      </c>
      <c r="DX246" s="5">
        <f t="shared" si="669"/>
        <v>0.59794290219528012</v>
      </c>
      <c r="DY246" s="5">
        <f t="shared" si="670"/>
        <v>2.2591999549475772</v>
      </c>
      <c r="DZ246" s="5"/>
      <c r="EA246" s="173">
        <f t="shared" si="671"/>
        <v>0.20928001576834804</v>
      </c>
      <c r="EB246" s="173">
        <f t="shared" si="698"/>
        <v>21.299999999999997</v>
      </c>
      <c r="EC246" s="173">
        <f t="shared" si="699"/>
        <v>2.0119378816820426</v>
      </c>
      <c r="ED246" s="173">
        <f t="shared" si="700"/>
        <v>10.586807969534593</v>
      </c>
      <c r="EE246" s="460">
        <f t="shared" si="672"/>
        <v>1.6016327737373577</v>
      </c>
      <c r="EF246" s="5">
        <f t="shared" si="673"/>
        <v>0.84719998310534139</v>
      </c>
      <c r="EH246" s="173">
        <f t="shared" si="701"/>
        <v>1.3440799440488091</v>
      </c>
      <c r="EI246" s="173">
        <f t="shared" si="702"/>
        <v>2.6125979309856597</v>
      </c>
      <c r="EK246" s="528">
        <f t="shared" si="703"/>
        <v>2.1678610751931001E-2</v>
      </c>
      <c r="EL246" s="528">
        <f t="shared" si="704"/>
        <v>2.3147260297237886</v>
      </c>
      <c r="EM246" s="528">
        <f t="shared" si="705"/>
        <v>4.0250000000000001E-2</v>
      </c>
      <c r="EN246" s="528">
        <f t="shared" si="706"/>
        <v>0.80646678000000016</v>
      </c>
      <c r="EO246">
        <f t="shared" si="707"/>
        <v>1.7999999999999999E-2</v>
      </c>
      <c r="EP246" s="460">
        <f t="shared" si="708"/>
        <v>58.249999999999993</v>
      </c>
      <c r="EQ246" s="460"/>
      <c r="ER246" s="460">
        <f t="shared" si="709"/>
        <v>3201.1214204757193</v>
      </c>
      <c r="ES246" s="528">
        <f t="shared" si="710"/>
        <v>0.52499999999999991</v>
      </c>
      <c r="EV246" s="460">
        <f t="shared" si="711"/>
        <v>524.99999999999989</v>
      </c>
      <c r="EW246" s="528">
        <f t="shared" si="712"/>
        <v>2.5291712543919501E-2</v>
      </c>
      <c r="EX246" s="528">
        <f t="shared" si="713"/>
        <v>9.5559351285867705E-2</v>
      </c>
      <c r="EY246" s="528">
        <f t="shared" si="714"/>
        <v>6.694139157816088</v>
      </c>
      <c r="EZ246" s="528"/>
      <c r="FA246" s="528">
        <f t="shared" si="715"/>
        <v>0.90638297872340412</v>
      </c>
      <c r="FB246" s="460">
        <f t="shared" si="716"/>
        <v>7721.3732003692794</v>
      </c>
      <c r="FC246" s="173">
        <f t="shared" si="717"/>
        <v>11.447494620844997</v>
      </c>
      <c r="FD246" s="5">
        <f t="shared" si="718"/>
        <v>21</v>
      </c>
      <c r="FE246" s="173">
        <f t="shared" si="719"/>
        <v>0.64719942927455265</v>
      </c>
      <c r="FF246" s="5">
        <f t="shared" si="720"/>
        <v>64.719942927455264</v>
      </c>
      <c r="FI246" s="562">
        <f t="shared" si="674"/>
        <v>-50</v>
      </c>
      <c r="FJ246">
        <f t="shared" si="675"/>
        <v>-50</v>
      </c>
      <c r="FL246">
        <f t="shared" si="676"/>
        <v>0.29476058558922263</v>
      </c>
    </row>
    <row r="247" spans="5:168">
      <c r="E247" s="170">
        <v>31</v>
      </c>
      <c r="F247" s="217">
        <f t="shared" si="677"/>
        <v>0.77500000000000002</v>
      </c>
      <c r="G247" s="217"/>
      <c r="H247" s="217">
        <f t="shared" si="602"/>
        <v>21.7</v>
      </c>
      <c r="I247" s="541">
        <f t="shared" si="603"/>
        <v>39.933226327012399</v>
      </c>
      <c r="J247" s="172">
        <f t="shared" si="604"/>
        <v>28.435955054685632</v>
      </c>
      <c r="K247" s="172">
        <f t="shared" si="605"/>
        <v>68.369181381698027</v>
      </c>
      <c r="L247" s="443"/>
      <c r="M247" s="217">
        <f t="shared" si="606"/>
        <v>0.41591992111914661</v>
      </c>
      <c r="N247" s="172">
        <f t="shared" si="607"/>
        <v>140.52883717978074</v>
      </c>
      <c r="O247" s="172">
        <f t="shared" si="598"/>
        <v>21.7</v>
      </c>
      <c r="P247" s="217">
        <f t="shared" si="608"/>
        <v>5.0188870421350265</v>
      </c>
      <c r="Q247" s="217">
        <f t="shared" si="609"/>
        <v>28</v>
      </c>
      <c r="R247" s="217"/>
      <c r="S247" s="172">
        <f t="shared" si="610"/>
        <v>389.49727201734288</v>
      </c>
      <c r="T247" s="172">
        <f t="shared" si="611"/>
        <v>28</v>
      </c>
      <c r="U247" s="217">
        <f t="shared" si="612"/>
        <v>2.6130372923303122</v>
      </c>
      <c r="V247" s="217">
        <f t="shared" si="613"/>
        <v>0.30754528004778142</v>
      </c>
      <c r="W247" s="217">
        <f t="shared" si="614"/>
        <v>0.43189248436826383</v>
      </c>
      <c r="X247" s="197">
        <f t="shared" si="615"/>
        <v>350</v>
      </c>
      <c r="Y247" s="443">
        <f t="shared" si="678"/>
        <v>350</v>
      </c>
      <c r="AA247" s="217">
        <f t="shared" si="616"/>
        <v>10.09661826120746</v>
      </c>
      <c r="AB247" s="173">
        <f t="shared" si="617"/>
        <v>1.6688064718211619</v>
      </c>
      <c r="AC247" s="173">
        <f t="shared" si="618"/>
        <v>2.9486278321168786</v>
      </c>
      <c r="AD247" s="173"/>
      <c r="AE247" s="173">
        <f t="shared" si="619"/>
        <v>0.5509456825535789</v>
      </c>
      <c r="AF247" s="545">
        <f t="shared" si="620"/>
        <v>844.00334683588198</v>
      </c>
      <c r="AG247" s="528">
        <f t="shared" si="621"/>
        <v>0.32138498148958772</v>
      </c>
      <c r="AI247" s="173">
        <f t="shared" si="622"/>
        <v>5.1762686408656338</v>
      </c>
      <c r="AJ247" s="173">
        <f t="shared" si="623"/>
        <v>5.1762686408656338</v>
      </c>
      <c r="AK247" s="173">
        <f t="shared" si="624"/>
        <v>2.5651372648387412</v>
      </c>
      <c r="AM247" s="545">
        <f t="shared" si="625"/>
        <v>775</v>
      </c>
      <c r="AN247" s="460">
        <f t="shared" si="626"/>
        <v>350</v>
      </c>
      <c r="AP247">
        <f t="shared" si="627"/>
        <v>775</v>
      </c>
      <c r="AQ247">
        <f t="shared" si="628"/>
        <v>350</v>
      </c>
      <c r="AS247" s="5">
        <f t="shared" si="599"/>
        <v>2.8571428571428572</v>
      </c>
      <c r="AT247" s="5">
        <f t="shared" si="629"/>
        <v>0.60922857604449943</v>
      </c>
      <c r="AU247" s="5">
        <f t="shared" si="721"/>
        <v>2.2479142810983577</v>
      </c>
      <c r="AV247" s="5"/>
      <c r="AW247" s="173">
        <f t="shared" si="722"/>
        <v>0.21323000161557479</v>
      </c>
      <c r="AX247" s="173">
        <f t="shared" si="630"/>
        <v>22.037865167381366</v>
      </c>
      <c r="AY247" s="173">
        <f t="shared" si="631"/>
        <v>2.0362664351056026</v>
      </c>
      <c r="AZ247" s="173">
        <f t="shared" si="632"/>
        <v>10.82268252692505</v>
      </c>
      <c r="BA247" s="460">
        <f t="shared" si="723"/>
        <v>1.6862576658374537</v>
      </c>
      <c r="BB247" s="5">
        <f t="shared" si="724"/>
        <v>0.872523323602721</v>
      </c>
      <c r="BD247" s="173">
        <f t="shared" si="679"/>
        <v>1.3800039682841712</v>
      </c>
      <c r="BE247" s="173">
        <f t="shared" si="680"/>
        <v>2.6508190045700202</v>
      </c>
      <c r="BG247" s="528">
        <f t="shared" si="681"/>
        <v>2.2852931429760717E-2</v>
      </c>
      <c r="BH247" s="528">
        <f t="shared" si="633"/>
        <v>2.2605186817416767</v>
      </c>
      <c r="BI247" s="528">
        <f t="shared" si="682"/>
        <v>4.0250000000000001E-2</v>
      </c>
      <c r="BJ247" s="528">
        <f t="shared" si="683"/>
        <v>0.80574021296325748</v>
      </c>
      <c r="BK247">
        <f t="shared" si="684"/>
        <v>1.796995184715558E-2</v>
      </c>
      <c r="BL247" s="460">
        <f t="shared" si="685"/>
        <v>58.219951847155578</v>
      </c>
      <c r="BM247" s="528">
        <f t="shared" si="634"/>
        <v>3.1121808128606148</v>
      </c>
      <c r="BN247" s="460">
        <f t="shared" si="686"/>
        <v>3112.1808128606149</v>
      </c>
      <c r="BO247" s="528">
        <f t="shared" si="635"/>
        <v>0.54249999999999998</v>
      </c>
      <c r="BR247" s="460">
        <f t="shared" si="687"/>
        <v>542.5</v>
      </c>
      <c r="BS247" s="528">
        <f t="shared" si="688"/>
        <v>2.6661753334720834E-2</v>
      </c>
      <c r="BT247" s="528">
        <f t="shared" si="689"/>
        <v>9.8375779529854296E-2</v>
      </c>
      <c r="BU247" s="528">
        <f t="shared" si="690"/>
        <v>6.9852528946434793</v>
      </c>
      <c r="BV247" s="528"/>
      <c r="BW247" s="528">
        <f t="shared" si="691"/>
        <v>0.93778149648431353</v>
      </c>
      <c r="BX247" s="460">
        <f t="shared" si="692"/>
        <v>8048.0719239923692</v>
      </c>
      <c r="BY247" s="173">
        <f t="shared" si="693"/>
        <v>11.737903701974219</v>
      </c>
      <c r="BZ247" s="5">
        <f t="shared" si="694"/>
        <v>21.7</v>
      </c>
      <c r="CA247" s="173">
        <f t="shared" si="695"/>
        <v>0.64896412745870791</v>
      </c>
      <c r="CB247" s="5">
        <f t="shared" si="696"/>
        <v>64.896412745870791</v>
      </c>
      <c r="CE247" s="562">
        <f t="shared" si="636"/>
        <v>-50</v>
      </c>
      <c r="CF247">
        <f t="shared" si="637"/>
        <v>-50</v>
      </c>
      <c r="CG247" s="173">
        <f t="shared" si="638"/>
        <v>0.3017656375401282</v>
      </c>
      <c r="CI247" s="170">
        <v>31</v>
      </c>
      <c r="CJ247" s="217">
        <f t="shared" si="697"/>
        <v>0.77500000000000002</v>
      </c>
      <c r="CK247" s="217"/>
      <c r="CL247" s="217">
        <f t="shared" si="639"/>
        <v>21.7</v>
      </c>
      <c r="CM247" s="541">
        <f t="shared" si="640"/>
        <v>40</v>
      </c>
      <c r="CN247" s="443">
        <f t="shared" si="641"/>
        <v>28.4</v>
      </c>
      <c r="CO247" s="443">
        <f t="shared" si="642"/>
        <v>68.400000000000006</v>
      </c>
      <c r="CP247" s="443"/>
      <c r="CQ247" s="217">
        <f t="shared" si="643"/>
        <v>0.41520467836257302</v>
      </c>
      <c r="CR247" s="172">
        <f t="shared" si="644"/>
        <v>140.52175355646798</v>
      </c>
      <c r="CS247" s="172">
        <f t="shared" si="645"/>
        <v>21.7</v>
      </c>
      <c r="CT247" s="217">
        <f t="shared" si="646"/>
        <v>5.0186340555881426</v>
      </c>
      <c r="CU247" s="217">
        <f t="shared" si="647"/>
        <v>28</v>
      </c>
      <c r="CV247" s="217"/>
      <c r="CW247" s="172">
        <f t="shared" si="648"/>
        <v>390.14849490543253</v>
      </c>
      <c r="CX247" s="172">
        <f t="shared" si="649"/>
        <v>28</v>
      </c>
      <c r="CY247" s="217">
        <f t="shared" si="650"/>
        <v>2.6131690140845074</v>
      </c>
      <c r="CZ247" s="217">
        <f t="shared" si="651"/>
        <v>0.30704735915492964</v>
      </c>
      <c r="DA247" s="217">
        <f t="shared" si="652"/>
        <v>0.43246106923229533</v>
      </c>
      <c r="DB247" s="197">
        <f t="shared" si="653"/>
        <v>350</v>
      </c>
      <c r="DC247" s="443">
        <f t="shared" si="654"/>
        <v>350</v>
      </c>
      <c r="DE247" s="217">
        <f t="shared" si="655"/>
        <v>10.09616239179509</v>
      </c>
      <c r="DF247" s="173">
        <f t="shared" si="656"/>
        <v>1.6708437761069339</v>
      </c>
      <c r="DG247" s="173">
        <f t="shared" si="657"/>
        <v>2.9520942666067511</v>
      </c>
      <c r="DH247" s="173"/>
      <c r="DI247" s="173">
        <f t="shared" si="658"/>
        <v>0.55164319248826299</v>
      </c>
      <c r="DJ247" s="545">
        <f t="shared" si="659"/>
        <v>842.93617021276589</v>
      </c>
      <c r="DK247" s="528">
        <f t="shared" si="660"/>
        <v>0.3217918622848201</v>
      </c>
      <c r="DM247" s="173">
        <f t="shared" si="661"/>
        <v>5.1729951110988779</v>
      </c>
      <c r="DN247" s="173">
        <f t="shared" si="662"/>
        <v>5.1729951110988779</v>
      </c>
      <c r="DO247" s="173">
        <f t="shared" si="663"/>
        <v>2.5627124279744775</v>
      </c>
      <c r="DQ247" s="545">
        <f t="shared" si="664"/>
        <v>775</v>
      </c>
      <c r="DR247" s="460">
        <f t="shared" si="665"/>
        <v>350</v>
      </c>
      <c r="DT247">
        <f t="shared" si="666"/>
        <v>775</v>
      </c>
      <c r="DU247">
        <f t="shared" si="667"/>
        <v>350</v>
      </c>
      <c r="DW247" s="5">
        <f t="shared" si="668"/>
        <v>2.8571428571428572</v>
      </c>
      <c r="DX247" s="5">
        <f t="shared" si="669"/>
        <v>0.6078269255541181</v>
      </c>
      <c r="DY247" s="5">
        <f t="shared" si="670"/>
        <v>2.2493159315887392</v>
      </c>
      <c r="DZ247" s="5"/>
      <c r="EA247" s="173">
        <f t="shared" si="671"/>
        <v>0.21273942394394132</v>
      </c>
      <c r="EB247" s="173">
        <f t="shared" si="698"/>
        <v>22.01</v>
      </c>
      <c r="EC247" s="173">
        <f t="shared" si="699"/>
        <v>2.0362475555494388</v>
      </c>
      <c r="ED247" s="173">
        <f t="shared" si="700"/>
        <v>10.809098304386209</v>
      </c>
      <c r="EE247" s="460">
        <f t="shared" si="672"/>
        <v>1.6823780975158629</v>
      </c>
      <c r="EF247" s="5">
        <f t="shared" si="673"/>
        <v>0.87160992349063626</v>
      </c>
      <c r="EH247" s="173">
        <f t="shared" si="701"/>
        <v>1.3775438431939067</v>
      </c>
      <c r="EI247" s="173">
        <f t="shared" si="702"/>
        <v>2.6499683834396071</v>
      </c>
      <c r="EK247" s="528">
        <f t="shared" si="703"/>
        <v>2.2771524479057264E-2</v>
      </c>
      <c r="EL247" s="528">
        <f t="shared" si="704"/>
        <v>2.3529885562344357</v>
      </c>
      <c r="EM247" s="528">
        <f t="shared" si="705"/>
        <v>4.0250000000000001E-2</v>
      </c>
      <c r="EN247" s="528">
        <f t="shared" si="706"/>
        <v>0.80646678000000016</v>
      </c>
      <c r="EO247">
        <f t="shared" si="707"/>
        <v>1.7999999999999999E-2</v>
      </c>
      <c r="EP247" s="460">
        <f t="shared" si="708"/>
        <v>58.249999999999993</v>
      </c>
      <c r="EQ247" s="460"/>
      <c r="ER247" s="460">
        <f t="shared" si="709"/>
        <v>3240.4768607134924</v>
      </c>
      <c r="ES247" s="528">
        <f t="shared" si="710"/>
        <v>0.54249999999999998</v>
      </c>
      <c r="EV247" s="460">
        <f t="shared" si="711"/>
        <v>542.5</v>
      </c>
      <c r="EW247" s="528">
        <f t="shared" si="712"/>
        <v>2.6566778558900141E-2</v>
      </c>
      <c r="EX247" s="528">
        <f t="shared" si="713"/>
        <v>9.8312654065213348E-2</v>
      </c>
      <c r="EY247" s="528">
        <f t="shared" si="714"/>
        <v>6.9742142535545986</v>
      </c>
      <c r="EZ247" s="528"/>
      <c r="FA247" s="528">
        <f t="shared" si="715"/>
        <v>0.93659574468085127</v>
      </c>
      <c r="FB247" s="460">
        <f t="shared" si="716"/>
        <v>8035.6894308595629</v>
      </c>
      <c r="FC247" s="173">
        <f t="shared" si="717"/>
        <v>11.818666291573056</v>
      </c>
      <c r="FD247" s="5">
        <f t="shared" si="718"/>
        <v>21.7</v>
      </c>
      <c r="FE247" s="173">
        <f t="shared" si="719"/>
        <v>0.64740046072345092</v>
      </c>
      <c r="FF247" s="5">
        <f t="shared" si="720"/>
        <v>64.740046072345095</v>
      </c>
      <c r="FI247" s="562">
        <f t="shared" si="674"/>
        <v>-50</v>
      </c>
      <c r="FJ247">
        <f t="shared" si="675"/>
        <v>-50</v>
      </c>
      <c r="FL247">
        <f t="shared" si="676"/>
        <v>0.29963299147033995</v>
      </c>
    </row>
    <row r="248" spans="5:168">
      <c r="E248" s="170">
        <v>32</v>
      </c>
      <c r="F248" s="217">
        <f t="shared" si="677"/>
        <v>0.8</v>
      </c>
      <c r="G248" s="217"/>
      <c r="H248" s="217">
        <f t="shared" ref="H248:H279" si="725">F248*Vout</f>
        <v>22.400000000000002</v>
      </c>
      <c r="I248" s="541">
        <f t="shared" ref="I248:I279" si="726">VIN_max-F248*(Rdcr_pri+RON/1000)/CG248/Nps</f>
        <v>39.932157880402443</v>
      </c>
      <c r="J248" s="172">
        <f t="shared" ref="J248:J279" si="727">(T248+Vfwd1+F248/CG248*Rdcr_sec)*Nps</f>
        <v>28.436530372090992</v>
      </c>
      <c r="K248" s="172">
        <f t="shared" ref="K248:K279" si="728">(Vout+Vfwd1+F248/CG248*Rdcr_sec)*Nps+I248</f>
        <v>68.368688252493428</v>
      </c>
      <c r="L248" s="443"/>
      <c r="M248" s="217">
        <f t="shared" ref="M248:M279" si="729">(Vout+Vfwd1+F248/FL248*Rdcr_sec)*Nps/((Vout+Vfwd1+F248/FL248*Rdcr_sec)*Nps+I248)</f>
        <v>0.41593137092784149</v>
      </c>
      <c r="N248" s="172">
        <f t="shared" ref="N248:N279" si="730">M248*I248*(Isw_max+VIN_max/Lmag*ILIM_delay)*0.5*Efficiency</f>
        <v>140.52894571180312</v>
      </c>
      <c r="O248" s="172">
        <f t="shared" si="598"/>
        <v>22.400000000000002</v>
      </c>
      <c r="P248" s="217">
        <f t="shared" ref="P248:P279" si="731">N248/Vout</f>
        <v>5.0188909182786832</v>
      </c>
      <c r="Q248" s="217">
        <f t="shared" ref="Q248:Q279" si="732">MIN(Vout,N248/F248)</f>
        <v>28</v>
      </c>
      <c r="R248" s="217"/>
      <c r="S248" s="172">
        <f t="shared" ref="S248:S279" si="733">(SQRT(Isw_max^2*Nps^2*I248^2+4*Isw_max*F248/Efficiency*(Nps^2*Vfwd1*I248-Nps*I248^2)+4*(F248/Efficiency)^2*Nps^2*Vfwd1^2+8*(F248/Efficiency)^2*Nps*Vfwd1*I248+4*(F248/Efficiency)^2*I248^2)-2*F248/Efficiency*I248-2*F248/Efficiency*Nps*Vfwd1+Isw_max*Nps*I248)/(4*F248/Efficiency*Nps)</f>
        <v>376.07024799654891</v>
      </c>
      <c r="T248" s="172">
        <f t="shared" ref="T248:T279" si="734">MIN(Vout, S248)</f>
        <v>28</v>
      </c>
      <c r="U248" s="217">
        <f t="shared" ref="U248:U279" si="735">MIN(2*Vout*F248/(Efficiency*I248*M248), Isw_max)</f>
        <v>2.6973267347131795</v>
      </c>
      <c r="V248" s="217">
        <f t="shared" ref="V248:V279" si="736">L*U248/I248*1000000</f>
        <v>0.31747434464025454</v>
      </c>
      <c r="W248" s="217">
        <f t="shared" ref="W248:W279" si="737">L*U248/J248*1000000</f>
        <v>0.445815135927912</v>
      </c>
      <c r="X248" s="197">
        <f t="shared" ref="X248:X279" si="738">IF(1/((350000*L)*(1/I248+1/J248))&gt;Isw_min, 350, 0.001/((Isw_min*L)*(1/I248+1/J248)))</f>
        <v>350</v>
      </c>
      <c r="Y248" s="443">
        <f t="shared" si="678"/>
        <v>350</v>
      </c>
      <c r="AA248" s="217">
        <f t="shared" ref="AA248:AA279" si="739">1/((X248*1000*L)*(1/I248+1/J248))</f>
        <v>10.096625211878541</v>
      </c>
      <c r="AB248" s="173">
        <f t="shared" ref="AB248:AB279" si="740">L*AA248/J248*1000000</f>
        <v>1.6687738579529015</v>
      </c>
      <c r="AC248" s="173">
        <f t="shared" ref="AC248:AC279" si="741">0.5*AB248*AA248*Nps*X248/1000</f>
        <v>2.9485722362479398</v>
      </c>
      <c r="AD248" s="173"/>
      <c r="AE248" s="173">
        <f t="shared" ref="AE248:AE279" si="742">L*Isw_min/J248*1000000</f>
        <v>0.55093453602351938</v>
      </c>
      <c r="AF248" s="545">
        <f t="shared" ref="AF248:AF279" si="743">MAX(12000,F248/(0.5*AE248/1000000*Isw_min*Nps))/1000</f>
        <v>871.24688799597925</v>
      </c>
      <c r="AG248" s="528">
        <f t="shared" ref="AG248:AG279" si="744">0.5*AE248/1000000*Isw_min*Nps*X248*1000</f>
        <v>0.32137847934705299</v>
      </c>
      <c r="AI248" s="173">
        <f t="shared" ref="AI248:AI279" si="745">SQRT(F248/(0.5*L/J248*Fsw_DCM*Nps))</f>
        <v>5.2591473990516491</v>
      </c>
      <c r="AJ248" s="173">
        <f t="shared" ref="AJ248:AJ279" si="746">MAX(IF(F248&gt;AC248,U248,AI248),Isw_min)</f>
        <v>5.2591473990516491</v>
      </c>
      <c r="AK248" s="173">
        <f t="shared" ref="AK248:AK279" si="747">IF(F248&gt;AG248, (AJ248-Isw_min)/1.08*0.8+1.2, AF248*0.2/350+1)</f>
        <v>2.6265289375691223</v>
      </c>
      <c r="AM248" s="545">
        <f t="shared" ref="AM248:AM279" si="748">F248*1000</f>
        <v>800</v>
      </c>
      <c r="AN248" s="460">
        <f t="shared" ref="AN248:AN279" si="749">IF(F248&gt;AG248, Y248, AF248)</f>
        <v>350</v>
      </c>
      <c r="AP248">
        <f t="shared" ref="AP248:AP279" si="750">IF(H248&gt;N248, "",AM248)</f>
        <v>800</v>
      </c>
      <c r="AQ248">
        <f t="shared" ref="AQ248:AQ279" si="751">IF(H248&gt;N248, "",AN248)</f>
        <v>350</v>
      </c>
      <c r="AS248" s="5">
        <f t="shared" si="599"/>
        <v>2.8571428571428572</v>
      </c>
      <c r="AT248" s="5">
        <f t="shared" ref="AT248:AT279" si="752">L*AJ248/I248*1000000</f>
        <v>0.61899967563920788</v>
      </c>
      <c r="AU248" s="5">
        <f t="shared" si="721"/>
        <v>2.2381431815036494</v>
      </c>
      <c r="AV248" s="5"/>
      <c r="AW248" s="173">
        <f t="shared" si="722"/>
        <v>0.21664988647372274</v>
      </c>
      <c r="AX248" s="173">
        <f t="shared" si="630"/>
        <v>22.749224297672789</v>
      </c>
      <c r="AY248" s="173">
        <f t="shared" si="631"/>
        <v>2.0598768560492675</v>
      </c>
      <c r="AZ248" s="173">
        <f t="shared" si="632"/>
        <v>11.043972959288727</v>
      </c>
      <c r="BA248" s="460">
        <f t="shared" si="723"/>
        <v>1.7685705018263083</v>
      </c>
      <c r="BB248" s="5">
        <f t="shared" si="724"/>
        <v>0.89677825604393535</v>
      </c>
      <c r="BD248" s="173">
        <f t="shared" si="679"/>
        <v>1.4132986645003405</v>
      </c>
      <c r="BE248" s="173">
        <f t="shared" si="680"/>
        <v>2.6874022164980804</v>
      </c>
      <c r="BG248" s="528">
        <f t="shared" si="681"/>
        <v>2.3968957380941354E-2</v>
      </c>
      <c r="BH248" s="528">
        <f t="shared" ref="BH248:BH279" si="753">0.5*K248*AJ248*AN248*1000*Tfall</f>
        <v>2.2966959449854167</v>
      </c>
      <c r="BI248" s="528">
        <f t="shared" si="682"/>
        <v>4.0250000000000001E-2</v>
      </c>
      <c r="BJ248" s="528">
        <f t="shared" si="683"/>
        <v>0.80572858981407347</v>
      </c>
      <c r="BK248">
        <f t="shared" si="684"/>
        <v>1.7969471046181098E-2</v>
      </c>
      <c r="BL248" s="460">
        <f t="shared" si="685"/>
        <v>58.219471046181098</v>
      </c>
      <c r="BM248" s="528">
        <f t="shared" ref="BM248:BM279" si="754">(BH248+BI248*0+BJ248+BK248*0+BG248*(1+RdsonTC*(Ta-25)))/(1-BG248*RdsonTC*ThetaJA)</f>
        <v>3.1508090446644799</v>
      </c>
      <c r="BN248" s="460">
        <f t="shared" si="686"/>
        <v>3150.8090446644796</v>
      </c>
      <c r="BO248" s="528">
        <f t="shared" si="635"/>
        <v>0.55999999999999994</v>
      </c>
      <c r="BR248" s="460">
        <f t="shared" si="687"/>
        <v>559.99999999999989</v>
      </c>
      <c r="BS248" s="528">
        <f t="shared" si="688"/>
        <v>2.7963783611098244E-2</v>
      </c>
      <c r="BT248" s="528">
        <f t="shared" si="689"/>
        <v>0.10110982942534313</v>
      </c>
      <c r="BU248" s="528">
        <f t="shared" si="690"/>
        <v>7.2682268348928147</v>
      </c>
      <c r="BV248" s="528"/>
      <c r="BW248" s="528">
        <f t="shared" si="691"/>
        <v>0.96805209777331047</v>
      </c>
      <c r="BX248" s="460">
        <f t="shared" si="692"/>
        <v>8365.352545702568</v>
      </c>
      <c r="BY248" s="173">
        <f t="shared" si="693"/>
        <v>12.109965508929179</v>
      </c>
      <c r="BZ248" s="5">
        <f t="shared" si="694"/>
        <v>22.400000000000002</v>
      </c>
      <c r="CA248" s="173">
        <f t="shared" si="695"/>
        <v>0.64908786982717137</v>
      </c>
      <c r="CB248" s="5">
        <f t="shared" si="696"/>
        <v>64.908786982717132</v>
      </c>
      <c r="CE248" s="562">
        <f t="shared" ref="CE248:CE279" si="755">IF(ABS(F248-Ioutmax_Vinmax)&lt;Iout/200, AN248, -50)</f>
        <v>-50</v>
      </c>
      <c r="CF248">
        <f t="shared" ref="CF248:CF279" si="756">IF(ABS(F248-Ioutmax_Vinmin)&lt;Iout/200, N248*CA248, -50)</f>
        <v>-50</v>
      </c>
      <c r="CG248" s="173">
        <f t="shared" ref="CG248:CG279" si="757">MIN(SQRT(2*DU248*1000*Ls1_*CL248)/CU248,1-EA248-0.00000005*DU248*1000)</f>
        <v>0.30659419433511786</v>
      </c>
      <c r="CI248" s="170">
        <v>32</v>
      </c>
      <c r="CJ248" s="217">
        <f t="shared" si="697"/>
        <v>0.8</v>
      </c>
      <c r="CK248" s="217"/>
      <c r="CL248" s="217">
        <f t="shared" si="639"/>
        <v>22.400000000000002</v>
      </c>
      <c r="CM248" s="541">
        <f t="shared" si="640"/>
        <v>40</v>
      </c>
      <c r="CN248" s="443">
        <f t="shared" si="641"/>
        <v>28.4</v>
      </c>
      <c r="CO248" s="443">
        <f t="shared" si="642"/>
        <v>68.400000000000006</v>
      </c>
      <c r="CP248" s="443"/>
      <c r="CQ248" s="217">
        <f t="shared" si="643"/>
        <v>0.41520467836257302</v>
      </c>
      <c r="CR248" s="172">
        <f t="shared" si="644"/>
        <v>140.52175355646798</v>
      </c>
      <c r="CS248" s="172">
        <f t="shared" si="645"/>
        <v>22.400000000000002</v>
      </c>
      <c r="CT248" s="217">
        <f t="shared" si="646"/>
        <v>5.0186340555881426</v>
      </c>
      <c r="CU248" s="217">
        <f t="shared" si="647"/>
        <v>28</v>
      </c>
      <c r="CV248" s="217"/>
      <c r="CW248" s="172">
        <f t="shared" si="648"/>
        <v>376.70909470731743</v>
      </c>
      <c r="CX248" s="172">
        <f t="shared" si="649"/>
        <v>28</v>
      </c>
      <c r="CY248" s="217">
        <f t="shared" si="650"/>
        <v>2.6974647887323955</v>
      </c>
      <c r="CZ248" s="217">
        <f t="shared" si="651"/>
        <v>0.31695211267605644</v>
      </c>
      <c r="DA248" s="217">
        <f t="shared" si="652"/>
        <v>0.44641142630430486</v>
      </c>
      <c r="DB248" s="197">
        <f t="shared" si="653"/>
        <v>350</v>
      </c>
      <c r="DC248" s="443">
        <f t="shared" si="654"/>
        <v>350</v>
      </c>
      <c r="DE248" s="217">
        <f t="shared" si="655"/>
        <v>10.09616239179509</v>
      </c>
      <c r="DF248" s="173">
        <f t="shared" si="656"/>
        <v>1.6708437761069339</v>
      </c>
      <c r="DG248" s="173">
        <f t="shared" si="657"/>
        <v>2.9520942666067511</v>
      </c>
      <c r="DH248" s="173"/>
      <c r="DI248" s="173">
        <f t="shared" si="658"/>
        <v>0.55164319248826299</v>
      </c>
      <c r="DJ248" s="545">
        <f t="shared" si="659"/>
        <v>870.127659574468</v>
      </c>
      <c r="DK248" s="528">
        <f t="shared" si="660"/>
        <v>0.3217918622848201</v>
      </c>
      <c r="DM248" s="173">
        <f t="shared" si="661"/>
        <v>5.255768288647376</v>
      </c>
      <c r="DN248" s="173">
        <f t="shared" si="662"/>
        <v>5.255768288647376</v>
      </c>
      <c r="DO248" s="173">
        <f t="shared" si="663"/>
        <v>2.6240258928252169</v>
      </c>
      <c r="DQ248" s="545">
        <f t="shared" si="664"/>
        <v>800</v>
      </c>
      <c r="DR248" s="460">
        <f t="shared" si="665"/>
        <v>350</v>
      </c>
      <c r="DT248">
        <f t="shared" si="666"/>
        <v>800</v>
      </c>
      <c r="DU248">
        <f t="shared" si="667"/>
        <v>350</v>
      </c>
      <c r="DW248" s="5">
        <f t="shared" si="668"/>
        <v>2.8571428571428572</v>
      </c>
      <c r="DX248" s="5">
        <f t="shared" si="669"/>
        <v>0.61755277391606667</v>
      </c>
      <c r="DY248" s="5">
        <f t="shared" si="670"/>
        <v>2.2395900832267905</v>
      </c>
      <c r="DZ248" s="5"/>
      <c r="EA248" s="173">
        <f t="shared" si="671"/>
        <v>0.21614347087062333</v>
      </c>
      <c r="EB248" s="173">
        <f t="shared" si="698"/>
        <v>22.72</v>
      </c>
      <c r="EC248" s="173">
        <f t="shared" si="699"/>
        <v>2.0598841443236879</v>
      </c>
      <c r="ED248" s="173">
        <f t="shared" si="700"/>
        <v>11.029746533370957</v>
      </c>
      <c r="EE248" s="460">
        <f t="shared" si="672"/>
        <v>1.7644364969030477</v>
      </c>
      <c r="EF248" s="5">
        <f t="shared" si="673"/>
        <v>0.89583603329071615</v>
      </c>
      <c r="EH248" s="173">
        <f t="shared" si="701"/>
        <v>1.4107389051963064</v>
      </c>
      <c r="EI248" s="173">
        <f t="shared" si="702"/>
        <v>2.6865434749288259</v>
      </c>
      <c r="EK248" s="528">
        <f t="shared" si="703"/>
        <v>2.3882211103613677E-2</v>
      </c>
      <c r="EL248" s="528">
        <f t="shared" si="704"/>
        <v>2.3906387637741457</v>
      </c>
      <c r="EM248" s="528">
        <f t="shared" si="705"/>
        <v>4.0250000000000001E-2</v>
      </c>
      <c r="EN248" s="528">
        <f t="shared" si="706"/>
        <v>0.80646678000000016</v>
      </c>
      <c r="EO248">
        <f t="shared" si="707"/>
        <v>1.7999999999999999E-2</v>
      </c>
      <c r="EP248" s="460">
        <f t="shared" si="708"/>
        <v>58.249999999999993</v>
      </c>
      <c r="EQ248" s="460"/>
      <c r="ER248" s="460">
        <f t="shared" si="709"/>
        <v>3279.237754877759</v>
      </c>
      <c r="ES248" s="528">
        <f t="shared" si="710"/>
        <v>0.55999999999999994</v>
      </c>
      <c r="EV248" s="460">
        <f t="shared" si="711"/>
        <v>559.99999999999989</v>
      </c>
      <c r="EW248" s="528">
        <f t="shared" si="712"/>
        <v>2.7862579620882625E-2</v>
      </c>
      <c r="EX248" s="528">
        <f t="shared" si="713"/>
        <v>0.10104522179755712</v>
      </c>
      <c r="EY248" s="528">
        <f t="shared" si="714"/>
        <v>7.2565574971530804</v>
      </c>
      <c r="EZ248" s="528"/>
      <c r="FA248" s="528">
        <f t="shared" si="715"/>
        <v>0.96680851063829787</v>
      </c>
      <c r="FB248" s="460">
        <f t="shared" si="716"/>
        <v>8352.273809209817</v>
      </c>
      <c r="FC248" s="173">
        <f t="shared" si="717"/>
        <v>12.191511564087577</v>
      </c>
      <c r="FD248" s="5">
        <f t="shared" si="718"/>
        <v>22.400000000000002</v>
      </c>
      <c r="FE248" s="173">
        <f t="shared" si="719"/>
        <v>0.64755770959877235</v>
      </c>
      <c r="FF248" s="5">
        <f t="shared" si="720"/>
        <v>64.755770959877239</v>
      </c>
      <c r="FI248" s="562">
        <f t="shared" si="674"/>
        <v>-50</v>
      </c>
      <c r="FJ248">
        <f t="shared" si="675"/>
        <v>-50</v>
      </c>
      <c r="FL248">
        <f t="shared" ref="FL248:FL279" si="758">MIN(SQRT(2*L*DR248*1000*CJ248*(CX248+Vfwd1))/(Nps*(CX248+Vfwd1)), 1-EA248)</f>
        <v>0.30442742376144138</v>
      </c>
    </row>
    <row r="249" spans="5:168">
      <c r="E249" s="170">
        <v>33</v>
      </c>
      <c r="F249" s="217">
        <f t="shared" ref="F249:F280" si="759">IF(PLOT_TYPE=1, E249/100*Iout_max, min_I*EXP(N249*rr/100))</f>
        <v>0.82500000000000007</v>
      </c>
      <c r="G249" s="217"/>
      <c r="H249" s="217">
        <f t="shared" si="725"/>
        <v>23.1</v>
      </c>
      <c r="I249" s="541">
        <f t="shared" si="726"/>
        <v>39.931106001867192</v>
      </c>
      <c r="J249" s="172">
        <f t="shared" si="727"/>
        <v>28.437096768225356</v>
      </c>
      <c r="K249" s="172">
        <f t="shared" si="728"/>
        <v>68.368202770092552</v>
      </c>
      <c r="L249" s="443"/>
      <c r="M249" s="217">
        <f t="shared" si="729"/>
        <v>0.41594264334786485</v>
      </c>
      <c r="N249" s="172">
        <f t="shared" si="730"/>
        <v>140.52905241268778</v>
      </c>
      <c r="O249" s="172">
        <f t="shared" si="598"/>
        <v>23.1</v>
      </c>
      <c r="P249" s="217">
        <f t="shared" si="731"/>
        <v>5.0188947290245638</v>
      </c>
      <c r="Q249" s="217">
        <f t="shared" si="732"/>
        <v>28</v>
      </c>
      <c r="R249" s="217"/>
      <c r="S249" s="172">
        <f t="shared" si="733"/>
        <v>363.45729661345774</v>
      </c>
      <c r="T249" s="172">
        <f t="shared" si="734"/>
        <v>28</v>
      </c>
      <c r="U249" s="217">
        <f t="shared" si="735"/>
        <v>2.7816160831461856</v>
      </c>
      <c r="V249" s="217">
        <f t="shared" si="736"/>
        <v>0.32740379367843575</v>
      </c>
      <c r="W249" s="217">
        <f t="shared" si="737"/>
        <v>0.4597373528438059</v>
      </c>
      <c r="X249" s="197">
        <f t="shared" si="738"/>
        <v>350</v>
      </c>
      <c r="Y249" s="443">
        <f t="shared" si="678"/>
        <v>350</v>
      </c>
      <c r="AA249" s="217">
        <f t="shared" si="739"/>
        <v>10.096632044187325</v>
      </c>
      <c r="AB249" s="173">
        <f t="shared" si="740"/>
        <v>1.6687417493583276</v>
      </c>
      <c r="AC249" s="173">
        <f t="shared" si="741"/>
        <v>2.9485174985077882</v>
      </c>
      <c r="AD249" s="173"/>
      <c r="AE249" s="173">
        <f t="shared" si="742"/>
        <v>0.55092356277987098</v>
      </c>
      <c r="AF249" s="545">
        <f t="shared" si="743"/>
        <v>898.49124895350326</v>
      </c>
      <c r="AG249" s="528">
        <f t="shared" si="744"/>
        <v>0.32137207828825809</v>
      </c>
      <c r="AI249" s="173">
        <f t="shared" si="745"/>
        <v>5.3407426181018707</v>
      </c>
      <c r="AJ249" s="173">
        <f t="shared" si="746"/>
        <v>5.3407426181018707</v>
      </c>
      <c r="AK249" s="173">
        <f t="shared" si="747"/>
        <v>2.6869698405692866</v>
      </c>
      <c r="AM249" s="545">
        <f t="shared" si="748"/>
        <v>825.00000000000011</v>
      </c>
      <c r="AN249" s="460">
        <f t="shared" si="749"/>
        <v>350</v>
      </c>
      <c r="AP249">
        <f t="shared" si="750"/>
        <v>825.00000000000011</v>
      </c>
      <c r="AQ249">
        <f t="shared" si="751"/>
        <v>350</v>
      </c>
      <c r="AS249" s="5">
        <f t="shared" si="599"/>
        <v>2.8571428571428572</v>
      </c>
      <c r="AT249" s="5">
        <f t="shared" si="752"/>
        <v>0.62861996118777763</v>
      </c>
      <c r="AU249" s="5">
        <f t="shared" si="721"/>
        <v>2.2285228959550798</v>
      </c>
      <c r="AV249" s="5"/>
      <c r="AW249" s="173">
        <f t="shared" si="722"/>
        <v>0.22001698641572218</v>
      </c>
      <c r="AX249" s="173">
        <f t="shared" si="630"/>
        <v>23.460604833785915</v>
      </c>
      <c r="AY249" s="173">
        <f t="shared" si="631"/>
        <v>2.0828442610225415</v>
      </c>
      <c r="AZ249" s="173">
        <f t="shared" si="632"/>
        <v>11.263734534942271</v>
      </c>
      <c r="BA249" s="460">
        <f t="shared" si="723"/>
        <v>1.8521838142139879</v>
      </c>
      <c r="BB249" s="5">
        <f t="shared" si="724"/>
        <v>0.9208517235044632</v>
      </c>
      <c r="BD249" s="173">
        <f t="shared" si="679"/>
        <v>1.4463357712262226</v>
      </c>
      <c r="BE249" s="173">
        <f t="shared" si="680"/>
        <v>2.7232254297324197</v>
      </c>
      <c r="BG249" s="528">
        <f t="shared" si="681"/>
        <v>2.5102645957542628E-2</v>
      </c>
      <c r="BH249" s="528">
        <f t="shared" si="753"/>
        <v>2.3323124230682715</v>
      </c>
      <c r="BI249" s="528">
        <f t="shared" si="682"/>
        <v>4.0250000000000001E-2</v>
      </c>
      <c r="BJ249" s="528">
        <f t="shared" si="683"/>
        <v>0.80571714698340313</v>
      </c>
      <c r="BK249">
        <f t="shared" si="684"/>
        <v>1.7968997700840237E-2</v>
      </c>
      <c r="BL249" s="460">
        <f t="shared" si="685"/>
        <v>58.218997700840241</v>
      </c>
      <c r="BM249" s="528">
        <f t="shared" si="754"/>
        <v>3.1889299480999584</v>
      </c>
      <c r="BN249" s="460">
        <f t="shared" si="686"/>
        <v>3188.9299480999584</v>
      </c>
      <c r="BO249" s="528">
        <f t="shared" si="635"/>
        <v>0.57750000000000001</v>
      </c>
      <c r="BR249" s="460">
        <f t="shared" si="687"/>
        <v>577.5</v>
      </c>
      <c r="BS249" s="528">
        <f t="shared" si="688"/>
        <v>2.9286420283799731E-2</v>
      </c>
      <c r="BT249" s="528">
        <f t="shared" si="689"/>
        <v>0.10382339437597851</v>
      </c>
      <c r="BU249" s="528">
        <f t="shared" si="690"/>
        <v>7.5534304975249826</v>
      </c>
      <c r="BV249" s="528"/>
      <c r="BW249" s="528">
        <f t="shared" si="691"/>
        <v>0.9983236099483368</v>
      </c>
      <c r="BX249" s="460">
        <f t="shared" si="692"/>
        <v>8684.8639221330977</v>
      </c>
      <c r="BY249" s="173">
        <f t="shared" si="693"/>
        <v>12.483715135843156</v>
      </c>
      <c r="BZ249" s="5">
        <f t="shared" si="694"/>
        <v>23.1</v>
      </c>
      <c r="CA249" s="173">
        <f t="shared" si="695"/>
        <v>0.64917336236012013</v>
      </c>
      <c r="CB249" s="5">
        <f t="shared" si="696"/>
        <v>64.917336236012019</v>
      </c>
      <c r="CE249" s="562">
        <f t="shared" si="755"/>
        <v>-50</v>
      </c>
      <c r="CF249">
        <f t="shared" si="756"/>
        <v>-50</v>
      </c>
      <c r="CG249" s="173">
        <f t="shared" si="757"/>
        <v>0.31134787617711479</v>
      </c>
      <c r="CI249" s="170">
        <v>33</v>
      </c>
      <c r="CJ249" s="217">
        <f t="shared" si="697"/>
        <v>0.82500000000000007</v>
      </c>
      <c r="CK249" s="217"/>
      <c r="CL249" s="217">
        <f t="shared" si="639"/>
        <v>23.1</v>
      </c>
      <c r="CM249" s="541">
        <f t="shared" si="640"/>
        <v>40</v>
      </c>
      <c r="CN249" s="443">
        <f t="shared" si="641"/>
        <v>28.4</v>
      </c>
      <c r="CO249" s="443">
        <f t="shared" si="642"/>
        <v>68.400000000000006</v>
      </c>
      <c r="CP249" s="443"/>
      <c r="CQ249" s="217">
        <f t="shared" si="643"/>
        <v>0.41520467836257302</v>
      </c>
      <c r="CR249" s="172">
        <f t="shared" si="644"/>
        <v>140.52175355646798</v>
      </c>
      <c r="CS249" s="172">
        <f t="shared" si="645"/>
        <v>23.1</v>
      </c>
      <c r="CT249" s="217">
        <f t="shared" si="646"/>
        <v>5.0186340555881426</v>
      </c>
      <c r="CU249" s="217">
        <f t="shared" si="647"/>
        <v>28</v>
      </c>
      <c r="CV249" s="217"/>
      <c r="CW249" s="172">
        <f t="shared" si="648"/>
        <v>364.08430167859132</v>
      </c>
      <c r="CX249" s="172">
        <f t="shared" si="649"/>
        <v>28</v>
      </c>
      <c r="CY249" s="217">
        <f t="shared" si="650"/>
        <v>2.7817605633802827</v>
      </c>
      <c r="CZ249" s="217">
        <f t="shared" si="651"/>
        <v>0.32685686619718318</v>
      </c>
      <c r="DA249" s="217">
        <f t="shared" si="652"/>
        <v>0.46036178337631439</v>
      </c>
      <c r="DB249" s="197">
        <f t="shared" si="653"/>
        <v>350</v>
      </c>
      <c r="DC249" s="443">
        <f t="shared" si="654"/>
        <v>350</v>
      </c>
      <c r="DE249" s="217">
        <f t="shared" si="655"/>
        <v>10.09616239179509</v>
      </c>
      <c r="DF249" s="173">
        <f t="shared" si="656"/>
        <v>1.6708437761069339</v>
      </c>
      <c r="DG249" s="173">
        <f t="shared" si="657"/>
        <v>2.9520942666067511</v>
      </c>
      <c r="DH249" s="173"/>
      <c r="DI249" s="173">
        <f t="shared" si="658"/>
        <v>0.55164319248826299</v>
      </c>
      <c r="DJ249" s="545">
        <f t="shared" si="659"/>
        <v>897.31914893617011</v>
      </c>
      <c r="DK249" s="528">
        <f t="shared" si="660"/>
        <v>0.3217918622848201</v>
      </c>
      <c r="DM249" s="173">
        <f t="shared" si="661"/>
        <v>5.3372579278548882</v>
      </c>
      <c r="DN249" s="173">
        <f t="shared" si="662"/>
        <v>5.3372579278548882</v>
      </c>
      <c r="DO249" s="173">
        <f t="shared" si="663"/>
        <v>2.6843885885344849</v>
      </c>
      <c r="DQ249" s="545">
        <f t="shared" si="664"/>
        <v>825.00000000000011</v>
      </c>
      <c r="DR249" s="460">
        <f t="shared" si="665"/>
        <v>350</v>
      </c>
      <c r="DT249">
        <f t="shared" si="666"/>
        <v>825.00000000000011</v>
      </c>
      <c r="DU249">
        <f t="shared" si="667"/>
        <v>350</v>
      </c>
      <c r="DW249" s="5">
        <f t="shared" si="668"/>
        <v>2.8571428571428572</v>
      </c>
      <c r="DX249" s="5">
        <f t="shared" si="669"/>
        <v>0.6271278065229493</v>
      </c>
      <c r="DY249" s="5">
        <f t="shared" si="670"/>
        <v>2.2300150506199081</v>
      </c>
      <c r="DZ249" s="5"/>
      <c r="EA249" s="173">
        <f t="shared" si="671"/>
        <v>0.21949473228303226</v>
      </c>
      <c r="EB249" s="173">
        <f t="shared" si="698"/>
        <v>23.430000000000003</v>
      </c>
      <c r="EC249" s="173">
        <f t="shared" si="699"/>
        <v>2.0828789639274441</v>
      </c>
      <c r="ED249" s="173">
        <f t="shared" si="700"/>
        <v>11.248853344709364</v>
      </c>
      <c r="EE249" s="460">
        <f t="shared" si="672"/>
        <v>1.8477872870765475</v>
      </c>
      <c r="EF249" s="5">
        <f t="shared" si="673"/>
        <v>0.91988120838071197</v>
      </c>
      <c r="EH249" s="173">
        <f t="shared" si="701"/>
        <v>1.4436755940402035</v>
      </c>
      <c r="EI249" s="173">
        <f t="shared" si="702"/>
        <v>2.7223595480127067</v>
      </c>
      <c r="EK249" s="528">
        <f t="shared" si="703"/>
        <v>2.5010390649928015E-2</v>
      </c>
      <c r="EL249" s="528">
        <f t="shared" si="704"/>
        <v>2.4277051410640746</v>
      </c>
      <c r="EM249" s="528">
        <f t="shared" si="705"/>
        <v>4.0250000000000001E-2</v>
      </c>
      <c r="EN249" s="528">
        <f t="shared" si="706"/>
        <v>0.80646678000000016</v>
      </c>
      <c r="EO249">
        <f t="shared" si="707"/>
        <v>1.7999999999999999E-2</v>
      </c>
      <c r="EP249" s="460">
        <f t="shared" si="708"/>
        <v>58.249999999999993</v>
      </c>
      <c r="EQ249" s="460"/>
      <c r="ER249" s="460">
        <f t="shared" si="709"/>
        <v>3317.4323117140025</v>
      </c>
      <c r="ES249" s="528">
        <f t="shared" si="710"/>
        <v>0.57750000000000001</v>
      </c>
      <c r="EV249" s="460">
        <f t="shared" si="711"/>
        <v>577.5</v>
      </c>
      <c r="EW249" s="528">
        <f t="shared" si="712"/>
        <v>2.9178789091582686E-2</v>
      </c>
      <c r="EX249" s="528">
        <f t="shared" si="713"/>
        <v>0.10375738112118328</v>
      </c>
      <c r="EY249" s="528">
        <f t="shared" si="714"/>
        <v>7.5411155029712491</v>
      </c>
      <c r="EZ249" s="528"/>
      <c r="FA249" s="528">
        <f t="shared" si="715"/>
        <v>0.9970212765957448</v>
      </c>
      <c r="FB249" s="460">
        <f t="shared" si="716"/>
        <v>8671.0729497797602</v>
      </c>
      <c r="FC249" s="173">
        <f t="shared" si="717"/>
        <v>12.566005261493764</v>
      </c>
      <c r="FD249" s="5">
        <f t="shared" si="718"/>
        <v>23.1</v>
      </c>
      <c r="FE249" s="173">
        <f t="shared" si="719"/>
        <v>0.64767556194300091</v>
      </c>
      <c r="FF249" s="5">
        <f t="shared" si="720"/>
        <v>64.767556194300084</v>
      </c>
      <c r="FI249" s="562">
        <f t="shared" si="674"/>
        <v>-50</v>
      </c>
      <c r="FJ249">
        <f t="shared" si="675"/>
        <v>-50</v>
      </c>
      <c r="FL249">
        <f t="shared" si="758"/>
        <v>0.30914751025779191</v>
      </c>
    </row>
    <row r="250" spans="5:168">
      <c r="E250" s="170">
        <v>34</v>
      </c>
      <c r="F250" s="217">
        <f t="shared" si="759"/>
        <v>0.85000000000000009</v>
      </c>
      <c r="G250" s="217"/>
      <c r="H250" s="217">
        <f t="shared" si="725"/>
        <v>23.800000000000004</v>
      </c>
      <c r="I250" s="541">
        <f t="shared" si="726"/>
        <v>39.930069943758369</v>
      </c>
      <c r="J250" s="172">
        <f t="shared" si="727"/>
        <v>28.437654645668569</v>
      </c>
      <c r="K250" s="172">
        <f t="shared" si="728"/>
        <v>68.367724589426942</v>
      </c>
      <c r="L250" s="443"/>
      <c r="M250" s="217">
        <f t="shared" si="729"/>
        <v>0.4159537463840326</v>
      </c>
      <c r="N250" s="172">
        <f t="shared" si="730"/>
        <v>140.5291573650633</v>
      </c>
      <c r="O250" s="172">
        <f t="shared" si="598"/>
        <v>23.800000000000004</v>
      </c>
      <c r="P250" s="217">
        <f t="shared" si="731"/>
        <v>5.0188984773236891</v>
      </c>
      <c r="Q250" s="217">
        <f t="shared" si="732"/>
        <v>28</v>
      </c>
      <c r="R250" s="217"/>
      <c r="S250" s="172">
        <f t="shared" si="733"/>
        <v>351.5865808240232</v>
      </c>
      <c r="T250" s="172">
        <f t="shared" si="734"/>
        <v>28</v>
      </c>
      <c r="U250" s="217">
        <f t="shared" si="735"/>
        <v>2.8659053392393918</v>
      </c>
      <c r="V250" s="217">
        <f t="shared" si="736"/>
        <v>0.33733362133843831</v>
      </c>
      <c r="W250" s="217">
        <f t="shared" si="737"/>
        <v>0.47365914180537966</v>
      </c>
      <c r="X250" s="197">
        <f t="shared" si="738"/>
        <v>350</v>
      </c>
      <c r="Y250" s="443">
        <f t="shared" si="678"/>
        <v>350</v>
      </c>
      <c r="AA250" s="217">
        <f t="shared" si="739"/>
        <v>10.096638763474795</v>
      </c>
      <c r="AB250" s="173">
        <f t="shared" si="740"/>
        <v>1.668710123236532</v>
      </c>
      <c r="AC250" s="173">
        <f t="shared" si="741"/>
        <v>2.948463580172735</v>
      </c>
      <c r="AD250" s="173"/>
      <c r="AE250" s="173">
        <f t="shared" si="742"/>
        <v>0.55091275500291326</v>
      </c>
      <c r="AF250" s="545">
        <f t="shared" si="743"/>
        <v>925.73641718878537</v>
      </c>
      <c r="AG250" s="528">
        <f t="shared" si="744"/>
        <v>0.32136577375169945</v>
      </c>
      <c r="AI250" s="173">
        <f t="shared" si="745"/>
        <v>5.4211122187732723</v>
      </c>
      <c r="AJ250" s="173">
        <f t="shared" si="746"/>
        <v>5.4211122187732723</v>
      </c>
      <c r="AK250" s="173">
        <f t="shared" si="747"/>
        <v>2.7465028781036587</v>
      </c>
      <c r="AM250" s="545">
        <f t="shared" si="748"/>
        <v>850.00000000000011</v>
      </c>
      <c r="AN250" s="460">
        <f t="shared" si="749"/>
        <v>350</v>
      </c>
      <c r="AP250">
        <f t="shared" si="750"/>
        <v>850.00000000000011</v>
      </c>
      <c r="AQ250">
        <f t="shared" si="751"/>
        <v>350</v>
      </c>
      <c r="AS250" s="5">
        <f t="shared" si="599"/>
        <v>2.8571428571428572</v>
      </c>
      <c r="AT250" s="5">
        <f t="shared" si="752"/>
        <v>0.63809623835174722</v>
      </c>
      <c r="AU250" s="5">
        <f t="shared" si="721"/>
        <v>2.21904661879111</v>
      </c>
      <c r="AV250" s="5"/>
      <c r="AW250" s="173">
        <f t="shared" si="722"/>
        <v>0.22333368342311152</v>
      </c>
      <c r="AX250" s="173">
        <f t="shared" si="630"/>
        <v>24.172006448818287</v>
      </c>
      <c r="AY250" s="173">
        <f t="shared" si="631"/>
        <v>2.1051976293523</v>
      </c>
      <c r="AZ250" s="173">
        <f t="shared" si="632"/>
        <v>11.482060454464419</v>
      </c>
      <c r="BA250" s="460">
        <f t="shared" si="723"/>
        <v>1.9370778664249468</v>
      </c>
      <c r="BB250" s="5">
        <f t="shared" si="724"/>
        <v>0.9447464673260767</v>
      </c>
      <c r="BD250" s="173">
        <f t="shared" si="679"/>
        <v>1.4791250235307256</v>
      </c>
      <c r="BE250" s="173">
        <f t="shared" si="680"/>
        <v>2.7583222668153775</v>
      </c>
      <c r="BG250" s="528">
        <f t="shared" si="681"/>
        <v>2.6253730022817237E-2</v>
      </c>
      <c r="BH250" s="528">
        <f t="shared" si="753"/>
        <v>2.367393421866129</v>
      </c>
      <c r="BI250" s="528">
        <f t="shared" si="682"/>
        <v>4.0250000000000001E-2</v>
      </c>
      <c r="BJ250" s="528">
        <f t="shared" si="683"/>
        <v>0.80570587633422208</v>
      </c>
      <c r="BK250">
        <f t="shared" si="684"/>
        <v>1.7968531474691265E-2</v>
      </c>
      <c r="BL250" s="460">
        <f t="shared" si="685"/>
        <v>58.218531474691261</v>
      </c>
      <c r="BM250" s="528">
        <f t="shared" si="754"/>
        <v>3.2265685026376549</v>
      </c>
      <c r="BN250" s="460">
        <f t="shared" si="686"/>
        <v>3226.568502637655</v>
      </c>
      <c r="BO250" s="528">
        <f t="shared" si="635"/>
        <v>0.59499999999999997</v>
      </c>
      <c r="BR250" s="460">
        <f t="shared" si="687"/>
        <v>595</v>
      </c>
      <c r="BS250" s="528">
        <f t="shared" si="688"/>
        <v>3.0629351693286774E-2</v>
      </c>
      <c r="BT250" s="528">
        <f t="shared" si="689"/>
        <v>0.10651678418653332</v>
      </c>
      <c r="BU250" s="528">
        <f t="shared" si="690"/>
        <v>7.8408132255266336</v>
      </c>
      <c r="BV250" s="528"/>
      <c r="BW250" s="528">
        <f t="shared" si="691"/>
        <v>1.0285960190986505</v>
      </c>
      <c r="BX250" s="460">
        <f t="shared" si="692"/>
        <v>9006.555380505104</v>
      </c>
      <c r="BY250" s="173">
        <f t="shared" si="693"/>
        <v>12.859126940202962</v>
      </c>
      <c r="BZ250" s="5">
        <f t="shared" si="694"/>
        <v>23.800000000000004</v>
      </c>
      <c r="CA250" s="173">
        <f t="shared" si="695"/>
        <v>0.64922440839416873</v>
      </c>
      <c r="CB250" s="5">
        <f t="shared" si="696"/>
        <v>64.922440839416879</v>
      </c>
      <c r="CE250" s="562">
        <f t="shared" si="755"/>
        <v>-50</v>
      </c>
      <c r="CF250">
        <f t="shared" si="756"/>
        <v>-50</v>
      </c>
      <c r="CG250" s="173">
        <f t="shared" si="757"/>
        <v>0.31603006186120969</v>
      </c>
      <c r="CI250" s="170">
        <v>34</v>
      </c>
      <c r="CJ250" s="217">
        <f t="shared" si="697"/>
        <v>0.85000000000000009</v>
      </c>
      <c r="CK250" s="217"/>
      <c r="CL250" s="217">
        <f t="shared" si="639"/>
        <v>23.800000000000004</v>
      </c>
      <c r="CM250" s="541">
        <f t="shared" si="640"/>
        <v>40</v>
      </c>
      <c r="CN250" s="443">
        <f t="shared" si="641"/>
        <v>28.4</v>
      </c>
      <c r="CO250" s="443">
        <f t="shared" si="642"/>
        <v>68.400000000000006</v>
      </c>
      <c r="CP250" s="443"/>
      <c r="CQ250" s="217">
        <f t="shared" si="643"/>
        <v>0.41520467836257302</v>
      </c>
      <c r="CR250" s="172">
        <f t="shared" si="644"/>
        <v>140.52175355646798</v>
      </c>
      <c r="CS250" s="172">
        <f t="shared" si="645"/>
        <v>23.800000000000004</v>
      </c>
      <c r="CT250" s="217">
        <f t="shared" si="646"/>
        <v>5.0186340555881426</v>
      </c>
      <c r="CU250" s="217">
        <f t="shared" si="647"/>
        <v>28</v>
      </c>
      <c r="CV250" s="217"/>
      <c r="CW250" s="172">
        <f t="shared" si="648"/>
        <v>352.20223965482973</v>
      </c>
      <c r="CX250" s="172">
        <f t="shared" si="649"/>
        <v>28</v>
      </c>
      <c r="CY250" s="217">
        <f t="shared" si="650"/>
        <v>2.8660563380281703</v>
      </c>
      <c r="CZ250" s="217">
        <f t="shared" si="651"/>
        <v>0.33676161971830998</v>
      </c>
      <c r="DA250" s="217">
        <f t="shared" si="652"/>
        <v>0.47431214044832398</v>
      </c>
      <c r="DB250" s="197">
        <f t="shared" si="653"/>
        <v>350</v>
      </c>
      <c r="DC250" s="443">
        <f t="shared" si="654"/>
        <v>350</v>
      </c>
      <c r="DE250" s="217">
        <f t="shared" si="655"/>
        <v>10.09616239179509</v>
      </c>
      <c r="DF250" s="173">
        <f t="shared" si="656"/>
        <v>1.6708437761069339</v>
      </c>
      <c r="DG250" s="173">
        <f t="shared" si="657"/>
        <v>2.9520942666067511</v>
      </c>
      <c r="DH250" s="173"/>
      <c r="DI250" s="173">
        <f t="shared" si="658"/>
        <v>0.55164319248826299</v>
      </c>
      <c r="DJ250" s="545">
        <f t="shared" si="659"/>
        <v>924.51063829787233</v>
      </c>
      <c r="DK250" s="528">
        <f t="shared" si="660"/>
        <v>0.3217918622848201</v>
      </c>
      <c r="DM250" s="173">
        <f t="shared" si="661"/>
        <v>5.4175219494662255</v>
      </c>
      <c r="DN250" s="173">
        <f t="shared" si="662"/>
        <v>5.4175219494662255</v>
      </c>
      <c r="DO250" s="173">
        <f t="shared" si="663"/>
        <v>2.7438434193576979</v>
      </c>
      <c r="DQ250" s="545">
        <f t="shared" si="664"/>
        <v>850.00000000000011</v>
      </c>
      <c r="DR250" s="460">
        <f t="shared" si="665"/>
        <v>350</v>
      </c>
      <c r="DT250">
        <f t="shared" si="666"/>
        <v>850.00000000000011</v>
      </c>
      <c r="DU250">
        <f t="shared" si="667"/>
        <v>350</v>
      </c>
      <c r="DW250" s="5">
        <f t="shared" si="668"/>
        <v>2.8571428571428572</v>
      </c>
      <c r="DX250" s="5">
        <f t="shared" si="669"/>
        <v>0.63655882906228145</v>
      </c>
      <c r="DY250" s="5">
        <f t="shared" si="670"/>
        <v>2.2205840280805758</v>
      </c>
      <c r="DZ250" s="5"/>
      <c r="EA250" s="173">
        <f t="shared" si="671"/>
        <v>0.22279559017179851</v>
      </c>
      <c r="EB250" s="173">
        <f t="shared" si="698"/>
        <v>24.14</v>
      </c>
      <c r="EC250" s="173">
        <f t="shared" si="699"/>
        <v>2.1052609747331128</v>
      </c>
      <c r="ED250" s="173">
        <f t="shared" si="700"/>
        <v>11.466511890793143</v>
      </c>
      <c r="EE250" s="460">
        <f t="shared" si="672"/>
        <v>1.9324107310819263</v>
      </c>
      <c r="EF250" s="5">
        <f t="shared" si="673"/>
        <v>0.94374821193424474</v>
      </c>
      <c r="EH250" s="173">
        <f t="shared" si="701"/>
        <v>1.4763636626303305</v>
      </c>
      <c r="EI250" s="173">
        <f t="shared" si="702"/>
        <v>2.7574502159266991</v>
      </c>
      <c r="EK250" s="528">
        <f t="shared" si="703"/>
        <v>2.615579597202293E-2</v>
      </c>
      <c r="EL250" s="528">
        <f t="shared" si="704"/>
        <v>2.464214033934208</v>
      </c>
      <c r="EM250" s="528">
        <f t="shared" si="705"/>
        <v>4.0250000000000001E-2</v>
      </c>
      <c r="EN250" s="528">
        <f t="shared" si="706"/>
        <v>0.80646678000000016</v>
      </c>
      <c r="EO250">
        <f t="shared" si="707"/>
        <v>1.7999999999999999E-2</v>
      </c>
      <c r="EP250" s="460">
        <f t="shared" si="708"/>
        <v>58.249999999999993</v>
      </c>
      <c r="EQ250" s="460"/>
      <c r="ER250" s="460">
        <f t="shared" si="709"/>
        <v>3355.0866099062309</v>
      </c>
      <c r="ES250" s="528">
        <f t="shared" si="710"/>
        <v>0.59499999999999997</v>
      </c>
      <c r="EV250" s="460">
        <f t="shared" si="711"/>
        <v>595</v>
      </c>
      <c r="EW250" s="528">
        <f t="shared" si="712"/>
        <v>3.0515095300693417E-2</v>
      </c>
      <c r="EX250" s="528">
        <f t="shared" si="713"/>
        <v>0.10644944370639881</v>
      </c>
      <c r="EY250" s="528">
        <f t="shared" si="714"/>
        <v>7.8278377285847984</v>
      </c>
      <c r="EZ250" s="528"/>
      <c r="FA250" s="528">
        <f t="shared" si="715"/>
        <v>1.0272340425531918</v>
      </c>
      <c r="FB250" s="460">
        <f t="shared" si="716"/>
        <v>8992.0363101450821</v>
      </c>
      <c r="FC250" s="173">
        <f t="shared" si="717"/>
        <v>12.942122920051313</v>
      </c>
      <c r="FD250" s="5">
        <f t="shared" si="718"/>
        <v>23.800000000000004</v>
      </c>
      <c r="FE250" s="173">
        <f t="shared" si="719"/>
        <v>0.64775788954240332</v>
      </c>
      <c r="FF250" s="5">
        <f t="shared" si="720"/>
        <v>64.775788954240326</v>
      </c>
      <c r="FI250" s="562">
        <f t="shared" si="674"/>
        <v>-50</v>
      </c>
      <c r="FJ250">
        <f t="shared" si="675"/>
        <v>-50</v>
      </c>
      <c r="FL250">
        <f t="shared" si="758"/>
        <v>0.31379660587577257</v>
      </c>
    </row>
    <row r="251" spans="5:168">
      <c r="E251" s="170">
        <v>35</v>
      </c>
      <c r="F251" s="217">
        <f t="shared" si="759"/>
        <v>0.875</v>
      </c>
      <c r="G251" s="217"/>
      <c r="H251" s="217">
        <f t="shared" si="725"/>
        <v>24.5</v>
      </c>
      <c r="I251" s="541">
        <f t="shared" si="726"/>
        <v>39.929049013021725</v>
      </c>
      <c r="J251" s="172">
        <f t="shared" si="727"/>
        <v>28.438204377603686</v>
      </c>
      <c r="K251" s="172">
        <f t="shared" si="728"/>
        <v>68.367253390625407</v>
      </c>
      <c r="L251" s="443"/>
      <c r="M251" s="217">
        <f t="shared" si="729"/>
        <v>0.41596468745664084</v>
      </c>
      <c r="N251" s="172">
        <f t="shared" si="730"/>
        <v>140.52926064552463</v>
      </c>
      <c r="O251" s="172">
        <f t="shared" si="598"/>
        <v>24.5</v>
      </c>
      <c r="P251" s="217">
        <f t="shared" si="731"/>
        <v>5.0189021659115935</v>
      </c>
      <c r="Q251" s="217">
        <f t="shared" si="732"/>
        <v>28</v>
      </c>
      <c r="R251" s="217"/>
      <c r="S251" s="172">
        <f t="shared" si="733"/>
        <v>340.39447409475969</v>
      </c>
      <c r="T251" s="172">
        <f t="shared" si="734"/>
        <v>28</v>
      </c>
      <c r="U251" s="217">
        <f t="shared" si="735"/>
        <v>2.9501945045312721</v>
      </c>
      <c r="V251" s="217">
        <f t="shared" si="736"/>
        <v>0.34726382205534134</v>
      </c>
      <c r="W251" s="217">
        <f t="shared" si="737"/>
        <v>0.48758050920461715</v>
      </c>
      <c r="X251" s="197">
        <f t="shared" si="738"/>
        <v>350</v>
      </c>
      <c r="Y251" s="443">
        <f t="shared" si="678"/>
        <v>350</v>
      </c>
      <c r="AA251" s="217">
        <f t="shared" si="739"/>
        <v>10.096645374691926</v>
      </c>
      <c r="AB251" s="173">
        <f t="shared" si="740"/>
        <v>1.6686789584515509</v>
      </c>
      <c r="AC251" s="173">
        <f t="shared" si="741"/>
        <v>2.9484104453467284</v>
      </c>
      <c r="AD251" s="173"/>
      <c r="AE251" s="173">
        <f t="shared" si="742"/>
        <v>0.55090210544393026</v>
      </c>
      <c r="AF251" s="545">
        <f t="shared" si="743"/>
        <v>952.98238073884693</v>
      </c>
      <c r="AG251" s="528">
        <f t="shared" si="744"/>
        <v>0.32135956150895933</v>
      </c>
      <c r="AI251" s="173">
        <f t="shared" si="745"/>
        <v>5.5003098923919147</v>
      </c>
      <c r="AJ251" s="173">
        <f t="shared" si="746"/>
        <v>5.5003098923919147</v>
      </c>
      <c r="AK251" s="173">
        <f t="shared" si="747"/>
        <v>2.8051678215248748</v>
      </c>
      <c r="AM251" s="545">
        <f t="shared" si="748"/>
        <v>875</v>
      </c>
      <c r="AN251" s="460">
        <f t="shared" si="749"/>
        <v>350</v>
      </c>
      <c r="AP251">
        <f t="shared" si="750"/>
        <v>875</v>
      </c>
      <c r="AQ251">
        <f t="shared" si="751"/>
        <v>350</v>
      </c>
      <c r="AS251" s="5">
        <f t="shared" si="599"/>
        <v>2.8571428571428572</v>
      </c>
      <c r="AT251" s="5">
        <f t="shared" si="752"/>
        <v>0.64743481583574103</v>
      </c>
      <c r="AU251" s="5">
        <f t="shared" si="721"/>
        <v>2.209708041307116</v>
      </c>
      <c r="AV251" s="5"/>
      <c r="AW251" s="173">
        <f t="shared" si="722"/>
        <v>0.22660218554250935</v>
      </c>
      <c r="AX251" s="173">
        <f t="shared" si="630"/>
        <v>24.883428830403236</v>
      </c>
      <c r="AY251" s="173">
        <f t="shared" si="631"/>
        <v>2.1269638248074112</v>
      </c>
      <c r="AZ251" s="173">
        <f t="shared" si="632"/>
        <v>11.699037162823556</v>
      </c>
      <c r="BA251" s="460">
        <f t="shared" si="723"/>
        <v>2.0232337994866909</v>
      </c>
      <c r="BB251" s="5">
        <f t="shared" si="724"/>
        <v>0.96846510695166932</v>
      </c>
      <c r="BD251" s="173">
        <f t="shared" si="679"/>
        <v>1.5116755140845606</v>
      </c>
      <c r="BE251" s="173">
        <f t="shared" si="680"/>
        <v>2.7927238992720524</v>
      </c>
      <c r="BG251" s="528">
        <f t="shared" si="681"/>
        <v>2.7421954318593848E-2</v>
      </c>
      <c r="BH251" s="528">
        <f t="shared" si="753"/>
        <v>2.401962399395027</v>
      </c>
      <c r="BI251" s="528">
        <f t="shared" si="682"/>
        <v>4.0250000000000001E-2</v>
      </c>
      <c r="BJ251" s="528">
        <f t="shared" si="683"/>
        <v>0.80569477032367953</v>
      </c>
      <c r="BK251">
        <f t="shared" si="684"/>
        <v>1.7968072055859777E-2</v>
      </c>
      <c r="BL251" s="460">
        <f t="shared" si="685"/>
        <v>58.218072055859778</v>
      </c>
      <c r="BM251" s="528">
        <f t="shared" si="754"/>
        <v>3.2637478583993924</v>
      </c>
      <c r="BN251" s="460">
        <f t="shared" si="686"/>
        <v>3263.7478583993925</v>
      </c>
      <c r="BO251" s="528">
        <f t="shared" si="635"/>
        <v>0.61249999999999993</v>
      </c>
      <c r="BR251" s="460">
        <f t="shared" si="687"/>
        <v>612.49999999999989</v>
      </c>
      <c r="BS251" s="528">
        <f t="shared" si="688"/>
        <v>3.1992280038359487E-2</v>
      </c>
      <c r="BT251" s="528">
        <f t="shared" si="689"/>
        <v>0.10919029488591417</v>
      </c>
      <c r="BU251" s="528">
        <f t="shared" si="690"/>
        <v>8.1303269784005234</v>
      </c>
      <c r="BV251" s="528"/>
      <c r="BW251" s="528">
        <f t="shared" si="691"/>
        <v>1.0588693119320525</v>
      </c>
      <c r="BX251" s="460">
        <f t="shared" si="692"/>
        <v>9330.378865256851</v>
      </c>
      <c r="BY251" s="173">
        <f t="shared" si="693"/>
        <v>13.23617606135001</v>
      </c>
      <c r="BZ251" s="5">
        <f t="shared" si="694"/>
        <v>24.5</v>
      </c>
      <c r="CA251" s="173">
        <f t="shared" si="695"/>
        <v>0.64924437389121914</v>
      </c>
      <c r="CB251" s="5">
        <f t="shared" si="696"/>
        <v>64.92443738912192</v>
      </c>
      <c r="CE251" s="562">
        <f t="shared" si="755"/>
        <v>-50</v>
      </c>
      <c r="CF251">
        <f t="shared" si="756"/>
        <v>-50</v>
      </c>
      <c r="CG251" s="173">
        <f t="shared" si="757"/>
        <v>0.32064388345951655</v>
      </c>
      <c r="CI251" s="170">
        <v>35</v>
      </c>
      <c r="CJ251" s="217">
        <f t="shared" si="697"/>
        <v>0.875</v>
      </c>
      <c r="CK251" s="217"/>
      <c r="CL251" s="217">
        <f t="shared" si="639"/>
        <v>24.5</v>
      </c>
      <c r="CM251" s="541">
        <f t="shared" si="640"/>
        <v>40</v>
      </c>
      <c r="CN251" s="443">
        <f t="shared" si="641"/>
        <v>28.4</v>
      </c>
      <c r="CO251" s="443">
        <f t="shared" si="642"/>
        <v>68.400000000000006</v>
      </c>
      <c r="CP251" s="443"/>
      <c r="CQ251" s="217">
        <f t="shared" si="643"/>
        <v>0.41520467836257302</v>
      </c>
      <c r="CR251" s="172">
        <f t="shared" si="644"/>
        <v>140.52175355646798</v>
      </c>
      <c r="CS251" s="172">
        <f t="shared" si="645"/>
        <v>24.5</v>
      </c>
      <c r="CT251" s="217">
        <f t="shared" si="646"/>
        <v>5.0186340555881426</v>
      </c>
      <c r="CU251" s="217">
        <f t="shared" si="647"/>
        <v>28</v>
      </c>
      <c r="CV251" s="217"/>
      <c r="CW251" s="172">
        <f t="shared" si="648"/>
        <v>340.99924690227738</v>
      </c>
      <c r="CX251" s="172">
        <f t="shared" si="649"/>
        <v>28</v>
      </c>
      <c r="CY251" s="217">
        <f t="shared" si="650"/>
        <v>2.950352112676057</v>
      </c>
      <c r="CZ251" s="217">
        <f t="shared" si="651"/>
        <v>0.34666637323943672</v>
      </c>
      <c r="DA251" s="217">
        <f t="shared" si="652"/>
        <v>0.48826249752033335</v>
      </c>
      <c r="DB251" s="197">
        <f t="shared" si="653"/>
        <v>350</v>
      </c>
      <c r="DC251" s="443">
        <f t="shared" si="654"/>
        <v>350</v>
      </c>
      <c r="DE251" s="217">
        <f t="shared" si="655"/>
        <v>10.09616239179509</v>
      </c>
      <c r="DF251" s="173">
        <f t="shared" si="656"/>
        <v>1.6708437761069339</v>
      </c>
      <c r="DG251" s="173">
        <f t="shared" si="657"/>
        <v>2.9520942666067511</v>
      </c>
      <c r="DH251" s="173"/>
      <c r="DI251" s="173">
        <f t="shared" si="658"/>
        <v>0.55164319248826299</v>
      </c>
      <c r="DJ251" s="545">
        <f t="shared" si="659"/>
        <v>951.70212765957433</v>
      </c>
      <c r="DK251" s="528">
        <f t="shared" si="660"/>
        <v>0.3217918622848201</v>
      </c>
      <c r="DM251" s="173">
        <f t="shared" si="661"/>
        <v>5.4966140447958329</v>
      </c>
      <c r="DN251" s="173">
        <f t="shared" si="662"/>
        <v>5.4966140447958329</v>
      </c>
      <c r="DO251" s="173">
        <f t="shared" si="663"/>
        <v>2.8024301566388887</v>
      </c>
      <c r="DQ251" s="545">
        <f t="shared" si="664"/>
        <v>875</v>
      </c>
      <c r="DR251" s="460">
        <f t="shared" si="665"/>
        <v>350</v>
      </c>
      <c r="DT251">
        <f t="shared" si="666"/>
        <v>875</v>
      </c>
      <c r="DU251">
        <f t="shared" si="667"/>
        <v>350</v>
      </c>
      <c r="DW251" s="5">
        <f t="shared" si="668"/>
        <v>2.8571428571428572</v>
      </c>
      <c r="DX251" s="5">
        <f t="shared" si="669"/>
        <v>0.64585215026351039</v>
      </c>
      <c r="DY251" s="5">
        <f t="shared" si="670"/>
        <v>2.211290706879347</v>
      </c>
      <c r="DZ251" s="5"/>
      <c r="EA251" s="173">
        <f t="shared" si="671"/>
        <v>0.22604825259222863</v>
      </c>
      <c r="EB251" s="173">
        <f t="shared" si="698"/>
        <v>24.849999999999998</v>
      </c>
      <c r="EC251" s="173">
        <f t="shared" si="699"/>
        <v>2.1270570223979166</v>
      </c>
      <c r="ED251" s="173">
        <f t="shared" si="700"/>
        <v>11.682808565228589</v>
      </c>
      <c r="EE251" s="460">
        <f t="shared" si="672"/>
        <v>2.0182879695734699</v>
      </c>
      <c r="EF251" s="5">
        <f t="shared" si="673"/>
        <v>0.96743968425971427</v>
      </c>
      <c r="EH251" s="173">
        <f t="shared" si="701"/>
        <v>1.5088122205517407</v>
      </c>
      <c r="EI251" s="173">
        <f t="shared" si="702"/>
        <v>2.7918466413700682</v>
      </c>
      <c r="EK251" s="528">
        <f t="shared" si="703"/>
        <v>2.7318171802635297E-2</v>
      </c>
      <c r="EL251" s="528">
        <f t="shared" si="704"/>
        <v>2.5001898644158329</v>
      </c>
      <c r="EM251" s="528">
        <f t="shared" si="705"/>
        <v>4.0250000000000001E-2</v>
      </c>
      <c r="EN251" s="528">
        <f t="shared" si="706"/>
        <v>0.80646678000000016</v>
      </c>
      <c r="EO251">
        <f t="shared" si="707"/>
        <v>1.7999999999999999E-2</v>
      </c>
      <c r="EP251" s="460">
        <f t="shared" si="708"/>
        <v>58.249999999999993</v>
      </c>
      <c r="EQ251" s="460"/>
      <c r="ER251" s="460">
        <f t="shared" si="709"/>
        <v>3392.2248162184683</v>
      </c>
      <c r="ES251" s="528">
        <f t="shared" si="710"/>
        <v>0.61249999999999993</v>
      </c>
      <c r="EV251" s="460">
        <f t="shared" si="711"/>
        <v>612.49999999999989</v>
      </c>
      <c r="EW251" s="528">
        <f t="shared" si="712"/>
        <v>3.187120043640785E-2</v>
      </c>
      <c r="EX251" s="528">
        <f t="shared" si="713"/>
        <v>0.10912170736501063</v>
      </c>
      <c r="EY251" s="528">
        <f t="shared" si="714"/>
        <v>8.1166762438231874</v>
      </c>
      <c r="EZ251" s="528"/>
      <c r="FA251" s="528">
        <f t="shared" si="715"/>
        <v>1.0574468085106383</v>
      </c>
      <c r="FB251" s="460">
        <f t="shared" si="716"/>
        <v>9315.1159601352447</v>
      </c>
      <c r="FC251" s="173">
        <f t="shared" si="717"/>
        <v>13.319840776353713</v>
      </c>
      <c r="FD251" s="5">
        <f t="shared" si="718"/>
        <v>24.5</v>
      </c>
      <c r="FE251" s="173">
        <f t="shared" si="719"/>
        <v>0.64780812126840726</v>
      </c>
      <c r="FF251" s="5">
        <f t="shared" si="720"/>
        <v>64.780812126840729</v>
      </c>
      <c r="FI251" s="562">
        <f t="shared" si="674"/>
        <v>-50</v>
      </c>
      <c r="FJ251">
        <f t="shared" si="675"/>
        <v>-50</v>
      </c>
      <c r="FL251">
        <f t="shared" si="758"/>
        <v>0.31837782055243469</v>
      </c>
    </row>
    <row r="252" spans="5:168">
      <c r="E252" s="170">
        <v>36</v>
      </c>
      <c r="F252" s="217">
        <f t="shared" si="759"/>
        <v>0.89999999999999991</v>
      </c>
      <c r="G252" s="217"/>
      <c r="H252" s="217">
        <f t="shared" si="725"/>
        <v>25.199999999999996</v>
      </c>
      <c r="I252" s="541">
        <f t="shared" si="726"/>
        <v>39.928042565773744</v>
      </c>
      <c r="J252" s="172">
        <f t="shared" si="727"/>
        <v>28.438746310737212</v>
      </c>
      <c r="K252" s="172">
        <f t="shared" si="728"/>
        <v>68.366788876510952</v>
      </c>
      <c r="L252" s="443"/>
      <c r="M252" s="217">
        <f t="shared" si="729"/>
        <v>0.41597547345953151</v>
      </c>
      <c r="N252" s="172">
        <f t="shared" si="730"/>
        <v>140.52936232523265</v>
      </c>
      <c r="O252" s="172">
        <f t="shared" si="598"/>
        <v>25.199999999999996</v>
      </c>
      <c r="P252" s="217">
        <f t="shared" si="731"/>
        <v>5.0189057973297375</v>
      </c>
      <c r="Q252" s="217">
        <f t="shared" si="732"/>
        <v>28</v>
      </c>
      <c r="R252" s="217"/>
      <c r="S252" s="172">
        <f t="shared" si="733"/>
        <v>329.82442000186489</v>
      </c>
      <c r="T252" s="172">
        <f t="shared" si="734"/>
        <v>28</v>
      </c>
      <c r="U252" s="217">
        <f t="shared" si="735"/>
        <v>3.0344835804938635</v>
      </c>
      <c r="V252" s="217">
        <f t="shared" si="736"/>
        <v>0.35719439050454688</v>
      </c>
      <c r="W252" s="217">
        <f t="shared" si="737"/>
        <v>0.5015014611574643</v>
      </c>
      <c r="X252" s="197">
        <f t="shared" si="738"/>
        <v>350</v>
      </c>
      <c r="Y252" s="443">
        <f t="shared" si="678"/>
        <v>350</v>
      </c>
      <c r="AA252" s="217">
        <f t="shared" si="739"/>
        <v>10.09665188243844</v>
      </c>
      <c r="AB252" s="173">
        <f t="shared" si="740"/>
        <v>1.6686482353669732</v>
      </c>
      <c r="AC252" s="173">
        <f t="shared" si="741"/>
        <v>2.948358060680468</v>
      </c>
      <c r="AD252" s="173"/>
      <c r="AE252" s="173">
        <f t="shared" si="742"/>
        <v>0.55089160736848752</v>
      </c>
      <c r="AF252" s="545">
        <f t="shared" si="743"/>
        <v>980.22912815732502</v>
      </c>
      <c r="AG252" s="528">
        <f t="shared" si="744"/>
        <v>0.32135343763161772</v>
      </c>
      <c r="AI252" s="173">
        <f t="shared" si="745"/>
        <v>5.5783855209968651</v>
      </c>
      <c r="AJ252" s="173">
        <f t="shared" si="746"/>
        <v>5.5783855209968651</v>
      </c>
      <c r="AK252" s="173">
        <f t="shared" si="747"/>
        <v>2.863001620491505</v>
      </c>
      <c r="AM252" s="545">
        <f t="shared" si="748"/>
        <v>899.99999999999989</v>
      </c>
      <c r="AN252" s="460">
        <f t="shared" si="749"/>
        <v>350</v>
      </c>
      <c r="AP252">
        <f t="shared" si="750"/>
        <v>899.99999999999989</v>
      </c>
      <c r="AQ252">
        <f t="shared" si="751"/>
        <v>350</v>
      </c>
      <c r="AS252" s="5">
        <f t="shared" si="599"/>
        <v>2.8571428571428572</v>
      </c>
      <c r="AT252" s="5">
        <f t="shared" si="752"/>
        <v>0.65664155475429309</v>
      </c>
      <c r="AU252" s="5">
        <f t="shared" si="721"/>
        <v>2.200501302388564</v>
      </c>
      <c r="AV252" s="5"/>
      <c r="AW252" s="173">
        <f t="shared" si="722"/>
        <v>0.22982454416400258</v>
      </c>
      <c r="AX252" s="173">
        <f t="shared" si="630"/>
        <v>25.594871679663495</v>
      </c>
      <c r="AY252" s="173">
        <f t="shared" si="631"/>
        <v>2.1481678057313442</v>
      </c>
      <c r="AZ252" s="173">
        <f t="shared" si="632"/>
        <v>11.914745026611044</v>
      </c>
      <c r="BA252" s="460">
        <f t="shared" si="723"/>
        <v>2.1106335688530846</v>
      </c>
      <c r="BB252" s="5">
        <f t="shared" si="724"/>
        <v>0.99201014870052595</v>
      </c>
      <c r="BD252" s="173">
        <f t="shared" si="679"/>
        <v>1.5439957526432073</v>
      </c>
      <c r="BE252" s="173">
        <f t="shared" si="680"/>
        <v>2.8264592908399648</v>
      </c>
      <c r="BG252" s="528">
        <f t="shared" si="681"/>
        <v>2.860707461016317E-2</v>
      </c>
      <c r="BH252" s="528">
        <f t="shared" si="753"/>
        <v>2.4360411493741583</v>
      </c>
      <c r="BI252" s="528">
        <f t="shared" si="682"/>
        <v>4.0250000000000001E-2</v>
      </c>
      <c r="BJ252" s="528">
        <f t="shared" si="683"/>
        <v>0.80568382194407451</v>
      </c>
      <c r="BK252">
        <f t="shared" si="684"/>
        <v>1.7967619154598186E-2</v>
      </c>
      <c r="BL252" s="460">
        <f t="shared" si="685"/>
        <v>58.217619154598189</v>
      </c>
      <c r="BM252" s="528">
        <f t="shared" si="754"/>
        <v>3.3004895184101453</v>
      </c>
      <c r="BN252" s="460">
        <f t="shared" si="686"/>
        <v>3300.4895184101451</v>
      </c>
      <c r="BO252" s="528">
        <f t="shared" si="635"/>
        <v>0.62999999999999989</v>
      </c>
      <c r="BR252" s="460">
        <f t="shared" si="687"/>
        <v>629.99999999999989</v>
      </c>
      <c r="BS252" s="528">
        <f t="shared" si="688"/>
        <v>3.3374920378523701E-2</v>
      </c>
      <c r="BT252" s="528">
        <f t="shared" si="689"/>
        <v>0.11184420971885779</v>
      </c>
      <c r="BU252" s="528">
        <f t="shared" si="690"/>
        <v>8.4219261257799705</v>
      </c>
      <c r="BV252" s="528"/>
      <c r="BW252" s="528">
        <f t="shared" si="691"/>
        <v>1.0891434757303615</v>
      </c>
      <c r="BX252" s="460">
        <f t="shared" si="692"/>
        <v>9656.2887316077122</v>
      </c>
      <c r="BY252" s="173">
        <f t="shared" si="693"/>
        <v>13.614838396690708</v>
      </c>
      <c r="BZ252" s="5">
        <f t="shared" si="694"/>
        <v>25.199999999999996</v>
      </c>
      <c r="CA252" s="173">
        <f t="shared" si="695"/>
        <v>0.64923624677897696</v>
      </c>
      <c r="CB252" s="5">
        <f t="shared" si="696"/>
        <v>64.923624677897692</v>
      </c>
      <c r="CE252" s="562">
        <f t="shared" si="755"/>
        <v>-50</v>
      </c>
      <c r="CF252">
        <f t="shared" si="756"/>
        <v>-50</v>
      </c>
      <c r="CG252" s="173">
        <f t="shared" si="757"/>
        <v>0.32519225083018194</v>
      </c>
      <c r="CI252" s="170">
        <v>36</v>
      </c>
      <c r="CJ252" s="217">
        <f t="shared" si="697"/>
        <v>0.89999999999999991</v>
      </c>
      <c r="CK252" s="217"/>
      <c r="CL252" s="217">
        <f t="shared" si="639"/>
        <v>25.199999999999996</v>
      </c>
      <c r="CM252" s="541">
        <f t="shared" si="640"/>
        <v>40</v>
      </c>
      <c r="CN252" s="443">
        <f t="shared" si="641"/>
        <v>28.4</v>
      </c>
      <c r="CO252" s="443">
        <f t="shared" si="642"/>
        <v>68.400000000000006</v>
      </c>
      <c r="CP252" s="443"/>
      <c r="CQ252" s="217">
        <f t="shared" si="643"/>
        <v>0.41520467836257302</v>
      </c>
      <c r="CR252" s="172">
        <f t="shared" si="644"/>
        <v>140.52175355646798</v>
      </c>
      <c r="CS252" s="172">
        <f t="shared" si="645"/>
        <v>25.199999999999996</v>
      </c>
      <c r="CT252" s="217">
        <f t="shared" si="646"/>
        <v>5.0186340555881426</v>
      </c>
      <c r="CU252" s="217">
        <f t="shared" si="647"/>
        <v>28</v>
      </c>
      <c r="CV252" s="217"/>
      <c r="CW252" s="172">
        <f t="shared" si="648"/>
        <v>330.41873522488549</v>
      </c>
      <c r="CX252" s="172">
        <f t="shared" si="649"/>
        <v>28</v>
      </c>
      <c r="CY252" s="217">
        <f t="shared" si="650"/>
        <v>3.0346478873239437</v>
      </c>
      <c r="CZ252" s="217">
        <f t="shared" si="651"/>
        <v>0.35657112676056341</v>
      </c>
      <c r="DA252" s="217">
        <f t="shared" si="652"/>
        <v>0.50221285459234277</v>
      </c>
      <c r="DB252" s="197">
        <f t="shared" si="653"/>
        <v>350</v>
      </c>
      <c r="DC252" s="443">
        <f t="shared" si="654"/>
        <v>350</v>
      </c>
      <c r="DE252" s="217">
        <f t="shared" si="655"/>
        <v>10.09616239179509</v>
      </c>
      <c r="DF252" s="173">
        <f t="shared" si="656"/>
        <v>1.6708437761069339</v>
      </c>
      <c r="DG252" s="173">
        <f t="shared" si="657"/>
        <v>2.9520942666067511</v>
      </c>
      <c r="DH252" s="173"/>
      <c r="DI252" s="173">
        <f t="shared" si="658"/>
        <v>0.55164319248826299</v>
      </c>
      <c r="DJ252" s="545">
        <f t="shared" si="659"/>
        <v>978.89361702127633</v>
      </c>
      <c r="DK252" s="528">
        <f t="shared" si="660"/>
        <v>0.3217918622848201</v>
      </c>
      <c r="DM252" s="173">
        <f t="shared" si="661"/>
        <v>5.5745840958716633</v>
      </c>
      <c r="DN252" s="173">
        <f t="shared" si="662"/>
        <v>5.5745840958716633</v>
      </c>
      <c r="DO252" s="173">
        <f t="shared" si="663"/>
        <v>2.8601857500283927</v>
      </c>
      <c r="DQ252" s="545">
        <f t="shared" si="664"/>
        <v>899.99999999999989</v>
      </c>
      <c r="DR252" s="460">
        <f t="shared" si="665"/>
        <v>350</v>
      </c>
      <c r="DT252">
        <f t="shared" si="666"/>
        <v>899.99999999999989</v>
      </c>
      <c r="DU252">
        <f t="shared" si="667"/>
        <v>350</v>
      </c>
      <c r="DW252" s="5">
        <f t="shared" si="668"/>
        <v>2.8571428571428572</v>
      </c>
      <c r="DX252" s="5">
        <f t="shared" si="669"/>
        <v>0.6550136312649204</v>
      </c>
      <c r="DY252" s="5">
        <f t="shared" si="670"/>
        <v>2.202129225877937</v>
      </c>
      <c r="DZ252" s="5"/>
      <c r="EA252" s="173">
        <f t="shared" si="671"/>
        <v>0.22925477094272215</v>
      </c>
      <c r="EB252" s="173">
        <f t="shared" si="698"/>
        <v>25.560000000000002</v>
      </c>
      <c r="EC252" s="173">
        <f t="shared" si="699"/>
        <v>2.1482920479358314</v>
      </c>
      <c r="ED252" s="173">
        <f t="shared" si="700"/>
        <v>11.897823680238968</v>
      </c>
      <c r="EE252" s="460">
        <f t="shared" si="672"/>
        <v>2.1054009576372437</v>
      </c>
      <c r="EF252" s="5">
        <f t="shared" si="673"/>
        <v>0.99095815164507139</v>
      </c>
      <c r="EH252" s="173">
        <f t="shared" si="701"/>
        <v>1.5410297936254604</v>
      </c>
      <c r="EI252" s="173">
        <f t="shared" si="702"/>
        <v>2.8255777797010713</v>
      </c>
      <c r="EK252" s="528">
        <f t="shared" si="703"/>
        <v>2.8497273898095948E-2</v>
      </c>
      <c r="EL252" s="528">
        <f t="shared" si="704"/>
        <v>2.5356553218481852</v>
      </c>
      <c r="EM252" s="528">
        <f t="shared" si="705"/>
        <v>4.0250000000000001E-2</v>
      </c>
      <c r="EN252" s="528">
        <f t="shared" si="706"/>
        <v>0.80646678000000016</v>
      </c>
      <c r="EO252">
        <f t="shared" si="707"/>
        <v>1.7999999999999999E-2</v>
      </c>
      <c r="EP252" s="460">
        <f t="shared" si="708"/>
        <v>58.249999999999993</v>
      </c>
      <c r="EQ252" s="460"/>
      <c r="ER252" s="460">
        <f t="shared" si="709"/>
        <v>3428.8693757462811</v>
      </c>
      <c r="ES252" s="528">
        <f t="shared" si="710"/>
        <v>0.62999999999999989</v>
      </c>
      <c r="EV252" s="460">
        <f t="shared" si="711"/>
        <v>629.99999999999989</v>
      </c>
      <c r="EW252" s="528">
        <f t="shared" si="712"/>
        <v>3.3246819547778611E-2</v>
      </c>
      <c r="EX252" s="528">
        <f t="shared" si="713"/>
        <v>0.1117744570479661</v>
      </c>
      <c r="EY252" s="528">
        <f t="shared" si="714"/>
        <v>8.4075855246611955</v>
      </c>
      <c r="EZ252" s="528"/>
      <c r="FA252" s="528">
        <f t="shared" si="715"/>
        <v>1.0876595744680853</v>
      </c>
      <c r="FB252" s="460">
        <f t="shared" si="716"/>
        <v>9640.2663757250266</v>
      </c>
      <c r="FC252" s="173">
        <f t="shared" si="717"/>
        <v>13.699135751471307</v>
      </c>
      <c r="FD252" s="5">
        <f t="shared" si="718"/>
        <v>25.199999999999996</v>
      </c>
      <c r="FE252" s="173">
        <f t="shared" si="719"/>
        <v>0.64782930296971553</v>
      </c>
      <c r="FF252" s="5">
        <f t="shared" si="720"/>
        <v>64.782930296971557</v>
      </c>
      <c r="FI252" s="562">
        <f t="shared" si="674"/>
        <v>-50</v>
      </c>
      <c r="FJ252">
        <f t="shared" si="675"/>
        <v>-50</v>
      </c>
      <c r="FL252">
        <f t="shared" si="758"/>
        <v>0.32289404358129881</v>
      </c>
    </row>
    <row r="253" spans="5:168">
      <c r="E253" s="170">
        <v>37</v>
      </c>
      <c r="F253" s="217">
        <f t="shared" si="759"/>
        <v>0.92500000000000004</v>
      </c>
      <c r="G253" s="217"/>
      <c r="H253" s="217">
        <f t="shared" si="725"/>
        <v>25.900000000000002</v>
      </c>
      <c r="I253" s="541">
        <f t="shared" si="726"/>
        <v>39.927050002552022</v>
      </c>
      <c r="J253" s="172">
        <f t="shared" si="727"/>
        <v>28.439280767856602</v>
      </c>
      <c r="K253" s="172">
        <f t="shared" si="728"/>
        <v>68.366330770408624</v>
      </c>
      <c r="L253" s="443"/>
      <c r="M253" s="217">
        <f t="shared" si="729"/>
        <v>0.41598611081094478</v>
      </c>
      <c r="N253" s="172">
        <f t="shared" si="730"/>
        <v>140.52946247043886</v>
      </c>
      <c r="O253" s="172">
        <f t="shared" si="598"/>
        <v>25.900000000000002</v>
      </c>
      <c r="P253" s="217">
        <f t="shared" si="731"/>
        <v>5.0189093739442452</v>
      </c>
      <c r="Q253" s="217">
        <f t="shared" si="732"/>
        <v>28</v>
      </c>
      <c r="R253" s="217"/>
      <c r="S253" s="172">
        <f t="shared" si="733"/>
        <v>319.82597676649158</v>
      </c>
      <c r="T253" s="172">
        <f t="shared" si="734"/>
        <v>28</v>
      </c>
      <c r="U253" s="217">
        <f t="shared" si="735"/>
        <v>3.1187725685374201</v>
      </c>
      <c r="V253" s="217">
        <f t="shared" si="736"/>
        <v>0.36712532158496464</v>
      </c>
      <c r="W253" s="217">
        <f t="shared" si="737"/>
        <v>0.51542200352314438</v>
      </c>
      <c r="X253" s="197">
        <f t="shared" si="738"/>
        <v>350</v>
      </c>
      <c r="Y253" s="443">
        <f t="shared" si="678"/>
        <v>350</v>
      </c>
      <c r="AA253" s="217">
        <f t="shared" si="739"/>
        <v>10.096658290996727</v>
      </c>
      <c r="AB253" s="173">
        <f t="shared" si="740"/>
        <v>1.6686179357010908</v>
      </c>
      <c r="AC253" s="173">
        <f t="shared" si="741"/>
        <v>2.9483063951253956</v>
      </c>
      <c r="AD253" s="173"/>
      <c r="AE253" s="173">
        <f t="shared" si="742"/>
        <v>0.55088125450675474</v>
      </c>
      <c r="AF253" s="545">
        <f t="shared" si="743"/>
        <v>1007.4766484783241</v>
      </c>
      <c r="AG253" s="528">
        <f t="shared" si="744"/>
        <v>0.32134739846227361</v>
      </c>
      <c r="AI253" s="173">
        <f t="shared" si="745"/>
        <v>5.6553855452991488</v>
      </c>
      <c r="AJ253" s="173">
        <f t="shared" si="746"/>
        <v>5.6553855452991488</v>
      </c>
      <c r="AK253" s="173">
        <f t="shared" si="747"/>
        <v>2.9200386755302334</v>
      </c>
      <c r="AM253" s="545">
        <f t="shared" si="748"/>
        <v>925</v>
      </c>
      <c r="AN253" s="460">
        <f t="shared" si="749"/>
        <v>350</v>
      </c>
      <c r="AP253">
        <f t="shared" si="750"/>
        <v>925</v>
      </c>
      <c r="AQ253">
        <f t="shared" si="751"/>
        <v>350</v>
      </c>
      <c r="AS253" s="5">
        <f t="shared" si="599"/>
        <v>2.8571428571428572</v>
      </c>
      <c r="AT253" s="5">
        <f t="shared" si="752"/>
        <v>0.66572191186694396</v>
      </c>
      <c r="AU253" s="5">
        <f t="shared" si="721"/>
        <v>2.1914209452759135</v>
      </c>
      <c r="AV253" s="5"/>
      <c r="AW253" s="173">
        <f t="shared" si="722"/>
        <v>0.23300266915343038</v>
      </c>
      <c r="AX253" s="173">
        <f t="shared" si="630"/>
        <v>26.306334710267361</v>
      </c>
      <c r="AY253" s="173">
        <f t="shared" si="631"/>
        <v>2.1688328090763593</v>
      </c>
      <c r="AZ253" s="173">
        <f t="shared" si="632"/>
        <v>12.129258926819</v>
      </c>
      <c r="BA253" s="460">
        <f t="shared" si="723"/>
        <v>2.199259887417583</v>
      </c>
      <c r="BB253" s="5">
        <f t="shared" si="724"/>
        <v>1.0153839936838087</v>
      </c>
      <c r="BD253" s="173">
        <f t="shared" si="679"/>
        <v>1.5760937185265527</v>
      </c>
      <c r="BE253" s="173">
        <f t="shared" si="680"/>
        <v>2.8595554105048091</v>
      </c>
      <c r="BG253" s="528">
        <f t="shared" si="681"/>
        <v>2.9808856914946277E-2</v>
      </c>
      <c r="BH253" s="528">
        <f t="shared" si="753"/>
        <v>2.4696499619889987</v>
      </c>
      <c r="BI253" s="528">
        <f t="shared" si="682"/>
        <v>4.0250000000000001E-2</v>
      </c>
      <c r="BJ253" s="528">
        <f t="shared" si="683"/>
        <v>0.80567302467116275</v>
      </c>
      <c r="BK253">
        <f t="shared" si="684"/>
        <v>1.7967172501148411E-2</v>
      </c>
      <c r="BL253" s="460">
        <f t="shared" si="685"/>
        <v>58.217172501148411</v>
      </c>
      <c r="BM253" s="528">
        <f t="shared" si="754"/>
        <v>3.3368134981800441</v>
      </c>
      <c r="BN253" s="460">
        <f t="shared" si="686"/>
        <v>3336.813498180044</v>
      </c>
      <c r="BO253" s="528">
        <f t="shared" si="635"/>
        <v>0.64749999999999996</v>
      </c>
      <c r="BR253" s="460">
        <f t="shared" si="687"/>
        <v>647.5</v>
      </c>
      <c r="BS253" s="528">
        <f t="shared" si="688"/>
        <v>3.4776999734103989E-2</v>
      </c>
      <c r="BT253" s="528">
        <f t="shared" si="689"/>
        <v>0.11447880004046257</v>
      </c>
      <c r="BU253" s="528">
        <f t="shared" si="690"/>
        <v>8.7155672626288361</v>
      </c>
      <c r="BV253" s="528"/>
      <c r="BW253" s="528">
        <f t="shared" si="691"/>
        <v>1.1194184983092494</v>
      </c>
      <c r="BX253" s="460">
        <f t="shared" si="692"/>
        <v>9984.2415607126513</v>
      </c>
      <c r="BY253" s="173">
        <f t="shared" si="693"/>
        <v>13.995090576788908</v>
      </c>
      <c r="BZ253" s="5">
        <f t="shared" si="694"/>
        <v>25.900000000000002</v>
      </c>
      <c r="CA253" s="173">
        <f t="shared" si="695"/>
        <v>0.64920268698596972</v>
      </c>
      <c r="CB253" s="5">
        <f t="shared" si="696"/>
        <v>64.920268698596971</v>
      </c>
      <c r="CE253" s="562">
        <f t="shared" si="755"/>
        <v>-50</v>
      </c>
      <c r="CF253">
        <f t="shared" si="756"/>
        <v>-50</v>
      </c>
      <c r="CG253" s="173">
        <f t="shared" si="757"/>
        <v>0.32967787308219521</v>
      </c>
      <c r="CI253" s="170">
        <v>37</v>
      </c>
      <c r="CJ253" s="217">
        <f t="shared" si="697"/>
        <v>0.92500000000000004</v>
      </c>
      <c r="CK253" s="217"/>
      <c r="CL253" s="217">
        <f t="shared" si="639"/>
        <v>25.900000000000002</v>
      </c>
      <c r="CM253" s="541">
        <f t="shared" si="640"/>
        <v>40</v>
      </c>
      <c r="CN253" s="443">
        <f t="shared" si="641"/>
        <v>28.4</v>
      </c>
      <c r="CO253" s="443">
        <f t="shared" si="642"/>
        <v>68.400000000000006</v>
      </c>
      <c r="CP253" s="443"/>
      <c r="CQ253" s="217">
        <f t="shared" si="643"/>
        <v>0.41520467836257302</v>
      </c>
      <c r="CR253" s="172">
        <f t="shared" si="644"/>
        <v>140.52175355646798</v>
      </c>
      <c r="CS253" s="172">
        <f t="shared" si="645"/>
        <v>25.900000000000002</v>
      </c>
      <c r="CT253" s="217">
        <f t="shared" si="646"/>
        <v>5.0186340555881426</v>
      </c>
      <c r="CU253" s="217">
        <f t="shared" si="647"/>
        <v>28</v>
      </c>
      <c r="CV253" s="217"/>
      <c r="CW253" s="172">
        <f t="shared" si="648"/>
        <v>320.41023408102217</v>
      </c>
      <c r="CX253" s="172">
        <f t="shared" si="649"/>
        <v>28</v>
      </c>
      <c r="CY253" s="217">
        <f t="shared" si="650"/>
        <v>3.1189436619718318</v>
      </c>
      <c r="CZ253" s="217">
        <f t="shared" si="651"/>
        <v>0.3664758802816902</v>
      </c>
      <c r="DA253" s="217">
        <f t="shared" si="652"/>
        <v>0.51616321166435253</v>
      </c>
      <c r="DB253" s="197">
        <f t="shared" si="653"/>
        <v>350</v>
      </c>
      <c r="DC253" s="443">
        <f t="shared" si="654"/>
        <v>350</v>
      </c>
      <c r="DE253" s="217">
        <f t="shared" si="655"/>
        <v>10.09616239179509</v>
      </c>
      <c r="DF253" s="173">
        <f t="shared" si="656"/>
        <v>1.6708437761069339</v>
      </c>
      <c r="DG253" s="173">
        <f t="shared" si="657"/>
        <v>2.9520942666067511</v>
      </c>
      <c r="DH253" s="173"/>
      <c r="DI253" s="173">
        <f t="shared" si="658"/>
        <v>0.55164319248826299</v>
      </c>
      <c r="DJ253" s="545">
        <f t="shared" si="659"/>
        <v>1006.0851063829787</v>
      </c>
      <c r="DK253" s="528">
        <f t="shared" si="660"/>
        <v>0.3217918622848201</v>
      </c>
      <c r="DM253" s="173">
        <f t="shared" si="661"/>
        <v>5.6514785433940888</v>
      </c>
      <c r="DN253" s="173">
        <f t="shared" si="662"/>
        <v>5.6514785433940888</v>
      </c>
      <c r="DO253" s="173">
        <f t="shared" si="663"/>
        <v>2.9171446000450043</v>
      </c>
      <c r="DQ253" s="545">
        <f t="shared" si="664"/>
        <v>925</v>
      </c>
      <c r="DR253" s="460">
        <f t="shared" si="665"/>
        <v>350</v>
      </c>
      <c r="DT253">
        <f t="shared" si="666"/>
        <v>925</v>
      </c>
      <c r="DU253">
        <f t="shared" si="667"/>
        <v>350</v>
      </c>
      <c r="DW253" s="5">
        <f t="shared" si="668"/>
        <v>2.8571428571428572</v>
      </c>
      <c r="DX253" s="5">
        <f t="shared" si="669"/>
        <v>0.66404872884880539</v>
      </c>
      <c r="DY253" s="5">
        <f t="shared" si="670"/>
        <v>2.1930941282940517</v>
      </c>
      <c r="DZ253" s="5"/>
      <c r="EA253" s="173">
        <f t="shared" si="671"/>
        <v>0.23241705509708188</v>
      </c>
      <c r="EB253" s="173">
        <f t="shared" si="698"/>
        <v>26.270000000000003</v>
      </c>
      <c r="EC253" s="173">
        <f t="shared" si="699"/>
        <v>2.1689892716970443</v>
      </c>
      <c r="ED253" s="173">
        <f t="shared" si="700"/>
        <v>12.111632059593374</v>
      </c>
      <c r="EE253" s="460">
        <f t="shared" si="672"/>
        <v>2.1937324078040894</v>
      </c>
      <c r="EF253" s="5">
        <f t="shared" si="673"/>
        <v>1.0143060343359989</v>
      </c>
      <c r="EH253" s="173">
        <f t="shared" si="701"/>
        <v>1.573024376453221</v>
      </c>
      <c r="EI253" s="173">
        <f t="shared" si="702"/>
        <v>2.8586705919416247</v>
      </c>
      <c r="EK253" s="528">
        <f t="shared" si="703"/>
        <v>2.9692868266992536E-2</v>
      </c>
      <c r="EL253" s="528">
        <f t="shared" si="704"/>
        <v>2.5706315302482357</v>
      </c>
      <c r="EM253" s="528">
        <f t="shared" si="705"/>
        <v>4.0250000000000001E-2</v>
      </c>
      <c r="EN253" s="528">
        <f t="shared" si="706"/>
        <v>0.80646678000000016</v>
      </c>
      <c r="EO253">
        <f t="shared" si="707"/>
        <v>1.7999999999999999E-2</v>
      </c>
      <c r="EP253" s="460">
        <f t="shared" si="708"/>
        <v>58.249999999999993</v>
      </c>
      <c r="EQ253" s="460"/>
      <c r="ER253" s="460">
        <f t="shared" si="709"/>
        <v>3465.0411785152278</v>
      </c>
      <c r="ES253" s="528">
        <f t="shared" si="710"/>
        <v>0.64749999999999996</v>
      </c>
      <c r="EV253" s="460">
        <f t="shared" si="711"/>
        <v>647.5</v>
      </c>
      <c r="EW253" s="528">
        <f t="shared" si="712"/>
        <v>3.4641679644824626E-2</v>
      </c>
      <c r="EX253" s="528">
        <f t="shared" si="713"/>
        <v>0.11440796574524631</v>
      </c>
      <c r="EY253" s="528">
        <f t="shared" si="714"/>
        <v>8.7005222686707739</v>
      </c>
      <c r="EZ253" s="528"/>
      <c r="FA253" s="528">
        <f t="shared" si="715"/>
        <v>1.117872340425532</v>
      </c>
      <c r="FB253" s="460">
        <f t="shared" si="716"/>
        <v>9967.4442544863778</v>
      </c>
      <c r="FC253" s="173">
        <f t="shared" si="717"/>
        <v>14.079985433001603</v>
      </c>
      <c r="FD253" s="5">
        <f t="shared" si="718"/>
        <v>25.900000000000002</v>
      </c>
      <c r="FE253" s="173">
        <f t="shared" si="719"/>
        <v>0.64782414799533083</v>
      </c>
      <c r="FF253" s="5">
        <f t="shared" si="720"/>
        <v>64.782414799533086</v>
      </c>
      <c r="FI253" s="562">
        <f t="shared" si="674"/>
        <v>-50</v>
      </c>
      <c r="FJ253">
        <f t="shared" si="675"/>
        <v>-50</v>
      </c>
      <c r="FL253">
        <f t="shared" si="758"/>
        <v>0.32734796492546747</v>
      </c>
    </row>
    <row r="254" spans="5:168">
      <c r="E254" s="170">
        <v>38</v>
      </c>
      <c r="F254" s="217">
        <f t="shared" si="759"/>
        <v>0.95</v>
      </c>
      <c r="G254" s="217"/>
      <c r="H254" s="217">
        <f t="shared" si="725"/>
        <v>26.599999999999998</v>
      </c>
      <c r="I254" s="541">
        <f t="shared" si="726"/>
        <v>39.926070764139659</v>
      </c>
      <c r="J254" s="172">
        <f t="shared" si="727"/>
        <v>28.439808050078643</v>
      </c>
      <c r="K254" s="172">
        <f t="shared" si="728"/>
        <v>68.365878814218306</v>
      </c>
      <c r="L254" s="443"/>
      <c r="M254" s="217">
        <f t="shared" si="729"/>
        <v>0.41599660549822559</v>
      </c>
      <c r="N254" s="172">
        <f t="shared" si="730"/>
        <v>140.52956114294685</v>
      </c>
      <c r="O254" s="172">
        <f t="shared" si="598"/>
        <v>26.599999999999998</v>
      </c>
      <c r="P254" s="217">
        <f t="shared" si="731"/>
        <v>5.0189128979623874</v>
      </c>
      <c r="Q254" s="217">
        <f t="shared" si="732"/>
        <v>28</v>
      </c>
      <c r="R254" s="217"/>
      <c r="S254" s="172">
        <f t="shared" si="733"/>
        <v>310.3540126580873</v>
      </c>
      <c r="T254" s="172">
        <f t="shared" si="734"/>
        <v>28</v>
      </c>
      <c r="U254" s="217">
        <f t="shared" si="735"/>
        <v>3.2030614700146107</v>
      </c>
      <c r="V254" s="217">
        <f t="shared" si="736"/>
        <v>0.37705661040379779</v>
      </c>
      <c r="W254" s="217">
        <f t="shared" si="737"/>
        <v>0.52934214192163087</v>
      </c>
      <c r="X254" s="197">
        <f t="shared" si="738"/>
        <v>350</v>
      </c>
      <c r="Y254" s="443">
        <f t="shared" si="678"/>
        <v>350</v>
      </c>
      <c r="AA254" s="217">
        <f t="shared" si="739"/>
        <v>10.096664604361679</v>
      </c>
      <c r="AB254" s="173">
        <f t="shared" si="740"/>
        <v>1.6685880423995574</v>
      </c>
      <c r="AC254" s="173">
        <f t="shared" si="741"/>
        <v>2.9482554197174324</v>
      </c>
      <c r="AD254" s="173"/>
      <c r="AE254" s="173">
        <f t="shared" si="742"/>
        <v>0.55087104100983364</v>
      </c>
      <c r="AF254" s="545">
        <f t="shared" si="743"/>
        <v>1034.7249311837122</v>
      </c>
      <c r="AG254" s="528">
        <f t="shared" si="744"/>
        <v>0.3213414405890696</v>
      </c>
      <c r="AI254" s="173">
        <f t="shared" si="745"/>
        <v>5.7313532881657752</v>
      </c>
      <c r="AJ254" s="173">
        <f t="shared" si="746"/>
        <v>5.7313532881657752</v>
      </c>
      <c r="AK254" s="173">
        <f t="shared" si="747"/>
        <v>2.9763110776536603</v>
      </c>
      <c r="AM254" s="545">
        <f t="shared" si="748"/>
        <v>950</v>
      </c>
      <c r="AN254" s="460">
        <f t="shared" si="749"/>
        <v>350</v>
      </c>
      <c r="AP254">
        <f t="shared" si="750"/>
        <v>950</v>
      </c>
      <c r="AQ254">
        <f t="shared" si="751"/>
        <v>350</v>
      </c>
      <c r="AS254" s="5">
        <f t="shared" si="599"/>
        <v>2.8571428571428572</v>
      </c>
      <c r="AT254" s="5">
        <f t="shared" si="752"/>
        <v>0.67468097758754253</v>
      </c>
      <c r="AU254" s="5">
        <f t="shared" si="721"/>
        <v>2.1824618795553148</v>
      </c>
      <c r="AV254" s="5"/>
      <c r="AW254" s="173">
        <f t="shared" si="722"/>
        <v>0.23613834215563989</v>
      </c>
      <c r="AX254" s="173">
        <f t="shared" si="630"/>
        <v>27.017817647574709</v>
      </c>
      <c r="AY254" s="173">
        <f t="shared" si="631"/>
        <v>2.188980512195017</v>
      </c>
      <c r="AZ254" s="173">
        <f t="shared" si="632"/>
        <v>12.342648779674327</v>
      </c>
      <c r="BA254" s="460">
        <f t="shared" si="723"/>
        <v>2.2890961739577338</v>
      </c>
      <c r="BB254" s="5">
        <f t="shared" si="724"/>
        <v>1.038588944965632</v>
      </c>
      <c r="BD254" s="173">
        <f t="shared" si="679"/>
        <v>1.6079769070863776</v>
      </c>
      <c r="BE254" s="173">
        <f t="shared" si="680"/>
        <v>2.8920374198016767</v>
      </c>
      <c r="BG254" s="528">
        <f t="shared" si="681"/>
        <v>3.1027076804676878E-2</v>
      </c>
      <c r="BH254" s="528">
        <f t="shared" si="753"/>
        <v>2.5028077652231104</v>
      </c>
      <c r="BI254" s="528">
        <f t="shared" si="682"/>
        <v>4.0250000000000001E-2</v>
      </c>
      <c r="BJ254" s="528">
        <f t="shared" si="683"/>
        <v>0.80566237241871108</v>
      </c>
      <c r="BK254">
        <f t="shared" si="684"/>
        <v>1.7966731843862847E-2</v>
      </c>
      <c r="BL254" s="460">
        <f t="shared" si="685"/>
        <v>58.216731843862846</v>
      </c>
      <c r="BM254" s="528">
        <f t="shared" si="754"/>
        <v>3.3727384659689084</v>
      </c>
      <c r="BN254" s="460">
        <f t="shared" si="686"/>
        <v>3372.7384659689083</v>
      </c>
      <c r="BO254" s="528">
        <f t="shared" si="635"/>
        <v>0.66499999999999992</v>
      </c>
      <c r="BR254" s="460">
        <f t="shared" si="687"/>
        <v>664.99999999999989</v>
      </c>
      <c r="BS254" s="528">
        <f t="shared" si="688"/>
        <v>3.6198256272123024E-2</v>
      </c>
      <c r="BT254" s="528">
        <f t="shared" si="689"/>
        <v>0.11709432612546397</v>
      </c>
      <c r="BU254" s="528">
        <f t="shared" si="690"/>
        <v>9.0112090432443885</v>
      </c>
      <c r="BV254" s="528"/>
      <c r="BW254" s="528">
        <f t="shared" si="691"/>
        <v>1.1496943679819025</v>
      </c>
      <c r="BX254" s="460">
        <f t="shared" si="692"/>
        <v>10314.195993623878</v>
      </c>
      <c r="BY254" s="173">
        <f t="shared" si="693"/>
        <v>14.37690993991424</v>
      </c>
      <c r="BZ254" s="5">
        <f t="shared" si="694"/>
        <v>26.599999999999998</v>
      </c>
      <c r="CA254" s="173">
        <f t="shared" si="695"/>
        <v>0.6491460688227696</v>
      </c>
      <c r="CB254" s="5">
        <f t="shared" si="696"/>
        <v>64.914606882276956</v>
      </c>
      <c r="CE254" s="562">
        <f t="shared" si="755"/>
        <v>-50</v>
      </c>
      <c r="CF254">
        <f t="shared" si="756"/>
        <v>-50</v>
      </c>
      <c r="CG254" s="173">
        <f t="shared" si="757"/>
        <v>0.33410327744576224</v>
      </c>
      <c r="CI254" s="170">
        <v>38</v>
      </c>
      <c r="CJ254" s="217">
        <f t="shared" si="697"/>
        <v>0.95</v>
      </c>
      <c r="CK254" s="217"/>
      <c r="CL254" s="217">
        <f t="shared" si="639"/>
        <v>26.599999999999998</v>
      </c>
      <c r="CM254" s="541">
        <f t="shared" si="640"/>
        <v>40</v>
      </c>
      <c r="CN254" s="443">
        <f t="shared" si="641"/>
        <v>28.4</v>
      </c>
      <c r="CO254" s="443">
        <f t="shared" si="642"/>
        <v>68.400000000000006</v>
      </c>
      <c r="CP254" s="443"/>
      <c r="CQ254" s="217">
        <f t="shared" si="643"/>
        <v>0.41520467836257302</v>
      </c>
      <c r="CR254" s="172">
        <f t="shared" si="644"/>
        <v>140.52175355646798</v>
      </c>
      <c r="CS254" s="172">
        <f t="shared" si="645"/>
        <v>26.599999999999998</v>
      </c>
      <c r="CT254" s="217">
        <f t="shared" si="646"/>
        <v>5.0186340555881426</v>
      </c>
      <c r="CU254" s="217">
        <f t="shared" si="647"/>
        <v>28</v>
      </c>
      <c r="CV254" s="217"/>
      <c r="CW254" s="172">
        <f t="shared" si="648"/>
        <v>310.92858562912784</v>
      </c>
      <c r="CX254" s="172">
        <f t="shared" si="649"/>
        <v>28</v>
      </c>
      <c r="CY254" s="217">
        <f t="shared" si="650"/>
        <v>3.203239436619719</v>
      </c>
      <c r="CZ254" s="217">
        <f t="shared" si="651"/>
        <v>0.37638063380281694</v>
      </c>
      <c r="DA254" s="217">
        <f t="shared" si="652"/>
        <v>0.53011356873636195</v>
      </c>
      <c r="DB254" s="197">
        <f t="shared" si="653"/>
        <v>350</v>
      </c>
      <c r="DC254" s="443">
        <f t="shared" si="654"/>
        <v>350</v>
      </c>
      <c r="DE254" s="217">
        <f t="shared" si="655"/>
        <v>10.09616239179509</v>
      </c>
      <c r="DF254" s="173">
        <f t="shared" si="656"/>
        <v>1.6708437761069339</v>
      </c>
      <c r="DG254" s="173">
        <f t="shared" si="657"/>
        <v>2.9520942666067511</v>
      </c>
      <c r="DH254" s="173"/>
      <c r="DI254" s="173">
        <f t="shared" si="658"/>
        <v>0.55164319248826299</v>
      </c>
      <c r="DJ254" s="545">
        <f t="shared" si="659"/>
        <v>1033.2765957446807</v>
      </c>
      <c r="DK254" s="528">
        <f t="shared" si="660"/>
        <v>0.3217918622848201</v>
      </c>
      <c r="DM254" s="173">
        <f t="shared" si="661"/>
        <v>5.727340710219905</v>
      </c>
      <c r="DN254" s="173">
        <f t="shared" si="662"/>
        <v>5.727340710219905</v>
      </c>
      <c r="DO254" s="173">
        <f t="shared" si="663"/>
        <v>2.9733387976937564</v>
      </c>
      <c r="DQ254" s="545">
        <f t="shared" si="664"/>
        <v>950</v>
      </c>
      <c r="DR254" s="460">
        <f t="shared" si="665"/>
        <v>350</v>
      </c>
      <c r="DT254">
        <f t="shared" si="666"/>
        <v>950</v>
      </c>
      <c r="DU254">
        <f t="shared" si="667"/>
        <v>350</v>
      </c>
      <c r="DW254" s="5">
        <f t="shared" si="668"/>
        <v>2.8571428571428572</v>
      </c>
      <c r="DX254" s="5">
        <f t="shared" si="669"/>
        <v>0.67296253345083878</v>
      </c>
      <c r="DY254" s="5">
        <f t="shared" si="670"/>
        <v>2.1841803236920185</v>
      </c>
      <c r="DZ254" s="5"/>
      <c r="EA254" s="173">
        <f t="shared" si="671"/>
        <v>0.23553688670779357</v>
      </c>
      <c r="EB254" s="173">
        <f t="shared" si="698"/>
        <v>26.979999999999997</v>
      </c>
      <c r="EC254" s="173">
        <f t="shared" si="699"/>
        <v>2.1891703551099524</v>
      </c>
      <c r="ED254" s="173">
        <f t="shared" si="700"/>
        <v>12.324303559576071</v>
      </c>
      <c r="EE254" s="460">
        <f t="shared" si="672"/>
        <v>2.2832657384939172</v>
      </c>
      <c r="EF254" s="5">
        <f t="shared" si="673"/>
        <v>1.0374856537537085</v>
      </c>
      <c r="EH254" s="173">
        <f t="shared" si="701"/>
        <v>1.6048034789434136</v>
      </c>
      <c r="EI254" s="173">
        <f t="shared" si="702"/>
        <v>2.8911502320504203</v>
      </c>
      <c r="EK254" s="528">
        <f t="shared" si="703"/>
        <v>3.0904730472346601E-2</v>
      </c>
      <c r="EL254" s="528">
        <f t="shared" si="704"/>
        <v>2.6051381954506261</v>
      </c>
      <c r="EM254" s="528">
        <f t="shared" si="705"/>
        <v>4.0250000000000001E-2</v>
      </c>
      <c r="EN254" s="528">
        <f t="shared" si="706"/>
        <v>0.80646678000000016</v>
      </c>
      <c r="EO254">
        <f t="shared" si="707"/>
        <v>1.7999999999999999E-2</v>
      </c>
      <c r="EP254" s="460">
        <f t="shared" si="708"/>
        <v>58.249999999999993</v>
      </c>
      <c r="EQ254" s="460"/>
      <c r="ER254" s="460">
        <f t="shared" si="709"/>
        <v>3500.7597059229724</v>
      </c>
      <c r="ES254" s="528">
        <f t="shared" si="710"/>
        <v>0.66499999999999992</v>
      </c>
      <c r="EV254" s="460">
        <f t="shared" si="711"/>
        <v>664.99999999999989</v>
      </c>
      <c r="EW254" s="528">
        <f t="shared" si="712"/>
        <v>3.6055518884404371E-2</v>
      </c>
      <c r="EX254" s="528">
        <f t="shared" si="713"/>
        <v>0.11702249529999278</v>
      </c>
      <c r="EY254" s="528">
        <f t="shared" si="714"/>
        <v>8.995445229253475</v>
      </c>
      <c r="EZ254" s="528"/>
      <c r="FA254" s="528">
        <f t="shared" si="715"/>
        <v>1.1480851063829787</v>
      </c>
      <c r="FB254" s="460">
        <f t="shared" si="716"/>
        <v>10296.60834982085</v>
      </c>
      <c r="FC254" s="173">
        <f t="shared" si="717"/>
        <v>14.462368055743823</v>
      </c>
      <c r="FD254" s="5">
        <f t="shared" si="718"/>
        <v>26.599999999999998</v>
      </c>
      <c r="FE254" s="173">
        <f t="shared" si="719"/>
        <v>0.64779508000827979</v>
      </c>
      <c r="FF254" s="5">
        <f t="shared" si="720"/>
        <v>64.779508000827974</v>
      </c>
      <c r="FI254" s="562">
        <f t="shared" si="674"/>
        <v>-50</v>
      </c>
      <c r="FJ254">
        <f t="shared" si="675"/>
        <v>-50</v>
      </c>
      <c r="FL254">
        <f t="shared" si="758"/>
        <v>0.33174209395463888</v>
      </c>
    </row>
    <row r="255" spans="5:168">
      <c r="E255" s="170">
        <v>39</v>
      </c>
      <c r="F255" s="217">
        <f t="shared" si="759"/>
        <v>0.97500000000000009</v>
      </c>
      <c r="G255" s="217"/>
      <c r="H255" s="217">
        <f t="shared" si="725"/>
        <v>27.300000000000004</v>
      </c>
      <c r="I255" s="541">
        <f t="shared" si="726"/>
        <v>39.925104327881193</v>
      </c>
      <c r="J255" s="172">
        <f t="shared" si="727"/>
        <v>28.440328438833202</v>
      </c>
      <c r="K255" s="172">
        <f t="shared" si="728"/>
        <v>68.365432766714392</v>
      </c>
      <c r="L255" s="443"/>
      <c r="M255" s="217">
        <f t="shared" si="729"/>
        <v>0.41600696311726837</v>
      </c>
      <c r="N255" s="172">
        <f t="shared" si="730"/>
        <v>140.52965840051974</v>
      </c>
      <c r="O255" s="172">
        <f t="shared" si="598"/>
        <v>27.300000000000004</v>
      </c>
      <c r="P255" s="217">
        <f t="shared" si="731"/>
        <v>5.0189163714471334</v>
      </c>
      <c r="Q255" s="217">
        <f t="shared" si="732"/>
        <v>28</v>
      </c>
      <c r="R255" s="217"/>
      <c r="S255" s="172">
        <f t="shared" si="733"/>
        <v>301.36802518618964</v>
      </c>
      <c r="T255" s="172">
        <f t="shared" si="734"/>
        <v>28</v>
      </c>
      <c r="U255" s="217">
        <f t="shared" si="735"/>
        <v>3.287350286224342</v>
      </c>
      <c r="V255" s="217">
        <f t="shared" si="736"/>
        <v>0.38698825226274269</v>
      </c>
      <c r="W255" s="217">
        <f t="shared" si="737"/>
        <v>0.54326188174950218</v>
      </c>
      <c r="X255" s="197">
        <f t="shared" si="738"/>
        <v>350</v>
      </c>
      <c r="Y255" s="443">
        <f t="shared" si="678"/>
        <v>350</v>
      </c>
      <c r="AA255" s="217">
        <f t="shared" si="739"/>
        <v>10.096670826267006</v>
      </c>
      <c r="AB255" s="173">
        <f t="shared" si="740"/>
        <v>1.6685585395230338</v>
      </c>
      <c r="AC255" s="173">
        <f t="shared" si="741"/>
        <v>2.948205107386157</v>
      </c>
      <c r="AD255" s="173"/>
      <c r="AE255" s="173">
        <f t="shared" si="742"/>
        <v>0.5508609614112252</v>
      </c>
      <c r="AF255" s="545">
        <f t="shared" si="743"/>
        <v>1061.9739661734525</v>
      </c>
      <c r="AG255" s="528">
        <f t="shared" si="744"/>
        <v>0.32133556082321468</v>
      </c>
      <c r="AI255" s="173">
        <f t="shared" si="745"/>
        <v>5.8063292400277886</v>
      </c>
      <c r="AJ255" s="173">
        <f t="shared" si="746"/>
        <v>5.8063292400277886</v>
      </c>
      <c r="AK255" s="173">
        <f t="shared" si="747"/>
        <v>3.0318488197736704</v>
      </c>
      <c r="AM255" s="545">
        <f t="shared" si="748"/>
        <v>975.00000000000011</v>
      </c>
      <c r="AN255" s="460">
        <f t="shared" si="749"/>
        <v>350</v>
      </c>
      <c r="AP255">
        <f t="shared" si="750"/>
        <v>975.00000000000011</v>
      </c>
      <c r="AQ255">
        <f t="shared" si="751"/>
        <v>350</v>
      </c>
      <c r="AS255" s="5">
        <f t="shared" si="599"/>
        <v>2.8571428571428572</v>
      </c>
      <c r="AT255" s="5">
        <f t="shared" si="752"/>
        <v>0.68352350951962715</v>
      </c>
      <c r="AU255" s="5">
        <f t="shared" si="721"/>
        <v>2.1736193476232302</v>
      </c>
      <c r="AV255" s="5"/>
      <c r="AW255" s="173">
        <f t="shared" si="722"/>
        <v>0.2392332283318695</v>
      </c>
      <c r="AX255" s="173">
        <f t="shared" si="630"/>
        <v>27.729320227862377</v>
      </c>
      <c r="AY255" s="173">
        <f t="shared" si="631"/>
        <v>2.2086311755891055</v>
      </c>
      <c r="AZ255" s="173">
        <f t="shared" si="632"/>
        <v>12.554979995909081</v>
      </c>
      <c r="BA255" s="460">
        <f t="shared" si="723"/>
        <v>2.3801265063629873</v>
      </c>
      <c r="BB255" s="5">
        <f t="shared" si="724"/>
        <v>1.0616272140597403</v>
      </c>
      <c r="BD255" s="173">
        <f t="shared" si="679"/>
        <v>1.6396523709902389</v>
      </c>
      <c r="BE255" s="173">
        <f t="shared" si="680"/>
        <v>2.9239288380829849</v>
      </c>
      <c r="BG255" s="528">
        <f t="shared" si="681"/>
        <v>3.2261518772326948E-2</v>
      </c>
      <c r="BH255" s="528">
        <f t="shared" si="753"/>
        <v>2.5355322495543704</v>
      </c>
      <c r="BI255" s="528">
        <f t="shared" si="682"/>
        <v>4.0250000000000001E-2</v>
      </c>
      <c r="BJ255" s="528">
        <f t="shared" si="683"/>
        <v>0.80565185949840268</v>
      </c>
      <c r="BK255">
        <f t="shared" si="684"/>
        <v>1.7966296947546537E-2</v>
      </c>
      <c r="BL255" s="460">
        <f t="shared" si="685"/>
        <v>58.216296947546539</v>
      </c>
      <c r="BM255" s="528">
        <f t="shared" si="754"/>
        <v>3.4082818665153374</v>
      </c>
      <c r="BN255" s="460">
        <f t="shared" si="686"/>
        <v>3408.2818665153372</v>
      </c>
      <c r="BO255" s="528">
        <f t="shared" si="635"/>
        <v>0.6825</v>
      </c>
      <c r="BR255" s="460">
        <f t="shared" si="687"/>
        <v>682.5</v>
      </c>
      <c r="BS255" s="528">
        <f t="shared" si="688"/>
        <v>3.7638438567714767E-2</v>
      </c>
      <c r="BT255" s="528">
        <f t="shared" si="689"/>
        <v>0.1196910379024264</v>
      </c>
      <c r="BU255" s="528">
        <f t="shared" si="690"/>
        <v>9.3088120317035301</v>
      </c>
      <c r="BV255" s="528"/>
      <c r="BW255" s="528">
        <f t="shared" si="691"/>
        <v>1.1799710735260589</v>
      </c>
      <c r="BX255" s="460">
        <f t="shared" si="692"/>
        <v>10646.112581699728</v>
      </c>
      <c r="BY255" s="173">
        <f t="shared" si="693"/>
        <v>14.760274506472376</v>
      </c>
      <c r="BZ255" s="5">
        <f t="shared" si="694"/>
        <v>27.300000000000004</v>
      </c>
      <c r="CA255" s="173">
        <f t="shared" si="695"/>
        <v>0.64906851703497526</v>
      </c>
      <c r="CB255" s="5">
        <f t="shared" si="696"/>
        <v>64.906851703497523</v>
      </c>
      <c r="CE255" s="562">
        <f t="shared" si="755"/>
        <v>-50</v>
      </c>
      <c r="CF255">
        <f t="shared" si="756"/>
        <v>-50</v>
      </c>
      <c r="CG255" s="173">
        <f t="shared" si="757"/>
        <v>0.33847082592152605</v>
      </c>
      <c r="CI255" s="170">
        <v>39</v>
      </c>
      <c r="CJ255" s="217">
        <f t="shared" si="697"/>
        <v>0.97500000000000009</v>
      </c>
      <c r="CK255" s="217"/>
      <c r="CL255" s="217">
        <f t="shared" si="639"/>
        <v>27.300000000000004</v>
      </c>
      <c r="CM255" s="541">
        <f t="shared" si="640"/>
        <v>40</v>
      </c>
      <c r="CN255" s="443">
        <f t="shared" si="641"/>
        <v>28.4</v>
      </c>
      <c r="CO255" s="443">
        <f t="shared" si="642"/>
        <v>68.400000000000006</v>
      </c>
      <c r="CP255" s="443"/>
      <c r="CQ255" s="217">
        <f t="shared" si="643"/>
        <v>0.41520467836257302</v>
      </c>
      <c r="CR255" s="172">
        <f t="shared" si="644"/>
        <v>140.52175355646798</v>
      </c>
      <c r="CS255" s="172">
        <f t="shared" si="645"/>
        <v>27.300000000000004</v>
      </c>
      <c r="CT255" s="217">
        <f t="shared" si="646"/>
        <v>5.0186340555881426</v>
      </c>
      <c r="CU255" s="217">
        <f t="shared" si="647"/>
        <v>28</v>
      </c>
      <c r="CV255" s="217"/>
      <c r="CW255" s="172">
        <f t="shared" si="648"/>
        <v>301.933263612502</v>
      </c>
      <c r="CX255" s="172">
        <f t="shared" si="649"/>
        <v>28</v>
      </c>
      <c r="CY255" s="217">
        <f t="shared" si="650"/>
        <v>3.2875352112676071</v>
      </c>
      <c r="CZ255" s="217">
        <f t="shared" si="651"/>
        <v>0.38628538732394385</v>
      </c>
      <c r="DA255" s="217">
        <f t="shared" si="652"/>
        <v>0.5440639258083716</v>
      </c>
      <c r="DB255" s="197">
        <f t="shared" si="653"/>
        <v>350</v>
      </c>
      <c r="DC255" s="443">
        <f t="shared" si="654"/>
        <v>350</v>
      </c>
      <c r="DE255" s="217">
        <f t="shared" si="655"/>
        <v>10.09616239179509</v>
      </c>
      <c r="DF255" s="173">
        <f t="shared" si="656"/>
        <v>1.6708437761069339</v>
      </c>
      <c r="DG255" s="173">
        <f t="shared" si="657"/>
        <v>2.9520942666067511</v>
      </c>
      <c r="DH255" s="173"/>
      <c r="DI255" s="173">
        <f t="shared" si="658"/>
        <v>0.55164319248826299</v>
      </c>
      <c r="DJ255" s="545">
        <f t="shared" si="659"/>
        <v>1060.4680851063829</v>
      </c>
      <c r="DK255" s="528">
        <f t="shared" si="660"/>
        <v>0.3217918622848201</v>
      </c>
      <c r="DM255" s="173">
        <f t="shared" si="661"/>
        <v>5.8022110867703471</v>
      </c>
      <c r="DN255" s="173">
        <f t="shared" si="662"/>
        <v>5.8022110867703471</v>
      </c>
      <c r="DO255" s="173">
        <f t="shared" si="663"/>
        <v>3.0287983358792694</v>
      </c>
      <c r="DQ255" s="545">
        <f t="shared" si="664"/>
        <v>975.00000000000011</v>
      </c>
      <c r="DR255" s="460">
        <f t="shared" si="665"/>
        <v>350</v>
      </c>
      <c r="DT255">
        <f t="shared" si="666"/>
        <v>975.00000000000011</v>
      </c>
      <c r="DU255">
        <f t="shared" si="667"/>
        <v>350</v>
      </c>
      <c r="DW255" s="5">
        <f t="shared" si="668"/>
        <v>2.8571428571428572</v>
      </c>
      <c r="DX255" s="5">
        <f t="shared" si="669"/>
        <v>0.68175980269551573</v>
      </c>
      <c r="DY255" s="5">
        <f t="shared" si="670"/>
        <v>2.1753830544473414</v>
      </c>
      <c r="DZ255" s="5"/>
      <c r="EA255" s="173">
        <f t="shared" si="671"/>
        <v>0.2386159309434305</v>
      </c>
      <c r="EB255" s="173">
        <f t="shared" si="698"/>
        <v>27.690000000000005</v>
      </c>
      <c r="EC255" s="173">
        <f t="shared" si="699"/>
        <v>2.2088555433851735</v>
      </c>
      <c r="ED255" s="173">
        <f t="shared" si="700"/>
        <v>12.535903528378228</v>
      </c>
      <c r="EE255" s="460">
        <f t="shared" si="672"/>
        <v>2.3739850272433136</v>
      </c>
      <c r="EF255" s="5">
        <f t="shared" si="673"/>
        <v>1.060499239043079</v>
      </c>
      <c r="EH255" s="173">
        <f t="shared" si="701"/>
        <v>1.6363741676476427</v>
      </c>
      <c r="EI255" s="173">
        <f t="shared" si="702"/>
        <v>2.9230402121653629</v>
      </c>
      <c r="EK255" s="528">
        <f t="shared" si="703"/>
        <v>3.2132644998534181E-2</v>
      </c>
      <c r="EL255" s="528">
        <f t="shared" si="704"/>
        <v>2.639193734928361</v>
      </c>
      <c r="EM255" s="528">
        <f t="shared" si="705"/>
        <v>4.0250000000000001E-2</v>
      </c>
      <c r="EN255" s="528">
        <f t="shared" si="706"/>
        <v>0.80646678000000016</v>
      </c>
      <c r="EO255">
        <f t="shared" si="707"/>
        <v>1.7999999999999999E-2</v>
      </c>
      <c r="EP255" s="460">
        <f t="shared" si="708"/>
        <v>58.249999999999993</v>
      </c>
      <c r="EQ255" s="460"/>
      <c r="ER255" s="460">
        <f t="shared" si="709"/>
        <v>3536.0431599268945</v>
      </c>
      <c r="ES255" s="528">
        <f t="shared" si="710"/>
        <v>0.6825</v>
      </c>
      <c r="EV255" s="460">
        <f t="shared" si="711"/>
        <v>682.5</v>
      </c>
      <c r="EW255" s="528">
        <f t="shared" si="712"/>
        <v>3.7488085831623212E-2</v>
      </c>
      <c r="EX255" s="528">
        <f t="shared" si="713"/>
        <v>0.11961829714710022</v>
      </c>
      <c r="EY255" s="528">
        <f t="shared" si="714"/>
        <v>9.2923150662962382</v>
      </c>
      <c r="EZ255" s="528"/>
      <c r="FA255" s="528">
        <f t="shared" si="715"/>
        <v>1.1782978723404258</v>
      </c>
      <c r="FB255" s="460">
        <f t="shared" si="716"/>
        <v>10627.719321615388</v>
      </c>
      <c r="FC255" s="173">
        <f t="shared" si="717"/>
        <v>14.846262481542283</v>
      </c>
      <c r="FD255" s="5">
        <f t="shared" si="718"/>
        <v>27.300000000000004</v>
      </c>
      <c r="FE255" s="173">
        <f t="shared" si="719"/>
        <v>0.6477442694226061</v>
      </c>
      <c r="FF255" s="5">
        <f t="shared" si="720"/>
        <v>64.774426942260604</v>
      </c>
      <c r="FI255" s="562">
        <f t="shared" si="674"/>
        <v>-50</v>
      </c>
      <c r="FJ255">
        <f t="shared" si="675"/>
        <v>-50</v>
      </c>
      <c r="FL255">
        <f t="shared" si="758"/>
        <v>0.33607877597666269</v>
      </c>
    </row>
    <row r="256" spans="5:168">
      <c r="E256" s="170">
        <v>40</v>
      </c>
      <c r="F256" s="217">
        <f t="shared" si="759"/>
        <v>1</v>
      </c>
      <c r="G256" s="217"/>
      <c r="H256" s="217">
        <f t="shared" si="725"/>
        <v>28</v>
      </c>
      <c r="I256" s="541">
        <f t="shared" si="726"/>
        <v>39.924150204421096</v>
      </c>
      <c r="J256" s="172">
        <f t="shared" si="727"/>
        <v>28.440842197619411</v>
      </c>
      <c r="K256" s="172">
        <f t="shared" si="728"/>
        <v>68.364992402040514</v>
      </c>
      <c r="L256" s="443"/>
      <c r="M256" s="217">
        <f t="shared" si="729"/>
        <v>0.416017188907436</v>
      </c>
      <c r="N256" s="172">
        <f t="shared" si="730"/>
        <v>140.52975429724023</v>
      </c>
      <c r="O256" s="172">
        <f t="shared" si="598"/>
        <v>28</v>
      </c>
      <c r="P256" s="217">
        <f t="shared" si="731"/>
        <v>5.0189197963300085</v>
      </c>
      <c r="Q256" s="217">
        <f t="shared" si="732"/>
        <v>28</v>
      </c>
      <c r="R256" s="217"/>
      <c r="S256" s="172">
        <f t="shared" si="733"/>
        <v>292.83156241710839</v>
      </c>
      <c r="T256" s="172">
        <f t="shared" si="734"/>
        <v>28</v>
      </c>
      <c r="U256" s="217">
        <f t="shared" si="735"/>
        <v>3.3716390184152223</v>
      </c>
      <c r="V256" s="217">
        <f t="shared" si="736"/>
        <v>0.3969202426454333</v>
      </c>
      <c r="W256" s="217">
        <f t="shared" si="737"/>
        <v>0.55718122819435933</v>
      </c>
      <c r="X256" s="197">
        <f t="shared" si="738"/>
        <v>350</v>
      </c>
      <c r="Y256" s="443">
        <f t="shared" si="678"/>
        <v>350</v>
      </c>
      <c r="AA256" s="217">
        <f t="shared" si="739"/>
        <v>10.096676960208534</v>
      </c>
      <c r="AB256" s="173">
        <f t="shared" si="740"/>
        <v>1.6685294121477243</v>
      </c>
      <c r="AC256" s="173">
        <f t="shared" si="741"/>
        <v>2.9481554327858874</v>
      </c>
      <c r="AD256" s="173"/>
      <c r="AE256" s="173">
        <f t="shared" si="742"/>
        <v>0.55085101059271779</v>
      </c>
      <c r="AF256" s="545">
        <f t="shared" si="743"/>
        <v>1089.2237437386159</v>
      </c>
      <c r="AG256" s="528">
        <f t="shared" si="744"/>
        <v>0.32132975617908544</v>
      </c>
      <c r="AI256" s="173">
        <f t="shared" si="745"/>
        <v>5.8803513115508368</v>
      </c>
      <c r="AJ256" s="173">
        <f t="shared" si="746"/>
        <v>5.8803513115508368</v>
      </c>
      <c r="AK256" s="173">
        <f t="shared" si="747"/>
        <v>3.0866799838648173</v>
      </c>
      <c r="AM256" s="545">
        <f t="shared" si="748"/>
        <v>1000</v>
      </c>
      <c r="AN256" s="460">
        <f t="shared" si="749"/>
        <v>350</v>
      </c>
      <c r="AP256">
        <f t="shared" si="750"/>
        <v>1000</v>
      </c>
      <c r="AQ256">
        <f t="shared" si="751"/>
        <v>350</v>
      </c>
      <c r="AS256" s="5">
        <f t="shared" si="599"/>
        <v>2.8571428571428572</v>
      </c>
      <c r="AT256" s="5">
        <f t="shared" si="752"/>
        <v>0.69225396214515822</v>
      </c>
      <c r="AU256" s="5">
        <f t="shared" si="721"/>
        <v>2.164888894997699</v>
      </c>
      <c r="AV256" s="5"/>
      <c r="AW256" s="173">
        <f t="shared" si="722"/>
        <v>0.24228888675080537</v>
      </c>
      <c r="AX256" s="173">
        <f t="shared" si="630"/>
        <v>28.440842197619411</v>
      </c>
      <c r="AY256" s="173">
        <f t="shared" si="631"/>
        <v>2.2278037692857731</v>
      </c>
      <c r="AZ256" s="173">
        <f t="shared" si="632"/>
        <v>12.766313887123665</v>
      </c>
      <c r="BA256" s="460">
        <f t="shared" si="723"/>
        <v>2.4723355790898509</v>
      </c>
      <c r="BB256" s="5">
        <f t="shared" si="724"/>
        <v>1.0845009268389962</v>
      </c>
      <c r="BD256" s="173">
        <f t="shared" si="679"/>
        <v>1.671126757017817</v>
      </c>
      <c r="BE256" s="173">
        <f t="shared" si="680"/>
        <v>2.955251688841126</v>
      </c>
      <c r="BG256" s="528">
        <f t="shared" si="681"/>
        <v>3.3511975656250637E-2</v>
      </c>
      <c r="BH256" s="528">
        <f t="shared" si="753"/>
        <v>2.5678399783480188</v>
      </c>
      <c r="BI256" s="528">
        <f t="shared" si="682"/>
        <v>4.0250000000000001E-2</v>
      </c>
      <c r="BJ256" s="528">
        <f t="shared" si="683"/>
        <v>0.80564148058434093</v>
      </c>
      <c r="BK256">
        <f t="shared" si="684"/>
        <v>1.7965867591989492E-2</v>
      </c>
      <c r="BL256" s="460">
        <f t="shared" si="685"/>
        <v>58.215867591989493</v>
      </c>
      <c r="BM256" s="528">
        <f t="shared" si="754"/>
        <v>3.4434600305509804</v>
      </c>
      <c r="BN256" s="460">
        <f t="shared" si="686"/>
        <v>3443.4600305509803</v>
      </c>
      <c r="BO256" s="528">
        <f t="shared" si="635"/>
        <v>0.7</v>
      </c>
      <c r="BR256" s="460">
        <f t="shared" si="687"/>
        <v>700</v>
      </c>
      <c r="BS256" s="528">
        <f t="shared" si="688"/>
        <v>3.9097304932292409E-2</v>
      </c>
      <c r="BT256" s="528">
        <f t="shared" si="689"/>
        <v>0.12226917562157658</v>
      </c>
      <c r="BU256" s="528">
        <f t="shared" si="690"/>
        <v>9.6083385667416419</v>
      </c>
      <c r="BV256" s="528"/>
      <c r="BW256" s="528">
        <f t="shared" si="691"/>
        <v>1.2102486041540177</v>
      </c>
      <c r="BX256" s="460">
        <f t="shared" si="692"/>
        <v>10979.953651449528</v>
      </c>
      <c r="BY256" s="173">
        <f t="shared" si="693"/>
        <v>15.145162953630129</v>
      </c>
      <c r="BZ256" s="5">
        <f t="shared" si="694"/>
        <v>28</v>
      </c>
      <c r="CA256" s="173">
        <f t="shared" si="695"/>
        <v>0.64897193759802796</v>
      </c>
      <c r="CB256" s="5">
        <f t="shared" si="696"/>
        <v>64.897193759802789</v>
      </c>
      <c r="CE256" s="562">
        <f t="shared" si="755"/>
        <v>-50</v>
      </c>
      <c r="CF256">
        <f t="shared" si="756"/>
        <v>-50</v>
      </c>
      <c r="CG256" s="173">
        <f t="shared" si="757"/>
        <v>0.34278273002005222</v>
      </c>
      <c r="CI256" s="170">
        <v>40</v>
      </c>
      <c r="CJ256" s="217">
        <f t="shared" si="697"/>
        <v>1</v>
      </c>
      <c r="CK256" s="217"/>
      <c r="CL256" s="217">
        <f t="shared" si="639"/>
        <v>28</v>
      </c>
      <c r="CM256" s="541">
        <f t="shared" si="640"/>
        <v>40</v>
      </c>
      <c r="CN256" s="443">
        <f t="shared" si="641"/>
        <v>28.4</v>
      </c>
      <c r="CO256" s="443">
        <f t="shared" si="642"/>
        <v>68.400000000000006</v>
      </c>
      <c r="CP256" s="443"/>
      <c r="CQ256" s="217">
        <f t="shared" si="643"/>
        <v>0.41520467836257302</v>
      </c>
      <c r="CR256" s="172">
        <f t="shared" si="644"/>
        <v>140.52175355646798</v>
      </c>
      <c r="CS256" s="172">
        <f t="shared" si="645"/>
        <v>28</v>
      </c>
      <c r="CT256" s="217">
        <f t="shared" si="646"/>
        <v>5.0186340555881426</v>
      </c>
      <c r="CU256" s="217">
        <f t="shared" si="647"/>
        <v>28</v>
      </c>
      <c r="CV256" s="217"/>
      <c r="CW256" s="172">
        <f t="shared" si="648"/>
        <v>293.38779441137802</v>
      </c>
      <c r="CX256" s="172">
        <f t="shared" si="649"/>
        <v>28</v>
      </c>
      <c r="CY256" s="217">
        <f t="shared" si="650"/>
        <v>3.3718309859154938</v>
      </c>
      <c r="CZ256" s="217">
        <f t="shared" si="651"/>
        <v>0.39619014084507048</v>
      </c>
      <c r="DA256" s="217">
        <f t="shared" si="652"/>
        <v>0.55801428288038102</v>
      </c>
      <c r="DB256" s="197">
        <f t="shared" si="653"/>
        <v>350</v>
      </c>
      <c r="DC256" s="443">
        <f t="shared" si="654"/>
        <v>350</v>
      </c>
      <c r="DE256" s="217">
        <f t="shared" si="655"/>
        <v>10.09616239179509</v>
      </c>
      <c r="DF256" s="173">
        <f t="shared" si="656"/>
        <v>1.6708437761069339</v>
      </c>
      <c r="DG256" s="173">
        <f t="shared" si="657"/>
        <v>2.9520942666067511</v>
      </c>
      <c r="DH256" s="173"/>
      <c r="DI256" s="173">
        <f t="shared" si="658"/>
        <v>0.55164319248826299</v>
      </c>
      <c r="DJ256" s="545">
        <f t="shared" si="659"/>
        <v>1087.6595744680851</v>
      </c>
      <c r="DK256" s="528">
        <f t="shared" si="660"/>
        <v>0.3217918622848201</v>
      </c>
      <c r="DM256" s="173">
        <f t="shared" si="661"/>
        <v>5.876127583701634</v>
      </c>
      <c r="DN256" s="173">
        <f t="shared" si="662"/>
        <v>5.876127583701634</v>
      </c>
      <c r="DO256" s="173">
        <f t="shared" si="663"/>
        <v>3.0835512965691114</v>
      </c>
      <c r="DQ256" s="545">
        <f t="shared" si="664"/>
        <v>1000</v>
      </c>
      <c r="DR256" s="460">
        <f t="shared" si="665"/>
        <v>350</v>
      </c>
      <c r="DT256">
        <f t="shared" si="666"/>
        <v>1000</v>
      </c>
      <c r="DU256">
        <f t="shared" si="667"/>
        <v>350</v>
      </c>
      <c r="DW256" s="5">
        <f t="shared" si="668"/>
        <v>2.8571428571428572</v>
      </c>
      <c r="DX256" s="5">
        <f t="shared" si="669"/>
        <v>0.69044499108494195</v>
      </c>
      <c r="DY256" s="5">
        <f t="shared" si="670"/>
        <v>2.1666978660579153</v>
      </c>
      <c r="DZ256" s="5"/>
      <c r="EA256" s="173">
        <f t="shared" si="671"/>
        <v>0.24165574687972968</v>
      </c>
      <c r="EB256" s="173">
        <f t="shared" si="698"/>
        <v>28.399999999999991</v>
      </c>
      <c r="EC256" s="173">
        <f t="shared" si="699"/>
        <v>2.228063791850817</v>
      </c>
      <c r="ED256" s="173">
        <f t="shared" si="700"/>
        <v>12.746493212570257</v>
      </c>
      <c r="EE256" s="460">
        <f t="shared" si="672"/>
        <v>2.4658749681605068</v>
      </c>
      <c r="EF256" s="5">
        <f t="shared" si="673"/>
        <v>1.0833489330289574</v>
      </c>
      <c r="EH256" s="173">
        <f t="shared" si="701"/>
        <v>1.6677431026046667</v>
      </c>
      <c r="EI256" s="173">
        <f t="shared" si="702"/>
        <v>2.9543625489030561</v>
      </c>
      <c r="EK256" s="528">
        <f t="shared" si="703"/>
        <v>3.3376404675425277E-2</v>
      </c>
      <c r="EL256" s="528">
        <f t="shared" si="704"/>
        <v>2.6728153927225256</v>
      </c>
      <c r="EM256" s="528">
        <f t="shared" si="705"/>
        <v>4.0250000000000001E-2</v>
      </c>
      <c r="EN256" s="528">
        <f t="shared" si="706"/>
        <v>0.80646678000000016</v>
      </c>
      <c r="EO256">
        <f t="shared" si="707"/>
        <v>1.7999999999999999E-2</v>
      </c>
      <c r="EP256" s="460">
        <f t="shared" si="708"/>
        <v>58.249999999999993</v>
      </c>
      <c r="EQ256" s="460"/>
      <c r="ER256" s="460">
        <f t="shared" si="709"/>
        <v>3570.9085773979505</v>
      </c>
      <c r="ES256" s="528">
        <f t="shared" si="710"/>
        <v>0.7</v>
      </c>
      <c r="EV256" s="460">
        <f t="shared" si="711"/>
        <v>700</v>
      </c>
      <c r="EW256" s="528">
        <f t="shared" si="712"/>
        <v>3.893913878799616E-2</v>
      </c>
      <c r="EX256" s="528">
        <f t="shared" si="713"/>
        <v>0.12219561298505346</v>
      </c>
      <c r="EY256" s="528">
        <f t="shared" si="714"/>
        <v>9.5910942112423125</v>
      </c>
      <c r="EZ256" s="528"/>
      <c r="FA256" s="528">
        <f t="shared" si="715"/>
        <v>1.2085106382978721</v>
      </c>
      <c r="FB256" s="460">
        <f t="shared" si="716"/>
        <v>10960.739601313235</v>
      </c>
      <c r="FC256" s="173">
        <f t="shared" si="717"/>
        <v>15.231648178711184</v>
      </c>
      <c r="FD256" s="5">
        <f t="shared" si="718"/>
        <v>28</v>
      </c>
      <c r="FE256" s="173">
        <f t="shared" si="719"/>
        <v>0.64767366453977127</v>
      </c>
      <c r="FF256" s="5">
        <f t="shared" si="720"/>
        <v>64.767366453977132</v>
      </c>
      <c r="FI256" s="562">
        <f t="shared" si="674"/>
        <v>-50</v>
      </c>
      <c r="FJ256">
        <f t="shared" si="675"/>
        <v>-50</v>
      </c>
      <c r="FL256">
        <f t="shared" si="758"/>
        <v>0.34036020687285878</v>
      </c>
    </row>
    <row r="257" spans="5:168">
      <c r="E257" s="170">
        <v>41</v>
      </c>
      <c r="F257" s="217">
        <f t="shared" si="759"/>
        <v>1.0249999999999999</v>
      </c>
      <c r="G257" s="217"/>
      <c r="H257" s="217">
        <f t="shared" si="725"/>
        <v>28.699999999999996</v>
      </c>
      <c r="I257" s="541">
        <f t="shared" si="726"/>
        <v>39.923207934807067</v>
      </c>
      <c r="J257" s="172">
        <f t="shared" si="727"/>
        <v>28.441349573565425</v>
      </c>
      <c r="K257" s="172">
        <f t="shared" si="728"/>
        <v>68.364557508372485</v>
      </c>
      <c r="L257" s="443"/>
      <c r="M257" s="217">
        <f t="shared" si="729"/>
        <v>0.41602728778257458</v>
      </c>
      <c r="N257" s="172">
        <f t="shared" si="730"/>
        <v>140.52984888383099</v>
      </c>
      <c r="O257" s="172">
        <f t="shared" si="598"/>
        <v>28.699999999999996</v>
      </c>
      <c r="P257" s="217">
        <f t="shared" si="731"/>
        <v>5.0189231744225351</v>
      </c>
      <c r="Q257" s="217">
        <f t="shared" si="732"/>
        <v>28</v>
      </c>
      <c r="R257" s="217"/>
      <c r="S257" s="172">
        <f t="shared" si="733"/>
        <v>284.71172897905194</v>
      </c>
      <c r="T257" s="172">
        <f t="shared" si="734"/>
        <v>28</v>
      </c>
      <c r="U257" s="217">
        <f t="shared" si="735"/>
        <v>3.4559276677887345</v>
      </c>
      <c r="V257" s="217">
        <f t="shared" si="736"/>
        <v>0.40685257720599416</v>
      </c>
      <c r="W257" s="217">
        <f t="shared" si="737"/>
        <v>0.57110018624797754</v>
      </c>
      <c r="X257" s="197">
        <f t="shared" si="738"/>
        <v>350</v>
      </c>
      <c r="Y257" s="443">
        <f t="shared" si="678"/>
        <v>350</v>
      </c>
      <c r="AA257" s="217">
        <f t="shared" si="739"/>
        <v>10.096683009464892</v>
      </c>
      <c r="AB257" s="173">
        <f t="shared" si="740"/>
        <v>1.6685006462770351</v>
      </c>
      <c r="AC257" s="173">
        <f t="shared" si="741"/>
        <v>2.9481063721456429</v>
      </c>
      <c r="AD257" s="173"/>
      <c r="AE257" s="173">
        <f t="shared" si="742"/>
        <v>0.55084118375409019</v>
      </c>
      <c r="AF257" s="545">
        <f t="shared" si="743"/>
        <v>1116.4742545367703</v>
      </c>
      <c r="AG257" s="528">
        <f t="shared" si="744"/>
        <v>0.32132402385655262</v>
      </c>
      <c r="AI257" s="173">
        <f t="shared" si="745"/>
        <v>5.9534550580441472</v>
      </c>
      <c r="AJ257" s="173">
        <f t="shared" si="746"/>
        <v>5.9534550580441472</v>
      </c>
      <c r="AK257" s="173">
        <f t="shared" si="747"/>
        <v>3.1408309071931955</v>
      </c>
      <c r="AM257" s="545">
        <f t="shared" si="748"/>
        <v>1025</v>
      </c>
      <c r="AN257" s="460">
        <f t="shared" si="749"/>
        <v>350</v>
      </c>
      <c r="AP257">
        <f t="shared" si="750"/>
        <v>1025</v>
      </c>
      <c r="AQ257">
        <f t="shared" si="751"/>
        <v>350</v>
      </c>
      <c r="AS257" s="5">
        <f t="shared" si="599"/>
        <v>2.8571428571428572</v>
      </c>
      <c r="AT257" s="5">
        <f t="shared" si="752"/>
        <v>0.70087651319251909</v>
      </c>
      <c r="AU257" s="5">
        <f t="shared" si="721"/>
        <v>2.156266343950338</v>
      </c>
      <c r="AV257" s="5"/>
      <c r="AW257" s="173">
        <f t="shared" si="722"/>
        <v>0.24530677961738168</v>
      </c>
      <c r="AX257" s="173">
        <f t="shared" si="630"/>
        <v>29.152383312904558</v>
      </c>
      <c r="AY257" s="173">
        <f t="shared" si="631"/>
        <v>2.2465160850792625</v>
      </c>
      <c r="AZ257" s="173">
        <f t="shared" si="632"/>
        <v>12.976708026497835</v>
      </c>
      <c r="BA257" s="460">
        <f t="shared" si="723"/>
        <v>2.5657086643654718</v>
      </c>
      <c r="BB257" s="5">
        <f t="shared" si="724"/>
        <v>1.1072121289242169</v>
      </c>
      <c r="BD257" s="173">
        <f t="shared" si="679"/>
        <v>1.7024063389573103</v>
      </c>
      <c r="BE257" s="173">
        <f t="shared" si="680"/>
        <v>2.9860266296750351</v>
      </c>
      <c r="BG257" s="528">
        <f t="shared" si="681"/>
        <v>3.4778248115064393E-2</v>
      </c>
      <c r="BH257" s="528">
        <f t="shared" si="753"/>
        <v>2.5997464859020742</v>
      </c>
      <c r="BI257" s="528">
        <f t="shared" si="682"/>
        <v>4.0250000000000001E-2</v>
      </c>
      <c r="BJ257" s="528">
        <f t="shared" si="683"/>
        <v>0.8056312306815212</v>
      </c>
      <c r="BK257">
        <f t="shared" si="684"/>
        <v>1.7965443570663181E-2</v>
      </c>
      <c r="BL257" s="460">
        <f t="shared" si="685"/>
        <v>58.215443570663183</v>
      </c>
      <c r="BM257" s="528">
        <f t="shared" si="754"/>
        <v>3.4782882720454493</v>
      </c>
      <c r="BN257" s="460">
        <f t="shared" si="686"/>
        <v>3478.2882720454495</v>
      </c>
      <c r="BO257" s="528">
        <f t="shared" si="635"/>
        <v>0.71749999999999992</v>
      </c>
      <c r="BR257" s="460">
        <f t="shared" si="687"/>
        <v>717.49999999999989</v>
      </c>
      <c r="BS257" s="528">
        <f t="shared" si="688"/>
        <v>4.0574622800908455E-2</v>
      </c>
      <c r="BT257" s="528">
        <f t="shared" si="689"/>
        <v>0.12482897046379829</v>
      </c>
      <c r="BU257" s="528">
        <f t="shared" si="690"/>
        <v>9.9097526393440845</v>
      </c>
      <c r="BV257" s="528"/>
      <c r="BW257" s="528">
        <f t="shared" si="691"/>
        <v>1.2405269494853006</v>
      </c>
      <c r="BX257" s="460">
        <f t="shared" si="692"/>
        <v>11315.683182094092</v>
      </c>
      <c r="BY257" s="173">
        <f t="shared" si="693"/>
        <v>15.531554590363413</v>
      </c>
      <c r="BZ257" s="5">
        <f t="shared" si="694"/>
        <v>28.699999999999996</v>
      </c>
      <c r="CA257" s="173">
        <f t="shared" si="695"/>
        <v>0.64885804412248205</v>
      </c>
      <c r="CB257" s="5">
        <f t="shared" si="696"/>
        <v>64.885804412248206</v>
      </c>
      <c r="CE257" s="562">
        <f t="shared" si="755"/>
        <v>-50</v>
      </c>
      <c r="CF257">
        <f t="shared" si="756"/>
        <v>-50</v>
      </c>
      <c r="CG257" s="173">
        <f t="shared" si="757"/>
        <v>0.34704106385268008</v>
      </c>
      <c r="CI257" s="170">
        <v>41</v>
      </c>
      <c r="CJ257" s="217">
        <f t="shared" si="697"/>
        <v>1.0249999999999999</v>
      </c>
      <c r="CK257" s="217"/>
      <c r="CL257" s="217">
        <f t="shared" si="639"/>
        <v>28.699999999999996</v>
      </c>
      <c r="CM257" s="541">
        <f t="shared" si="640"/>
        <v>40</v>
      </c>
      <c r="CN257" s="443">
        <f t="shared" si="641"/>
        <v>28.4</v>
      </c>
      <c r="CO257" s="443">
        <f t="shared" si="642"/>
        <v>68.400000000000006</v>
      </c>
      <c r="CP257" s="443"/>
      <c r="CQ257" s="217">
        <f t="shared" si="643"/>
        <v>0.41520467836257302</v>
      </c>
      <c r="CR257" s="172">
        <f t="shared" si="644"/>
        <v>140.52175355646798</v>
      </c>
      <c r="CS257" s="172">
        <f t="shared" si="645"/>
        <v>28.699999999999996</v>
      </c>
      <c r="CT257" s="217">
        <f t="shared" si="646"/>
        <v>5.0186340555881426</v>
      </c>
      <c r="CU257" s="217">
        <f t="shared" si="647"/>
        <v>28</v>
      </c>
      <c r="CV257" s="217"/>
      <c r="CW257" s="172">
        <f t="shared" si="648"/>
        <v>285.25926281908511</v>
      </c>
      <c r="CX257" s="172">
        <f t="shared" si="649"/>
        <v>28</v>
      </c>
      <c r="CY257" s="217">
        <f t="shared" si="650"/>
        <v>3.4561267605633805</v>
      </c>
      <c r="CZ257" s="217">
        <f t="shared" si="651"/>
        <v>0.40609489436619717</v>
      </c>
      <c r="DA257" s="217">
        <f t="shared" si="652"/>
        <v>0.57196463995239044</v>
      </c>
      <c r="DB257" s="197">
        <f t="shared" si="653"/>
        <v>350</v>
      </c>
      <c r="DC257" s="443">
        <f t="shared" si="654"/>
        <v>350</v>
      </c>
      <c r="DE257" s="217">
        <f t="shared" si="655"/>
        <v>10.09616239179509</v>
      </c>
      <c r="DF257" s="173">
        <f t="shared" si="656"/>
        <v>1.6708437761069339</v>
      </c>
      <c r="DG257" s="173">
        <f t="shared" si="657"/>
        <v>2.9520942666067511</v>
      </c>
      <c r="DH257" s="173"/>
      <c r="DI257" s="173">
        <f t="shared" si="658"/>
        <v>0.55164319248826299</v>
      </c>
      <c r="DJ257" s="545">
        <f t="shared" si="659"/>
        <v>1114.8510638297871</v>
      </c>
      <c r="DK257" s="528">
        <f t="shared" si="660"/>
        <v>0.3217918622848201</v>
      </c>
      <c r="DM257" s="173">
        <f t="shared" si="661"/>
        <v>5.9491257563139213</v>
      </c>
      <c r="DN257" s="173">
        <f t="shared" si="662"/>
        <v>5.9491257563139213</v>
      </c>
      <c r="DO257" s="173">
        <f t="shared" si="663"/>
        <v>3.1376240170226577</v>
      </c>
      <c r="DQ257" s="545">
        <f t="shared" si="664"/>
        <v>1025</v>
      </c>
      <c r="DR257" s="460">
        <f t="shared" si="665"/>
        <v>350</v>
      </c>
      <c r="DT257">
        <f t="shared" si="666"/>
        <v>1025</v>
      </c>
      <c r="DU257">
        <f t="shared" si="667"/>
        <v>350</v>
      </c>
      <c r="DW257" s="5">
        <f t="shared" si="668"/>
        <v>2.8571428571428572</v>
      </c>
      <c r="DX257" s="5">
        <f t="shared" si="669"/>
        <v>0.69902227636688563</v>
      </c>
      <c r="DY257" s="5">
        <f t="shared" si="670"/>
        <v>2.1581205807759716</v>
      </c>
      <c r="DZ257" s="5"/>
      <c r="EA257" s="173">
        <f t="shared" si="671"/>
        <v>0.24465779672840995</v>
      </c>
      <c r="EB257" s="173">
        <f t="shared" si="698"/>
        <v>29.11</v>
      </c>
      <c r="EC257" s="173">
        <f t="shared" si="699"/>
        <v>2.2468128781569612</v>
      </c>
      <c r="ED257" s="173">
        <f t="shared" si="700"/>
        <v>12.956130117911131</v>
      </c>
      <c r="EE257" s="460">
        <f t="shared" si="672"/>
        <v>2.558920833128778</v>
      </c>
      <c r="EF257" s="5">
        <f t="shared" si="673"/>
        <v>1.1060367976476853</v>
      </c>
      <c r="EH257" s="173">
        <f t="shared" si="701"/>
        <v>1.6989165702799054</v>
      </c>
      <c r="EI257" s="173">
        <f t="shared" si="702"/>
        <v>2.9851378933042483</v>
      </c>
      <c r="EK257" s="528">
        <f t="shared" si="703"/>
        <v>3.4635810153259644E-2</v>
      </c>
      <c r="EL257" s="528">
        <f t="shared" si="704"/>
        <v>2.7060193415169511</v>
      </c>
      <c r="EM257" s="528">
        <f t="shared" si="705"/>
        <v>4.0250000000000001E-2</v>
      </c>
      <c r="EN257" s="528">
        <f t="shared" si="706"/>
        <v>0.80646678000000016</v>
      </c>
      <c r="EO257">
        <f t="shared" si="707"/>
        <v>1.7999999999999999E-2</v>
      </c>
      <c r="EP257" s="460">
        <f t="shared" si="708"/>
        <v>58.249999999999993</v>
      </c>
      <c r="EQ257" s="460"/>
      <c r="ER257" s="460">
        <f t="shared" si="709"/>
        <v>3605.3719316702104</v>
      </c>
      <c r="ES257" s="528">
        <f t="shared" si="710"/>
        <v>0.71749999999999992</v>
      </c>
      <c r="EV257" s="460">
        <f t="shared" si="711"/>
        <v>717.49999999999989</v>
      </c>
      <c r="EW257" s="528">
        <f t="shared" si="712"/>
        <v>4.0408445178802918E-2</v>
      </c>
      <c r="EX257" s="528">
        <f t="shared" si="713"/>
        <v>0.12475467538857296</v>
      </c>
      <c r="EY257" s="528">
        <f t="shared" si="714"/>
        <v>9.8917467448589775</v>
      </c>
      <c r="EZ257" s="528"/>
      <c r="FA257" s="528">
        <f t="shared" si="715"/>
        <v>1.238723404255319</v>
      </c>
      <c r="FB257" s="460">
        <f t="shared" si="716"/>
        <v>11295.633269681673</v>
      </c>
      <c r="FC257" s="173">
        <f t="shared" si="717"/>
        <v>15.618505201351882</v>
      </c>
      <c r="FD257" s="5">
        <f t="shared" si="718"/>
        <v>28.699999999999996</v>
      </c>
      <c r="FE257" s="173">
        <f t="shared" si="719"/>
        <v>0.64758501825834458</v>
      </c>
      <c r="FF257" s="5">
        <f t="shared" si="720"/>
        <v>64.758501825834458</v>
      </c>
      <c r="FI257" s="562">
        <f t="shared" si="674"/>
        <v>-50</v>
      </c>
      <c r="FJ257">
        <f t="shared" si="675"/>
        <v>-50</v>
      </c>
      <c r="FL257">
        <f t="shared" si="758"/>
        <v>0.34458844609635214</v>
      </c>
    </row>
    <row r="258" spans="5:168">
      <c r="E258" s="170">
        <v>42</v>
      </c>
      <c r="F258" s="217">
        <f t="shared" si="759"/>
        <v>1.05</v>
      </c>
      <c r="G258" s="217"/>
      <c r="H258" s="217">
        <f t="shared" si="725"/>
        <v>29.400000000000002</v>
      </c>
      <c r="I258" s="541">
        <f t="shared" si="726"/>
        <v>39.922277087909485</v>
      </c>
      <c r="J258" s="172">
        <f t="shared" si="727"/>
        <v>28.441850798817967</v>
      </c>
      <c r="K258" s="172">
        <f t="shared" si="728"/>
        <v>68.364127886727459</v>
      </c>
      <c r="L258" s="443"/>
      <c r="M258" s="217">
        <f t="shared" si="729"/>
        <v>0.41603726435864219</v>
      </c>
      <c r="N258" s="172">
        <f t="shared" si="730"/>
        <v>140.52994220793988</v>
      </c>
      <c r="O258" s="172">
        <f t="shared" si="598"/>
        <v>29.400000000000002</v>
      </c>
      <c r="P258" s="217">
        <f t="shared" si="731"/>
        <v>5.018926507426424</v>
      </c>
      <c r="Q258" s="217">
        <f t="shared" si="732"/>
        <v>28</v>
      </c>
      <c r="R258" s="217"/>
      <c r="S258" s="172">
        <f t="shared" si="733"/>
        <v>276.97876264056083</v>
      </c>
      <c r="T258" s="172">
        <f t="shared" si="734"/>
        <v>28</v>
      </c>
      <c r="U258" s="217">
        <f t="shared" si="735"/>
        <v>3.5402162355021201</v>
      </c>
      <c r="V258" s="217">
        <f t="shared" si="736"/>
        <v>0.41678525175857545</v>
      </c>
      <c r="W258" s="217">
        <f t="shared" si="737"/>
        <v>0.58501876071832415</v>
      </c>
      <c r="X258" s="197">
        <f t="shared" si="738"/>
        <v>350</v>
      </c>
      <c r="Y258" s="443">
        <f t="shared" si="678"/>
        <v>350</v>
      </c>
      <c r="AA258" s="217">
        <f t="shared" si="739"/>
        <v>10.096688977115967</v>
      </c>
      <c r="AB258" s="173">
        <f t="shared" si="740"/>
        <v>1.6684722287628777</v>
      </c>
      <c r="AC258" s="173">
        <f t="shared" si="741"/>
        <v>2.9480579031354952</v>
      </c>
      <c r="AD258" s="173"/>
      <c r="AE258" s="173">
        <f t="shared" si="742"/>
        <v>0.55083147638612073</v>
      </c>
      <c r="AF258" s="545">
        <f t="shared" si="743"/>
        <v>1143.7254895694882</v>
      </c>
      <c r="AG258" s="528">
        <f t="shared" si="744"/>
        <v>0.3213183612252371</v>
      </c>
      <c r="AI258" s="173">
        <f t="shared" si="745"/>
        <v>6.0256738793780311</v>
      </c>
      <c r="AJ258" s="173">
        <f t="shared" si="746"/>
        <v>6.0256738793780311</v>
      </c>
      <c r="AK258" s="173">
        <f t="shared" si="747"/>
        <v>3.1943263304034799</v>
      </c>
      <c r="AM258" s="545">
        <f t="shared" si="748"/>
        <v>1050</v>
      </c>
      <c r="AN258" s="460">
        <f t="shared" si="749"/>
        <v>350</v>
      </c>
      <c r="AP258">
        <f t="shared" si="750"/>
        <v>1050</v>
      </c>
      <c r="AQ258">
        <f t="shared" si="751"/>
        <v>350</v>
      </c>
      <c r="AS258" s="5">
        <f t="shared" si="599"/>
        <v>2.8571428571428572</v>
      </c>
      <c r="AT258" s="5">
        <f t="shared" si="752"/>
        <v>0.70939508712677357</v>
      </c>
      <c r="AU258" s="5">
        <f t="shared" si="721"/>
        <v>2.1477477700160836</v>
      </c>
      <c r="AV258" s="5"/>
      <c r="AW258" s="173">
        <f t="shared" si="722"/>
        <v>0.24828828049437074</v>
      </c>
      <c r="AX258" s="173">
        <f t="shared" si="630"/>
        <v>29.863943338758872</v>
      </c>
      <c r="AY258" s="173">
        <f t="shared" si="631"/>
        <v>2.2647848365237078</v>
      </c>
      <c r="AZ258" s="173">
        <f t="shared" si="632"/>
        <v>13.186216569958148</v>
      </c>
      <c r="BA258" s="460">
        <f t="shared" si="723"/>
        <v>2.6602315767254008</v>
      </c>
      <c r="BB258" s="5">
        <f t="shared" si="724"/>
        <v>1.1297627906098866</v>
      </c>
      <c r="BD258" s="173">
        <f t="shared" si="679"/>
        <v>1.7334970471000706</v>
      </c>
      <c r="BE258" s="173">
        <f t="shared" si="680"/>
        <v>3.0162730680816847</v>
      </c>
      <c r="BG258" s="528">
        <f t="shared" si="681"/>
        <v>3.6060144147655973E-2</v>
      </c>
      <c r="BH258" s="528">
        <f t="shared" si="753"/>
        <v>2.6312663647923134</v>
      </c>
      <c r="BI258" s="528">
        <f t="shared" si="682"/>
        <v>4.0250000000000001E-2</v>
      </c>
      <c r="BJ258" s="528">
        <f t="shared" si="683"/>
        <v>0.80562110509774854</v>
      </c>
      <c r="BK258">
        <f t="shared" si="684"/>
        <v>1.7965024689559267E-2</v>
      </c>
      <c r="BL258" s="460">
        <f t="shared" si="685"/>
        <v>58.215024689559264</v>
      </c>
      <c r="BM258" s="528">
        <f t="shared" si="754"/>
        <v>3.5127809748203176</v>
      </c>
      <c r="BN258" s="460">
        <f t="shared" si="686"/>
        <v>3512.7809748203176</v>
      </c>
      <c r="BO258" s="528">
        <f t="shared" si="635"/>
        <v>0.73499999999999999</v>
      </c>
      <c r="BR258" s="460">
        <f t="shared" si="687"/>
        <v>735</v>
      </c>
      <c r="BS258" s="528">
        <f t="shared" si="688"/>
        <v>4.2070168172265297E-2</v>
      </c>
      <c r="BT258" s="528">
        <f t="shared" si="689"/>
        <v>0.1273706450972886</v>
      </c>
      <c r="BU258" s="528">
        <f t="shared" si="690"/>
        <v>10.213019781571917</v>
      </c>
      <c r="BV258" s="528"/>
      <c r="BW258" s="528">
        <f t="shared" si="691"/>
        <v>1.2708060995216544</v>
      </c>
      <c r="BX258" s="460">
        <f t="shared" si="692"/>
        <v>11653.266694363125</v>
      </c>
      <c r="BY258" s="173">
        <f t="shared" si="693"/>
        <v>15.919429333090402</v>
      </c>
      <c r="BZ258" s="5">
        <f t="shared" si="694"/>
        <v>29.400000000000002</v>
      </c>
      <c r="CA258" s="173">
        <f t="shared" si="695"/>
        <v>0.64872838057855498</v>
      </c>
      <c r="CB258" s="5">
        <f t="shared" si="696"/>
        <v>64.872838057855503</v>
      </c>
      <c r="CE258" s="562">
        <f t="shared" si="755"/>
        <v>-50</v>
      </c>
      <c r="CF258">
        <f t="shared" si="756"/>
        <v>-50</v>
      </c>
      <c r="CG258" s="173">
        <f t="shared" si="757"/>
        <v>0.35124777579366961</v>
      </c>
      <c r="CI258" s="170">
        <v>42</v>
      </c>
      <c r="CJ258" s="217">
        <f t="shared" si="697"/>
        <v>1.05</v>
      </c>
      <c r="CK258" s="217"/>
      <c r="CL258" s="217">
        <f t="shared" si="639"/>
        <v>29.400000000000002</v>
      </c>
      <c r="CM258" s="541">
        <f t="shared" si="640"/>
        <v>40</v>
      </c>
      <c r="CN258" s="443">
        <f t="shared" si="641"/>
        <v>28.4</v>
      </c>
      <c r="CO258" s="443">
        <f t="shared" si="642"/>
        <v>68.400000000000006</v>
      </c>
      <c r="CP258" s="443"/>
      <c r="CQ258" s="217">
        <f t="shared" si="643"/>
        <v>0.41520467836257302</v>
      </c>
      <c r="CR258" s="172">
        <f t="shared" si="644"/>
        <v>140.52175355646798</v>
      </c>
      <c r="CS258" s="172">
        <f t="shared" si="645"/>
        <v>29.400000000000002</v>
      </c>
      <c r="CT258" s="217">
        <f t="shared" si="646"/>
        <v>5.0186340555881426</v>
      </c>
      <c r="CU258" s="217">
        <f t="shared" si="647"/>
        <v>28</v>
      </c>
      <c r="CV258" s="217"/>
      <c r="CW258" s="172">
        <f t="shared" si="648"/>
        <v>277.51788842162148</v>
      </c>
      <c r="CX258" s="172">
        <f t="shared" si="649"/>
        <v>28</v>
      </c>
      <c r="CY258" s="217">
        <f t="shared" si="650"/>
        <v>3.5404225352112686</v>
      </c>
      <c r="CZ258" s="217">
        <f t="shared" si="651"/>
        <v>0.41599964788732402</v>
      </c>
      <c r="DA258" s="217">
        <f t="shared" si="652"/>
        <v>0.58591499702440009</v>
      </c>
      <c r="DB258" s="197">
        <f t="shared" si="653"/>
        <v>350</v>
      </c>
      <c r="DC258" s="443">
        <f t="shared" si="654"/>
        <v>350</v>
      </c>
      <c r="DE258" s="217">
        <f t="shared" si="655"/>
        <v>10.09616239179509</v>
      </c>
      <c r="DF258" s="173">
        <f t="shared" si="656"/>
        <v>1.6708437761069339</v>
      </c>
      <c r="DG258" s="173">
        <f t="shared" si="657"/>
        <v>2.9520942666067511</v>
      </c>
      <c r="DH258" s="173"/>
      <c r="DI258" s="173">
        <f t="shared" si="658"/>
        <v>0.55164319248826299</v>
      </c>
      <c r="DJ258" s="545">
        <f t="shared" si="659"/>
        <v>1142.0425531914893</v>
      </c>
      <c r="DK258" s="528">
        <f t="shared" si="660"/>
        <v>0.3217918622848201</v>
      </c>
      <c r="DM258" s="173">
        <f t="shared" si="661"/>
        <v>6.0212390044687787</v>
      </c>
      <c r="DN258" s="173">
        <f t="shared" si="662"/>
        <v>6.0212390044687787</v>
      </c>
      <c r="DO258" s="173">
        <f t="shared" si="663"/>
        <v>3.1910412378781077</v>
      </c>
      <c r="DQ258" s="545">
        <f t="shared" si="664"/>
        <v>1050</v>
      </c>
      <c r="DR258" s="460">
        <f t="shared" si="665"/>
        <v>350</v>
      </c>
      <c r="DT258">
        <f t="shared" si="666"/>
        <v>1050</v>
      </c>
      <c r="DU258">
        <f t="shared" si="667"/>
        <v>350</v>
      </c>
      <c r="DW258" s="5">
        <f t="shared" si="668"/>
        <v>2.8571428571428572</v>
      </c>
      <c r="DX258" s="5">
        <f t="shared" si="669"/>
        <v>0.70749558302508142</v>
      </c>
      <c r="DY258" s="5">
        <f t="shared" si="670"/>
        <v>2.1496472741177759</v>
      </c>
      <c r="DZ258" s="5"/>
      <c r="EA258" s="173">
        <f t="shared" si="671"/>
        <v>0.2476234540587785</v>
      </c>
      <c r="EB258" s="173">
        <f t="shared" si="698"/>
        <v>29.819999999999997</v>
      </c>
      <c r="EC258" s="173">
        <f t="shared" si="699"/>
        <v>2.2651195022343895</v>
      </c>
      <c r="ED258" s="173">
        <f t="shared" si="700"/>
        <v>13.164868330604435</v>
      </c>
      <c r="EE258" s="460">
        <f t="shared" si="672"/>
        <v>2.6531084363440556</v>
      </c>
      <c r="EF258" s="5">
        <f t="shared" si="673"/>
        <v>1.1285648189118325</v>
      </c>
      <c r="EH258" s="173">
        <f t="shared" si="701"/>
        <v>1.7299005130992309</v>
      </c>
      <c r="EI258" s="173">
        <f t="shared" si="702"/>
        <v>3.0153856466060422</v>
      </c>
      <c r="EK258" s="528">
        <f t="shared" si="703"/>
        <v>3.5910669422651788E-2</v>
      </c>
      <c r="EL258" s="528">
        <f t="shared" si="704"/>
        <v>2.7388207735726686</v>
      </c>
      <c r="EM258" s="528">
        <f t="shared" si="705"/>
        <v>4.0250000000000001E-2</v>
      </c>
      <c r="EN258" s="528">
        <f t="shared" si="706"/>
        <v>0.80646678000000016</v>
      </c>
      <c r="EO258">
        <f t="shared" si="707"/>
        <v>1.7999999999999999E-2</v>
      </c>
      <c r="EP258" s="460">
        <f t="shared" si="708"/>
        <v>58.249999999999993</v>
      </c>
      <c r="EQ258" s="460"/>
      <c r="ER258" s="460">
        <f t="shared" si="709"/>
        <v>3639.4482229953201</v>
      </c>
      <c r="ES258" s="528">
        <f t="shared" si="710"/>
        <v>0.73499999999999999</v>
      </c>
      <c r="EV258" s="460">
        <f t="shared" si="711"/>
        <v>735</v>
      </c>
      <c r="EW258" s="528">
        <f t="shared" si="712"/>
        <v>4.1895780993093754E-2</v>
      </c>
      <c r="EX258" s="528">
        <f t="shared" si="713"/>
        <v>0.12729570836860835</v>
      </c>
      <c r="EY258" s="528">
        <f t="shared" si="714"/>
        <v>10.194238286225364</v>
      </c>
      <c r="EZ258" s="528"/>
      <c r="FA258" s="528">
        <f t="shared" si="715"/>
        <v>1.2689361702127659</v>
      </c>
      <c r="FB258" s="460">
        <f t="shared" si="716"/>
        <v>11632.365945799833</v>
      </c>
      <c r="FC258" s="173">
        <f t="shared" si="717"/>
        <v>16.006814168795152</v>
      </c>
      <c r="FD258" s="5">
        <f t="shared" si="718"/>
        <v>29.400000000000002</v>
      </c>
      <c r="FE258" s="173">
        <f t="shared" si="719"/>
        <v>0.6474799110703634</v>
      </c>
      <c r="FF258" s="5">
        <f t="shared" si="720"/>
        <v>64.747991107036341</v>
      </c>
      <c r="FI258" s="562">
        <f t="shared" si="674"/>
        <v>-50</v>
      </c>
      <c r="FJ258">
        <f t="shared" si="675"/>
        <v>-50</v>
      </c>
      <c r="FL258">
        <f t="shared" si="758"/>
        <v>0.34876542825180079</v>
      </c>
    </row>
    <row r="259" spans="5:168">
      <c r="E259" s="170">
        <v>43</v>
      </c>
      <c r="F259" s="217">
        <f t="shared" si="759"/>
        <v>1.075</v>
      </c>
      <c r="G259" s="217"/>
      <c r="H259" s="217">
        <f t="shared" si="725"/>
        <v>30.099999999999998</v>
      </c>
      <c r="I259" s="541">
        <f t="shared" si="726"/>
        <v>39.921357258115805</v>
      </c>
      <c r="J259" s="172">
        <f t="shared" si="727"/>
        <v>28.442346091783794</v>
      </c>
      <c r="K259" s="172">
        <f t="shared" si="728"/>
        <v>68.363703349899595</v>
      </c>
      <c r="L259" s="443"/>
      <c r="M259" s="217">
        <f t="shared" si="729"/>
        <v>0.4160471229783943</v>
      </c>
      <c r="N259" s="172">
        <f t="shared" si="730"/>
        <v>140.53003431439464</v>
      </c>
      <c r="O259" s="172">
        <f t="shared" si="598"/>
        <v>30.099999999999998</v>
      </c>
      <c r="P259" s="217">
        <f t="shared" si="731"/>
        <v>5.0189297969426656</v>
      </c>
      <c r="Q259" s="217">
        <f t="shared" si="732"/>
        <v>28</v>
      </c>
      <c r="R259" s="217"/>
      <c r="S259" s="172">
        <f t="shared" si="733"/>
        <v>269.6056699732398</v>
      </c>
      <c r="T259" s="172">
        <f t="shared" si="734"/>
        <v>28</v>
      </c>
      <c r="U259" s="217">
        <f t="shared" si="735"/>
        <v>3.624504722671031</v>
      </c>
      <c r="V259" s="217">
        <f t="shared" si="736"/>
        <v>0.42671826226776605</v>
      </c>
      <c r="W259" s="217">
        <f t="shared" si="737"/>
        <v>0.59893695624056953</v>
      </c>
      <c r="X259" s="197">
        <f t="shared" si="738"/>
        <v>350</v>
      </c>
      <c r="Y259" s="443">
        <f t="shared" si="678"/>
        <v>350</v>
      </c>
      <c r="AA259" s="217">
        <f t="shared" si="739"/>
        <v>10.096694866059345</v>
      </c>
      <c r="AB259" s="173">
        <f t="shared" si="740"/>
        <v>1.6684441472353506</v>
      </c>
      <c r="AC259" s="173">
        <f t="shared" si="741"/>
        <v>2.9480100047471369</v>
      </c>
      <c r="AD259" s="173"/>
      <c r="AE259" s="173">
        <f t="shared" si="742"/>
        <v>0.55082188424647338</v>
      </c>
      <c r="AF259" s="545">
        <f t="shared" si="743"/>
        <v>1170.9774401617369</v>
      </c>
      <c r="AG259" s="528">
        <f t="shared" si="744"/>
        <v>0.32131276581044282</v>
      </c>
      <c r="AI259" s="173">
        <f t="shared" si="745"/>
        <v>6.0970391985997177</v>
      </c>
      <c r="AJ259" s="173">
        <f t="shared" si="746"/>
        <v>6.0970391985997177</v>
      </c>
      <c r="AK259" s="173">
        <f t="shared" si="747"/>
        <v>3.2471895298269509</v>
      </c>
      <c r="AM259" s="545">
        <f t="shared" si="748"/>
        <v>1075</v>
      </c>
      <c r="AN259" s="460">
        <f t="shared" si="749"/>
        <v>350</v>
      </c>
      <c r="AP259">
        <f t="shared" si="750"/>
        <v>1075</v>
      </c>
      <c r="AQ259">
        <f t="shared" si="751"/>
        <v>350</v>
      </c>
      <c r="AS259" s="5">
        <f t="shared" si="599"/>
        <v>2.8571428571428572</v>
      </c>
      <c r="AT259" s="5">
        <f t="shared" si="752"/>
        <v>0.71781337613698093</v>
      </c>
      <c r="AU259" s="5">
        <f t="shared" si="721"/>
        <v>2.1393294810058761</v>
      </c>
      <c r="AV259" s="5"/>
      <c r="AW259" s="173">
        <f t="shared" si="722"/>
        <v>0.25123468164794333</v>
      </c>
      <c r="AX259" s="173">
        <f t="shared" si="630"/>
        <v>30.575522048667573</v>
      </c>
      <c r="AY259" s="173">
        <f t="shared" si="631"/>
        <v>2.2826257482722427</v>
      </c>
      <c r="AZ259" s="173">
        <f t="shared" si="632"/>
        <v>13.394890542968199</v>
      </c>
      <c r="BA259" s="460">
        <f t="shared" si="723"/>
        <v>2.7558906405259087</v>
      </c>
      <c r="BB259" s="5">
        <f t="shared" si="724"/>
        <v>1.1521548113767015</v>
      </c>
      <c r="BD259" s="173">
        <f t="shared" si="679"/>
        <v>1.7644044947577198</v>
      </c>
      <c r="BE259" s="173">
        <f t="shared" si="680"/>
        <v>3.046009264917938</v>
      </c>
      <c r="BG259" s="528">
        <f t="shared" si="681"/>
        <v>3.7357478653454936E-2</v>
      </c>
      <c r="BH259" s="528">
        <f t="shared" si="753"/>
        <v>2.6624133439104241</v>
      </c>
      <c r="BI259" s="528">
        <f t="shared" si="682"/>
        <v>4.0250000000000001E-2</v>
      </c>
      <c r="BJ259" s="528">
        <f t="shared" si="683"/>
        <v>0.80561109941854103</v>
      </c>
      <c r="BK259">
        <f t="shared" si="684"/>
        <v>1.7964610766152113E-2</v>
      </c>
      <c r="BL259" s="460">
        <f t="shared" si="685"/>
        <v>58.214610766152113</v>
      </c>
      <c r="BM259" s="528">
        <f t="shared" si="754"/>
        <v>3.5469516699182622</v>
      </c>
      <c r="BN259" s="460">
        <f t="shared" si="686"/>
        <v>3546.9516699182623</v>
      </c>
      <c r="BO259" s="528">
        <f t="shared" si="635"/>
        <v>0.75249999999999995</v>
      </c>
      <c r="BR259" s="460">
        <f t="shared" si="687"/>
        <v>752.5</v>
      </c>
      <c r="BS259" s="528">
        <f t="shared" si="688"/>
        <v>4.3583725095697419E-2</v>
      </c>
      <c r="BT259" s="528">
        <f t="shared" si="689"/>
        <v>0.12989441418752284</v>
      </c>
      <c r="BU259" s="528">
        <f t="shared" si="690"/>
        <v>10.518106965347018</v>
      </c>
      <c r="BV259" s="528"/>
      <c r="BW259" s="528">
        <f t="shared" si="691"/>
        <v>1.3010860446241521</v>
      </c>
      <c r="BX259" s="460">
        <f t="shared" si="692"/>
        <v>11992.671149254391</v>
      </c>
      <c r="BY259" s="173">
        <f t="shared" si="693"/>
        <v>16.308767682002962</v>
      </c>
      <c r="BZ259" s="5">
        <f t="shared" si="694"/>
        <v>30.099999999999998</v>
      </c>
      <c r="CA259" s="173">
        <f t="shared" si="695"/>
        <v>0.64858434092126516</v>
      </c>
      <c r="CB259" s="5">
        <f t="shared" si="696"/>
        <v>64.858434092126515</v>
      </c>
      <c r="CE259" s="562">
        <f t="shared" si="755"/>
        <v>-50</v>
      </c>
      <c r="CF259">
        <f t="shared" si="756"/>
        <v>-50</v>
      </c>
      <c r="CG259" s="173">
        <f t="shared" si="757"/>
        <v>0.3554046988997191</v>
      </c>
      <c r="CI259" s="170">
        <v>43</v>
      </c>
      <c r="CJ259" s="217">
        <f t="shared" si="697"/>
        <v>1.075</v>
      </c>
      <c r="CK259" s="217"/>
      <c r="CL259" s="217">
        <f t="shared" si="639"/>
        <v>30.099999999999998</v>
      </c>
      <c r="CM259" s="541">
        <f t="shared" si="640"/>
        <v>40</v>
      </c>
      <c r="CN259" s="443">
        <f t="shared" si="641"/>
        <v>28.4</v>
      </c>
      <c r="CO259" s="443">
        <f t="shared" si="642"/>
        <v>68.400000000000006</v>
      </c>
      <c r="CP259" s="443"/>
      <c r="CQ259" s="217">
        <f t="shared" si="643"/>
        <v>0.41520467836257302</v>
      </c>
      <c r="CR259" s="172">
        <f t="shared" si="644"/>
        <v>140.52175355646798</v>
      </c>
      <c r="CS259" s="172">
        <f t="shared" si="645"/>
        <v>30.099999999999998</v>
      </c>
      <c r="CT259" s="217">
        <f t="shared" si="646"/>
        <v>5.0186340555881426</v>
      </c>
      <c r="CU259" s="217">
        <f t="shared" si="647"/>
        <v>28</v>
      </c>
      <c r="CV259" s="217"/>
      <c r="CW259" s="172">
        <f t="shared" si="648"/>
        <v>270.1366610870565</v>
      </c>
      <c r="CX259" s="172">
        <f t="shared" si="649"/>
        <v>28</v>
      </c>
      <c r="CY259" s="217">
        <f t="shared" si="650"/>
        <v>3.6247183098591558</v>
      </c>
      <c r="CZ259" s="217">
        <f t="shared" si="651"/>
        <v>0.42590440140845076</v>
      </c>
      <c r="DA259" s="217">
        <f t="shared" si="652"/>
        <v>0.59986535409640962</v>
      </c>
      <c r="DB259" s="197">
        <f t="shared" si="653"/>
        <v>350</v>
      </c>
      <c r="DC259" s="443">
        <f t="shared" si="654"/>
        <v>350</v>
      </c>
      <c r="DE259" s="217">
        <f t="shared" si="655"/>
        <v>10.09616239179509</v>
      </c>
      <c r="DF259" s="173">
        <f t="shared" si="656"/>
        <v>1.6708437761069339</v>
      </c>
      <c r="DG259" s="173">
        <f t="shared" si="657"/>
        <v>2.9520942666067511</v>
      </c>
      <c r="DH259" s="173"/>
      <c r="DI259" s="173">
        <f t="shared" si="658"/>
        <v>0.55164319248826299</v>
      </c>
      <c r="DJ259" s="545">
        <f t="shared" si="659"/>
        <v>1169.2340425531913</v>
      </c>
      <c r="DK259" s="528">
        <f t="shared" si="660"/>
        <v>0.3217918622848201</v>
      </c>
      <c r="DM259" s="173">
        <f t="shared" si="661"/>
        <v>6.0924987512050137</v>
      </c>
      <c r="DN259" s="173">
        <f t="shared" si="662"/>
        <v>6.0924987512050137</v>
      </c>
      <c r="DO259" s="173">
        <f t="shared" si="663"/>
        <v>3.2438262354605039</v>
      </c>
      <c r="DQ259" s="545">
        <f t="shared" si="664"/>
        <v>1075</v>
      </c>
      <c r="DR259" s="460">
        <f t="shared" si="665"/>
        <v>350</v>
      </c>
      <c r="DT259">
        <f t="shared" si="666"/>
        <v>1075</v>
      </c>
      <c r="DU259">
        <f t="shared" si="667"/>
        <v>350</v>
      </c>
      <c r="DW259" s="5">
        <f t="shared" si="668"/>
        <v>2.8571428571428572</v>
      </c>
      <c r="DX259" s="5">
        <f t="shared" si="669"/>
        <v>0.71586860326658908</v>
      </c>
      <c r="DY259" s="5">
        <f t="shared" si="670"/>
        <v>2.1412742538762681</v>
      </c>
      <c r="DZ259" s="5"/>
      <c r="EA259" s="173">
        <f t="shared" si="671"/>
        <v>0.25055401114330617</v>
      </c>
      <c r="EB259" s="173">
        <f t="shared" si="698"/>
        <v>30.530000000000005</v>
      </c>
      <c r="EC259" s="173">
        <f t="shared" si="699"/>
        <v>2.2829993756025067</v>
      </c>
      <c r="ED259" s="173">
        <f t="shared" si="700"/>
        <v>13.372758804168674</v>
      </c>
      <c r="EE259" s="460">
        <f t="shared" si="672"/>
        <v>2.7484241018270832</v>
      </c>
      <c r="EF259" s="5">
        <f t="shared" si="673"/>
        <v>1.1509349114584939</v>
      </c>
      <c r="EH259" s="173">
        <f t="shared" si="701"/>
        <v>1.7607005560017348</v>
      </c>
      <c r="EI259" s="173">
        <f t="shared" si="702"/>
        <v>3.0451240636860866</v>
      </c>
      <c r="EK259" s="528">
        <f t="shared" si="703"/>
        <v>3.7200797374857819E-2</v>
      </c>
      <c r="EL259" s="528">
        <f t="shared" si="704"/>
        <v>2.7712339819731131</v>
      </c>
      <c r="EM259" s="528">
        <f t="shared" si="705"/>
        <v>4.0250000000000001E-2</v>
      </c>
      <c r="EN259" s="528">
        <f t="shared" si="706"/>
        <v>0.80646678000000016</v>
      </c>
      <c r="EO259">
        <f t="shared" si="707"/>
        <v>1.7999999999999999E-2</v>
      </c>
      <c r="EP259" s="460">
        <f t="shared" si="708"/>
        <v>58.249999999999993</v>
      </c>
      <c r="EQ259" s="460"/>
      <c r="ER259" s="460">
        <f t="shared" si="709"/>
        <v>3673.1515593479708</v>
      </c>
      <c r="ES259" s="528">
        <f t="shared" si="710"/>
        <v>0.75249999999999995</v>
      </c>
      <c r="EV259" s="460">
        <f t="shared" si="711"/>
        <v>752.5</v>
      </c>
      <c r="EW259" s="528">
        <f t="shared" si="712"/>
        <v>4.3400930270667451E-2</v>
      </c>
      <c r="EX259" s="528">
        <f t="shared" si="713"/>
        <v>0.12981892788536092</v>
      </c>
      <c r="EY259" s="528">
        <f t="shared" si="714"/>
        <v>10.498535891667139</v>
      </c>
      <c r="EZ259" s="528"/>
      <c r="FA259" s="528">
        <f t="shared" si="715"/>
        <v>1.2991489361702129</v>
      </c>
      <c r="FB259" s="460">
        <f t="shared" si="716"/>
        <v>11970.904685993379</v>
      </c>
      <c r="FC259" s="173">
        <f t="shared" si="717"/>
        <v>16.396556245341351</v>
      </c>
      <c r="FD259" s="5">
        <f t="shared" si="718"/>
        <v>30.099999999999998</v>
      </c>
      <c r="FE259" s="173">
        <f t="shared" si="719"/>
        <v>0.64735977092961194</v>
      </c>
      <c r="FF259" s="5">
        <f t="shared" si="720"/>
        <v>64.735977092961193</v>
      </c>
      <c r="FI259" s="562">
        <f t="shared" si="674"/>
        <v>-50</v>
      </c>
      <c r="FJ259">
        <f t="shared" si="675"/>
        <v>-50</v>
      </c>
      <c r="FL259">
        <f t="shared" si="758"/>
        <v>0.35289297344127635</v>
      </c>
    </row>
    <row r="260" spans="5:168">
      <c r="E260" s="170">
        <v>44</v>
      </c>
      <c r="F260" s="217">
        <f t="shared" si="759"/>
        <v>1.1000000000000001</v>
      </c>
      <c r="G260" s="217"/>
      <c r="H260" s="217">
        <f t="shared" si="725"/>
        <v>30.800000000000004</v>
      </c>
      <c r="I260" s="541">
        <f t="shared" si="726"/>
        <v>39.920448063264949</v>
      </c>
      <c r="J260" s="172">
        <f t="shared" si="727"/>
        <v>28.44283565824195</v>
      </c>
      <c r="K260" s="172">
        <f t="shared" si="728"/>
        <v>68.363283721506903</v>
      </c>
      <c r="L260" s="443"/>
      <c r="M260" s="217">
        <f t="shared" si="729"/>
        <v>0.41605686773349931</v>
      </c>
      <c r="N260" s="172">
        <f t="shared" si="730"/>
        <v>140.53012524543112</v>
      </c>
      <c r="O260" s="172">
        <f t="shared" si="598"/>
        <v>30.800000000000004</v>
      </c>
      <c r="P260" s="217">
        <f t="shared" si="731"/>
        <v>5.0189330444796827</v>
      </c>
      <c r="Q260" s="217">
        <f t="shared" si="732"/>
        <v>28</v>
      </c>
      <c r="R260" s="217"/>
      <c r="S260" s="172">
        <f t="shared" si="733"/>
        <v>262.56791169874117</v>
      </c>
      <c r="T260" s="172">
        <f t="shared" si="734"/>
        <v>28</v>
      </c>
      <c r="U260" s="217">
        <f t="shared" si="735"/>
        <v>3.7087931303719701</v>
      </c>
      <c r="V260" s="217">
        <f t="shared" si="736"/>
        <v>0.43665160483979326</v>
      </c>
      <c r="W260" s="217">
        <f t="shared" si="737"/>
        <v>0.61285477728719839</v>
      </c>
      <c r="X260" s="197">
        <f t="shared" si="738"/>
        <v>350</v>
      </c>
      <c r="Y260" s="443">
        <f t="shared" si="678"/>
        <v>350</v>
      </c>
      <c r="AA260" s="217">
        <f t="shared" si="739"/>
        <v>10.096700679025098</v>
      </c>
      <c r="AB260" s="173">
        <f t="shared" si="740"/>
        <v>1.6684163900397515</v>
      </c>
      <c r="AC260" s="173">
        <f t="shared" si="741"/>
        <v>2.9479626571869182</v>
      </c>
      <c r="AD260" s="173"/>
      <c r="AE260" s="173">
        <f t="shared" si="742"/>
        <v>0.55081240333809334</v>
      </c>
      <c r="AF260" s="545">
        <f t="shared" si="743"/>
        <v>1198.2300979429585</v>
      </c>
      <c r="AG260" s="528">
        <f t="shared" si="744"/>
        <v>0.32130723528055449</v>
      </c>
      <c r="AI260" s="173">
        <f t="shared" si="745"/>
        <v>6.1675806219576819</v>
      </c>
      <c r="AJ260" s="173">
        <f t="shared" si="746"/>
        <v>6.1675806219576819</v>
      </c>
      <c r="AK260" s="173">
        <f t="shared" si="747"/>
        <v>3.2994424360180359</v>
      </c>
      <c r="AM260" s="545">
        <f t="shared" si="748"/>
        <v>1100</v>
      </c>
      <c r="AN260" s="460">
        <f t="shared" si="749"/>
        <v>350</v>
      </c>
      <c r="AP260">
        <f t="shared" si="750"/>
        <v>1100</v>
      </c>
      <c r="AQ260">
        <f t="shared" si="751"/>
        <v>350</v>
      </c>
      <c r="AS260" s="5">
        <f t="shared" si="599"/>
        <v>2.8571428571428572</v>
      </c>
      <c r="AT260" s="5">
        <f t="shared" si="752"/>
        <v>0.72613485893901342</v>
      </c>
      <c r="AU260" s="5">
        <f t="shared" si="721"/>
        <v>2.1310079982038439</v>
      </c>
      <c r="AV260" s="5"/>
      <c r="AW260" s="173">
        <f t="shared" si="722"/>
        <v>0.2541472006286547</v>
      </c>
      <c r="AX260" s="173">
        <f t="shared" si="630"/>
        <v>31.287119224066149</v>
      </c>
      <c r="AY260" s="173">
        <f t="shared" si="631"/>
        <v>2.3000536361177999</v>
      </c>
      <c r="AZ260" s="173">
        <f t="shared" si="632"/>
        <v>13.602778097329441</v>
      </c>
      <c r="BA260" s="460">
        <f t="shared" si="723"/>
        <v>2.8526726601175527</v>
      </c>
      <c r="BB260" s="5">
        <f t="shared" si="724"/>
        <v>1.1743900240344709</v>
      </c>
      <c r="BD260" s="173">
        <f t="shared" si="679"/>
        <v>1.7951340021644633</v>
      </c>
      <c r="BE260" s="173">
        <f t="shared" si="680"/>
        <v>3.0752524271007355</v>
      </c>
      <c r="BG260" s="528">
        <f t="shared" si="681"/>
        <v>3.8670073028724043E-2</v>
      </c>
      <c r="BH260" s="528">
        <f t="shared" si="753"/>
        <v>2.6932003583794542</v>
      </c>
      <c r="BI260" s="528">
        <f t="shared" si="682"/>
        <v>4.0250000000000001E-2</v>
      </c>
      <c r="BJ260" s="528">
        <f t="shared" si="683"/>
        <v>0.80560120948465241</v>
      </c>
      <c r="BK260">
        <f t="shared" si="684"/>
        <v>1.7964201628469227E-2</v>
      </c>
      <c r="BL260" s="460">
        <f t="shared" si="685"/>
        <v>58.214201628469226</v>
      </c>
      <c r="BM260" s="528">
        <f t="shared" si="754"/>
        <v>3.5808131049048728</v>
      </c>
      <c r="BN260" s="460">
        <f t="shared" si="686"/>
        <v>3580.8131049048729</v>
      </c>
      <c r="BO260" s="528">
        <f t="shared" si="635"/>
        <v>0.77</v>
      </c>
      <c r="BR260" s="460">
        <f t="shared" si="687"/>
        <v>770</v>
      </c>
      <c r="BS260" s="528">
        <f t="shared" si="688"/>
        <v>4.5115085200178047E-2</v>
      </c>
      <c r="BT260" s="528">
        <f t="shared" si="689"/>
        <v>0.13240048486544551</v>
      </c>
      <c r="BU260" s="528">
        <f t="shared" si="690"/>
        <v>10.824982510092678</v>
      </c>
      <c r="BV260" s="528"/>
      <c r="BW260" s="528">
        <f t="shared" si="691"/>
        <v>1.3313667754921767</v>
      </c>
      <c r="BX260" s="460">
        <f t="shared" si="692"/>
        <v>12333.864855650478</v>
      </c>
      <c r="BY260" s="173">
        <f t="shared" si="693"/>
        <v>16.69955069817178</v>
      </c>
      <c r="BZ260" s="5">
        <f t="shared" si="694"/>
        <v>30.800000000000004</v>
      </c>
      <c r="CA260" s="173">
        <f t="shared" si="695"/>
        <v>0.6484271860951617</v>
      </c>
      <c r="CB260" s="5">
        <f t="shared" si="696"/>
        <v>64.842718609516169</v>
      </c>
      <c r="CE260" s="562">
        <f t="shared" si="755"/>
        <v>-50</v>
      </c>
      <c r="CF260">
        <f t="shared" si="756"/>
        <v>-50</v>
      </c>
      <c r="CG260" s="173">
        <f t="shared" si="757"/>
        <v>0.35951356024495101</v>
      </c>
      <c r="CI260" s="170">
        <v>44</v>
      </c>
      <c r="CJ260" s="217">
        <f t="shared" si="697"/>
        <v>1.1000000000000001</v>
      </c>
      <c r="CK260" s="217"/>
      <c r="CL260" s="217">
        <f t="shared" si="639"/>
        <v>30.800000000000004</v>
      </c>
      <c r="CM260" s="541">
        <f t="shared" si="640"/>
        <v>40</v>
      </c>
      <c r="CN260" s="443">
        <f t="shared" si="641"/>
        <v>28.4</v>
      </c>
      <c r="CO260" s="443">
        <f t="shared" si="642"/>
        <v>68.400000000000006</v>
      </c>
      <c r="CP260" s="443"/>
      <c r="CQ260" s="217">
        <f t="shared" si="643"/>
        <v>0.41520467836257302</v>
      </c>
      <c r="CR260" s="172">
        <f t="shared" si="644"/>
        <v>140.52175355646798</v>
      </c>
      <c r="CS260" s="172">
        <f t="shared" si="645"/>
        <v>30.800000000000004</v>
      </c>
      <c r="CT260" s="217">
        <f t="shared" si="646"/>
        <v>5.0186340555881426</v>
      </c>
      <c r="CU260" s="217">
        <f t="shared" si="647"/>
        <v>28</v>
      </c>
      <c r="CV260" s="217"/>
      <c r="CW260" s="172">
        <f t="shared" si="648"/>
        <v>263.09102616092775</v>
      </c>
      <c r="CX260" s="172">
        <f t="shared" si="649"/>
        <v>28</v>
      </c>
      <c r="CY260" s="217">
        <f t="shared" si="650"/>
        <v>3.7090140845070438</v>
      </c>
      <c r="CZ260" s="217">
        <f t="shared" si="651"/>
        <v>0.43580915492957767</v>
      </c>
      <c r="DA260" s="217">
        <f t="shared" si="652"/>
        <v>0.61381571116841926</v>
      </c>
      <c r="DB260" s="197">
        <f t="shared" si="653"/>
        <v>350</v>
      </c>
      <c r="DC260" s="443">
        <f t="shared" si="654"/>
        <v>350</v>
      </c>
      <c r="DE260" s="217">
        <f t="shared" si="655"/>
        <v>10.09616239179509</v>
      </c>
      <c r="DF260" s="173">
        <f t="shared" si="656"/>
        <v>1.6708437761069339</v>
      </c>
      <c r="DG260" s="173">
        <f t="shared" si="657"/>
        <v>2.9520942666067511</v>
      </c>
      <c r="DH260" s="173"/>
      <c r="DI260" s="173">
        <f t="shared" si="658"/>
        <v>0.55164319248826299</v>
      </c>
      <c r="DJ260" s="545">
        <f t="shared" si="659"/>
        <v>1196.4255319148936</v>
      </c>
      <c r="DK260" s="528">
        <f t="shared" si="660"/>
        <v>0.3217918622848201</v>
      </c>
      <c r="DM260" s="173">
        <f t="shared" si="661"/>
        <v>6.1629346027629675</v>
      </c>
      <c r="DN260" s="173">
        <f t="shared" si="662"/>
        <v>6.1629346027629675</v>
      </c>
      <c r="DO260" s="173">
        <f t="shared" si="663"/>
        <v>3.2960009403182475</v>
      </c>
      <c r="DQ260" s="545">
        <f t="shared" si="664"/>
        <v>1100</v>
      </c>
      <c r="DR260" s="460">
        <f t="shared" si="665"/>
        <v>350</v>
      </c>
      <c r="DT260">
        <f t="shared" si="666"/>
        <v>1100</v>
      </c>
      <c r="DU260">
        <f t="shared" si="667"/>
        <v>350</v>
      </c>
      <c r="DW260" s="5">
        <f t="shared" si="668"/>
        <v>2.8571428571428572</v>
      </c>
      <c r="DX260" s="5">
        <f t="shared" si="669"/>
        <v>0.72414481582464862</v>
      </c>
      <c r="DY260" s="5">
        <f t="shared" si="670"/>
        <v>2.1329980413182086</v>
      </c>
      <c r="DZ260" s="5"/>
      <c r="EA260" s="173">
        <f t="shared" si="671"/>
        <v>0.25345068553862699</v>
      </c>
      <c r="EB260" s="173">
        <f t="shared" si="698"/>
        <v>31.24</v>
      </c>
      <c r="EC260" s="173">
        <f t="shared" si="699"/>
        <v>2.300467301381484</v>
      </c>
      <c r="ED260" s="173">
        <f t="shared" si="700"/>
        <v>13.579849616310414</v>
      </c>
      <c r="EE260" s="460">
        <f t="shared" si="672"/>
        <v>2.8448546335968339</v>
      </c>
      <c r="EF260" s="5">
        <f t="shared" si="673"/>
        <v>1.1731489227250147</v>
      </c>
      <c r="EH260" s="173">
        <f t="shared" si="701"/>
        <v>1.7913220303745643</v>
      </c>
      <c r="EI260" s="173">
        <f t="shared" si="702"/>
        <v>3.0743703457465554</v>
      </c>
      <c r="EK260" s="528">
        <f t="shared" si="703"/>
        <v>3.8506015398063018E-2</v>
      </c>
      <c r="EL260" s="528">
        <f t="shared" si="704"/>
        <v>2.8032724334127637</v>
      </c>
      <c r="EM260" s="528">
        <f t="shared" si="705"/>
        <v>4.0250000000000001E-2</v>
      </c>
      <c r="EN260" s="528">
        <f t="shared" si="706"/>
        <v>0.80646678000000016</v>
      </c>
      <c r="EO260">
        <f t="shared" si="707"/>
        <v>1.7999999999999999E-2</v>
      </c>
      <c r="EP260" s="460">
        <f t="shared" si="708"/>
        <v>58.249999999999993</v>
      </c>
      <c r="EQ260" s="460"/>
      <c r="ER260" s="460">
        <f t="shared" si="709"/>
        <v>3706.4952288108266</v>
      </c>
      <c r="ES260" s="528">
        <f t="shared" si="710"/>
        <v>0.77</v>
      </c>
      <c r="EV260" s="460">
        <f t="shared" si="711"/>
        <v>770</v>
      </c>
      <c r="EW260" s="528">
        <f t="shared" si="712"/>
        <v>4.4923684631073518E-2</v>
      </c>
      <c r="EX260" s="528">
        <f t="shared" si="713"/>
        <v>0.13232454231928112</v>
      </c>
      <c r="EY260" s="528">
        <f t="shared" si="714"/>
        <v>10.804607962535023</v>
      </c>
      <c r="EZ260" s="528"/>
      <c r="FA260" s="528">
        <f t="shared" si="715"/>
        <v>1.3293617021276598</v>
      </c>
      <c r="FB260" s="460">
        <f t="shared" si="716"/>
        <v>12311.217891613036</v>
      </c>
      <c r="FC260" s="173">
        <f t="shared" si="717"/>
        <v>16.787713120423863</v>
      </c>
      <c r="FD260" s="5">
        <f t="shared" si="718"/>
        <v>30.800000000000004</v>
      </c>
      <c r="FE260" s="173">
        <f t="shared" si="719"/>
        <v>0.64722589047426082</v>
      </c>
      <c r="FF260" s="5">
        <f t="shared" si="720"/>
        <v>64.722589047426084</v>
      </c>
      <c r="FI260" s="562">
        <f t="shared" si="674"/>
        <v>-50</v>
      </c>
      <c r="FJ260">
        <f t="shared" si="675"/>
        <v>-50</v>
      </c>
      <c r="FL260">
        <f t="shared" si="758"/>
        <v>0.35697279653327751</v>
      </c>
    </row>
    <row r="261" spans="5:168">
      <c r="E261" s="170">
        <v>45</v>
      </c>
      <c r="F261" s="217">
        <f t="shared" si="759"/>
        <v>1.125</v>
      </c>
      <c r="G261" s="217"/>
      <c r="H261" s="217">
        <f t="shared" si="725"/>
        <v>31.5</v>
      </c>
      <c r="I261" s="541">
        <f t="shared" si="726"/>
        <v>39.919549142791816</v>
      </c>
      <c r="J261" s="172">
        <f t="shared" si="727"/>
        <v>28.443319692342868</v>
      </c>
      <c r="K261" s="172">
        <f t="shared" si="728"/>
        <v>68.362868835134691</v>
      </c>
      <c r="L261" s="443"/>
      <c r="M261" s="217">
        <f t="shared" si="729"/>
        <v>0.41606650248440502</v>
      </c>
      <c r="N261" s="172">
        <f t="shared" si="730"/>
        <v>140.53021504089855</v>
      </c>
      <c r="O261" s="172">
        <f t="shared" si="598"/>
        <v>31.5</v>
      </c>
      <c r="P261" s="217">
        <f t="shared" si="731"/>
        <v>5.018936251460663</v>
      </c>
      <c r="Q261" s="217">
        <f t="shared" si="732"/>
        <v>28</v>
      </c>
      <c r="R261" s="217"/>
      <c r="S261" s="172">
        <f t="shared" si="733"/>
        <v>255.84312999110787</v>
      </c>
      <c r="T261" s="172">
        <f t="shared" si="734"/>
        <v>28</v>
      </c>
      <c r="U261" s="217">
        <f t="shared" si="735"/>
        <v>3.7930814596445175</v>
      </c>
      <c r="V261" s="217">
        <f t="shared" si="736"/>
        <v>0.44658527571442524</v>
      </c>
      <c r="W261" s="217">
        <f t="shared" si="737"/>
        <v>0.6267722281773076</v>
      </c>
      <c r="X261" s="197">
        <f t="shared" si="738"/>
        <v>350</v>
      </c>
      <c r="Y261" s="443">
        <f t="shared" si="678"/>
        <v>350</v>
      </c>
      <c r="AA261" s="217">
        <f t="shared" si="739"/>
        <v>10.096706418589008</v>
      </c>
      <c r="AB261" s="173">
        <f t="shared" si="740"/>
        <v>1.668388946179985</v>
      </c>
      <c r="AC261" s="173">
        <f t="shared" si="741"/>
        <v>2.9479158417797207</v>
      </c>
      <c r="AD261" s="173"/>
      <c r="AE261" s="173">
        <f t="shared" si="742"/>
        <v>0.55080302988980001</v>
      </c>
      <c r="AF261" s="545">
        <f t="shared" si="743"/>
        <v>1225.483454829666</v>
      </c>
      <c r="AG261" s="528">
        <f t="shared" si="744"/>
        <v>0.3213017674357167</v>
      </c>
      <c r="AI261" s="173">
        <f t="shared" si="745"/>
        <v>6.237326082646252</v>
      </c>
      <c r="AJ261" s="173">
        <f t="shared" si="746"/>
        <v>6.237326082646252</v>
      </c>
      <c r="AK261" s="173">
        <f t="shared" si="747"/>
        <v>3.351105740231791</v>
      </c>
      <c r="AM261" s="545">
        <f t="shared" si="748"/>
        <v>1125</v>
      </c>
      <c r="AN261" s="460">
        <f t="shared" si="749"/>
        <v>350</v>
      </c>
      <c r="AP261">
        <f t="shared" si="750"/>
        <v>1125</v>
      </c>
      <c r="AQ261">
        <f t="shared" si="751"/>
        <v>350</v>
      </c>
      <c r="AS261" s="5">
        <f t="shared" si="599"/>
        <v>2.8571428571428572</v>
      </c>
      <c r="AT261" s="5">
        <f t="shared" si="752"/>
        <v>0.73436281766550981</v>
      </c>
      <c r="AU261" s="5">
        <f t="shared" si="721"/>
        <v>2.1227800394773473</v>
      </c>
      <c r="AV261" s="5"/>
      <c r="AW261" s="173">
        <f t="shared" si="722"/>
        <v>0.25702698618292841</v>
      </c>
      <c r="AX261" s="173">
        <f t="shared" si="630"/>
        <v>31.998734653885723</v>
      </c>
      <c r="AY261" s="173">
        <f t="shared" si="631"/>
        <v>2.3170824788917574</v>
      </c>
      <c r="AZ261" s="173">
        <f t="shared" si="632"/>
        <v>13.80992474173404</v>
      </c>
      <c r="BA261" s="460">
        <f t="shared" si="723"/>
        <v>2.9505648924060663</v>
      </c>
      <c r="BB261" s="5">
        <f t="shared" si="724"/>
        <v>1.1964701985334092</v>
      </c>
      <c r="BD261" s="173">
        <f t="shared" si="679"/>
        <v>1.825690618075879</v>
      </c>
      <c r="BE261" s="173">
        <f t="shared" si="680"/>
        <v>3.1040187908832202</v>
      </c>
      <c r="BG261" s="528">
        <f t="shared" si="681"/>
        <v>3.9997754795163418E-2</v>
      </c>
      <c r="BH261" s="528">
        <f t="shared" si="753"/>
        <v>2.7236396123565512</v>
      </c>
      <c r="BI261" s="528">
        <f t="shared" si="682"/>
        <v>4.0250000000000001E-2</v>
      </c>
      <c r="BJ261" s="528">
        <f t="shared" si="683"/>
        <v>0.8055914313718745</v>
      </c>
      <c r="BK261">
        <f t="shared" si="684"/>
        <v>1.7963797114256316E-2</v>
      </c>
      <c r="BL261" s="460">
        <f t="shared" si="685"/>
        <v>58.213797114256316</v>
      </c>
      <c r="BM261" s="528">
        <f t="shared" si="754"/>
        <v>3.6143773061073916</v>
      </c>
      <c r="BN261" s="460">
        <f t="shared" si="686"/>
        <v>3614.3773061073916</v>
      </c>
      <c r="BO261" s="528">
        <f t="shared" si="635"/>
        <v>0.78749999999999998</v>
      </c>
      <c r="BR261" s="460">
        <f t="shared" si="687"/>
        <v>787.5</v>
      </c>
      <c r="BS261" s="528">
        <f t="shared" si="688"/>
        <v>4.6664047261023994E-2</v>
      </c>
      <c r="BT261" s="528">
        <f t="shared" si="689"/>
        <v>0.13488905715818578</v>
      </c>
      <c r="BU261" s="528">
        <f t="shared" si="690"/>
        <v>11.133615998270422</v>
      </c>
      <c r="BV261" s="528"/>
      <c r="BW261" s="528">
        <f t="shared" si="691"/>
        <v>1.3616482831440735</v>
      </c>
      <c r="BX261" s="460">
        <f t="shared" si="692"/>
        <v>12676.817385833707</v>
      </c>
      <c r="BY261" s="173">
        <f t="shared" si="693"/>
        <v>17.091759981471551</v>
      </c>
      <c r="BZ261" s="5">
        <f t="shared" si="694"/>
        <v>31.5</v>
      </c>
      <c r="CA261" s="173">
        <f t="shared" si="695"/>
        <v>0.64825805881514098</v>
      </c>
      <c r="CB261" s="5">
        <f t="shared" si="696"/>
        <v>64.8258058815141</v>
      </c>
      <c r="CE261" s="562">
        <f t="shared" si="755"/>
        <v>-50</v>
      </c>
      <c r="CF261">
        <f t="shared" si="756"/>
        <v>-50</v>
      </c>
      <c r="CG261" s="173">
        <f t="shared" si="757"/>
        <v>0.36357598930622465</v>
      </c>
      <c r="CI261" s="170">
        <v>45</v>
      </c>
      <c r="CJ261" s="217">
        <f t="shared" si="697"/>
        <v>1.125</v>
      </c>
      <c r="CK261" s="217"/>
      <c r="CL261" s="217">
        <f t="shared" si="639"/>
        <v>31.5</v>
      </c>
      <c r="CM261" s="541">
        <f t="shared" si="640"/>
        <v>40</v>
      </c>
      <c r="CN261" s="443">
        <f t="shared" si="641"/>
        <v>28.4</v>
      </c>
      <c r="CO261" s="443">
        <f t="shared" si="642"/>
        <v>68.400000000000006</v>
      </c>
      <c r="CP261" s="443"/>
      <c r="CQ261" s="217">
        <f t="shared" si="643"/>
        <v>0.41520467836257302</v>
      </c>
      <c r="CR261" s="172">
        <f t="shared" si="644"/>
        <v>140.52175355646798</v>
      </c>
      <c r="CS261" s="172">
        <f t="shared" si="645"/>
        <v>31.5</v>
      </c>
      <c r="CT261" s="217">
        <f t="shared" si="646"/>
        <v>5.0186340555881426</v>
      </c>
      <c r="CU261" s="217">
        <f t="shared" si="647"/>
        <v>28</v>
      </c>
      <c r="CV261" s="217"/>
      <c r="CW261" s="172">
        <f t="shared" si="648"/>
        <v>256.35861163558752</v>
      </c>
      <c r="CX261" s="172">
        <f t="shared" si="649"/>
        <v>28</v>
      </c>
      <c r="CY261" s="217">
        <f t="shared" si="650"/>
        <v>3.7933098591549306</v>
      </c>
      <c r="CZ261" s="217">
        <f t="shared" si="651"/>
        <v>0.4457139084507043</v>
      </c>
      <c r="DA261" s="217">
        <f t="shared" si="652"/>
        <v>0.62776606824042858</v>
      </c>
      <c r="DB261" s="197">
        <f t="shared" si="653"/>
        <v>350</v>
      </c>
      <c r="DC261" s="443">
        <f t="shared" si="654"/>
        <v>350</v>
      </c>
      <c r="DE261" s="217">
        <f t="shared" si="655"/>
        <v>10.09616239179509</v>
      </c>
      <c r="DF261" s="173">
        <f t="shared" si="656"/>
        <v>1.6708437761069339</v>
      </c>
      <c r="DG261" s="173">
        <f t="shared" si="657"/>
        <v>2.9520942666067511</v>
      </c>
      <c r="DH261" s="173"/>
      <c r="DI261" s="173">
        <f t="shared" si="658"/>
        <v>0.55164319248826299</v>
      </c>
      <c r="DJ261" s="545">
        <f t="shared" si="659"/>
        <v>1223.6170212765956</v>
      </c>
      <c r="DK261" s="528">
        <f t="shared" si="660"/>
        <v>0.3217918622848201</v>
      </c>
      <c r="DM261" s="173">
        <f t="shared" si="661"/>
        <v>6.232574492329122</v>
      </c>
      <c r="DN261" s="173">
        <f t="shared" si="662"/>
        <v>6.232574492329122</v>
      </c>
      <c r="DO261" s="173">
        <f t="shared" si="663"/>
        <v>3.3475860437005842</v>
      </c>
      <c r="DQ261" s="545">
        <f t="shared" si="664"/>
        <v>1125</v>
      </c>
      <c r="DR261" s="460">
        <f t="shared" si="665"/>
        <v>350</v>
      </c>
      <c r="DT261">
        <f t="shared" si="666"/>
        <v>1125</v>
      </c>
      <c r="DU261">
        <f t="shared" si="667"/>
        <v>350</v>
      </c>
      <c r="DW261" s="5">
        <f t="shared" si="668"/>
        <v>2.8571428571428572</v>
      </c>
      <c r="DX261" s="5">
        <f t="shared" si="669"/>
        <v>0.73232750284867187</v>
      </c>
      <c r="DY261" s="5">
        <f t="shared" si="670"/>
        <v>2.1248153542941854</v>
      </c>
      <c r="DZ261" s="5"/>
      <c r="EA261" s="173">
        <f t="shared" si="671"/>
        <v>0.25631462599703514</v>
      </c>
      <c r="EB261" s="173">
        <f t="shared" si="698"/>
        <v>31.95</v>
      </c>
      <c r="EC261" s="173">
        <f t="shared" si="699"/>
        <v>2.3175372461645609</v>
      </c>
      <c r="ED261" s="173">
        <f t="shared" si="700"/>
        <v>13.786186199542673</v>
      </c>
      <c r="EE261" s="460">
        <f t="shared" si="672"/>
        <v>2.9423872882312709</v>
      </c>
      <c r="EF261" s="5">
        <f t="shared" si="673"/>
        <v>1.1952086367904791</v>
      </c>
      <c r="EH261" s="173">
        <f t="shared" si="701"/>
        <v>1.8217699956814684</v>
      </c>
      <c r="EI261" s="173">
        <f t="shared" si="702"/>
        <v>3.1031407235753821</v>
      </c>
      <c r="EK261" s="528">
        <f t="shared" si="703"/>
        <v>3.9826151005983086E-2</v>
      </c>
      <c r="EL261" s="528">
        <f t="shared" si="704"/>
        <v>2.8349488335808251</v>
      </c>
      <c r="EM261" s="528">
        <f t="shared" si="705"/>
        <v>4.0250000000000001E-2</v>
      </c>
      <c r="EN261" s="528">
        <f t="shared" si="706"/>
        <v>0.80646678000000016</v>
      </c>
      <c r="EO261">
        <f t="shared" si="707"/>
        <v>1.7999999999999999E-2</v>
      </c>
      <c r="EP261" s="460">
        <f t="shared" si="708"/>
        <v>58.249999999999993</v>
      </c>
      <c r="EQ261" s="460"/>
      <c r="ER261" s="460">
        <f t="shared" si="709"/>
        <v>3739.4917645868077</v>
      </c>
      <c r="ES261" s="528">
        <f t="shared" si="710"/>
        <v>0.78749999999999998</v>
      </c>
      <c r="EV261" s="460">
        <f t="shared" si="711"/>
        <v>787.5</v>
      </c>
      <c r="EW261" s="528">
        <f t="shared" si="712"/>
        <v>4.6463842840313602E-2</v>
      </c>
      <c r="EX261" s="528">
        <f t="shared" si="713"/>
        <v>0.13481275290436726</v>
      </c>
      <c r="EY261" s="528">
        <f t="shared" si="714"/>
        <v>11.112424160869514</v>
      </c>
      <c r="EZ261" s="528"/>
      <c r="FA261" s="528">
        <f t="shared" si="715"/>
        <v>1.3595744680851063</v>
      </c>
      <c r="FB261" s="460">
        <f t="shared" si="716"/>
        <v>12653.275224699302</v>
      </c>
      <c r="FC261" s="173">
        <f t="shared" si="717"/>
        <v>17.18026698928611</v>
      </c>
      <c r="FD261" s="5">
        <f t="shared" si="718"/>
        <v>31.5</v>
      </c>
      <c r="FE261" s="173">
        <f t="shared" si="719"/>
        <v>0.64707944200332213</v>
      </c>
      <c r="FF261" s="5">
        <f t="shared" si="720"/>
        <v>64.707944200332207</v>
      </c>
      <c r="FI261" s="562">
        <f t="shared" si="674"/>
        <v>-50</v>
      </c>
      <c r="FJ261">
        <f t="shared" si="675"/>
        <v>-50</v>
      </c>
      <c r="FL261">
        <f t="shared" si="758"/>
        <v>0.36100651548878188</v>
      </c>
    </row>
    <row r="262" spans="5:168">
      <c r="E262" s="170">
        <v>46</v>
      </c>
      <c r="F262" s="217">
        <f t="shared" si="759"/>
        <v>1.1500000000000001</v>
      </c>
      <c r="G262" s="217"/>
      <c r="H262" s="217">
        <f t="shared" si="725"/>
        <v>32.200000000000003</v>
      </c>
      <c r="I262" s="541">
        <f t="shared" si="726"/>
        <v>39.918660156056418</v>
      </c>
      <c r="J262" s="172">
        <f t="shared" si="727"/>
        <v>28.443798377508081</v>
      </c>
      <c r="K262" s="172">
        <f t="shared" si="728"/>
        <v>68.362458533564507</v>
      </c>
      <c r="L262" s="443"/>
      <c r="M262" s="217">
        <f t="shared" si="729"/>
        <v>0.41607603087822775</v>
      </c>
      <c r="N262" s="172">
        <f t="shared" si="730"/>
        <v>140.53030373844405</v>
      </c>
      <c r="O262" s="172">
        <f t="shared" ref="O262:O316" si="760">T262*F262</f>
        <v>32.200000000000003</v>
      </c>
      <c r="P262" s="217">
        <f t="shared" si="731"/>
        <v>5.0189394192301444</v>
      </c>
      <c r="Q262" s="217">
        <f t="shared" si="732"/>
        <v>28</v>
      </c>
      <c r="R262" s="217"/>
      <c r="S262" s="172">
        <f t="shared" si="733"/>
        <v>249.41091134977538</v>
      </c>
      <c r="T262" s="172">
        <f t="shared" si="734"/>
        <v>28</v>
      </c>
      <c r="U262" s="217">
        <f t="shared" si="735"/>
        <v>3.8773697114934054</v>
      </c>
      <c r="V262" s="217">
        <f t="shared" si="736"/>
        <v>0.45651927125750819</v>
      </c>
      <c r="W262" s="217">
        <f t="shared" si="737"/>
        <v>0.64068931308517985</v>
      </c>
      <c r="X262" s="197">
        <f t="shared" si="738"/>
        <v>350</v>
      </c>
      <c r="Y262" s="443">
        <f t="shared" si="678"/>
        <v>350</v>
      </c>
      <c r="AA262" s="217">
        <f t="shared" si="739"/>
        <v>10.096712087184528</v>
      </c>
      <c r="AB262" s="173">
        <f t="shared" si="740"/>
        <v>1.6683618052676095</v>
      </c>
      <c r="AC262" s="173">
        <f t="shared" si="741"/>
        <v>2.9478695408824329</v>
      </c>
      <c r="AD262" s="173"/>
      <c r="AE262" s="173">
        <f t="shared" si="742"/>
        <v>0.55079376033881167</v>
      </c>
      <c r="AF262" s="545">
        <f t="shared" si="743"/>
        <v>1252.7375030093986</v>
      </c>
      <c r="AG262" s="528">
        <f t="shared" si="744"/>
        <v>0.32129636019764013</v>
      </c>
      <c r="AI262" s="173">
        <f t="shared" si="745"/>
        <v>6.306301970250149</v>
      </c>
      <c r="AJ262" s="173">
        <f t="shared" si="746"/>
        <v>6.306301970250149</v>
      </c>
      <c r="AK262" s="173">
        <f t="shared" si="747"/>
        <v>3.4021989903087526</v>
      </c>
      <c r="AM262" s="545">
        <f t="shared" si="748"/>
        <v>1150.0000000000002</v>
      </c>
      <c r="AN262" s="460">
        <f t="shared" si="749"/>
        <v>350</v>
      </c>
      <c r="AP262">
        <f t="shared" si="750"/>
        <v>1150.0000000000002</v>
      </c>
      <c r="AQ262">
        <f t="shared" si="751"/>
        <v>350</v>
      </c>
      <c r="AS262" s="5">
        <f t="shared" si="599"/>
        <v>2.8571428571428572</v>
      </c>
      <c r="AT262" s="5">
        <f t="shared" si="752"/>
        <v>0.74250035307557305</v>
      </c>
      <c r="AU262" s="5">
        <f t="shared" si="721"/>
        <v>2.1146425040672843</v>
      </c>
      <c r="AV262" s="5"/>
      <c r="AW262" s="173">
        <f t="shared" si="722"/>
        <v>0.25987512357645054</v>
      </c>
      <c r="AX262" s="173">
        <f t="shared" si="630"/>
        <v>32.710368134134299</v>
      </c>
      <c r="AY262" s="173">
        <f t="shared" si="631"/>
        <v>2.3337254832104892</v>
      </c>
      <c r="AZ262" s="173">
        <f t="shared" si="632"/>
        <v>14.016373549272334</v>
      </c>
      <c r="BA262" s="460">
        <f t="shared" si="723"/>
        <v>3.0495550215603902</v>
      </c>
      <c r="BB262" s="5">
        <f t="shared" si="724"/>
        <v>1.2183970454771993</v>
      </c>
      <c r="BD262" s="173">
        <f t="shared" si="679"/>
        <v>1.8560791393323666</v>
      </c>
      <c r="BE262" s="173">
        <f t="shared" si="680"/>
        <v>3.1323236968522572</v>
      </c>
      <c r="BG262" s="528">
        <f t="shared" si="681"/>
        <v>4.1340357257577343E-2</v>
      </c>
      <c r="BH262" s="528">
        <f t="shared" si="753"/>
        <v>2.7537426355879497</v>
      </c>
      <c r="BI262" s="528">
        <f t="shared" si="682"/>
        <v>4.0250000000000001E-2</v>
      </c>
      <c r="BJ262" s="528">
        <f t="shared" si="683"/>
        <v>0.80558176137285475</v>
      </c>
      <c r="BK262">
        <f t="shared" si="684"/>
        <v>1.7963397070225387E-2</v>
      </c>
      <c r="BL262" s="460">
        <f t="shared" si="685"/>
        <v>58.21339707022539</v>
      </c>
      <c r="BM262" s="528">
        <f t="shared" si="754"/>
        <v>3.6476556346502882</v>
      </c>
      <c r="BN262" s="460">
        <f t="shared" si="686"/>
        <v>3647.655634650288</v>
      </c>
      <c r="BO262" s="528">
        <f t="shared" si="635"/>
        <v>0.80500000000000005</v>
      </c>
      <c r="BR262" s="460">
        <f t="shared" si="687"/>
        <v>805</v>
      </c>
      <c r="BS262" s="528">
        <f t="shared" si="688"/>
        <v>4.8230416800506902E-2</v>
      </c>
      <c r="BT262" s="528">
        <f t="shared" si="689"/>
        <v>0.13736032438607068</v>
      </c>
      <c r="BU262" s="528">
        <f t="shared" si="690"/>
        <v>11.443978197976895</v>
      </c>
      <c r="BV262" s="528"/>
      <c r="BW262" s="528">
        <f t="shared" si="691"/>
        <v>1.391930558899332</v>
      </c>
      <c r="BX262" s="460">
        <f t="shared" si="692"/>
        <v>13021.499498062805</v>
      </c>
      <c r="BY262" s="173">
        <f t="shared" si="693"/>
        <v>17.485377649351413</v>
      </c>
      <c r="BZ262" s="5">
        <f t="shared" si="694"/>
        <v>32.200000000000003</v>
      </c>
      <c r="CA262" s="173">
        <f t="shared" si="695"/>
        <v>0.64807799645295316</v>
      </c>
      <c r="CB262" s="5">
        <f t="shared" si="696"/>
        <v>64.807799645295319</v>
      </c>
      <c r="CE262" s="562">
        <f t="shared" si="755"/>
        <v>-50</v>
      </c>
      <c r="CF262">
        <f t="shared" si="756"/>
        <v>-50</v>
      </c>
      <c r="CG262" s="173">
        <f t="shared" si="757"/>
        <v>0.36759352551425606</v>
      </c>
      <c r="CI262" s="170">
        <v>46</v>
      </c>
      <c r="CJ262" s="217">
        <f t="shared" si="697"/>
        <v>1.1500000000000001</v>
      </c>
      <c r="CK262" s="217"/>
      <c r="CL262" s="217">
        <f t="shared" si="639"/>
        <v>32.200000000000003</v>
      </c>
      <c r="CM262" s="541">
        <f t="shared" si="640"/>
        <v>40</v>
      </c>
      <c r="CN262" s="443">
        <f t="shared" si="641"/>
        <v>28.4</v>
      </c>
      <c r="CO262" s="443">
        <f t="shared" si="642"/>
        <v>68.400000000000006</v>
      </c>
      <c r="CP262" s="443"/>
      <c r="CQ262" s="217">
        <f t="shared" si="643"/>
        <v>0.41520467836257302</v>
      </c>
      <c r="CR262" s="172">
        <f t="shared" si="644"/>
        <v>140.52175355646798</v>
      </c>
      <c r="CS262" s="172">
        <f t="shared" si="645"/>
        <v>32.200000000000003</v>
      </c>
      <c r="CT262" s="217">
        <f t="shared" si="646"/>
        <v>5.0186340555881426</v>
      </c>
      <c r="CU262" s="217">
        <f t="shared" si="647"/>
        <v>28</v>
      </c>
      <c r="CV262" s="217"/>
      <c r="CW262" s="172">
        <f t="shared" si="648"/>
        <v>249.91899090616067</v>
      </c>
      <c r="CX262" s="172">
        <f t="shared" si="649"/>
        <v>28</v>
      </c>
      <c r="CY262" s="217">
        <f t="shared" si="650"/>
        <v>3.8776056338028182</v>
      </c>
      <c r="CZ262" s="217">
        <f t="shared" si="651"/>
        <v>0.45561866197183115</v>
      </c>
      <c r="DA262" s="217">
        <f t="shared" si="652"/>
        <v>0.64171642531243822</v>
      </c>
      <c r="DB262" s="197">
        <f t="shared" si="653"/>
        <v>350</v>
      </c>
      <c r="DC262" s="443">
        <f t="shared" si="654"/>
        <v>350</v>
      </c>
      <c r="DE262" s="217">
        <f t="shared" si="655"/>
        <v>10.09616239179509</v>
      </c>
      <c r="DF262" s="173">
        <f t="shared" si="656"/>
        <v>1.6708437761069339</v>
      </c>
      <c r="DG262" s="173">
        <f t="shared" si="657"/>
        <v>2.9520942666067511</v>
      </c>
      <c r="DH262" s="173"/>
      <c r="DI262" s="173">
        <f t="shared" si="658"/>
        <v>0.55164319248826299</v>
      </c>
      <c r="DJ262" s="545">
        <f t="shared" si="659"/>
        <v>1250.8085106382978</v>
      </c>
      <c r="DK262" s="528">
        <f t="shared" si="660"/>
        <v>0.3217918622848201</v>
      </c>
      <c r="DM262" s="173">
        <f t="shared" si="661"/>
        <v>6.3014448094806079</v>
      </c>
      <c r="DN262" s="173">
        <f t="shared" si="662"/>
        <v>6.3014448094806079</v>
      </c>
      <c r="DO262" s="173">
        <f t="shared" si="663"/>
        <v>3.3986010934424256</v>
      </c>
      <c r="DQ262" s="545">
        <f t="shared" si="664"/>
        <v>1150.0000000000002</v>
      </c>
      <c r="DR262" s="460">
        <f t="shared" si="665"/>
        <v>350</v>
      </c>
      <c r="DT262">
        <f t="shared" si="666"/>
        <v>1150.0000000000002</v>
      </c>
      <c r="DU262">
        <f t="shared" si="667"/>
        <v>350</v>
      </c>
      <c r="DW262" s="5">
        <f t="shared" si="668"/>
        <v>2.8571428571428572</v>
      </c>
      <c r="DX262" s="5">
        <f t="shared" si="669"/>
        <v>0.74041976511397145</v>
      </c>
      <c r="DY262" s="5">
        <f t="shared" si="670"/>
        <v>2.1167230920288858</v>
      </c>
      <c r="DZ262" s="5"/>
      <c r="EA262" s="173">
        <f t="shared" si="671"/>
        <v>0.25914691778989002</v>
      </c>
      <c r="EB262" s="173">
        <f t="shared" si="698"/>
        <v>32.660000000000004</v>
      </c>
      <c r="EC262" s="173">
        <f t="shared" si="699"/>
        <v>2.334222404740304</v>
      </c>
      <c r="ED262" s="173">
        <f t="shared" si="700"/>
        <v>13.991811548751551</v>
      </c>
      <c r="EE262" s="460">
        <f t="shared" si="672"/>
        <v>3.04100974957524</v>
      </c>
      <c r="EF262" s="5">
        <f t="shared" si="673"/>
        <v>1.2171157779166093</v>
      </c>
      <c r="EH262" s="173">
        <f t="shared" si="701"/>
        <v>1.852049259053498</v>
      </c>
      <c r="EI262" s="173">
        <f t="shared" si="702"/>
        <v>3.131450532530053</v>
      </c>
      <c r="EK262" s="528">
        <f t="shared" si="703"/>
        <v>4.1161037495527332E-2</v>
      </c>
      <c r="EL262" s="528">
        <f t="shared" si="704"/>
        <v>2.8662751860403501</v>
      </c>
      <c r="EM262" s="528">
        <f t="shared" si="705"/>
        <v>4.0250000000000001E-2</v>
      </c>
      <c r="EN262" s="528">
        <f t="shared" si="706"/>
        <v>0.80646678000000016</v>
      </c>
      <c r="EO262">
        <f t="shared" si="707"/>
        <v>1.7999999999999999E-2</v>
      </c>
      <c r="EP262" s="460">
        <f t="shared" si="708"/>
        <v>58.249999999999993</v>
      </c>
      <c r="EQ262" s="460"/>
      <c r="ER262" s="460">
        <f t="shared" si="709"/>
        <v>3772.1530035358774</v>
      </c>
      <c r="ES262" s="528">
        <f t="shared" si="710"/>
        <v>0.80500000000000005</v>
      </c>
      <c r="EV262" s="460">
        <f t="shared" si="711"/>
        <v>805</v>
      </c>
      <c r="EW262" s="528">
        <f t="shared" si="712"/>
        <v>4.8021210411448557E-2</v>
      </c>
      <c r="EX262" s="528">
        <f t="shared" si="713"/>
        <v>0.13728375412755853</v>
      </c>
      <c r="EY262" s="528">
        <f t="shared" si="714"/>
        <v>11.421955332116166</v>
      </c>
      <c r="EZ262" s="528"/>
      <c r="FA262" s="528">
        <f t="shared" si="715"/>
        <v>1.3897872340425534</v>
      </c>
      <c r="FB262" s="460">
        <f t="shared" si="716"/>
        <v>12997.047530697728</v>
      </c>
      <c r="FC262" s="173">
        <f t="shared" si="717"/>
        <v>17.574200534233604</v>
      </c>
      <c r="FD262" s="5">
        <f t="shared" si="718"/>
        <v>32.200000000000003</v>
      </c>
      <c r="FE262" s="173">
        <f t="shared" si="719"/>
        <v>0.64692149053913073</v>
      </c>
      <c r="FF262" s="5">
        <f t="shared" si="720"/>
        <v>64.69214905391307</v>
      </c>
      <c r="FI262" s="562">
        <f t="shared" si="674"/>
        <v>-50</v>
      </c>
      <c r="FJ262">
        <f t="shared" si="675"/>
        <v>-50</v>
      </c>
      <c r="FL262">
        <f t="shared" si="758"/>
        <v>0.36499565885900004</v>
      </c>
    </row>
    <row r="263" spans="5:168">
      <c r="E263" s="170">
        <v>47</v>
      </c>
      <c r="F263" s="217">
        <f t="shared" si="759"/>
        <v>1.1749999999999998</v>
      </c>
      <c r="G263" s="217"/>
      <c r="H263" s="217">
        <f t="shared" si="725"/>
        <v>32.899999999999991</v>
      </c>
      <c r="I263" s="541">
        <f t="shared" si="726"/>
        <v>39.917780780835621</v>
      </c>
      <c r="J263" s="172">
        <f t="shared" si="727"/>
        <v>28.444271887242355</v>
      </c>
      <c r="K263" s="172">
        <f t="shared" si="728"/>
        <v>68.362052668077979</v>
      </c>
      <c r="L263" s="443"/>
      <c r="M263" s="217">
        <f t="shared" si="729"/>
        <v>0.41608545636490057</v>
      </c>
      <c r="N263" s="172">
        <f t="shared" si="730"/>
        <v>140.53039137367929</v>
      </c>
      <c r="O263" s="172">
        <f t="shared" si="760"/>
        <v>32.899999999999991</v>
      </c>
      <c r="P263" s="217">
        <f t="shared" si="731"/>
        <v>5.0189425490599744</v>
      </c>
      <c r="Q263" s="217">
        <f t="shared" si="732"/>
        <v>28</v>
      </c>
      <c r="R263" s="217"/>
      <c r="S263" s="172">
        <f t="shared" si="733"/>
        <v>243.25257974531311</v>
      </c>
      <c r="T263" s="172">
        <f t="shared" si="734"/>
        <v>28</v>
      </c>
      <c r="U263" s="217">
        <f t="shared" si="735"/>
        <v>3.9616578868904142</v>
      </c>
      <c r="V263" s="217">
        <f t="shared" si="736"/>
        <v>0.46645358795407388</v>
      </c>
      <c r="W263" s="217">
        <f t="shared" si="737"/>
        <v>0.65460603604819922</v>
      </c>
      <c r="X263" s="197">
        <f t="shared" si="738"/>
        <v>350</v>
      </c>
      <c r="Y263" s="443">
        <f t="shared" si="678"/>
        <v>350</v>
      </c>
      <c r="AA263" s="217">
        <f t="shared" si="739"/>
        <v>10.096717687113546</v>
      </c>
      <c r="AB263" s="173">
        <f t="shared" si="740"/>
        <v>1.6683349574758386</v>
      </c>
      <c r="AC263" s="173">
        <f t="shared" si="741"/>
        <v>2.9478237378058214</v>
      </c>
      <c r="AD263" s="173"/>
      <c r="AE263" s="173">
        <f t="shared" si="742"/>
        <v>0.55078459131496982</v>
      </c>
      <c r="AF263" s="545">
        <f t="shared" si="743"/>
        <v>1279.9922349259057</v>
      </c>
      <c r="AG263" s="528">
        <f t="shared" si="744"/>
        <v>0.32129101160039908</v>
      </c>
      <c r="AI263" s="173">
        <f t="shared" si="745"/>
        <v>6.3745332475901266</v>
      </c>
      <c r="AJ263" s="173">
        <f t="shared" si="746"/>
        <v>6.3745332475901266</v>
      </c>
      <c r="AK263" s="173">
        <f t="shared" si="747"/>
        <v>3.4527406772272542</v>
      </c>
      <c r="AM263" s="545">
        <f t="shared" si="748"/>
        <v>1174.9999999999998</v>
      </c>
      <c r="AN263" s="460">
        <f t="shared" si="749"/>
        <v>350</v>
      </c>
      <c r="AP263">
        <f t="shared" si="750"/>
        <v>1174.9999999999998</v>
      </c>
      <c r="AQ263">
        <f t="shared" si="751"/>
        <v>350</v>
      </c>
      <c r="AS263" s="5">
        <f t="shared" ref="AS263:AS316" si="761">1/AN263*1000</f>
        <v>2.8571428571428572</v>
      </c>
      <c r="AT263" s="5">
        <f t="shared" si="752"/>
        <v>0.75055039828410075</v>
      </c>
      <c r="AU263" s="5">
        <f t="shared" si="721"/>
        <v>2.1065924588587563</v>
      </c>
      <c r="AV263" s="5"/>
      <c r="AW263" s="173">
        <f t="shared" si="722"/>
        <v>0.26269263939943527</v>
      </c>
      <c r="AX263" s="173">
        <f t="shared" si="630"/>
        <v>33.422019467509756</v>
      </c>
      <c r="AY263" s="173">
        <f t="shared" si="631"/>
        <v>2.3499951419206111</v>
      </c>
      <c r="AZ263" s="173">
        <f t="shared" si="632"/>
        <v>14.222165344645992</v>
      </c>
      <c r="BA263" s="460">
        <f t="shared" si="723"/>
        <v>3.1496311356564939</v>
      </c>
      <c r="BB263" s="5">
        <f t="shared" si="724"/>
        <v>1.240172219367162</v>
      </c>
      <c r="BD263" s="173">
        <f t="shared" si="679"/>
        <v>1.8863041286190214</v>
      </c>
      <c r="BE263" s="173">
        <f t="shared" si="680"/>
        <v>3.1601816576317479</v>
      </c>
      <c r="BG263" s="528">
        <f t="shared" si="681"/>
        <v>4.2697719187741991E-2</v>
      </c>
      <c r="BH263" s="528">
        <f t="shared" si="753"/>
        <v>2.7835203344594133</v>
      </c>
      <c r="BI263" s="528">
        <f t="shared" si="682"/>
        <v>4.0250000000000001E-2</v>
      </c>
      <c r="BJ263" s="528">
        <f t="shared" si="683"/>
        <v>0.80557219598068008</v>
      </c>
      <c r="BK263">
        <f t="shared" si="684"/>
        <v>1.7963001351376028E-2</v>
      </c>
      <c r="BL263" s="460">
        <f t="shared" si="685"/>
        <v>58.213001351376029</v>
      </c>
      <c r="BM263" s="528">
        <f t="shared" si="754"/>
        <v>3.6806588370264648</v>
      </c>
      <c r="BN263" s="460">
        <f t="shared" si="686"/>
        <v>3680.6588370264649</v>
      </c>
      <c r="BO263" s="528">
        <f t="shared" si="635"/>
        <v>0.82249999999999979</v>
      </c>
      <c r="BR263" s="460">
        <f t="shared" si="687"/>
        <v>822.49999999999977</v>
      </c>
      <c r="BS263" s="528">
        <f t="shared" si="688"/>
        <v>4.9814005719032321E-2</v>
      </c>
      <c r="BT263" s="528">
        <f t="shared" si="689"/>
        <v>0.13981447352925</v>
      </c>
      <c r="BU263" s="528">
        <f t="shared" si="690"/>
        <v>11.756040991869584</v>
      </c>
      <c r="BV263" s="528"/>
      <c r="BW263" s="528">
        <f t="shared" si="691"/>
        <v>1.4222135943621175</v>
      </c>
      <c r="BX263" s="460">
        <f t="shared" si="692"/>
        <v>13367.883065479986</v>
      </c>
      <c r="BY263" s="173">
        <f t="shared" si="693"/>
        <v>17.880386316459191</v>
      </c>
      <c r="BZ263" s="5">
        <f t="shared" si="694"/>
        <v>32.899999999999991</v>
      </c>
      <c r="CA263" s="173">
        <f t="shared" si="695"/>
        <v>0.64788794230453273</v>
      </c>
      <c r="CB263" s="5">
        <f t="shared" si="696"/>
        <v>64.788794230453277</v>
      </c>
      <c r="CE263" s="562">
        <f t="shared" si="755"/>
        <v>-50</v>
      </c>
      <c r="CF263">
        <f t="shared" si="756"/>
        <v>-50</v>
      </c>
      <c r="CG263" s="173">
        <f t="shared" si="757"/>
        <v>0.37156762506978452</v>
      </c>
      <c r="CI263" s="170">
        <v>47</v>
      </c>
      <c r="CJ263" s="217">
        <f t="shared" si="697"/>
        <v>1.1749999999999998</v>
      </c>
      <c r="CK263" s="217"/>
      <c r="CL263" s="217">
        <f t="shared" si="639"/>
        <v>32.899999999999991</v>
      </c>
      <c r="CM263" s="541">
        <f t="shared" si="640"/>
        <v>40</v>
      </c>
      <c r="CN263" s="443">
        <f t="shared" si="641"/>
        <v>28.4</v>
      </c>
      <c r="CO263" s="443">
        <f t="shared" si="642"/>
        <v>68.400000000000006</v>
      </c>
      <c r="CP263" s="443"/>
      <c r="CQ263" s="217">
        <f t="shared" si="643"/>
        <v>0.41520467836257302</v>
      </c>
      <c r="CR263" s="172">
        <f t="shared" si="644"/>
        <v>140.52175355646798</v>
      </c>
      <c r="CS263" s="172">
        <f t="shared" si="645"/>
        <v>32.899999999999991</v>
      </c>
      <c r="CT263" s="217">
        <f t="shared" si="646"/>
        <v>5.0186340555881426</v>
      </c>
      <c r="CU263" s="217">
        <f t="shared" si="647"/>
        <v>28</v>
      </c>
      <c r="CV263" s="217"/>
      <c r="CW263" s="172">
        <f t="shared" si="648"/>
        <v>243.75347581297913</v>
      </c>
      <c r="CX263" s="172">
        <f t="shared" si="649"/>
        <v>28</v>
      </c>
      <c r="CY263" s="217">
        <f t="shared" si="650"/>
        <v>3.961901408450704</v>
      </c>
      <c r="CZ263" s="217">
        <f t="shared" si="651"/>
        <v>0.46552341549295773</v>
      </c>
      <c r="DA263" s="217">
        <f t="shared" si="652"/>
        <v>0.65566678238444753</v>
      </c>
      <c r="DB263" s="197">
        <f t="shared" si="653"/>
        <v>350</v>
      </c>
      <c r="DC263" s="443">
        <f t="shared" si="654"/>
        <v>350</v>
      </c>
      <c r="DE263" s="217">
        <f t="shared" si="655"/>
        <v>10.09616239179509</v>
      </c>
      <c r="DF263" s="173">
        <f t="shared" si="656"/>
        <v>1.6708437761069339</v>
      </c>
      <c r="DG263" s="173">
        <f t="shared" si="657"/>
        <v>2.9520942666067511</v>
      </c>
      <c r="DH263" s="173"/>
      <c r="DI263" s="173">
        <f t="shared" si="658"/>
        <v>0.55164319248826299</v>
      </c>
      <c r="DJ263" s="545">
        <f t="shared" si="659"/>
        <v>1277.9999999999998</v>
      </c>
      <c r="DK263" s="528">
        <f t="shared" si="660"/>
        <v>0.3217918622848201</v>
      </c>
      <c r="DM263" s="173">
        <f t="shared" si="661"/>
        <v>6.3695705170308434</v>
      </c>
      <c r="DN263" s="173">
        <f t="shared" si="662"/>
        <v>6.3695705170308434</v>
      </c>
      <c r="DO263" s="173">
        <f t="shared" si="663"/>
        <v>3.4490645805166738</v>
      </c>
      <c r="DQ263" s="545">
        <f t="shared" si="664"/>
        <v>1174.9999999999998</v>
      </c>
      <c r="DR263" s="460">
        <f t="shared" si="665"/>
        <v>350</v>
      </c>
      <c r="DT263">
        <f t="shared" si="666"/>
        <v>1174.9999999999998</v>
      </c>
      <c r="DU263">
        <f t="shared" si="667"/>
        <v>350</v>
      </c>
      <c r="DW263" s="5">
        <f t="shared" si="668"/>
        <v>2.8571428571428572</v>
      </c>
      <c r="DX263" s="5">
        <f t="shared" si="669"/>
        <v>0.74842453575112411</v>
      </c>
      <c r="DY263" s="5">
        <f t="shared" si="670"/>
        <v>2.1087183213917333</v>
      </c>
      <c r="DZ263" s="5"/>
      <c r="EA263" s="173">
        <f t="shared" si="671"/>
        <v>0.2619485875128934</v>
      </c>
      <c r="EB263" s="173">
        <f t="shared" si="698"/>
        <v>33.369999999999997</v>
      </c>
      <c r="EC263" s="173">
        <f t="shared" si="699"/>
        <v>2.3505352585154218</v>
      </c>
      <c r="ED263" s="173">
        <f t="shared" si="700"/>
        <v>14.196766408463155</v>
      </c>
      <c r="EE263" s="460">
        <f t="shared" si="672"/>
        <v>3.1407101053841808</v>
      </c>
      <c r="EF263" s="5">
        <f t="shared" si="673"/>
        <v>1.2388720138176428</v>
      </c>
      <c r="EH263" s="173">
        <f t="shared" si="701"/>
        <v>1.8821643930739207</v>
      </c>
      <c r="EI263" s="173">
        <f t="shared" si="702"/>
        <v>3.159314280228259</v>
      </c>
      <c r="EK263" s="528">
        <f t="shared" si="703"/>
        <v>4.251051363066384E-2</v>
      </c>
      <c r="EL263" s="528">
        <f t="shared" si="704"/>
        <v>2.8972628453766505</v>
      </c>
      <c r="EM263" s="528">
        <f t="shared" si="705"/>
        <v>4.0250000000000001E-2</v>
      </c>
      <c r="EN263" s="528">
        <f t="shared" si="706"/>
        <v>0.80646678000000016</v>
      </c>
      <c r="EO263">
        <f t="shared" si="707"/>
        <v>1.7999999999999999E-2</v>
      </c>
      <c r="EP263" s="460">
        <f t="shared" si="708"/>
        <v>58.249999999999993</v>
      </c>
      <c r="EQ263" s="460"/>
      <c r="ER263" s="460">
        <f t="shared" si="709"/>
        <v>3804.4901390073142</v>
      </c>
      <c r="ES263" s="528">
        <f t="shared" si="710"/>
        <v>0.82249999999999979</v>
      </c>
      <c r="EV263" s="460">
        <f t="shared" si="711"/>
        <v>822.49999999999977</v>
      </c>
      <c r="EW263" s="528">
        <f t="shared" si="712"/>
        <v>4.959559923577448E-2</v>
      </c>
      <c r="EX263" s="528">
        <f t="shared" si="713"/>
        <v>0.13973773409755885</v>
      </c>
      <c r="EY263" s="528">
        <f t="shared" si="714"/>
        <v>11.733173434161404</v>
      </c>
      <c r="EZ263" s="528"/>
      <c r="FA263" s="528">
        <f t="shared" si="715"/>
        <v>1.4200000000000002</v>
      </c>
      <c r="FB263" s="460">
        <f t="shared" si="716"/>
        <v>13342.506767494739</v>
      </c>
      <c r="FC263" s="173">
        <f t="shared" si="717"/>
        <v>17.969496906502052</v>
      </c>
      <c r="FD263" s="5">
        <f t="shared" si="718"/>
        <v>32.899999999999991</v>
      </c>
      <c r="FE263" s="173">
        <f t="shared" si="719"/>
        <v>0.64675300525322821</v>
      </c>
      <c r="FF263" s="5">
        <f t="shared" si="720"/>
        <v>64.675300525322825</v>
      </c>
      <c r="FI263" s="562">
        <f t="shared" si="674"/>
        <v>-50</v>
      </c>
      <c r="FJ263">
        <f t="shared" si="675"/>
        <v>-50</v>
      </c>
      <c r="FL263">
        <f t="shared" si="758"/>
        <v>0.36894167255337107</v>
      </c>
    </row>
    <row r="264" spans="5:168">
      <c r="E264" s="170">
        <v>48</v>
      </c>
      <c r="F264" s="217">
        <f t="shared" si="759"/>
        <v>1.2</v>
      </c>
      <c r="G264" s="217"/>
      <c r="H264" s="217">
        <f t="shared" si="725"/>
        <v>33.6</v>
      </c>
      <c r="I264" s="541">
        <f t="shared" si="726"/>
        <v>39.916910711958558</v>
      </c>
      <c r="J264" s="172">
        <f t="shared" si="727"/>
        <v>28.444740385868467</v>
      </c>
      <c r="K264" s="172">
        <f t="shared" si="728"/>
        <v>68.361651097827021</v>
      </c>
      <c r="L264" s="443"/>
      <c r="M264" s="217">
        <f t="shared" si="729"/>
        <v>0.4160947822117842</v>
      </c>
      <c r="N264" s="172">
        <f t="shared" si="730"/>
        <v>140.53047798033151</v>
      </c>
      <c r="O264" s="172">
        <f t="shared" si="760"/>
        <v>33.6</v>
      </c>
      <c r="P264" s="217">
        <f t="shared" si="731"/>
        <v>5.018945642154697</v>
      </c>
      <c r="Q264" s="217">
        <f t="shared" si="732"/>
        <v>28</v>
      </c>
      <c r="R264" s="217"/>
      <c r="S264" s="172">
        <f t="shared" si="733"/>
        <v>237.35101562299275</v>
      </c>
      <c r="T264" s="172">
        <f t="shared" si="734"/>
        <v>28</v>
      </c>
      <c r="U264" s="217">
        <f t="shared" si="735"/>
        <v>4.0459459867761431</v>
      </c>
      <c r="V264" s="217">
        <f t="shared" si="736"/>
        <v>0.47638822240196449</v>
      </c>
      <c r="W264" s="217">
        <f t="shared" si="737"/>
        <v>0.66852240097417515</v>
      </c>
      <c r="X264" s="197">
        <f t="shared" si="738"/>
        <v>350</v>
      </c>
      <c r="Y264" s="443">
        <f t="shared" si="678"/>
        <v>350</v>
      </c>
      <c r="AA264" s="217">
        <f t="shared" si="739"/>
        <v>10.096723220556131</v>
      </c>
      <c r="AB264" s="173">
        <f t="shared" si="740"/>
        <v>1.6683083934979264</v>
      </c>
      <c r="AC264" s="173">
        <f t="shared" si="741"/>
        <v>2.9477784167438612</v>
      </c>
      <c r="AD264" s="173"/>
      <c r="AE264" s="173">
        <f t="shared" si="742"/>
        <v>0.55077551962646742</v>
      </c>
      <c r="AF264" s="545">
        <f t="shared" si="743"/>
        <v>1307.2476432654444</v>
      </c>
      <c r="AG264" s="528">
        <f t="shared" si="744"/>
        <v>0.32128571978210596</v>
      </c>
      <c r="AI264" s="173">
        <f t="shared" si="745"/>
        <v>6.442043556436885</v>
      </c>
      <c r="AJ264" s="173">
        <f t="shared" si="746"/>
        <v>6.442043556436885</v>
      </c>
      <c r="AK264" s="173">
        <f t="shared" si="747"/>
        <v>3.5027483134100379</v>
      </c>
      <c r="AM264" s="545">
        <f t="shared" si="748"/>
        <v>1200</v>
      </c>
      <c r="AN264" s="460">
        <f t="shared" si="749"/>
        <v>350</v>
      </c>
      <c r="AP264">
        <f t="shared" si="750"/>
        <v>1200</v>
      </c>
      <c r="AQ264">
        <f t="shared" si="751"/>
        <v>350</v>
      </c>
      <c r="AS264" s="5">
        <f t="shared" si="761"/>
        <v>2.8571428571428572</v>
      </c>
      <c r="AT264" s="5">
        <f t="shared" si="752"/>
        <v>0.75851573118313997</v>
      </c>
      <c r="AU264" s="5">
        <f t="shared" si="721"/>
        <v>2.0986271259597173</v>
      </c>
      <c r="AV264" s="5"/>
      <c r="AW264" s="173">
        <f t="shared" si="722"/>
        <v>0.265480505914099</v>
      </c>
      <c r="AX264" s="173">
        <f t="shared" si="630"/>
        <v>34.133688463042162</v>
      </c>
      <c r="AY264" s="173">
        <f t="shared" si="631"/>
        <v>2.3659032869766796</v>
      </c>
      <c r="AZ264" s="173">
        <f t="shared" si="632"/>
        <v>14.427338873458615</v>
      </c>
      <c r="BA264" s="460">
        <f t="shared" si="723"/>
        <v>3.2507817050706</v>
      </c>
      <c r="BB264" s="5">
        <f t="shared" si="724"/>
        <v>1.2617973216034459</v>
      </c>
      <c r="BD264" s="173">
        <f t="shared" si="679"/>
        <v>1.9163699306230049</v>
      </c>
      <c r="BE264" s="173">
        <f t="shared" si="680"/>
        <v>3.1876064191407494</v>
      </c>
      <c r="BG264" s="528">
        <f t="shared" si="681"/>
        <v>4.4069684531952244E-2</v>
      </c>
      <c r="BH264" s="528">
        <f t="shared" si="753"/>
        <v>2.8129830381831891</v>
      </c>
      <c r="BI264" s="528">
        <f t="shared" si="682"/>
        <v>4.0250000000000001E-2</v>
      </c>
      <c r="BJ264" s="528">
        <f t="shared" si="683"/>
        <v>0.80556273187402583</v>
      </c>
      <c r="BK264">
        <f t="shared" si="684"/>
        <v>1.7962609820381351E-2</v>
      </c>
      <c r="BL264" s="460">
        <f t="shared" si="685"/>
        <v>58.212609820381353</v>
      </c>
      <c r="BM264" s="528">
        <f t="shared" si="754"/>
        <v>3.7133970908412484</v>
      </c>
      <c r="BN264" s="460">
        <f t="shared" si="686"/>
        <v>3713.3970908412484</v>
      </c>
      <c r="BO264" s="528">
        <f t="shared" si="635"/>
        <v>0.84</v>
      </c>
      <c r="BR264" s="460">
        <f t="shared" si="687"/>
        <v>840</v>
      </c>
      <c r="BS264" s="528">
        <f t="shared" si="688"/>
        <v>5.1414631953944287E-2</v>
      </c>
      <c r="BT264" s="528">
        <f t="shared" si="689"/>
        <v>0.14225168556686235</v>
      </c>
      <c r="BU264" s="528">
        <f t="shared" si="690"/>
        <v>12.069777311779792</v>
      </c>
      <c r="BV264" s="528"/>
      <c r="BW264" s="528">
        <f t="shared" si="691"/>
        <v>1.4524973814060496</v>
      </c>
      <c r="BX264" s="460">
        <f t="shared" si="692"/>
        <v>13715.941010706647</v>
      </c>
      <c r="BY264" s="173">
        <f t="shared" si="693"/>
        <v>18.276769075116199</v>
      </c>
      <c r="BZ264" s="5">
        <f t="shared" si="694"/>
        <v>33.6</v>
      </c>
      <c r="CA264" s="173">
        <f t="shared" si="695"/>
        <v>0.64768875546871629</v>
      </c>
      <c r="CB264" s="5">
        <f t="shared" si="696"/>
        <v>64.768875546871627</v>
      </c>
      <c r="CE264" s="562">
        <f t="shared" si="755"/>
        <v>-50</v>
      </c>
      <c r="CF264">
        <f t="shared" si="756"/>
        <v>-50</v>
      </c>
      <c r="CG264" s="173">
        <f t="shared" si="757"/>
        <v>0.3754996671103718</v>
      </c>
      <c r="CI264" s="170">
        <v>48</v>
      </c>
      <c r="CJ264" s="217">
        <f t="shared" si="697"/>
        <v>1.2</v>
      </c>
      <c r="CK264" s="217"/>
      <c r="CL264" s="217">
        <f t="shared" si="639"/>
        <v>33.6</v>
      </c>
      <c r="CM264" s="541">
        <f t="shared" si="640"/>
        <v>40</v>
      </c>
      <c r="CN264" s="443">
        <f t="shared" si="641"/>
        <v>28.4</v>
      </c>
      <c r="CO264" s="443">
        <f t="shared" si="642"/>
        <v>68.400000000000006</v>
      </c>
      <c r="CP264" s="443"/>
      <c r="CQ264" s="217">
        <f t="shared" si="643"/>
        <v>0.41520467836257302</v>
      </c>
      <c r="CR264" s="172">
        <f t="shared" si="644"/>
        <v>140.52175355646798</v>
      </c>
      <c r="CS264" s="172">
        <f t="shared" si="645"/>
        <v>33.6</v>
      </c>
      <c r="CT264" s="217">
        <f t="shared" si="646"/>
        <v>5.0186340555881426</v>
      </c>
      <c r="CU264" s="217">
        <f t="shared" si="647"/>
        <v>28</v>
      </c>
      <c r="CV264" s="217"/>
      <c r="CW264" s="172">
        <f t="shared" si="648"/>
        <v>237.84493555371466</v>
      </c>
      <c r="CX264" s="172">
        <f t="shared" si="649"/>
        <v>28</v>
      </c>
      <c r="CY264" s="217">
        <f t="shared" si="650"/>
        <v>4.0461971830985926</v>
      </c>
      <c r="CZ264" s="217">
        <f t="shared" si="651"/>
        <v>0.47542816901408463</v>
      </c>
      <c r="DA264" s="217">
        <f t="shared" si="652"/>
        <v>0.66961713945645718</v>
      </c>
      <c r="DB264" s="197">
        <f t="shared" si="653"/>
        <v>350</v>
      </c>
      <c r="DC264" s="443">
        <f t="shared" si="654"/>
        <v>350</v>
      </c>
      <c r="DE264" s="217">
        <f t="shared" si="655"/>
        <v>10.09616239179509</v>
      </c>
      <c r="DF264" s="173">
        <f t="shared" si="656"/>
        <v>1.6708437761069339</v>
      </c>
      <c r="DG264" s="173">
        <f t="shared" si="657"/>
        <v>2.9520942666067511</v>
      </c>
      <c r="DH264" s="173"/>
      <c r="DI264" s="173">
        <f t="shared" si="658"/>
        <v>0.55164319248826299</v>
      </c>
      <c r="DJ264" s="545">
        <f t="shared" si="659"/>
        <v>1305.191489361702</v>
      </c>
      <c r="DK264" s="528">
        <f t="shared" si="660"/>
        <v>0.3217918622848201</v>
      </c>
      <c r="DM264" s="173">
        <f t="shared" si="661"/>
        <v>6.4369752567434224</v>
      </c>
      <c r="DN264" s="173">
        <f t="shared" si="662"/>
        <v>6.4369752567434224</v>
      </c>
      <c r="DO264" s="173">
        <f t="shared" si="663"/>
        <v>3.4989940173408067</v>
      </c>
      <c r="DQ264" s="545">
        <f t="shared" si="664"/>
        <v>1200</v>
      </c>
      <c r="DR264" s="460">
        <f t="shared" si="665"/>
        <v>350</v>
      </c>
      <c r="DT264">
        <f t="shared" si="666"/>
        <v>1200</v>
      </c>
      <c r="DU264">
        <f t="shared" si="667"/>
        <v>350</v>
      </c>
      <c r="DW264" s="5">
        <f t="shared" si="668"/>
        <v>2.8571428571428572</v>
      </c>
      <c r="DX264" s="5">
        <f t="shared" si="669"/>
        <v>0.7563445926673521</v>
      </c>
      <c r="DY264" s="5">
        <f t="shared" si="670"/>
        <v>2.1007982644755052</v>
      </c>
      <c r="DZ264" s="5"/>
      <c r="EA264" s="173">
        <f t="shared" si="671"/>
        <v>0.26472060743357323</v>
      </c>
      <c r="EB264" s="173">
        <f t="shared" si="698"/>
        <v>34.08</v>
      </c>
      <c r="EC264" s="173">
        <f t="shared" si="699"/>
        <v>2.3664876283717113</v>
      </c>
      <c r="ED264" s="173">
        <f t="shared" si="700"/>
        <v>14.401089442182771</v>
      </c>
      <c r="EE264" s="460">
        <f t="shared" si="672"/>
        <v>3.2414768257172231</v>
      </c>
      <c r="EF264" s="5">
        <f t="shared" si="673"/>
        <v>1.2604789586853031</v>
      </c>
      <c r="EH264" s="173">
        <f t="shared" si="701"/>
        <v>1.9121197519586119</v>
      </c>
      <c r="EI264" s="173">
        <f t="shared" si="702"/>
        <v>3.1867457077943038</v>
      </c>
      <c r="EK264" s="528">
        <f t="shared" si="703"/>
        <v>4.3874423349963165E-2</v>
      </c>
      <c r="EL264" s="528">
        <f t="shared" si="704"/>
        <v>2.927922565282314</v>
      </c>
      <c r="EM264" s="528">
        <f t="shared" si="705"/>
        <v>4.0250000000000001E-2</v>
      </c>
      <c r="EN264" s="528">
        <f t="shared" si="706"/>
        <v>0.80646678000000016</v>
      </c>
      <c r="EO264">
        <f t="shared" si="707"/>
        <v>1.7999999999999999E-2</v>
      </c>
      <c r="EP264" s="460">
        <f t="shared" si="708"/>
        <v>58.249999999999993</v>
      </c>
      <c r="EQ264" s="460"/>
      <c r="ER264" s="460">
        <f t="shared" si="709"/>
        <v>3836.5137686322769</v>
      </c>
      <c r="ES264" s="528">
        <f t="shared" si="710"/>
        <v>0.84</v>
      </c>
      <c r="EV264" s="460">
        <f t="shared" si="711"/>
        <v>840</v>
      </c>
      <c r="EW264" s="528">
        <f t="shared" si="712"/>
        <v>5.1186827241623691E-2</v>
      </c>
      <c r="EX264" s="528">
        <f t="shared" si="713"/>
        <v>0.14217487488603586</v>
      </c>
      <c r="EY264" s="528">
        <f t="shared" si="714"/>
        <v>12.04605147204771</v>
      </c>
      <c r="EZ264" s="528"/>
      <c r="FA264" s="528">
        <f t="shared" si="715"/>
        <v>1.4502127659574469</v>
      </c>
      <c r="FB264" s="460">
        <f t="shared" si="716"/>
        <v>13689.625940132817</v>
      </c>
      <c r="FC264" s="173">
        <f t="shared" si="717"/>
        <v>18.36613970876509</v>
      </c>
      <c r="FD264" s="5">
        <f t="shared" si="718"/>
        <v>33.6</v>
      </c>
      <c r="FE264" s="173">
        <f t="shared" si="719"/>
        <v>0.6465748694881932</v>
      </c>
      <c r="FF264" s="5">
        <f t="shared" si="720"/>
        <v>64.657486948819326</v>
      </c>
      <c r="FI264" s="562">
        <f t="shared" si="674"/>
        <v>-50</v>
      </c>
      <c r="FJ264">
        <f t="shared" si="675"/>
        <v>-50</v>
      </c>
      <c r="FL264">
        <f t="shared" si="758"/>
        <v>0.37284592596277921</v>
      </c>
    </row>
    <row r="265" spans="5:168">
      <c r="E265" s="170">
        <v>49</v>
      </c>
      <c r="F265" s="217">
        <f t="shared" si="759"/>
        <v>1.2250000000000001</v>
      </c>
      <c r="G265" s="217"/>
      <c r="H265" s="217">
        <f t="shared" si="725"/>
        <v>34.300000000000004</v>
      </c>
      <c r="I265" s="541">
        <f t="shared" si="726"/>
        <v>39.916049660069369</v>
      </c>
      <c r="J265" s="172">
        <f t="shared" si="727"/>
        <v>28.445204029193413</v>
      </c>
      <c r="K265" s="172">
        <f t="shared" si="728"/>
        <v>68.361253689262782</v>
      </c>
      <c r="L265" s="443"/>
      <c r="M265" s="217">
        <f t="shared" si="729"/>
        <v>0.41610401151691295</v>
      </c>
      <c r="N265" s="172">
        <f t="shared" si="730"/>
        <v>140.5305635903799</v>
      </c>
      <c r="O265" s="172">
        <f t="shared" si="760"/>
        <v>34.300000000000004</v>
      </c>
      <c r="P265" s="217">
        <f t="shared" si="731"/>
        <v>5.0189486996564252</v>
      </c>
      <c r="Q265" s="217">
        <f t="shared" si="732"/>
        <v>28</v>
      </c>
      <c r="R265" s="217"/>
      <c r="S265" s="172">
        <f t="shared" si="733"/>
        <v>231.69049707009557</v>
      </c>
      <c r="T265" s="172">
        <f t="shared" si="734"/>
        <v>28</v>
      </c>
      <c r="U265" s="217">
        <f t="shared" si="735"/>
        <v>4.1302340120616341</v>
      </c>
      <c r="V265" s="217">
        <f t="shared" si="736"/>
        <v>0.48632317130592384</v>
      </c>
      <c r="W265" s="217">
        <f t="shared" si="737"/>
        <v>0.6824384116481278</v>
      </c>
      <c r="X265" s="197">
        <f t="shared" si="738"/>
        <v>350</v>
      </c>
      <c r="Y265" s="443">
        <f t="shared" si="678"/>
        <v>350</v>
      </c>
      <c r="AA265" s="217">
        <f t="shared" si="739"/>
        <v>10.096728689579379</v>
      </c>
      <c r="AB265" s="173">
        <f t="shared" si="740"/>
        <v>1.6682821045094365</v>
      </c>
      <c r="AC265" s="173">
        <f t="shared" si="741"/>
        <v>2.9477335627096508</v>
      </c>
      <c r="AD265" s="173"/>
      <c r="AE265" s="173">
        <f t="shared" si="742"/>
        <v>0.5507665422469078</v>
      </c>
      <c r="AF265" s="545">
        <f t="shared" si="743"/>
        <v>1334.5037209440741</v>
      </c>
      <c r="AG265" s="528">
        <f t="shared" si="744"/>
        <v>0.32128048297736295</v>
      </c>
      <c r="AI265" s="173">
        <f t="shared" si="745"/>
        <v>6.5088553133625631</v>
      </c>
      <c r="AJ265" s="173">
        <f t="shared" si="746"/>
        <v>6.5088553133625631</v>
      </c>
      <c r="AK265" s="173">
        <f t="shared" si="747"/>
        <v>3.5522385037253548</v>
      </c>
      <c r="AM265" s="545">
        <f t="shared" si="748"/>
        <v>1225</v>
      </c>
      <c r="AN265" s="460">
        <f t="shared" si="749"/>
        <v>350</v>
      </c>
      <c r="AP265">
        <f t="shared" si="750"/>
        <v>1225</v>
      </c>
      <c r="AQ265">
        <f t="shared" si="751"/>
        <v>350</v>
      </c>
      <c r="AS265" s="5">
        <f t="shared" si="761"/>
        <v>2.8571428571428572</v>
      </c>
      <c r="AT265" s="5">
        <f t="shared" si="752"/>
        <v>0.76639898570441045</v>
      </c>
      <c r="AU265" s="5">
        <f t="shared" si="721"/>
        <v>2.0907438714384465</v>
      </c>
      <c r="AV265" s="5"/>
      <c r="AW265" s="173">
        <f t="shared" si="722"/>
        <v>0.26823964499654362</v>
      </c>
      <c r="AX265" s="173">
        <f t="shared" si="630"/>
        <v>34.845374935761939</v>
      </c>
      <c r="AY265" s="173">
        <f t="shared" si="631"/>
        <v>2.3814611373861614</v>
      </c>
      <c r="AZ265" s="173">
        <f t="shared" si="632"/>
        <v>14.631930955634845</v>
      </c>
      <c r="BA265" s="460">
        <f t="shared" si="723"/>
        <v>3.3529955624567962</v>
      </c>
      <c r="BB265" s="5">
        <f t="shared" si="724"/>
        <v>1.2832739032661311</v>
      </c>
      <c r="BD265" s="173">
        <f t="shared" si="679"/>
        <v>1.9462806867632882</v>
      </c>
      <c r="BE265" s="173">
        <f t="shared" si="680"/>
        <v>3.2146110161409749</v>
      </c>
      <c r="BG265" s="528">
        <f t="shared" si="681"/>
        <v>4.5456102140013326E-2</v>
      </c>
      <c r="BH265" s="528">
        <f t="shared" si="753"/>
        <v>2.842140540676005</v>
      </c>
      <c r="BI265" s="528">
        <f t="shared" si="682"/>
        <v>4.0250000000000001E-2</v>
      </c>
      <c r="BJ265" s="528">
        <f t="shared" si="683"/>
        <v>0.80555336590368987</v>
      </c>
      <c r="BK265">
        <f t="shared" si="684"/>
        <v>1.7962222347031216E-2</v>
      </c>
      <c r="BL265" s="460">
        <f t="shared" si="685"/>
        <v>58.212222347031215</v>
      </c>
      <c r="BM265" s="528">
        <f t="shared" si="754"/>
        <v>3.7458800462802491</v>
      </c>
      <c r="BN265" s="460">
        <f t="shared" si="686"/>
        <v>3745.8800462802492</v>
      </c>
      <c r="BO265" s="528">
        <f t="shared" si="635"/>
        <v>0.85750000000000004</v>
      </c>
      <c r="BR265" s="460">
        <f t="shared" si="687"/>
        <v>857.5</v>
      </c>
      <c r="BS265" s="528">
        <f t="shared" si="688"/>
        <v>5.3032119163348879E-2</v>
      </c>
      <c r="BT265" s="528">
        <f t="shared" si="689"/>
        <v>0.14467213579132876</v>
      </c>
      <c r="BU265" s="528">
        <f t="shared" si="690"/>
        <v>12.385161078448217</v>
      </c>
      <c r="BV265" s="528"/>
      <c r="BW265" s="528">
        <f t="shared" si="691"/>
        <v>1.4827819121600825</v>
      </c>
      <c r="BX265" s="460">
        <f t="shared" si="692"/>
        <v>14065.647245562976</v>
      </c>
      <c r="BY265" s="173">
        <f t="shared" si="693"/>
        <v>18.674509476629716</v>
      </c>
      <c r="BZ265" s="5">
        <f t="shared" si="694"/>
        <v>34.300000000000004</v>
      </c>
      <c r="CA265" s="173">
        <f t="shared" si="695"/>
        <v>0.64748121953128834</v>
      </c>
      <c r="CB265" s="5">
        <f t="shared" si="696"/>
        <v>64.74812195312883</v>
      </c>
      <c r="CE265" s="562">
        <f t="shared" si="755"/>
        <v>-50</v>
      </c>
      <c r="CF265">
        <f t="shared" si="756"/>
        <v>-50</v>
      </c>
      <c r="CG265" s="173">
        <f t="shared" si="757"/>
        <v>0.37939095930187905</v>
      </c>
      <c r="CI265" s="170">
        <v>49</v>
      </c>
      <c r="CJ265" s="217">
        <f t="shared" si="697"/>
        <v>1.2250000000000001</v>
      </c>
      <c r="CK265" s="217"/>
      <c r="CL265" s="217">
        <f t="shared" si="639"/>
        <v>34.300000000000004</v>
      </c>
      <c r="CM265" s="541">
        <f t="shared" si="640"/>
        <v>40</v>
      </c>
      <c r="CN265" s="443">
        <f t="shared" si="641"/>
        <v>28.4</v>
      </c>
      <c r="CO265" s="443">
        <f t="shared" si="642"/>
        <v>68.400000000000006</v>
      </c>
      <c r="CP265" s="443"/>
      <c r="CQ265" s="217">
        <f t="shared" si="643"/>
        <v>0.41520467836257302</v>
      </c>
      <c r="CR265" s="172">
        <f t="shared" si="644"/>
        <v>140.52175355646798</v>
      </c>
      <c r="CS265" s="172">
        <f t="shared" si="645"/>
        <v>34.300000000000004</v>
      </c>
      <c r="CT265" s="217">
        <f t="shared" si="646"/>
        <v>5.0186340555881426</v>
      </c>
      <c r="CU265" s="217">
        <f t="shared" si="647"/>
        <v>28</v>
      </c>
      <c r="CV265" s="217"/>
      <c r="CW265" s="172">
        <f t="shared" si="648"/>
        <v>232.17763776954081</v>
      </c>
      <c r="CX265" s="172">
        <f t="shared" si="649"/>
        <v>28</v>
      </c>
      <c r="CY265" s="217">
        <f t="shared" si="650"/>
        <v>4.1304929577464806</v>
      </c>
      <c r="CZ265" s="217">
        <f t="shared" si="651"/>
        <v>0.48533292253521143</v>
      </c>
      <c r="DA265" s="217">
        <f t="shared" si="652"/>
        <v>0.68356749652846682</v>
      </c>
      <c r="DB265" s="197">
        <f t="shared" si="653"/>
        <v>350</v>
      </c>
      <c r="DC265" s="443">
        <f t="shared" si="654"/>
        <v>350</v>
      </c>
      <c r="DE265" s="217">
        <f t="shared" si="655"/>
        <v>10.09616239179509</v>
      </c>
      <c r="DF265" s="173">
        <f t="shared" si="656"/>
        <v>1.6708437761069339</v>
      </c>
      <c r="DG265" s="173">
        <f t="shared" si="657"/>
        <v>2.9520942666067511</v>
      </c>
      <c r="DH265" s="173"/>
      <c r="DI265" s="173">
        <f t="shared" si="658"/>
        <v>0.55164319248826299</v>
      </c>
      <c r="DJ265" s="545">
        <f t="shared" si="659"/>
        <v>1332.3829787234042</v>
      </c>
      <c r="DK265" s="528">
        <f t="shared" si="660"/>
        <v>0.3217918622848201</v>
      </c>
      <c r="DM265" s="173">
        <f t="shared" si="661"/>
        <v>6.5036814451836076</v>
      </c>
      <c r="DN265" s="173">
        <f t="shared" si="662"/>
        <v>6.5036814451836076</v>
      </c>
      <c r="DO265" s="173">
        <f t="shared" si="663"/>
        <v>3.548406008777981</v>
      </c>
      <c r="DQ265" s="545">
        <f t="shared" si="664"/>
        <v>1225</v>
      </c>
      <c r="DR265" s="460">
        <f t="shared" si="665"/>
        <v>350</v>
      </c>
      <c r="DT265">
        <f t="shared" si="666"/>
        <v>1225</v>
      </c>
      <c r="DU265">
        <f t="shared" si="667"/>
        <v>350</v>
      </c>
      <c r="DW265" s="5">
        <f t="shared" si="668"/>
        <v>2.8571428571428572</v>
      </c>
      <c r="DX265" s="5">
        <f t="shared" si="669"/>
        <v>0.76418256980907384</v>
      </c>
      <c r="DY265" s="5">
        <f t="shared" si="670"/>
        <v>2.0929602873337831</v>
      </c>
      <c r="DZ265" s="5"/>
      <c r="EA265" s="173">
        <f t="shared" si="671"/>
        <v>0.26746389943317583</v>
      </c>
      <c r="EB265" s="173">
        <f t="shared" si="698"/>
        <v>34.790000000000006</v>
      </c>
      <c r="EC265" s="173">
        <f t="shared" si="699"/>
        <v>2.3820907225918035</v>
      </c>
      <c r="ED265" s="173">
        <f t="shared" si="700"/>
        <v>14.604817385858079</v>
      </c>
      <c r="EE265" s="460">
        <f t="shared" si="672"/>
        <v>3.3432987429146981</v>
      </c>
      <c r="EF265" s="5">
        <f t="shared" si="673"/>
        <v>1.2819381759919422</v>
      </c>
      <c r="EH265" s="173">
        <f t="shared" si="701"/>
        <v>1.9419194863070306</v>
      </c>
      <c r="EI265" s="173">
        <f t="shared" si="702"/>
        <v>3.2137578453957736</v>
      </c>
      <c r="EK265" s="528">
        <f t="shared" si="703"/>
        <v>4.5252615495587539E-2</v>
      </c>
      <c r="EL265" s="528">
        <f t="shared" si="704"/>
        <v>2.9582645421562166</v>
      </c>
      <c r="EM265" s="528">
        <f t="shared" si="705"/>
        <v>4.0250000000000001E-2</v>
      </c>
      <c r="EN265" s="528">
        <f t="shared" si="706"/>
        <v>0.80646678000000016</v>
      </c>
      <c r="EO265">
        <f t="shared" si="707"/>
        <v>1.7999999999999999E-2</v>
      </c>
      <c r="EP265" s="460">
        <f t="shared" si="708"/>
        <v>58.249999999999993</v>
      </c>
      <c r="EQ265" s="460"/>
      <c r="ER265" s="460">
        <f t="shared" si="709"/>
        <v>3868.2339376518039</v>
      </c>
      <c r="ES265" s="528">
        <f t="shared" si="710"/>
        <v>0.85750000000000004</v>
      </c>
      <c r="EV265" s="460">
        <f t="shared" si="711"/>
        <v>857.5</v>
      </c>
      <c r="EW265" s="528">
        <f t="shared" si="712"/>
        <v>5.2794718078185462E-2</v>
      </c>
      <c r="EX265" s="528">
        <f t="shared" si="713"/>
        <v>0.14459535284380037</v>
      </c>
      <c r="EY265" s="528">
        <f t="shared" si="714"/>
        <v>12.360563437804691</v>
      </c>
      <c r="EZ265" s="528"/>
      <c r="FA265" s="528">
        <f t="shared" si="715"/>
        <v>1.4804255319148942</v>
      </c>
      <c r="FB265" s="460">
        <f t="shared" si="716"/>
        <v>14038.37904064157</v>
      </c>
      <c r="FC265" s="173">
        <f t="shared" si="717"/>
        <v>18.764112978293372</v>
      </c>
      <c r="FD265" s="5">
        <f t="shared" si="718"/>
        <v>34.300000000000004</v>
      </c>
      <c r="FE265" s="173">
        <f t="shared" si="719"/>
        <v>0.64638788957107229</v>
      </c>
      <c r="FF265" s="5">
        <f t="shared" si="720"/>
        <v>64.638788957107224</v>
      </c>
      <c r="FI265" s="562">
        <f t="shared" si="674"/>
        <v>-50</v>
      </c>
      <c r="FJ265">
        <f t="shared" si="675"/>
        <v>-50</v>
      </c>
      <c r="FL265">
        <f t="shared" si="758"/>
        <v>0.37670971751151533</v>
      </c>
    </row>
    <row r="266" spans="5:168">
      <c r="E266" s="170">
        <v>50</v>
      </c>
      <c r="F266" s="217">
        <f t="shared" si="759"/>
        <v>1.25</v>
      </c>
      <c r="G266" s="217"/>
      <c r="H266" s="217">
        <f t="shared" si="725"/>
        <v>35</v>
      </c>
      <c r="I266" s="541">
        <f t="shared" si="726"/>
        <v>39.91519735050305</v>
      </c>
      <c r="J266" s="172">
        <f t="shared" si="727"/>
        <v>28.44566296511374</v>
      </c>
      <c r="K266" s="172">
        <f t="shared" si="728"/>
        <v>68.36086031561679</v>
      </c>
      <c r="L266" s="443"/>
      <c r="M266" s="217">
        <f t="shared" si="729"/>
        <v>0.41611314722103154</v>
      </c>
      <c r="N266" s="172">
        <f t="shared" si="730"/>
        <v>140.53064823418032</v>
      </c>
      <c r="O266" s="172">
        <f t="shared" si="760"/>
        <v>35</v>
      </c>
      <c r="P266" s="217">
        <f t="shared" si="731"/>
        <v>5.0189517226492972</v>
      </c>
      <c r="Q266" s="217">
        <f t="shared" si="732"/>
        <v>28</v>
      </c>
      <c r="R266" s="217"/>
      <c r="S266" s="172">
        <f t="shared" si="733"/>
        <v>226.25656004393554</v>
      </c>
      <c r="T266" s="172">
        <f t="shared" si="734"/>
        <v>28</v>
      </c>
      <c r="U266" s="217">
        <f t="shared" si="735"/>
        <v>4.2145219636298927</v>
      </c>
      <c r="V266" s="217">
        <f t="shared" si="736"/>
        <v>0.49625843147211329</v>
      </c>
      <c r="W266" s="217">
        <f t="shared" si="737"/>
        <v>0.69635407173858754</v>
      </c>
      <c r="X266" s="197">
        <f t="shared" si="738"/>
        <v>350</v>
      </c>
      <c r="Y266" s="443">
        <f t="shared" si="678"/>
        <v>350</v>
      </c>
      <c r="AA266" s="217">
        <f t="shared" si="739"/>
        <v>10.096734096145433</v>
      </c>
      <c r="AB266" s="173">
        <f t="shared" si="740"/>
        <v>1.6682560821339529</v>
      </c>
      <c r="AC266" s="173">
        <f t="shared" si="741"/>
        <v>2.9476891614771783</v>
      </c>
      <c r="AD266" s="173"/>
      <c r="AE266" s="173">
        <f t="shared" si="742"/>
        <v>0.55075765630354756</v>
      </c>
      <c r="AF266" s="545">
        <f t="shared" si="743"/>
        <v>1361.7604610958704</v>
      </c>
      <c r="AG266" s="528">
        <f t="shared" si="744"/>
        <v>0.32127529951040279</v>
      </c>
      <c r="AI266" s="173">
        <f t="shared" si="745"/>
        <v>6.5749897968316526</v>
      </c>
      <c r="AJ266" s="173">
        <f t="shared" si="746"/>
        <v>6.5749897968316526</v>
      </c>
      <c r="AK266" s="173">
        <f t="shared" si="747"/>
        <v>3.6012270099987544</v>
      </c>
      <c r="AM266" s="545">
        <f t="shared" si="748"/>
        <v>1250</v>
      </c>
      <c r="AN266" s="460">
        <f t="shared" si="749"/>
        <v>350</v>
      </c>
      <c r="AP266">
        <f t="shared" si="750"/>
        <v>1250</v>
      </c>
      <c r="AQ266">
        <f t="shared" si="751"/>
        <v>350</v>
      </c>
      <c r="AS266" s="5">
        <f t="shared" si="761"/>
        <v>2.8571428571428572</v>
      </c>
      <c r="AT266" s="5">
        <f t="shared" si="752"/>
        <v>0.77420266205246024</v>
      </c>
      <c r="AU266" s="5">
        <f t="shared" si="721"/>
        <v>2.082940195090397</v>
      </c>
      <c r="AV266" s="5"/>
      <c r="AW266" s="173">
        <f t="shared" si="722"/>
        <v>0.27097093171836106</v>
      </c>
      <c r="AX266" s="173">
        <f t="shared" si="630"/>
        <v>35.557078706392183</v>
      </c>
      <c r="AY266" s="173">
        <f t="shared" si="631"/>
        <v>2.3966793427727313</v>
      </c>
      <c r="AZ266" s="173">
        <f t="shared" si="632"/>
        <v>14.83597662474781</v>
      </c>
      <c r="BA266" s="460">
        <f t="shared" si="723"/>
        <v>3.4562618841627688</v>
      </c>
      <c r="BB266" s="5">
        <f t="shared" si="724"/>
        <v>1.3046034676965874</v>
      </c>
      <c r="BD266" s="173">
        <f t="shared" si="679"/>
        <v>1.9760403486454539</v>
      </c>
      <c r="BE266" s="173">
        <f t="shared" si="680"/>
        <v>3.2412078227113525</v>
      </c>
      <c r="BG266" s="528">
        <f t="shared" si="681"/>
        <v>4.6856825513698158E-2</v>
      </c>
      <c r="BH266" s="528">
        <f t="shared" si="753"/>
        <v>2.8710021386095383</v>
      </c>
      <c r="BI266" s="528">
        <f t="shared" si="682"/>
        <v>4.0250000000000001E-2</v>
      </c>
      <c r="BJ266" s="528">
        <f t="shared" si="683"/>
        <v>0.80554409508035785</v>
      </c>
      <c r="BK266">
        <f t="shared" si="684"/>
        <v>1.7961838807726373E-2</v>
      </c>
      <c r="BL266" s="460">
        <f t="shared" si="685"/>
        <v>58.211838807726373</v>
      </c>
      <c r="BM266" s="528">
        <f t="shared" si="754"/>
        <v>3.7781168637794709</v>
      </c>
      <c r="BN266" s="460">
        <f t="shared" si="686"/>
        <v>3778.1168637794708</v>
      </c>
      <c r="BO266" s="528">
        <f t="shared" si="635"/>
        <v>0.875</v>
      </c>
      <c r="BR266" s="460">
        <f t="shared" si="687"/>
        <v>875</v>
      </c>
      <c r="BS266" s="528">
        <f t="shared" si="688"/>
        <v>5.4666296432647851E-2</v>
      </c>
      <c r="BT266" s="528">
        <f t="shared" si="689"/>
        <v>0.14707599410007374</v>
      </c>
      <c r="BU266" s="528">
        <f t="shared" si="690"/>
        <v>12.702167145885342</v>
      </c>
      <c r="BV266" s="528"/>
      <c r="BW266" s="528">
        <f t="shared" si="691"/>
        <v>1.5130671789954122</v>
      </c>
      <c r="BX266" s="460">
        <f t="shared" si="692"/>
        <v>14416.976615413474</v>
      </c>
      <c r="BY266" s="173">
        <f t="shared" si="693"/>
        <v>19.073591513424798</v>
      </c>
      <c r="BZ266" s="5">
        <f t="shared" si="694"/>
        <v>35</v>
      </c>
      <c r="CA266" s="173">
        <f t="shared" si="695"/>
        <v>0.64726605021807326</v>
      </c>
      <c r="CB266" s="5">
        <f t="shared" si="696"/>
        <v>64.72660502180733</v>
      </c>
      <c r="CE266" s="562">
        <f t="shared" si="755"/>
        <v>-50</v>
      </c>
      <c r="CF266">
        <f t="shared" si="756"/>
        <v>-50</v>
      </c>
      <c r="CG266" s="173">
        <f t="shared" si="757"/>
        <v>0.38324274291889726</v>
      </c>
      <c r="CI266" s="170">
        <v>50</v>
      </c>
      <c r="CJ266" s="217">
        <f t="shared" si="697"/>
        <v>1.25</v>
      </c>
      <c r="CK266" s="217"/>
      <c r="CL266" s="217">
        <f t="shared" si="639"/>
        <v>35</v>
      </c>
      <c r="CM266" s="541">
        <f t="shared" si="640"/>
        <v>40</v>
      </c>
      <c r="CN266" s="443">
        <f t="shared" si="641"/>
        <v>28.4</v>
      </c>
      <c r="CO266" s="443">
        <f t="shared" si="642"/>
        <v>68.400000000000006</v>
      </c>
      <c r="CP266" s="443"/>
      <c r="CQ266" s="217">
        <f t="shared" si="643"/>
        <v>0.41520467836257302</v>
      </c>
      <c r="CR266" s="172">
        <f t="shared" si="644"/>
        <v>140.52175355646798</v>
      </c>
      <c r="CS266" s="172">
        <f t="shared" si="645"/>
        <v>35</v>
      </c>
      <c r="CT266" s="217">
        <f t="shared" si="646"/>
        <v>5.0186340555881426</v>
      </c>
      <c r="CU266" s="217">
        <f t="shared" si="647"/>
        <v>28</v>
      </c>
      <c r="CV266" s="217"/>
      <c r="CW266" s="172">
        <f t="shared" si="648"/>
        <v>226.73710870095829</v>
      </c>
      <c r="CX266" s="172">
        <f t="shared" si="649"/>
        <v>28</v>
      </c>
      <c r="CY266" s="217">
        <f t="shared" si="650"/>
        <v>4.2147887323943669</v>
      </c>
      <c r="CZ266" s="217">
        <f t="shared" si="651"/>
        <v>0.49523767605633806</v>
      </c>
      <c r="DA266" s="217">
        <f t="shared" si="652"/>
        <v>0.69751785360047625</v>
      </c>
      <c r="DB266" s="197">
        <f t="shared" si="653"/>
        <v>350</v>
      </c>
      <c r="DC266" s="443">
        <f t="shared" si="654"/>
        <v>350</v>
      </c>
      <c r="DE266" s="217">
        <f t="shared" si="655"/>
        <v>10.09616239179509</v>
      </c>
      <c r="DF266" s="173">
        <f t="shared" si="656"/>
        <v>1.6708437761069339</v>
      </c>
      <c r="DG266" s="173">
        <f t="shared" si="657"/>
        <v>2.9520942666067511</v>
      </c>
      <c r="DH266" s="173"/>
      <c r="DI266" s="173">
        <f t="shared" si="658"/>
        <v>0.55164319248826299</v>
      </c>
      <c r="DJ266" s="545">
        <f t="shared" si="659"/>
        <v>1359.5744680851062</v>
      </c>
      <c r="DK266" s="528">
        <f t="shared" si="660"/>
        <v>0.3217918622848201</v>
      </c>
      <c r="DM266" s="173">
        <f t="shared" si="661"/>
        <v>6.5697103608092204</v>
      </c>
      <c r="DN266" s="173">
        <f t="shared" si="662"/>
        <v>6.5697103608092204</v>
      </c>
      <c r="DO266" s="173">
        <f t="shared" si="663"/>
        <v>3.5973163166488051</v>
      </c>
      <c r="DQ266" s="545">
        <f t="shared" si="664"/>
        <v>1250</v>
      </c>
      <c r="DR266" s="460">
        <f t="shared" si="665"/>
        <v>350</v>
      </c>
      <c r="DT266">
        <f t="shared" si="666"/>
        <v>1250</v>
      </c>
      <c r="DU266">
        <f t="shared" si="667"/>
        <v>350</v>
      </c>
      <c r="DW266" s="5">
        <f t="shared" si="668"/>
        <v>2.8571428571428572</v>
      </c>
      <c r="DX266" s="5">
        <f t="shared" si="669"/>
        <v>0.77194096739508333</v>
      </c>
      <c r="DY266" s="5">
        <f t="shared" si="670"/>
        <v>2.0852018897477738</v>
      </c>
      <c r="DZ266" s="5"/>
      <c r="EA266" s="173">
        <f t="shared" si="671"/>
        <v>0.27017933858827914</v>
      </c>
      <c r="EB266" s="173">
        <f t="shared" si="698"/>
        <v>35.500000000000007</v>
      </c>
      <c r="EC266" s="173">
        <f t="shared" si="699"/>
        <v>2.3973551804046105</v>
      </c>
      <c r="ED266" s="173">
        <f t="shared" si="700"/>
        <v>14.807985187246448</v>
      </c>
      <c r="EE266" s="460">
        <f t="shared" si="672"/>
        <v>3.4461650330137652</v>
      </c>
      <c r="EF266" s="5">
        <f t="shared" si="673"/>
        <v>1.3032511810923584</v>
      </c>
      <c r="EH266" s="173">
        <f t="shared" si="701"/>
        <v>1.9715675565766078</v>
      </c>
      <c r="EI266" s="173">
        <f t="shared" si="702"/>
        <v>3.240363062708028</v>
      </c>
      <c r="EK266" s="528">
        <f t="shared" si="703"/>
        <v>4.6644943561745471E-2</v>
      </c>
      <c r="EL266" s="528">
        <f t="shared" si="704"/>
        <v>2.988298454717683</v>
      </c>
      <c r="EM266" s="528">
        <f t="shared" si="705"/>
        <v>4.0250000000000001E-2</v>
      </c>
      <c r="EN266" s="528">
        <f t="shared" si="706"/>
        <v>0.80646678000000016</v>
      </c>
      <c r="EO266">
        <f t="shared" si="707"/>
        <v>1.7999999999999999E-2</v>
      </c>
      <c r="EP266" s="460">
        <f t="shared" si="708"/>
        <v>58.249999999999993</v>
      </c>
      <c r="EQ266" s="460"/>
      <c r="ER266" s="460">
        <f t="shared" si="709"/>
        <v>3899.6601782794282</v>
      </c>
      <c r="ES266" s="528">
        <f t="shared" si="710"/>
        <v>0.875</v>
      </c>
      <c r="EV266" s="460">
        <f t="shared" si="711"/>
        <v>875</v>
      </c>
      <c r="EW266" s="528">
        <f t="shared" si="712"/>
        <v>5.4419100822036381E-2</v>
      </c>
      <c r="EX266" s="528">
        <f t="shared" si="713"/>
        <v>0.14699933889427572</v>
      </c>
      <c r="EY266" s="528">
        <f t="shared" si="714"/>
        <v>12.676684254898461</v>
      </c>
      <c r="EZ266" s="528"/>
      <c r="FA266" s="528">
        <f t="shared" si="715"/>
        <v>1.5106382978723407</v>
      </c>
      <c r="FB266" s="460">
        <f t="shared" si="716"/>
        <v>14388.740992487114</v>
      </c>
      <c r="FC266" s="173">
        <f t="shared" si="717"/>
        <v>19.163401170766541</v>
      </c>
      <c r="FD266" s="5">
        <f t="shared" si="718"/>
        <v>35</v>
      </c>
      <c r="FE266" s="173">
        <f t="shared" si="719"/>
        <v>0.64619280258364664</v>
      </c>
      <c r="FF266" s="5">
        <f t="shared" si="720"/>
        <v>64.619280258364668</v>
      </c>
      <c r="FI266" s="562">
        <f t="shared" si="674"/>
        <v>-50</v>
      </c>
      <c r="FJ266">
        <f t="shared" si="675"/>
        <v>-50</v>
      </c>
      <c r="FL266">
        <f t="shared" si="758"/>
        <v>0.38053427970180165</v>
      </c>
    </row>
    <row r="267" spans="5:168">
      <c r="E267" s="170">
        <v>51</v>
      </c>
      <c r="F267" s="217">
        <f t="shared" si="759"/>
        <v>1.2749999999999999</v>
      </c>
      <c r="G267" s="217"/>
      <c r="H267" s="217">
        <f t="shared" si="725"/>
        <v>35.699999999999996</v>
      </c>
      <c r="I267" s="541">
        <f t="shared" si="726"/>
        <v>39.914353522261941</v>
      </c>
      <c r="J267" s="172">
        <f t="shared" si="727"/>
        <v>28.446117334166647</v>
      </c>
      <c r="K267" s="172">
        <f t="shared" si="728"/>
        <v>68.360470856428591</v>
      </c>
      <c r="L267" s="443"/>
      <c r="M267" s="217">
        <f t="shared" si="729"/>
        <v>0.41612219211855273</v>
      </c>
      <c r="N267" s="172">
        <f t="shared" si="730"/>
        <v>140.53073194057779</v>
      </c>
      <c r="O267" s="172">
        <f t="shared" si="760"/>
        <v>35.699999999999996</v>
      </c>
      <c r="P267" s="217">
        <f t="shared" si="731"/>
        <v>5.0189547121634925</v>
      </c>
      <c r="Q267" s="217">
        <f t="shared" si="732"/>
        <v>28</v>
      </c>
      <c r="R267" s="217"/>
      <c r="S267" s="172">
        <f t="shared" si="733"/>
        <v>221.03587504433614</v>
      </c>
      <c r="T267" s="172">
        <f t="shared" si="734"/>
        <v>28</v>
      </c>
      <c r="U267" s="217">
        <f t="shared" si="735"/>
        <v>4.2988098423373042</v>
      </c>
      <c r="V267" s="217">
        <f t="shared" si="736"/>
        <v>0.50619399980301494</v>
      </c>
      <c r="W267" s="217">
        <f t="shared" si="737"/>
        <v>0.71026938480345114</v>
      </c>
      <c r="X267" s="197">
        <f t="shared" si="738"/>
        <v>350</v>
      </c>
      <c r="Y267" s="443">
        <f t="shared" si="678"/>
        <v>350</v>
      </c>
      <c r="AA267" s="217">
        <f t="shared" si="739"/>
        <v>10.096739442118803</v>
      </c>
      <c r="AB267" s="173">
        <f t="shared" si="740"/>
        <v>1.6682303184118747</v>
      </c>
      <c r="AC267" s="173">
        <f t="shared" si="741"/>
        <v>2.9476451995283277</v>
      </c>
      <c r="AD267" s="173"/>
      <c r="AE267" s="173">
        <f t="shared" si="742"/>
        <v>0.55074885906659121</v>
      </c>
      <c r="AF267" s="545">
        <f t="shared" si="743"/>
        <v>1389.0178570619671</v>
      </c>
      <c r="AG267" s="528">
        <f t="shared" si="744"/>
        <v>0.32127016778884493</v>
      </c>
      <c r="AI267" s="173">
        <f t="shared" si="745"/>
        <v>6.6404672264904816</v>
      </c>
      <c r="AJ267" s="173">
        <f t="shared" si="746"/>
        <v>6.6404672264904816</v>
      </c>
      <c r="AK267" s="173">
        <f t="shared" si="747"/>
        <v>3.6497288097460361</v>
      </c>
      <c r="AM267" s="545">
        <f t="shared" si="748"/>
        <v>1275</v>
      </c>
      <c r="AN267" s="460">
        <f t="shared" si="749"/>
        <v>350</v>
      </c>
      <c r="AP267">
        <f t="shared" si="750"/>
        <v>1275</v>
      </c>
      <c r="AQ267">
        <f t="shared" si="751"/>
        <v>350</v>
      </c>
      <c r="AS267" s="5">
        <f t="shared" si="761"/>
        <v>2.8571428571428572</v>
      </c>
      <c r="AT267" s="5">
        <f t="shared" si="752"/>
        <v>0.78192913602115599</v>
      </c>
      <c r="AU267" s="5">
        <f t="shared" si="721"/>
        <v>2.0752137211217012</v>
      </c>
      <c r="AV267" s="5"/>
      <c r="AW267" s="173">
        <f t="shared" si="722"/>
        <v>0.27367519760740461</v>
      </c>
      <c r="AX267" s="173">
        <f t="shared" si="630"/>
        <v>36.268799601062469</v>
      </c>
      <c r="AY267" s="173">
        <f t="shared" si="631"/>
        <v>2.4115680230376029</v>
      </c>
      <c r="AZ267" s="173">
        <f t="shared" si="632"/>
        <v>15.039509254803608</v>
      </c>
      <c r="BA267" s="460">
        <f t="shared" si="723"/>
        <v>3.560570172953478</v>
      </c>
      <c r="BB267" s="5">
        <f t="shared" si="724"/>
        <v>1.3257874728971564</v>
      </c>
      <c r="BD267" s="173">
        <f t="shared" si="679"/>
        <v>2.0056526903751228</v>
      </c>
      <c r="BE267" s="173">
        <f t="shared" si="680"/>
        <v>3.2674085982047654</v>
      </c>
      <c r="BG267" s="528">
        <f t="shared" si="681"/>
        <v>4.8271712572907625E-2</v>
      </c>
      <c r="BH267" s="528">
        <f t="shared" si="753"/>
        <v>2.8995766660523898</v>
      </c>
      <c r="BI267" s="528">
        <f t="shared" si="682"/>
        <v>4.0250000000000001E-2</v>
      </c>
      <c r="BJ267" s="528">
        <f t="shared" si="683"/>
        <v>0.80553491656346332</v>
      </c>
      <c r="BK267">
        <f t="shared" si="684"/>
        <v>1.7961459085017874E-2</v>
      </c>
      <c r="BL267" s="460">
        <f t="shared" si="685"/>
        <v>58.211459085017871</v>
      </c>
      <c r="BM267" s="528">
        <f t="shared" si="754"/>
        <v>3.8101162483139808</v>
      </c>
      <c r="BN267" s="460">
        <f t="shared" si="686"/>
        <v>3810.1162483139806</v>
      </c>
      <c r="BO267" s="528">
        <f t="shared" si="635"/>
        <v>0.89249999999999985</v>
      </c>
      <c r="BR267" s="460">
        <f t="shared" si="687"/>
        <v>892.49999999999989</v>
      </c>
      <c r="BS267" s="528">
        <f t="shared" si="688"/>
        <v>5.6316998001725564E-2</v>
      </c>
      <c r="BT267" s="528">
        <f t="shared" si="689"/>
        <v>0.14946342526671402</v>
      </c>
      <c r="BU267" s="528">
        <f t="shared" si="690"/>
        <v>13.02077124991602</v>
      </c>
      <c r="BV267" s="528"/>
      <c r="BW267" s="528">
        <f t="shared" si="691"/>
        <v>1.5433531745132967</v>
      </c>
      <c r="BX267" s="460">
        <f t="shared" si="692"/>
        <v>14769.904847697755</v>
      </c>
      <c r="BY267" s="173">
        <f t="shared" si="693"/>
        <v>19.473999601971535</v>
      </c>
      <c r="BZ267" s="5">
        <f t="shared" si="694"/>
        <v>35.699999999999996</v>
      </c>
      <c r="CA267" s="173">
        <f t="shared" si="695"/>
        <v>0.6470439021557598</v>
      </c>
      <c r="CB267" s="5">
        <f t="shared" si="696"/>
        <v>64.704390215575984</v>
      </c>
      <c r="CE267" s="562">
        <f t="shared" si="755"/>
        <v>-50</v>
      </c>
      <c r="CF267">
        <f t="shared" si="756"/>
        <v>-50</v>
      </c>
      <c r="CG267" s="173">
        <f t="shared" si="757"/>
        <v>0.38705619747008313</v>
      </c>
      <c r="CI267" s="170">
        <v>51</v>
      </c>
      <c r="CJ267" s="217">
        <f t="shared" si="697"/>
        <v>1.2749999999999999</v>
      </c>
      <c r="CK267" s="217"/>
      <c r="CL267" s="217">
        <f t="shared" si="639"/>
        <v>35.699999999999996</v>
      </c>
      <c r="CM267" s="541">
        <f t="shared" si="640"/>
        <v>40</v>
      </c>
      <c r="CN267" s="443">
        <f t="shared" si="641"/>
        <v>28.4</v>
      </c>
      <c r="CO267" s="443">
        <f t="shared" si="642"/>
        <v>68.400000000000006</v>
      </c>
      <c r="CP267" s="443"/>
      <c r="CQ267" s="217">
        <f t="shared" si="643"/>
        <v>0.41520467836257302</v>
      </c>
      <c r="CR267" s="172">
        <f t="shared" si="644"/>
        <v>140.52175355646798</v>
      </c>
      <c r="CS267" s="172">
        <f t="shared" si="645"/>
        <v>35.699999999999996</v>
      </c>
      <c r="CT267" s="217">
        <f t="shared" si="646"/>
        <v>5.0186340555881426</v>
      </c>
      <c r="CU267" s="217">
        <f t="shared" si="647"/>
        <v>28</v>
      </c>
      <c r="CV267" s="217"/>
      <c r="CW267" s="172">
        <f t="shared" si="648"/>
        <v>221.51000979587906</v>
      </c>
      <c r="CX267" s="172">
        <f t="shared" si="649"/>
        <v>28</v>
      </c>
      <c r="CY267" s="217">
        <f t="shared" si="650"/>
        <v>4.2990845070422541</v>
      </c>
      <c r="CZ267" s="217">
        <f t="shared" si="651"/>
        <v>0.5051424295774648</v>
      </c>
      <c r="DA267" s="217">
        <f t="shared" si="652"/>
        <v>0.71146821067248567</v>
      </c>
      <c r="DB267" s="197">
        <f t="shared" si="653"/>
        <v>350</v>
      </c>
      <c r="DC267" s="443">
        <f t="shared" si="654"/>
        <v>350</v>
      </c>
      <c r="DE267" s="217">
        <f t="shared" si="655"/>
        <v>10.09616239179509</v>
      </c>
      <c r="DF267" s="173">
        <f t="shared" si="656"/>
        <v>1.6708437761069339</v>
      </c>
      <c r="DG267" s="173">
        <f t="shared" si="657"/>
        <v>2.9520942666067511</v>
      </c>
      <c r="DH267" s="173"/>
      <c r="DI267" s="173">
        <f t="shared" si="658"/>
        <v>0.55164319248826299</v>
      </c>
      <c r="DJ267" s="545">
        <f t="shared" si="659"/>
        <v>1386.7659574468082</v>
      </c>
      <c r="DK267" s="528">
        <f t="shared" si="660"/>
        <v>0.3217918622848201</v>
      </c>
      <c r="DM267" s="173">
        <f t="shared" si="661"/>
        <v>6.635082223260123</v>
      </c>
      <c r="DN267" s="173">
        <f t="shared" si="662"/>
        <v>6.635082223260123</v>
      </c>
      <c r="DO267" s="173">
        <f t="shared" si="663"/>
        <v>3.6457399184642885</v>
      </c>
      <c r="DQ267" s="545">
        <f t="shared" si="664"/>
        <v>1275</v>
      </c>
      <c r="DR267" s="460">
        <f t="shared" si="665"/>
        <v>350</v>
      </c>
      <c r="DT267">
        <f t="shared" si="666"/>
        <v>1275</v>
      </c>
      <c r="DU267">
        <f t="shared" si="667"/>
        <v>350</v>
      </c>
      <c r="DW267" s="5">
        <f t="shared" si="668"/>
        <v>2.8571428571428572</v>
      </c>
      <c r="DX267" s="5">
        <f t="shared" si="669"/>
        <v>0.77962216123306438</v>
      </c>
      <c r="DY267" s="5">
        <f t="shared" si="670"/>
        <v>2.0775206959097927</v>
      </c>
      <c r="DZ267" s="5"/>
      <c r="EA267" s="173">
        <f t="shared" si="671"/>
        <v>0.27286775643157252</v>
      </c>
      <c r="EB267" s="173">
        <f t="shared" si="698"/>
        <v>36.21</v>
      </c>
      <c r="EC267" s="173">
        <f t="shared" si="699"/>
        <v>2.4122911116300618</v>
      </c>
      <c r="ED267" s="173">
        <f t="shared" si="700"/>
        <v>15.010626132735593</v>
      </c>
      <c r="EE267" s="460">
        <f t="shared" si="672"/>
        <v>3.5500651984719895</v>
      </c>
      <c r="EF267" s="5">
        <f t="shared" si="673"/>
        <v>1.3244194436424925</v>
      </c>
      <c r="EH267" s="173">
        <f t="shared" si="701"/>
        <v>2.0010677454143035</v>
      </c>
      <c r="EI267" s="173">
        <f t="shared" si="702"/>
        <v>3.2665731148616102</v>
      </c>
      <c r="EK267" s="528">
        <f t="shared" si="703"/>
        <v>4.8051265460849812E-2</v>
      </c>
      <c r="EL267" s="528">
        <f t="shared" si="704"/>
        <v>3.0180335000720997</v>
      </c>
      <c r="EM267" s="528">
        <f t="shared" si="705"/>
        <v>4.0250000000000001E-2</v>
      </c>
      <c r="EN267" s="528">
        <f t="shared" si="706"/>
        <v>0.80646678000000016</v>
      </c>
      <c r="EO267">
        <f t="shared" si="707"/>
        <v>1.7999999999999999E-2</v>
      </c>
      <c r="EP267" s="460">
        <f t="shared" si="708"/>
        <v>58.249999999999993</v>
      </c>
      <c r="EQ267" s="460"/>
      <c r="ER267" s="460">
        <f t="shared" si="709"/>
        <v>3930.8015455329491</v>
      </c>
      <c r="ES267" s="528">
        <f t="shared" si="710"/>
        <v>0.89249999999999985</v>
      </c>
      <c r="EV267" s="460">
        <f t="shared" si="711"/>
        <v>892.49999999999989</v>
      </c>
      <c r="EW267" s="528">
        <f t="shared" si="712"/>
        <v>5.6059809704324781E-2</v>
      </c>
      <c r="EX267" s="528">
        <f t="shared" si="713"/>
        <v>0.14938699880631356</v>
      </c>
      <c r="EY267" s="528">
        <f t="shared" si="714"/>
        <v>12.994389726859245</v>
      </c>
      <c r="EZ267" s="528"/>
      <c r="FA267" s="528">
        <f t="shared" si="715"/>
        <v>1.5408510638297872</v>
      </c>
      <c r="FB267" s="460">
        <f t="shared" si="716"/>
        <v>14740.687599199671</v>
      </c>
      <c r="FC267" s="173">
        <f t="shared" si="717"/>
        <v>19.56398914473262</v>
      </c>
      <c r="FD267" s="5">
        <f t="shared" si="718"/>
        <v>35.699999999999996</v>
      </c>
      <c r="FE267" s="173">
        <f t="shared" si="719"/>
        <v>0.645990283229539</v>
      </c>
      <c r="FF267" s="5">
        <f t="shared" si="720"/>
        <v>64.599028322953899</v>
      </c>
      <c r="FI267" s="562">
        <f t="shared" si="674"/>
        <v>-50</v>
      </c>
      <c r="FJ267">
        <f t="shared" si="675"/>
        <v>-50</v>
      </c>
      <c r="FL267">
        <f t="shared" si="758"/>
        <v>0.38432078370644024</v>
      </c>
    </row>
    <row r="268" spans="5:168">
      <c r="E268" s="170">
        <v>52</v>
      </c>
      <c r="F268" s="217">
        <f t="shared" si="759"/>
        <v>1.3</v>
      </c>
      <c r="G268" s="217"/>
      <c r="H268" s="217">
        <f t="shared" si="725"/>
        <v>36.4</v>
      </c>
      <c r="I268" s="541">
        <f t="shared" si="726"/>
        <v>39.91351792708214</v>
      </c>
      <c r="J268" s="172">
        <f t="shared" si="727"/>
        <v>28.446567270032691</v>
      </c>
      <c r="K268" s="172">
        <f t="shared" si="728"/>
        <v>68.360085197114827</v>
      </c>
      <c r="L268" s="443"/>
      <c r="M268" s="217">
        <f t="shared" si="729"/>
        <v>0.41613114886755354</v>
      </c>
      <c r="N268" s="172">
        <f t="shared" si="730"/>
        <v>140.53081473701039</v>
      </c>
      <c r="O268" s="172">
        <f t="shared" si="760"/>
        <v>36.4</v>
      </c>
      <c r="P268" s="217">
        <f t="shared" si="731"/>
        <v>5.0189576691789428</v>
      </c>
      <c r="Q268" s="217">
        <f t="shared" si="732"/>
        <v>28</v>
      </c>
      <c r="R268" s="217"/>
      <c r="S268" s="172">
        <f t="shared" si="733"/>
        <v>216.01613801681538</v>
      </c>
      <c r="T268" s="172">
        <f t="shared" si="734"/>
        <v>28</v>
      </c>
      <c r="U268" s="217">
        <f t="shared" si="735"/>
        <v>4.3830976490149318</v>
      </c>
      <c r="V268" s="217">
        <f t="shared" si="736"/>
        <v>0.516129873292684</v>
      </c>
      <c r="W268" s="217">
        <f t="shared" si="737"/>
        <v>0.72418435429543149</v>
      </c>
      <c r="X268" s="197">
        <f t="shared" si="738"/>
        <v>350</v>
      </c>
      <c r="Y268" s="443">
        <f t="shared" si="678"/>
        <v>350</v>
      </c>
      <c r="AA268" s="217">
        <f t="shared" si="739"/>
        <v>10.096744729273036</v>
      </c>
      <c r="AB268" s="173">
        <f t="shared" si="740"/>
        <v>1.6682048057719385</v>
      </c>
      <c r="AC268" s="173">
        <f t="shared" si="741"/>
        <v>2.9476016640045097</v>
      </c>
      <c r="AD268" s="173"/>
      <c r="AE268" s="173">
        <f t="shared" si="742"/>
        <v>0.55074014793942705</v>
      </c>
      <c r="AF268" s="545">
        <f t="shared" si="743"/>
        <v>1416.275902380351</v>
      </c>
      <c r="AG268" s="528">
        <f t="shared" si="744"/>
        <v>0.32126508629799905</v>
      </c>
      <c r="AI268" s="173">
        <f t="shared" si="745"/>
        <v>6.7053068354927934</v>
      </c>
      <c r="AJ268" s="173">
        <f t="shared" si="746"/>
        <v>6.7053068354927934</v>
      </c>
      <c r="AK268" s="173">
        <f t="shared" si="747"/>
        <v>3.6977581497477479</v>
      </c>
      <c r="AM268" s="545">
        <f t="shared" si="748"/>
        <v>1300</v>
      </c>
      <c r="AN268" s="460">
        <f t="shared" si="749"/>
        <v>350</v>
      </c>
      <c r="AP268">
        <f t="shared" si="750"/>
        <v>1300</v>
      </c>
      <c r="AQ268">
        <f t="shared" si="751"/>
        <v>350</v>
      </c>
      <c r="AS268" s="5">
        <f t="shared" si="761"/>
        <v>2.8571428571428572</v>
      </c>
      <c r="AT268" s="5">
        <f t="shared" si="752"/>
        <v>0.78958066749191735</v>
      </c>
      <c r="AU268" s="5">
        <f t="shared" si="721"/>
        <v>2.06756218965094</v>
      </c>
      <c r="AV268" s="5"/>
      <c r="AW268" s="173">
        <f t="shared" si="722"/>
        <v>0.27635323362217107</v>
      </c>
      <c r="AX268" s="173">
        <f t="shared" si="630"/>
        <v>36.980537451042494</v>
      </c>
      <c r="AY268" s="173">
        <f t="shared" si="631"/>
        <v>2.4261368045377565</v>
      </c>
      <c r="AZ268" s="173">
        <f t="shared" si="632"/>
        <v>15.242560675834712</v>
      </c>
      <c r="BA268" s="460">
        <f t="shared" si="723"/>
        <v>3.6659102419267597</v>
      </c>
      <c r="BB268" s="5">
        <f t="shared" si="724"/>
        <v>1.3468273337652723</v>
      </c>
      <c r="BD268" s="173">
        <f t="shared" si="679"/>
        <v>2.0351213198473004</v>
      </c>
      <c r="BE268" s="173">
        <f t="shared" si="680"/>
        <v>3.2932245291717419</v>
      </c>
      <c r="BG268" s="528">
        <f t="shared" si="681"/>
        <v>4.9700625437964212E-2</v>
      </c>
      <c r="BH268" s="528">
        <f t="shared" si="753"/>
        <v>2.927872526069498</v>
      </c>
      <c r="BI268" s="528">
        <f t="shared" si="682"/>
        <v>4.0250000000000001E-2</v>
      </c>
      <c r="BJ268" s="528">
        <f t="shared" si="683"/>
        <v>0.80552582765102809</v>
      </c>
      <c r="BK268">
        <f t="shared" si="684"/>
        <v>1.7961083067186964E-2</v>
      </c>
      <c r="BL268" s="460">
        <f t="shared" si="685"/>
        <v>58.211083067186962</v>
      </c>
      <c r="BM268" s="528">
        <f t="shared" si="754"/>
        <v>3.8418864806686726</v>
      </c>
      <c r="BN268" s="460">
        <f t="shared" si="686"/>
        <v>3841.8864806686724</v>
      </c>
      <c r="BO268" s="528">
        <f t="shared" si="635"/>
        <v>0.90999999999999992</v>
      </c>
      <c r="BR268" s="460">
        <f t="shared" si="687"/>
        <v>909.99999999999989</v>
      </c>
      <c r="BS268" s="528">
        <f t="shared" si="688"/>
        <v>5.7984063010958251E-2</v>
      </c>
      <c r="BT268" s="528">
        <f t="shared" si="689"/>
        <v>0.15183458919353818</v>
      </c>
      <c r="BU268" s="528">
        <f t="shared" si="690"/>
        <v>13.340949960517252</v>
      </c>
      <c r="BV268" s="528"/>
      <c r="BW268" s="528">
        <f t="shared" si="691"/>
        <v>1.5736398915337233</v>
      </c>
      <c r="BX268" s="460">
        <f t="shared" si="692"/>
        <v>15124.408504255473</v>
      </c>
      <c r="BY268" s="173">
        <f t="shared" si="693"/>
        <v>19.875718566481147</v>
      </c>
      <c r="BZ268" s="5">
        <f t="shared" si="694"/>
        <v>36.4</v>
      </c>
      <c r="CA268" s="173">
        <f t="shared" si="695"/>
        <v>0.64681537485832319</v>
      </c>
      <c r="CB268" s="5">
        <f t="shared" si="696"/>
        <v>64.681537485832322</v>
      </c>
      <c r="CE268" s="562">
        <f t="shared" si="755"/>
        <v>-50</v>
      </c>
      <c r="CF268">
        <f t="shared" si="756"/>
        <v>-50</v>
      </c>
      <c r="CG268" s="173">
        <f t="shared" si="757"/>
        <v>0.39083244491725605</v>
      </c>
      <c r="CI268" s="170">
        <v>52</v>
      </c>
      <c r="CJ268" s="217">
        <f t="shared" si="697"/>
        <v>1.3</v>
      </c>
      <c r="CK268" s="217"/>
      <c r="CL268" s="217">
        <f t="shared" si="639"/>
        <v>36.4</v>
      </c>
      <c r="CM268" s="541">
        <f t="shared" si="640"/>
        <v>40</v>
      </c>
      <c r="CN268" s="443">
        <f t="shared" si="641"/>
        <v>28.4</v>
      </c>
      <c r="CO268" s="443">
        <f t="shared" si="642"/>
        <v>68.400000000000006</v>
      </c>
      <c r="CP268" s="443"/>
      <c r="CQ268" s="217">
        <f t="shared" si="643"/>
        <v>0.41520467836257302</v>
      </c>
      <c r="CR268" s="172">
        <f t="shared" si="644"/>
        <v>140.52175355646798</v>
      </c>
      <c r="CS268" s="172">
        <f t="shared" si="645"/>
        <v>36.4</v>
      </c>
      <c r="CT268" s="217">
        <f t="shared" si="646"/>
        <v>5.0186340555881426</v>
      </c>
      <c r="CU268" s="217">
        <f t="shared" si="647"/>
        <v>28</v>
      </c>
      <c r="CV268" s="217"/>
      <c r="CW268" s="172">
        <f t="shared" si="648"/>
        <v>216.4840285552437</v>
      </c>
      <c r="CX268" s="172">
        <f t="shared" si="649"/>
        <v>28</v>
      </c>
      <c r="CY268" s="217">
        <f t="shared" si="650"/>
        <v>4.3833802816901422</v>
      </c>
      <c r="CZ268" s="217">
        <f t="shared" si="651"/>
        <v>0.51504718309859177</v>
      </c>
      <c r="DA268" s="217">
        <f t="shared" si="652"/>
        <v>0.72541856774449542</v>
      </c>
      <c r="DB268" s="197">
        <f t="shared" si="653"/>
        <v>350</v>
      </c>
      <c r="DC268" s="443">
        <f t="shared" si="654"/>
        <v>350</v>
      </c>
      <c r="DE268" s="217">
        <f t="shared" si="655"/>
        <v>10.09616239179509</v>
      </c>
      <c r="DF268" s="173">
        <f t="shared" si="656"/>
        <v>1.6708437761069339</v>
      </c>
      <c r="DG268" s="173">
        <f t="shared" si="657"/>
        <v>2.9520942666067511</v>
      </c>
      <c r="DH268" s="173"/>
      <c r="DI268" s="173">
        <f t="shared" si="658"/>
        <v>0.55164319248826299</v>
      </c>
      <c r="DJ268" s="545">
        <f t="shared" si="659"/>
        <v>1413.9574468085104</v>
      </c>
      <c r="DK268" s="528">
        <f t="shared" si="660"/>
        <v>0.3217918622848201</v>
      </c>
      <c r="DM268" s="173">
        <f t="shared" si="661"/>
        <v>6.6998162656837819</v>
      </c>
      <c r="DN268" s="173">
        <f t="shared" si="662"/>
        <v>6.6998162656837819</v>
      </c>
      <c r="DO268" s="173">
        <f t="shared" si="663"/>
        <v>3.6936910610003322</v>
      </c>
      <c r="DQ268" s="545">
        <f t="shared" si="664"/>
        <v>1300</v>
      </c>
      <c r="DR268" s="460">
        <f t="shared" si="665"/>
        <v>350</v>
      </c>
      <c r="DT268">
        <f t="shared" si="666"/>
        <v>1300</v>
      </c>
      <c r="DU268">
        <f t="shared" si="667"/>
        <v>350</v>
      </c>
      <c r="DW268" s="5">
        <f t="shared" si="668"/>
        <v>2.8571428571428572</v>
      </c>
      <c r="DX268" s="5">
        <f t="shared" si="669"/>
        <v>0.78722841121784437</v>
      </c>
      <c r="DY268" s="5">
        <f t="shared" si="670"/>
        <v>2.0699144459250127</v>
      </c>
      <c r="DZ268" s="5"/>
      <c r="EA268" s="173">
        <f t="shared" si="671"/>
        <v>0.27552994392624552</v>
      </c>
      <c r="EB268" s="173">
        <f t="shared" si="698"/>
        <v>36.920000000000009</v>
      </c>
      <c r="EC268" s="173">
        <f t="shared" si="699"/>
        <v>2.4269081328418909</v>
      </c>
      <c r="ED268" s="173">
        <f t="shared" si="700"/>
        <v>15.212771962969596</v>
      </c>
      <c r="EE268" s="460">
        <f t="shared" si="672"/>
        <v>3.6549890520828487</v>
      </c>
      <c r="EF268" s="5">
        <f t="shared" si="673"/>
        <v>1.345444389851258</v>
      </c>
      <c r="EH268" s="173">
        <f t="shared" si="701"/>
        <v>2.0304236689627331</v>
      </c>
      <c r="EI268" s="173">
        <f t="shared" si="702"/>
        <v>3.2923991843572429</v>
      </c>
      <c r="EK268" s="528">
        <f t="shared" si="703"/>
        <v>4.9471443305809042E-2</v>
      </c>
      <c r="EL268" s="528">
        <f t="shared" si="704"/>
        <v>3.0474784266089254</v>
      </c>
      <c r="EM268" s="528">
        <f t="shared" si="705"/>
        <v>4.0250000000000001E-2</v>
      </c>
      <c r="EN268" s="528">
        <f t="shared" si="706"/>
        <v>0.80646678000000016</v>
      </c>
      <c r="EO268">
        <f t="shared" si="707"/>
        <v>1.7999999999999999E-2</v>
      </c>
      <c r="EP268" s="460">
        <f t="shared" si="708"/>
        <v>58.249999999999993</v>
      </c>
      <c r="EQ268" s="460"/>
      <c r="ER268" s="460">
        <f t="shared" si="709"/>
        <v>3961.6666499147341</v>
      </c>
      <c r="ES268" s="528">
        <f t="shared" si="710"/>
        <v>0.90999999999999992</v>
      </c>
      <c r="EV268" s="460">
        <f t="shared" si="711"/>
        <v>909.99999999999989</v>
      </c>
      <c r="EW268" s="528">
        <f t="shared" si="712"/>
        <v>5.7716683856777216E-2</v>
      </c>
      <c r="EX268" s="528">
        <f t="shared" si="713"/>
        <v>0.15175849344818734</v>
      </c>
      <c r="EY268" s="528">
        <f t="shared" si="714"/>
        <v>13.313656489697086</v>
      </c>
      <c r="EZ268" s="528"/>
      <c r="FA268" s="528">
        <f t="shared" si="715"/>
        <v>1.5710638297872344</v>
      </c>
      <c r="FB268" s="460">
        <f t="shared" si="716"/>
        <v>15094.195496789287</v>
      </c>
      <c r="FC268" s="173">
        <f t="shared" si="717"/>
        <v>19.965862146704019</v>
      </c>
      <c r="FD268" s="5">
        <f t="shared" si="718"/>
        <v>36.4</v>
      </c>
      <c r="FE268" s="173">
        <f t="shared" si="719"/>
        <v>0.6457809499171917</v>
      </c>
      <c r="FF268" s="5">
        <f t="shared" si="720"/>
        <v>64.578094991719169</v>
      </c>
      <c r="FI268" s="562">
        <f t="shared" si="674"/>
        <v>-50</v>
      </c>
      <c r="FJ268">
        <f t="shared" si="675"/>
        <v>-50</v>
      </c>
      <c r="FL268">
        <f t="shared" si="758"/>
        <v>0.38807034355809233</v>
      </c>
    </row>
    <row r="269" spans="5:168">
      <c r="E269" s="170">
        <v>53</v>
      </c>
      <c r="F269" s="217">
        <f t="shared" si="759"/>
        <v>1.3250000000000002</v>
      </c>
      <c r="G269" s="217"/>
      <c r="H269" s="217">
        <f t="shared" si="725"/>
        <v>37.100000000000009</v>
      </c>
      <c r="I269" s="541">
        <f t="shared" si="726"/>
        <v>39.912690328580368</v>
      </c>
      <c r="J269" s="172">
        <f t="shared" si="727"/>
        <v>28.447012899995187</v>
      </c>
      <c r="K269" s="172">
        <f t="shared" si="728"/>
        <v>68.359703228575555</v>
      </c>
      <c r="L269" s="443"/>
      <c r="M269" s="217">
        <f t="shared" si="729"/>
        <v>0.41614001999890893</v>
      </c>
      <c r="N269" s="172">
        <f t="shared" si="730"/>
        <v>140.53089664960294</v>
      </c>
      <c r="O269" s="172">
        <f t="shared" si="760"/>
        <v>37.100000000000009</v>
      </c>
      <c r="P269" s="217">
        <f t="shared" si="731"/>
        <v>5.0189605946286759</v>
      </c>
      <c r="Q269" s="217">
        <f t="shared" si="732"/>
        <v>28</v>
      </c>
      <c r="R269" s="217"/>
      <c r="S269" s="172">
        <f t="shared" si="733"/>
        <v>211.18597360688787</v>
      </c>
      <c r="T269" s="172">
        <f t="shared" si="734"/>
        <v>28</v>
      </c>
      <c r="U269" s="217">
        <f t="shared" si="735"/>
        <v>4.4673853844697522</v>
      </c>
      <c r="V269" s="217">
        <f t="shared" si="736"/>
        <v>0.5260660490223249</v>
      </c>
      <c r="W269" s="217">
        <f t="shared" si="737"/>
        <v>0.73809898356714243</v>
      </c>
      <c r="X269" s="197">
        <f t="shared" si="738"/>
        <v>350</v>
      </c>
      <c r="Y269" s="443">
        <f t="shared" si="678"/>
        <v>350</v>
      </c>
      <c r="AA269" s="217">
        <f t="shared" si="739"/>
        <v>10.096749959296805</v>
      </c>
      <c r="AB269" s="173">
        <f t="shared" si="740"/>
        <v>1.6681795370052019</v>
      </c>
      <c r="AC269" s="173">
        <f t="shared" si="741"/>
        <v>2.9475585426624815</v>
      </c>
      <c r="AD269" s="173"/>
      <c r="AE269" s="173">
        <f t="shared" si="742"/>
        <v>0.55073152044970308</v>
      </c>
      <c r="AF269" s="545">
        <f t="shared" si="743"/>
        <v>1443.5345907763515</v>
      </c>
      <c r="AG269" s="528">
        <f t="shared" si="744"/>
        <v>0.32126005359566018</v>
      </c>
      <c r="AI269" s="173">
        <f t="shared" si="745"/>
        <v>6.7695269365946835</v>
      </c>
      <c r="AJ269" s="173">
        <f t="shared" si="746"/>
        <v>6.7695269365946835</v>
      </c>
      <c r="AK269" s="173">
        <f t="shared" si="747"/>
        <v>3.7453285950084076</v>
      </c>
      <c r="AM269" s="545">
        <f t="shared" si="748"/>
        <v>1325.0000000000002</v>
      </c>
      <c r="AN269" s="460">
        <f t="shared" si="749"/>
        <v>350</v>
      </c>
      <c r="AP269">
        <f t="shared" si="750"/>
        <v>1325.0000000000002</v>
      </c>
      <c r="AQ269">
        <f t="shared" si="751"/>
        <v>350</v>
      </c>
      <c r="AS269" s="5">
        <f t="shared" si="761"/>
        <v>2.8571428571428572</v>
      </c>
      <c r="AT269" s="5">
        <f t="shared" si="752"/>
        <v>0.79715940819985032</v>
      </c>
      <c r="AU269" s="5">
        <f t="shared" si="721"/>
        <v>2.0599834489430071</v>
      </c>
      <c r="AV269" s="5"/>
      <c r="AW269" s="173">
        <f t="shared" si="722"/>
        <v>0.27900579286994759</v>
      </c>
      <c r="AX269" s="173">
        <f t="shared" si="630"/>
        <v>37.692292092493616</v>
      </c>
      <c r="AY269" s="173">
        <f t="shared" si="631"/>
        <v>2.4403948531478079</v>
      </c>
      <c r="AZ269" s="173">
        <f t="shared" si="632"/>
        <v>15.44516127948525</v>
      </c>
      <c r="BA269" s="460">
        <f t="shared" si="723"/>
        <v>3.7722721995171491</v>
      </c>
      <c r="BB269" s="5">
        <f t="shared" si="724"/>
        <v>1.3677244241764286</v>
      </c>
      <c r="BD269" s="173">
        <f t="shared" si="679"/>
        <v>2.0644496891148152</v>
      </c>
      <c r="BE269" s="173">
        <f t="shared" si="680"/>
        <v>3.3186662676755265</v>
      </c>
      <c r="BG269" s="528">
        <f t="shared" si="681"/>
        <v>5.1143430226635089E-2</v>
      </c>
      <c r="BH269" s="528">
        <f t="shared" si="753"/>
        <v>2.9558977195993559</v>
      </c>
      <c r="BI269" s="528">
        <f t="shared" si="682"/>
        <v>4.0250000000000001E-2</v>
      </c>
      <c r="BJ269" s="528">
        <f t="shared" si="683"/>
        <v>0.80551682577037675</v>
      </c>
      <c r="BK269">
        <f t="shared" si="684"/>
        <v>1.7960710647861165E-2</v>
      </c>
      <c r="BL269" s="460">
        <f t="shared" si="685"/>
        <v>58.21071064786117</v>
      </c>
      <c r="BM269" s="528">
        <f t="shared" si="754"/>
        <v>3.8734354460093154</v>
      </c>
      <c r="BN269" s="460">
        <f t="shared" si="686"/>
        <v>3873.4354460093155</v>
      </c>
      <c r="BO269" s="528">
        <f t="shared" si="635"/>
        <v>0.9275000000000001</v>
      </c>
      <c r="BR269" s="460">
        <f t="shared" si="687"/>
        <v>927.50000000000011</v>
      </c>
      <c r="BS269" s="528">
        <f t="shared" si="688"/>
        <v>5.9667335264407609E-2</v>
      </c>
      <c r="BT269" s="528">
        <f t="shared" si="689"/>
        <v>0.15418964114690376</v>
      </c>
      <c r="BU269" s="528">
        <f t="shared" si="690"/>
        <v>13.662680637601959</v>
      </c>
      <c r="BV269" s="528"/>
      <c r="BW269" s="528">
        <f t="shared" si="691"/>
        <v>1.6039273230848352</v>
      </c>
      <c r="BX269" s="460">
        <f t="shared" si="692"/>
        <v>15480.464937098106</v>
      </c>
      <c r="BY269" s="173">
        <f t="shared" si="693"/>
        <v>20.278733623342337</v>
      </c>
      <c r="BZ269" s="5">
        <f t="shared" si="694"/>
        <v>37.100000000000009</v>
      </c>
      <c r="CA269" s="173">
        <f t="shared" si="695"/>
        <v>0.64658101803953538</v>
      </c>
      <c r="CB269" s="5">
        <f t="shared" si="696"/>
        <v>64.658101803953542</v>
      </c>
      <c r="CE269" s="562">
        <f t="shared" si="755"/>
        <v>-50</v>
      </c>
      <c r="CF269">
        <f t="shared" si="756"/>
        <v>-50</v>
      </c>
      <c r="CG269" s="173">
        <f t="shared" si="757"/>
        <v>0.39457255353103315</v>
      </c>
      <c r="CI269" s="170">
        <v>53</v>
      </c>
      <c r="CJ269" s="217">
        <f t="shared" si="697"/>
        <v>1.3250000000000002</v>
      </c>
      <c r="CK269" s="217"/>
      <c r="CL269" s="217">
        <f t="shared" si="639"/>
        <v>37.100000000000009</v>
      </c>
      <c r="CM269" s="541">
        <f t="shared" si="640"/>
        <v>40</v>
      </c>
      <c r="CN269" s="443">
        <f t="shared" si="641"/>
        <v>28.4</v>
      </c>
      <c r="CO269" s="443">
        <f t="shared" si="642"/>
        <v>68.400000000000006</v>
      </c>
      <c r="CP269" s="443"/>
      <c r="CQ269" s="217">
        <f t="shared" si="643"/>
        <v>0.41520467836257302</v>
      </c>
      <c r="CR269" s="172">
        <f t="shared" si="644"/>
        <v>140.52175355646798</v>
      </c>
      <c r="CS269" s="172">
        <f t="shared" si="645"/>
        <v>37.100000000000009</v>
      </c>
      <c r="CT269" s="217">
        <f t="shared" si="646"/>
        <v>5.0186340555881426</v>
      </c>
      <c r="CU269" s="217">
        <f t="shared" si="647"/>
        <v>28</v>
      </c>
      <c r="CV269" s="217"/>
      <c r="CW269" s="172">
        <f t="shared" si="648"/>
        <v>211.64778173574143</v>
      </c>
      <c r="CX269" s="172">
        <f t="shared" si="649"/>
        <v>28</v>
      </c>
      <c r="CY269" s="217">
        <f t="shared" si="650"/>
        <v>4.4676760563380302</v>
      </c>
      <c r="CZ269" s="217">
        <f t="shared" si="651"/>
        <v>0.52495193661971851</v>
      </c>
      <c r="DA269" s="217">
        <f t="shared" si="652"/>
        <v>0.73936892481650507</v>
      </c>
      <c r="DB269" s="197">
        <f t="shared" si="653"/>
        <v>350</v>
      </c>
      <c r="DC269" s="443">
        <f t="shared" si="654"/>
        <v>350</v>
      </c>
      <c r="DE269" s="217">
        <f t="shared" si="655"/>
        <v>10.09616239179509</v>
      </c>
      <c r="DF269" s="173">
        <f t="shared" si="656"/>
        <v>1.6708437761069339</v>
      </c>
      <c r="DG269" s="173">
        <f t="shared" si="657"/>
        <v>2.9520942666067511</v>
      </c>
      <c r="DH269" s="173"/>
      <c r="DI269" s="173">
        <f t="shared" si="658"/>
        <v>0.55164319248826299</v>
      </c>
      <c r="DJ269" s="545">
        <f t="shared" si="659"/>
        <v>1441.1489361702127</v>
      </c>
      <c r="DK269" s="528">
        <f t="shared" si="660"/>
        <v>0.3217918622848201</v>
      </c>
      <c r="DM269" s="173">
        <f t="shared" si="661"/>
        <v>6.7639308008301988</v>
      </c>
      <c r="DN269" s="173">
        <f t="shared" si="662"/>
        <v>6.7639308008301988</v>
      </c>
      <c r="DO269" s="173">
        <f t="shared" si="663"/>
        <v>3.7411833092569369</v>
      </c>
      <c r="DQ269" s="545">
        <f t="shared" si="664"/>
        <v>1325.0000000000002</v>
      </c>
      <c r="DR269" s="460">
        <f t="shared" si="665"/>
        <v>350</v>
      </c>
      <c r="DT269">
        <f t="shared" si="666"/>
        <v>1325.0000000000002</v>
      </c>
      <c r="DU269">
        <f t="shared" si="667"/>
        <v>350</v>
      </c>
      <c r="DW269" s="5">
        <f t="shared" si="668"/>
        <v>2.8571428571428572</v>
      </c>
      <c r="DX269" s="5">
        <f t="shared" si="669"/>
        <v>0.79476186909754831</v>
      </c>
      <c r="DY269" s="5">
        <f t="shared" si="670"/>
        <v>2.0623809880453088</v>
      </c>
      <c r="DZ269" s="5"/>
      <c r="EA269" s="173">
        <f t="shared" si="671"/>
        <v>0.27816665418414188</v>
      </c>
      <c r="EB269" s="173">
        <f t="shared" si="698"/>
        <v>37.629999999999995</v>
      </c>
      <c r="EC269" s="173">
        <f t="shared" si="699"/>
        <v>2.4412154004150994</v>
      </c>
      <c r="ED269" s="173">
        <f t="shared" si="700"/>
        <v>15.414452978463705</v>
      </c>
      <c r="EE269" s="460">
        <f t="shared" si="672"/>
        <v>3.7609267019794701</v>
      </c>
      <c r="EF269" s="5">
        <f t="shared" si="673"/>
        <v>1.3663274045800171</v>
      </c>
      <c r="EH269" s="173">
        <f t="shared" si="701"/>
        <v>2.0596387872441788</v>
      </c>
      <c r="EI269" s="173">
        <f t="shared" si="702"/>
        <v>3.317851919372806</v>
      </c>
      <c r="EK269" s="528">
        <f t="shared" si="703"/>
        <v>5.0905343207048065E-2</v>
      </c>
      <c r="EL269" s="528">
        <f t="shared" si="704"/>
        <v>3.0766415640656248</v>
      </c>
      <c r="EM269" s="528">
        <f t="shared" si="705"/>
        <v>4.0250000000000001E-2</v>
      </c>
      <c r="EN269" s="528">
        <f t="shared" si="706"/>
        <v>0.80646678000000016</v>
      </c>
      <c r="EO269">
        <f t="shared" si="707"/>
        <v>1.7999999999999999E-2</v>
      </c>
      <c r="EP269" s="460">
        <f t="shared" si="708"/>
        <v>58.249999999999993</v>
      </c>
      <c r="EQ269" s="460"/>
      <c r="ER269" s="460">
        <f t="shared" si="709"/>
        <v>3992.2636872726725</v>
      </c>
      <c r="ES269" s="528">
        <f t="shared" si="710"/>
        <v>0.9275000000000001</v>
      </c>
      <c r="EV269" s="460">
        <f t="shared" si="711"/>
        <v>927.50000000000011</v>
      </c>
      <c r="EW269" s="528">
        <f t="shared" si="712"/>
        <v>5.9389567074889404E-2</v>
      </c>
      <c r="EX269" s="528">
        <f t="shared" si="713"/>
        <v>0.15411397902440138</v>
      </c>
      <c r="EY269" s="528">
        <f t="shared" si="714"/>
        <v>13.634461967758515</v>
      </c>
      <c r="EZ269" s="528"/>
      <c r="FA269" s="528">
        <f t="shared" si="715"/>
        <v>1.6012765957446811</v>
      </c>
      <c r="FB269" s="460">
        <f t="shared" si="716"/>
        <v>15449.242109602486</v>
      </c>
      <c r="FC269" s="173">
        <f t="shared" si="717"/>
        <v>20.369005796875161</v>
      </c>
      <c r="FD269" s="5">
        <f t="shared" si="718"/>
        <v>37.100000000000009</v>
      </c>
      <c r="FE269" s="173">
        <f t="shared" si="719"/>
        <v>0.64556537016022808</v>
      </c>
      <c r="FF269" s="5">
        <f t="shared" si="720"/>
        <v>64.556537016022801</v>
      </c>
      <c r="FI269" s="562">
        <f t="shared" si="674"/>
        <v>-50</v>
      </c>
      <c r="FJ269">
        <f t="shared" si="675"/>
        <v>-50</v>
      </c>
      <c r="FL269">
        <f t="shared" si="758"/>
        <v>0.39178401997766471</v>
      </c>
    </row>
    <row r="270" spans="5:168">
      <c r="E270" s="170">
        <v>54</v>
      </c>
      <c r="F270" s="217">
        <f t="shared" si="759"/>
        <v>1.35</v>
      </c>
      <c r="G270" s="217"/>
      <c r="H270" s="217">
        <f t="shared" si="725"/>
        <v>37.800000000000004</v>
      </c>
      <c r="I270" s="541">
        <f t="shared" si="726"/>
        <v>39.911870501472897</v>
      </c>
      <c r="J270" s="172">
        <f t="shared" si="727"/>
        <v>28.447454345360747</v>
      </c>
      <c r="K270" s="172">
        <f t="shared" si="728"/>
        <v>68.359324846833644</v>
      </c>
      <c r="L270" s="443"/>
      <c r="M270" s="217">
        <f t="shared" si="729"/>
        <v>0.41614880792465514</v>
      </c>
      <c r="N270" s="172">
        <f t="shared" si="730"/>
        <v>140.53097770325368</v>
      </c>
      <c r="O270" s="172">
        <f t="shared" si="760"/>
        <v>37.800000000000004</v>
      </c>
      <c r="P270" s="217">
        <f t="shared" si="731"/>
        <v>5.0189634894019175</v>
      </c>
      <c r="Q270" s="217">
        <f t="shared" si="732"/>
        <v>28</v>
      </c>
      <c r="R270" s="217"/>
      <c r="S270" s="172">
        <f t="shared" si="733"/>
        <v>206.53484916435963</v>
      </c>
      <c r="T270" s="172">
        <f t="shared" si="734"/>
        <v>28</v>
      </c>
      <c r="U270" s="217">
        <f t="shared" si="735"/>
        <v>4.5516730494857836</v>
      </c>
      <c r="V270" s="217">
        <f t="shared" si="736"/>
        <v>0.53600252415615812</v>
      </c>
      <c r="W270" s="217">
        <f t="shared" si="737"/>
        <v>0.75201327587584166</v>
      </c>
      <c r="X270" s="197">
        <f t="shared" si="738"/>
        <v>350</v>
      </c>
      <c r="Y270" s="443">
        <f t="shared" si="678"/>
        <v>350</v>
      </c>
      <c r="AA270" s="217">
        <f t="shared" si="739"/>
        <v>10.096755133799491</v>
      </c>
      <c r="AB270" s="173">
        <f t="shared" si="740"/>
        <v>1.6681545052412254</v>
      </c>
      <c r="AC270" s="173">
        <f t="shared" si="741"/>
        <v>2.947515823833891</v>
      </c>
      <c r="AD270" s="173"/>
      <c r="AE270" s="173">
        <f t="shared" si="742"/>
        <v>0.55072297424115946</v>
      </c>
      <c r="AF270" s="545">
        <f t="shared" si="743"/>
        <v>1470.7939161537579</v>
      </c>
      <c r="AG270" s="528">
        <f t="shared" si="744"/>
        <v>0.32125506830734302</v>
      </c>
      <c r="AI270" s="173">
        <f t="shared" si="745"/>
        <v>6.8331449826626356</v>
      </c>
      <c r="AJ270" s="173">
        <f t="shared" si="746"/>
        <v>6.8331449826626356</v>
      </c>
      <c r="AK270" s="173">
        <f t="shared" si="747"/>
        <v>3.7924530735772608</v>
      </c>
      <c r="AM270" s="545">
        <f t="shared" si="748"/>
        <v>1350</v>
      </c>
      <c r="AN270" s="460">
        <f t="shared" si="749"/>
        <v>350</v>
      </c>
      <c r="AP270">
        <f t="shared" si="750"/>
        <v>1350</v>
      </c>
      <c r="AQ270">
        <f t="shared" si="751"/>
        <v>350</v>
      </c>
      <c r="AS270" s="5">
        <f t="shared" si="761"/>
        <v>2.8571428571428572</v>
      </c>
      <c r="AT270" s="5">
        <f t="shared" si="752"/>
        <v>0.80466740884342158</v>
      </c>
      <c r="AU270" s="5">
        <f t="shared" si="721"/>
        <v>2.0524754482994356</v>
      </c>
      <c r="AV270" s="5"/>
      <c r="AW270" s="173">
        <f t="shared" si="722"/>
        <v>0.28163359309519753</v>
      </c>
      <c r="AX270" s="173">
        <f t="shared" si="630"/>
        <v>38.404063366237011</v>
      </c>
      <c r="AY270" s="173">
        <f t="shared" si="631"/>
        <v>2.4543509045274683</v>
      </c>
      <c r="AZ270" s="173">
        <f t="shared" si="632"/>
        <v>15.647340115626569</v>
      </c>
      <c r="BA270" s="460">
        <f t="shared" si="723"/>
        <v>3.879646435495069</v>
      </c>
      <c r="BB270" s="5">
        <f t="shared" si="724"/>
        <v>1.3884800789288909</v>
      </c>
      <c r="BD270" s="173">
        <f t="shared" si="679"/>
        <v>2.0936411039269047</v>
      </c>
      <c r="BE270" s="173">
        <f t="shared" si="680"/>
        <v>3.3437439663711666</v>
      </c>
      <c r="BG270" s="528">
        <f t="shared" si="681"/>
        <v>5.259999686462722E-2</v>
      </c>
      <c r="BH270" s="528">
        <f t="shared" si="753"/>
        <v>2.9836598718902771</v>
      </c>
      <c r="BI270" s="528">
        <f t="shared" si="682"/>
        <v>4.0250000000000001E-2</v>
      </c>
      <c r="BJ270" s="528">
        <f t="shared" si="683"/>
        <v>0.80550790846963582</v>
      </c>
      <c r="BK270">
        <f t="shared" si="684"/>
        <v>1.7960341725662802E-2</v>
      </c>
      <c r="BL270" s="460">
        <f t="shared" si="685"/>
        <v>58.210341725662808</v>
      </c>
      <c r="BM270" s="528">
        <f t="shared" si="754"/>
        <v>3.9047706600332099</v>
      </c>
      <c r="BN270" s="460">
        <f t="shared" si="686"/>
        <v>3904.7706600332099</v>
      </c>
      <c r="BO270" s="528">
        <f t="shared" si="635"/>
        <v>0.94499999999999995</v>
      </c>
      <c r="BR270" s="460">
        <f t="shared" si="687"/>
        <v>945</v>
      </c>
      <c r="BS270" s="528">
        <f t="shared" si="688"/>
        <v>6.136666300873176E-2</v>
      </c>
      <c r="BT270" s="528">
        <f t="shared" si="689"/>
        <v>0.15652873197701012</v>
      </c>
      <c r="BU270" s="528">
        <f t="shared" si="690"/>
        <v>13.985941389939097</v>
      </c>
      <c r="BV270" s="528"/>
      <c r="BW270" s="528">
        <f t="shared" si="691"/>
        <v>1.6342154623930643</v>
      </c>
      <c r="BX270" s="460">
        <f t="shared" si="692"/>
        <v>15838.052247317903</v>
      </c>
      <c r="BY270" s="173">
        <f t="shared" si="693"/>
        <v>20.683030366268106</v>
      </c>
      <c r="BZ270" s="5">
        <f t="shared" si="694"/>
        <v>37.800000000000004</v>
      </c>
      <c r="CA270" s="173">
        <f t="shared" si="695"/>
        <v>0.64634133633749458</v>
      </c>
      <c r="CB270" s="5">
        <f t="shared" si="696"/>
        <v>64.634133633749457</v>
      </c>
      <c r="CE270" s="562">
        <f t="shared" si="755"/>
        <v>-50</v>
      </c>
      <c r="CF270">
        <f t="shared" si="756"/>
        <v>-50</v>
      </c>
      <c r="CG270" s="173">
        <f t="shared" si="757"/>
        <v>0.39827754142055261</v>
      </c>
      <c r="CI270" s="170">
        <v>54</v>
      </c>
      <c r="CJ270" s="217">
        <f t="shared" si="697"/>
        <v>1.35</v>
      </c>
      <c r="CK270" s="217"/>
      <c r="CL270" s="217">
        <f t="shared" si="639"/>
        <v>37.800000000000004</v>
      </c>
      <c r="CM270" s="541">
        <f t="shared" si="640"/>
        <v>40</v>
      </c>
      <c r="CN270" s="443">
        <f t="shared" si="641"/>
        <v>28.4</v>
      </c>
      <c r="CO270" s="443">
        <f t="shared" si="642"/>
        <v>68.400000000000006</v>
      </c>
      <c r="CP270" s="443"/>
      <c r="CQ270" s="217">
        <f t="shared" si="643"/>
        <v>0.41520467836257302</v>
      </c>
      <c r="CR270" s="172">
        <f t="shared" si="644"/>
        <v>140.52175355646798</v>
      </c>
      <c r="CS270" s="172">
        <f t="shared" si="645"/>
        <v>37.800000000000004</v>
      </c>
      <c r="CT270" s="217">
        <f t="shared" si="646"/>
        <v>5.0186340555881426</v>
      </c>
      <c r="CU270" s="217">
        <f t="shared" si="647"/>
        <v>28</v>
      </c>
      <c r="CV270" s="217"/>
      <c r="CW270" s="172">
        <f t="shared" si="648"/>
        <v>206.99072930778726</v>
      </c>
      <c r="CX270" s="172">
        <f t="shared" si="649"/>
        <v>28</v>
      </c>
      <c r="CY270" s="217">
        <f t="shared" si="650"/>
        <v>4.5519718309859174</v>
      </c>
      <c r="CZ270" s="217">
        <f t="shared" si="651"/>
        <v>0.53485669014084525</v>
      </c>
      <c r="DA270" s="217">
        <f t="shared" si="652"/>
        <v>0.75331928188851449</v>
      </c>
      <c r="DB270" s="197">
        <f t="shared" si="653"/>
        <v>350</v>
      </c>
      <c r="DC270" s="443">
        <f t="shared" si="654"/>
        <v>350</v>
      </c>
      <c r="DE270" s="217">
        <f t="shared" si="655"/>
        <v>10.09616239179509</v>
      </c>
      <c r="DF270" s="173">
        <f t="shared" si="656"/>
        <v>1.6708437761069339</v>
      </c>
      <c r="DG270" s="173">
        <f t="shared" si="657"/>
        <v>2.9520942666067511</v>
      </c>
      <c r="DH270" s="173"/>
      <c r="DI270" s="173">
        <f t="shared" si="658"/>
        <v>0.55164319248826299</v>
      </c>
      <c r="DJ270" s="545">
        <f t="shared" si="659"/>
        <v>1468.3404255319149</v>
      </c>
      <c r="DK270" s="528">
        <f t="shared" si="660"/>
        <v>0.3217918622848201</v>
      </c>
      <c r="DM270" s="173">
        <f t="shared" si="661"/>
        <v>6.8274432815599386</v>
      </c>
      <c r="DN270" s="173">
        <f t="shared" si="662"/>
        <v>6.8274432815599386</v>
      </c>
      <c r="DO270" s="173">
        <f t="shared" si="663"/>
        <v>3.7882295912789665</v>
      </c>
      <c r="DQ270" s="545">
        <f t="shared" si="664"/>
        <v>1350</v>
      </c>
      <c r="DR270" s="460">
        <f t="shared" si="665"/>
        <v>350</v>
      </c>
      <c r="DT270">
        <f t="shared" si="666"/>
        <v>1350</v>
      </c>
      <c r="DU270">
        <f t="shared" si="667"/>
        <v>350</v>
      </c>
      <c r="DW270" s="5">
        <f t="shared" si="668"/>
        <v>2.8571428571428572</v>
      </c>
      <c r="DX270" s="5">
        <f t="shared" si="669"/>
        <v>0.80222458558329279</v>
      </c>
      <c r="DY270" s="5">
        <f t="shared" si="670"/>
        <v>2.0549182715595644</v>
      </c>
      <c r="DZ270" s="5"/>
      <c r="EA270" s="173">
        <f t="shared" si="671"/>
        <v>0.28077860495415247</v>
      </c>
      <c r="EB270" s="173">
        <f t="shared" si="698"/>
        <v>38.340000000000003</v>
      </c>
      <c r="EC270" s="173">
        <f t="shared" si="699"/>
        <v>2.455221640779969</v>
      </c>
      <c r="ED270" s="173">
        <f t="shared" si="700"/>
        <v>15.615698136246568</v>
      </c>
      <c r="EE270" s="460">
        <f t="shared" si="672"/>
        <v>3.8678685376337332</v>
      </c>
      <c r="EF270" s="5">
        <f t="shared" si="673"/>
        <v>1.3870698333027058</v>
      </c>
      <c r="EH270" s="173">
        <f t="shared" si="701"/>
        <v>2.0887164137136476</v>
      </c>
      <c r="EI270" s="173">
        <f t="shared" si="702"/>
        <v>3.3429414688348711</v>
      </c>
      <c r="EK270" s="528">
        <f t="shared" si="703"/>
        <v>5.235283508300162E-2</v>
      </c>
      <c r="EL270" s="528">
        <f t="shared" si="704"/>
        <v>3.1055308510503541</v>
      </c>
      <c r="EM270" s="528">
        <f t="shared" si="705"/>
        <v>4.0250000000000001E-2</v>
      </c>
      <c r="EN270" s="528">
        <f t="shared" si="706"/>
        <v>0.80646678000000016</v>
      </c>
      <c r="EO270">
        <f t="shared" si="707"/>
        <v>1.7999999999999999E-2</v>
      </c>
      <c r="EP270" s="460">
        <f t="shared" si="708"/>
        <v>58.249999999999993</v>
      </c>
      <c r="EQ270" s="460"/>
      <c r="ER270" s="460">
        <f t="shared" si="709"/>
        <v>4022.6004661333554</v>
      </c>
      <c r="ES270" s="528">
        <f t="shared" si="710"/>
        <v>0.94499999999999995</v>
      </c>
      <c r="EV270" s="460">
        <f t="shared" si="711"/>
        <v>945</v>
      </c>
      <c r="EW270" s="528">
        <f t="shared" si="712"/>
        <v>6.1078307596835225E-2</v>
      </c>
      <c r="EX270" s="528">
        <f t="shared" si="713"/>
        <v>0.15645360729678184</v>
      </c>
      <c r="EY270" s="528">
        <f t="shared" si="714"/>
        <v>13.956784332715031</v>
      </c>
      <c r="EZ270" s="528"/>
      <c r="FA270" s="528">
        <f t="shared" si="715"/>
        <v>1.6314893617021282</v>
      </c>
      <c r="FB270" s="460">
        <f t="shared" si="716"/>
        <v>15805.805609310777</v>
      </c>
      <c r="FC270" s="173">
        <f t="shared" si="717"/>
        <v>20.773406075444136</v>
      </c>
      <c r="FD270" s="5">
        <f t="shared" si="718"/>
        <v>37.800000000000004</v>
      </c>
      <c r="FE270" s="173">
        <f t="shared" si="719"/>
        <v>0.64534406538203659</v>
      </c>
      <c r="FF270" s="5">
        <f t="shared" si="720"/>
        <v>64.534406538203655</v>
      </c>
      <c r="FI270" s="562">
        <f t="shared" si="674"/>
        <v>-50</v>
      </c>
      <c r="FJ270">
        <f t="shared" si="675"/>
        <v>-50</v>
      </c>
      <c r="FL270">
        <f t="shared" si="758"/>
        <v>0.39546282387908804</v>
      </c>
    </row>
    <row r="271" spans="5:168">
      <c r="E271" s="170">
        <v>55</v>
      </c>
      <c r="F271" s="217">
        <f t="shared" si="759"/>
        <v>1.375</v>
      </c>
      <c r="G271" s="217"/>
      <c r="H271" s="217">
        <f t="shared" si="725"/>
        <v>38.5</v>
      </c>
      <c r="I271" s="541">
        <f t="shared" si="726"/>
        <v>39.911058230859332</v>
      </c>
      <c r="J271" s="172">
        <f t="shared" si="727"/>
        <v>28.447891721844975</v>
      </c>
      <c r="K271" s="172">
        <f t="shared" si="728"/>
        <v>68.358949952704307</v>
      </c>
      <c r="L271" s="443"/>
      <c r="M271" s="217">
        <f t="shared" si="729"/>
        <v>0.41615751494565711</v>
      </c>
      <c r="N271" s="172">
        <f t="shared" si="730"/>
        <v>140.5310579217132</v>
      </c>
      <c r="O271" s="172">
        <f t="shared" si="760"/>
        <v>38.5</v>
      </c>
      <c r="P271" s="217">
        <f t="shared" si="731"/>
        <v>5.0189663543469001</v>
      </c>
      <c r="Q271" s="217">
        <f t="shared" si="732"/>
        <v>28</v>
      </c>
      <c r="R271" s="217"/>
      <c r="S271" s="172">
        <f t="shared" si="733"/>
        <v>202.05299812938947</v>
      </c>
      <c r="T271" s="172">
        <f t="shared" si="734"/>
        <v>28</v>
      </c>
      <c r="U271" s="217">
        <f t="shared" si="735"/>
        <v>4.6359606448251727</v>
      </c>
      <c r="V271" s="217">
        <f t="shared" si="736"/>
        <v>0.54593929593756019</v>
      </c>
      <c r="W271" s="217">
        <f t="shared" si="737"/>
        <v>0.76592723438787036</v>
      </c>
      <c r="X271" s="197">
        <f t="shared" si="738"/>
        <v>350</v>
      </c>
      <c r="Y271" s="443">
        <f t="shared" si="678"/>
        <v>350</v>
      </c>
      <c r="AA271" s="217">
        <f t="shared" si="739"/>
        <v>10.096760254316301</v>
      </c>
      <c r="AB271" s="173">
        <f t="shared" si="740"/>
        <v>1.6681297039262268</v>
      </c>
      <c r="AC271" s="173">
        <f t="shared" si="741"/>
        <v>2.9474734963881808</v>
      </c>
      <c r="AD271" s="173"/>
      <c r="AE271" s="173">
        <f t="shared" si="742"/>
        <v>0.55071450706613601</v>
      </c>
      <c r="AF271" s="545">
        <f t="shared" si="743"/>
        <v>1498.0538725865172</v>
      </c>
      <c r="AG271" s="528">
        <f t="shared" si="744"/>
        <v>0.3212501291219127</v>
      </c>
      <c r="AI271" s="173">
        <f t="shared" si="745"/>
        <v>6.8961776221612343</v>
      </c>
      <c r="AJ271" s="173">
        <f t="shared" si="746"/>
        <v>6.8961776221612343</v>
      </c>
      <c r="AK271" s="173">
        <f t="shared" si="747"/>
        <v>3.8391439176502971</v>
      </c>
      <c r="AM271" s="545">
        <f t="shared" si="748"/>
        <v>1375</v>
      </c>
      <c r="AN271" s="460">
        <f t="shared" si="749"/>
        <v>350</v>
      </c>
      <c r="AP271">
        <f t="shared" si="750"/>
        <v>1375</v>
      </c>
      <c r="AQ271">
        <f t="shared" si="751"/>
        <v>350</v>
      </c>
      <c r="AS271" s="5">
        <f t="shared" si="761"/>
        <v>2.8571428571428572</v>
      </c>
      <c r="AT271" s="5">
        <f t="shared" si="752"/>
        <v>0.81210662560424751</v>
      </c>
      <c r="AU271" s="5">
        <f t="shared" si="721"/>
        <v>2.0450362315386097</v>
      </c>
      <c r="AV271" s="5"/>
      <c r="AW271" s="173">
        <f t="shared" si="722"/>
        <v>0.28423731896148663</v>
      </c>
      <c r="AX271" s="173">
        <f t="shared" si="630"/>
        <v>39.115851117536842</v>
      </c>
      <c r="AY271" s="173">
        <f t="shared" si="631"/>
        <v>2.4680132918779627</v>
      </c>
      <c r="AZ271" s="173">
        <f t="shared" si="632"/>
        <v>15.849124980916443</v>
      </c>
      <c r="BA271" s="460">
        <f t="shared" si="723"/>
        <v>3.9880236078780009</v>
      </c>
      <c r="BB271" s="5">
        <f t="shared" si="724"/>
        <v>1.4090955955617337</v>
      </c>
      <c r="BD271" s="173">
        <f t="shared" si="679"/>
        <v>2.1226987325184892</v>
      </c>
      <c r="BE271" s="173">
        <f t="shared" si="680"/>
        <v>3.3684673106766017</v>
      </c>
      <c r="BG271" s="528">
        <f t="shared" si="681"/>
        <v>5.4070198908427201E-2</v>
      </c>
      <c r="BH271" s="528">
        <f t="shared" si="753"/>
        <v>3.0111662567432584</v>
      </c>
      <c r="BI271" s="528">
        <f t="shared" si="682"/>
        <v>4.0250000000000001E-2</v>
      </c>
      <c r="BJ271" s="528">
        <f t="shared" si="683"/>
        <v>0.80549907340993787</v>
      </c>
      <c r="BK271">
        <f t="shared" si="684"/>
        <v>1.7959976203886698E-2</v>
      </c>
      <c r="BL271" s="460">
        <f t="shared" si="685"/>
        <v>58.209976203886697</v>
      </c>
      <c r="BM271" s="528">
        <f t="shared" si="754"/>
        <v>3.935899292945273</v>
      </c>
      <c r="BN271" s="460">
        <f t="shared" si="686"/>
        <v>3935.8992929452729</v>
      </c>
      <c r="BO271" s="528">
        <f t="shared" si="635"/>
        <v>0.96249999999999991</v>
      </c>
      <c r="BR271" s="460">
        <f t="shared" si="687"/>
        <v>962.49999999999989</v>
      </c>
      <c r="BS271" s="528">
        <f t="shared" si="688"/>
        <v>6.30818987264984E-2</v>
      </c>
      <c r="BT271" s="528">
        <f t="shared" si="689"/>
        <v>0.15885200832335603</v>
      </c>
      <c r="BU271" s="528">
        <f t="shared" si="690"/>
        <v>14.310711036933316</v>
      </c>
      <c r="BV271" s="528"/>
      <c r="BW271" s="528">
        <f t="shared" si="691"/>
        <v>1.6645043028739084</v>
      </c>
      <c r="BX271" s="460">
        <f t="shared" si="692"/>
        <v>16197.14924685708</v>
      </c>
      <c r="BY271" s="173">
        <f t="shared" si="693"/>
        <v>21.088594752122589</v>
      </c>
      <c r="BZ271" s="5">
        <f t="shared" si="694"/>
        <v>38.5</v>
      </c>
      <c r="CA271" s="173">
        <f t="shared" si="695"/>
        <v>0.6460967935248817</v>
      </c>
      <c r="CB271" s="5">
        <f t="shared" si="696"/>
        <v>64.609679352488172</v>
      </c>
      <c r="CE271" s="562">
        <f t="shared" si="755"/>
        <v>-50</v>
      </c>
      <c r="CF271">
        <f t="shared" si="756"/>
        <v>-50</v>
      </c>
      <c r="CG271" s="173">
        <f t="shared" si="757"/>
        <v>0.4019483797703382</v>
      </c>
      <c r="CI271" s="170">
        <v>55</v>
      </c>
      <c r="CJ271" s="217">
        <f t="shared" si="697"/>
        <v>1.375</v>
      </c>
      <c r="CK271" s="217"/>
      <c r="CL271" s="217">
        <f t="shared" si="639"/>
        <v>38.5</v>
      </c>
      <c r="CM271" s="541">
        <f t="shared" si="640"/>
        <v>40</v>
      </c>
      <c r="CN271" s="443">
        <f t="shared" si="641"/>
        <v>28.4</v>
      </c>
      <c r="CO271" s="443">
        <f t="shared" si="642"/>
        <v>68.400000000000006</v>
      </c>
      <c r="CP271" s="443"/>
      <c r="CQ271" s="217">
        <f t="shared" si="643"/>
        <v>0.41520467836257302</v>
      </c>
      <c r="CR271" s="172">
        <f t="shared" si="644"/>
        <v>140.52175355646798</v>
      </c>
      <c r="CS271" s="172">
        <f t="shared" si="645"/>
        <v>38.5</v>
      </c>
      <c r="CT271" s="217">
        <f t="shared" si="646"/>
        <v>5.0186340555881426</v>
      </c>
      <c r="CU271" s="217">
        <f t="shared" si="647"/>
        <v>28</v>
      </c>
      <c r="CV271" s="217"/>
      <c r="CW271" s="172">
        <f t="shared" si="648"/>
        <v>202.50309779990445</v>
      </c>
      <c r="CX271" s="172">
        <f t="shared" si="649"/>
        <v>28</v>
      </c>
      <c r="CY271" s="217">
        <f t="shared" si="650"/>
        <v>4.6362676056338037</v>
      </c>
      <c r="CZ271" s="217">
        <f t="shared" si="651"/>
        <v>0.54476144366197199</v>
      </c>
      <c r="DA271" s="217">
        <f t="shared" si="652"/>
        <v>0.7672696389605238</v>
      </c>
      <c r="DB271" s="197">
        <f t="shared" si="653"/>
        <v>350</v>
      </c>
      <c r="DC271" s="443">
        <f t="shared" si="654"/>
        <v>350</v>
      </c>
      <c r="DE271" s="217">
        <f t="shared" si="655"/>
        <v>10.09616239179509</v>
      </c>
      <c r="DF271" s="173">
        <f t="shared" si="656"/>
        <v>1.6708437761069339</v>
      </c>
      <c r="DG271" s="173">
        <f t="shared" si="657"/>
        <v>2.9520942666067511</v>
      </c>
      <c r="DH271" s="173"/>
      <c r="DI271" s="173">
        <f t="shared" si="658"/>
        <v>0.55164319248826299</v>
      </c>
      <c r="DJ271" s="545">
        <f t="shared" si="659"/>
        <v>1495.5319148936169</v>
      </c>
      <c r="DK271" s="528">
        <f t="shared" si="660"/>
        <v>0.3217918622848201</v>
      </c>
      <c r="DM271" s="173">
        <f t="shared" si="661"/>
        <v>6.8903703563318288</v>
      </c>
      <c r="DN271" s="173">
        <f t="shared" si="662"/>
        <v>6.8903703563318288</v>
      </c>
      <c r="DO271" s="173">
        <f t="shared" si="663"/>
        <v>3.8348422392581449</v>
      </c>
      <c r="DQ271" s="545">
        <f t="shared" si="664"/>
        <v>1375</v>
      </c>
      <c r="DR271" s="460">
        <f t="shared" si="665"/>
        <v>350</v>
      </c>
      <c r="DT271">
        <f t="shared" si="666"/>
        <v>1375</v>
      </c>
      <c r="DU271">
        <f t="shared" si="667"/>
        <v>350</v>
      </c>
      <c r="DW271" s="5">
        <f t="shared" si="668"/>
        <v>2.8571428571428572</v>
      </c>
      <c r="DX271" s="5">
        <f t="shared" si="669"/>
        <v>0.80961851686898989</v>
      </c>
      <c r="DY271" s="5">
        <f t="shared" si="670"/>
        <v>2.0475243402738674</v>
      </c>
      <c r="DZ271" s="5"/>
      <c r="EA271" s="173">
        <f t="shared" si="671"/>
        <v>0.28336648090414646</v>
      </c>
      <c r="EB271" s="173">
        <f t="shared" si="698"/>
        <v>39.050000000000004</v>
      </c>
      <c r="EC271" s="173">
        <f t="shared" si="699"/>
        <v>2.4689351781659141</v>
      </c>
      <c r="ED271" s="173">
        <f t="shared" si="700"/>
        <v>15.816535138443323</v>
      </c>
      <c r="EE271" s="460">
        <f t="shared" si="672"/>
        <v>3.9758052167673608</v>
      </c>
      <c r="EF271" s="5">
        <f t="shared" si="673"/>
        <v>1.4076729839382838</v>
      </c>
      <c r="EH271" s="173">
        <f t="shared" si="701"/>
        <v>2.1176597240615953</v>
      </c>
      <c r="EI271" s="173">
        <f t="shared" si="702"/>
        <v>3.3676775145827387</v>
      </c>
      <c r="EK271" s="528">
        <f t="shared" si="703"/>
        <v>5.3813792482951588E-2</v>
      </c>
      <c r="EL271" s="528">
        <f t="shared" si="704"/>
        <v>3.1341538602810961</v>
      </c>
      <c r="EM271" s="528">
        <f t="shared" si="705"/>
        <v>4.0250000000000001E-2</v>
      </c>
      <c r="EN271" s="528">
        <f t="shared" si="706"/>
        <v>0.80646678000000016</v>
      </c>
      <c r="EO271">
        <f t="shared" si="707"/>
        <v>1.7999999999999999E-2</v>
      </c>
      <c r="EP271" s="460">
        <f t="shared" si="708"/>
        <v>58.249999999999993</v>
      </c>
      <c r="EQ271" s="460"/>
      <c r="ER271" s="460">
        <f t="shared" si="709"/>
        <v>4052.6844327640479</v>
      </c>
      <c r="ES271" s="528">
        <f t="shared" si="710"/>
        <v>0.96249999999999991</v>
      </c>
      <c r="EV271" s="460">
        <f t="shared" si="711"/>
        <v>962.49999999999989</v>
      </c>
      <c r="EW271" s="528">
        <f t="shared" si="712"/>
        <v>6.2782757896776856E-2</v>
      </c>
      <c r="EX271" s="528">
        <f t="shared" si="713"/>
        <v>0.15877752579116641</v>
      </c>
      <c r="EY271" s="528">
        <f t="shared" si="714"/>
        <v>14.280602465407043</v>
      </c>
      <c r="EZ271" s="528"/>
      <c r="FA271" s="528">
        <f t="shared" si="715"/>
        <v>1.6617021276595747</v>
      </c>
      <c r="FB271" s="460">
        <f t="shared" si="716"/>
        <v>16163.864876754558</v>
      </c>
      <c r="FC271" s="173">
        <f t="shared" si="717"/>
        <v>21.179049309518607</v>
      </c>
      <c r="FD271" s="5">
        <f t="shared" si="718"/>
        <v>38.5</v>
      </c>
      <c r="FE271" s="173">
        <f t="shared" si="719"/>
        <v>0.64511751519907978</v>
      </c>
      <c r="FF271" s="5">
        <f t="shared" si="720"/>
        <v>64.511751519907975</v>
      </c>
      <c r="FI271" s="562">
        <f t="shared" si="674"/>
        <v>-50</v>
      </c>
      <c r="FJ271">
        <f t="shared" si="675"/>
        <v>-50</v>
      </c>
      <c r="FL271">
        <f t="shared" si="758"/>
        <v>0.39910771958330482</v>
      </c>
    </row>
    <row r="272" spans="5:168">
      <c r="E272" s="170">
        <v>56</v>
      </c>
      <c r="F272" s="217">
        <f t="shared" si="759"/>
        <v>1.4000000000000001</v>
      </c>
      <c r="G272" s="217"/>
      <c r="H272" s="217">
        <f t="shared" si="725"/>
        <v>39.200000000000003</v>
      </c>
      <c r="I272" s="541">
        <f t="shared" si="726"/>
        <v>39.910253311564681</v>
      </c>
      <c r="J272" s="172">
        <f t="shared" si="727"/>
        <v>28.448325139926709</v>
      </c>
      <c r="K272" s="172">
        <f t="shared" si="728"/>
        <v>68.358578451491383</v>
      </c>
      <c r="L272" s="443"/>
      <c r="M272" s="217">
        <f t="shared" si="729"/>
        <v>0.41616614325865353</v>
      </c>
      <c r="N272" s="172">
        <f t="shared" si="730"/>
        <v>140.53113732765735</v>
      </c>
      <c r="O272" s="172">
        <f t="shared" si="760"/>
        <v>39.200000000000003</v>
      </c>
      <c r="P272" s="217">
        <f t="shared" si="731"/>
        <v>5.0189691902734763</v>
      </c>
      <c r="Q272" s="217">
        <f t="shared" si="732"/>
        <v>28</v>
      </c>
      <c r="R272" s="217"/>
      <c r="S272" s="172">
        <f t="shared" si="733"/>
        <v>197.73135162755619</v>
      </c>
      <c r="T272" s="172">
        <f t="shared" si="734"/>
        <v>28</v>
      </c>
      <c r="U272" s="217">
        <f t="shared" si="735"/>
        <v>4.7202481712291799</v>
      </c>
      <c r="V272" s="217">
        <f t="shared" si="736"/>
        <v>0.55587636168544718</v>
      </c>
      <c r="W272" s="217">
        <f t="shared" si="737"/>
        <v>0.77984086218280269</v>
      </c>
      <c r="X272" s="197">
        <f t="shared" si="738"/>
        <v>350</v>
      </c>
      <c r="Y272" s="443">
        <f t="shared" si="678"/>
        <v>350</v>
      </c>
      <c r="AA272" s="217">
        <f t="shared" si="739"/>
        <v>10.096765322312962</v>
      </c>
      <c r="AB272" s="173">
        <f t="shared" si="740"/>
        <v>1.6681051268030176</v>
      </c>
      <c r="AC272" s="173">
        <f t="shared" si="741"/>
        <v>2.9474315496985053</v>
      </c>
      <c r="AD272" s="173"/>
      <c r="AE272" s="173">
        <f t="shared" si="742"/>
        <v>0.55070611677869163</v>
      </c>
      <c r="AF272" s="545">
        <f t="shared" si="743"/>
        <v>1525.314454310964</v>
      </c>
      <c r="AG272" s="528">
        <f t="shared" si="744"/>
        <v>0.32124523478757017</v>
      </c>
      <c r="AI272" s="173">
        <f t="shared" si="745"/>
        <v>6.9586407501204537</v>
      </c>
      <c r="AJ272" s="173">
        <f t="shared" si="746"/>
        <v>6.9586407501204537</v>
      </c>
      <c r="AK272" s="173">
        <f t="shared" si="747"/>
        <v>3.885412901323793</v>
      </c>
      <c r="AM272" s="545">
        <f t="shared" si="748"/>
        <v>1400.0000000000002</v>
      </c>
      <c r="AN272" s="460">
        <f t="shared" si="749"/>
        <v>350</v>
      </c>
      <c r="AP272">
        <f t="shared" si="750"/>
        <v>1400.0000000000002</v>
      </c>
      <c r="AQ272">
        <f t="shared" si="751"/>
        <v>350</v>
      </c>
      <c r="AS272" s="5">
        <f t="shared" si="761"/>
        <v>2.8571428571428572</v>
      </c>
      <c r="AT272" s="5">
        <f t="shared" si="752"/>
        <v>0.8194789261357337</v>
      </c>
      <c r="AU272" s="5">
        <f t="shared" si="721"/>
        <v>2.0376639310071236</v>
      </c>
      <c r="AV272" s="5"/>
      <c r="AW272" s="173">
        <f t="shared" si="722"/>
        <v>0.28681762414750678</v>
      </c>
      <c r="AX272" s="173">
        <f t="shared" si="630"/>
        <v>39.827655195897393</v>
      </c>
      <c r="AY272" s="173">
        <f t="shared" si="631"/>
        <v>2.4813899714374403</v>
      </c>
      <c r="AZ272" s="173">
        <f t="shared" si="632"/>
        <v>16.050542500107589</v>
      </c>
      <c r="BA272" s="460">
        <f t="shared" si="723"/>
        <v>4.0973946306786688</v>
      </c>
      <c r="BB272" s="5">
        <f t="shared" si="724"/>
        <v>1.4295722360566152</v>
      </c>
      <c r="BD272" s="173">
        <f t="shared" si="679"/>
        <v>2.1516256137215066</v>
      </c>
      <c r="BE272" s="173">
        <f t="shared" si="680"/>
        <v>3.3928455483251621</v>
      </c>
      <c r="BG272" s="528">
        <f t="shared" si="681"/>
        <v>5.5553913379469404E-2</v>
      </c>
      <c r="BH272" s="528">
        <f t="shared" si="753"/>
        <v>3.0384238187798545</v>
      </c>
      <c r="BI272" s="528">
        <f t="shared" si="682"/>
        <v>4.0250000000000001E-2</v>
      </c>
      <c r="BJ272" s="528">
        <f t="shared" si="683"/>
        <v>0.80549031835826257</v>
      </c>
      <c r="BK272">
        <f t="shared" si="684"/>
        <v>1.7959613990204105E-2</v>
      </c>
      <c r="BL272" s="460">
        <f t="shared" si="685"/>
        <v>58.209613990204105</v>
      </c>
      <c r="BM272" s="528">
        <f t="shared" si="754"/>
        <v>3.9668281914763903</v>
      </c>
      <c r="BN272" s="460">
        <f t="shared" si="686"/>
        <v>3966.8281914763902</v>
      </c>
      <c r="BO272" s="528">
        <f t="shared" si="635"/>
        <v>0.98</v>
      </c>
      <c r="BR272" s="460">
        <f t="shared" si="687"/>
        <v>980</v>
      </c>
      <c r="BS272" s="528">
        <f t="shared" si="688"/>
        <v>6.4812898942714303E-2</v>
      </c>
      <c r="BT272" s="528">
        <f t="shared" si="689"/>
        <v>0.16115961280705818</v>
      </c>
      <c r="BU272" s="528">
        <f t="shared" si="690"/>
        <v>14.636969073016813</v>
      </c>
      <c r="BV272" s="528"/>
      <c r="BW272" s="528">
        <f t="shared" si="691"/>
        <v>1.6947938381232934</v>
      </c>
      <c r="BX272" s="460">
        <f t="shared" si="692"/>
        <v>16557.735422889877</v>
      </c>
      <c r="BY272" s="173">
        <f t="shared" si="693"/>
        <v>21.495413087397669</v>
      </c>
      <c r="BZ272" s="5">
        <f t="shared" si="694"/>
        <v>39.200000000000003</v>
      </c>
      <c r="CA272" s="173">
        <f t="shared" si="695"/>
        <v>0.64584781626832999</v>
      </c>
      <c r="CB272" s="5">
        <f t="shared" si="696"/>
        <v>64.584781626832992</v>
      </c>
      <c r="CE272" s="562">
        <f t="shared" si="755"/>
        <v>-50</v>
      </c>
      <c r="CF272">
        <f t="shared" si="756"/>
        <v>-50</v>
      </c>
      <c r="CG272" s="173">
        <f t="shared" si="757"/>
        <v>0.40558599581346494</v>
      </c>
      <c r="CI272" s="170">
        <v>56</v>
      </c>
      <c r="CJ272" s="217">
        <f t="shared" si="697"/>
        <v>1.4000000000000001</v>
      </c>
      <c r="CK272" s="217"/>
      <c r="CL272" s="217">
        <f t="shared" si="639"/>
        <v>39.200000000000003</v>
      </c>
      <c r="CM272" s="541">
        <f t="shared" si="640"/>
        <v>40</v>
      </c>
      <c r="CN272" s="443">
        <f t="shared" si="641"/>
        <v>28.4</v>
      </c>
      <c r="CO272" s="443">
        <f t="shared" si="642"/>
        <v>68.400000000000006</v>
      </c>
      <c r="CP272" s="443"/>
      <c r="CQ272" s="217">
        <f t="shared" si="643"/>
        <v>0.41520467836257302</v>
      </c>
      <c r="CR272" s="172">
        <f t="shared" si="644"/>
        <v>140.52175355646798</v>
      </c>
      <c r="CS272" s="172">
        <f t="shared" si="645"/>
        <v>39.200000000000003</v>
      </c>
      <c r="CT272" s="217">
        <f t="shared" si="646"/>
        <v>5.0186340555881426</v>
      </c>
      <c r="CU272" s="217">
        <f t="shared" si="647"/>
        <v>28</v>
      </c>
      <c r="CV272" s="217"/>
      <c r="CW272" s="172">
        <f t="shared" si="648"/>
        <v>198.17581185621347</v>
      </c>
      <c r="CX272" s="172">
        <f t="shared" si="649"/>
        <v>28</v>
      </c>
      <c r="CY272" s="217">
        <f t="shared" si="650"/>
        <v>4.7205633802816918</v>
      </c>
      <c r="CZ272" s="217">
        <f t="shared" si="651"/>
        <v>0.55466619718309873</v>
      </c>
      <c r="DA272" s="217">
        <f t="shared" si="652"/>
        <v>0.78121999603253356</v>
      </c>
      <c r="DB272" s="197">
        <f t="shared" si="653"/>
        <v>350</v>
      </c>
      <c r="DC272" s="443">
        <f t="shared" si="654"/>
        <v>350</v>
      </c>
      <c r="DE272" s="217">
        <f t="shared" si="655"/>
        <v>10.09616239179509</v>
      </c>
      <c r="DF272" s="173">
        <f t="shared" si="656"/>
        <v>1.6708437761069339</v>
      </c>
      <c r="DG272" s="173">
        <f t="shared" si="657"/>
        <v>2.9520942666067511</v>
      </c>
      <c r="DH272" s="173"/>
      <c r="DI272" s="173">
        <f t="shared" si="658"/>
        <v>0.55164319248826299</v>
      </c>
      <c r="DJ272" s="545">
        <f t="shared" si="659"/>
        <v>1522.7234042553191</v>
      </c>
      <c r="DK272" s="528">
        <f t="shared" si="660"/>
        <v>0.3217918622848201</v>
      </c>
      <c r="DM272" s="173">
        <f t="shared" si="661"/>
        <v>6.9527279201702479</v>
      </c>
      <c r="DN272" s="173">
        <f t="shared" si="662"/>
        <v>6.9527279201702479</v>
      </c>
      <c r="DO272" s="173">
        <f t="shared" si="663"/>
        <v>3.8810330272866036</v>
      </c>
      <c r="DQ272" s="545">
        <f t="shared" si="664"/>
        <v>1400.0000000000002</v>
      </c>
      <c r="DR272" s="460">
        <f t="shared" si="665"/>
        <v>350</v>
      </c>
      <c r="DT272">
        <f t="shared" si="666"/>
        <v>1400.0000000000002</v>
      </c>
      <c r="DU272">
        <f t="shared" si="667"/>
        <v>350</v>
      </c>
      <c r="DW272" s="5">
        <f t="shared" si="668"/>
        <v>2.8571428571428572</v>
      </c>
      <c r="DX272" s="5">
        <f t="shared" si="669"/>
        <v>0.81694553062000419</v>
      </c>
      <c r="DY272" s="5">
        <f t="shared" si="670"/>
        <v>2.0401973265228532</v>
      </c>
      <c r="DZ272" s="5"/>
      <c r="EA272" s="173">
        <f t="shared" si="671"/>
        <v>0.28593093571700146</v>
      </c>
      <c r="EB272" s="173">
        <f t="shared" si="698"/>
        <v>39.760000000000012</v>
      </c>
      <c r="EC272" s="173">
        <f t="shared" si="699"/>
        <v>2.4823639600851237</v>
      </c>
      <c r="ED272" s="173">
        <f t="shared" si="700"/>
        <v>16.016990513605663</v>
      </c>
      <c r="EE272" s="460">
        <f t="shared" si="672"/>
        <v>4.0847276531000221</v>
      </c>
      <c r="EF272" s="5">
        <f t="shared" si="673"/>
        <v>1.4281381285659973</v>
      </c>
      <c r="EH272" s="173">
        <f t="shared" si="701"/>
        <v>2.1464717643378135</v>
      </c>
      <c r="EI272" s="173">
        <f t="shared" si="702"/>
        <v>3.3920693009143372</v>
      </c>
      <c r="EK272" s="528">
        <f t="shared" si="703"/>
        <v>5.5288092421193834E-2</v>
      </c>
      <c r="EL272" s="528">
        <f t="shared" si="704"/>
        <v>3.1625178217686392</v>
      </c>
      <c r="EM272" s="528">
        <f t="shared" si="705"/>
        <v>4.0250000000000001E-2</v>
      </c>
      <c r="EN272" s="528">
        <f t="shared" si="706"/>
        <v>0.80646678000000016</v>
      </c>
      <c r="EO272">
        <f t="shared" si="707"/>
        <v>1.7999999999999999E-2</v>
      </c>
      <c r="EP272" s="460">
        <f t="shared" si="708"/>
        <v>58.249999999999993</v>
      </c>
      <c r="EQ272" s="460"/>
      <c r="ER272" s="460">
        <f t="shared" si="709"/>
        <v>4082.5226941898327</v>
      </c>
      <c r="ES272" s="528">
        <f t="shared" si="710"/>
        <v>0.98</v>
      </c>
      <c r="EV272" s="460">
        <f t="shared" si="711"/>
        <v>980</v>
      </c>
      <c r="EW272" s="528">
        <f t="shared" si="712"/>
        <v>6.45027744913928E-2</v>
      </c>
      <c r="EX272" s="528">
        <f t="shared" si="713"/>
        <v>0.16108587799087673</v>
      </c>
      <c r="EY272" s="528">
        <f t="shared" si="714"/>
        <v>14.605895920296179</v>
      </c>
      <c r="EZ272" s="528"/>
      <c r="FA272" s="528">
        <f t="shared" si="715"/>
        <v>1.6919148936170219</v>
      </c>
      <c r="FB272" s="460">
        <f t="shared" si="716"/>
        <v>16523.399466395473</v>
      </c>
      <c r="FC272" s="173">
        <f t="shared" si="717"/>
        <v>21.585922160585302</v>
      </c>
      <c r="FD272" s="5">
        <f t="shared" si="718"/>
        <v>39.200000000000003</v>
      </c>
      <c r="FE272" s="173">
        <f t="shared" si="719"/>
        <v>0.6448861612470197</v>
      </c>
      <c r="FF272" s="5">
        <f t="shared" si="720"/>
        <v>64.488616124701963</v>
      </c>
      <c r="FI272" s="562">
        <f t="shared" si="674"/>
        <v>-50</v>
      </c>
      <c r="FJ272">
        <f t="shared" si="675"/>
        <v>-50</v>
      </c>
      <c r="FL272">
        <f t="shared" si="758"/>
        <v>0.40271962777042458</v>
      </c>
    </row>
    <row r="273" spans="5:168">
      <c r="E273" s="170">
        <v>57</v>
      </c>
      <c r="F273" s="217">
        <f t="shared" si="759"/>
        <v>1.4249999999999998</v>
      </c>
      <c r="G273" s="217"/>
      <c r="H273" s="217">
        <f t="shared" si="725"/>
        <v>39.899999999999991</v>
      </c>
      <c r="I273" s="541">
        <f t="shared" si="726"/>
        <v>39.909455547534151</v>
      </c>
      <c r="J273" s="172">
        <f t="shared" si="727"/>
        <v>28.448754705173918</v>
      </c>
      <c r="K273" s="172">
        <f t="shared" si="728"/>
        <v>68.358210252708062</v>
      </c>
      <c r="L273" s="443"/>
      <c r="M273" s="217">
        <f t="shared" si="729"/>
        <v>0.41617469496273618</v>
      </c>
      <c r="N273" s="172">
        <f t="shared" si="730"/>
        <v>140.53121594275402</v>
      </c>
      <c r="O273" s="172">
        <f t="shared" si="760"/>
        <v>39.899999999999991</v>
      </c>
      <c r="P273" s="217">
        <f t="shared" si="731"/>
        <v>5.018971997955501</v>
      </c>
      <c r="Q273" s="217">
        <f t="shared" si="732"/>
        <v>28</v>
      </c>
      <c r="R273" s="217"/>
      <c r="S273" s="172">
        <f t="shared" si="733"/>
        <v>193.56147726577251</v>
      </c>
      <c r="T273" s="172">
        <f t="shared" si="734"/>
        <v>28</v>
      </c>
      <c r="U273" s="217">
        <f t="shared" si="735"/>
        <v>4.8045356294191137</v>
      </c>
      <c r="V273" s="217">
        <f t="shared" si="736"/>
        <v>0.56581371879088549</v>
      </c>
      <c r="W273" s="217">
        <f t="shared" si="737"/>
        <v>0.7937541622573383</v>
      </c>
      <c r="X273" s="197">
        <f t="shared" si="738"/>
        <v>350</v>
      </c>
      <c r="Y273" s="443">
        <f t="shared" si="678"/>
        <v>350</v>
      </c>
      <c r="AA273" s="217">
        <f t="shared" si="739"/>
        <v>10.096770339190057</v>
      </c>
      <c r="AB273" s="173">
        <f t="shared" si="740"/>
        <v>1.6680807678925487</v>
      </c>
      <c r="AC273" s="173">
        <f t="shared" si="741"/>
        <v>2.9473899736104006</v>
      </c>
      <c r="AD273" s="173"/>
      <c r="AE273" s="173">
        <f t="shared" si="742"/>
        <v>0.55069780132827406</v>
      </c>
      <c r="AF273" s="545">
        <f t="shared" si="743"/>
        <v>1552.5756557185339</v>
      </c>
      <c r="AG273" s="528">
        <f t="shared" si="744"/>
        <v>0.32124038410815986</v>
      </c>
      <c r="AI273" s="173">
        <f t="shared" si="745"/>
        <v>7.0205495550246368</v>
      </c>
      <c r="AJ273" s="173">
        <f t="shared" si="746"/>
        <v>7.0205495550246368</v>
      </c>
      <c r="AK273" s="173">
        <f t="shared" si="747"/>
        <v>3.9312712753268917</v>
      </c>
      <c r="AM273" s="545">
        <f t="shared" si="748"/>
        <v>1424.9999999999998</v>
      </c>
      <c r="AN273" s="460">
        <f t="shared" si="749"/>
        <v>350</v>
      </c>
      <c r="AP273">
        <f t="shared" si="750"/>
        <v>1424.9999999999998</v>
      </c>
      <c r="AQ273">
        <f t="shared" si="751"/>
        <v>350</v>
      </c>
      <c r="AS273" s="5">
        <f t="shared" si="761"/>
        <v>2.8571428571428572</v>
      </c>
      <c r="AT273" s="5">
        <f t="shared" si="752"/>
        <v>0.82678609507251277</v>
      </c>
      <c r="AU273" s="5">
        <f t="shared" si="721"/>
        <v>2.0303567620703444</v>
      </c>
      <c r="AV273" s="5"/>
      <c r="AW273" s="173">
        <f t="shared" si="722"/>
        <v>0.28937513327537945</v>
      </c>
      <c r="AX273" s="173">
        <f t="shared" si="630"/>
        <v>40.539475454872822</v>
      </c>
      <c r="AY273" s="173">
        <f t="shared" si="631"/>
        <v>2.4944885459364885</v>
      </c>
      <c r="AZ273" s="173">
        <f t="shared" si="632"/>
        <v>16.251618200817742</v>
      </c>
      <c r="BA273" s="460">
        <f t="shared" si="723"/>
        <v>4.2077506624226091</v>
      </c>
      <c r="BB273" s="5">
        <f t="shared" si="724"/>
        <v>1.4499112284326829</v>
      </c>
      <c r="BD273" s="173">
        <f t="shared" si="679"/>
        <v>2.1804246644617722</v>
      </c>
      <c r="BE273" s="173">
        <f t="shared" si="680"/>
        <v>3.4168875165554264</v>
      </c>
      <c r="BG273" s="528">
        <f t="shared" si="681"/>
        <v>5.7051020608718785E-2</v>
      </c>
      <c r="BH273" s="528">
        <f t="shared" si="753"/>
        <v>3.0654391939282042</v>
      </c>
      <c r="BI273" s="528">
        <f t="shared" si="682"/>
        <v>4.0250000000000001E-2</v>
      </c>
      <c r="BJ273" s="528">
        <f t="shared" si="683"/>
        <v>0.80548164118084942</v>
      </c>
      <c r="BK273">
        <f t="shared" si="684"/>
        <v>1.7959254996390367E-2</v>
      </c>
      <c r="BL273" s="460">
        <f t="shared" si="685"/>
        <v>58.209254996390371</v>
      </c>
      <c r="BM273" s="528">
        <f t="shared" si="754"/>
        <v>3.9975638991358045</v>
      </c>
      <c r="BN273" s="460">
        <f t="shared" si="686"/>
        <v>3997.5638991358046</v>
      </c>
      <c r="BO273" s="528">
        <f t="shared" si="635"/>
        <v>0.99749999999999983</v>
      </c>
      <c r="BR273" s="460">
        <f t="shared" si="687"/>
        <v>997.49999999999989</v>
      </c>
      <c r="BS273" s="528">
        <f t="shared" si="688"/>
        <v>6.655952404350525E-2</v>
      </c>
      <c r="BT273" s="528">
        <f t="shared" si="689"/>
        <v>0.16345168421109235</v>
      </c>
      <c r="BU273" s="528">
        <f t="shared" si="690"/>
        <v>14.964695634431147</v>
      </c>
      <c r="BV273" s="528"/>
      <c r="BW273" s="528">
        <f t="shared" si="691"/>
        <v>1.725084061909482</v>
      </c>
      <c r="BX273" s="460">
        <f t="shared" si="692"/>
        <v>16919.790904595226</v>
      </c>
      <c r="BY273" s="173">
        <f t="shared" si="693"/>
        <v>21.903472015309386</v>
      </c>
      <c r="BZ273" s="5">
        <f t="shared" si="694"/>
        <v>39.899999999999991</v>
      </c>
      <c r="CA273" s="173">
        <f t="shared" si="695"/>
        <v>0.64559479749157678</v>
      </c>
      <c r="CB273" s="5">
        <f t="shared" si="696"/>
        <v>64.559479749157674</v>
      </c>
      <c r="CE273" s="562">
        <f t="shared" si="755"/>
        <v>-50</v>
      </c>
      <c r="CF273">
        <f t="shared" si="756"/>
        <v>-50</v>
      </c>
      <c r="CG273" s="173">
        <f t="shared" si="757"/>
        <v>0.4091912755668185</v>
      </c>
      <c r="CI273" s="170">
        <v>57</v>
      </c>
      <c r="CJ273" s="217">
        <f t="shared" si="697"/>
        <v>1.4249999999999998</v>
      </c>
      <c r="CK273" s="217"/>
      <c r="CL273" s="217">
        <f t="shared" si="639"/>
        <v>39.899999999999991</v>
      </c>
      <c r="CM273" s="541">
        <f t="shared" si="640"/>
        <v>40</v>
      </c>
      <c r="CN273" s="443">
        <f t="shared" si="641"/>
        <v>28.4</v>
      </c>
      <c r="CO273" s="443">
        <f t="shared" si="642"/>
        <v>68.400000000000006</v>
      </c>
      <c r="CP273" s="443"/>
      <c r="CQ273" s="217">
        <f t="shared" si="643"/>
        <v>0.41520467836257302</v>
      </c>
      <c r="CR273" s="172">
        <f t="shared" si="644"/>
        <v>140.52175355646798</v>
      </c>
      <c r="CS273" s="172">
        <f t="shared" si="645"/>
        <v>39.899999999999991</v>
      </c>
      <c r="CT273" s="217">
        <f t="shared" si="646"/>
        <v>5.0186340555881426</v>
      </c>
      <c r="CU273" s="217">
        <f t="shared" si="647"/>
        <v>28</v>
      </c>
      <c r="CV273" s="217"/>
      <c r="CW273" s="172">
        <f t="shared" si="648"/>
        <v>194.00043299839854</v>
      </c>
      <c r="CX273" s="172">
        <f t="shared" si="649"/>
        <v>28</v>
      </c>
      <c r="CY273" s="217">
        <f t="shared" si="650"/>
        <v>4.804859154929578</v>
      </c>
      <c r="CZ273" s="217">
        <f t="shared" si="651"/>
        <v>0.56457095070422547</v>
      </c>
      <c r="DA273" s="217">
        <f t="shared" si="652"/>
        <v>0.79517035310454287</v>
      </c>
      <c r="DB273" s="197">
        <f t="shared" si="653"/>
        <v>350</v>
      </c>
      <c r="DC273" s="443">
        <f t="shared" si="654"/>
        <v>350</v>
      </c>
      <c r="DE273" s="217">
        <f t="shared" si="655"/>
        <v>10.09616239179509</v>
      </c>
      <c r="DF273" s="173">
        <f t="shared" si="656"/>
        <v>1.6708437761069339</v>
      </c>
      <c r="DG273" s="173">
        <f t="shared" si="657"/>
        <v>2.9520942666067511</v>
      </c>
      <c r="DH273" s="173"/>
      <c r="DI273" s="173">
        <f t="shared" si="658"/>
        <v>0.55164319248826299</v>
      </c>
      <c r="DJ273" s="545">
        <f t="shared" si="659"/>
        <v>1549.9148936170209</v>
      </c>
      <c r="DK273" s="528">
        <f t="shared" si="660"/>
        <v>0.3217918622848201</v>
      </c>
      <c r="DM273" s="173">
        <f t="shared" si="661"/>
        <v>7.01453116155409</v>
      </c>
      <c r="DN273" s="173">
        <f t="shared" si="662"/>
        <v>7.01453116155409</v>
      </c>
      <c r="DO273" s="173">
        <f t="shared" si="663"/>
        <v>3.9268132060894496</v>
      </c>
      <c r="DQ273" s="545">
        <f t="shared" si="664"/>
        <v>1424.9999999999998</v>
      </c>
      <c r="DR273" s="460">
        <f t="shared" si="665"/>
        <v>350</v>
      </c>
      <c r="DT273">
        <f t="shared" si="666"/>
        <v>1424.9999999999998</v>
      </c>
      <c r="DU273">
        <f t="shared" si="667"/>
        <v>350</v>
      </c>
      <c r="DW273" s="5">
        <f t="shared" si="668"/>
        <v>2.8571428571428572</v>
      </c>
      <c r="DX273" s="5">
        <f t="shared" si="669"/>
        <v>0.82420741148260557</v>
      </c>
      <c r="DY273" s="5">
        <f t="shared" si="670"/>
        <v>2.0329354456602515</v>
      </c>
      <c r="DZ273" s="5"/>
      <c r="EA273" s="173">
        <f t="shared" si="671"/>
        <v>0.28847259401891195</v>
      </c>
      <c r="EB273" s="173">
        <f t="shared" si="698"/>
        <v>40.469999999999992</v>
      </c>
      <c r="EC273" s="173">
        <f t="shared" si="699"/>
        <v>2.4955155807770453</v>
      </c>
      <c r="ED273" s="173">
        <f t="shared" si="700"/>
        <v>16.217089691501176</v>
      </c>
      <c r="EE273" s="460">
        <f t="shared" si="672"/>
        <v>4.194627004866831</v>
      </c>
      <c r="EF273" s="5">
        <f t="shared" si="673"/>
        <v>1.4484665050329286</v>
      </c>
      <c r="EH273" s="173">
        <f t="shared" si="701"/>
        <v>2.1751554584599768</v>
      </c>
      <c r="EI273" s="173">
        <f t="shared" si="702"/>
        <v>3.4161256617699078</v>
      </c>
      <c r="EK273" s="528">
        <f t="shared" si="703"/>
        <v>5.677561522161878E-2</v>
      </c>
      <c r="EL273" s="528">
        <f t="shared" si="704"/>
        <v>3.1906296441444937</v>
      </c>
      <c r="EM273" s="528">
        <f t="shared" si="705"/>
        <v>4.0250000000000001E-2</v>
      </c>
      <c r="EN273" s="528">
        <f t="shared" si="706"/>
        <v>0.80646678000000016</v>
      </c>
      <c r="EO273">
        <f t="shared" si="707"/>
        <v>1.7999999999999999E-2</v>
      </c>
      <c r="EP273" s="460">
        <f t="shared" si="708"/>
        <v>58.249999999999993</v>
      </c>
      <c r="EQ273" s="460"/>
      <c r="ER273" s="460">
        <f t="shared" si="709"/>
        <v>4112.1220393661124</v>
      </c>
      <c r="ES273" s="528">
        <f t="shared" si="710"/>
        <v>0.99749999999999983</v>
      </c>
      <c r="EV273" s="460">
        <f t="shared" si="711"/>
        <v>997.49999999999989</v>
      </c>
      <c r="EW273" s="528">
        <f t="shared" si="712"/>
        <v>6.6238217758555248E-2</v>
      </c>
      <c r="EX273" s="528">
        <f t="shared" si="713"/>
        <v>0.16337880351804046</v>
      </c>
      <c r="EY273" s="528">
        <f t="shared" si="714"/>
        <v>14.932644892304005</v>
      </c>
      <c r="EZ273" s="528"/>
      <c r="FA273" s="528">
        <f t="shared" si="715"/>
        <v>1.7221276595744679</v>
      </c>
      <c r="FB273" s="460">
        <f t="shared" si="716"/>
        <v>16884.389573155069</v>
      </c>
      <c r="FC273" s="173">
        <f t="shared" si="717"/>
        <v>21.994011612521181</v>
      </c>
      <c r="FD273" s="5">
        <f t="shared" si="718"/>
        <v>39.899999999999991</v>
      </c>
      <c r="FE273" s="173">
        <f t="shared" si="719"/>
        <v>0.64465041060496098</v>
      </c>
      <c r="FF273" s="5">
        <f t="shared" si="720"/>
        <v>64.465041060496091</v>
      </c>
      <c r="FI273" s="562">
        <f t="shared" si="674"/>
        <v>-50</v>
      </c>
      <c r="FJ273">
        <f t="shared" si="675"/>
        <v>-50</v>
      </c>
      <c r="FL273">
        <f t="shared" si="758"/>
        <v>0.40629942819565062</v>
      </c>
    </row>
    <row r="274" spans="5:168">
      <c r="E274" s="170">
        <v>58</v>
      </c>
      <c r="F274" s="217">
        <f t="shared" si="759"/>
        <v>1.45</v>
      </c>
      <c r="G274" s="217"/>
      <c r="H274" s="217">
        <f t="shared" si="725"/>
        <v>40.6</v>
      </c>
      <c r="I274" s="541">
        <f t="shared" si="726"/>
        <v>39.908664751275452</v>
      </c>
      <c r="J274" s="172">
        <f t="shared" si="727"/>
        <v>28.449180518543983</v>
      </c>
      <c r="K274" s="172">
        <f t="shared" si="728"/>
        <v>68.357845269819435</v>
      </c>
      <c r="L274" s="443"/>
      <c r="M274" s="217">
        <f t="shared" si="729"/>
        <v>0.41618317206532091</v>
      </c>
      <c r="N274" s="172">
        <f t="shared" si="730"/>
        <v>140.53129378772479</v>
      </c>
      <c r="O274" s="172">
        <f t="shared" si="760"/>
        <v>40.6</v>
      </c>
      <c r="P274" s="217">
        <f t="shared" si="731"/>
        <v>5.0189747781330283</v>
      </c>
      <c r="Q274" s="217">
        <f t="shared" si="732"/>
        <v>28</v>
      </c>
      <c r="R274" s="217"/>
      <c r="S274" s="172">
        <f t="shared" si="733"/>
        <v>189.53552425994837</v>
      </c>
      <c r="T274" s="172">
        <f t="shared" si="734"/>
        <v>28</v>
      </c>
      <c r="U274" s="217">
        <f t="shared" si="735"/>
        <v>4.8888230200972256</v>
      </c>
      <c r="V274" s="217">
        <f t="shared" si="736"/>
        <v>0.57575136471391508</v>
      </c>
      <c r="W274" s="217">
        <f t="shared" si="737"/>
        <v>0.80766713752895603</v>
      </c>
      <c r="X274" s="197">
        <f t="shared" si="738"/>
        <v>350</v>
      </c>
      <c r="Y274" s="443">
        <f t="shared" si="678"/>
        <v>350</v>
      </c>
      <c r="AA274" s="217">
        <f t="shared" si="739"/>
        <v>10.096775306286993</v>
      </c>
      <c r="AB274" s="173">
        <f t="shared" si="740"/>
        <v>1.6680566214768981</v>
      </c>
      <c r="AC274" s="173">
        <f t="shared" si="741"/>
        <v>2.9473487584128795</v>
      </c>
      <c r="AD274" s="173"/>
      <c r="AE274" s="173">
        <f t="shared" si="742"/>
        <v>0.55068955875388703</v>
      </c>
      <c r="AF274" s="545">
        <f t="shared" si="743"/>
        <v>1579.8374713489318</v>
      </c>
      <c r="AG274" s="528">
        <f t="shared" si="744"/>
        <v>0.32123557593976748</v>
      </c>
      <c r="AI274" s="173">
        <f t="shared" si="745"/>
        <v>7.081918562015078</v>
      </c>
      <c r="AJ274" s="173">
        <f t="shared" si="746"/>
        <v>7.081918562015078</v>
      </c>
      <c r="AK274" s="173">
        <f t="shared" si="747"/>
        <v>3.9767297990235146</v>
      </c>
      <c r="AM274" s="545">
        <f t="shared" si="748"/>
        <v>1450</v>
      </c>
      <c r="AN274" s="460">
        <f t="shared" si="749"/>
        <v>350</v>
      </c>
      <c r="AP274">
        <f t="shared" si="750"/>
        <v>1450</v>
      </c>
      <c r="AQ274">
        <f t="shared" si="751"/>
        <v>350</v>
      </c>
      <c r="AS274" s="5">
        <f t="shared" si="761"/>
        <v>2.8571428571428572</v>
      </c>
      <c r="AT274" s="5">
        <f t="shared" si="752"/>
        <v>0.83402983910673445</v>
      </c>
      <c r="AU274" s="5">
        <f t="shared" si="721"/>
        <v>2.0231130180361228</v>
      </c>
      <c r="AV274" s="5"/>
      <c r="AW274" s="173">
        <f t="shared" si="722"/>
        <v>0.29191044368735702</v>
      </c>
      <c r="AX274" s="173">
        <f t="shared" si="630"/>
        <v>41.251311751888771</v>
      </c>
      <c r="AY274" s="173">
        <f t="shared" si="631"/>
        <v>2.5073162862097638</v>
      </c>
      <c r="AZ274" s="173">
        <f t="shared" si="632"/>
        <v>16.452376582392468</v>
      </c>
      <c r="BA274" s="460">
        <f t="shared" si="723"/>
        <v>4.3190830953741601</v>
      </c>
      <c r="BB274" s="5">
        <f t="shared" si="724"/>
        <v>1.4701137682430858</v>
      </c>
      <c r="BD274" s="173">
        <f t="shared" si="679"/>
        <v>2.2090986866978461</v>
      </c>
      <c r="BE274" s="173">
        <f t="shared" si="680"/>
        <v>3.4406016671653652</v>
      </c>
      <c r="BG274" s="528">
        <f t="shared" si="681"/>
        <v>5.8561404090841783E-2</v>
      </c>
      <c r="BH274" s="528">
        <f t="shared" si="753"/>
        <v>3.0922187282984628</v>
      </c>
      <c r="BI274" s="528">
        <f t="shared" si="682"/>
        <v>4.0250000000000001E-2</v>
      </c>
      <c r="BJ274" s="528">
        <f t="shared" si="683"/>
        <v>0.8054730398371277</v>
      </c>
      <c r="BK274">
        <f t="shared" si="684"/>
        <v>1.7958899138073952E-2</v>
      </c>
      <c r="BL274" s="460">
        <f t="shared" si="685"/>
        <v>58.208899138073953</v>
      </c>
      <c r="BM274" s="528">
        <f t="shared" si="754"/>
        <v>4.0281126748675025</v>
      </c>
      <c r="BN274" s="460">
        <f t="shared" si="686"/>
        <v>4028.1126748675024</v>
      </c>
      <c r="BO274" s="528">
        <f t="shared" si="635"/>
        <v>1.0149999999999999</v>
      </c>
      <c r="BR274" s="460">
        <f t="shared" si="687"/>
        <v>1014.9999999999999</v>
      </c>
      <c r="BS274" s="528">
        <f t="shared" si="688"/>
        <v>6.8321638105982074E-2</v>
      </c>
      <c r="BT274" s="528">
        <f t="shared" si="689"/>
        <v>0.16572835764941529</v>
      </c>
      <c r="BU274" s="528">
        <f t="shared" si="690"/>
        <v>15.293871468199455</v>
      </c>
      <c r="BV274" s="528"/>
      <c r="BW274" s="528">
        <f t="shared" si="691"/>
        <v>1.75537496816548</v>
      </c>
      <c r="BX274" s="460">
        <f t="shared" si="692"/>
        <v>17283.296432120329</v>
      </c>
      <c r="BY274" s="173">
        <f t="shared" si="693"/>
        <v>22.31275850348484</v>
      </c>
      <c r="BZ274" s="5">
        <f t="shared" si="694"/>
        <v>40.6</v>
      </c>
      <c r="CA274" s="173">
        <f t="shared" si="695"/>
        <v>0.6453380993896668</v>
      </c>
      <c r="CB274" s="5">
        <f t="shared" si="696"/>
        <v>64.533809938966684</v>
      </c>
      <c r="CE274" s="562">
        <f t="shared" si="755"/>
        <v>-50</v>
      </c>
      <c r="CF274">
        <f t="shared" si="756"/>
        <v>-50</v>
      </c>
      <c r="CG274" s="173">
        <f t="shared" si="757"/>
        <v>0.41276506635130839</v>
      </c>
      <c r="CI274" s="170">
        <v>58</v>
      </c>
      <c r="CJ274" s="217">
        <f t="shared" si="697"/>
        <v>1.45</v>
      </c>
      <c r="CK274" s="217"/>
      <c r="CL274" s="217">
        <f t="shared" si="639"/>
        <v>40.6</v>
      </c>
      <c r="CM274" s="541">
        <f t="shared" si="640"/>
        <v>40</v>
      </c>
      <c r="CN274" s="443">
        <f t="shared" si="641"/>
        <v>28.4</v>
      </c>
      <c r="CO274" s="443">
        <f t="shared" si="642"/>
        <v>68.400000000000006</v>
      </c>
      <c r="CP274" s="443"/>
      <c r="CQ274" s="217">
        <f t="shared" si="643"/>
        <v>0.41520467836257302</v>
      </c>
      <c r="CR274" s="172">
        <f t="shared" si="644"/>
        <v>140.52175355646798</v>
      </c>
      <c r="CS274" s="172">
        <f t="shared" si="645"/>
        <v>40.6</v>
      </c>
      <c r="CT274" s="217">
        <f t="shared" si="646"/>
        <v>5.0186340555881426</v>
      </c>
      <c r="CU274" s="217">
        <f t="shared" si="647"/>
        <v>28</v>
      </c>
      <c r="CV274" s="217"/>
      <c r="CW274" s="172">
        <f t="shared" si="648"/>
        <v>189.96910472264642</v>
      </c>
      <c r="CX274" s="172">
        <f t="shared" si="649"/>
        <v>28</v>
      </c>
      <c r="CY274" s="217">
        <f t="shared" si="650"/>
        <v>4.8891549295774661</v>
      </c>
      <c r="CZ274" s="217">
        <f t="shared" si="651"/>
        <v>0.57447570422535221</v>
      </c>
      <c r="DA274" s="217">
        <f t="shared" si="652"/>
        <v>0.8091207101765524</v>
      </c>
      <c r="DB274" s="197">
        <f t="shared" si="653"/>
        <v>350</v>
      </c>
      <c r="DC274" s="443">
        <f t="shared" si="654"/>
        <v>350</v>
      </c>
      <c r="DE274" s="217">
        <f t="shared" si="655"/>
        <v>10.09616239179509</v>
      </c>
      <c r="DF274" s="173">
        <f t="shared" si="656"/>
        <v>1.6708437761069339</v>
      </c>
      <c r="DG274" s="173">
        <f t="shared" si="657"/>
        <v>2.9520942666067511</v>
      </c>
      <c r="DH274" s="173"/>
      <c r="DI274" s="173">
        <f t="shared" si="658"/>
        <v>0.55164319248826299</v>
      </c>
      <c r="DJ274" s="545">
        <f t="shared" si="659"/>
        <v>1577.1063829787231</v>
      </c>
      <c r="DK274" s="528">
        <f t="shared" si="660"/>
        <v>0.3217918622848201</v>
      </c>
      <c r="DM274" s="173">
        <f t="shared" si="661"/>
        <v>7.0757946056193477</v>
      </c>
      <c r="DN274" s="173">
        <f t="shared" si="662"/>
        <v>7.0757946056193477</v>
      </c>
      <c r="DO274" s="173">
        <f t="shared" si="663"/>
        <v>3.972193535026677</v>
      </c>
      <c r="DQ274" s="545">
        <f t="shared" si="664"/>
        <v>1450</v>
      </c>
      <c r="DR274" s="460">
        <f t="shared" si="665"/>
        <v>350</v>
      </c>
      <c r="DT274">
        <f t="shared" si="666"/>
        <v>1450</v>
      </c>
      <c r="DU274">
        <f t="shared" si="667"/>
        <v>350</v>
      </c>
      <c r="DW274" s="5">
        <f t="shared" si="668"/>
        <v>2.8571428571428572</v>
      </c>
      <c r="DX274" s="5">
        <f t="shared" si="669"/>
        <v>0.83140586616027334</v>
      </c>
      <c r="DY274" s="5">
        <f t="shared" si="670"/>
        <v>2.0257369909825838</v>
      </c>
      <c r="DZ274" s="5"/>
      <c r="EA274" s="173">
        <f t="shared" si="671"/>
        <v>0.29099205315609566</v>
      </c>
      <c r="EB274" s="173">
        <f t="shared" si="698"/>
        <v>41.18</v>
      </c>
      <c r="EC274" s="173">
        <f t="shared" si="699"/>
        <v>2.5083973028096738</v>
      </c>
      <c r="ED274" s="173">
        <f t="shared" si="700"/>
        <v>16.416857071993334</v>
      </c>
      <c r="EE274" s="460">
        <f t="shared" si="672"/>
        <v>4.3054946640442724</v>
      </c>
      <c r="EF274" s="5">
        <f t="shared" si="673"/>
        <v>1.4686593184623733</v>
      </c>
      <c r="EH274" s="173">
        <f t="shared" si="701"/>
        <v>2.2037136151634464</v>
      </c>
      <c r="EI274" s="173">
        <f t="shared" si="702"/>
        <v>3.4398550457803512</v>
      </c>
      <c r="EK274" s="528">
        <f t="shared" si="703"/>
        <v>5.8276244371880954E-2</v>
      </c>
      <c r="EL274" s="528">
        <f t="shared" si="704"/>
        <v>3.2184959343120165</v>
      </c>
      <c r="EM274" s="528">
        <f t="shared" si="705"/>
        <v>4.0250000000000001E-2</v>
      </c>
      <c r="EN274" s="528">
        <f t="shared" si="706"/>
        <v>0.80646678000000016</v>
      </c>
      <c r="EO274">
        <f t="shared" si="707"/>
        <v>1.7999999999999999E-2</v>
      </c>
      <c r="EP274" s="460">
        <f t="shared" si="708"/>
        <v>58.249999999999993</v>
      </c>
      <c r="EQ274" s="460"/>
      <c r="ER274" s="460">
        <f t="shared" si="709"/>
        <v>4141.4889586838972</v>
      </c>
      <c r="ES274" s="528">
        <f t="shared" si="710"/>
        <v>1.0149999999999999</v>
      </c>
      <c r="EV274" s="460">
        <f t="shared" si="711"/>
        <v>1014.9999999999999</v>
      </c>
      <c r="EW274" s="528">
        <f t="shared" si="712"/>
        <v>6.7988951767194453E-2</v>
      </c>
      <c r="EX274" s="528">
        <f t="shared" si="713"/>
        <v>0.16565643830372759</v>
      </c>
      <c r="EY274" s="528">
        <f t="shared" si="714"/>
        <v>15.260830185837774</v>
      </c>
      <c r="EZ274" s="528"/>
      <c r="FA274" s="528">
        <f t="shared" si="715"/>
        <v>1.752340425531915</v>
      </c>
      <c r="FB274" s="460">
        <f t="shared" si="716"/>
        <v>17246.816001440609</v>
      </c>
      <c r="FC274" s="173">
        <f t="shared" si="717"/>
        <v>22.403304960124508</v>
      </c>
      <c r="FD274" s="5">
        <f t="shared" si="718"/>
        <v>40.6</v>
      </c>
      <c r="FE274" s="173">
        <f t="shared" si="719"/>
        <v>0.64441063886563077</v>
      </c>
      <c r="FF274" s="5">
        <f t="shared" si="720"/>
        <v>64.441063886563072</v>
      </c>
      <c r="FI274" s="562">
        <f t="shared" si="674"/>
        <v>-50</v>
      </c>
      <c r="FJ274">
        <f t="shared" si="675"/>
        <v>-50</v>
      </c>
      <c r="FL274">
        <f t="shared" si="758"/>
        <v>0.40984796219168407</v>
      </c>
    </row>
    <row r="275" spans="5:168">
      <c r="E275" s="170">
        <v>59</v>
      </c>
      <c r="F275" s="217">
        <f t="shared" si="759"/>
        <v>1.4749999999999999</v>
      </c>
      <c r="G275" s="217"/>
      <c r="H275" s="217">
        <f t="shared" si="725"/>
        <v>41.3</v>
      </c>
      <c r="I275" s="541">
        <f t="shared" si="726"/>
        <v>39.907880743344244</v>
      </c>
      <c r="J275" s="172">
        <f t="shared" si="727"/>
        <v>28.449602676660788</v>
      </c>
      <c r="K275" s="172">
        <f t="shared" si="728"/>
        <v>68.357483420005025</v>
      </c>
      <c r="L275" s="443"/>
      <c r="M275" s="217">
        <f t="shared" si="729"/>
        <v>0.41619157648765687</v>
      </c>
      <c r="N275" s="172">
        <f t="shared" si="730"/>
        <v>140.53137088240169</v>
      </c>
      <c r="O275" s="172">
        <f t="shared" si="760"/>
        <v>41.3</v>
      </c>
      <c r="P275" s="217">
        <f t="shared" si="731"/>
        <v>5.0189775315143459</v>
      </c>
      <c r="Q275" s="217">
        <f t="shared" si="732"/>
        <v>28</v>
      </c>
      <c r="R275" s="217"/>
      <c r="S275" s="172">
        <f t="shared" si="733"/>
        <v>185.64617414315293</v>
      </c>
      <c r="T275" s="172">
        <f t="shared" si="734"/>
        <v>28</v>
      </c>
      <c r="U275" s="217">
        <f t="shared" si="735"/>
        <v>4.9731103439475204</v>
      </c>
      <c r="V275" s="217">
        <f t="shared" si="736"/>
        <v>0.58568929698056071</v>
      </c>
      <c r="W275" s="217">
        <f t="shared" si="737"/>
        <v>0.82157979083934174</v>
      </c>
      <c r="X275" s="197">
        <f t="shared" si="738"/>
        <v>350</v>
      </c>
      <c r="Y275" s="443">
        <f t="shared" si="678"/>
        <v>350</v>
      </c>
      <c r="AA275" s="217">
        <f t="shared" si="739"/>
        <v>10.096780224885691</v>
      </c>
      <c r="AB275" s="173">
        <f t="shared" si="740"/>
        <v>1.6680326820835822</v>
      </c>
      <c r="AC275" s="173">
        <f t="shared" si="741"/>
        <v>2.9473078948117974</v>
      </c>
      <c r="AD275" s="173"/>
      <c r="AE275" s="173">
        <f t="shared" si="742"/>
        <v>0.55068138717870874</v>
      </c>
      <c r="AF275" s="545">
        <f t="shared" si="743"/>
        <v>1607.0998958837101</v>
      </c>
      <c r="AG275" s="528">
        <f t="shared" si="744"/>
        <v>0.32123080918758012</v>
      </c>
      <c r="AI275" s="173">
        <f t="shared" si="745"/>
        <v>7.1427616727543546</v>
      </c>
      <c r="AJ275" s="173">
        <f t="shared" si="746"/>
        <v>7.1427616727543546</v>
      </c>
      <c r="AK275" s="173">
        <f t="shared" si="747"/>
        <v>4.0217987699414968</v>
      </c>
      <c r="AM275" s="545">
        <f t="shared" si="748"/>
        <v>1474.9999999999998</v>
      </c>
      <c r="AN275" s="460">
        <f t="shared" si="749"/>
        <v>350</v>
      </c>
      <c r="AP275">
        <f t="shared" si="750"/>
        <v>1474.9999999999998</v>
      </c>
      <c r="AQ275">
        <f t="shared" si="751"/>
        <v>350</v>
      </c>
      <c r="AS275" s="5">
        <f t="shared" si="761"/>
        <v>2.8571428571428572</v>
      </c>
      <c r="AT275" s="5">
        <f t="shared" si="752"/>
        <v>0.84121179167210902</v>
      </c>
      <c r="AU275" s="5">
        <f t="shared" si="721"/>
        <v>2.0159310654707481</v>
      </c>
      <c r="AV275" s="5"/>
      <c r="AW275" s="173">
        <f t="shared" si="722"/>
        <v>0.29442412708523813</v>
      </c>
      <c r="AX275" s="173">
        <f t="shared" si="630"/>
        <v>41.963163948074666</v>
      </c>
      <c r="AY275" s="173">
        <f t="shared" si="631"/>
        <v>2.5198801511378792</v>
      </c>
      <c r="AZ275" s="173">
        <f t="shared" si="632"/>
        <v>16.65284117942107</v>
      </c>
      <c r="BA275" s="460">
        <f t="shared" si="723"/>
        <v>4.4313835454155734</v>
      </c>
      <c r="BB275" s="5">
        <f t="shared" si="724"/>
        <v>1.490181019980755</v>
      </c>
      <c r="BD275" s="173">
        <f t="shared" si="679"/>
        <v>2.2376503738523286</v>
      </c>
      <c r="BE275" s="173">
        <f t="shared" si="680"/>
        <v>3.4639960896323281</v>
      </c>
      <c r="BG275" s="528">
        <f t="shared" si="681"/>
        <v>6.0084950347217593E-2</v>
      </c>
      <c r="BH275" s="528">
        <f t="shared" si="753"/>
        <v>3.1187684955997308</v>
      </c>
      <c r="BI275" s="528">
        <f t="shared" si="682"/>
        <v>4.0250000000000001E-2</v>
      </c>
      <c r="BJ275" s="528">
        <f t="shared" si="683"/>
        <v>0.80546451237411554</v>
      </c>
      <c r="BK275">
        <f t="shared" si="684"/>
        <v>1.7958546334504909E-2</v>
      </c>
      <c r="BL275" s="460">
        <f t="shared" si="685"/>
        <v>58.208546334504909</v>
      </c>
      <c r="BM275" s="528">
        <f t="shared" si="754"/>
        <v>4.0584805102615578</v>
      </c>
      <c r="BN275" s="460">
        <f t="shared" si="686"/>
        <v>4058.4805102615578</v>
      </c>
      <c r="BO275" s="528">
        <f t="shared" si="635"/>
        <v>1.0324999999999998</v>
      </c>
      <c r="BR275" s="460">
        <f t="shared" si="687"/>
        <v>1032.4999999999998</v>
      </c>
      <c r="BS275" s="528">
        <f t="shared" si="688"/>
        <v>7.0099108738420526E-2</v>
      </c>
      <c r="BT275" s="528">
        <f t="shared" si="689"/>
        <v>0.16798976472583285</v>
      </c>
      <c r="BU275" s="528">
        <f t="shared" si="690"/>
        <v>15.62447790310908</v>
      </c>
      <c r="BV275" s="528"/>
      <c r="BW275" s="528">
        <f t="shared" si="691"/>
        <v>1.7856665509819007</v>
      </c>
      <c r="BX275" s="460">
        <f t="shared" si="692"/>
        <v>17648.233327555234</v>
      </c>
      <c r="BY275" s="173">
        <f t="shared" si="693"/>
        <v>22.723259832210804</v>
      </c>
      <c r="BZ275" s="5">
        <f t="shared" si="694"/>
        <v>41.3</v>
      </c>
      <c r="CA275" s="173">
        <f t="shared" si="695"/>
        <v>0.64507805613517855</v>
      </c>
      <c r="CB275" s="5">
        <f t="shared" si="696"/>
        <v>64.50780561351786</v>
      </c>
      <c r="CE275" s="562">
        <f t="shared" si="755"/>
        <v>-50</v>
      </c>
      <c r="CF275">
        <f t="shared" si="756"/>
        <v>-50</v>
      </c>
      <c r="CG275" s="173">
        <f t="shared" si="757"/>
        <v>0.41630817911734569</v>
      </c>
      <c r="CI275" s="170">
        <v>59</v>
      </c>
      <c r="CJ275" s="217">
        <f t="shared" si="697"/>
        <v>1.4749999999999999</v>
      </c>
      <c r="CK275" s="217"/>
      <c r="CL275" s="217">
        <f t="shared" si="639"/>
        <v>41.3</v>
      </c>
      <c r="CM275" s="541">
        <f t="shared" si="640"/>
        <v>40</v>
      </c>
      <c r="CN275" s="443">
        <f t="shared" si="641"/>
        <v>28.4</v>
      </c>
      <c r="CO275" s="443">
        <f t="shared" si="642"/>
        <v>68.400000000000006</v>
      </c>
      <c r="CP275" s="443"/>
      <c r="CQ275" s="217">
        <f t="shared" si="643"/>
        <v>0.41520467836257302</v>
      </c>
      <c r="CR275" s="172">
        <f t="shared" si="644"/>
        <v>140.52175355646798</v>
      </c>
      <c r="CS275" s="172">
        <f t="shared" si="645"/>
        <v>41.3</v>
      </c>
      <c r="CT275" s="217">
        <f t="shared" si="646"/>
        <v>5.0186340555881426</v>
      </c>
      <c r="CU275" s="217">
        <f t="shared" si="647"/>
        <v>28</v>
      </c>
      <c r="CV275" s="217"/>
      <c r="CW275" s="172">
        <f t="shared" si="648"/>
        <v>186.0745031799521</v>
      </c>
      <c r="CX275" s="172">
        <f t="shared" si="649"/>
        <v>28</v>
      </c>
      <c r="CY275" s="217">
        <f t="shared" si="650"/>
        <v>4.9734507042253533</v>
      </c>
      <c r="CZ275" s="217">
        <f t="shared" si="651"/>
        <v>0.58438045774647895</v>
      </c>
      <c r="DA275" s="217">
        <f t="shared" si="652"/>
        <v>0.82307106724856205</v>
      </c>
      <c r="DB275" s="197">
        <f t="shared" si="653"/>
        <v>350</v>
      </c>
      <c r="DC275" s="443">
        <f t="shared" si="654"/>
        <v>350</v>
      </c>
      <c r="DE275" s="217">
        <f t="shared" si="655"/>
        <v>10.09616239179509</v>
      </c>
      <c r="DF275" s="173">
        <f t="shared" si="656"/>
        <v>1.6708437761069339</v>
      </c>
      <c r="DG275" s="173">
        <f t="shared" si="657"/>
        <v>2.9520942666067511</v>
      </c>
      <c r="DH275" s="173"/>
      <c r="DI275" s="173">
        <f t="shared" si="658"/>
        <v>0.55164319248826299</v>
      </c>
      <c r="DJ275" s="545">
        <f t="shared" si="659"/>
        <v>1604.2978723404251</v>
      </c>
      <c r="DK275" s="528">
        <f t="shared" si="660"/>
        <v>0.3217918622848201</v>
      </c>
      <c r="DM275" s="173">
        <f t="shared" si="661"/>
        <v>7.1365321540234321</v>
      </c>
      <c r="DN275" s="173">
        <f t="shared" si="662"/>
        <v>7.1365321540234321</v>
      </c>
      <c r="DO275" s="173">
        <f t="shared" si="663"/>
        <v>4.0171843116222954</v>
      </c>
      <c r="DQ275" s="545">
        <f t="shared" si="664"/>
        <v>1474.9999999999998</v>
      </c>
      <c r="DR275" s="460">
        <f t="shared" si="665"/>
        <v>350</v>
      </c>
      <c r="DT275">
        <f t="shared" si="666"/>
        <v>1474.9999999999998</v>
      </c>
      <c r="DU275">
        <f t="shared" si="667"/>
        <v>350</v>
      </c>
      <c r="DW275" s="5">
        <f t="shared" si="668"/>
        <v>2.8571428571428572</v>
      </c>
      <c r="DX275" s="5">
        <f t="shared" si="669"/>
        <v>0.83854252809775331</v>
      </c>
      <c r="DY275" s="5">
        <f t="shared" si="670"/>
        <v>2.0186003290451038</v>
      </c>
      <c r="DZ275" s="5"/>
      <c r="EA275" s="173">
        <f t="shared" si="671"/>
        <v>0.29348988483421368</v>
      </c>
      <c r="EB275" s="173">
        <f t="shared" si="698"/>
        <v>41.889999999999986</v>
      </c>
      <c r="EC275" s="173">
        <f t="shared" si="699"/>
        <v>2.521016077011716</v>
      </c>
      <c r="ED275" s="173">
        <f t="shared" si="700"/>
        <v>16.61631608857261</v>
      </c>
      <c r="EE275" s="460">
        <f t="shared" si="672"/>
        <v>4.4173222462292365</v>
      </c>
      <c r="EF275" s="5">
        <f t="shared" si="673"/>
        <v>1.4887177426707638</v>
      </c>
      <c r="EH275" s="173">
        <f t="shared" si="701"/>
        <v>2.2321489344427774</v>
      </c>
      <c r="EI275" s="173">
        <f t="shared" si="702"/>
        <v>3.4632655393817866</v>
      </c>
      <c r="EK275" s="528">
        <f t="shared" si="703"/>
        <v>5.9789866386408319E-2</v>
      </c>
      <c r="EL275" s="528">
        <f t="shared" si="704"/>
        <v>3.2461230155790983</v>
      </c>
      <c r="EM275" s="528">
        <f t="shared" si="705"/>
        <v>4.0250000000000001E-2</v>
      </c>
      <c r="EN275" s="528">
        <f t="shared" si="706"/>
        <v>0.80646678000000016</v>
      </c>
      <c r="EO275">
        <f t="shared" si="707"/>
        <v>1.7999999999999999E-2</v>
      </c>
      <c r="EP275" s="460">
        <f t="shared" si="708"/>
        <v>58.249999999999993</v>
      </c>
      <c r="EQ275" s="460"/>
      <c r="ER275" s="460">
        <f t="shared" si="709"/>
        <v>4170.6296619655059</v>
      </c>
      <c r="ES275" s="528">
        <f t="shared" si="710"/>
        <v>1.0324999999999998</v>
      </c>
      <c r="EV275" s="460">
        <f t="shared" si="711"/>
        <v>1032.4999999999998</v>
      </c>
      <c r="EW275" s="528">
        <f t="shared" si="712"/>
        <v>6.9754844117476372E-2</v>
      </c>
      <c r="EX275" s="528">
        <f t="shared" si="713"/>
        <v>0.16791891474777185</v>
      </c>
      <c r="EY275" s="528">
        <f t="shared" si="714"/>
        <v>15.59043318582386</v>
      </c>
      <c r="EZ275" s="528"/>
      <c r="FA275" s="528">
        <f t="shared" si="715"/>
        <v>1.7825531914893618</v>
      </c>
      <c r="FB275" s="460">
        <f t="shared" si="716"/>
        <v>17610.660136178471</v>
      </c>
      <c r="FC275" s="173">
        <f t="shared" si="717"/>
        <v>22.813789798143979</v>
      </c>
      <c r="FD275" s="5">
        <f t="shared" si="718"/>
        <v>41.3</v>
      </c>
      <c r="FE275" s="173">
        <f t="shared" si="719"/>
        <v>0.64416719289296454</v>
      </c>
      <c r="FF275" s="5">
        <f t="shared" si="720"/>
        <v>64.416719289296452</v>
      </c>
      <c r="FI275" s="562">
        <f t="shared" si="674"/>
        <v>-50</v>
      </c>
      <c r="FJ275">
        <f t="shared" si="675"/>
        <v>-50</v>
      </c>
      <c r="FL275">
        <f t="shared" si="758"/>
        <v>0.41336603497776575</v>
      </c>
    </row>
    <row r="276" spans="5:168">
      <c r="E276" s="170">
        <v>60</v>
      </c>
      <c r="F276" s="217">
        <f t="shared" si="759"/>
        <v>1.5</v>
      </c>
      <c r="G276" s="217"/>
      <c r="H276" s="217">
        <f t="shared" si="725"/>
        <v>42</v>
      </c>
      <c r="I276" s="541">
        <f t="shared" si="726"/>
        <v>39.907103351868635</v>
      </c>
      <c r="J276" s="172">
        <f t="shared" si="727"/>
        <v>28.450021272070732</v>
      </c>
      <c r="K276" s="172">
        <f t="shared" si="728"/>
        <v>68.35712462393937</v>
      </c>
      <c r="L276" s="443"/>
      <c r="M276" s="217">
        <f t="shared" si="729"/>
        <v>0.41619991006991774</v>
      </c>
      <c r="N276" s="172">
        <f t="shared" si="730"/>
        <v>140.53144724577999</v>
      </c>
      <c r="O276" s="172">
        <f t="shared" si="760"/>
        <v>42</v>
      </c>
      <c r="P276" s="217">
        <f t="shared" si="731"/>
        <v>5.0189802587778569</v>
      </c>
      <c r="Q276" s="217">
        <f t="shared" si="732"/>
        <v>28</v>
      </c>
      <c r="R276" s="217"/>
      <c r="S276" s="172">
        <f t="shared" si="733"/>
        <v>181.88659640319256</v>
      </c>
      <c r="T276" s="172">
        <f t="shared" si="734"/>
        <v>28</v>
      </c>
      <c r="U276" s="217">
        <f t="shared" si="735"/>
        <v>5.057397601636537</v>
      </c>
      <c r="V276" s="217">
        <f t="shared" si="736"/>
        <v>0.59562751318002416</v>
      </c>
      <c r="W276" s="217">
        <f t="shared" si="737"/>
        <v>0.83549212495761505</v>
      </c>
      <c r="X276" s="197">
        <f t="shared" si="738"/>
        <v>350</v>
      </c>
      <c r="Y276" s="443">
        <f t="shared" si="678"/>
        <v>350</v>
      </c>
      <c r="AA276" s="217">
        <f t="shared" si="739"/>
        <v>10.096785096213972</v>
      </c>
      <c r="AB276" s="173">
        <f t="shared" si="740"/>
        <v>1.6680089444710517</v>
      </c>
      <c r="AC276" s="173">
        <f t="shared" si="741"/>
        <v>2.94726737390521</v>
      </c>
      <c r="AD276" s="173"/>
      <c r="AE276" s="173">
        <f t="shared" si="742"/>
        <v>0.5506732848051179</v>
      </c>
      <c r="AF276" s="545">
        <f t="shared" si="743"/>
        <v>1634.3629241402334</v>
      </c>
      <c r="AG276" s="528">
        <f t="shared" si="744"/>
        <v>0.32122608280298542</v>
      </c>
      <c r="AI276" s="173">
        <f t="shared" si="745"/>
        <v>7.2030922022623818</v>
      </c>
      <c r="AJ276" s="173">
        <f t="shared" si="746"/>
        <v>7.2030922022623818</v>
      </c>
      <c r="AK276" s="173">
        <f t="shared" si="747"/>
        <v>4.0664880510585544</v>
      </c>
      <c r="AM276" s="545">
        <f t="shared" si="748"/>
        <v>1500</v>
      </c>
      <c r="AN276" s="460">
        <f t="shared" si="749"/>
        <v>350</v>
      </c>
      <c r="AP276">
        <f t="shared" si="750"/>
        <v>1500</v>
      </c>
      <c r="AQ276">
        <f t="shared" si="751"/>
        <v>350</v>
      </c>
      <c r="AS276" s="5">
        <f t="shared" si="761"/>
        <v>2.8571428571428572</v>
      </c>
      <c r="AT276" s="5">
        <f t="shared" si="752"/>
        <v>0.84833351727213169</v>
      </c>
      <c r="AU276" s="5">
        <f t="shared" si="721"/>
        <v>2.0088093398707256</v>
      </c>
      <c r="AV276" s="5"/>
      <c r="AW276" s="173">
        <f t="shared" si="722"/>
        <v>0.29691673104524607</v>
      </c>
      <c r="AX276" s="173">
        <f t="shared" si="630"/>
        <v>42.675031908106099</v>
      </c>
      <c r="AY276" s="173">
        <f t="shared" si="631"/>
        <v>2.5321868060745665</v>
      </c>
      <c r="AZ276" s="173">
        <f t="shared" si="632"/>
        <v>16.853034620404475</v>
      </c>
      <c r="BA276" s="460">
        <f t="shared" si="723"/>
        <v>4.5446438425292772</v>
      </c>
      <c r="BB276" s="5">
        <f t="shared" si="724"/>
        <v>1.5101141184004254</v>
      </c>
      <c r="BD276" s="173">
        <f t="shared" si="679"/>
        <v>2.2660823167806838</v>
      </c>
      <c r="BE276" s="173">
        <f t="shared" si="680"/>
        <v>3.4870785324783835</v>
      </c>
      <c r="BG276" s="528">
        <f t="shared" si="681"/>
        <v>6.1621548797113346E-2</v>
      </c>
      <c r="BH276" s="528">
        <f t="shared" si="753"/>
        <v>3.1450943132339164</v>
      </c>
      <c r="BI276" s="528">
        <f t="shared" si="682"/>
        <v>4.0250000000000001E-2</v>
      </c>
      <c r="BJ276" s="528">
        <f t="shared" si="683"/>
        <v>0.80545605692124778</v>
      </c>
      <c r="BK276">
        <f t="shared" si="684"/>
        <v>1.7958196508340886E-2</v>
      </c>
      <c r="BL276" s="460">
        <f t="shared" si="685"/>
        <v>58.20819650834089</v>
      </c>
      <c r="BM276" s="528">
        <f t="shared" si="754"/>
        <v>4.0886731454548455</v>
      </c>
      <c r="BN276" s="460">
        <f t="shared" si="686"/>
        <v>4088.6731454548453</v>
      </c>
      <c r="BO276" s="528">
        <f t="shared" si="635"/>
        <v>1.0499999999999998</v>
      </c>
      <c r="BR276" s="460">
        <f t="shared" si="687"/>
        <v>1049.9999999999998</v>
      </c>
      <c r="BS276" s="528">
        <f t="shared" si="688"/>
        <v>7.1891806929965565E-2</v>
      </c>
      <c r="BT276" s="528">
        <f t="shared" si="689"/>
        <v>0.17023603368340234</v>
      </c>
      <c r="BU276" s="528">
        <f t="shared" si="690"/>
        <v>15.956496822542649</v>
      </c>
      <c r="BV276" s="528"/>
      <c r="BW276" s="528">
        <f t="shared" si="691"/>
        <v>1.8159588046002597</v>
      </c>
      <c r="BX276" s="460">
        <f t="shared" si="692"/>
        <v>18014.583467756278</v>
      </c>
      <c r="BY276" s="173">
        <f t="shared" si="693"/>
        <v>23.134963583216898</v>
      </c>
      <c r="BZ276" s="5">
        <f t="shared" si="694"/>
        <v>42</v>
      </c>
      <c r="CA276" s="173">
        <f t="shared" si="695"/>
        <v>0.64481497631207696</v>
      </c>
      <c r="CB276" s="5">
        <f t="shared" si="696"/>
        <v>64.481497631207702</v>
      </c>
      <c r="CE276" s="562">
        <f t="shared" si="755"/>
        <v>-50</v>
      </c>
      <c r="CF276">
        <f t="shared" si="756"/>
        <v>-50</v>
      </c>
      <c r="CG276" s="173">
        <f t="shared" si="757"/>
        <v>0.41982139059366663</v>
      </c>
      <c r="CI276" s="170">
        <v>60</v>
      </c>
      <c r="CJ276" s="217">
        <f t="shared" si="697"/>
        <v>1.5</v>
      </c>
      <c r="CK276" s="217"/>
      <c r="CL276" s="217">
        <f t="shared" si="639"/>
        <v>42</v>
      </c>
      <c r="CM276" s="541">
        <f t="shared" si="640"/>
        <v>40</v>
      </c>
      <c r="CN276" s="443">
        <f t="shared" si="641"/>
        <v>28.4</v>
      </c>
      <c r="CO276" s="443">
        <f t="shared" si="642"/>
        <v>68.400000000000006</v>
      </c>
      <c r="CP276" s="443"/>
      <c r="CQ276" s="217">
        <f t="shared" si="643"/>
        <v>0.41520467836257302</v>
      </c>
      <c r="CR276" s="172">
        <f t="shared" si="644"/>
        <v>140.52175355646798</v>
      </c>
      <c r="CS276" s="172">
        <f t="shared" si="645"/>
        <v>42</v>
      </c>
      <c r="CT276" s="217">
        <f t="shared" si="646"/>
        <v>5.0186340555881426</v>
      </c>
      <c r="CU276" s="217">
        <f t="shared" si="647"/>
        <v>28</v>
      </c>
      <c r="CV276" s="217"/>
      <c r="CW276" s="172">
        <f t="shared" si="648"/>
        <v>182.30979278839618</v>
      </c>
      <c r="CX276" s="172">
        <f t="shared" si="649"/>
        <v>28</v>
      </c>
      <c r="CY276" s="217">
        <f t="shared" si="650"/>
        <v>5.0577464788732405</v>
      </c>
      <c r="CZ276" s="217">
        <f t="shared" si="651"/>
        <v>0.5942852112676057</v>
      </c>
      <c r="DA276" s="217">
        <f t="shared" si="652"/>
        <v>0.83702142432057147</v>
      </c>
      <c r="DB276" s="197">
        <f t="shared" si="653"/>
        <v>350</v>
      </c>
      <c r="DC276" s="443">
        <f t="shared" si="654"/>
        <v>350</v>
      </c>
      <c r="DE276" s="217">
        <f t="shared" si="655"/>
        <v>10.09616239179509</v>
      </c>
      <c r="DF276" s="173">
        <f t="shared" si="656"/>
        <v>1.6708437761069339</v>
      </c>
      <c r="DG276" s="173">
        <f t="shared" si="657"/>
        <v>2.9520942666067511</v>
      </c>
      <c r="DH276" s="173"/>
      <c r="DI276" s="173">
        <f t="shared" si="658"/>
        <v>0.55164319248826299</v>
      </c>
      <c r="DJ276" s="545">
        <f t="shared" si="659"/>
        <v>1631.4893617021273</v>
      </c>
      <c r="DK276" s="528">
        <f t="shared" si="660"/>
        <v>0.3217918622848201</v>
      </c>
      <c r="DM276" s="173">
        <f t="shared" si="661"/>
        <v>7.1967571217812267</v>
      </c>
      <c r="DN276" s="173">
        <f t="shared" si="662"/>
        <v>7.1967571217812267</v>
      </c>
      <c r="DO276" s="173">
        <f t="shared" si="663"/>
        <v>4.0617953988502915</v>
      </c>
      <c r="DQ276" s="545">
        <f t="shared" si="664"/>
        <v>1500</v>
      </c>
      <c r="DR276" s="460">
        <f t="shared" si="665"/>
        <v>350</v>
      </c>
      <c r="DT276">
        <f t="shared" si="666"/>
        <v>1500</v>
      </c>
      <c r="DU276">
        <f t="shared" si="667"/>
        <v>350</v>
      </c>
      <c r="DW276" s="5">
        <f t="shared" si="668"/>
        <v>2.8571428571428572</v>
      </c>
      <c r="DX276" s="5">
        <f t="shared" si="669"/>
        <v>0.84561896180929408</v>
      </c>
      <c r="DY276" s="5">
        <f t="shared" si="670"/>
        <v>2.0115238953335632</v>
      </c>
      <c r="DZ276" s="5"/>
      <c r="EA276" s="173">
        <f t="shared" si="671"/>
        <v>0.2959666366332529</v>
      </c>
      <c r="EB276" s="173">
        <f t="shared" si="698"/>
        <v>42.599999999999994</v>
      </c>
      <c r="EC276" s="173">
        <f t="shared" si="699"/>
        <v>2.5333785608906134</v>
      </c>
      <c r="ED276" s="173">
        <f t="shared" si="700"/>
        <v>16.815489267037886</v>
      </c>
      <c r="EE276" s="460">
        <f t="shared" si="672"/>
        <v>4.5301015811212189</v>
      </c>
      <c r="EF276" s="5">
        <f t="shared" si="673"/>
        <v>1.5086429215001722</v>
      </c>
      <c r="EH276" s="173">
        <f t="shared" si="701"/>
        <v>2.2604640135301133</v>
      </c>
      <c r="EI276" s="173">
        <f t="shared" si="702"/>
        <v>3.4863648881757818</v>
      </c>
      <c r="EK276" s="528">
        <f t="shared" si="703"/>
        <v>6.1316370677576018E-2</v>
      </c>
      <c r="EL276" s="528">
        <f t="shared" si="704"/>
        <v>3.2735169444134096</v>
      </c>
      <c r="EM276" s="528">
        <f t="shared" si="705"/>
        <v>4.0250000000000001E-2</v>
      </c>
      <c r="EN276" s="528">
        <f t="shared" si="706"/>
        <v>0.80646678000000016</v>
      </c>
      <c r="EO276">
        <f t="shared" si="707"/>
        <v>1.7999999999999999E-2</v>
      </c>
      <c r="EP276" s="460">
        <f t="shared" si="708"/>
        <v>58.249999999999993</v>
      </c>
      <c r="EQ276" s="460"/>
      <c r="ER276" s="460">
        <f t="shared" si="709"/>
        <v>4199.5500950909855</v>
      </c>
      <c r="ES276" s="528">
        <f t="shared" si="710"/>
        <v>1.0499999999999998</v>
      </c>
      <c r="EV276" s="460">
        <f t="shared" si="711"/>
        <v>1049.9999999999998</v>
      </c>
      <c r="EW276" s="528">
        <f t="shared" si="712"/>
        <v>7.1535765790505357E-2</v>
      </c>
      <c r="EX276" s="528">
        <f t="shared" si="713"/>
        <v>0.17016636186906905</v>
      </c>
      <c r="EY276" s="528">
        <f t="shared" si="714"/>
        <v>15.921435830586439</v>
      </c>
      <c r="EZ276" s="528"/>
      <c r="FA276" s="528">
        <f t="shared" si="715"/>
        <v>1.8127659574468082</v>
      </c>
      <c r="FB276" s="460">
        <f t="shared" si="716"/>
        <v>17975.903915692823</v>
      </c>
      <c r="FC276" s="173">
        <f t="shared" si="717"/>
        <v>23.225454010783807</v>
      </c>
      <c r="FD276" s="5">
        <f t="shared" si="718"/>
        <v>42</v>
      </c>
      <c r="FE276" s="173">
        <f t="shared" si="719"/>
        <v>0.64392039330314343</v>
      </c>
      <c r="FF276" s="5">
        <f t="shared" si="720"/>
        <v>64.392039330314347</v>
      </c>
      <c r="FI276" s="562">
        <f t="shared" si="674"/>
        <v>-50</v>
      </c>
      <c r="FJ276">
        <f t="shared" si="675"/>
        <v>-50</v>
      </c>
      <c r="FL276">
        <f t="shared" si="758"/>
        <v>0.41685441779331406</v>
      </c>
    </row>
    <row r="277" spans="5:168">
      <c r="E277" s="170">
        <v>61</v>
      </c>
      <c r="F277" s="217">
        <f t="shared" si="759"/>
        <v>1.5249999999999999</v>
      </c>
      <c r="G277" s="217"/>
      <c r="H277" s="217">
        <f t="shared" si="725"/>
        <v>42.699999999999996</v>
      </c>
      <c r="I277" s="541">
        <f t="shared" si="726"/>
        <v>39.906332412109222</v>
      </c>
      <c r="J277" s="172">
        <f t="shared" si="727"/>
        <v>28.450436393479649</v>
      </c>
      <c r="K277" s="172">
        <f t="shared" si="728"/>
        <v>68.356768805588871</v>
      </c>
      <c r="L277" s="443"/>
      <c r="M277" s="217">
        <f t="shared" si="729"/>
        <v>0.41620817457591208</v>
      </c>
      <c r="N277" s="172">
        <f t="shared" si="730"/>
        <v>140.53152289606663</v>
      </c>
      <c r="O277" s="172">
        <f t="shared" si="760"/>
        <v>42.699999999999996</v>
      </c>
      <c r="P277" s="217">
        <f t="shared" si="731"/>
        <v>5.0189829605738083</v>
      </c>
      <c r="Q277" s="217">
        <f t="shared" si="732"/>
        <v>28</v>
      </c>
      <c r="R277" s="217"/>
      <c r="S277" s="172">
        <f t="shared" si="733"/>
        <v>178.25040848391538</v>
      </c>
      <c r="T277" s="172">
        <f t="shared" si="734"/>
        <v>28</v>
      </c>
      <c r="U277" s="217">
        <f t="shared" si="735"/>
        <v>5.1416847938140799</v>
      </c>
      <c r="V277" s="217">
        <f t="shared" si="736"/>
        <v>0.60556601096204077</v>
      </c>
      <c r="W277" s="217">
        <f t="shared" si="737"/>
        <v>0.84940414258336605</v>
      </c>
      <c r="X277" s="197">
        <f t="shared" si="738"/>
        <v>350</v>
      </c>
      <c r="Y277" s="443">
        <f t="shared" si="678"/>
        <v>350</v>
      </c>
      <c r="AA277" s="217">
        <f t="shared" si="739"/>
        <v>10.096789921448707</v>
      </c>
      <c r="AB277" s="173">
        <f t="shared" si="740"/>
        <v>1.6679854036152773</v>
      </c>
      <c r="AC277" s="173">
        <f t="shared" si="741"/>
        <v>2.9472271871605997</v>
      </c>
      <c r="AD277" s="173"/>
      <c r="AE277" s="173">
        <f t="shared" si="742"/>
        <v>0.55066524991009269</v>
      </c>
      <c r="AF277" s="545">
        <f t="shared" si="743"/>
        <v>1661.6265510659921</v>
      </c>
      <c r="AG277" s="528">
        <f t="shared" si="744"/>
        <v>0.32122139578088738</v>
      </c>
      <c r="AI277" s="173">
        <f t="shared" si="745"/>
        <v>7.2629229130006765</v>
      </c>
      <c r="AJ277" s="173">
        <f t="shared" si="746"/>
        <v>7.2629229130006765</v>
      </c>
      <c r="AK277" s="173">
        <f t="shared" si="747"/>
        <v>4.1108070960498839</v>
      </c>
      <c r="AM277" s="545">
        <f t="shared" si="748"/>
        <v>1525</v>
      </c>
      <c r="AN277" s="460">
        <f t="shared" si="749"/>
        <v>350</v>
      </c>
      <c r="AP277">
        <f t="shared" si="750"/>
        <v>1525</v>
      </c>
      <c r="AQ277">
        <f t="shared" si="751"/>
        <v>350</v>
      </c>
      <c r="AS277" s="5">
        <f t="shared" si="761"/>
        <v>2.8571428571428572</v>
      </c>
      <c r="AT277" s="5">
        <f t="shared" si="752"/>
        <v>0.85539651548497087</v>
      </c>
      <c r="AU277" s="5">
        <f t="shared" si="721"/>
        <v>2.0017463416578862</v>
      </c>
      <c r="AV277" s="5"/>
      <c r="AW277" s="173">
        <f t="shared" si="722"/>
        <v>0.29938878041973982</v>
      </c>
      <c r="AX277" s="173">
        <f t="shared" si="630"/>
        <v>43.386915500056467</v>
      </c>
      <c r="AY277" s="173">
        <f t="shared" si="631"/>
        <v>2.5442426398974098</v>
      </c>
      <c r="AZ277" s="173">
        <f t="shared" si="632"/>
        <v>17.052978682019862</v>
      </c>
      <c r="BA277" s="460">
        <f t="shared" si="723"/>
        <v>4.6588560218377868</v>
      </c>
      <c r="BB277" s="5">
        <f t="shared" si="724"/>
        <v>1.5299141697631791</v>
      </c>
      <c r="BD277" s="173">
        <f t="shared" si="679"/>
        <v>2.2943970093179731</v>
      </c>
      <c r="BE277" s="173">
        <f t="shared" si="680"/>
        <v>3.5098564230410934</v>
      </c>
      <c r="BG277" s="528">
        <f t="shared" si="681"/>
        <v>6.3171091636407106E-2</v>
      </c>
      <c r="BH277" s="528">
        <f t="shared" si="753"/>
        <v>3.1712017571873186</v>
      </c>
      <c r="BI277" s="528">
        <f t="shared" si="682"/>
        <v>4.0250000000000001E-2</v>
      </c>
      <c r="BJ277" s="528">
        <f t="shared" si="683"/>
        <v>0.80544767168558296</v>
      </c>
      <c r="BK277">
        <f t="shared" si="684"/>
        <v>1.7957849585449149E-2</v>
      </c>
      <c r="BL277" s="460">
        <f t="shared" si="685"/>
        <v>58.207849585449154</v>
      </c>
      <c r="BM277" s="528">
        <f t="shared" si="754"/>
        <v>4.1186960838409341</v>
      </c>
      <c r="BN277" s="460">
        <f t="shared" si="686"/>
        <v>4118.6960838409341</v>
      </c>
      <c r="BO277" s="528">
        <f t="shared" si="635"/>
        <v>1.0674999999999999</v>
      </c>
      <c r="BR277" s="460">
        <f t="shared" si="687"/>
        <v>1067.5</v>
      </c>
      <c r="BS277" s="528">
        <f t="shared" si="688"/>
        <v>7.3699606909141624E-2</v>
      </c>
      <c r="BT277" s="528">
        <f t="shared" si="689"/>
        <v>0.17246728954507948</v>
      </c>
      <c r="BU277" s="528">
        <f t="shared" si="690"/>
        <v>16.289910639010756</v>
      </c>
      <c r="BV277" s="528"/>
      <c r="BW277" s="528">
        <f t="shared" si="691"/>
        <v>1.8462517234066582</v>
      </c>
      <c r="BX277" s="460">
        <f t="shared" si="692"/>
        <v>18382.329258871636</v>
      </c>
      <c r="BY277" s="173">
        <f t="shared" si="693"/>
        <v>23.547857628966394</v>
      </c>
      <c r="BZ277" s="5">
        <f t="shared" si="694"/>
        <v>42.699999999999996</v>
      </c>
      <c r="CA277" s="173">
        <f t="shared" si="695"/>
        <v>0.64454914510819949</v>
      </c>
      <c r="CB277" s="5">
        <f t="shared" si="696"/>
        <v>64.454914510819947</v>
      </c>
      <c r="CE277" s="562">
        <f t="shared" si="755"/>
        <v>-50</v>
      </c>
      <c r="CF277">
        <f t="shared" si="756"/>
        <v>-50</v>
      </c>
      <c r="CG277" s="173">
        <f t="shared" si="757"/>
        <v>0.42330544527563069</v>
      </c>
      <c r="CI277" s="170">
        <v>61</v>
      </c>
      <c r="CJ277" s="217">
        <f t="shared" si="697"/>
        <v>1.5249999999999999</v>
      </c>
      <c r="CK277" s="217"/>
      <c r="CL277" s="217">
        <f t="shared" si="639"/>
        <v>42.699999999999996</v>
      </c>
      <c r="CM277" s="541">
        <f t="shared" si="640"/>
        <v>40</v>
      </c>
      <c r="CN277" s="443">
        <f t="shared" si="641"/>
        <v>28.4</v>
      </c>
      <c r="CO277" s="443">
        <f t="shared" si="642"/>
        <v>68.400000000000006</v>
      </c>
      <c r="CP277" s="443"/>
      <c r="CQ277" s="217">
        <f t="shared" si="643"/>
        <v>0.41520467836257302</v>
      </c>
      <c r="CR277" s="172">
        <f t="shared" si="644"/>
        <v>140.52175355646798</v>
      </c>
      <c r="CS277" s="172">
        <f t="shared" si="645"/>
        <v>42.699999999999996</v>
      </c>
      <c r="CT277" s="217">
        <f t="shared" si="646"/>
        <v>5.0186340555881426</v>
      </c>
      <c r="CU277" s="217">
        <f t="shared" si="647"/>
        <v>28</v>
      </c>
      <c r="CV277" s="217"/>
      <c r="CW277" s="172">
        <f t="shared" si="648"/>
        <v>178.66858621143209</v>
      </c>
      <c r="CX277" s="172">
        <f t="shared" si="649"/>
        <v>28</v>
      </c>
      <c r="CY277" s="217">
        <f t="shared" si="650"/>
        <v>5.1420422535211276</v>
      </c>
      <c r="CZ277" s="217">
        <f t="shared" si="651"/>
        <v>0.60418996478873255</v>
      </c>
      <c r="DA277" s="217">
        <f t="shared" si="652"/>
        <v>0.85097178139258101</v>
      </c>
      <c r="DB277" s="197">
        <f t="shared" si="653"/>
        <v>350</v>
      </c>
      <c r="DC277" s="443">
        <f t="shared" si="654"/>
        <v>350</v>
      </c>
      <c r="DE277" s="217">
        <f t="shared" si="655"/>
        <v>10.09616239179509</v>
      </c>
      <c r="DF277" s="173">
        <f t="shared" si="656"/>
        <v>1.6708437761069339</v>
      </c>
      <c r="DG277" s="173">
        <f t="shared" si="657"/>
        <v>2.9520942666067511</v>
      </c>
      <c r="DH277" s="173"/>
      <c r="DI277" s="173">
        <f t="shared" si="658"/>
        <v>0.55164319248826299</v>
      </c>
      <c r="DJ277" s="545">
        <f t="shared" si="659"/>
        <v>1658.6808510638296</v>
      </c>
      <c r="DK277" s="528">
        <f t="shared" si="660"/>
        <v>0.3217918622848201</v>
      </c>
      <c r="DM277" s="173">
        <f t="shared" si="661"/>
        <v>7.2564822713493413</v>
      </c>
      <c r="DN277" s="173">
        <f t="shared" si="662"/>
        <v>7.2564822713493413</v>
      </c>
      <c r="DO277" s="173">
        <f t="shared" si="663"/>
        <v>4.1060362503822283</v>
      </c>
      <c r="DQ277" s="545">
        <f t="shared" si="664"/>
        <v>1525</v>
      </c>
      <c r="DR277" s="460">
        <f t="shared" si="665"/>
        <v>350</v>
      </c>
      <c r="DT277">
        <f t="shared" si="666"/>
        <v>1525</v>
      </c>
      <c r="DU277">
        <f t="shared" si="667"/>
        <v>350</v>
      </c>
      <c r="DW277" s="5">
        <f t="shared" si="668"/>
        <v>2.8571428571428572</v>
      </c>
      <c r="DX277" s="5">
        <f t="shared" si="669"/>
        <v>0.85263666688354756</v>
      </c>
      <c r="DY277" s="5">
        <f t="shared" si="670"/>
        <v>2.0045061902593098</v>
      </c>
      <c r="DZ277" s="5"/>
      <c r="EA277" s="173">
        <f t="shared" si="671"/>
        <v>0.29842283340924164</v>
      </c>
      <c r="EB277" s="173">
        <f t="shared" si="698"/>
        <v>43.310000000000009</v>
      </c>
      <c r="EC277" s="173">
        <f t="shared" si="699"/>
        <v>2.5454911356746708</v>
      </c>
      <c r="ED277" s="173">
        <f t="shared" si="700"/>
        <v>17.014398279772792</v>
      </c>
      <c r="EE277" s="460">
        <f t="shared" si="672"/>
        <v>4.6438247035621787</v>
      </c>
      <c r="EF277" s="5">
        <f t="shared" si="673"/>
        <v>1.5284359700727232</v>
      </c>
      <c r="EH277" s="173">
        <f t="shared" si="701"/>
        <v>2.2886613524508892</v>
      </c>
      <c r="EI277" s="173">
        <f t="shared" si="702"/>
        <v>3.5091605166953297</v>
      </c>
      <c r="EK277" s="528">
        <f t="shared" si="703"/>
        <v>6.2855649434428007E-2</v>
      </c>
      <c r="EL277" s="528">
        <f t="shared" si="704"/>
        <v>3.3006835259459617</v>
      </c>
      <c r="EM277" s="528">
        <f t="shared" si="705"/>
        <v>4.0250000000000001E-2</v>
      </c>
      <c r="EN277" s="528">
        <f t="shared" si="706"/>
        <v>0.80646678000000016</v>
      </c>
      <c r="EO277">
        <f t="shared" si="707"/>
        <v>1.7999999999999999E-2</v>
      </c>
      <c r="EP277" s="460">
        <f t="shared" si="708"/>
        <v>58.249999999999993</v>
      </c>
      <c r="EQ277" s="460"/>
      <c r="ER277" s="460">
        <f t="shared" si="709"/>
        <v>4228.2559553803894</v>
      </c>
      <c r="ES277" s="528">
        <f t="shared" si="710"/>
        <v>1.0674999999999999</v>
      </c>
      <c r="EV277" s="460">
        <f t="shared" si="711"/>
        <v>1067.5</v>
      </c>
      <c r="EW277" s="528">
        <f t="shared" si="712"/>
        <v>7.3331591006832661E-2</v>
      </c>
      <c r="EX277" s="528">
        <f t="shared" si="713"/>
        <v>0.17239890544706807</v>
      </c>
      <c r="EY277" s="528">
        <f t="shared" si="714"/>
        <v>16.253820586425494</v>
      </c>
      <c r="EZ277" s="528"/>
      <c r="FA277" s="528">
        <f t="shared" si="715"/>
        <v>1.8429787234042556</v>
      </c>
      <c r="FB277" s="460">
        <f t="shared" si="716"/>
        <v>18342.529806283652</v>
      </c>
      <c r="FC277" s="173">
        <f t="shared" si="717"/>
        <v>23.63828576166404</v>
      </c>
      <c r="FD277" s="5">
        <f t="shared" si="718"/>
        <v>42.699999999999996</v>
      </c>
      <c r="FE277" s="173">
        <f t="shared" si="719"/>
        <v>0.64367053670047836</v>
      </c>
      <c r="FF277" s="5">
        <f t="shared" si="720"/>
        <v>64.367053670047838</v>
      </c>
      <c r="FI277" s="562">
        <f t="shared" si="674"/>
        <v>-50</v>
      </c>
      <c r="FJ277">
        <f t="shared" si="675"/>
        <v>-50</v>
      </c>
      <c r="FL277">
        <f t="shared" si="758"/>
        <v>0.42031384987217135</v>
      </c>
    </row>
    <row r="278" spans="5:168">
      <c r="E278" s="170">
        <v>62</v>
      </c>
      <c r="F278" s="217">
        <f t="shared" si="759"/>
        <v>1.55</v>
      </c>
      <c r="G278" s="217"/>
      <c r="H278" s="217">
        <f t="shared" si="725"/>
        <v>43.4</v>
      </c>
      <c r="I278" s="541">
        <f t="shared" si="726"/>
        <v>39.905567766051469</v>
      </c>
      <c r="J278" s="172">
        <f t="shared" si="727"/>
        <v>28.450848125972286</v>
      </c>
      <c r="K278" s="172">
        <f t="shared" si="728"/>
        <v>68.356415892023762</v>
      </c>
      <c r="L278" s="443"/>
      <c r="M278" s="217">
        <f t="shared" si="729"/>
        <v>0.41621637169744752</v>
      </c>
      <c r="N278" s="172">
        <f t="shared" si="730"/>
        <v>140.5315978507254</v>
      </c>
      <c r="O278" s="172">
        <f t="shared" si="760"/>
        <v>43.4</v>
      </c>
      <c r="P278" s="217">
        <f t="shared" si="731"/>
        <v>5.0189856375259074</v>
      </c>
      <c r="Q278" s="217">
        <f t="shared" si="732"/>
        <v>28</v>
      </c>
      <c r="R278" s="217"/>
      <c r="S278" s="172">
        <f t="shared" si="733"/>
        <v>174.73163965754529</v>
      </c>
      <c r="T278" s="172">
        <f t="shared" si="734"/>
        <v>28</v>
      </c>
      <c r="U278" s="217">
        <f t="shared" si="735"/>
        <v>5.2259719211139117</v>
      </c>
      <c r="V278" s="217">
        <f t="shared" si="736"/>
        <v>0.61550478803438724</v>
      </c>
      <c r="W278" s="217">
        <f t="shared" si="737"/>
        <v>0.86331584634951875</v>
      </c>
      <c r="X278" s="197">
        <f t="shared" si="738"/>
        <v>350</v>
      </c>
      <c r="Y278" s="443">
        <f t="shared" si="678"/>
        <v>350</v>
      </c>
      <c r="AA278" s="217">
        <f t="shared" si="739"/>
        <v>10.096794701718727</v>
      </c>
      <c r="AB278" s="173">
        <f t="shared" si="740"/>
        <v>1.667962054697316</v>
      </c>
      <c r="AC278" s="173">
        <f t="shared" si="741"/>
        <v>2.9471873263937547</v>
      </c>
      <c r="AD278" s="173"/>
      <c r="AE278" s="173">
        <f t="shared" si="742"/>
        <v>0.55065728084094756</v>
      </c>
      <c r="AF278" s="545">
        <f t="shared" si="743"/>
        <v>1688.8907717332484</v>
      </c>
      <c r="AG278" s="528">
        <f t="shared" si="744"/>
        <v>0.32121674715721943</v>
      </c>
      <c r="AI278" s="173">
        <f t="shared" si="745"/>
        <v>7.3222660464519969</v>
      </c>
      <c r="AJ278" s="173">
        <f t="shared" si="746"/>
        <v>7.3222660464519969</v>
      </c>
      <c r="AK278" s="173">
        <f t="shared" si="747"/>
        <v>4.1547649726804918</v>
      </c>
      <c r="AM278" s="545">
        <f t="shared" si="748"/>
        <v>1550</v>
      </c>
      <c r="AN278" s="460">
        <f t="shared" si="749"/>
        <v>350</v>
      </c>
      <c r="AP278">
        <f t="shared" si="750"/>
        <v>1550</v>
      </c>
      <c r="AQ278">
        <f t="shared" si="751"/>
        <v>350</v>
      </c>
      <c r="AS278" s="5">
        <f t="shared" si="761"/>
        <v>2.8571428571428572</v>
      </c>
      <c r="AT278" s="5">
        <f t="shared" si="752"/>
        <v>0.86240222467406347</v>
      </c>
      <c r="AU278" s="5">
        <f t="shared" si="721"/>
        <v>1.9947406324687937</v>
      </c>
      <c r="AV278" s="5"/>
      <c r="AW278" s="173">
        <f t="shared" si="722"/>
        <v>0.30184077863592218</v>
      </c>
      <c r="AX278" s="173">
        <f t="shared" si="630"/>
        <v>44.098814595257046</v>
      </c>
      <c r="AY278" s="173">
        <f t="shared" si="631"/>
        <v>2.5560537808057755</v>
      </c>
      <c r="AZ278" s="173">
        <f t="shared" si="632"/>
        <v>17.252694339379371</v>
      </c>
      <c r="BA278" s="460">
        <f t="shared" si="723"/>
        <v>4.7740123151599949</v>
      </c>
      <c r="BB278" s="5">
        <f t="shared" si="724"/>
        <v>1.5495822530092818</v>
      </c>
      <c r="BD278" s="173">
        <f t="shared" si="679"/>
        <v>2.3225968534397721</v>
      </c>
      <c r="BE278" s="173">
        <f t="shared" si="680"/>
        <v>3.5323368857928772</v>
      </c>
      <c r="BG278" s="528">
        <f t="shared" si="681"/>
        <v>6.4733473723299961E-2</v>
      </c>
      <c r="BH278" s="528">
        <f t="shared" si="753"/>
        <v>3.1970961758279395</v>
      </c>
      <c r="BI278" s="528">
        <f t="shared" si="682"/>
        <v>4.0250000000000001E-2</v>
      </c>
      <c r="BJ278" s="528">
        <f t="shared" si="683"/>
        <v>0.80543935494737207</v>
      </c>
      <c r="BK278">
        <f t="shared" si="684"/>
        <v>1.795750549472316E-2</v>
      </c>
      <c r="BL278" s="460">
        <f t="shared" si="685"/>
        <v>58.207505494723158</v>
      </c>
      <c r="BM278" s="528">
        <f t="shared" si="754"/>
        <v>4.1485546056963694</v>
      </c>
      <c r="BN278" s="460">
        <f t="shared" si="686"/>
        <v>4148.5546056963694</v>
      </c>
      <c r="BO278" s="528">
        <f t="shared" si="635"/>
        <v>1.085</v>
      </c>
      <c r="BR278" s="460">
        <f t="shared" si="687"/>
        <v>1085</v>
      </c>
      <c r="BS278" s="528">
        <f t="shared" si="688"/>
        <v>7.5522386010516626E-2</v>
      </c>
      <c r="BT278" s="528">
        <f t="shared" si="689"/>
        <v>0.17468365424626089</v>
      </c>
      <c r="BU278" s="528">
        <f t="shared" si="690"/>
        <v>16.624702270253458</v>
      </c>
      <c r="BV278" s="528"/>
      <c r="BW278" s="528">
        <f t="shared" si="691"/>
        <v>1.8765453019258314</v>
      </c>
      <c r="BX278" s="460">
        <f t="shared" si="692"/>
        <v>18751.453612436067</v>
      </c>
      <c r="BY278" s="173">
        <f t="shared" si="693"/>
        <v>23.961930122429401</v>
      </c>
      <c r="BZ278" s="5">
        <f t="shared" si="694"/>
        <v>43.4</v>
      </c>
      <c r="CA278" s="173">
        <f t="shared" si="695"/>
        <v>0.6442808262934433</v>
      </c>
      <c r="CB278" s="5">
        <f t="shared" si="696"/>
        <v>64.428082629344331</v>
      </c>
      <c r="CE278" s="562">
        <f t="shared" si="755"/>
        <v>-50</v>
      </c>
      <c r="CF278">
        <f t="shared" si="756"/>
        <v>-50</v>
      </c>
      <c r="CG278" s="173">
        <f t="shared" si="757"/>
        <v>0.42676105726741281</v>
      </c>
      <c r="CI278" s="170">
        <v>62</v>
      </c>
      <c r="CJ278" s="217">
        <f t="shared" si="697"/>
        <v>1.55</v>
      </c>
      <c r="CK278" s="217"/>
      <c r="CL278" s="217">
        <f t="shared" si="639"/>
        <v>43.4</v>
      </c>
      <c r="CM278" s="541">
        <f t="shared" si="640"/>
        <v>40</v>
      </c>
      <c r="CN278" s="443">
        <f t="shared" si="641"/>
        <v>28.4</v>
      </c>
      <c r="CO278" s="443">
        <f t="shared" si="642"/>
        <v>68.400000000000006</v>
      </c>
      <c r="CP278" s="443"/>
      <c r="CQ278" s="217">
        <f t="shared" si="643"/>
        <v>0.41520467836257302</v>
      </c>
      <c r="CR278" s="172">
        <f t="shared" si="644"/>
        <v>140.52175355646798</v>
      </c>
      <c r="CS278" s="172">
        <f t="shared" si="645"/>
        <v>43.4</v>
      </c>
      <c r="CT278" s="217">
        <f t="shared" si="646"/>
        <v>5.0186340555881426</v>
      </c>
      <c r="CU278" s="217">
        <f t="shared" si="647"/>
        <v>28</v>
      </c>
      <c r="CV278" s="217"/>
      <c r="CW278" s="172">
        <f t="shared" si="648"/>
        <v>175.14490820924581</v>
      </c>
      <c r="CX278" s="172">
        <f t="shared" si="649"/>
        <v>28</v>
      </c>
      <c r="CY278" s="217">
        <f t="shared" si="650"/>
        <v>5.2263380281690148</v>
      </c>
      <c r="CZ278" s="217">
        <f t="shared" si="651"/>
        <v>0.61409471830985929</v>
      </c>
      <c r="DA278" s="217">
        <f t="shared" si="652"/>
        <v>0.86492213846459065</v>
      </c>
      <c r="DB278" s="197">
        <f t="shared" si="653"/>
        <v>350</v>
      </c>
      <c r="DC278" s="443">
        <f t="shared" si="654"/>
        <v>350</v>
      </c>
      <c r="DE278" s="217">
        <f t="shared" si="655"/>
        <v>10.09616239179509</v>
      </c>
      <c r="DF278" s="173">
        <f t="shared" si="656"/>
        <v>1.6708437761069339</v>
      </c>
      <c r="DG278" s="173">
        <f t="shared" si="657"/>
        <v>2.9520942666067511</v>
      </c>
      <c r="DH278" s="173"/>
      <c r="DI278" s="173">
        <f t="shared" si="658"/>
        <v>0.55164319248826299</v>
      </c>
      <c r="DJ278" s="545">
        <f t="shared" si="659"/>
        <v>1685.8723404255318</v>
      </c>
      <c r="DK278" s="528">
        <f t="shared" si="660"/>
        <v>0.3217918622848201</v>
      </c>
      <c r="DM278" s="173">
        <f t="shared" si="661"/>
        <v>7.3157198442057485</v>
      </c>
      <c r="DN278" s="173">
        <f t="shared" si="662"/>
        <v>7.3157198442057485</v>
      </c>
      <c r="DO278" s="173">
        <f t="shared" si="663"/>
        <v>4.1499159339795666</v>
      </c>
      <c r="DQ278" s="545">
        <f t="shared" si="664"/>
        <v>1550</v>
      </c>
      <c r="DR278" s="460">
        <f t="shared" si="665"/>
        <v>350</v>
      </c>
      <c r="DT278">
        <f t="shared" si="666"/>
        <v>1550</v>
      </c>
      <c r="DU278">
        <f t="shared" si="667"/>
        <v>350</v>
      </c>
      <c r="DW278" s="5">
        <f t="shared" si="668"/>
        <v>2.8571428571428572</v>
      </c>
      <c r="DX278" s="5">
        <f t="shared" si="669"/>
        <v>0.85959708169417548</v>
      </c>
      <c r="DY278" s="5">
        <f t="shared" si="670"/>
        <v>1.9975457754486818</v>
      </c>
      <c r="DZ278" s="5"/>
      <c r="EA278" s="173">
        <f t="shared" si="671"/>
        <v>0.3008589785929614</v>
      </c>
      <c r="EB278" s="173">
        <f t="shared" si="698"/>
        <v>44.019999999999996</v>
      </c>
      <c r="EC278" s="173">
        <f t="shared" si="699"/>
        <v>2.557359922102874</v>
      </c>
      <c r="ED278" s="173">
        <f t="shared" si="700"/>
        <v>17.213063996014721</v>
      </c>
      <c r="EE278" s="460">
        <f t="shared" si="672"/>
        <v>4.7584838450927576</v>
      </c>
      <c r="EF278" s="5">
        <f t="shared" si="673"/>
        <v>1.5480979759727282</v>
      </c>
      <c r="EH278" s="173">
        <f t="shared" si="701"/>
        <v>2.3167433591931625</v>
      </c>
      <c r="EI278" s="173">
        <f t="shared" si="702"/>
        <v>3.5316595467196872</v>
      </c>
      <c r="EK278" s="528">
        <f t="shared" si="703"/>
        <v>6.440759750838744E-2</v>
      </c>
      <c r="EL278" s="528">
        <f t="shared" si="704"/>
        <v>3.3276283283354271</v>
      </c>
      <c r="EM278" s="528">
        <f t="shared" si="705"/>
        <v>4.0250000000000001E-2</v>
      </c>
      <c r="EN278" s="528">
        <f t="shared" si="706"/>
        <v>0.80646678000000016</v>
      </c>
      <c r="EO278">
        <f t="shared" si="707"/>
        <v>1.7999999999999999E-2</v>
      </c>
      <c r="EP278" s="460">
        <f t="shared" si="708"/>
        <v>58.249999999999993</v>
      </c>
      <c r="EQ278" s="460"/>
      <c r="ER278" s="460">
        <f t="shared" si="709"/>
        <v>4256.7527058438145</v>
      </c>
      <c r="ES278" s="528">
        <f t="shared" si="710"/>
        <v>1.085</v>
      </c>
      <c r="EV278" s="460">
        <f t="shared" si="711"/>
        <v>1085</v>
      </c>
      <c r="EW278" s="528">
        <f t="shared" si="712"/>
        <v>7.5142197093118673E-2</v>
      </c>
      <c r="EX278" s="528">
        <f t="shared" si="713"/>
        <v>0.17461666815510829</v>
      </c>
      <c r="EY278" s="528">
        <f t="shared" si="714"/>
        <v>16.587570423761047</v>
      </c>
      <c r="EZ278" s="528"/>
      <c r="FA278" s="528">
        <f t="shared" si="715"/>
        <v>1.8731914893617025</v>
      </c>
      <c r="FB278" s="460">
        <f t="shared" si="716"/>
        <v>18710.520778370977</v>
      </c>
      <c r="FC278" s="173">
        <f t="shared" si="717"/>
        <v>24.05227348421479</v>
      </c>
      <c r="FD278" s="5">
        <f t="shared" si="718"/>
        <v>43.4</v>
      </c>
      <c r="FE278" s="173">
        <f t="shared" si="719"/>
        <v>0.64341789769556823</v>
      </c>
      <c r="FF278" s="5">
        <f t="shared" si="720"/>
        <v>64.341789769556826</v>
      </c>
      <c r="FI278" s="562">
        <f t="shared" si="674"/>
        <v>-50</v>
      </c>
      <c r="FJ278">
        <f t="shared" si="675"/>
        <v>-50</v>
      </c>
      <c r="FL278">
        <f t="shared" si="758"/>
        <v>0.42374504027177656</v>
      </c>
    </row>
    <row r="279" spans="5:168">
      <c r="E279" s="170">
        <v>63</v>
      </c>
      <c r="F279" s="217">
        <f t="shared" si="759"/>
        <v>1.575</v>
      </c>
      <c r="G279" s="217"/>
      <c r="H279" s="217">
        <f t="shared" si="725"/>
        <v>44.1</v>
      </c>
      <c r="I279" s="541">
        <f t="shared" si="726"/>
        <v>39.904809262027527</v>
      </c>
      <c r="J279" s="172">
        <f t="shared" si="727"/>
        <v>28.451256551215948</v>
      </c>
      <c r="K279" s="172">
        <f t="shared" si="728"/>
        <v>68.356065813243475</v>
      </c>
      <c r="L279" s="443"/>
      <c r="M279" s="217">
        <f t="shared" si="729"/>
        <v>0.41622450305837971</v>
      </c>
      <c r="N279" s="172">
        <f t="shared" si="730"/>
        <v>140.53167212651854</v>
      </c>
      <c r="O279" s="172">
        <f t="shared" si="760"/>
        <v>44.1</v>
      </c>
      <c r="P279" s="217">
        <f t="shared" si="731"/>
        <v>5.0189882902328051</v>
      </c>
      <c r="Q279" s="217">
        <f t="shared" si="732"/>
        <v>28</v>
      </c>
      <c r="R279" s="217"/>
      <c r="S279" s="172">
        <f t="shared" si="733"/>
        <v>171.3246983379139</v>
      </c>
      <c r="T279" s="172">
        <f t="shared" si="734"/>
        <v>28</v>
      </c>
      <c r="U279" s="217">
        <f t="shared" si="735"/>
        <v>5.3102589841543972</v>
      </c>
      <c r="V279" s="217">
        <f t="shared" si="736"/>
        <v>0.62544384216053173</v>
      </c>
      <c r="W279" s="217">
        <f t="shared" si="737"/>
        <v>0.87722723882502851</v>
      </c>
      <c r="X279" s="197">
        <f t="shared" si="738"/>
        <v>350</v>
      </c>
      <c r="Y279" s="443">
        <f t="shared" si="678"/>
        <v>350</v>
      </c>
      <c r="AA279" s="217">
        <f t="shared" si="739"/>
        <v>10.096799438107519</v>
      </c>
      <c r="AB279" s="173">
        <f t="shared" si="740"/>
        <v>1.6679388930917785</v>
      </c>
      <c r="AC279" s="173">
        <f t="shared" si="741"/>
        <v>2.9471477837491804</v>
      </c>
      <c r="AD279" s="173"/>
      <c r="AE279" s="173">
        <f t="shared" si="742"/>
        <v>0.55064937601137709</v>
      </c>
      <c r="AF279" s="545">
        <f t="shared" si="743"/>
        <v>1716.1555813339833</v>
      </c>
      <c r="AG279" s="528">
        <f t="shared" si="744"/>
        <v>0.32121213600663662</v>
      </c>
      <c r="AI279" s="173">
        <f t="shared" si="745"/>
        <v>7.3811333524167004</v>
      </c>
      <c r="AJ279" s="173">
        <f t="shared" si="746"/>
        <v>7.3811333524167004</v>
      </c>
      <c r="AK279" s="173">
        <f t="shared" si="747"/>
        <v>4.1983703845061973</v>
      </c>
      <c r="AM279" s="545">
        <f t="shared" si="748"/>
        <v>1575</v>
      </c>
      <c r="AN279" s="460">
        <f t="shared" si="749"/>
        <v>350</v>
      </c>
      <c r="AP279">
        <f t="shared" si="750"/>
        <v>1575</v>
      </c>
      <c r="AQ279">
        <f t="shared" si="751"/>
        <v>350</v>
      </c>
      <c r="AS279" s="5">
        <f t="shared" si="761"/>
        <v>2.8571428571428572</v>
      </c>
      <c r="AT279" s="5">
        <f t="shared" si="752"/>
        <v>0.869352025430427</v>
      </c>
      <c r="AU279" s="5">
        <f t="shared" si="721"/>
        <v>1.9877908317124302</v>
      </c>
      <c r="AV279" s="5"/>
      <c r="AW279" s="173">
        <f t="shared" si="722"/>
        <v>0.30427320890064946</v>
      </c>
      <c r="AX279" s="173">
        <f t="shared" si="630"/>
        <v>44.810729068165116</v>
      </c>
      <c r="AY279" s="173">
        <f t="shared" si="631"/>
        <v>2.5676261109766312</v>
      </c>
      <c r="AZ279" s="173">
        <f t="shared" si="632"/>
        <v>17.452201812638815</v>
      </c>
      <c r="BA279" s="460">
        <f t="shared" si="723"/>
        <v>4.890105143046152</v>
      </c>
      <c r="BB279" s="5">
        <f t="shared" si="724"/>
        <v>1.5691194208645145</v>
      </c>
      <c r="BD279" s="173">
        <f t="shared" si="679"/>
        <v>2.3506841640698992</v>
      </c>
      <c r="BE279" s="173">
        <f t="shared" si="680"/>
        <v>3.5545267593371319</v>
      </c>
      <c r="BG279" s="528">
        <f t="shared" si="681"/>
        <v>6.6308592470508007E-2</v>
      </c>
      <c r="BH279" s="528">
        <f t="shared" si="753"/>
        <v>3.2227827027052069</v>
      </c>
      <c r="BI279" s="528">
        <f t="shared" si="682"/>
        <v>4.0250000000000001E-2</v>
      </c>
      <c r="BJ279" s="528">
        <f t="shared" si="683"/>
        <v>0.80543110505593862</v>
      </c>
      <c r="BK279">
        <f t="shared" si="684"/>
        <v>1.7957164167912387E-2</v>
      </c>
      <c r="BL279" s="460">
        <f t="shared" si="685"/>
        <v>58.207164167912381</v>
      </c>
      <c r="BM279" s="528">
        <f t="shared" si="754"/>
        <v>4.1782537808192011</v>
      </c>
      <c r="BN279" s="460">
        <f t="shared" si="686"/>
        <v>4178.253780819201</v>
      </c>
      <c r="BO279" s="528">
        <f t="shared" si="635"/>
        <v>1.1024999999999998</v>
      </c>
      <c r="BR279" s="460">
        <f t="shared" si="687"/>
        <v>1102.4999999999998</v>
      </c>
      <c r="BS279" s="528">
        <f t="shared" si="688"/>
        <v>7.7360024548926015E-2</v>
      </c>
      <c r="BT279" s="528">
        <f t="shared" si="689"/>
        <v>0.17688524675981226</v>
      </c>
      <c r="BU279" s="528">
        <f t="shared" si="690"/>
        <v>16.960855116790221</v>
      </c>
      <c r="BV279" s="528"/>
      <c r="BW279" s="528">
        <f t="shared" si="691"/>
        <v>1.9068395348155371</v>
      </c>
      <c r="BX279" s="460">
        <f t="shared" si="692"/>
        <v>19121.939922914495</v>
      </c>
      <c r="BY279" s="173">
        <f t="shared" si="693"/>
        <v>24.37716948731406</v>
      </c>
      <c r="BZ279" s="5">
        <f t="shared" si="694"/>
        <v>44.1</v>
      </c>
      <c r="CA279" s="173">
        <f t="shared" si="695"/>
        <v>0.64401026400733286</v>
      </c>
      <c r="CB279" s="5">
        <f t="shared" si="696"/>
        <v>64.401026400733286</v>
      </c>
      <c r="CE279" s="562">
        <f t="shared" si="755"/>
        <v>-50</v>
      </c>
      <c r="CF279">
        <f t="shared" si="756"/>
        <v>-50</v>
      </c>
      <c r="CG279" s="173">
        <f t="shared" si="757"/>
        <v>0.43018891199099957</v>
      </c>
      <c r="CI279" s="170">
        <v>63</v>
      </c>
      <c r="CJ279" s="217">
        <f t="shared" si="697"/>
        <v>1.575</v>
      </c>
      <c r="CK279" s="217"/>
      <c r="CL279" s="217">
        <f t="shared" si="639"/>
        <v>44.1</v>
      </c>
      <c r="CM279" s="541">
        <f t="shared" si="640"/>
        <v>40</v>
      </c>
      <c r="CN279" s="443">
        <f t="shared" si="641"/>
        <v>28.4</v>
      </c>
      <c r="CO279" s="443">
        <f t="shared" si="642"/>
        <v>68.400000000000006</v>
      </c>
      <c r="CP279" s="443"/>
      <c r="CQ279" s="217">
        <f t="shared" si="643"/>
        <v>0.41520467836257302</v>
      </c>
      <c r="CR279" s="172">
        <f t="shared" si="644"/>
        <v>140.52175355646798</v>
      </c>
      <c r="CS279" s="172">
        <f t="shared" si="645"/>
        <v>44.1</v>
      </c>
      <c r="CT279" s="217">
        <f t="shared" si="646"/>
        <v>5.0186340555881426</v>
      </c>
      <c r="CU279" s="217">
        <f t="shared" si="647"/>
        <v>28</v>
      </c>
      <c r="CV279" s="217"/>
      <c r="CW279" s="172">
        <f t="shared" si="648"/>
        <v>171.73316293284694</v>
      </c>
      <c r="CX279" s="172">
        <f t="shared" si="649"/>
        <v>28</v>
      </c>
      <c r="CY279" s="217">
        <f t="shared" si="650"/>
        <v>5.3106338028169029</v>
      </c>
      <c r="CZ279" s="217">
        <f t="shared" si="651"/>
        <v>0.62399947183098603</v>
      </c>
      <c r="DA279" s="217">
        <f t="shared" si="652"/>
        <v>0.87887249553660018</v>
      </c>
      <c r="DB279" s="197">
        <f t="shared" si="653"/>
        <v>350</v>
      </c>
      <c r="DC279" s="443">
        <f t="shared" si="654"/>
        <v>350</v>
      </c>
      <c r="DE279" s="217">
        <f t="shared" si="655"/>
        <v>10.09616239179509</v>
      </c>
      <c r="DF279" s="173">
        <f t="shared" si="656"/>
        <v>1.6708437761069339</v>
      </c>
      <c r="DG279" s="173">
        <f t="shared" si="657"/>
        <v>2.9520942666067511</v>
      </c>
      <c r="DH279" s="173"/>
      <c r="DI279" s="173">
        <f t="shared" si="658"/>
        <v>0.55164319248826299</v>
      </c>
      <c r="DJ279" s="545">
        <f t="shared" si="659"/>
        <v>1713.0638297872338</v>
      </c>
      <c r="DK279" s="528">
        <f t="shared" si="660"/>
        <v>0.3217918622848201</v>
      </c>
      <c r="DM279" s="173">
        <f t="shared" si="661"/>
        <v>7.374481590146134</v>
      </c>
      <c r="DN279" s="173">
        <f t="shared" si="662"/>
        <v>7.374481590146134</v>
      </c>
      <c r="DO279" s="173">
        <f t="shared" si="663"/>
        <v>4.193443153194667</v>
      </c>
      <c r="DQ279" s="545">
        <f t="shared" si="664"/>
        <v>1575</v>
      </c>
      <c r="DR279" s="460">
        <f t="shared" si="665"/>
        <v>350</v>
      </c>
      <c r="DT279">
        <f t="shared" si="666"/>
        <v>1575</v>
      </c>
      <c r="DU279">
        <f t="shared" si="667"/>
        <v>350</v>
      </c>
      <c r="DW279" s="5">
        <f t="shared" si="668"/>
        <v>2.8571428571428572</v>
      </c>
      <c r="DX279" s="5">
        <f t="shared" si="669"/>
        <v>0.86650158684217071</v>
      </c>
      <c r="DY279" s="5">
        <f t="shared" si="670"/>
        <v>1.9906412703006864</v>
      </c>
      <c r="DZ279" s="5"/>
      <c r="EA279" s="173">
        <f t="shared" si="671"/>
        <v>0.30327555539475975</v>
      </c>
      <c r="EB279" s="173">
        <f t="shared" si="698"/>
        <v>44.73</v>
      </c>
      <c r="EC279" s="173">
        <f t="shared" si="699"/>
        <v>2.5689907950730673</v>
      </c>
      <c r="ED279" s="173">
        <f t="shared" si="700"/>
        <v>17.411506528472316</v>
      </c>
      <c r="EE279" s="460">
        <f t="shared" si="672"/>
        <v>4.8740714259872107</v>
      </c>
      <c r="EF279" s="5">
        <f t="shared" si="673"/>
        <v>1.5676300003617902</v>
      </c>
      <c r="EH279" s="173">
        <f t="shared" si="701"/>
        <v>2.3447123545232453</v>
      </c>
      <c r="EI279" s="173">
        <f t="shared" si="702"/>
        <v>3.5538688142662416</v>
      </c>
      <c r="EK279" s="528">
        <f t="shared" si="703"/>
        <v>6.5972112305447292E-2</v>
      </c>
      <c r="EL279" s="528">
        <f t="shared" si="704"/>
        <v>3.3543566960938707</v>
      </c>
      <c r="EM279" s="528">
        <f t="shared" si="705"/>
        <v>4.0250000000000001E-2</v>
      </c>
      <c r="EN279" s="528">
        <f t="shared" si="706"/>
        <v>0.80646678000000016</v>
      </c>
      <c r="EO279">
        <f t="shared" si="707"/>
        <v>1.7999999999999999E-2</v>
      </c>
      <c r="EP279" s="460">
        <f t="shared" si="708"/>
        <v>58.249999999999993</v>
      </c>
      <c r="EQ279" s="460"/>
      <c r="ER279" s="460">
        <f t="shared" si="709"/>
        <v>4285.0455883993181</v>
      </c>
      <c r="ES279" s="528">
        <f t="shared" si="710"/>
        <v>1.1024999999999998</v>
      </c>
      <c r="EV279" s="460">
        <f t="shared" si="711"/>
        <v>1102.4999999999998</v>
      </c>
      <c r="EW279" s="528">
        <f t="shared" si="712"/>
        <v>7.6967464356355167E-2</v>
      </c>
      <c r="EX279" s="528">
        <f t="shared" si="713"/>
        <v>0.176819769686198</v>
      </c>
      <c r="EY279" s="528">
        <f t="shared" si="714"/>
        <v>16.922668794723617</v>
      </c>
      <c r="EZ279" s="528"/>
      <c r="FA279" s="528">
        <f t="shared" si="715"/>
        <v>1.903404255319149</v>
      </c>
      <c r="FB279" s="460">
        <f t="shared" si="716"/>
        <v>19079.860284085316</v>
      </c>
      <c r="FC279" s="173">
        <f t="shared" si="717"/>
        <v>24.467405872484637</v>
      </c>
      <c r="FD279" s="5">
        <f t="shared" si="718"/>
        <v>44.1</v>
      </c>
      <c r="FE279" s="173">
        <f t="shared" si="719"/>
        <v>0.64316273072971619</v>
      </c>
      <c r="FF279" s="5">
        <f t="shared" si="720"/>
        <v>64.316273072971626</v>
      </c>
      <c r="FI279" s="562">
        <f t="shared" si="674"/>
        <v>-50</v>
      </c>
      <c r="FJ279">
        <f t="shared" si="675"/>
        <v>-50</v>
      </c>
      <c r="FL279">
        <f t="shared" si="758"/>
        <v>0.42714866957008418</v>
      </c>
    </row>
    <row r="280" spans="5:168">
      <c r="E280" s="170">
        <v>64</v>
      </c>
      <c r="F280" s="217">
        <f t="shared" si="759"/>
        <v>1.6</v>
      </c>
      <c r="G280" s="217"/>
      <c r="H280" s="217">
        <f t="shared" ref="H280:H311" si="762">F280*Vout</f>
        <v>44.800000000000004</v>
      </c>
      <c r="I280" s="541">
        <f t="shared" ref="I280:I316" si="763">VIN_max-F280*(Rdcr_pri+RON/1000)/CG280/Nps</f>
        <v>39.904056754364994</v>
      </c>
      <c r="J280" s="172">
        <f t="shared" ref="J280:J316" si="764">(T280+Vfwd1+F280/CG280*Rdcr_sec)*Nps</f>
        <v>28.451661747649617</v>
      </c>
      <c r="K280" s="172">
        <f t="shared" ref="K280:K316" si="765">(Vout+Vfwd1+F280/CG280*Rdcr_sec)*Nps+I280</f>
        <v>68.355718502014611</v>
      </c>
      <c r="L280" s="443"/>
      <c r="M280" s="217">
        <f t="shared" ref="M280:M316" si="766">(Vout+Vfwd1+F280/FL280*Rdcr_sec)*Nps/((Vout+Vfwd1+F280/FL280*Rdcr_sec)*Nps+I280)</f>
        <v>0.4162325702183734</v>
      </c>
      <c r="N280" s="172">
        <f t="shared" ref="N280:N311" si="767">M280*I280*(Isw_max+VIN_max/Lmag*ILIM_delay)*0.5*Efficiency</f>
        <v>140.53174573954581</v>
      </c>
      <c r="O280" s="172">
        <f t="shared" si="760"/>
        <v>44.800000000000004</v>
      </c>
      <c r="P280" s="217">
        <f t="shared" ref="P280:P311" si="768">N280/Vout</f>
        <v>5.018990919269493</v>
      </c>
      <c r="Q280" s="217">
        <f t="shared" ref="Q280:Q316" si="769">MIN(Vout,N280/F280)</f>
        <v>28</v>
      </c>
      <c r="R280" s="217"/>
      <c r="S280" s="172">
        <f t="shared" ref="S280:S316" si="770">(SQRT(Isw_max^2*Nps^2*I280^2+4*Isw_max*F280/Efficiency*(Nps^2*Vfwd1*I280-Nps*I280^2)+4*(F280/Efficiency)^2*Nps^2*Vfwd1^2+8*(F280/Efficiency)^2*Nps*Vfwd1*I280+4*(F280/Efficiency)^2*I280^2)-2*F280/Efficiency*I280-2*F280/Efficiency*Nps*Vfwd1+Isw_max*Nps*I280)/(4*F280/Efficiency*Nps)</f>
        <v>168.02434245823028</v>
      </c>
      <c r="T280" s="172">
        <f t="shared" ref="T280:T311" si="771">MIN(Vout, S280)</f>
        <v>28</v>
      </c>
      <c r="U280" s="217">
        <f t="shared" ref="U280:U315" si="772">MIN(2*Vout*F280/(Efficiency*I280*M280), Isw_max)</f>
        <v>5.3945459835391167</v>
      </c>
      <c r="V280" s="217">
        <f t="shared" ref="V280:V311" si="773">L*U280/I280*1000000</f>
        <v>0.63538317115741394</v>
      </c>
      <c r="W280" s="217">
        <f t="shared" ref="W280:W316" si="774">L*U280/J280*1000000</f>
        <v>0.89113832251743141</v>
      </c>
      <c r="X280" s="197">
        <f t="shared" ref="X280:X316" si="775">IF(1/((350000*L)*(1/I280+1/J280))&gt;Isw_min, 350, 0.001/((Isw_min*L)*(1/I280+1/J280)))</f>
        <v>350</v>
      </c>
      <c r="Y280" s="443">
        <f t="shared" si="678"/>
        <v>350</v>
      </c>
      <c r="AA280" s="217">
        <f t="shared" ref="AA280:AA316" si="776">1/((X280*1000*L)*(1/I280+1/J280))</f>
        <v>10.096804131655745</v>
      </c>
      <c r="AB280" s="173">
        <f t="shared" ref="AB280:AB311" si="777">L*AA280/J280*1000000</f>
        <v>1.6679159143561182</v>
      </c>
      <c r="AC280" s="173">
        <f t="shared" ref="AC280:AC311" si="778">0.5*AB280*AA280*Nps*X280/1000</f>
        <v>2.947108551681914</v>
      </c>
      <c r="AD280" s="173"/>
      <c r="AE280" s="173">
        <f t="shared" ref="AE280:AE316" si="779">L*Isw_min/J280*1000000</f>
        <v>0.55064153389778325</v>
      </c>
      <c r="AF280" s="545">
        <f t="shared" ref="AF280:AF311" si="780">MAX(12000,F280/(0.5*AE280/1000000*Isw_min*Nps))/1000</f>
        <v>1743.4209751751252</v>
      </c>
      <c r="AG280" s="528">
        <f t="shared" ref="AG280:AG316" si="781">0.5*AE280/1000000*Isw_min*Nps*X280*1000</f>
        <v>0.32120756144037355</v>
      </c>
      <c r="AI280" s="173">
        <f t="shared" ref="AI280:AI316" si="782">SQRT(F280/(0.5*L/J280*Fsw_DCM*Nps))</f>
        <v>7.4395361162243949</v>
      </c>
      <c r="AJ280" s="173">
        <f t="shared" ref="AJ280:AJ311" si="783">MAX(IF(F280&gt;AC280,U280,AI280),Isw_min)</f>
        <v>7.4395361162243949</v>
      </c>
      <c r="AK280" s="173">
        <f t="shared" ref="AK280:AK311" si="784">IF(F280&gt;AG280, (AJ280-Isw_min)/1.08*0.8+1.2, AF280*0.2/350+1)</f>
        <v>4.2416316910304159</v>
      </c>
      <c r="AM280" s="545">
        <f t="shared" ref="AM280:AM316" si="785">F280*1000</f>
        <v>1600</v>
      </c>
      <c r="AN280" s="460">
        <f t="shared" ref="AN280:AN316" si="786">IF(F280&gt;AG280, Y280, AF280)</f>
        <v>350</v>
      </c>
      <c r="AP280">
        <f t="shared" ref="AP280:AP316" si="787">IF(H280&gt;N280, "",AM280)</f>
        <v>1600</v>
      </c>
      <c r="AQ280">
        <f t="shared" ref="AQ280:AQ316" si="788">IF(H280&gt;N280, "",AN280)</f>
        <v>350</v>
      </c>
      <c r="AS280" s="5">
        <f t="shared" si="761"/>
        <v>2.8571428571428572</v>
      </c>
      <c r="AT280" s="5">
        <f t="shared" ref="AT280:AT316" si="789">L*AJ280/I280*1000000</f>
        <v>0.87624724377001706</v>
      </c>
      <c r="AU280" s="5">
        <f t="shared" si="721"/>
        <v>1.9808956133728401</v>
      </c>
      <c r="AV280" s="5"/>
      <c r="AW280" s="173">
        <f t="shared" si="722"/>
        <v>0.30668653531950596</v>
      </c>
      <c r="AX280" s="173">
        <f t="shared" ref="AX280:AX316" si="790">0.5*L*AJ280^2*AN280*1000</f>
        <v>45.522658796239384</v>
      </c>
      <c r="AY280" s="173">
        <f t="shared" ref="AY280:AY316" si="791">AJ280*Nps/2*(1-AW280)</f>
        <v>2.5789652801776008</v>
      </c>
      <c r="AZ280" s="173">
        <f t="shared" ref="AZ280:AZ316" si="792">AX280/AY280</f>
        <v>17.65152061027532</v>
      </c>
      <c r="BA280" s="460">
        <f t="shared" si="723"/>
        <v>5.0071271072572401</v>
      </c>
      <c r="BB280" s="5">
        <f t="shared" si="724"/>
        <v>1.588526700884791</v>
      </c>
      <c r="BD280" s="173">
        <f t="shared" si="679"/>
        <v>2.3786611735643151</v>
      </c>
      <c r="BE280" s="173">
        <f t="shared" si="680"/>
        <v>3.5764326121961281</v>
      </c>
      <c r="BG280" s="528">
        <f t="shared" si="681"/>
        <v>6.789634774346838E-2</v>
      </c>
      <c r="BH280" s="528">
        <f t="shared" ref="BH280:BH316" si="793">0.5*K280*AJ280*AN280*1000*Tfall</f>
        <v>3.248266268438889</v>
      </c>
      <c r="BI280" s="528">
        <f t="shared" si="682"/>
        <v>4.0250000000000001E-2</v>
      </c>
      <c r="BJ280" s="528">
        <f t="shared" si="683"/>
        <v>0.8054229204258585</v>
      </c>
      <c r="BK280">
        <f t="shared" si="684"/>
        <v>1.7956825539464247E-2</v>
      </c>
      <c r="BL280" s="460">
        <f t="shared" si="685"/>
        <v>58.206825539464248</v>
      </c>
      <c r="BM280" s="528">
        <f t="shared" ref="BM280:BM316" si="794">(BH280+BI280*0+BJ280+BK280*0+BG280*(1+RdsonTC*(Ta-25)))/(1-BG280*RdsonTC*ThetaJA)</f>
        <v>4.207798480265847</v>
      </c>
      <c r="BN280" s="460">
        <f t="shared" si="686"/>
        <v>4207.7984802658466</v>
      </c>
      <c r="BO280" s="528">
        <f t="shared" ref="BO280:BO316" si="795">Vfwd2*F280</f>
        <v>1.1199999999999999</v>
      </c>
      <c r="BR280" s="460">
        <f t="shared" si="687"/>
        <v>1119.9999999999998</v>
      </c>
      <c r="BS280" s="528">
        <f t="shared" si="688"/>
        <v>7.9212405700713098E-2</v>
      </c>
      <c r="BT280" s="528">
        <f t="shared" si="689"/>
        <v>0.1790721832141203</v>
      </c>
      <c r="BU280" s="528">
        <f t="shared" si="690"/>
        <v>17.298353040808838</v>
      </c>
      <c r="BV280" s="528"/>
      <c r="BW280" s="528">
        <f t="shared" si="691"/>
        <v>1.9371344168612505</v>
      </c>
      <c r="BX280" s="460">
        <f t="shared" si="692"/>
        <v>19493.772046584923</v>
      </c>
      <c r="BY280" s="173">
        <f t="shared" si="693"/>
        <v>24.793564408732603</v>
      </c>
      <c r="BZ280" s="5">
        <f t="shared" si="694"/>
        <v>44.800000000000004</v>
      </c>
      <c r="CA280" s="173">
        <f t="shared" si="695"/>
        <v>0.64373768437672518</v>
      </c>
      <c r="CB280" s="5">
        <f t="shared" si="696"/>
        <v>64.373768437672524</v>
      </c>
      <c r="CE280" s="562">
        <f t="shared" ref="CE280:CE316" si="796">IF(ABS(F280-Ioutmax_Vinmax)&lt;Iout/200, AN280, -50)</f>
        <v>-50</v>
      </c>
      <c r="CF280">
        <f t="shared" ref="CF280:CF316" si="797">IF(ABS(F280-Ioutmax_Vinmin)&lt;Iout/200, N280*CA280, -50)</f>
        <v>-50</v>
      </c>
      <c r="CG280" s="173">
        <f t="shared" ref="CG280:CG316" si="798">MIN(SQRT(2*DU280*1000*Ls1_*CL280)/CU280,1-EA280-0.00000005*DU280*1000)</f>
        <v>0.43358966777357599</v>
      </c>
      <c r="CI280" s="170">
        <v>64</v>
      </c>
      <c r="CJ280" s="217">
        <f t="shared" si="697"/>
        <v>1.6</v>
      </c>
      <c r="CK280" s="217"/>
      <c r="CL280" s="217">
        <f t="shared" ref="CL280:CL316" si="799">CJ280*Vout</f>
        <v>44.800000000000004</v>
      </c>
      <c r="CM280" s="541">
        <f t="shared" ref="CM280:CM316" si="800">VIN_max</f>
        <v>40</v>
      </c>
      <c r="CN280" s="443">
        <f t="shared" ref="CN280:CN316" si="801">(CX280+Vfwd1)*Nps</f>
        <v>28.4</v>
      </c>
      <c r="CO280" s="443">
        <f t="shared" ref="CO280:CO316" si="802">(Vout+Vfwd1)*Nps+CM280</f>
        <v>68.400000000000006</v>
      </c>
      <c r="CP280" s="443"/>
      <c r="CQ280" s="217">
        <f t="shared" ref="CQ280:CQ316" si="803">(Vout+Vfwd1)*Nps/((Vout+Vfwd1)*Nps+CM280)</f>
        <v>0.41520467836257302</v>
      </c>
      <c r="CR280" s="172">
        <f t="shared" ref="CR280:CR316" si="804">CQ280*CM280*(Isw_max+VIN_max/Lmag*ILIM_delay)*0.5*Efficiency</f>
        <v>140.52175355646798</v>
      </c>
      <c r="CS280" s="172">
        <f t="shared" ref="CS280:CS316" si="805">CX280*CJ280</f>
        <v>44.800000000000004</v>
      </c>
      <c r="CT280" s="217">
        <f t="shared" ref="CT280:CT316" si="806">CR280/Vout</f>
        <v>5.0186340555881426</v>
      </c>
      <c r="CU280" s="217">
        <f t="shared" ref="CU280:CU316" si="807">MIN(Vout,CR280/CJ280)</f>
        <v>28</v>
      </c>
      <c r="CV280" s="217"/>
      <c r="CW280" s="172">
        <f t="shared" ref="CW280:CW316" si="808">(SQRT(Isw_max^2*Nps^2*CM280^2+4*Isw_max*CJ280/Efficiency*(Nps^2*Vfwd1*CM280-Nps*CM280^2)+4*(CJ280/Efficiency)^2*Nps^2*Vfwd1^2+8*(CJ280/Efficiency)^2*Nps*Vfwd1*CM280+4*(CJ280/Efficiency)^2*CM280^2)-2*CJ280/Efficiency*CM280-2*CJ280/Efficiency*Nps*Vfwd1+Isw_max*Nps*CM280)/(4*CJ280/Efficiency*Nps)</f>
        <v>168.42810428434191</v>
      </c>
      <c r="CX280" s="172">
        <f t="shared" ref="CX280:CX316" si="809">MIN(Vout, CW280)</f>
        <v>28</v>
      </c>
      <c r="CY280" s="217">
        <f t="shared" ref="CY280:CY316" si="810">MIN(2*Vout*CJ280/(Efficiency*CM280*CQ280), Isw_max)</f>
        <v>5.394929577464791</v>
      </c>
      <c r="CZ280" s="217">
        <f t="shared" ref="CZ280:CZ316" si="811">L*CY280/CM280*1000000</f>
        <v>0.63390422535211288</v>
      </c>
      <c r="DA280" s="217">
        <f t="shared" ref="DA280:DA316" si="812">L*CY280/CN280*1000000</f>
        <v>0.89282285260860972</v>
      </c>
      <c r="DB280" s="197">
        <f t="shared" ref="DB280:DB316" si="813">IF(1/((350000*L)*(1/CM280+1/CN280))&gt;Isw_min, 350, 0.001/((Isw_min*L)*(1/CM280+1/CN280)))</f>
        <v>350</v>
      </c>
      <c r="DC280" s="443">
        <f t="shared" ref="DC280:DC316" si="814">MIN(1/(CZ280+DA280)*1000, 350)</f>
        <v>350</v>
      </c>
      <c r="DE280" s="217">
        <f t="shared" ref="DE280:DE316" si="815">1/((DB280*1000*L)*(1/CM280+1/CN280))</f>
        <v>10.09616239179509</v>
      </c>
      <c r="DF280" s="173">
        <f t="shared" ref="DF280:DF316" si="816">L*DE280/CN280*1000000</f>
        <v>1.6708437761069339</v>
      </c>
      <c r="DG280" s="173">
        <f t="shared" ref="DG280:DG316" si="817">0.5*DF280*DE280*Nps*DB280/1000</f>
        <v>2.9520942666067511</v>
      </c>
      <c r="DH280" s="173"/>
      <c r="DI280" s="173">
        <f t="shared" ref="DI280:DI316" si="818">L*Isw_min/CN280*1000000</f>
        <v>0.55164319248826299</v>
      </c>
      <c r="DJ280" s="545">
        <f t="shared" ref="DJ280:DJ316" si="819">MAX(12000,CJ280/(0.5*DI280/1000000*Isw_min*Nps))/1000</f>
        <v>1740.255319148936</v>
      </c>
      <c r="DK280" s="528">
        <f t="shared" ref="DK280:DK316" si="820">0.5*DI280/1000000*Isw_min*Nps*DB280*1000</f>
        <v>0.3217918622848201</v>
      </c>
      <c r="DM280" s="173">
        <f t="shared" ref="DM280:DM316" si="821">SQRT(CJ280/(0.5*L/CN280*Fsw_DCM*Nps))</f>
        <v>7.432778794495551</v>
      </c>
      <c r="DN280" s="173">
        <f t="shared" ref="DN280:DN316" si="822">MAX(IF(CJ280&gt;DG280,CY280,DM280),Isw_min)</f>
        <v>7.432778794495551</v>
      </c>
      <c r="DO280" s="173">
        <f t="shared" ref="DO280:DO316" si="823">IF(CJ280&gt;DK280, (DN280-Isw_min)/1.08*0.8+1.2, DJ280*0.2/350+1)</f>
        <v>4.2366262675275683</v>
      </c>
      <c r="DQ280" s="545">
        <f t="shared" ref="DQ280:DQ316" si="824">CJ280*1000</f>
        <v>1600</v>
      </c>
      <c r="DR280" s="460">
        <f t="shared" ref="DR280:DR316" si="825">IF(CJ280&gt;DK280, DC280, DJ280)</f>
        <v>350</v>
      </c>
      <c r="DT280">
        <f t="shared" ref="DT280:DT316" si="826">IF(CL280&gt;CR280, "",DQ280)</f>
        <v>1600</v>
      </c>
      <c r="DU280">
        <f t="shared" ref="DU280:DU316" si="827">IF(CL280&gt;CR280, "",DR280)</f>
        <v>350</v>
      </c>
      <c r="DW280" s="5">
        <f t="shared" si="668"/>
        <v>2.8571428571428572</v>
      </c>
      <c r="DX280" s="5">
        <f t="shared" ref="DX280:DX316" si="828">L*DN280/CM280*1000000</f>
        <v>0.87335150835322728</v>
      </c>
      <c r="DY280" s="5">
        <f t="shared" ref="DY280:DY316" si="829">DW280-DX280</f>
        <v>1.9837913487896299</v>
      </c>
      <c r="DZ280" s="5"/>
      <c r="EA280" s="173">
        <f t="shared" ref="EA280:EA316" si="830">DX280/DW280</f>
        <v>0.30567302792362955</v>
      </c>
      <c r="EB280" s="173">
        <f t="shared" si="698"/>
        <v>45.44</v>
      </c>
      <c r="EC280" s="173">
        <f t="shared" si="699"/>
        <v>2.5803893972477758</v>
      </c>
      <c r="ED280" s="173">
        <f t="shared" si="700"/>
        <v>17.609745276610564</v>
      </c>
      <c r="EE280" s="460">
        <f t="shared" ref="EE280:EE316" si="831">CJ280*DX280/Vout_ripple*1000</f>
        <v>4.9905800477327276</v>
      </c>
      <c r="EF280" s="5">
        <f t="shared" ref="EF280:EF316" si="832">CL280/Efficiency/CM280*DY280/Vinripple1</f>
        <v>1.5870330790317038</v>
      </c>
      <c r="EH280" s="173">
        <f t="shared" si="701"/>
        <v>2.3725705764770479</v>
      </c>
      <c r="EI280" s="173">
        <f t="shared" si="702"/>
        <v>3.5757948853743855</v>
      </c>
      <c r="EK280" s="528">
        <f t="shared" si="703"/>
        <v>6.7549093684375588E-2</v>
      </c>
      <c r="EL280" s="528">
        <f t="shared" si="704"/>
        <v>3.3808737624642466</v>
      </c>
      <c r="EM280" s="528">
        <f t="shared" si="705"/>
        <v>4.0250000000000001E-2</v>
      </c>
      <c r="EN280" s="528">
        <f t="shared" si="706"/>
        <v>0.80646678000000016</v>
      </c>
      <c r="EO280">
        <f t="shared" si="707"/>
        <v>1.7999999999999999E-2</v>
      </c>
      <c r="EP280" s="460">
        <f t="shared" si="708"/>
        <v>58.249999999999993</v>
      </c>
      <c r="EQ280" s="460"/>
      <c r="ER280" s="460">
        <f t="shared" si="709"/>
        <v>4313.1396361486222</v>
      </c>
      <c r="ES280" s="528">
        <f t="shared" si="710"/>
        <v>1.1199999999999999</v>
      </c>
      <c r="EV280" s="460">
        <f t="shared" si="711"/>
        <v>1119.9999999999998</v>
      </c>
      <c r="EW280" s="528">
        <f t="shared" si="712"/>
        <v>7.8807275965104853E-2</v>
      </c>
      <c r="EX280" s="528">
        <f t="shared" si="713"/>
        <v>0.17900832687177462</v>
      </c>
      <c r="EY280" s="528">
        <f t="shared" si="714"/>
        <v>17.259099612081574</v>
      </c>
      <c r="EZ280" s="528"/>
      <c r="FA280" s="528">
        <f t="shared" si="715"/>
        <v>1.9336170212765957</v>
      </c>
      <c r="FB280" s="460">
        <f t="shared" si="716"/>
        <v>19450.532236195049</v>
      </c>
      <c r="FC280" s="173">
        <f t="shared" si="717"/>
        <v>24.883671872343673</v>
      </c>
      <c r="FD280" s="5">
        <f t="shared" si="718"/>
        <v>44.800000000000004</v>
      </c>
      <c r="FE280" s="173">
        <f t="shared" si="719"/>
        <v>0.64290527172665246</v>
      </c>
      <c r="FF280" s="5">
        <f t="shared" si="720"/>
        <v>64.29052717266525</v>
      </c>
      <c r="FI280" s="562">
        <f t="shared" ref="FI280:FI316" si="833">IF(ABS(CJ280-Ioutmax_Vinmax)&lt;Iout/200, DR280, -50)</f>
        <v>-50</v>
      </c>
      <c r="FJ280">
        <f t="shared" ref="FJ280:FJ316" si="834">IF(ABS(CJ280-Ioutmax_Vinmin)&lt;Iout/200, CR280*FE280, -50)</f>
        <v>-50</v>
      </c>
      <c r="FL280">
        <f t="shared" ref="FL280:FL316" si="835">MIN(SQRT(2*L*DR280*1000*CJ280*(CX280+Vfwd1))/(Nps*(CX280+Vfwd1)), 1-EA280)</f>
        <v>0.43052539144173174</v>
      </c>
    </row>
    <row r="281" spans="5:168">
      <c r="E281" s="170">
        <v>65</v>
      </c>
      <c r="F281" s="217">
        <f t="shared" ref="F281:F312" si="836">IF(PLOT_TYPE=1, E281/100*Iout_max, min_I*EXP(N281*rr/100))</f>
        <v>1.625</v>
      </c>
      <c r="G281" s="217"/>
      <c r="H281" s="217">
        <f t="shared" si="762"/>
        <v>45.5</v>
      </c>
      <c r="I281" s="541">
        <f t="shared" si="763"/>
        <v>39.903310103060285</v>
      </c>
      <c r="J281" s="172">
        <f t="shared" si="764"/>
        <v>28.452063790659846</v>
      </c>
      <c r="K281" s="172">
        <f t="shared" si="765"/>
        <v>68.355373893720127</v>
      </c>
      <c r="L281" s="443"/>
      <c r="M281" s="217">
        <f t="shared" si="766"/>
        <v>0.41624057467639891</v>
      </c>
      <c r="N281" s="172">
        <f t="shared" si="767"/>
        <v>140.53181870528033</v>
      </c>
      <c r="O281" s="172">
        <f t="shared" si="760"/>
        <v>45.5</v>
      </c>
      <c r="P281" s="217">
        <f t="shared" si="768"/>
        <v>5.0189935251885833</v>
      </c>
      <c r="Q281" s="217">
        <f t="shared" si="769"/>
        <v>28</v>
      </c>
      <c r="R281" s="217"/>
      <c r="S281" s="172">
        <f t="shared" si="770"/>
        <v>164.82565258334813</v>
      </c>
      <c r="T281" s="172">
        <f t="shared" si="771"/>
        <v>28</v>
      </c>
      <c r="U281" s="217">
        <f t="shared" si="772"/>
        <v>5.4788329198574521</v>
      </c>
      <c r="V281" s="217">
        <f t="shared" si="773"/>
        <v>0.64532277289334827</v>
      </c>
      <c r="W281" s="217">
        <f t="shared" si="774"/>
        <v>0.90504909987525484</v>
      </c>
      <c r="X281" s="197">
        <f t="shared" si="775"/>
        <v>350</v>
      </c>
      <c r="Y281" s="443">
        <f t="shared" ref="Y281:Y316" si="837">MIN(1/(V281+W281+0.2)*1000, 350)</f>
        <v>350</v>
      </c>
      <c r="AA281" s="217">
        <f t="shared" si="776"/>
        <v>10.096808783363572</v>
      </c>
      <c r="AB281" s="173">
        <f t="shared" si="777"/>
        <v>1.6678931142206694</v>
      </c>
      <c r="AC281" s="173">
        <f t="shared" si="778"/>
        <v>2.9470696229406035</v>
      </c>
      <c r="AD281" s="173"/>
      <c r="AE281" s="173">
        <f t="shared" si="779"/>
        <v>0.55063375303585793</v>
      </c>
      <c r="AF281" s="545">
        <f t="shared" si="780"/>
        <v>1770.6869486740434</v>
      </c>
      <c r="AG281" s="528">
        <f t="shared" si="781"/>
        <v>0.32120302260425043</v>
      </c>
      <c r="AI281" s="173">
        <f t="shared" si="782"/>
        <v>7.4974851840393972</v>
      </c>
      <c r="AJ281" s="173">
        <f t="shared" si="783"/>
        <v>7.4974851840393972</v>
      </c>
      <c r="AK281" s="173">
        <f t="shared" si="784"/>
        <v>4.2845569264489365</v>
      </c>
      <c r="AM281" s="545">
        <f t="shared" si="785"/>
        <v>1625</v>
      </c>
      <c r="AN281" s="460">
        <f t="shared" si="786"/>
        <v>350</v>
      </c>
      <c r="AP281">
        <f t="shared" si="787"/>
        <v>1625</v>
      </c>
      <c r="AQ281">
        <f t="shared" si="788"/>
        <v>350</v>
      </c>
      <c r="AS281" s="5">
        <f t="shared" si="761"/>
        <v>2.8571428571428572</v>
      </c>
      <c r="AT281" s="5">
        <f t="shared" si="789"/>
        <v>0.88308915410710898</v>
      </c>
      <c r="AU281" s="5">
        <f t="shared" si="721"/>
        <v>1.9740537030357483</v>
      </c>
      <c r="AV281" s="5"/>
      <c r="AW281" s="173">
        <f t="shared" si="722"/>
        <v>0.30908120393748811</v>
      </c>
      <c r="AX281" s="173">
        <f t="shared" si="790"/>
        <v>46.234603659822241</v>
      </c>
      <c r="AY281" s="173">
        <f t="shared" si="791"/>
        <v>2.5900767184265101</v>
      </c>
      <c r="AZ281" s="173">
        <f t="shared" si="792"/>
        <v>17.850669569320747</v>
      </c>
      <c r="BA281" s="460">
        <f t="shared" si="723"/>
        <v>5.1250709836573289</v>
      </c>
      <c r="BB281" s="5">
        <f t="shared" si="724"/>
        <v>1.6078050964434019</v>
      </c>
      <c r="BD281" s="173">
        <f t="shared" ref="BD281:BD316" si="838">AJ281*SQRT(AW281/3)</f>
        <v>2.4065300358977439</v>
      </c>
      <c r="BE281" s="173">
        <f t="shared" ref="BE281:BE316" si="839">AJ281*Nps*SQRT((1-AW281)/3)</f>
        <v>3.5980607574940646</v>
      </c>
      <c r="BG281" s="528">
        <f t="shared" ref="BG281:BG316" si="840">Rdson*BD281^2</f>
        <v>6.9496641764135961E-2</v>
      </c>
      <c r="BH281" s="528">
        <f t="shared" si="793"/>
        <v>3.2735516117751757</v>
      </c>
      <c r="BI281" s="528">
        <f t="shared" ref="BI281:BI316" si="841">Qg*Vdd*AN281*1000</f>
        <v>4.0250000000000001E-2</v>
      </c>
      <c r="BJ281" s="528">
        <f t="shared" ref="BJ281:BJ316" si="842">0.5*(Coss+Csw)*K281^2*AN281*1000</f>
        <v>0.80541479953340367</v>
      </c>
      <c r="BK281">
        <f t="shared" ref="BK281:BK316" si="843">I281*IQ</f>
        <v>1.7956489546377127E-2</v>
      </c>
      <c r="BL281" s="460">
        <f t="shared" ref="BL281:BL316" si="844">(BK281+BI281)*1000</f>
        <v>58.206489546377121</v>
      </c>
      <c r="BM281" s="528">
        <f t="shared" si="794"/>
        <v>4.2371933872636305</v>
      </c>
      <c r="BN281" s="460">
        <f t="shared" ref="BN281:BN316" si="845">BM281*1000</f>
        <v>4237.1933872636309</v>
      </c>
      <c r="BO281" s="528">
        <f t="shared" si="795"/>
        <v>1.1375</v>
      </c>
      <c r="BR281" s="460">
        <f t="shared" ref="BR281:BR316" si="846">SUM(BO281:BQ281)*1000</f>
        <v>1137.5</v>
      </c>
      <c r="BS281" s="528">
        <f t="shared" ref="BS281:BS316" si="847">Rdcr_pri*BD281^2</f>
        <v>8.1079415391491966E-2</v>
      </c>
      <c r="BT281" s="528">
        <f t="shared" ref="BT281:BT316" si="848">Rdcr_sec*BE281^2</f>
        <v>0.18124457700466268</v>
      </c>
      <c r="BU281" s="528">
        <f t="shared" ref="BU281:BU316" si="849">AJ281^2.5*AN281^2.5*k_core</f>
        <v>17.637180346293739</v>
      </c>
      <c r="BV281" s="528"/>
      <c r="BW281" s="528">
        <f t="shared" ref="BW281:BW316" si="850">0.5*Lleak*0.000000001*AJ281^2*AN281*1000</f>
        <v>1.9674299429711597</v>
      </c>
      <c r="BX281" s="460">
        <f t="shared" ref="BX281:BX316" si="851">SUM(BS281:BW281)*1000</f>
        <v>19866.934281661052</v>
      </c>
      <c r="BY281" s="173">
        <f t="shared" ref="BY281:BY316" si="852">SUM(BG281:BK281,BO281:BQ281,BS281:BW281)</f>
        <v>25.211103824280144</v>
      </c>
      <c r="BZ281" s="5">
        <f t="shared" ref="BZ281:BZ316" si="853">MIN(H281,O281)</f>
        <v>45.5</v>
      </c>
      <c r="CA281" s="173">
        <f t="shared" ref="CA281:CA316" si="854">BZ281/(BZ281+BY281)</f>
        <v>0.64346329698188953</v>
      </c>
      <c r="CB281" s="5">
        <f t="shared" ref="CB281:CB316" si="855">CA281*100</f>
        <v>64.346329698188953</v>
      </c>
      <c r="CE281" s="562">
        <f t="shared" si="796"/>
        <v>-50</v>
      </c>
      <c r="CF281">
        <f t="shared" si="797"/>
        <v>-50</v>
      </c>
      <c r="CG281" s="173">
        <f t="shared" si="798"/>
        <v>0.43696395732371335</v>
      </c>
      <c r="CI281" s="170">
        <v>65</v>
      </c>
      <c r="CJ281" s="217">
        <f t="shared" ref="CJ281:CJ316" si="856">IF(PLOT_TYPE=1, CI281/100*Iout_max, min_I*EXP(CR281*rr/100))</f>
        <v>1.625</v>
      </c>
      <c r="CK281" s="217"/>
      <c r="CL281" s="217">
        <f t="shared" si="799"/>
        <v>45.5</v>
      </c>
      <c r="CM281" s="541">
        <f t="shared" si="800"/>
        <v>40</v>
      </c>
      <c r="CN281" s="443">
        <f t="shared" si="801"/>
        <v>28.4</v>
      </c>
      <c r="CO281" s="443">
        <f t="shared" si="802"/>
        <v>68.400000000000006</v>
      </c>
      <c r="CP281" s="443"/>
      <c r="CQ281" s="217">
        <f t="shared" si="803"/>
        <v>0.41520467836257302</v>
      </c>
      <c r="CR281" s="172">
        <f t="shared" si="804"/>
        <v>140.52175355646798</v>
      </c>
      <c r="CS281" s="172">
        <f t="shared" si="805"/>
        <v>45.5</v>
      </c>
      <c r="CT281" s="217">
        <f t="shared" si="806"/>
        <v>5.0186340555881426</v>
      </c>
      <c r="CU281" s="217">
        <f t="shared" si="807"/>
        <v>28</v>
      </c>
      <c r="CV281" s="217"/>
      <c r="CW281" s="172">
        <f t="shared" si="808"/>
        <v>165.2248090131867</v>
      </c>
      <c r="CX281" s="172">
        <f t="shared" si="809"/>
        <v>28</v>
      </c>
      <c r="CY281" s="217">
        <f t="shared" si="810"/>
        <v>5.4792253521126772</v>
      </c>
      <c r="CZ281" s="217">
        <f t="shared" si="811"/>
        <v>0.64380897887323951</v>
      </c>
      <c r="DA281" s="217">
        <f t="shared" si="812"/>
        <v>0.90677320968061914</v>
      </c>
      <c r="DB281" s="197">
        <f t="shared" si="813"/>
        <v>350</v>
      </c>
      <c r="DC281" s="443">
        <f t="shared" si="814"/>
        <v>350</v>
      </c>
      <c r="DE281" s="217">
        <f t="shared" si="815"/>
        <v>10.09616239179509</v>
      </c>
      <c r="DF281" s="173">
        <f t="shared" si="816"/>
        <v>1.6708437761069339</v>
      </c>
      <c r="DG281" s="173">
        <f t="shared" si="817"/>
        <v>2.9520942666067511</v>
      </c>
      <c r="DH281" s="173"/>
      <c r="DI281" s="173">
        <f t="shared" si="818"/>
        <v>0.55164319248826299</v>
      </c>
      <c r="DJ281" s="545">
        <f t="shared" si="819"/>
        <v>1767.446808510638</v>
      </c>
      <c r="DK281" s="528">
        <f t="shared" si="820"/>
        <v>0.3217918622848201</v>
      </c>
      <c r="DM281" s="173">
        <f t="shared" si="821"/>
        <v>7.4906223034138639</v>
      </c>
      <c r="DN281" s="173">
        <f t="shared" si="822"/>
        <v>7.4906223034138639</v>
      </c>
      <c r="DO281" s="173">
        <f t="shared" si="823"/>
        <v>4.2794733111707641</v>
      </c>
      <c r="DQ281" s="545">
        <f t="shared" si="824"/>
        <v>1625</v>
      </c>
      <c r="DR281" s="460">
        <f t="shared" si="825"/>
        <v>350</v>
      </c>
      <c r="DT281">
        <f t="shared" si="826"/>
        <v>1625</v>
      </c>
      <c r="DU281">
        <f t="shared" si="827"/>
        <v>350</v>
      </c>
      <c r="DW281" s="5">
        <f t="shared" ref="DW281:DW316" si="857">1/DR281*1000</f>
        <v>2.8571428571428572</v>
      </c>
      <c r="DX281" s="5">
        <f t="shared" si="828"/>
        <v>0.88014812065112891</v>
      </c>
      <c r="DY281" s="5">
        <f t="shared" si="829"/>
        <v>1.9769947364917284</v>
      </c>
      <c r="DZ281" s="5"/>
      <c r="EA281" s="173">
        <f t="shared" si="830"/>
        <v>0.30805184222789511</v>
      </c>
      <c r="EB281" s="173">
        <f t="shared" ref="EB281:EB316" si="858">0.5*L*DN281^2*DR281*1000</f>
        <v>46.150000000000006</v>
      </c>
      <c r="EC281" s="173">
        <f t="shared" ref="EC281:EC316" si="859">DN281*Nps/2*(1-EA281)</f>
        <v>2.5915611517069324</v>
      </c>
      <c r="ED281" s="173">
        <f t="shared" ref="ED281:ED316" si="860">EB281/EC281</f>
        <v>17.807798966890399</v>
      </c>
      <c r="EE281" s="460">
        <f t="shared" si="831"/>
        <v>5.1080024859217303</v>
      </c>
      <c r="EF281" s="5">
        <f t="shared" si="832"/>
        <v>1.6063082233995289</v>
      </c>
      <c r="EH281" s="173">
        <f t="shared" ref="EH281:EH316" si="861">DN281*SQRT(EA281/3)</f>
        <v>2.4003201845536837</v>
      </c>
      <c r="EI281" s="173">
        <f t="shared" ref="EI281:EI316" si="862">DN281*Nps*SQRT((1-EA281)/3)</f>
        <v>3.597444070784781</v>
      </c>
      <c r="EK281" s="528">
        <f t="shared" ref="EK281:EK316" si="863">Rdson*EH281^2</f>
        <v>6.9138443860509963E-2</v>
      </c>
      <c r="EL281" s="528">
        <f t="shared" ref="EL281:EL316" si="864">0.5*CO281*DN281*DR281*1000*Trise</f>
        <v>3.4071844609308304</v>
      </c>
      <c r="EM281" s="528">
        <f t="shared" ref="EM281:EM316" si="865">Qg*Vdd*DR281*1000</f>
        <v>4.0250000000000001E-2</v>
      </c>
      <c r="EN281" s="528">
        <f t="shared" ref="EN281:EN316" si="866">0.5*(Coss+Csw)*CO281^2*DR281*1000</f>
        <v>0.80646678000000016</v>
      </c>
      <c r="EO281">
        <f t="shared" ref="EO281:EO316" si="867">CM281*IQ</f>
        <v>1.7999999999999999E-2</v>
      </c>
      <c r="EP281" s="460">
        <f t="shared" ref="EP281:EP316" si="868">(EO281+EM281)*1000</f>
        <v>58.249999999999993</v>
      </c>
      <c r="EQ281" s="460"/>
      <c r="ER281" s="460">
        <f t="shared" ref="ER281:ER316" si="869">SUM(EK281:EO281)*1000</f>
        <v>4341.0396847913407</v>
      </c>
      <c r="ES281" s="528">
        <f t="shared" ref="ES281:ES316" si="870">Vfwd2*CJ281</f>
        <v>1.1375</v>
      </c>
      <c r="EV281" s="460">
        <f t="shared" ref="EV281:EV316" si="871">SUM(ES281:EU281)*1000</f>
        <v>1137.5</v>
      </c>
      <c r="EW281" s="528">
        <f t="shared" ref="EW281:EW316" si="872">Rdcr_pri*EH281^2</f>
        <v>8.0661517837261623E-2</v>
      </c>
      <c r="EX281" s="528">
        <f t="shared" ref="EX281:EX316" si="873">Rdcr_sec*EI281^2</f>
        <v>0.18118245379394407</v>
      </c>
      <c r="EY281" s="528">
        <f t="shared" ref="EY281:EY316" si="874">DN281^2.5*DR281^2.5*k_core</f>
        <v>17.596847229405835</v>
      </c>
      <c r="EZ281" s="528"/>
      <c r="FA281" s="528">
        <f t="shared" ref="FA281:FA316" si="875">0.5*Lleak*0.000000001*DN281^2*DR281*1000</f>
        <v>1.9638297872340429</v>
      </c>
      <c r="FB281" s="460">
        <f t="shared" ref="FB281:FB316" si="876">SUM(EW281:FA281)*1000</f>
        <v>19822.520988271084</v>
      </c>
      <c r="FC281" s="173">
        <f t="shared" ref="FC281:FC316" si="877">SUM(EK281:EO281,ES281:EU281,EW281:FA281)</f>
        <v>25.301060673062427</v>
      </c>
      <c r="FD281" s="5">
        <f t="shared" ref="FD281:FD316" si="878">MIN(CL281,CS281)</f>
        <v>45.5</v>
      </c>
      <c r="FE281" s="173">
        <f t="shared" ref="FE281:FE316" si="879">FD281/(FD281+FC281)</f>
        <v>0.64264573959004712</v>
      </c>
      <c r="FF281" s="5">
        <f t="shared" ref="FF281:FF316" si="880">FE281*100</f>
        <v>64.264573959004707</v>
      </c>
      <c r="FI281" s="562">
        <f t="shared" si="833"/>
        <v>-50</v>
      </c>
      <c r="FJ281">
        <f t="shared" si="834"/>
        <v>-50</v>
      </c>
      <c r="FL281">
        <f t="shared" si="835"/>
        <v>0.43387583412379599</v>
      </c>
    </row>
    <row r="282" spans="5:168">
      <c r="E282" s="170">
        <v>66</v>
      </c>
      <c r="F282" s="217">
        <f t="shared" si="836"/>
        <v>1.6500000000000001</v>
      </c>
      <c r="G282" s="217"/>
      <c r="H282" s="217">
        <f t="shared" si="762"/>
        <v>46.2</v>
      </c>
      <c r="I282" s="541">
        <f t="shared" si="763"/>
        <v>39.902569173474475</v>
      </c>
      <c r="J282" s="172">
        <f t="shared" si="764"/>
        <v>28.452462752744513</v>
      </c>
      <c r="K282" s="172">
        <f t="shared" si="765"/>
        <v>68.355031926218984</v>
      </c>
      <c r="L282" s="443"/>
      <c r="M282" s="217">
        <f t="shared" si="766"/>
        <v>0.41624851787398937</v>
      </c>
      <c r="N282" s="172">
        <f t="shared" si="767"/>
        <v>140.53189103860245</v>
      </c>
      <c r="O282" s="172">
        <f t="shared" si="760"/>
        <v>46.2</v>
      </c>
      <c r="P282" s="217">
        <f t="shared" si="768"/>
        <v>5.0189961085215158</v>
      </c>
      <c r="Q282" s="217">
        <f t="shared" si="769"/>
        <v>28</v>
      </c>
      <c r="R282" s="217"/>
      <c r="S282" s="172">
        <f t="shared" si="770"/>
        <v>161.7240074664964</v>
      </c>
      <c r="T282" s="172">
        <f t="shared" si="771"/>
        <v>28</v>
      </c>
      <c r="U282" s="217">
        <f t="shared" si="772"/>
        <v>5.5631197936851295</v>
      </c>
      <c r="V282" s="217">
        <f t="shared" si="773"/>
        <v>0.65526264528604072</v>
      </c>
      <c r="W282" s="217">
        <f t="shared" si="774"/>
        <v>0.91895957329029487</v>
      </c>
      <c r="X282" s="197">
        <f t="shared" si="775"/>
        <v>350</v>
      </c>
      <c r="Y282" s="443">
        <f t="shared" si="837"/>
        <v>350</v>
      </c>
      <c r="AA282" s="217">
        <f t="shared" si="776"/>
        <v>10.096813394192839</v>
      </c>
      <c r="AB282" s="173">
        <f t="shared" si="777"/>
        <v>1.6678704885793709</v>
      </c>
      <c r="AC282" s="173">
        <f t="shared" si="778"/>
        <v>2.9470309905517507</v>
      </c>
      <c r="AD282" s="173"/>
      <c r="AE282" s="173">
        <f t="shared" si="779"/>
        <v>0.55062603201740301</v>
      </c>
      <c r="AF282" s="545">
        <f t="shared" si="780"/>
        <v>1797.9534973542811</v>
      </c>
      <c r="AG282" s="528">
        <f t="shared" si="781"/>
        <v>0.32119851867681842</v>
      </c>
      <c r="AI282" s="173">
        <f t="shared" si="782"/>
        <v>7.5549909864206866</v>
      </c>
      <c r="AJ282" s="173">
        <f t="shared" si="783"/>
        <v>7.5549909864206866</v>
      </c>
      <c r="AK282" s="173">
        <f t="shared" si="784"/>
        <v>4.3271538171017436</v>
      </c>
      <c r="AM282" s="545">
        <f t="shared" si="785"/>
        <v>1650.0000000000002</v>
      </c>
      <c r="AN282" s="460">
        <f t="shared" si="786"/>
        <v>350</v>
      </c>
      <c r="AP282">
        <f t="shared" si="787"/>
        <v>1650.0000000000002</v>
      </c>
      <c r="AQ282">
        <f t="shared" si="788"/>
        <v>350</v>
      </c>
      <c r="AS282" s="5">
        <f t="shared" si="761"/>
        <v>2.8571428571428572</v>
      </c>
      <c r="AT282" s="5">
        <f t="shared" si="789"/>
        <v>0.88987898202258442</v>
      </c>
      <c r="AU282" s="5">
        <f t="shared" si="721"/>
        <v>1.9672638751202727</v>
      </c>
      <c r="AV282" s="5"/>
      <c r="AW282" s="173">
        <f t="shared" si="722"/>
        <v>0.31145764370790452</v>
      </c>
      <c r="AX282" s="173">
        <f t="shared" si="790"/>
        <v>46.946563542028457</v>
      </c>
      <c r="AY282" s="173">
        <f t="shared" si="791"/>
        <v>2.6009656477778211</v>
      </c>
      <c r="AZ282" s="173">
        <f t="shared" si="792"/>
        <v>18.049666892808848</v>
      </c>
      <c r="BA282" s="460">
        <f t="shared" si="723"/>
        <v>5.2439297154902302</v>
      </c>
      <c r="BB282" s="5">
        <f t="shared" si="724"/>
        <v>1.6269555876648876</v>
      </c>
      <c r="BD282" s="173">
        <f t="shared" si="838"/>
        <v>2.434292830576966</v>
      </c>
      <c r="BE282" s="173">
        <f t="shared" si="839"/>
        <v>3.6194172666283619</v>
      </c>
      <c r="BG282" s="528">
        <f t="shared" si="840"/>
        <v>7.1109379019981017E-2</v>
      </c>
      <c r="BH282" s="528">
        <f t="shared" si="793"/>
        <v>3.298643289880141</v>
      </c>
      <c r="BI282" s="528">
        <f t="shared" si="841"/>
        <v>4.0250000000000001E-2</v>
      </c>
      <c r="BJ282" s="528">
        <f t="shared" si="842"/>
        <v>0.80540674091323261</v>
      </c>
      <c r="BK282">
        <f t="shared" si="843"/>
        <v>1.7956156128063512E-2</v>
      </c>
      <c r="BL282" s="460">
        <f t="shared" si="844"/>
        <v>58.206156128063512</v>
      </c>
      <c r="BM282" s="528">
        <f t="shared" si="794"/>
        <v>4.2664430073685908</v>
      </c>
      <c r="BN282" s="460">
        <f t="shared" si="845"/>
        <v>4266.4430073685908</v>
      </c>
      <c r="BO282" s="528">
        <f t="shared" si="795"/>
        <v>1.155</v>
      </c>
      <c r="BR282" s="460">
        <f t="shared" si="846"/>
        <v>1155</v>
      </c>
      <c r="BS282" s="528">
        <f t="shared" si="847"/>
        <v>8.2960942189977849E-2</v>
      </c>
      <c r="BT282" s="528">
        <f t="shared" si="848"/>
        <v>0.18340253889954533</v>
      </c>
      <c r="BU282" s="528">
        <f t="shared" si="849"/>
        <v>17.977321760302832</v>
      </c>
      <c r="BV282" s="528"/>
      <c r="BW282" s="528">
        <f t="shared" si="850"/>
        <v>1.9977261081714242</v>
      </c>
      <c r="BX282" s="460">
        <f t="shared" si="851"/>
        <v>20241.411349563779</v>
      </c>
      <c r="BY282" s="173">
        <f t="shared" si="852"/>
        <v>25.629776915505197</v>
      </c>
      <c r="BZ282" s="5">
        <f t="shared" si="853"/>
        <v>46.2</v>
      </c>
      <c r="CA282" s="173">
        <f t="shared" si="854"/>
        <v>0.64318729618701154</v>
      </c>
      <c r="CB282" s="5">
        <f t="shared" si="855"/>
        <v>64.318729618701155</v>
      </c>
      <c r="CE282" s="562">
        <f t="shared" si="796"/>
        <v>-50</v>
      </c>
      <c r="CF282">
        <f t="shared" si="797"/>
        <v>-50</v>
      </c>
      <c r="CG282" s="173">
        <f t="shared" si="798"/>
        <v>0.44031238910573484</v>
      </c>
      <c r="CI282" s="170">
        <v>66</v>
      </c>
      <c r="CJ282" s="217">
        <f t="shared" si="856"/>
        <v>1.6500000000000001</v>
      </c>
      <c r="CK282" s="217"/>
      <c r="CL282" s="217">
        <f t="shared" si="799"/>
        <v>46.2</v>
      </c>
      <c r="CM282" s="541">
        <f t="shared" si="800"/>
        <v>40</v>
      </c>
      <c r="CN282" s="443">
        <f t="shared" si="801"/>
        <v>28.4</v>
      </c>
      <c r="CO282" s="443">
        <f t="shared" si="802"/>
        <v>68.400000000000006</v>
      </c>
      <c r="CP282" s="443"/>
      <c r="CQ282" s="217">
        <f t="shared" si="803"/>
        <v>0.41520467836257302</v>
      </c>
      <c r="CR282" s="172">
        <f t="shared" si="804"/>
        <v>140.52175355646798</v>
      </c>
      <c r="CS282" s="172">
        <f t="shared" si="805"/>
        <v>46.2</v>
      </c>
      <c r="CT282" s="217">
        <f t="shared" si="806"/>
        <v>5.0186340555881426</v>
      </c>
      <c r="CU282" s="217">
        <f t="shared" si="807"/>
        <v>28</v>
      </c>
      <c r="CV282" s="217"/>
      <c r="CW282" s="172">
        <f t="shared" si="808"/>
        <v>162.11865225823732</v>
      </c>
      <c r="CX282" s="172">
        <f t="shared" si="809"/>
        <v>28</v>
      </c>
      <c r="CY282" s="217">
        <f t="shared" si="810"/>
        <v>5.5635211267605653</v>
      </c>
      <c r="CZ282" s="217">
        <f t="shared" si="811"/>
        <v>0.65371373239436636</v>
      </c>
      <c r="DA282" s="217">
        <f t="shared" si="812"/>
        <v>0.92072356675262879</v>
      </c>
      <c r="DB282" s="197">
        <f t="shared" si="813"/>
        <v>350</v>
      </c>
      <c r="DC282" s="443">
        <f t="shared" si="814"/>
        <v>350</v>
      </c>
      <c r="DE282" s="217">
        <f t="shared" si="815"/>
        <v>10.09616239179509</v>
      </c>
      <c r="DF282" s="173">
        <f t="shared" si="816"/>
        <v>1.6708437761069339</v>
      </c>
      <c r="DG282" s="173">
        <f t="shared" si="817"/>
        <v>2.9520942666067511</v>
      </c>
      <c r="DH282" s="173"/>
      <c r="DI282" s="173">
        <f t="shared" si="818"/>
        <v>0.55164319248826299</v>
      </c>
      <c r="DJ282" s="545">
        <f t="shared" si="819"/>
        <v>1794.6382978723402</v>
      </c>
      <c r="DK282" s="528">
        <f t="shared" si="820"/>
        <v>0.3217918622848201</v>
      </c>
      <c r="DM282" s="173">
        <f t="shared" si="821"/>
        <v>7.5480225474557043</v>
      </c>
      <c r="DN282" s="173">
        <f t="shared" si="822"/>
        <v>7.5480225474557043</v>
      </c>
      <c r="DO282" s="173">
        <f t="shared" si="823"/>
        <v>4.3219920104610159</v>
      </c>
      <c r="DQ282" s="545">
        <f t="shared" si="824"/>
        <v>1650.0000000000002</v>
      </c>
      <c r="DR282" s="460">
        <f t="shared" si="825"/>
        <v>350</v>
      </c>
      <c r="DT282">
        <f t="shared" si="826"/>
        <v>1650.0000000000002</v>
      </c>
      <c r="DU282">
        <f t="shared" si="827"/>
        <v>350</v>
      </c>
      <c r="DW282" s="5">
        <f t="shared" si="857"/>
        <v>2.8571428571428572</v>
      </c>
      <c r="DX282" s="5">
        <f t="shared" si="828"/>
        <v>0.88689264932604517</v>
      </c>
      <c r="DY282" s="5">
        <f t="shared" si="829"/>
        <v>1.970250207816812</v>
      </c>
      <c r="DZ282" s="5"/>
      <c r="EA282" s="173">
        <f t="shared" si="830"/>
        <v>0.31041242726411578</v>
      </c>
      <c r="EB282" s="173">
        <f t="shared" si="858"/>
        <v>46.860000000000007</v>
      </c>
      <c r="EC282" s="173">
        <f t="shared" si="859"/>
        <v>2.6025112737278522</v>
      </c>
      <c r="ED282" s="173">
        <f t="shared" si="860"/>
        <v>18.005685690220844</v>
      </c>
      <c r="EE282" s="460">
        <f t="shared" si="831"/>
        <v>5.2263316835284801</v>
      </c>
      <c r="EF282" s="5">
        <f t="shared" si="832"/>
        <v>1.6254564214488696</v>
      </c>
      <c r="EH282" s="173">
        <f t="shared" si="861"/>
        <v>2.4279632636353674</v>
      </c>
      <c r="EI282" s="173">
        <f t="shared" si="862"/>
        <v>3.6188224396070696</v>
      </c>
      <c r="EK282" s="528">
        <f t="shared" si="863"/>
        <v>7.0740067314754851E-2</v>
      </c>
      <c r="EL282" s="528">
        <f t="shared" si="864"/>
        <v>3.433293535935702</v>
      </c>
      <c r="EM282" s="528">
        <f t="shared" si="865"/>
        <v>4.0250000000000001E-2</v>
      </c>
      <c r="EN282" s="528">
        <f t="shared" si="866"/>
        <v>0.80646678000000016</v>
      </c>
      <c r="EO282">
        <f t="shared" si="867"/>
        <v>1.7999999999999999E-2</v>
      </c>
      <c r="EP282" s="460">
        <f t="shared" si="868"/>
        <v>58.249999999999993</v>
      </c>
      <c r="EQ282" s="460"/>
      <c r="ER282" s="460">
        <f t="shared" si="869"/>
        <v>4368.7503832504563</v>
      </c>
      <c r="ES282" s="528">
        <f t="shared" si="870"/>
        <v>1.155</v>
      </c>
      <c r="EV282" s="460">
        <f t="shared" si="871"/>
        <v>1155</v>
      </c>
      <c r="EW282" s="528">
        <f t="shared" si="872"/>
        <v>8.2530078533880669E-2</v>
      </c>
      <c r="EX282" s="528">
        <f t="shared" si="873"/>
        <v>0.18334226189165129</v>
      </c>
      <c r="EY282" s="528">
        <f t="shared" si="874"/>
        <v>17.935896422381447</v>
      </c>
      <c r="EZ282" s="528"/>
      <c r="FA282" s="528">
        <f t="shared" si="875"/>
        <v>1.9940425531914896</v>
      </c>
      <c r="FB282" s="460">
        <f t="shared" si="876"/>
        <v>20195.811315998468</v>
      </c>
      <c r="FC282" s="173">
        <f t="shared" si="877"/>
        <v>25.719561699248928</v>
      </c>
      <c r="FD282" s="5">
        <f t="shared" si="878"/>
        <v>46.2</v>
      </c>
      <c r="FE282" s="173">
        <f t="shared" si="879"/>
        <v>0.64238433756309277</v>
      </c>
      <c r="FF282" s="5">
        <f t="shared" si="880"/>
        <v>64.238433756309277</v>
      </c>
      <c r="FI282" s="562">
        <f t="shared" si="833"/>
        <v>-50</v>
      </c>
      <c r="FJ282">
        <f t="shared" si="834"/>
        <v>-50</v>
      </c>
      <c r="FL282">
        <f t="shared" si="835"/>
        <v>0.43720060178044484</v>
      </c>
    </row>
    <row r="283" spans="5:168">
      <c r="E283" s="170">
        <v>67</v>
      </c>
      <c r="F283" s="217">
        <f t="shared" si="836"/>
        <v>1.675</v>
      </c>
      <c r="G283" s="217"/>
      <c r="H283" s="217">
        <f t="shared" si="762"/>
        <v>46.9</v>
      </c>
      <c r="I283" s="541">
        <f t="shared" si="763"/>
        <v>39.901833836049882</v>
      </c>
      <c r="J283" s="172">
        <f t="shared" si="764"/>
        <v>28.452858703665445</v>
      </c>
      <c r="K283" s="172">
        <f t="shared" si="765"/>
        <v>68.35469253971533</v>
      </c>
      <c r="L283" s="443"/>
      <c r="M283" s="217">
        <f t="shared" si="766"/>
        <v>0.41625640119827434</v>
      </c>
      <c r="N283" s="172">
        <f t="shared" si="767"/>
        <v>140.53196275383087</v>
      </c>
      <c r="O283" s="172">
        <f t="shared" si="760"/>
        <v>46.9</v>
      </c>
      <c r="P283" s="217">
        <f t="shared" si="768"/>
        <v>5.0189986697796742</v>
      </c>
      <c r="Q283" s="217">
        <f t="shared" si="769"/>
        <v>28</v>
      </c>
      <c r="R283" s="217"/>
      <c r="S283" s="172">
        <f t="shared" si="770"/>
        <v>158.7150617950731</v>
      </c>
      <c r="T283" s="172">
        <f t="shared" si="771"/>
        <v>28</v>
      </c>
      <c r="U283" s="217">
        <f t="shared" si="772"/>
        <v>5.6474066055847398</v>
      </c>
      <c r="V283" s="217">
        <f t="shared" si="773"/>
        <v>0.66520278630070873</v>
      </c>
      <c r="W283" s="217">
        <f t="shared" si="774"/>
        <v>0.93286974509977427</v>
      </c>
      <c r="X283" s="197">
        <f t="shared" si="775"/>
        <v>350</v>
      </c>
      <c r="Y283" s="443">
        <f t="shared" si="837"/>
        <v>350</v>
      </c>
      <c r="AA283" s="217">
        <f t="shared" si="776"/>
        <v>10.096817965069087</v>
      </c>
      <c r="AB283" s="173">
        <f t="shared" si="777"/>
        <v>1.6678480334811245</v>
      </c>
      <c r="AC283" s="173">
        <f t="shared" si="778"/>
        <v>2.9469926478050392</v>
      </c>
      <c r="AD283" s="173"/>
      <c r="AE283" s="173">
        <f t="shared" si="779"/>
        <v>0.55061836948736564</v>
      </c>
      <c r="AF283" s="545">
        <f t="shared" si="780"/>
        <v>1825.2206168415173</v>
      </c>
      <c r="AG283" s="528">
        <f t="shared" si="781"/>
        <v>0.32119404886762998</v>
      </c>
      <c r="AI283" s="173">
        <f t="shared" si="782"/>
        <v>7.6120635602813023</v>
      </c>
      <c r="AJ283" s="173">
        <f t="shared" si="783"/>
        <v>7.6120635602813023</v>
      </c>
      <c r="AK283" s="173">
        <f t="shared" si="784"/>
        <v>4.3694297977392367</v>
      </c>
      <c r="AM283" s="545">
        <f t="shared" si="785"/>
        <v>1675</v>
      </c>
      <c r="AN283" s="460">
        <f t="shared" si="786"/>
        <v>350</v>
      </c>
      <c r="AP283">
        <f t="shared" si="787"/>
        <v>1675</v>
      </c>
      <c r="AQ283">
        <f t="shared" si="788"/>
        <v>350</v>
      </c>
      <c r="AS283" s="5">
        <f t="shared" si="761"/>
        <v>2.8571428571428572</v>
      </c>
      <c r="AT283" s="5">
        <f t="shared" si="789"/>
        <v>0.89661790684414988</v>
      </c>
      <c r="AU283" s="5">
        <f t="shared" si="721"/>
        <v>1.9605249502987072</v>
      </c>
      <c r="AV283" s="5"/>
      <c r="AW283" s="173">
        <f t="shared" si="722"/>
        <v>0.31381626739545243</v>
      </c>
      <c r="AX283" s="173">
        <f t="shared" si="790"/>
        <v>47.658538328639615</v>
      </c>
      <c r="AY283" s="173">
        <f t="shared" si="791"/>
        <v>2.6116370933084427</v>
      </c>
      <c r="AZ283" s="173">
        <f t="shared" si="792"/>
        <v>18.248530184668727</v>
      </c>
      <c r="BA283" s="460">
        <f t="shared" si="723"/>
        <v>5.3636964070141113</v>
      </c>
      <c r="BB283" s="5">
        <f t="shared" si="724"/>
        <v>1.6459791323091852</v>
      </c>
      <c r="BD283" s="173">
        <f t="shared" si="838"/>
        <v>2.4619515663025067</v>
      </c>
      <c r="BE283" s="173">
        <f t="shared" si="839"/>
        <v>3.6405079820131494</v>
      </c>
      <c r="BG283" s="528">
        <f t="shared" si="840"/>
        <v>7.2734466177832399E-2</v>
      </c>
      <c r="BH283" s="528">
        <f t="shared" si="793"/>
        <v>3.3235456879339176</v>
      </c>
      <c r="BI283" s="528">
        <f t="shared" si="841"/>
        <v>4.0250000000000001E-2</v>
      </c>
      <c r="BJ283" s="528">
        <f t="shared" si="842"/>
        <v>0.80539874315530513</v>
      </c>
      <c r="BK283">
        <f t="shared" si="843"/>
        <v>1.7955825226222445E-2</v>
      </c>
      <c r="BL283" s="460">
        <f t="shared" si="844"/>
        <v>58.205825226222444</v>
      </c>
      <c r="BM283" s="528">
        <f t="shared" si="794"/>
        <v>4.29555167793138</v>
      </c>
      <c r="BN283" s="460">
        <f t="shared" si="845"/>
        <v>4295.5516779313803</v>
      </c>
      <c r="BO283" s="528">
        <f t="shared" si="795"/>
        <v>1.1724999999999999</v>
      </c>
      <c r="BR283" s="460">
        <f t="shared" si="846"/>
        <v>1172.4999999999998</v>
      </c>
      <c r="BS283" s="528">
        <f t="shared" si="847"/>
        <v>8.4856877207471121E-2</v>
      </c>
      <c r="BT283" s="528">
        <f t="shared" si="848"/>
        <v>0.18554617713942037</v>
      </c>
      <c r="BU283" s="528">
        <f t="shared" si="849"/>
        <v>18.318762415310292</v>
      </c>
      <c r="BV283" s="528"/>
      <c r="BW283" s="528">
        <f t="shared" si="850"/>
        <v>2.0280229076016862</v>
      </c>
      <c r="BX283" s="460">
        <f t="shared" si="851"/>
        <v>20617.18837725887</v>
      </c>
      <c r="BY283" s="173">
        <f t="shared" si="852"/>
        <v>26.049573099752145</v>
      </c>
      <c r="BZ283" s="5">
        <f t="shared" si="853"/>
        <v>46.9</v>
      </c>
      <c r="CA283" s="173">
        <f t="shared" si="854"/>
        <v>0.64290986234927461</v>
      </c>
      <c r="CB283" s="5">
        <f t="shared" si="855"/>
        <v>64.290986234927459</v>
      </c>
      <c r="CE283" s="562">
        <f t="shared" si="796"/>
        <v>-50</v>
      </c>
      <c r="CF283">
        <f t="shared" si="797"/>
        <v>-50</v>
      </c>
      <c r="CG283" s="173">
        <f t="shared" si="798"/>
        <v>0.44363554862071186</v>
      </c>
      <c r="CI283" s="170">
        <v>67</v>
      </c>
      <c r="CJ283" s="217">
        <f t="shared" si="856"/>
        <v>1.675</v>
      </c>
      <c r="CK283" s="217"/>
      <c r="CL283" s="217">
        <f t="shared" si="799"/>
        <v>46.9</v>
      </c>
      <c r="CM283" s="541">
        <f t="shared" si="800"/>
        <v>40</v>
      </c>
      <c r="CN283" s="443">
        <f t="shared" si="801"/>
        <v>28.4</v>
      </c>
      <c r="CO283" s="443">
        <f t="shared" si="802"/>
        <v>68.400000000000006</v>
      </c>
      <c r="CP283" s="443"/>
      <c r="CQ283" s="217">
        <f t="shared" si="803"/>
        <v>0.41520467836257302</v>
      </c>
      <c r="CR283" s="172">
        <f t="shared" si="804"/>
        <v>140.52175355646798</v>
      </c>
      <c r="CS283" s="172">
        <f t="shared" si="805"/>
        <v>46.9</v>
      </c>
      <c r="CT283" s="217">
        <f t="shared" si="806"/>
        <v>5.0186340555881426</v>
      </c>
      <c r="CU283" s="217">
        <f t="shared" si="807"/>
        <v>28</v>
      </c>
      <c r="CV283" s="217"/>
      <c r="CW283" s="172">
        <f t="shared" si="808"/>
        <v>159.10528528006927</v>
      </c>
      <c r="CX283" s="172">
        <f t="shared" si="809"/>
        <v>28</v>
      </c>
      <c r="CY283" s="217">
        <f t="shared" si="810"/>
        <v>5.6478169014084516</v>
      </c>
      <c r="CZ283" s="217">
        <f t="shared" si="811"/>
        <v>0.66361848591549299</v>
      </c>
      <c r="DA283" s="217">
        <f t="shared" si="812"/>
        <v>0.9346739238246381</v>
      </c>
      <c r="DB283" s="197">
        <f t="shared" si="813"/>
        <v>350</v>
      </c>
      <c r="DC283" s="443">
        <f t="shared" si="814"/>
        <v>350</v>
      </c>
      <c r="DE283" s="217">
        <f t="shared" si="815"/>
        <v>10.09616239179509</v>
      </c>
      <c r="DF283" s="173">
        <f t="shared" si="816"/>
        <v>1.6708437761069339</v>
      </c>
      <c r="DG283" s="173">
        <f t="shared" si="817"/>
        <v>2.9520942666067511</v>
      </c>
      <c r="DH283" s="173"/>
      <c r="DI283" s="173">
        <f t="shared" si="818"/>
        <v>0.55164319248826299</v>
      </c>
      <c r="DJ283" s="545">
        <f t="shared" si="819"/>
        <v>1821.8297872340422</v>
      </c>
      <c r="DK283" s="528">
        <f t="shared" si="820"/>
        <v>0.3217918622848201</v>
      </c>
      <c r="DM283" s="173">
        <f t="shared" si="821"/>
        <v>7.6049895635298661</v>
      </c>
      <c r="DN283" s="173">
        <f t="shared" si="822"/>
        <v>7.6049895635298661</v>
      </c>
      <c r="DO283" s="173">
        <f t="shared" si="823"/>
        <v>4.3641898001455797</v>
      </c>
      <c r="DQ283" s="545">
        <f t="shared" si="824"/>
        <v>1675</v>
      </c>
      <c r="DR283" s="460">
        <f t="shared" si="825"/>
        <v>350</v>
      </c>
      <c r="DT283">
        <f t="shared" si="826"/>
        <v>1675</v>
      </c>
      <c r="DU283">
        <f t="shared" si="827"/>
        <v>350</v>
      </c>
      <c r="DW283" s="5">
        <f t="shared" si="857"/>
        <v>2.8571428571428572</v>
      </c>
      <c r="DX283" s="5">
        <f t="shared" si="828"/>
        <v>0.89358627371475929</v>
      </c>
      <c r="DY283" s="5">
        <f t="shared" si="829"/>
        <v>1.9635565834280979</v>
      </c>
      <c r="DZ283" s="5"/>
      <c r="EA283" s="173">
        <f t="shared" si="830"/>
        <v>0.31275519580016575</v>
      </c>
      <c r="EB283" s="173">
        <f t="shared" si="858"/>
        <v>47.57</v>
      </c>
      <c r="EC283" s="173">
        <f t="shared" si="859"/>
        <v>2.6132447817649327</v>
      </c>
      <c r="ED283" s="173">
        <f t="shared" si="860"/>
        <v>18.203422936856374</v>
      </c>
      <c r="EE283" s="460">
        <f t="shared" si="831"/>
        <v>5.3455607445436497</v>
      </c>
      <c r="EF283" s="5">
        <f t="shared" si="832"/>
        <v>1.6444786386210317</v>
      </c>
      <c r="EH283" s="173">
        <f t="shared" si="861"/>
        <v>2.4555018276553158</v>
      </c>
      <c r="EI283" s="173">
        <f t="shared" si="862"/>
        <v>3.6399358320599733</v>
      </c>
      <c r="EK283" s="528">
        <f t="shared" si="863"/>
        <v>7.2353870707423149E-2</v>
      </c>
      <c r="EL283" s="528">
        <f t="shared" si="864"/>
        <v>3.4592055528671954</v>
      </c>
      <c r="EM283" s="528">
        <f t="shared" si="865"/>
        <v>4.0250000000000001E-2</v>
      </c>
      <c r="EN283" s="528">
        <f t="shared" si="866"/>
        <v>0.80646678000000016</v>
      </c>
      <c r="EO283">
        <f t="shared" si="867"/>
        <v>1.7999999999999999E-2</v>
      </c>
      <c r="EP283" s="460">
        <f t="shared" si="868"/>
        <v>58.249999999999993</v>
      </c>
      <c r="EQ283" s="460"/>
      <c r="ER283" s="460">
        <f t="shared" si="869"/>
        <v>4396.2762035746191</v>
      </c>
      <c r="ES283" s="528">
        <f t="shared" si="870"/>
        <v>1.1724999999999999</v>
      </c>
      <c r="EV283" s="460">
        <f t="shared" si="871"/>
        <v>1172.4999999999998</v>
      </c>
      <c r="EW283" s="528">
        <f t="shared" si="872"/>
        <v>8.4412849158660347E-2</v>
      </c>
      <c r="EX283" s="528">
        <f t="shared" si="873"/>
        <v>0.18548786006119783</v>
      </c>
      <c r="EY283" s="528">
        <f t="shared" si="874"/>
        <v>18.276232371183163</v>
      </c>
      <c r="EZ283" s="528"/>
      <c r="FA283" s="528">
        <f t="shared" si="875"/>
        <v>2.0242553191489363</v>
      </c>
      <c r="FB283" s="460">
        <f t="shared" si="876"/>
        <v>20570.388399551954</v>
      </c>
      <c r="FC283" s="173">
        <f t="shared" si="877"/>
        <v>26.139164603126574</v>
      </c>
      <c r="FD283" s="5">
        <f t="shared" si="878"/>
        <v>46.9</v>
      </c>
      <c r="FE283" s="173">
        <f t="shared" si="879"/>
        <v>0.64212125446451718</v>
      </c>
      <c r="FF283" s="5">
        <f t="shared" si="880"/>
        <v>64.212125446451722</v>
      </c>
      <c r="FI283" s="562">
        <f t="shared" si="833"/>
        <v>-50</v>
      </c>
      <c r="FJ283">
        <f t="shared" si="834"/>
        <v>-50</v>
      </c>
      <c r="FL283">
        <f t="shared" si="835"/>
        <v>0.44050027577488132</v>
      </c>
    </row>
    <row r="284" spans="5:168">
      <c r="E284" s="170">
        <v>68</v>
      </c>
      <c r="F284" s="217">
        <f t="shared" si="836"/>
        <v>1.7000000000000002</v>
      </c>
      <c r="G284" s="217"/>
      <c r="H284" s="217">
        <f t="shared" si="762"/>
        <v>47.600000000000009</v>
      </c>
      <c r="I284" s="541">
        <f t="shared" si="763"/>
        <v>39.901103966045575</v>
      </c>
      <c r="J284" s="172">
        <f t="shared" si="764"/>
        <v>28.453251710590845</v>
      </c>
      <c r="K284" s="172">
        <f t="shared" si="765"/>
        <v>68.354355676636416</v>
      </c>
      <c r="L284" s="443"/>
      <c r="M284" s="217">
        <f t="shared" si="766"/>
        <v>0.41626422598481244</v>
      </c>
      <c r="N284" s="172">
        <f t="shared" si="767"/>
        <v>140.53203386475201</v>
      </c>
      <c r="O284" s="172">
        <f t="shared" si="760"/>
        <v>47.600000000000009</v>
      </c>
      <c r="P284" s="217">
        <f t="shared" si="768"/>
        <v>5.0190012094554293</v>
      </c>
      <c r="Q284" s="217">
        <f t="shared" si="769"/>
        <v>28</v>
      </c>
      <c r="R284" s="217"/>
      <c r="S284" s="172">
        <f t="shared" si="770"/>
        <v>155.79472590014794</v>
      </c>
      <c r="T284" s="172">
        <f t="shared" si="771"/>
        <v>28</v>
      </c>
      <c r="U284" s="217">
        <f t="shared" si="772"/>
        <v>5.7316933561062333</v>
      </c>
      <c r="V284" s="217">
        <f t="shared" si="773"/>
        <v>0.67514319394830269</v>
      </c>
      <c r="W284" s="217">
        <f t="shared" si="774"/>
        <v>0.94677961758838625</v>
      </c>
      <c r="X284" s="197">
        <f t="shared" si="775"/>
        <v>350</v>
      </c>
      <c r="Y284" s="443">
        <f t="shared" si="837"/>
        <v>350</v>
      </c>
      <c r="AA284" s="217">
        <f t="shared" si="776"/>
        <v>10.096822496883449</v>
      </c>
      <c r="AB284" s="173">
        <f t="shared" si="777"/>
        <v>1.6678257451217262</v>
      </c>
      <c r="AC284" s="173">
        <f t="shared" si="778"/>
        <v>2.9469545882396284</v>
      </c>
      <c r="AD284" s="173"/>
      <c r="AE284" s="173">
        <f t="shared" si="779"/>
        <v>0.55061076414107124</v>
      </c>
      <c r="AF284" s="545">
        <f t="shared" si="780"/>
        <v>1852.4883028597442</v>
      </c>
      <c r="AG284" s="528">
        <f t="shared" si="781"/>
        <v>0.32118961241562494</v>
      </c>
      <c r="AI284" s="173">
        <f t="shared" si="782"/>
        <v>7.6687125693781164</v>
      </c>
      <c r="AJ284" s="173">
        <f t="shared" si="783"/>
        <v>7.6687125693781164</v>
      </c>
      <c r="AK284" s="173">
        <f t="shared" si="784"/>
        <v>4.411392026699839</v>
      </c>
      <c r="AM284" s="545">
        <f t="shared" si="785"/>
        <v>1700.0000000000002</v>
      </c>
      <c r="AN284" s="460">
        <f t="shared" si="786"/>
        <v>350</v>
      </c>
      <c r="AP284">
        <f t="shared" si="787"/>
        <v>1700.0000000000002</v>
      </c>
      <c r="AQ284">
        <f t="shared" si="788"/>
        <v>350</v>
      </c>
      <c r="AS284" s="5">
        <f t="shared" si="761"/>
        <v>2.8571428571428572</v>
      </c>
      <c r="AT284" s="5">
        <f t="shared" si="789"/>
        <v>0.90330706405387717</v>
      </c>
      <c r="AU284" s="5">
        <f t="shared" si="721"/>
        <v>1.95383579308898</v>
      </c>
      <c r="AV284" s="5"/>
      <c r="AW284" s="173">
        <f t="shared" si="722"/>
        <v>0.316157472418857</v>
      </c>
      <c r="AX284" s="173">
        <f t="shared" si="790"/>
        <v>48.370527908004433</v>
      </c>
      <c r="AY284" s="173">
        <f t="shared" si="791"/>
        <v>2.6220958933684066</v>
      </c>
      <c r="AZ284" s="173">
        <f t="shared" si="792"/>
        <v>18.447276482274837</v>
      </c>
      <c r="BA284" s="460">
        <f t="shared" si="723"/>
        <v>5.4843643174699688</v>
      </c>
      <c r="BB284" s="5">
        <f t="shared" si="724"/>
        <v>1.6648766666094064</v>
      </c>
      <c r="BD284" s="173">
        <f t="shared" si="838"/>
        <v>2.489508184398399</v>
      </c>
      <c r="BE284" s="173">
        <f t="shared" si="839"/>
        <v>3.6613385289707949</v>
      </c>
      <c r="BG284" s="528">
        <f t="shared" si="840"/>
        <v>7.4371812002239357E-2</v>
      </c>
      <c r="BH284" s="528">
        <f t="shared" si="793"/>
        <v>3.3482630280827861</v>
      </c>
      <c r="BI284" s="528">
        <f t="shared" si="841"/>
        <v>4.0250000000000001E-2</v>
      </c>
      <c r="BJ284" s="528">
        <f t="shared" si="842"/>
        <v>0.80539080490200399</v>
      </c>
      <c r="BK284">
        <f t="shared" si="843"/>
        <v>1.7955496784720509E-2</v>
      </c>
      <c r="BL284" s="460">
        <f t="shared" si="844"/>
        <v>58.205496784720509</v>
      </c>
      <c r="BM284" s="528">
        <f t="shared" si="794"/>
        <v>4.3245235769279322</v>
      </c>
      <c r="BN284" s="460">
        <f t="shared" si="845"/>
        <v>4324.5235769279325</v>
      </c>
      <c r="BO284" s="528">
        <f t="shared" si="795"/>
        <v>1.19</v>
      </c>
      <c r="BR284" s="460">
        <f t="shared" si="846"/>
        <v>1190</v>
      </c>
      <c r="BS284" s="528">
        <f t="shared" si="847"/>
        <v>8.6767114002612583E-2</v>
      </c>
      <c r="BT284" s="528">
        <f t="shared" si="848"/>
        <v>0.18767559753216437</v>
      </c>
      <c r="BU284" s="528">
        <f t="shared" si="849"/>
        <v>18.661487832539372</v>
      </c>
      <c r="BV284" s="528"/>
      <c r="BW284" s="528">
        <f t="shared" si="850"/>
        <v>2.0583203365108274</v>
      </c>
      <c r="BX284" s="460">
        <f t="shared" si="851"/>
        <v>20994.250880584979</v>
      </c>
      <c r="BY284" s="173">
        <f t="shared" si="852"/>
        <v>26.470482022356727</v>
      </c>
      <c r="BZ284" s="5">
        <f t="shared" si="853"/>
        <v>47.600000000000009</v>
      </c>
      <c r="CA284" s="173">
        <f t="shared" si="854"/>
        <v>0.64263116291902722</v>
      </c>
      <c r="CB284" s="5">
        <f t="shared" si="855"/>
        <v>64.263116291902719</v>
      </c>
      <c r="CE284" s="562">
        <f t="shared" si="796"/>
        <v>-50</v>
      </c>
      <c r="CF284">
        <f t="shared" si="797"/>
        <v>-50</v>
      </c>
      <c r="CG284" s="173">
        <f t="shared" si="798"/>
        <v>0.44693399960173091</v>
      </c>
      <c r="CI284" s="170">
        <v>68</v>
      </c>
      <c r="CJ284" s="217">
        <f t="shared" si="856"/>
        <v>1.7000000000000002</v>
      </c>
      <c r="CK284" s="217"/>
      <c r="CL284" s="217">
        <f t="shared" si="799"/>
        <v>47.600000000000009</v>
      </c>
      <c r="CM284" s="541">
        <f t="shared" si="800"/>
        <v>40</v>
      </c>
      <c r="CN284" s="443">
        <f t="shared" si="801"/>
        <v>28.4</v>
      </c>
      <c r="CO284" s="443">
        <f t="shared" si="802"/>
        <v>68.400000000000006</v>
      </c>
      <c r="CP284" s="443"/>
      <c r="CQ284" s="217">
        <f t="shared" si="803"/>
        <v>0.41520467836257302</v>
      </c>
      <c r="CR284" s="172">
        <f t="shared" si="804"/>
        <v>140.52175355646798</v>
      </c>
      <c r="CS284" s="172">
        <f t="shared" si="805"/>
        <v>47.600000000000009</v>
      </c>
      <c r="CT284" s="217">
        <f t="shared" si="806"/>
        <v>5.0186340555881426</v>
      </c>
      <c r="CU284" s="217">
        <f t="shared" si="807"/>
        <v>28</v>
      </c>
      <c r="CV284" s="217"/>
      <c r="CW284" s="172">
        <f t="shared" si="808"/>
        <v>156.18061515809518</v>
      </c>
      <c r="CX284" s="172">
        <f t="shared" si="809"/>
        <v>28</v>
      </c>
      <c r="CY284" s="217">
        <f t="shared" si="810"/>
        <v>5.7321126760563406</v>
      </c>
      <c r="CZ284" s="217">
        <f t="shared" si="811"/>
        <v>0.67352323943661996</v>
      </c>
      <c r="DA284" s="217">
        <f t="shared" si="812"/>
        <v>0.94862428089664796</v>
      </c>
      <c r="DB284" s="197">
        <f t="shared" si="813"/>
        <v>350</v>
      </c>
      <c r="DC284" s="443">
        <f t="shared" si="814"/>
        <v>350</v>
      </c>
      <c r="DE284" s="217">
        <f t="shared" si="815"/>
        <v>10.09616239179509</v>
      </c>
      <c r="DF284" s="173">
        <f t="shared" si="816"/>
        <v>1.6708437761069339</v>
      </c>
      <c r="DG284" s="173">
        <f t="shared" si="817"/>
        <v>2.9520942666067511</v>
      </c>
      <c r="DH284" s="173"/>
      <c r="DI284" s="173">
        <f t="shared" si="818"/>
        <v>0.55164319248826299</v>
      </c>
      <c r="DJ284" s="545">
        <f t="shared" si="819"/>
        <v>1849.0212765957447</v>
      </c>
      <c r="DK284" s="528">
        <f t="shared" si="820"/>
        <v>0.3217918622848201</v>
      </c>
      <c r="DM284" s="173">
        <f t="shared" si="821"/>
        <v>7.6615330153890655</v>
      </c>
      <c r="DN284" s="173">
        <f t="shared" si="822"/>
        <v>7.6615330153890655</v>
      </c>
      <c r="DO284" s="173">
        <f t="shared" si="823"/>
        <v>4.4060738385598013</v>
      </c>
      <c r="DQ284" s="545">
        <f t="shared" si="824"/>
        <v>1700.0000000000002</v>
      </c>
      <c r="DR284" s="460">
        <f t="shared" si="825"/>
        <v>350</v>
      </c>
      <c r="DT284">
        <f t="shared" si="826"/>
        <v>1700.0000000000002</v>
      </c>
      <c r="DU284">
        <f t="shared" si="827"/>
        <v>350</v>
      </c>
      <c r="DW284" s="5">
        <f t="shared" si="857"/>
        <v>2.8571428571428572</v>
      </c>
      <c r="DX284" s="5">
        <f t="shared" si="828"/>
        <v>0.90023012930821533</v>
      </c>
      <c r="DY284" s="5">
        <f t="shared" si="829"/>
        <v>1.9569127278346419</v>
      </c>
      <c r="DZ284" s="5"/>
      <c r="EA284" s="173">
        <f t="shared" si="830"/>
        <v>0.31508054525787538</v>
      </c>
      <c r="EB284" s="173">
        <f t="shared" si="858"/>
        <v>48.28</v>
      </c>
      <c r="EC284" s="173">
        <f t="shared" si="859"/>
        <v>2.6237665076945325</v>
      </c>
      <c r="ED284" s="173">
        <f t="shared" si="860"/>
        <v>18.401027628949716</v>
      </c>
      <c r="EE284" s="460">
        <f t="shared" si="831"/>
        <v>5.4656829279427361</v>
      </c>
      <c r="EF284" s="5">
        <f t="shared" si="832"/>
        <v>1.6633758186594458</v>
      </c>
      <c r="EH284" s="173">
        <f t="shared" si="861"/>
        <v>2.4829378230333794</v>
      </c>
      <c r="EI284" s="173">
        <f t="shared" si="862"/>
        <v>3.6607898713596159</v>
      </c>
      <c r="EK284" s="528">
        <f t="shared" si="863"/>
        <v>7.3979762796596849E-2</v>
      </c>
      <c r="EL284" s="528">
        <f t="shared" si="864"/>
        <v>3.4849249073798712</v>
      </c>
      <c r="EM284" s="528">
        <f t="shared" si="865"/>
        <v>4.0250000000000001E-2</v>
      </c>
      <c r="EN284" s="528">
        <f t="shared" si="866"/>
        <v>0.80646678000000016</v>
      </c>
      <c r="EO284">
        <f t="shared" si="867"/>
        <v>1.7999999999999999E-2</v>
      </c>
      <c r="EP284" s="460">
        <f t="shared" si="868"/>
        <v>58.249999999999993</v>
      </c>
      <c r="EQ284" s="460"/>
      <c r="ER284" s="460">
        <f t="shared" si="869"/>
        <v>4423.621450176468</v>
      </c>
      <c r="ES284" s="528">
        <f t="shared" si="870"/>
        <v>1.19</v>
      </c>
      <c r="EV284" s="460">
        <f t="shared" si="871"/>
        <v>1190</v>
      </c>
      <c r="EW284" s="528">
        <f t="shared" si="872"/>
        <v>8.6309723262696328E-2</v>
      </c>
      <c r="EX284" s="528">
        <f t="shared" si="873"/>
        <v>0.18761935475148814</v>
      </c>
      <c r="EY284" s="528">
        <f t="shared" si="874"/>
        <v>18.617840643839575</v>
      </c>
      <c r="EZ284" s="528"/>
      <c r="FA284" s="528">
        <f t="shared" si="875"/>
        <v>2.0544680851063837</v>
      </c>
      <c r="FB284" s="460">
        <f t="shared" si="876"/>
        <v>20946.23780696014</v>
      </c>
      <c r="FC284" s="173">
        <f t="shared" si="877"/>
        <v>26.559859257136612</v>
      </c>
      <c r="FD284" s="5">
        <f t="shared" si="878"/>
        <v>47.600000000000009</v>
      </c>
      <c r="FE284" s="173">
        <f t="shared" si="879"/>
        <v>0.64185666581371403</v>
      </c>
      <c r="FF284" s="5">
        <f t="shared" si="880"/>
        <v>64.185666581371407</v>
      </c>
      <c r="FI284" s="562">
        <f t="shared" si="833"/>
        <v>-50</v>
      </c>
      <c r="FJ284">
        <f t="shared" si="834"/>
        <v>-50</v>
      </c>
      <c r="FL284">
        <f t="shared" si="835"/>
        <v>0.44377541585616243</v>
      </c>
    </row>
    <row r="285" spans="5:168">
      <c r="E285" s="170">
        <v>69</v>
      </c>
      <c r="F285" s="217">
        <f t="shared" si="836"/>
        <v>1.7249999999999999</v>
      </c>
      <c r="G285" s="217"/>
      <c r="H285" s="217">
        <f t="shared" si="762"/>
        <v>48.3</v>
      </c>
      <c r="I285" s="541">
        <f t="shared" si="763"/>
        <v>39.900379443290305</v>
      </c>
      <c r="J285" s="172">
        <f t="shared" si="764"/>
        <v>28.453641838228293</v>
      </c>
      <c r="K285" s="172">
        <f t="shared" si="765"/>
        <v>68.354021281518598</v>
      </c>
      <c r="L285" s="443"/>
      <c r="M285" s="217">
        <f t="shared" si="766"/>
        <v>0.41627199352023603</v>
      </c>
      <c r="N285" s="172">
        <f t="shared" si="767"/>
        <v>140.5321043846472</v>
      </c>
      <c r="O285" s="172">
        <f t="shared" si="760"/>
        <v>48.3</v>
      </c>
      <c r="P285" s="217">
        <f t="shared" si="768"/>
        <v>5.0190037280231143</v>
      </c>
      <c r="Q285" s="217">
        <f t="shared" si="769"/>
        <v>28</v>
      </c>
      <c r="R285" s="217"/>
      <c r="S285" s="172">
        <f t="shared" si="770"/>
        <v>152.95914723045016</v>
      </c>
      <c r="T285" s="172">
        <f t="shared" si="771"/>
        <v>28</v>
      </c>
      <c r="U285" s="217">
        <f t="shared" si="772"/>
        <v>5.815980045787378</v>
      </c>
      <c r="V285" s="217">
        <f t="shared" si="773"/>
        <v>0.68508386628381746</v>
      </c>
      <c r="W285" s="217">
        <f t="shared" si="774"/>
        <v>0.96068919299023336</v>
      </c>
      <c r="X285" s="197">
        <f t="shared" si="775"/>
        <v>350</v>
      </c>
      <c r="Y285" s="443">
        <f t="shared" si="837"/>
        <v>350</v>
      </c>
      <c r="AA285" s="217">
        <f t="shared" si="776"/>
        <v>10.09682699049441</v>
      </c>
      <c r="AB285" s="173">
        <f t="shared" si="777"/>
        <v>1.6678036198363348</v>
      </c>
      <c r="AC285" s="173">
        <f t="shared" si="778"/>
        <v>2.9469168056313624</v>
      </c>
      <c r="AD285" s="173"/>
      <c r="AE285" s="173">
        <f t="shared" si="779"/>
        <v>0.55060321472164053</v>
      </c>
      <c r="AF285" s="545">
        <f t="shared" si="780"/>
        <v>1879.7565512276351</v>
      </c>
      <c r="AG285" s="528">
        <f t="shared" si="781"/>
        <v>0.32118520858762362</v>
      </c>
      <c r="AI285" s="173">
        <f t="shared" si="782"/>
        <v>7.7249473234504098</v>
      </c>
      <c r="AJ285" s="173">
        <f t="shared" si="783"/>
        <v>7.7249473234504098</v>
      </c>
      <c r="AK285" s="173">
        <f t="shared" si="784"/>
        <v>4.4530474000867235</v>
      </c>
      <c r="AM285" s="545">
        <f t="shared" si="785"/>
        <v>1724.9999999999998</v>
      </c>
      <c r="AN285" s="460">
        <f t="shared" si="786"/>
        <v>350</v>
      </c>
      <c r="AP285">
        <f t="shared" si="787"/>
        <v>1724.9999999999998</v>
      </c>
      <c r="AQ285">
        <f t="shared" si="788"/>
        <v>350</v>
      </c>
      <c r="AS285" s="5">
        <f t="shared" si="761"/>
        <v>2.8571428571428572</v>
      </c>
      <c r="AT285" s="5">
        <f t="shared" si="789"/>
        <v>0.9099475475369796</v>
      </c>
      <c r="AU285" s="5">
        <f t="shared" si="721"/>
        <v>1.9471953096058776</v>
      </c>
      <c r="AV285" s="5"/>
      <c r="AW285" s="173">
        <f t="shared" si="722"/>
        <v>0.31848164163794285</v>
      </c>
      <c r="AX285" s="173">
        <f t="shared" si="790"/>
        <v>49.0825321709438</v>
      </c>
      <c r="AY285" s="173">
        <f t="shared" si="791"/>
        <v>2.6323467091556454</v>
      </c>
      <c r="AZ285" s="173">
        <f t="shared" si="792"/>
        <v>18.645922286843273</v>
      </c>
      <c r="BA285" s="460">
        <f t="shared" si="723"/>
        <v>5.6059268553617487</v>
      </c>
      <c r="BB285" s="5">
        <f t="shared" si="724"/>
        <v>1.6836491060663219</v>
      </c>
      <c r="BD285" s="173">
        <f t="shared" si="838"/>
        <v>2.5169645620278973</v>
      </c>
      <c r="BE285" s="173">
        <f t="shared" si="839"/>
        <v>3.6819143268400834</v>
      </c>
      <c r="BG285" s="528">
        <f t="shared" si="840"/>
        <v>7.6021327278051429E-2</v>
      </c>
      <c r="BH285" s="528">
        <f t="shared" si="793"/>
        <v>3.3727993778009111</v>
      </c>
      <c r="BI285" s="528">
        <f t="shared" si="841"/>
        <v>4.0250000000000001E-2</v>
      </c>
      <c r="BJ285" s="528">
        <f t="shared" si="842"/>
        <v>0.80538292484544693</v>
      </c>
      <c r="BK285">
        <f t="shared" si="843"/>
        <v>1.7955170749480637E-2</v>
      </c>
      <c r="BL285" s="460">
        <f t="shared" si="844"/>
        <v>58.205170749480637</v>
      </c>
      <c r="BM285" s="528">
        <f t="shared" si="794"/>
        <v>4.3533627312061896</v>
      </c>
      <c r="BN285" s="460">
        <f t="shared" si="845"/>
        <v>4353.3627312061899</v>
      </c>
      <c r="BO285" s="528">
        <f t="shared" si="795"/>
        <v>1.2074999999999998</v>
      </c>
      <c r="BR285" s="460">
        <f t="shared" si="846"/>
        <v>1207.4999999999998</v>
      </c>
      <c r="BS285" s="528">
        <f t="shared" si="847"/>
        <v>8.8691548491059993E-2</v>
      </c>
      <c r="BT285" s="528">
        <f t="shared" si="848"/>
        <v>0.1897909035426637</v>
      </c>
      <c r="BU285" s="528">
        <f t="shared" si="849"/>
        <v>19.005483906215975</v>
      </c>
      <c r="BV285" s="528"/>
      <c r="BW285" s="528">
        <f t="shared" si="850"/>
        <v>2.0886183902529281</v>
      </c>
      <c r="BX285" s="460">
        <f t="shared" si="851"/>
        <v>21372.584748502628</v>
      </c>
      <c r="BY285" s="173">
        <f t="shared" si="852"/>
        <v>26.892493549176518</v>
      </c>
      <c r="BZ285" s="5">
        <f t="shared" si="853"/>
        <v>48.3</v>
      </c>
      <c r="CA285" s="173">
        <f t="shared" si="854"/>
        <v>0.64235135344210115</v>
      </c>
      <c r="CB285" s="5">
        <f t="shared" si="855"/>
        <v>64.235135344210121</v>
      </c>
      <c r="CE285" s="562">
        <f t="shared" si="796"/>
        <v>-50</v>
      </c>
      <c r="CF285">
        <f t="shared" si="797"/>
        <v>-50</v>
      </c>
      <c r="CG285" s="173">
        <f t="shared" si="798"/>
        <v>0.45020828513033828</v>
      </c>
      <c r="CI285" s="170">
        <v>69</v>
      </c>
      <c r="CJ285" s="217">
        <f t="shared" si="856"/>
        <v>1.7249999999999999</v>
      </c>
      <c r="CK285" s="217"/>
      <c r="CL285" s="217">
        <f t="shared" si="799"/>
        <v>48.3</v>
      </c>
      <c r="CM285" s="541">
        <f t="shared" si="800"/>
        <v>40</v>
      </c>
      <c r="CN285" s="443">
        <f t="shared" si="801"/>
        <v>28.4</v>
      </c>
      <c r="CO285" s="443">
        <f t="shared" si="802"/>
        <v>68.400000000000006</v>
      </c>
      <c r="CP285" s="443"/>
      <c r="CQ285" s="217">
        <f t="shared" si="803"/>
        <v>0.41520467836257302</v>
      </c>
      <c r="CR285" s="172">
        <f t="shared" si="804"/>
        <v>140.52175355646798</v>
      </c>
      <c r="CS285" s="172">
        <f t="shared" si="805"/>
        <v>48.3</v>
      </c>
      <c r="CT285" s="217">
        <f t="shared" si="806"/>
        <v>5.0186340555881426</v>
      </c>
      <c r="CU285" s="217">
        <f t="shared" si="807"/>
        <v>28</v>
      </c>
      <c r="CV285" s="217"/>
      <c r="CW285" s="172">
        <f t="shared" si="808"/>
        <v>153.34078625315539</v>
      </c>
      <c r="CX285" s="172">
        <f t="shared" si="809"/>
        <v>28</v>
      </c>
      <c r="CY285" s="217">
        <f t="shared" si="810"/>
        <v>5.8164084507042269</v>
      </c>
      <c r="CZ285" s="217">
        <f t="shared" si="811"/>
        <v>0.6834279929577467</v>
      </c>
      <c r="DA285" s="217">
        <f t="shared" si="812"/>
        <v>0.96257463796865728</v>
      </c>
      <c r="DB285" s="197">
        <f t="shared" si="813"/>
        <v>350</v>
      </c>
      <c r="DC285" s="443">
        <f t="shared" si="814"/>
        <v>350</v>
      </c>
      <c r="DE285" s="217">
        <f t="shared" si="815"/>
        <v>10.09616239179509</v>
      </c>
      <c r="DF285" s="173">
        <f t="shared" si="816"/>
        <v>1.6708437761069339</v>
      </c>
      <c r="DG285" s="173">
        <f t="shared" si="817"/>
        <v>2.9520942666067511</v>
      </c>
      <c r="DH285" s="173"/>
      <c r="DI285" s="173">
        <f t="shared" si="818"/>
        <v>0.55164319248826299</v>
      </c>
      <c r="DJ285" s="545">
        <f t="shared" si="819"/>
        <v>1876.2127659574464</v>
      </c>
      <c r="DK285" s="528">
        <f t="shared" si="820"/>
        <v>0.3217918622848201</v>
      </c>
      <c r="DM285" s="173">
        <f t="shared" si="821"/>
        <v>7.7176622127685226</v>
      </c>
      <c r="DN285" s="173">
        <f t="shared" si="822"/>
        <v>7.7176622127685226</v>
      </c>
      <c r="DO285" s="173">
        <f t="shared" si="823"/>
        <v>4.4476510218038445</v>
      </c>
      <c r="DQ285" s="545">
        <f t="shared" si="824"/>
        <v>1724.9999999999998</v>
      </c>
      <c r="DR285" s="460">
        <f t="shared" si="825"/>
        <v>350</v>
      </c>
      <c r="DT285">
        <f t="shared" si="826"/>
        <v>1724.9999999999998</v>
      </c>
      <c r="DU285">
        <f t="shared" si="827"/>
        <v>350</v>
      </c>
      <c r="DW285" s="5">
        <f t="shared" si="857"/>
        <v>2.8571428571428572</v>
      </c>
      <c r="DX285" s="5">
        <f t="shared" si="828"/>
        <v>0.90682531000030142</v>
      </c>
      <c r="DY285" s="5">
        <f t="shared" si="829"/>
        <v>1.9503175471425558</v>
      </c>
      <c r="DZ285" s="5"/>
      <c r="EA285" s="173">
        <f t="shared" si="830"/>
        <v>0.31738885850010551</v>
      </c>
      <c r="EB285" s="173">
        <f t="shared" si="858"/>
        <v>48.989999999999995</v>
      </c>
      <c r="EC285" s="173">
        <f t="shared" si="859"/>
        <v>2.6340811063842615</v>
      </c>
      <c r="ED285" s="173">
        <f t="shared" si="860"/>
        <v>18.598516150950022</v>
      </c>
      <c r="EE285" s="460">
        <f t="shared" si="831"/>
        <v>5.5866916419661425</v>
      </c>
      <c r="EF285" s="5">
        <f t="shared" si="832"/>
        <v>1.6821488844104544</v>
      </c>
      <c r="EH285" s="173">
        <f t="shared" si="861"/>
        <v>2.5102731318973035</v>
      </c>
      <c r="EI285" s="173">
        <f t="shared" si="862"/>
        <v>3.6813899748246643</v>
      </c>
      <c r="EK285" s="528">
        <f t="shared" si="863"/>
        <v>7.5617654360705958E-2</v>
      </c>
      <c r="EL285" s="528">
        <f t="shared" si="864"/>
        <v>3.5104558340998913</v>
      </c>
      <c r="EM285" s="528">
        <f t="shared" si="865"/>
        <v>4.0250000000000001E-2</v>
      </c>
      <c r="EN285" s="528">
        <f t="shared" si="866"/>
        <v>0.80646678000000016</v>
      </c>
      <c r="EO285">
        <f t="shared" si="867"/>
        <v>1.7999999999999999E-2</v>
      </c>
      <c r="EP285" s="460">
        <f t="shared" si="868"/>
        <v>58.249999999999993</v>
      </c>
      <c r="EQ285" s="460"/>
      <c r="ER285" s="460">
        <f t="shared" si="869"/>
        <v>4450.790268460597</v>
      </c>
      <c r="ES285" s="528">
        <f t="shared" si="870"/>
        <v>1.2074999999999998</v>
      </c>
      <c r="EV285" s="460">
        <f t="shared" si="871"/>
        <v>1207.4999999999998</v>
      </c>
      <c r="EW285" s="528">
        <f t="shared" si="872"/>
        <v>8.8220596754156957E-2</v>
      </c>
      <c r="EX285" s="528">
        <f t="shared" si="873"/>
        <v>0.18973685005435359</v>
      </c>
      <c r="EY285" s="528">
        <f t="shared" si="874"/>
        <v>18.960707180516469</v>
      </c>
      <c r="EZ285" s="528"/>
      <c r="FA285" s="528">
        <f t="shared" si="875"/>
        <v>2.0846808510638297</v>
      </c>
      <c r="FB285" s="460">
        <f t="shared" si="876"/>
        <v>21323.345478388808</v>
      </c>
      <c r="FC285" s="173">
        <f t="shared" si="877"/>
        <v>26.981635746849406</v>
      </c>
      <c r="FD285" s="5">
        <f t="shared" si="878"/>
        <v>48.3</v>
      </c>
      <c r="FE285" s="173">
        <f t="shared" si="879"/>
        <v>0.64159073485622808</v>
      </c>
      <c r="FF285" s="5">
        <f t="shared" si="880"/>
        <v>64.159073485622812</v>
      </c>
      <c r="FI285" s="562">
        <f t="shared" si="833"/>
        <v>-50</v>
      </c>
      <c r="FJ285">
        <f t="shared" si="834"/>
        <v>-50</v>
      </c>
      <c r="FL285">
        <f t="shared" si="835"/>
        <v>0.44702656126775425</v>
      </c>
    </row>
    <row r="286" spans="5:168">
      <c r="E286" s="170">
        <v>70</v>
      </c>
      <c r="F286" s="217">
        <f t="shared" si="836"/>
        <v>1.75</v>
      </c>
      <c r="G286" s="217"/>
      <c r="H286" s="217">
        <f t="shared" si="762"/>
        <v>49</v>
      </c>
      <c r="I286" s="541">
        <f t="shared" si="763"/>
        <v>39.899660151951565</v>
      </c>
      <c r="J286" s="172">
        <f t="shared" si="764"/>
        <v>28.454029148949157</v>
      </c>
      <c r="K286" s="172">
        <f t="shared" si="765"/>
        <v>68.353689300900726</v>
      </c>
      <c r="L286" s="443"/>
      <c r="M286" s="217">
        <f t="shared" si="766"/>
        <v>0.41627970504472417</v>
      </c>
      <c r="N286" s="172">
        <f t="shared" si="767"/>
        <v>140.53217432631831</v>
      </c>
      <c r="O286" s="172">
        <f t="shared" si="760"/>
        <v>49</v>
      </c>
      <c r="P286" s="217">
        <f t="shared" si="768"/>
        <v>5.0190062259399397</v>
      </c>
      <c r="Q286" s="217">
        <f t="shared" si="769"/>
        <v>28</v>
      </c>
      <c r="R286" s="217"/>
      <c r="S286" s="172">
        <f t="shared" si="770"/>
        <v>150.20469341438533</v>
      </c>
      <c r="T286" s="172">
        <f t="shared" si="771"/>
        <v>28</v>
      </c>
      <c r="U286" s="217">
        <f t="shared" si="772"/>
        <v>5.9002666751542172</v>
      </c>
      <c r="V286" s="217">
        <f t="shared" si="773"/>
        <v>0.69502480140469147</v>
      </c>
      <c r="W286" s="217">
        <f t="shared" si="774"/>
        <v>0.97459847349066797</v>
      </c>
      <c r="X286" s="197">
        <f t="shared" si="775"/>
        <v>350</v>
      </c>
      <c r="Y286" s="443">
        <f t="shared" si="837"/>
        <v>350</v>
      </c>
      <c r="AA286" s="217">
        <f t="shared" si="776"/>
        <v>10.096831446729468</v>
      </c>
      <c r="AB286" s="173">
        <f t="shared" si="777"/>
        <v>1.6677816540924246</v>
      </c>
      <c r="AC286" s="173">
        <f t="shared" si="778"/>
        <v>2.9468792939808042</v>
      </c>
      <c r="AD286" s="173"/>
      <c r="AE286" s="173">
        <f t="shared" si="779"/>
        <v>0.55059572001757284</v>
      </c>
      <c r="AF286" s="545">
        <f t="shared" si="780"/>
        <v>1907.025357855103</v>
      </c>
      <c r="AG286" s="528">
        <f t="shared" si="781"/>
        <v>0.32118083667691749</v>
      </c>
      <c r="AI286" s="173">
        <f t="shared" si="782"/>
        <v>7.7807767961146173</v>
      </c>
      <c r="AJ286" s="173">
        <f t="shared" si="783"/>
        <v>7.7807767961146173</v>
      </c>
      <c r="AK286" s="173">
        <f t="shared" si="784"/>
        <v>4.4944025650231731</v>
      </c>
      <c r="AM286" s="545">
        <f t="shared" si="785"/>
        <v>1750</v>
      </c>
      <c r="AN286" s="460">
        <f t="shared" si="786"/>
        <v>350</v>
      </c>
      <c r="AP286">
        <f t="shared" si="787"/>
        <v>1750</v>
      </c>
      <c r="AQ286">
        <f t="shared" si="788"/>
        <v>350</v>
      </c>
      <c r="AS286" s="5">
        <f t="shared" si="761"/>
        <v>2.8571428571428572</v>
      </c>
      <c r="AT286" s="5">
        <f t="shared" si="789"/>
        <v>0.91654041168443412</v>
      </c>
      <c r="AU286" s="5">
        <f t="shared" si="721"/>
        <v>1.9406024454584232</v>
      </c>
      <c r="AV286" s="5"/>
      <c r="AW286" s="173">
        <f t="shared" si="722"/>
        <v>0.32078914408955195</v>
      </c>
      <c r="AX286" s="173">
        <f t="shared" si="790"/>
        <v>49.79455101066101</v>
      </c>
      <c r="AY286" s="173">
        <f t="shared" si="791"/>
        <v>2.6423940336685816</v>
      </c>
      <c r="AZ286" s="173">
        <f t="shared" si="792"/>
        <v>18.844483591846625</v>
      </c>
      <c r="BA286" s="460">
        <f t="shared" si="723"/>
        <v>5.7283775730277124</v>
      </c>
      <c r="BB286" s="5">
        <f t="shared" si="724"/>
        <v>1.7022973462024005</v>
      </c>
      <c r="BD286" s="173">
        <f t="shared" si="838"/>
        <v>2.5443225152114159</v>
      </c>
      <c r="BE286" s="173">
        <f t="shared" si="839"/>
        <v>3.7022405993632383</v>
      </c>
      <c r="BG286" s="528">
        <f t="shared" si="840"/>
        <v>7.7682924736940953E-2</v>
      </c>
      <c r="BH286" s="528">
        <f t="shared" si="793"/>
        <v>3.3971586577086534</v>
      </c>
      <c r="BI286" s="528">
        <f t="shared" si="841"/>
        <v>4.0250000000000001E-2</v>
      </c>
      <c r="BJ286" s="528">
        <f t="shared" si="842"/>
        <v>0.80537510172497162</v>
      </c>
      <c r="BK286">
        <f t="shared" si="843"/>
        <v>1.7954847068378205E-2</v>
      </c>
      <c r="BL286" s="460">
        <f t="shared" si="844"/>
        <v>58.204847068378207</v>
      </c>
      <c r="BM286" s="528">
        <f t="shared" si="794"/>
        <v>4.3820730241953916</v>
      </c>
      <c r="BN286" s="460">
        <f t="shared" si="845"/>
        <v>4382.0730241953916</v>
      </c>
      <c r="BO286" s="528">
        <f t="shared" si="795"/>
        <v>1.2249999999999999</v>
      </c>
      <c r="BR286" s="460">
        <f t="shared" si="846"/>
        <v>1224.9999999999998</v>
      </c>
      <c r="BS286" s="528">
        <f t="shared" si="847"/>
        <v>9.0630078859764443E-2</v>
      </c>
      <c r="BT286" s="528">
        <f t="shared" si="848"/>
        <v>0.1918921963780286</v>
      </c>
      <c r="BU286" s="528">
        <f t="shared" si="849"/>
        <v>19.350736888679521</v>
      </c>
      <c r="BV286" s="528"/>
      <c r="BW286" s="528">
        <f t="shared" si="850"/>
        <v>2.1189170642834481</v>
      </c>
      <c r="BX286" s="460">
        <f t="shared" si="851"/>
        <v>21752.176228200758</v>
      </c>
      <c r="BY286" s="173">
        <f t="shared" si="852"/>
        <v>27.315597759439704</v>
      </c>
      <c r="BZ286" s="5">
        <f t="shared" si="853"/>
        <v>49</v>
      </c>
      <c r="CA286" s="173">
        <f t="shared" si="854"/>
        <v>0.64207057847409765</v>
      </c>
      <c r="CB286" s="5">
        <f t="shared" si="855"/>
        <v>64.207057847409772</v>
      </c>
      <c r="CE286" s="562">
        <f t="shared" si="796"/>
        <v>-50</v>
      </c>
      <c r="CF286">
        <f t="shared" si="797"/>
        <v>-50</v>
      </c>
      <c r="CG286" s="173">
        <f t="shared" si="798"/>
        <v>0.45345892868042637</v>
      </c>
      <c r="CI286" s="170">
        <v>70</v>
      </c>
      <c r="CJ286" s="217">
        <f t="shared" si="856"/>
        <v>1.75</v>
      </c>
      <c r="CK286" s="217"/>
      <c r="CL286" s="217">
        <f t="shared" si="799"/>
        <v>49</v>
      </c>
      <c r="CM286" s="541">
        <f t="shared" si="800"/>
        <v>40</v>
      </c>
      <c r="CN286" s="443">
        <f t="shared" si="801"/>
        <v>28.4</v>
      </c>
      <c r="CO286" s="443">
        <f t="shared" si="802"/>
        <v>68.400000000000006</v>
      </c>
      <c r="CP286" s="443"/>
      <c r="CQ286" s="217">
        <f t="shared" si="803"/>
        <v>0.41520467836257302</v>
      </c>
      <c r="CR286" s="172">
        <f t="shared" si="804"/>
        <v>140.52175355646798</v>
      </c>
      <c r="CS286" s="172">
        <f t="shared" si="805"/>
        <v>49</v>
      </c>
      <c r="CT286" s="217">
        <f t="shared" si="806"/>
        <v>5.0186340555881426</v>
      </c>
      <c r="CU286" s="217">
        <f t="shared" si="807"/>
        <v>28</v>
      </c>
      <c r="CV286" s="217"/>
      <c r="CW286" s="172">
        <f t="shared" si="808"/>
        <v>150.58216325903206</v>
      </c>
      <c r="CX286" s="172">
        <f t="shared" si="809"/>
        <v>28</v>
      </c>
      <c r="CY286" s="217">
        <f t="shared" si="810"/>
        <v>5.900704225352114</v>
      </c>
      <c r="CZ286" s="217">
        <f t="shared" si="811"/>
        <v>0.69333274647887344</v>
      </c>
      <c r="DA286" s="217">
        <f t="shared" si="812"/>
        <v>0.9765249950406667</v>
      </c>
      <c r="DB286" s="197">
        <f t="shared" si="813"/>
        <v>350</v>
      </c>
      <c r="DC286" s="443">
        <f t="shared" si="814"/>
        <v>350</v>
      </c>
      <c r="DE286" s="217">
        <f t="shared" si="815"/>
        <v>10.09616239179509</v>
      </c>
      <c r="DF286" s="173">
        <f t="shared" si="816"/>
        <v>1.6708437761069339</v>
      </c>
      <c r="DG286" s="173">
        <f t="shared" si="817"/>
        <v>2.9520942666067511</v>
      </c>
      <c r="DH286" s="173"/>
      <c r="DI286" s="173">
        <f t="shared" si="818"/>
        <v>0.55164319248826299</v>
      </c>
      <c r="DJ286" s="545">
        <f t="shared" si="819"/>
        <v>1903.4042553191487</v>
      </c>
      <c r="DK286" s="528">
        <f t="shared" si="820"/>
        <v>0.3217918622848201</v>
      </c>
      <c r="DM286" s="173">
        <f t="shared" si="821"/>
        <v>7.7733861292807021</v>
      </c>
      <c r="DN286" s="173">
        <f t="shared" si="822"/>
        <v>7.7733861292807021</v>
      </c>
      <c r="DO286" s="173">
        <f t="shared" si="823"/>
        <v>4.4889279969980498</v>
      </c>
      <c r="DQ286" s="545">
        <f t="shared" si="824"/>
        <v>1750</v>
      </c>
      <c r="DR286" s="460">
        <f t="shared" si="825"/>
        <v>350</v>
      </c>
      <c r="DT286">
        <f t="shared" si="826"/>
        <v>1750</v>
      </c>
      <c r="DU286">
        <f t="shared" si="827"/>
        <v>350</v>
      </c>
      <c r="DW286" s="5">
        <f t="shared" si="857"/>
        <v>2.8571428571428572</v>
      </c>
      <c r="DX286" s="5">
        <f t="shared" si="828"/>
        <v>0.91337287019048241</v>
      </c>
      <c r="DY286" s="5">
        <f t="shared" si="829"/>
        <v>1.9437699869523748</v>
      </c>
      <c r="DZ286" s="5"/>
      <c r="EA286" s="173">
        <f t="shared" si="830"/>
        <v>0.31968050456666885</v>
      </c>
      <c r="EB286" s="173">
        <f t="shared" si="858"/>
        <v>49.7</v>
      </c>
      <c r="EC286" s="173">
        <f t="shared" si="859"/>
        <v>2.6441930646403513</v>
      </c>
      <c r="ED286" s="173">
        <f t="shared" si="860"/>
        <v>18.795904378018601</v>
      </c>
      <c r="EE286" s="460">
        <f t="shared" si="831"/>
        <v>5.7085804386905146</v>
      </c>
      <c r="EF286" s="5">
        <f t="shared" si="832"/>
        <v>1.7007987385833279</v>
      </c>
      <c r="EH286" s="173">
        <f t="shared" si="861"/>
        <v>2.5375095751059114</v>
      </c>
      <c r="EI286" s="173">
        <f t="shared" si="862"/>
        <v>3.701741364260478</v>
      </c>
      <c r="EK286" s="528">
        <f t="shared" si="863"/>
        <v>7.726745812505019E-2</v>
      </c>
      <c r="EL286" s="528">
        <f t="shared" si="864"/>
        <v>3.5358024147646208</v>
      </c>
      <c r="EM286" s="528">
        <f t="shared" si="865"/>
        <v>4.0250000000000001E-2</v>
      </c>
      <c r="EN286" s="528">
        <f t="shared" si="866"/>
        <v>0.80646678000000016</v>
      </c>
      <c r="EO286">
        <f t="shared" si="867"/>
        <v>1.7999999999999999E-2</v>
      </c>
      <c r="EP286" s="460">
        <f t="shared" si="868"/>
        <v>58.249999999999993</v>
      </c>
      <c r="EQ286" s="460"/>
      <c r="ER286" s="460">
        <f t="shared" si="869"/>
        <v>4477.7866528896711</v>
      </c>
      <c r="ES286" s="528">
        <f t="shared" si="870"/>
        <v>1.2249999999999999</v>
      </c>
      <c r="EV286" s="460">
        <f t="shared" si="871"/>
        <v>1224.9999999999998</v>
      </c>
      <c r="EW286" s="528">
        <f t="shared" si="872"/>
        <v>9.0145367812558566E-2</v>
      </c>
      <c r="EX286" s="528">
        <f t="shared" si="873"/>
        <v>0.19184044779027837</v>
      </c>
      <c r="EY286" s="528">
        <f t="shared" si="874"/>
        <v>19.304818278656189</v>
      </c>
      <c r="EZ286" s="528"/>
      <c r="FA286" s="528">
        <f t="shared" si="875"/>
        <v>2.1148936170212767</v>
      </c>
      <c r="FB286" s="460">
        <f t="shared" si="876"/>
        <v>21701.697711280303</v>
      </c>
      <c r="FC286" s="173">
        <f t="shared" si="877"/>
        <v>27.404484364169974</v>
      </c>
      <c r="FD286" s="5">
        <f t="shared" si="878"/>
        <v>49</v>
      </c>
      <c r="FE286" s="173">
        <f t="shared" si="879"/>
        <v>0.64132361349955846</v>
      </c>
      <c r="FF286" s="5">
        <f t="shared" si="880"/>
        <v>64.132361349955843</v>
      </c>
      <c r="FI286" s="562">
        <f t="shared" si="833"/>
        <v>-50</v>
      </c>
      <c r="FJ286">
        <f t="shared" si="834"/>
        <v>-50</v>
      </c>
      <c r="FL286">
        <f t="shared" si="835"/>
        <v>0.45025423178404073</v>
      </c>
    </row>
    <row r="287" spans="5:168">
      <c r="E287" s="170">
        <v>71</v>
      </c>
      <c r="F287" s="217">
        <f t="shared" si="836"/>
        <v>1.7749999999999999</v>
      </c>
      <c r="G287" s="217"/>
      <c r="H287" s="217">
        <f t="shared" si="762"/>
        <v>49.699999999999996</v>
      </c>
      <c r="I287" s="541">
        <f t="shared" si="763"/>
        <v>39.898945980319354</v>
      </c>
      <c r="J287" s="172">
        <f t="shared" si="764"/>
        <v>28.454413702904965</v>
      </c>
      <c r="K287" s="172">
        <f t="shared" si="765"/>
        <v>68.353359683224312</v>
      </c>
      <c r="L287" s="443"/>
      <c r="M287" s="217">
        <f t="shared" si="766"/>
        <v>0.41628736175431741</v>
      </c>
      <c r="N287" s="172">
        <f t="shared" si="767"/>
        <v>140.53224370211157</v>
      </c>
      <c r="O287" s="172">
        <f t="shared" si="760"/>
        <v>49.699999999999996</v>
      </c>
      <c r="P287" s="217">
        <f t="shared" si="768"/>
        <v>5.0190087036468416</v>
      </c>
      <c r="Q287" s="217">
        <f t="shared" si="769"/>
        <v>28</v>
      </c>
      <c r="R287" s="217"/>
      <c r="S287" s="172">
        <f t="shared" si="770"/>
        <v>147.52793675350944</v>
      </c>
      <c r="T287" s="172">
        <f t="shared" si="771"/>
        <v>28</v>
      </c>
      <c r="U287" s="217">
        <f t="shared" si="772"/>
        <v>5.9845532447214751</v>
      </c>
      <c r="V287" s="217">
        <f t="shared" si="773"/>
        <v>0.70496599744928401</v>
      </c>
      <c r="W287" s="217">
        <f t="shared" si="774"/>
        <v>0.98850746122803967</v>
      </c>
      <c r="X287" s="197">
        <f t="shared" si="775"/>
        <v>350</v>
      </c>
      <c r="Y287" s="443">
        <f t="shared" si="837"/>
        <v>350</v>
      </c>
      <c r="AA287" s="217">
        <f t="shared" si="776"/>
        <v>10.096835866386662</v>
      </c>
      <c r="AB287" s="173">
        <f t="shared" si="777"/>
        <v>1.667759844483196</v>
      </c>
      <c r="AC287" s="173">
        <f t="shared" si="778"/>
        <v>2.9468420475020412</v>
      </c>
      <c r="AD287" s="173"/>
      <c r="AE287" s="173">
        <f t="shared" si="779"/>
        <v>0.55058827886048578</v>
      </c>
      <c r="AF287" s="545">
        <f t="shared" si="780"/>
        <v>1934.2947187400291</v>
      </c>
      <c r="AG287" s="528">
        <f t="shared" si="781"/>
        <v>0.32117649600195003</v>
      </c>
      <c r="AI287" s="173">
        <f t="shared" si="782"/>
        <v>7.8362096416126148</v>
      </c>
      <c r="AJ287" s="173">
        <f t="shared" si="783"/>
        <v>7.8362096416126148</v>
      </c>
      <c r="AK287" s="173">
        <f t="shared" si="784"/>
        <v>4.5354639320587271</v>
      </c>
      <c r="AM287" s="545">
        <f t="shared" si="785"/>
        <v>1775</v>
      </c>
      <c r="AN287" s="460">
        <f t="shared" si="786"/>
        <v>350</v>
      </c>
      <c r="AP287">
        <f t="shared" si="787"/>
        <v>1775</v>
      </c>
      <c r="AQ287">
        <f t="shared" si="788"/>
        <v>350</v>
      </c>
      <c r="AS287" s="5">
        <f t="shared" si="761"/>
        <v>2.8571428571428572</v>
      </c>
      <c r="AT287" s="5">
        <f t="shared" si="789"/>
        <v>0.923086673360901</v>
      </c>
      <c r="AU287" s="5">
        <f t="shared" si="721"/>
        <v>1.9340561837819563</v>
      </c>
      <c r="AV287" s="5"/>
      <c r="AW287" s="173">
        <f t="shared" si="722"/>
        <v>0.32308033567631533</v>
      </c>
      <c r="AX287" s="173">
        <f t="shared" si="790"/>
        <v>50.506584322656309</v>
      </c>
      <c r="AY287" s="173">
        <f t="shared" si="791"/>
        <v>2.6522422000852162</v>
      </c>
      <c r="AZ287" s="173">
        <f t="shared" si="792"/>
        <v>19.042975909603406</v>
      </c>
      <c r="BA287" s="460">
        <f t="shared" si="723"/>
        <v>5.8517101614842826</v>
      </c>
      <c r="BB287" s="5">
        <f t="shared" si="724"/>
        <v>1.7208222632779906</v>
      </c>
      <c r="BD287" s="173">
        <f t="shared" si="838"/>
        <v>2.5715838016614883</v>
      </c>
      <c r="BE287" s="173">
        <f t="shared" si="839"/>
        <v>3.7223223844082094</v>
      </c>
      <c r="BG287" s="528">
        <f t="shared" si="840"/>
        <v>7.9356518987613034E-2</v>
      </c>
      <c r="BH287" s="528">
        <f t="shared" si="793"/>
        <v>3.4213446488899746</v>
      </c>
      <c r="BI287" s="528">
        <f t="shared" si="841"/>
        <v>4.0250000000000001E-2</v>
      </c>
      <c r="BJ287" s="528">
        <f t="shared" si="842"/>
        <v>0.80536733432478247</v>
      </c>
      <c r="BK287">
        <f t="shared" si="843"/>
        <v>1.7954525691143707E-2</v>
      </c>
      <c r="BL287" s="460">
        <f t="shared" si="844"/>
        <v>58.204525691143708</v>
      </c>
      <c r="BM287" s="528">
        <f t="shared" si="794"/>
        <v>4.4106582031200654</v>
      </c>
      <c r="BN287" s="460">
        <f t="shared" si="845"/>
        <v>4410.6582031200651</v>
      </c>
      <c r="BO287" s="528">
        <f t="shared" si="795"/>
        <v>1.2424999999999999</v>
      </c>
      <c r="BR287" s="460">
        <f t="shared" si="846"/>
        <v>1242.5</v>
      </c>
      <c r="BS287" s="528">
        <f t="shared" si="847"/>
        <v>9.258260548554853E-2</v>
      </c>
      <c r="BT287" s="528">
        <f t="shared" si="848"/>
        <v>0.19397957506852986</v>
      </c>
      <c r="BU287" s="528">
        <f t="shared" si="849"/>
        <v>19.697233376293003</v>
      </c>
      <c r="BV287" s="528"/>
      <c r="BW287" s="528">
        <f t="shared" si="850"/>
        <v>2.1492163541555875</v>
      </c>
      <c r="BX287" s="460">
        <f t="shared" si="851"/>
        <v>22133.011911002668</v>
      </c>
      <c r="BY287" s="173">
        <f t="shared" si="852"/>
        <v>27.739784938896182</v>
      </c>
      <c r="BZ287" s="5">
        <f t="shared" si="853"/>
        <v>49.699999999999996</v>
      </c>
      <c r="CA287" s="173">
        <f t="shared" si="854"/>
        <v>0.64178897241535149</v>
      </c>
      <c r="CB287" s="5">
        <f t="shared" si="855"/>
        <v>64.178897241535154</v>
      </c>
      <c r="CE287" s="562">
        <f t="shared" si="796"/>
        <v>-50</v>
      </c>
      <c r="CF287">
        <f t="shared" si="797"/>
        <v>-50</v>
      </c>
      <c r="CG287" s="173">
        <f t="shared" si="798"/>
        <v>0.45668643509524121</v>
      </c>
      <c r="CI287" s="170">
        <v>71</v>
      </c>
      <c r="CJ287" s="217">
        <f t="shared" si="856"/>
        <v>1.7749999999999999</v>
      </c>
      <c r="CK287" s="217"/>
      <c r="CL287" s="217">
        <f t="shared" si="799"/>
        <v>49.699999999999996</v>
      </c>
      <c r="CM287" s="541">
        <f t="shared" si="800"/>
        <v>40</v>
      </c>
      <c r="CN287" s="443">
        <f t="shared" si="801"/>
        <v>28.4</v>
      </c>
      <c r="CO287" s="443">
        <f t="shared" si="802"/>
        <v>68.400000000000006</v>
      </c>
      <c r="CP287" s="443"/>
      <c r="CQ287" s="217">
        <f t="shared" si="803"/>
        <v>0.41520467836257302</v>
      </c>
      <c r="CR287" s="172">
        <f t="shared" si="804"/>
        <v>140.52175355646798</v>
      </c>
      <c r="CS287" s="172">
        <f t="shared" si="805"/>
        <v>49.699999999999996</v>
      </c>
      <c r="CT287" s="217">
        <f t="shared" si="806"/>
        <v>5.0186340555881426</v>
      </c>
      <c r="CU287" s="217">
        <f t="shared" si="807"/>
        <v>28</v>
      </c>
      <c r="CV287" s="217"/>
      <c r="CW287" s="172">
        <f t="shared" si="808"/>
        <v>147.90131568623474</v>
      </c>
      <c r="CX287" s="172">
        <f t="shared" si="809"/>
        <v>28</v>
      </c>
      <c r="CY287" s="217">
        <f t="shared" si="810"/>
        <v>5.9850000000000012</v>
      </c>
      <c r="CZ287" s="217">
        <f t="shared" si="811"/>
        <v>0.70323750000000018</v>
      </c>
      <c r="DA287" s="217">
        <f t="shared" si="812"/>
        <v>0.99047535211267634</v>
      </c>
      <c r="DB287" s="197">
        <f t="shared" si="813"/>
        <v>350</v>
      </c>
      <c r="DC287" s="443">
        <f t="shared" si="814"/>
        <v>350</v>
      </c>
      <c r="DE287" s="217">
        <f t="shared" si="815"/>
        <v>10.09616239179509</v>
      </c>
      <c r="DF287" s="173">
        <f t="shared" si="816"/>
        <v>1.6708437761069339</v>
      </c>
      <c r="DG287" s="173">
        <f t="shared" si="817"/>
        <v>2.9520942666067511</v>
      </c>
      <c r="DH287" s="173"/>
      <c r="DI287" s="173">
        <f t="shared" si="818"/>
        <v>0.55164319248826299</v>
      </c>
      <c r="DJ287" s="545">
        <f t="shared" si="819"/>
        <v>1930.5957446808507</v>
      </c>
      <c r="DK287" s="528">
        <f t="shared" si="820"/>
        <v>0.3217918622848201</v>
      </c>
      <c r="DM287" s="173">
        <f t="shared" si="821"/>
        <v>7.8287134191635914</v>
      </c>
      <c r="DN287" s="173">
        <f t="shared" si="822"/>
        <v>7.8287134191635914</v>
      </c>
      <c r="DO287" s="173">
        <f t="shared" si="823"/>
        <v>4.5299111746890794</v>
      </c>
      <c r="DQ287" s="545">
        <f t="shared" si="824"/>
        <v>1775</v>
      </c>
      <c r="DR287" s="460">
        <f t="shared" si="825"/>
        <v>350</v>
      </c>
      <c r="DT287">
        <f t="shared" si="826"/>
        <v>1775</v>
      </c>
      <c r="DU287">
        <f t="shared" si="827"/>
        <v>350</v>
      </c>
      <c r="DW287" s="5">
        <f t="shared" si="857"/>
        <v>2.8571428571428572</v>
      </c>
      <c r="DX287" s="5">
        <f t="shared" si="828"/>
        <v>0.91987382675172191</v>
      </c>
      <c r="DY287" s="5">
        <f t="shared" si="829"/>
        <v>1.9372690303911353</v>
      </c>
      <c r="DZ287" s="5"/>
      <c r="EA287" s="173">
        <f t="shared" si="830"/>
        <v>0.32195583936310268</v>
      </c>
      <c r="EB287" s="173">
        <f t="shared" si="858"/>
        <v>50.41</v>
      </c>
      <c r="EC287" s="173">
        <f t="shared" si="859"/>
        <v>2.6541067095817961</v>
      </c>
      <c r="ED287" s="173">
        <f t="shared" si="860"/>
        <v>18.993207702618342</v>
      </c>
      <c r="EE287" s="460">
        <f t="shared" si="831"/>
        <v>5.8313430088725227</v>
      </c>
      <c r="EF287" s="5">
        <f t="shared" si="832"/>
        <v>1.7193262644721323</v>
      </c>
      <c r="EH287" s="173">
        <f t="shared" si="861"/>
        <v>2.5646489150890179</v>
      </c>
      <c r="EI287" s="173">
        <f t="shared" si="862"/>
        <v>3.7218490756786586</v>
      </c>
      <c r="EK287" s="528">
        <f t="shared" si="863"/>
        <v>7.8929088692007321E-2</v>
      </c>
      <c r="EL287" s="528">
        <f t="shared" si="864"/>
        <v>3.5609685858407518</v>
      </c>
      <c r="EM287" s="528">
        <f t="shared" si="865"/>
        <v>4.0250000000000001E-2</v>
      </c>
      <c r="EN287" s="528">
        <f t="shared" si="866"/>
        <v>0.80646678000000016</v>
      </c>
      <c r="EO287">
        <f t="shared" si="867"/>
        <v>1.7999999999999999E-2</v>
      </c>
      <c r="EP287" s="460">
        <f t="shared" si="868"/>
        <v>58.249999999999993</v>
      </c>
      <c r="EQ287" s="460"/>
      <c r="ER287" s="460">
        <f t="shared" si="869"/>
        <v>4504.6144545327588</v>
      </c>
      <c r="ES287" s="528">
        <f t="shared" si="870"/>
        <v>1.2424999999999999</v>
      </c>
      <c r="EV287" s="460">
        <f t="shared" si="871"/>
        <v>1242.5</v>
      </c>
      <c r="EW287" s="528">
        <f t="shared" si="872"/>
        <v>9.2083936807341879E-2</v>
      </c>
      <c r="EX287" s="528">
        <f t="shared" si="873"/>
        <v>0.19393024758982122</v>
      </c>
      <c r="EY287" s="528">
        <f t="shared" si="874"/>
        <v>19.650160578914548</v>
      </c>
      <c r="EZ287" s="528"/>
      <c r="FA287" s="528">
        <f t="shared" si="875"/>
        <v>2.1451063829787231</v>
      </c>
      <c r="FB287" s="460">
        <f t="shared" si="876"/>
        <v>22081.281146290436</v>
      </c>
      <c r="FC287" s="173">
        <f t="shared" si="877"/>
        <v>27.828395600823193</v>
      </c>
      <c r="FD287" s="5">
        <f t="shared" si="878"/>
        <v>49.699999999999996</v>
      </c>
      <c r="FE287" s="173">
        <f t="shared" si="879"/>
        <v>0.64105544316813245</v>
      </c>
      <c r="FF287" s="5">
        <f t="shared" si="880"/>
        <v>64.105544316813251</v>
      </c>
      <c r="FI287" s="562">
        <f t="shared" si="833"/>
        <v>-50</v>
      </c>
      <c r="FJ287">
        <f t="shared" si="834"/>
        <v>-50</v>
      </c>
      <c r="FL287">
        <f t="shared" si="835"/>
        <v>0.45345892868042637</v>
      </c>
    </row>
    <row r="288" spans="5:168">
      <c r="E288" s="170">
        <v>72</v>
      </c>
      <c r="F288" s="217">
        <f t="shared" si="836"/>
        <v>1.7999999999999998</v>
      </c>
      <c r="G288" s="217"/>
      <c r="H288" s="217">
        <f t="shared" si="762"/>
        <v>50.399999999999991</v>
      </c>
      <c r="I288" s="541">
        <f t="shared" si="763"/>
        <v>39.898236820603664</v>
      </c>
      <c r="J288" s="172">
        <f t="shared" si="764"/>
        <v>28.454795558136489</v>
      </c>
      <c r="K288" s="172">
        <f t="shared" si="765"/>
        <v>68.353032378740153</v>
      </c>
      <c r="L288" s="443"/>
      <c r="M288" s="217">
        <f t="shared" si="766"/>
        <v>0.41629496480308659</v>
      </c>
      <c r="N288" s="172">
        <f t="shared" si="767"/>
        <v>140.53231252393994</v>
      </c>
      <c r="O288" s="172">
        <f t="shared" si="760"/>
        <v>50.399999999999991</v>
      </c>
      <c r="P288" s="217">
        <f t="shared" si="768"/>
        <v>5.0190111615692832</v>
      </c>
      <c r="Q288" s="217">
        <f t="shared" si="769"/>
        <v>28</v>
      </c>
      <c r="R288" s="217"/>
      <c r="S288" s="172">
        <f t="shared" si="770"/>
        <v>144.92564000828449</v>
      </c>
      <c r="T288" s="172">
        <f t="shared" si="771"/>
        <v>28</v>
      </c>
      <c r="U288" s="217">
        <f t="shared" si="772"/>
        <v>6.0688397549929682</v>
      </c>
      <c r="V288" s="217">
        <f t="shared" si="773"/>
        <v>0.71490745259542987</v>
      </c>
      <c r="W288" s="217">
        <f t="shared" si="774"/>
        <v>1.0024161582953564</v>
      </c>
      <c r="X288" s="197">
        <f t="shared" si="775"/>
        <v>350</v>
      </c>
      <c r="Y288" s="443">
        <f t="shared" si="837"/>
        <v>350</v>
      </c>
      <c r="AA288" s="217">
        <f t="shared" si="776"/>
        <v>10.096840250236028</v>
      </c>
      <c r="AB288" s="173">
        <f t="shared" si="777"/>
        <v>1.6677381877213944</v>
      </c>
      <c r="AC288" s="173">
        <f t="shared" si="778"/>
        <v>2.9468050606121858</v>
      </c>
      <c r="AD288" s="173"/>
      <c r="AE288" s="173">
        <f t="shared" si="779"/>
        <v>0.55058089012299616</v>
      </c>
      <c r="AF288" s="545">
        <f t="shared" si="780"/>
        <v>1961.5646299651535</v>
      </c>
      <c r="AG288" s="528">
        <f t="shared" si="781"/>
        <v>0.32117218590508106</v>
      </c>
      <c r="AI288" s="173">
        <f t="shared" si="782"/>
        <v>7.8912542105020789</v>
      </c>
      <c r="AJ288" s="173">
        <f t="shared" si="783"/>
        <v>7.8912542105020789</v>
      </c>
      <c r="AK288" s="173">
        <f t="shared" si="784"/>
        <v>4.5762376867916634</v>
      </c>
      <c r="AM288" s="545">
        <f t="shared" si="785"/>
        <v>1799.9999999999998</v>
      </c>
      <c r="AN288" s="460">
        <f t="shared" si="786"/>
        <v>350</v>
      </c>
      <c r="AP288">
        <f t="shared" si="787"/>
        <v>1799.9999999999998</v>
      </c>
      <c r="AQ288">
        <f t="shared" si="788"/>
        <v>350</v>
      </c>
      <c r="AS288" s="5">
        <f t="shared" si="761"/>
        <v>2.8571428571428572</v>
      </c>
      <c r="AT288" s="5">
        <f t="shared" si="789"/>
        <v>0.92958731374833248</v>
      </c>
      <c r="AU288" s="5">
        <f t="shared" si="721"/>
        <v>1.9275555433945248</v>
      </c>
      <c r="AV288" s="5"/>
      <c r="AW288" s="173">
        <f t="shared" si="722"/>
        <v>0.32535555981191638</v>
      </c>
      <c r="AX288" s="173">
        <f t="shared" si="790"/>
        <v>51.218632004645677</v>
      </c>
      <c r="AY288" s="173">
        <f t="shared" si="791"/>
        <v>2.661895389613016</v>
      </c>
      <c r="AZ288" s="173">
        <f t="shared" si="792"/>
        <v>19.241414296183816</v>
      </c>
      <c r="BA288" s="460">
        <f t="shared" si="723"/>
        <v>5.9759184455249938</v>
      </c>
      <c r="BB288" s="5">
        <f t="shared" si="724"/>
        <v>1.7392247149720776</v>
      </c>
      <c r="BD288" s="173">
        <f t="shared" si="838"/>
        <v>2.5987501234482711</v>
      </c>
      <c r="BE288" s="173">
        <f t="shared" si="839"/>
        <v>3.7421645430775117</v>
      </c>
      <c r="BG288" s="528">
        <f t="shared" si="840"/>
        <v>8.1042026449468854E-2</v>
      </c>
      <c r="BH288" s="528">
        <f t="shared" si="793"/>
        <v>3.4453609997476446</v>
      </c>
      <c r="BI288" s="528">
        <f t="shared" si="841"/>
        <v>4.0250000000000001E-2</v>
      </c>
      <c r="BJ288" s="528">
        <f t="shared" si="842"/>
        <v>0.80535962147174855</v>
      </c>
      <c r="BK288">
        <f t="shared" si="843"/>
        <v>1.7954206569271648E-2</v>
      </c>
      <c r="BL288" s="460">
        <f t="shared" si="844"/>
        <v>58.204206569271655</v>
      </c>
      <c r="BM288" s="528">
        <f t="shared" si="794"/>
        <v>4.4391218857570571</v>
      </c>
      <c r="BN288" s="460">
        <f t="shared" si="845"/>
        <v>4439.1218857570575</v>
      </c>
      <c r="BO288" s="528">
        <f t="shared" si="795"/>
        <v>1.2599999999999998</v>
      </c>
      <c r="BR288" s="460">
        <f t="shared" si="846"/>
        <v>1259.9999999999998</v>
      </c>
      <c r="BS288" s="528">
        <f t="shared" si="847"/>
        <v>9.454903085771367E-2</v>
      </c>
      <c r="BT288" s="528">
        <f t="shared" si="848"/>
        <v>0.19605313654453133</v>
      </c>
      <c r="BU288" s="528">
        <f t="shared" si="849"/>
        <v>20.044960296098107</v>
      </c>
      <c r="BV288" s="528"/>
      <c r="BW288" s="528">
        <f t="shared" si="850"/>
        <v>2.1795162555168375</v>
      </c>
      <c r="BX288" s="460">
        <f t="shared" si="851"/>
        <v>22515.07871901719</v>
      </c>
      <c r="BY288" s="173">
        <f t="shared" si="852"/>
        <v>28.165045573255323</v>
      </c>
      <c r="BZ288" s="5">
        <f t="shared" si="853"/>
        <v>50.399999999999991</v>
      </c>
      <c r="CA288" s="173">
        <f t="shared" si="854"/>
        <v>0.64150666027433556</v>
      </c>
      <c r="CB288" s="5">
        <f t="shared" si="855"/>
        <v>64.150666027433559</v>
      </c>
      <c r="CE288" s="562">
        <f t="shared" si="796"/>
        <v>-50</v>
      </c>
      <c r="CF288">
        <f t="shared" si="797"/>
        <v>-50</v>
      </c>
      <c r="CG288" s="173">
        <f t="shared" si="798"/>
        <v>0.45989129150267677</v>
      </c>
      <c r="CI288" s="170">
        <v>72</v>
      </c>
      <c r="CJ288" s="217">
        <f t="shared" si="856"/>
        <v>1.7999999999999998</v>
      </c>
      <c r="CK288" s="217"/>
      <c r="CL288" s="217">
        <f t="shared" si="799"/>
        <v>50.399999999999991</v>
      </c>
      <c r="CM288" s="541">
        <f t="shared" si="800"/>
        <v>40</v>
      </c>
      <c r="CN288" s="443">
        <f t="shared" si="801"/>
        <v>28.4</v>
      </c>
      <c r="CO288" s="443">
        <f t="shared" si="802"/>
        <v>68.400000000000006</v>
      </c>
      <c r="CP288" s="443"/>
      <c r="CQ288" s="217">
        <f t="shared" si="803"/>
        <v>0.41520467836257302</v>
      </c>
      <c r="CR288" s="172">
        <f t="shared" si="804"/>
        <v>140.52175355646798</v>
      </c>
      <c r="CS288" s="172">
        <f t="shared" si="805"/>
        <v>50.399999999999991</v>
      </c>
      <c r="CT288" s="217">
        <f t="shared" si="806"/>
        <v>5.0186340555881426</v>
      </c>
      <c r="CU288" s="217">
        <f t="shared" si="807"/>
        <v>28</v>
      </c>
      <c r="CV288" s="217"/>
      <c r="CW288" s="172">
        <f t="shared" si="808"/>
        <v>145.29500363880678</v>
      </c>
      <c r="CX288" s="172">
        <f t="shared" si="809"/>
        <v>28</v>
      </c>
      <c r="CY288" s="217">
        <f t="shared" si="810"/>
        <v>6.0692957746478875</v>
      </c>
      <c r="CZ288" s="217">
        <f t="shared" si="811"/>
        <v>0.71314225352112681</v>
      </c>
      <c r="DA288" s="217">
        <f t="shared" si="812"/>
        <v>1.0044257091846855</v>
      </c>
      <c r="DB288" s="197">
        <f t="shared" si="813"/>
        <v>350</v>
      </c>
      <c r="DC288" s="443">
        <f t="shared" si="814"/>
        <v>350</v>
      </c>
      <c r="DE288" s="217">
        <f t="shared" si="815"/>
        <v>10.09616239179509</v>
      </c>
      <c r="DF288" s="173">
        <f t="shared" si="816"/>
        <v>1.6708437761069339</v>
      </c>
      <c r="DG288" s="173">
        <f t="shared" si="817"/>
        <v>2.9520942666067511</v>
      </c>
      <c r="DH288" s="173"/>
      <c r="DI288" s="173">
        <f t="shared" si="818"/>
        <v>0.55164319248826299</v>
      </c>
      <c r="DJ288" s="545">
        <f t="shared" si="819"/>
        <v>1957.7872340425527</v>
      </c>
      <c r="DK288" s="528">
        <f t="shared" si="820"/>
        <v>0.3217918622848201</v>
      </c>
      <c r="DM288" s="173">
        <f t="shared" si="821"/>
        <v>7.8836524329710631</v>
      </c>
      <c r="DN288" s="173">
        <f t="shared" si="822"/>
        <v>7.8836524329710631</v>
      </c>
      <c r="DO288" s="173">
        <f t="shared" si="823"/>
        <v>4.5706067404723916</v>
      </c>
      <c r="DQ288" s="545">
        <f t="shared" si="824"/>
        <v>1799.9999999999998</v>
      </c>
      <c r="DR288" s="460">
        <f t="shared" si="825"/>
        <v>350</v>
      </c>
      <c r="DT288">
        <f t="shared" si="826"/>
        <v>1799.9999999999998</v>
      </c>
      <c r="DU288">
        <f t="shared" si="827"/>
        <v>350</v>
      </c>
      <c r="DW288" s="5">
        <f t="shared" si="857"/>
        <v>2.8571428571428572</v>
      </c>
      <c r="DX288" s="5">
        <f t="shared" si="828"/>
        <v>0.92632916087409989</v>
      </c>
      <c r="DY288" s="5">
        <f t="shared" si="829"/>
        <v>1.9308136962687574</v>
      </c>
      <c r="DZ288" s="5"/>
      <c r="EA288" s="173">
        <f t="shared" si="830"/>
        <v>0.32421520630593498</v>
      </c>
      <c r="EB288" s="173">
        <f t="shared" si="858"/>
        <v>51.119999999999983</v>
      </c>
      <c r="EC288" s="173">
        <f t="shared" si="859"/>
        <v>2.663826216485532</v>
      </c>
      <c r="ED288" s="173">
        <f t="shared" si="860"/>
        <v>19.190441059418724</v>
      </c>
      <c r="EE288" s="460">
        <f t="shared" si="831"/>
        <v>5.9549731770477843</v>
      </c>
      <c r="EF288" s="5">
        <f t="shared" si="832"/>
        <v>1.7377323266418812</v>
      </c>
      <c r="EH288" s="173">
        <f t="shared" si="861"/>
        <v>2.5916928585176415</v>
      </c>
      <c r="EI288" s="173">
        <f t="shared" si="862"/>
        <v>3.7417179684033082</v>
      </c>
      <c r="EK288" s="528">
        <f t="shared" si="863"/>
        <v>8.0602462474696129E-2</v>
      </c>
      <c r="EL288" s="528">
        <f t="shared" si="864"/>
        <v>3.5859581456612184</v>
      </c>
      <c r="EM288" s="528">
        <f t="shared" si="865"/>
        <v>4.0250000000000001E-2</v>
      </c>
      <c r="EN288" s="528">
        <f t="shared" si="866"/>
        <v>0.80646678000000016</v>
      </c>
      <c r="EO288">
        <f t="shared" si="867"/>
        <v>1.7999999999999999E-2</v>
      </c>
      <c r="EP288" s="460">
        <f t="shared" si="868"/>
        <v>58.249999999999993</v>
      </c>
      <c r="EQ288" s="460"/>
      <c r="ER288" s="460">
        <f t="shared" si="869"/>
        <v>4531.2773881359144</v>
      </c>
      <c r="ES288" s="528">
        <f t="shared" si="870"/>
        <v>1.2599999999999998</v>
      </c>
      <c r="EV288" s="460">
        <f t="shared" si="871"/>
        <v>1259.9999999999998</v>
      </c>
      <c r="EW288" s="528">
        <f t="shared" si="872"/>
        <v>9.4036206220478813E-2</v>
      </c>
      <c r="EX288" s="528">
        <f t="shared" si="873"/>
        <v>0.19600634697101052</v>
      </c>
      <c r="EY288" s="528">
        <f t="shared" si="874"/>
        <v>19.996721051841934</v>
      </c>
      <c r="EZ288" s="528"/>
      <c r="FA288" s="528">
        <f t="shared" si="875"/>
        <v>2.1753191489361696</v>
      </c>
      <c r="FB288" s="460">
        <f t="shared" si="876"/>
        <v>22462.082753969593</v>
      </c>
      <c r="FC288" s="173">
        <f t="shared" si="877"/>
        <v>28.253360142105507</v>
      </c>
      <c r="FD288" s="5">
        <f t="shared" si="878"/>
        <v>50.399999999999991</v>
      </c>
      <c r="FE288" s="173">
        <f t="shared" si="879"/>
        <v>0.64078635558532693</v>
      </c>
      <c r="FF288" s="5">
        <f t="shared" si="880"/>
        <v>64.078635558532696</v>
      </c>
      <c r="FI288" s="562">
        <f t="shared" si="833"/>
        <v>-50</v>
      </c>
      <c r="FJ288">
        <f t="shared" si="834"/>
        <v>-50</v>
      </c>
      <c r="FL288">
        <f t="shared" si="835"/>
        <v>0.45664113564216202</v>
      </c>
    </row>
    <row r="289" spans="5:168">
      <c r="E289" s="170">
        <v>73</v>
      </c>
      <c r="F289" s="217">
        <f t="shared" si="836"/>
        <v>1.825</v>
      </c>
      <c r="G289" s="217"/>
      <c r="H289" s="217">
        <f t="shared" si="762"/>
        <v>51.1</v>
      </c>
      <c r="I289" s="541">
        <f t="shared" si="763"/>
        <v>39.897532568744573</v>
      </c>
      <c r="J289" s="172">
        <f t="shared" si="764"/>
        <v>28.455174770675995</v>
      </c>
      <c r="K289" s="172">
        <f t="shared" si="765"/>
        <v>68.352707339420562</v>
      </c>
      <c r="L289" s="443"/>
      <c r="M289" s="217">
        <f t="shared" si="766"/>
        <v>0.41630251530516549</v>
      </c>
      <c r="N289" s="172">
        <f t="shared" si="767"/>
        <v>140.53238080330416</v>
      </c>
      <c r="O289" s="172">
        <f t="shared" si="760"/>
        <v>51.1</v>
      </c>
      <c r="P289" s="217">
        <f t="shared" si="768"/>
        <v>5.0190136001180061</v>
      </c>
      <c r="Q289" s="217">
        <f t="shared" si="769"/>
        <v>28</v>
      </c>
      <c r="R289" s="217"/>
      <c r="S289" s="172">
        <f t="shared" si="770"/>
        <v>142.3947433521945</v>
      </c>
      <c r="T289" s="172">
        <f t="shared" si="771"/>
        <v>28</v>
      </c>
      <c r="U289" s="217">
        <f t="shared" si="772"/>
        <v>6.1531262064619785</v>
      </c>
      <c r="V289" s="217">
        <f t="shared" si="773"/>
        <v>0.72484916505906349</v>
      </c>
      <c r="W289" s="217">
        <f t="shared" si="774"/>
        <v>1.0163245667418639</v>
      </c>
      <c r="X289" s="197">
        <f t="shared" si="775"/>
        <v>350</v>
      </c>
      <c r="Y289" s="443">
        <f t="shared" si="837"/>
        <v>350</v>
      </c>
      <c r="AA289" s="217">
        <f t="shared" si="776"/>
        <v>10.096844599020962</v>
      </c>
      <c r="AB289" s="173">
        <f t="shared" si="777"/>
        <v>1.6677166806335222</v>
      </c>
      <c r="AC289" s="173">
        <f t="shared" si="778"/>
        <v>2.9467683279215553</v>
      </c>
      <c r="AD289" s="173"/>
      <c r="AE289" s="173">
        <f t="shared" si="779"/>
        <v>0.55057355271673425</v>
      </c>
      <c r="AF289" s="545">
        <f t="shared" si="780"/>
        <v>1988.8350876951199</v>
      </c>
      <c r="AG289" s="528">
        <f t="shared" si="781"/>
        <v>0.32116790575142828</v>
      </c>
      <c r="AI289" s="173">
        <f t="shared" si="782"/>
        <v>7.9459185643694532</v>
      </c>
      <c r="AJ289" s="173">
        <f t="shared" si="783"/>
        <v>7.9459185643694532</v>
      </c>
      <c r="AK289" s="173">
        <f t="shared" si="784"/>
        <v>4.6167298007674962</v>
      </c>
      <c r="AM289" s="545">
        <f t="shared" si="785"/>
        <v>1825</v>
      </c>
      <c r="AN289" s="460">
        <f t="shared" si="786"/>
        <v>350</v>
      </c>
      <c r="AP289">
        <f t="shared" si="787"/>
        <v>1825</v>
      </c>
      <c r="AQ289">
        <f t="shared" si="788"/>
        <v>350</v>
      </c>
      <c r="AS289" s="5">
        <f t="shared" si="761"/>
        <v>2.8571428571428572</v>
      </c>
      <c r="AT289" s="5">
        <f t="shared" si="789"/>
        <v>0.9360432800747398</v>
      </c>
      <c r="AU289" s="5">
        <f t="shared" si="721"/>
        <v>1.9210995770681174</v>
      </c>
      <c r="AV289" s="5"/>
      <c r="AW289" s="173">
        <f t="shared" si="722"/>
        <v>0.32761514802615893</v>
      </c>
      <c r="AX289" s="173">
        <f t="shared" si="790"/>
        <v>51.930693956483687</v>
      </c>
      <c r="AY289" s="173">
        <f t="shared" si="791"/>
        <v>2.6713576388498756</v>
      </c>
      <c r="AZ289" s="173">
        <f t="shared" si="792"/>
        <v>19.439813374760966</v>
      </c>
      <c r="BA289" s="460">
        <f t="shared" si="723"/>
        <v>6.1009963790585715</v>
      </c>
      <c r="BB289" s="5">
        <f t="shared" si="724"/>
        <v>1.7575055410298197</v>
      </c>
      <c r="BD289" s="173">
        <f t="shared" si="838"/>
        <v>2.625823129507924</v>
      </c>
      <c r="BE289" s="173">
        <f t="shared" si="839"/>
        <v>3.7617717682502905</v>
      </c>
      <c r="BG289" s="528">
        <f t="shared" si="840"/>
        <v>8.2739365289505457E-2</v>
      </c>
      <c r="BH289" s="528">
        <f t="shared" si="793"/>
        <v>3.4692112324314053</v>
      </c>
      <c r="BI289" s="528">
        <f t="shared" si="841"/>
        <v>4.0250000000000001E-2</v>
      </c>
      <c r="BJ289" s="528">
        <f t="shared" si="842"/>
        <v>0.80535196203333381</v>
      </c>
      <c r="BK289">
        <f t="shared" si="843"/>
        <v>1.7953889655935057E-2</v>
      </c>
      <c r="BL289" s="460">
        <f t="shared" si="844"/>
        <v>58.203889655935058</v>
      </c>
      <c r="BM289" s="528">
        <f t="shared" si="794"/>
        <v>4.4674675667704369</v>
      </c>
      <c r="BN289" s="460">
        <f t="shared" si="845"/>
        <v>4467.4675667704369</v>
      </c>
      <c r="BO289" s="528">
        <f t="shared" si="795"/>
        <v>1.2774999999999999</v>
      </c>
      <c r="BR289" s="460">
        <f t="shared" si="846"/>
        <v>1277.4999999999998</v>
      </c>
      <c r="BS289" s="528">
        <f t="shared" si="847"/>
        <v>9.6529259504423037E-2</v>
      </c>
      <c r="BT289" s="528">
        <f t="shared" si="848"/>
        <v>0.19811297570966885</v>
      </c>
      <c r="BU289" s="528">
        <f t="shared" si="849"/>
        <v>20.393904893166983</v>
      </c>
      <c r="BV289" s="528"/>
      <c r="BW289" s="528">
        <f t="shared" si="850"/>
        <v>2.2098167641056894</v>
      </c>
      <c r="BX289" s="460">
        <f t="shared" si="851"/>
        <v>22898.363892486763</v>
      </c>
      <c r="BY289" s="173">
        <f t="shared" si="852"/>
        <v>28.59137034189694</v>
      </c>
      <c r="BZ289" s="5">
        <f t="shared" si="853"/>
        <v>51.1</v>
      </c>
      <c r="CA289" s="173">
        <f t="shared" si="854"/>
        <v>0.64122375836640233</v>
      </c>
      <c r="CB289" s="5">
        <f t="shared" si="855"/>
        <v>64.122375836640231</v>
      </c>
      <c r="CE289" s="562">
        <f t="shared" si="796"/>
        <v>-50</v>
      </c>
      <c r="CF289">
        <f t="shared" si="797"/>
        <v>-50</v>
      </c>
      <c r="CG289" s="173">
        <f t="shared" si="798"/>
        <v>0.46307396817355218</v>
      </c>
      <c r="CI289" s="170">
        <v>73</v>
      </c>
      <c r="CJ289" s="217">
        <f t="shared" si="856"/>
        <v>1.825</v>
      </c>
      <c r="CK289" s="217"/>
      <c r="CL289" s="217">
        <f t="shared" si="799"/>
        <v>51.1</v>
      </c>
      <c r="CM289" s="541">
        <f t="shared" si="800"/>
        <v>40</v>
      </c>
      <c r="CN289" s="443">
        <f t="shared" si="801"/>
        <v>28.4</v>
      </c>
      <c r="CO289" s="443">
        <f t="shared" si="802"/>
        <v>68.400000000000006</v>
      </c>
      <c r="CP289" s="443"/>
      <c r="CQ289" s="217">
        <f t="shared" si="803"/>
        <v>0.41520467836257302</v>
      </c>
      <c r="CR289" s="172">
        <f t="shared" si="804"/>
        <v>140.52175355646798</v>
      </c>
      <c r="CS289" s="172">
        <f t="shared" si="805"/>
        <v>51.1</v>
      </c>
      <c r="CT289" s="217">
        <f t="shared" si="806"/>
        <v>5.0186340555881426</v>
      </c>
      <c r="CU289" s="217">
        <f t="shared" si="807"/>
        <v>28</v>
      </c>
      <c r="CV289" s="217"/>
      <c r="CW289" s="172">
        <f t="shared" si="808"/>
        <v>142.76016476016611</v>
      </c>
      <c r="CX289" s="172">
        <f t="shared" si="809"/>
        <v>28</v>
      </c>
      <c r="CY289" s="217">
        <f t="shared" si="810"/>
        <v>6.1535915492957765</v>
      </c>
      <c r="CZ289" s="217">
        <f t="shared" si="811"/>
        <v>0.72304700704225366</v>
      </c>
      <c r="DA289" s="217">
        <f t="shared" si="812"/>
        <v>1.0183760662566954</v>
      </c>
      <c r="DB289" s="197">
        <f t="shared" si="813"/>
        <v>350</v>
      </c>
      <c r="DC289" s="443">
        <f t="shared" si="814"/>
        <v>350</v>
      </c>
      <c r="DE289" s="217">
        <f t="shared" si="815"/>
        <v>10.09616239179509</v>
      </c>
      <c r="DF289" s="173">
        <f t="shared" si="816"/>
        <v>1.6708437761069339</v>
      </c>
      <c r="DG289" s="173">
        <f t="shared" si="817"/>
        <v>2.9520942666067511</v>
      </c>
      <c r="DH289" s="173"/>
      <c r="DI289" s="173">
        <f t="shared" si="818"/>
        <v>0.55164319248826299</v>
      </c>
      <c r="DJ289" s="545">
        <f t="shared" si="819"/>
        <v>1984.9787234042551</v>
      </c>
      <c r="DK289" s="528">
        <f t="shared" si="820"/>
        <v>0.3217918622848201</v>
      </c>
      <c r="DM289" s="173">
        <f t="shared" si="821"/>
        <v>7.9382112322858385</v>
      </c>
      <c r="DN289" s="173">
        <f t="shared" si="822"/>
        <v>7.9382112322858385</v>
      </c>
      <c r="DO289" s="173">
        <f t="shared" si="823"/>
        <v>4.6110206658907442</v>
      </c>
      <c r="DQ289" s="545">
        <f t="shared" si="824"/>
        <v>1825</v>
      </c>
      <c r="DR289" s="460">
        <f t="shared" si="825"/>
        <v>350</v>
      </c>
      <c r="DT289">
        <f t="shared" si="826"/>
        <v>1825</v>
      </c>
      <c r="DU289">
        <f t="shared" si="827"/>
        <v>350</v>
      </c>
      <c r="DW289" s="5">
        <f t="shared" si="857"/>
        <v>2.8571428571428572</v>
      </c>
      <c r="DX289" s="5">
        <f t="shared" si="828"/>
        <v>0.93273981979358589</v>
      </c>
      <c r="DY289" s="5">
        <f t="shared" si="829"/>
        <v>1.9244030373492713</v>
      </c>
      <c r="DZ289" s="5"/>
      <c r="EA289" s="173">
        <f t="shared" si="830"/>
        <v>0.32645893692775507</v>
      </c>
      <c r="EB289" s="173">
        <f t="shared" si="858"/>
        <v>51.829999999999991</v>
      </c>
      <c r="EC289" s="173">
        <f t="shared" si="859"/>
        <v>2.6733556161429197</v>
      </c>
      <c r="ED289" s="173">
        <f t="shared" si="860"/>
        <v>19.387618948645372</v>
      </c>
      <c r="EE289" s="460">
        <f t="shared" si="831"/>
        <v>6.0794648968689078</v>
      </c>
      <c r="EF289" s="5">
        <f t="shared" si="832"/>
        <v>1.75601777158121</v>
      </c>
      <c r="EH289" s="173">
        <f t="shared" si="861"/>
        <v>2.6186430588168332</v>
      </c>
      <c r="EI289" s="173">
        <f t="shared" si="862"/>
        <v>3.7613527336106225</v>
      </c>
      <c r="EK289" s="528">
        <f t="shared" si="863"/>
        <v>8.2287497633874968E-2</v>
      </c>
      <c r="EL289" s="528">
        <f t="shared" si="864"/>
        <v>3.6107747611175363</v>
      </c>
      <c r="EM289" s="528">
        <f t="shared" si="865"/>
        <v>4.0250000000000001E-2</v>
      </c>
      <c r="EN289" s="528">
        <f t="shared" si="866"/>
        <v>0.80646678000000016</v>
      </c>
      <c r="EO289">
        <f t="shared" si="867"/>
        <v>1.7999999999999999E-2</v>
      </c>
      <c r="EP289" s="460">
        <f t="shared" si="868"/>
        <v>58.249999999999993</v>
      </c>
      <c r="EQ289" s="460"/>
      <c r="ER289" s="460">
        <f t="shared" si="869"/>
        <v>4557.7790387514106</v>
      </c>
      <c r="ES289" s="528">
        <f t="shared" si="870"/>
        <v>1.2774999999999999</v>
      </c>
      <c r="EV289" s="460">
        <f t="shared" si="871"/>
        <v>1277.4999999999998</v>
      </c>
      <c r="EW289" s="528">
        <f t="shared" si="872"/>
        <v>9.6002080572854129E-2</v>
      </c>
      <c r="EX289" s="528">
        <f t="shared" si="873"/>
        <v>0.19806884141296144</v>
      </c>
      <c r="EY289" s="528">
        <f t="shared" si="874"/>
        <v>20.344486985259703</v>
      </c>
      <c r="EZ289" s="528"/>
      <c r="FA289" s="528">
        <f t="shared" si="875"/>
        <v>2.2055319148936166</v>
      </c>
      <c r="FB289" s="460">
        <f t="shared" si="876"/>
        <v>22844.089822139136</v>
      </c>
      <c r="FC289" s="173">
        <f t="shared" si="877"/>
        <v>28.679368860890545</v>
      </c>
      <c r="FD289" s="5">
        <f t="shared" si="878"/>
        <v>51.1</v>
      </c>
      <c r="FE289" s="173">
        <f t="shared" si="879"/>
        <v>0.64051647348955465</v>
      </c>
      <c r="FF289" s="5">
        <f t="shared" si="880"/>
        <v>64.05164734895547</v>
      </c>
      <c r="FI289" s="562">
        <f t="shared" si="833"/>
        <v>-50</v>
      </c>
      <c r="FJ289">
        <f t="shared" si="834"/>
        <v>-50</v>
      </c>
      <c r="FL289">
        <f t="shared" si="835"/>
        <v>0.45980131961655651</v>
      </c>
    </row>
    <row r="290" spans="5:168">
      <c r="E290" s="170">
        <v>74</v>
      </c>
      <c r="F290" s="217">
        <f t="shared" si="836"/>
        <v>1.85</v>
      </c>
      <c r="G290" s="217"/>
      <c r="H290" s="217">
        <f t="shared" si="762"/>
        <v>51.800000000000004</v>
      </c>
      <c r="I290" s="541">
        <f t="shared" si="763"/>
        <v>39.896833124233993</v>
      </c>
      <c r="J290" s="172">
        <f t="shared" si="764"/>
        <v>28.455551394643233</v>
      </c>
      <c r="K290" s="172">
        <f t="shared" si="765"/>
        <v>68.35238451887723</v>
      </c>
      <c r="L290" s="443"/>
      <c r="M290" s="217">
        <f t="shared" si="766"/>
        <v>0.41631001433666009</v>
      </c>
      <c r="N290" s="172">
        <f t="shared" si="767"/>
        <v>140.53244855131254</v>
      </c>
      <c r="O290" s="172">
        <f t="shared" si="760"/>
        <v>51.800000000000004</v>
      </c>
      <c r="P290" s="217">
        <f t="shared" si="768"/>
        <v>5.019016019689734</v>
      </c>
      <c r="Q290" s="217">
        <f t="shared" si="769"/>
        <v>28</v>
      </c>
      <c r="R290" s="217"/>
      <c r="S290" s="172">
        <f t="shared" si="770"/>
        <v>139.93235238369587</v>
      </c>
      <c r="T290" s="172">
        <f t="shared" si="771"/>
        <v>28</v>
      </c>
      <c r="U290" s="217">
        <f t="shared" si="772"/>
        <v>6.2374125996116101</v>
      </c>
      <c r="V290" s="217">
        <f t="shared" si="773"/>
        <v>0.73479113309290811</v>
      </c>
      <c r="W290" s="217">
        <f t="shared" si="774"/>
        <v>1.0302326885745494</v>
      </c>
      <c r="X290" s="197">
        <f t="shared" si="775"/>
        <v>350</v>
      </c>
      <c r="Y290" s="443">
        <f t="shared" si="837"/>
        <v>350</v>
      </c>
      <c r="AA290" s="217">
        <f t="shared" si="776"/>
        <v>10.09684891345948</v>
      </c>
      <c r="AB290" s="173">
        <f t="shared" si="777"/>
        <v>1.6676953201544009</v>
      </c>
      <c r="AC290" s="173">
        <f t="shared" si="778"/>
        <v>2.9467318442244239</v>
      </c>
      <c r="AD290" s="173"/>
      <c r="AE290" s="173">
        <f t="shared" si="779"/>
        <v>0.55056626559047883</v>
      </c>
      <c r="AF290" s="545">
        <f t="shared" si="780"/>
        <v>2016.1060881736591</v>
      </c>
      <c r="AG290" s="528">
        <f t="shared" si="781"/>
        <v>0.32116365492777932</v>
      </c>
      <c r="AI290" s="173">
        <f t="shared" si="782"/>
        <v>8.0002104896389348</v>
      </c>
      <c r="AJ290" s="173">
        <f t="shared" si="783"/>
        <v>8.0002104896389348</v>
      </c>
      <c r="AK290" s="173">
        <f t="shared" si="784"/>
        <v>4.6569460417078528</v>
      </c>
      <c r="AM290" s="545">
        <f t="shared" si="785"/>
        <v>1850</v>
      </c>
      <c r="AN290" s="460">
        <f t="shared" si="786"/>
        <v>350</v>
      </c>
      <c r="AP290">
        <f t="shared" si="787"/>
        <v>1850</v>
      </c>
      <c r="AQ290">
        <f t="shared" si="788"/>
        <v>350</v>
      </c>
      <c r="AS290" s="5">
        <f t="shared" si="761"/>
        <v>2.8571428571428572</v>
      </c>
      <c r="AT290" s="5">
        <f t="shared" si="789"/>
        <v>0.94245548723674344</v>
      </c>
      <c r="AU290" s="5">
        <f t="shared" si="721"/>
        <v>1.9146873699061138</v>
      </c>
      <c r="AV290" s="5"/>
      <c r="AW290" s="173">
        <f t="shared" si="722"/>
        <v>0.32985942053286021</v>
      </c>
      <c r="AX290" s="173">
        <f t="shared" si="790"/>
        <v>52.642770080089974</v>
      </c>
      <c r="AY290" s="173">
        <f t="shared" si="791"/>
        <v>2.6806328466928631</v>
      </c>
      <c r="AZ290" s="173">
        <f t="shared" si="792"/>
        <v>19.638187357524977</v>
      </c>
      <c r="BA290" s="460">
        <f t="shared" si="723"/>
        <v>6.2269380406713406</v>
      </c>
      <c r="BB290" s="5">
        <f t="shared" si="724"/>
        <v>1.775665563878922</v>
      </c>
      <c r="BD290" s="173">
        <f t="shared" si="838"/>
        <v>2.6528044180051547</v>
      </c>
      <c r="BE290" s="173">
        <f t="shared" si="839"/>
        <v>3.7811485926001303</v>
      </c>
      <c r="BG290" s="528">
        <f t="shared" si="840"/>
        <v>8.4448455362252012E-2</v>
      </c>
      <c r="BH290" s="528">
        <f t="shared" si="793"/>
        <v>3.4928987488711885</v>
      </c>
      <c r="BI290" s="528">
        <f t="shared" si="841"/>
        <v>4.0250000000000001E-2</v>
      </c>
      <c r="BJ290" s="528">
        <f t="shared" si="842"/>
        <v>0.80534435491566014</v>
      </c>
      <c r="BK290">
        <f t="shared" si="843"/>
        <v>1.7953574905905295E-2</v>
      </c>
      <c r="BL290" s="460">
        <f t="shared" si="844"/>
        <v>58.203574905905299</v>
      </c>
      <c r="BM290" s="528">
        <f t="shared" si="794"/>
        <v>4.4956986236560779</v>
      </c>
      <c r="BN290" s="460">
        <f t="shared" si="845"/>
        <v>4495.6986236560779</v>
      </c>
      <c r="BO290" s="528">
        <f t="shared" si="795"/>
        <v>1.2949999999999999</v>
      </c>
      <c r="BR290" s="460">
        <f t="shared" si="846"/>
        <v>1295</v>
      </c>
      <c r="BS290" s="528">
        <f t="shared" si="847"/>
        <v>9.8523197922627342E-2</v>
      </c>
      <c r="BT290" s="528">
        <f t="shared" si="848"/>
        <v>0.20015918551050724</v>
      </c>
      <c r="BU290" s="528">
        <f t="shared" si="849"/>
        <v>20.744054718604524</v>
      </c>
      <c r="BV290" s="528"/>
      <c r="BW290" s="528">
        <f t="shared" si="850"/>
        <v>2.2401178757485098</v>
      </c>
      <c r="BX290" s="460">
        <f t="shared" si="851"/>
        <v>23282.85497778617</v>
      </c>
      <c r="BY290" s="173">
        <f t="shared" si="852"/>
        <v>29.018750111841175</v>
      </c>
      <c r="BZ290" s="5">
        <f t="shared" si="853"/>
        <v>51.800000000000004</v>
      </c>
      <c r="CA290" s="173">
        <f t="shared" si="854"/>
        <v>0.64094037495403577</v>
      </c>
      <c r="CB290" s="5">
        <f t="shared" si="855"/>
        <v>64.094037495403583</v>
      </c>
      <c r="CE290" s="562">
        <f t="shared" si="796"/>
        <v>-50</v>
      </c>
      <c r="CF290">
        <f t="shared" si="797"/>
        <v>-50</v>
      </c>
      <c r="CG290" s="173">
        <f t="shared" si="798"/>
        <v>0.46623491932715638</v>
      </c>
      <c r="CI290" s="170">
        <v>74</v>
      </c>
      <c r="CJ290" s="217">
        <f t="shared" si="856"/>
        <v>1.85</v>
      </c>
      <c r="CK290" s="217"/>
      <c r="CL290" s="217">
        <f t="shared" si="799"/>
        <v>51.800000000000004</v>
      </c>
      <c r="CM290" s="541">
        <f t="shared" si="800"/>
        <v>40</v>
      </c>
      <c r="CN290" s="443">
        <f t="shared" si="801"/>
        <v>28.4</v>
      </c>
      <c r="CO290" s="443">
        <f t="shared" si="802"/>
        <v>68.400000000000006</v>
      </c>
      <c r="CP290" s="443"/>
      <c r="CQ290" s="217">
        <f t="shared" si="803"/>
        <v>0.41520467836257302</v>
      </c>
      <c r="CR290" s="172">
        <f t="shared" si="804"/>
        <v>140.52175355646798</v>
      </c>
      <c r="CS290" s="172">
        <f t="shared" si="805"/>
        <v>51.800000000000004</v>
      </c>
      <c r="CT290" s="217">
        <f t="shared" si="806"/>
        <v>5.0186340555881426</v>
      </c>
      <c r="CU290" s="217">
        <f t="shared" si="807"/>
        <v>28</v>
      </c>
      <c r="CV290" s="217"/>
      <c r="CW290" s="172">
        <f t="shared" si="808"/>
        <v>140.29390223739489</v>
      </c>
      <c r="CX290" s="172">
        <f t="shared" si="809"/>
        <v>28</v>
      </c>
      <c r="CY290" s="217">
        <f t="shared" si="810"/>
        <v>6.2378873239436636</v>
      </c>
      <c r="CZ290" s="217">
        <f t="shared" si="811"/>
        <v>0.73295176056338041</v>
      </c>
      <c r="DA290" s="217">
        <f t="shared" si="812"/>
        <v>1.0323264233287051</v>
      </c>
      <c r="DB290" s="197">
        <f t="shared" si="813"/>
        <v>350</v>
      </c>
      <c r="DC290" s="443">
        <f t="shared" si="814"/>
        <v>350</v>
      </c>
      <c r="DE290" s="217">
        <f t="shared" si="815"/>
        <v>10.09616239179509</v>
      </c>
      <c r="DF290" s="173">
        <f t="shared" si="816"/>
        <v>1.6708437761069339</v>
      </c>
      <c r="DG290" s="173">
        <f t="shared" si="817"/>
        <v>2.9520942666067511</v>
      </c>
      <c r="DH290" s="173"/>
      <c r="DI290" s="173">
        <f t="shared" si="818"/>
        <v>0.55164319248826299</v>
      </c>
      <c r="DJ290" s="545">
        <f t="shared" si="819"/>
        <v>2012.1702127659573</v>
      </c>
      <c r="DK290" s="528">
        <f t="shared" si="820"/>
        <v>0.3217918622848201</v>
      </c>
      <c r="DM290" s="173">
        <f t="shared" si="821"/>
        <v>7.9923976035284641</v>
      </c>
      <c r="DN290" s="173">
        <f t="shared" si="822"/>
        <v>7.9923976035284641</v>
      </c>
      <c r="DO290" s="173">
        <f t="shared" si="823"/>
        <v>4.6511587186630603</v>
      </c>
      <c r="DQ290" s="545">
        <f t="shared" si="824"/>
        <v>1850</v>
      </c>
      <c r="DR290" s="460">
        <f t="shared" si="825"/>
        <v>350</v>
      </c>
      <c r="DT290">
        <f t="shared" si="826"/>
        <v>1850</v>
      </c>
      <c r="DU290">
        <f t="shared" si="827"/>
        <v>350</v>
      </c>
      <c r="DW290" s="5">
        <f t="shared" si="857"/>
        <v>2.8571428571428572</v>
      </c>
      <c r="DX290" s="5">
        <f t="shared" si="828"/>
        <v>0.93910671841459448</v>
      </c>
      <c r="DY290" s="5">
        <f t="shared" si="829"/>
        <v>1.9180361387282627</v>
      </c>
      <c r="DZ290" s="5"/>
      <c r="EA290" s="173">
        <f t="shared" si="830"/>
        <v>0.32868735144510808</v>
      </c>
      <c r="EB290" s="173">
        <f t="shared" si="858"/>
        <v>52.539999999999992</v>
      </c>
      <c r="EC290" s="173">
        <f t="shared" si="859"/>
        <v>2.6826988017642321</v>
      </c>
      <c r="ED290" s="173">
        <f t="shared" si="860"/>
        <v>19.584755457991758</v>
      </c>
      <c r="EE290" s="460">
        <f t="shared" si="831"/>
        <v>6.2048122466678564</v>
      </c>
      <c r="EF290" s="5">
        <f t="shared" si="832"/>
        <v>1.7741834283236431</v>
      </c>
      <c r="EH290" s="173">
        <f t="shared" si="861"/>
        <v>2.6455011185324464</v>
      </c>
      <c r="EI290" s="173">
        <f t="shared" si="862"/>
        <v>3.7807579023443729</v>
      </c>
      <c r="EK290" s="528">
        <f t="shared" si="863"/>
        <v>8.3984114017877101E-2</v>
      </c>
      <c r="EL290" s="528">
        <f t="shared" si="864"/>
        <v>3.6354219739409581</v>
      </c>
      <c r="EM290" s="528">
        <f t="shared" si="865"/>
        <v>4.0250000000000001E-2</v>
      </c>
      <c r="EN290" s="528">
        <f t="shared" si="866"/>
        <v>0.80646678000000016</v>
      </c>
      <c r="EO290">
        <f t="shared" si="867"/>
        <v>1.7999999999999999E-2</v>
      </c>
      <c r="EP290" s="460">
        <f t="shared" si="868"/>
        <v>58.249999999999993</v>
      </c>
      <c r="EQ290" s="460"/>
      <c r="ER290" s="460">
        <f t="shared" si="869"/>
        <v>4584.1228679588348</v>
      </c>
      <c r="ES290" s="528">
        <f t="shared" si="870"/>
        <v>1.2949999999999999</v>
      </c>
      <c r="EV290" s="460">
        <f t="shared" si="871"/>
        <v>1295</v>
      </c>
      <c r="EW290" s="528">
        <f t="shared" si="872"/>
        <v>9.7981466354189958E-2</v>
      </c>
      <c r="EX290" s="528">
        <f t="shared" si="873"/>
        <v>0.20011782442595194</v>
      </c>
      <c r="EY290" s="528">
        <f t="shared" si="874"/>
        <v>20.693445972285794</v>
      </c>
      <c r="EZ290" s="528"/>
      <c r="FA290" s="528">
        <f t="shared" si="875"/>
        <v>2.2357446808510639</v>
      </c>
      <c r="FB290" s="460">
        <f t="shared" si="876"/>
        <v>23227.289943917</v>
      </c>
      <c r="FC290" s="173">
        <f t="shared" si="877"/>
        <v>29.106412811875835</v>
      </c>
      <c r="FD290" s="5">
        <f t="shared" si="878"/>
        <v>51.800000000000004</v>
      </c>
      <c r="FE290" s="173">
        <f t="shared" si="879"/>
        <v>0.64024591129068753</v>
      </c>
      <c r="FF290" s="5">
        <f t="shared" si="880"/>
        <v>64.024591129068753</v>
      </c>
      <c r="FI290" s="562">
        <f t="shared" si="833"/>
        <v>-50</v>
      </c>
      <c r="FJ290">
        <f t="shared" si="834"/>
        <v>-50</v>
      </c>
      <c r="FL290">
        <f t="shared" si="835"/>
        <v>0.46293993161282831</v>
      </c>
    </row>
    <row r="291" spans="5:168">
      <c r="E291" s="170">
        <v>75</v>
      </c>
      <c r="F291" s="217">
        <f t="shared" si="836"/>
        <v>1.875</v>
      </c>
      <c r="G291" s="217"/>
      <c r="H291" s="217">
        <f t="shared" si="762"/>
        <v>52.5</v>
      </c>
      <c r="I291" s="541">
        <f t="shared" si="763"/>
        <v>39.896138389948192</v>
      </c>
      <c r="J291" s="172">
        <f t="shared" si="764"/>
        <v>28.455925482335587</v>
      </c>
      <c r="K291" s="172">
        <f t="shared" si="765"/>
        <v>68.352063872283779</v>
      </c>
      <c r="L291" s="443"/>
      <c r="M291" s="217">
        <f t="shared" si="766"/>
        <v>0.4163174629374406</v>
      </c>
      <c r="N291" s="172">
        <f t="shared" si="767"/>
        <v>140.53251577869915</v>
      </c>
      <c r="O291" s="172">
        <f t="shared" si="760"/>
        <v>52.5</v>
      </c>
      <c r="P291" s="217">
        <f t="shared" si="768"/>
        <v>5.0190184206678268</v>
      </c>
      <c r="Q291" s="217">
        <f t="shared" si="769"/>
        <v>28</v>
      </c>
      <c r="R291" s="217"/>
      <c r="S291" s="172">
        <f t="shared" si="770"/>
        <v>137.53572709726694</v>
      </c>
      <c r="T291" s="172">
        <f t="shared" si="771"/>
        <v>28</v>
      </c>
      <c r="U291" s="217">
        <f t="shared" si="772"/>
        <v>6.3216989349151502</v>
      </c>
      <c r="V291" s="217">
        <f t="shared" si="773"/>
        <v>0.74473335498523152</v>
      </c>
      <c r="W291" s="217">
        <f t="shared" si="774"/>
        <v>1.0441405257595764</v>
      </c>
      <c r="X291" s="197">
        <f t="shared" si="775"/>
        <v>350</v>
      </c>
      <c r="Y291" s="443">
        <f t="shared" si="837"/>
        <v>350</v>
      </c>
      <c r="AA291" s="217">
        <f t="shared" si="776"/>
        <v>10.09685319424543</v>
      </c>
      <c r="AB291" s="173">
        <f t="shared" si="777"/>
        <v>1.6676741033220657</v>
      </c>
      <c r="AC291" s="173">
        <f t="shared" si="778"/>
        <v>2.9466956044903618</v>
      </c>
      <c r="AD291" s="173"/>
      <c r="AE291" s="173">
        <f t="shared" si="779"/>
        <v>0.55055902772840648</v>
      </c>
      <c r="AF291" s="545">
        <f t="shared" si="780"/>
        <v>2043.3776277209065</v>
      </c>
      <c r="AG291" s="528">
        <f t="shared" si="781"/>
        <v>0.3211594328415705</v>
      </c>
      <c r="AI291" s="173">
        <f t="shared" si="782"/>
        <v>8.0541375105444359</v>
      </c>
      <c r="AJ291" s="173">
        <f t="shared" si="783"/>
        <v>8.0541375105444359</v>
      </c>
      <c r="AK291" s="173">
        <f t="shared" si="784"/>
        <v>4.6968919831193352</v>
      </c>
      <c r="AM291" s="545">
        <f t="shared" si="785"/>
        <v>1875</v>
      </c>
      <c r="AN291" s="460">
        <f t="shared" si="786"/>
        <v>350</v>
      </c>
      <c r="AP291">
        <f t="shared" si="787"/>
        <v>1875</v>
      </c>
      <c r="AQ291">
        <f t="shared" si="788"/>
        <v>350</v>
      </c>
      <c r="AS291" s="5">
        <f t="shared" si="761"/>
        <v>2.8571428571428572</v>
      </c>
      <c r="AT291" s="5">
        <f t="shared" si="789"/>
        <v>0.94882481932377316</v>
      </c>
      <c r="AU291" s="5">
        <f t="shared" si="721"/>
        <v>1.908318037819084</v>
      </c>
      <c r="AV291" s="5"/>
      <c r="AW291" s="173">
        <f t="shared" si="722"/>
        <v>0.3320886867633206</v>
      </c>
      <c r="AX291" s="173">
        <f t="shared" si="790"/>
        <v>53.35486027937921</v>
      </c>
      <c r="AY291" s="173">
        <f t="shared" si="791"/>
        <v>2.6897247808282669</v>
      </c>
      <c r="AZ291" s="173">
        <f t="shared" si="792"/>
        <v>19.836550066267097</v>
      </c>
      <c r="BA291" s="460">
        <f t="shared" si="723"/>
        <v>6.3537376294002659</v>
      </c>
      <c r="BB291" s="5">
        <f t="shared" si="724"/>
        <v>1.7937055892167655</v>
      </c>
      <c r="BD291" s="173">
        <f t="shared" si="838"/>
        <v>2.6796955385602552</v>
      </c>
      <c r="BE291" s="173">
        <f t="shared" si="839"/>
        <v>3.8002993961274383</v>
      </c>
      <c r="BG291" s="528">
        <f t="shared" si="840"/>
        <v>8.6169218152556834E-2</v>
      </c>
      <c r="BH291" s="528">
        <f t="shared" si="793"/>
        <v>3.5164268364446354</v>
      </c>
      <c r="BI291" s="528">
        <f t="shared" si="841"/>
        <v>4.0250000000000001E-2</v>
      </c>
      <c r="BJ291" s="528">
        <f t="shared" si="842"/>
        <v>0.80533679906168121</v>
      </c>
      <c r="BK291">
        <f t="shared" si="843"/>
        <v>1.7953262275476684E-2</v>
      </c>
      <c r="BL291" s="460">
        <f t="shared" si="844"/>
        <v>58.203262275476689</v>
      </c>
      <c r="BM291" s="528">
        <f t="shared" si="794"/>
        <v>4.5238183223248525</v>
      </c>
      <c r="BN291" s="460">
        <f t="shared" si="845"/>
        <v>4523.8183223248525</v>
      </c>
      <c r="BO291" s="528">
        <f t="shared" si="795"/>
        <v>1.3125</v>
      </c>
      <c r="BR291" s="460">
        <f t="shared" si="846"/>
        <v>1312.5</v>
      </c>
      <c r="BS291" s="528">
        <f t="shared" si="847"/>
        <v>0.10053075451131631</v>
      </c>
      <c r="BT291" s="528">
        <f t="shared" si="848"/>
        <v>0.20219185700289199</v>
      </c>
      <c r="BU291" s="528">
        <f t="shared" si="849"/>
        <v>21.095397618159652</v>
      </c>
      <c r="BV291" s="528"/>
      <c r="BW291" s="528">
        <f t="shared" si="850"/>
        <v>2.2704195863565624</v>
      </c>
      <c r="BX291" s="460">
        <f t="shared" si="851"/>
        <v>23668.539816030425</v>
      </c>
      <c r="BY291" s="173">
        <f t="shared" si="852"/>
        <v>29.447175931964775</v>
      </c>
      <c r="BZ291" s="5">
        <f t="shared" si="853"/>
        <v>52.5</v>
      </c>
      <c r="CA291" s="173">
        <f t="shared" si="854"/>
        <v>0.64065661083412095</v>
      </c>
      <c r="CB291" s="5">
        <f t="shared" si="855"/>
        <v>64.065661083412095</v>
      </c>
      <c r="CE291" s="562">
        <f t="shared" si="796"/>
        <v>-50</v>
      </c>
      <c r="CF291">
        <f t="shared" si="797"/>
        <v>-50</v>
      </c>
      <c r="CG291" s="173">
        <f t="shared" si="798"/>
        <v>0.46937458388796471</v>
      </c>
      <c r="CI291" s="170">
        <v>75</v>
      </c>
      <c r="CJ291" s="217">
        <f t="shared" si="856"/>
        <v>1.875</v>
      </c>
      <c r="CK291" s="217"/>
      <c r="CL291" s="217">
        <f t="shared" si="799"/>
        <v>52.5</v>
      </c>
      <c r="CM291" s="541">
        <f t="shared" si="800"/>
        <v>40</v>
      </c>
      <c r="CN291" s="443">
        <f t="shared" si="801"/>
        <v>28.4</v>
      </c>
      <c r="CO291" s="443">
        <f t="shared" si="802"/>
        <v>68.400000000000006</v>
      </c>
      <c r="CP291" s="443"/>
      <c r="CQ291" s="217">
        <f t="shared" si="803"/>
        <v>0.41520467836257302</v>
      </c>
      <c r="CR291" s="172">
        <f t="shared" si="804"/>
        <v>140.52175355646798</v>
      </c>
      <c r="CS291" s="172">
        <f t="shared" si="805"/>
        <v>52.5</v>
      </c>
      <c r="CT291" s="217">
        <f t="shared" si="806"/>
        <v>5.0186340555881426</v>
      </c>
      <c r="CU291" s="217">
        <f t="shared" si="807"/>
        <v>28</v>
      </c>
      <c r="CV291" s="217"/>
      <c r="CW291" s="172">
        <f t="shared" si="808"/>
        <v>137.89347376519055</v>
      </c>
      <c r="CX291" s="172">
        <f t="shared" si="809"/>
        <v>28</v>
      </c>
      <c r="CY291" s="217">
        <f t="shared" si="810"/>
        <v>6.3221830985915508</v>
      </c>
      <c r="CZ291" s="217">
        <f t="shared" si="811"/>
        <v>0.74285651408450715</v>
      </c>
      <c r="DA291" s="217">
        <f t="shared" si="812"/>
        <v>1.0462767804007145</v>
      </c>
      <c r="DB291" s="197">
        <f t="shared" si="813"/>
        <v>350</v>
      </c>
      <c r="DC291" s="443">
        <f t="shared" si="814"/>
        <v>350</v>
      </c>
      <c r="DE291" s="217">
        <f t="shared" si="815"/>
        <v>10.09616239179509</v>
      </c>
      <c r="DF291" s="173">
        <f t="shared" si="816"/>
        <v>1.6708437761069339</v>
      </c>
      <c r="DG291" s="173">
        <f t="shared" si="817"/>
        <v>2.9520942666067511</v>
      </c>
      <c r="DH291" s="173"/>
      <c r="DI291" s="173">
        <f t="shared" si="818"/>
        <v>0.55164319248826299</v>
      </c>
      <c r="DJ291" s="545">
        <f t="shared" si="819"/>
        <v>2039.3617021276596</v>
      </c>
      <c r="DK291" s="528">
        <f t="shared" si="820"/>
        <v>0.3217918622848201</v>
      </c>
      <c r="DM291" s="173">
        <f t="shared" si="821"/>
        <v>8.0462190709292774</v>
      </c>
      <c r="DN291" s="173">
        <f t="shared" si="822"/>
        <v>8.0462190709292774</v>
      </c>
      <c r="DO291" s="173">
        <f t="shared" si="823"/>
        <v>4.6910264722932915</v>
      </c>
      <c r="DQ291" s="545">
        <f t="shared" si="824"/>
        <v>1875</v>
      </c>
      <c r="DR291" s="460">
        <f t="shared" si="825"/>
        <v>350</v>
      </c>
      <c r="DT291">
        <f t="shared" si="826"/>
        <v>1875</v>
      </c>
      <c r="DU291">
        <f t="shared" si="827"/>
        <v>350</v>
      </c>
      <c r="DW291" s="5">
        <f t="shared" si="857"/>
        <v>2.8571428571428572</v>
      </c>
      <c r="DX291" s="5">
        <f t="shared" si="828"/>
        <v>0.9454307408341901</v>
      </c>
      <c r="DY291" s="5">
        <f t="shared" si="829"/>
        <v>1.9117121163086672</v>
      </c>
      <c r="DZ291" s="5"/>
      <c r="EA291" s="173">
        <f t="shared" si="830"/>
        <v>0.33090075929196655</v>
      </c>
      <c r="EB291" s="173">
        <f t="shared" si="858"/>
        <v>53.249999999999986</v>
      </c>
      <c r="EC291" s="173">
        <f t="shared" si="859"/>
        <v>2.6918595354646389</v>
      </c>
      <c r="ED291" s="173">
        <f t="shared" si="860"/>
        <v>19.78186428320026</v>
      </c>
      <c r="EE291" s="460">
        <f t="shared" si="831"/>
        <v>6.3310094252289515</v>
      </c>
      <c r="EF291" s="5">
        <f t="shared" si="832"/>
        <v>1.7922301090393753</v>
      </c>
      <c r="EH291" s="173">
        <f t="shared" si="861"/>
        <v>2.6722685915621827</v>
      </c>
      <c r="EI291" s="173">
        <f t="shared" si="862"/>
        <v>3.7999378530460555</v>
      </c>
      <c r="EK291" s="528">
        <f t="shared" si="863"/>
        <v>8.5692233105396781E-2</v>
      </c>
      <c r="EL291" s="528">
        <f t="shared" si="864"/>
        <v>3.6599032066028916</v>
      </c>
      <c r="EM291" s="528">
        <f t="shared" si="865"/>
        <v>4.0250000000000001E-2</v>
      </c>
      <c r="EN291" s="528">
        <f t="shared" si="866"/>
        <v>0.80646678000000016</v>
      </c>
      <c r="EO291">
        <f t="shared" si="867"/>
        <v>1.7999999999999999E-2</v>
      </c>
      <c r="EP291" s="460">
        <f t="shared" si="868"/>
        <v>58.249999999999993</v>
      </c>
      <c r="EQ291" s="460"/>
      <c r="ER291" s="460">
        <f t="shared" si="869"/>
        <v>4610.3122197082885</v>
      </c>
      <c r="ES291" s="528">
        <f t="shared" si="870"/>
        <v>1.3125</v>
      </c>
      <c r="EV291" s="460">
        <f t="shared" si="871"/>
        <v>1312.5</v>
      </c>
      <c r="EW291" s="528">
        <f t="shared" si="872"/>
        <v>9.997427195629624E-2</v>
      </c>
      <c r="EX291" s="528">
        <f t="shared" si="873"/>
        <v>0.20215338761817173</v>
      </c>
      <c r="EY291" s="528">
        <f t="shared" si="874"/>
        <v>21.043585899968807</v>
      </c>
      <c r="EZ291" s="528"/>
      <c r="FA291" s="528">
        <f t="shared" si="875"/>
        <v>2.2659574468085104</v>
      </c>
      <c r="FB291" s="460">
        <f t="shared" si="876"/>
        <v>23611.671006351786</v>
      </c>
      <c r="FC291" s="173">
        <f t="shared" si="877"/>
        <v>29.534483226060072</v>
      </c>
      <c r="FD291" s="5">
        <f t="shared" si="878"/>
        <v>52.5</v>
      </c>
      <c r="FE291" s="173">
        <f t="shared" si="879"/>
        <v>0.63997477567241146</v>
      </c>
      <c r="FF291" s="5">
        <f t="shared" si="880"/>
        <v>63.997477567241148</v>
      </c>
      <c r="FI291" s="562">
        <f t="shared" si="833"/>
        <v>-50</v>
      </c>
      <c r="FJ291">
        <f t="shared" si="834"/>
        <v>-50</v>
      </c>
      <c r="FL291">
        <f t="shared" si="835"/>
        <v>0.46605740745347407</v>
      </c>
    </row>
    <row r="292" spans="5:168">
      <c r="E292" s="170">
        <v>76</v>
      </c>
      <c r="F292" s="217">
        <f t="shared" si="836"/>
        <v>1.9</v>
      </c>
      <c r="G292" s="217"/>
      <c r="H292" s="217">
        <f t="shared" si="762"/>
        <v>53.199999999999996</v>
      </c>
      <c r="I292" s="541">
        <f t="shared" si="763"/>
        <v>39.895448271990432</v>
      </c>
      <c r="J292" s="172">
        <f t="shared" si="764"/>
        <v>28.456297084312844</v>
      </c>
      <c r="K292" s="172">
        <f t="shared" si="765"/>
        <v>68.351745356303269</v>
      </c>
      <c r="L292" s="443"/>
      <c r="M292" s="217">
        <f t="shared" si="766"/>
        <v>0.41632486211282732</v>
      </c>
      <c r="N292" s="172">
        <f t="shared" si="767"/>
        <v>140.53258249584155</v>
      </c>
      <c r="O292" s="172">
        <f t="shared" si="760"/>
        <v>53.199999999999996</v>
      </c>
      <c r="P292" s="217">
        <f t="shared" si="768"/>
        <v>5.0190208034229125</v>
      </c>
      <c r="Q292" s="217">
        <f t="shared" si="769"/>
        <v>28</v>
      </c>
      <c r="R292" s="217"/>
      <c r="S292" s="172">
        <f t="shared" si="770"/>
        <v>135.20227172521609</v>
      </c>
      <c r="T292" s="172">
        <f t="shared" si="771"/>
        <v>28</v>
      </c>
      <c r="U292" s="217">
        <f t="shared" si="772"/>
        <v>6.4059852128363879</v>
      </c>
      <c r="V292" s="217">
        <f t="shared" si="773"/>
        <v>0.75467582905865394</v>
      </c>
      <c r="W292" s="217">
        <f t="shared" si="774"/>
        <v>1.0580480802236489</v>
      </c>
      <c r="X292" s="197">
        <f t="shared" si="775"/>
        <v>350</v>
      </c>
      <c r="Y292" s="443">
        <f t="shared" si="837"/>
        <v>350</v>
      </c>
      <c r="AA292" s="217">
        <f t="shared" si="776"/>
        <v>10.096857442049592</v>
      </c>
      <c r="AB292" s="173">
        <f t="shared" si="777"/>
        <v>1.6676530272729622</v>
      </c>
      <c r="AC292" s="173">
        <f t="shared" si="778"/>
        <v>2.9466596038560691</v>
      </c>
      <c r="AD292" s="173"/>
      <c r="AE292" s="173">
        <f t="shared" si="779"/>
        <v>0.55055183814844477</v>
      </c>
      <c r="AF292" s="545">
        <f t="shared" si="780"/>
        <v>2070.6497027308492</v>
      </c>
      <c r="AG292" s="528">
        <f t="shared" si="781"/>
        <v>0.32115523891992614</v>
      </c>
      <c r="AI292" s="173">
        <f t="shared" si="782"/>
        <v>8.1077069013257219</v>
      </c>
      <c r="AJ292" s="173">
        <f t="shared" si="783"/>
        <v>8.1077069013257219</v>
      </c>
      <c r="AK292" s="173">
        <f t="shared" si="784"/>
        <v>4.7365730133276953</v>
      </c>
      <c r="AM292" s="545">
        <f t="shared" si="785"/>
        <v>1900</v>
      </c>
      <c r="AN292" s="460">
        <f t="shared" si="786"/>
        <v>350</v>
      </c>
      <c r="AP292">
        <f t="shared" si="787"/>
        <v>1900</v>
      </c>
      <c r="AQ292">
        <f t="shared" si="788"/>
        <v>350</v>
      </c>
      <c r="AS292" s="5">
        <f t="shared" si="761"/>
        <v>2.8571428571428572</v>
      </c>
      <c r="AT292" s="5">
        <f t="shared" si="789"/>
        <v>0.95515213105110774</v>
      </c>
      <c r="AU292" s="5">
        <f t="shared" si="721"/>
        <v>1.9019907260917495</v>
      </c>
      <c r="AV292" s="5"/>
      <c r="AW292" s="173">
        <f t="shared" si="722"/>
        <v>0.33430324586788768</v>
      </c>
      <c r="AX292" s="173">
        <f t="shared" si="790"/>
        <v>54.066964460194392</v>
      </c>
      <c r="AY292" s="173">
        <f t="shared" si="791"/>
        <v>2.6986370838335301</v>
      </c>
      <c r="AZ292" s="173">
        <f t="shared" si="792"/>
        <v>20.034914951731835</v>
      </c>
      <c r="BA292" s="460">
        <f t="shared" si="723"/>
        <v>6.4813894607039453</v>
      </c>
      <c r="BB292" s="5">
        <f t="shared" si="724"/>
        <v>1.8116264065700285</v>
      </c>
      <c r="BD292" s="173">
        <f t="shared" si="838"/>
        <v>2.7064979943501086</v>
      </c>
      <c r="BE292" s="173">
        <f t="shared" si="839"/>
        <v>3.8192284132418362</v>
      </c>
      <c r="BG292" s="528">
        <f t="shared" si="840"/>
        <v>8.790157672105392E-2</v>
      </c>
      <c r="BH292" s="528">
        <f t="shared" si="793"/>
        <v>3.5397986733056466</v>
      </c>
      <c r="BI292" s="528">
        <f t="shared" si="841"/>
        <v>4.0250000000000001E-2</v>
      </c>
      <c r="BJ292" s="528">
        <f t="shared" si="842"/>
        <v>0.80532929344947313</v>
      </c>
      <c r="BK292">
        <f t="shared" si="843"/>
        <v>1.7952951722395694E-2</v>
      </c>
      <c r="BL292" s="460">
        <f t="shared" si="844"/>
        <v>58.202951722395696</v>
      </c>
      <c r="BM292" s="528">
        <f t="shared" si="794"/>
        <v>4.5518298223509523</v>
      </c>
      <c r="BN292" s="460">
        <f t="shared" si="845"/>
        <v>4551.8298223509528</v>
      </c>
      <c r="BO292" s="528">
        <f t="shared" si="795"/>
        <v>1.3299999999999998</v>
      </c>
      <c r="BR292" s="460">
        <f t="shared" si="846"/>
        <v>1329.9999999999998</v>
      </c>
      <c r="BS292" s="528">
        <f t="shared" si="847"/>
        <v>0.10255183950789624</v>
      </c>
      <c r="BT292" s="528">
        <f t="shared" si="848"/>
        <v>0.20421107941519256</v>
      </c>
      <c r="BU292" s="528">
        <f t="shared" si="849"/>
        <v>21.44792172140702</v>
      </c>
      <c r="BV292" s="528"/>
      <c r="BW292" s="528">
        <f t="shared" si="850"/>
        <v>2.3007218919231658</v>
      </c>
      <c r="BX292" s="460">
        <f t="shared" si="851"/>
        <v>24055.406532253273</v>
      </c>
      <c r="BY292" s="173">
        <f t="shared" si="852"/>
        <v>29.876639027451844</v>
      </c>
      <c r="BZ292" s="5">
        <f t="shared" si="853"/>
        <v>53.199999999999996</v>
      </c>
      <c r="CA292" s="173">
        <f t="shared" si="854"/>
        <v>0.64037255987715858</v>
      </c>
      <c r="CB292" s="5">
        <f t="shared" si="855"/>
        <v>64.037255987715852</v>
      </c>
      <c r="CE292" s="562">
        <f t="shared" si="796"/>
        <v>-50</v>
      </c>
      <c r="CF292">
        <f t="shared" si="797"/>
        <v>-50</v>
      </c>
      <c r="CG292" s="173">
        <f t="shared" si="798"/>
        <v>0.47249338619709796</v>
      </c>
      <c r="CI292" s="170">
        <v>76</v>
      </c>
      <c r="CJ292" s="217">
        <f t="shared" si="856"/>
        <v>1.9</v>
      </c>
      <c r="CK292" s="217"/>
      <c r="CL292" s="217">
        <f t="shared" si="799"/>
        <v>53.199999999999996</v>
      </c>
      <c r="CM292" s="541">
        <f t="shared" si="800"/>
        <v>40</v>
      </c>
      <c r="CN292" s="443">
        <f t="shared" si="801"/>
        <v>28.4</v>
      </c>
      <c r="CO292" s="443">
        <f t="shared" si="802"/>
        <v>68.400000000000006</v>
      </c>
      <c r="CP292" s="443"/>
      <c r="CQ292" s="217">
        <f t="shared" si="803"/>
        <v>0.41520467836257302</v>
      </c>
      <c r="CR292" s="172">
        <f t="shared" si="804"/>
        <v>140.52175355646798</v>
      </c>
      <c r="CS292" s="172">
        <f t="shared" si="805"/>
        <v>53.199999999999996</v>
      </c>
      <c r="CT292" s="217">
        <f t="shared" si="806"/>
        <v>5.0186340555881426</v>
      </c>
      <c r="CU292" s="217">
        <f t="shared" si="807"/>
        <v>28</v>
      </c>
      <c r="CV292" s="217"/>
      <c r="CW292" s="172">
        <f t="shared" si="808"/>
        <v>135.5562813810873</v>
      </c>
      <c r="CX292" s="172">
        <f t="shared" si="809"/>
        <v>28</v>
      </c>
      <c r="CY292" s="217">
        <f t="shared" si="810"/>
        <v>6.406478873239438</v>
      </c>
      <c r="CZ292" s="217">
        <f t="shared" si="811"/>
        <v>0.75276126760563389</v>
      </c>
      <c r="DA292" s="217">
        <f t="shared" si="812"/>
        <v>1.0602271374727239</v>
      </c>
      <c r="DB292" s="197">
        <f t="shared" si="813"/>
        <v>350</v>
      </c>
      <c r="DC292" s="443">
        <f t="shared" si="814"/>
        <v>350</v>
      </c>
      <c r="DE292" s="217">
        <f t="shared" si="815"/>
        <v>10.09616239179509</v>
      </c>
      <c r="DF292" s="173">
        <f t="shared" si="816"/>
        <v>1.6708437761069339</v>
      </c>
      <c r="DG292" s="173">
        <f t="shared" si="817"/>
        <v>2.9520942666067511</v>
      </c>
      <c r="DH292" s="173"/>
      <c r="DI292" s="173">
        <f t="shared" si="818"/>
        <v>0.55164319248826299</v>
      </c>
      <c r="DJ292" s="545">
        <f t="shared" si="819"/>
        <v>2066.5531914893613</v>
      </c>
      <c r="DK292" s="528">
        <f t="shared" si="820"/>
        <v>0.3217918622848201</v>
      </c>
      <c r="DM292" s="173">
        <f t="shared" si="821"/>
        <v>8.0996829087245441</v>
      </c>
      <c r="DN292" s="173">
        <f t="shared" si="822"/>
        <v>8.0996829087245441</v>
      </c>
      <c r="DO292" s="173">
        <f t="shared" si="823"/>
        <v>4.7306293151045997</v>
      </c>
      <c r="DQ292" s="545">
        <f t="shared" si="824"/>
        <v>1900</v>
      </c>
      <c r="DR292" s="460">
        <f t="shared" si="825"/>
        <v>350</v>
      </c>
      <c r="DT292">
        <f t="shared" si="826"/>
        <v>1900</v>
      </c>
      <c r="DU292">
        <f t="shared" si="827"/>
        <v>350</v>
      </c>
      <c r="DW292" s="5">
        <f t="shared" si="857"/>
        <v>2.8571428571428572</v>
      </c>
      <c r="DX292" s="5">
        <f t="shared" si="828"/>
        <v>0.95171274177513376</v>
      </c>
      <c r="DY292" s="5">
        <f t="shared" si="829"/>
        <v>1.9054301153677233</v>
      </c>
      <c r="DZ292" s="5"/>
      <c r="EA292" s="173">
        <f t="shared" si="830"/>
        <v>0.33309945962129683</v>
      </c>
      <c r="EB292" s="173">
        <f t="shared" si="858"/>
        <v>53.959999999999994</v>
      </c>
      <c r="EC292" s="173">
        <f t="shared" si="859"/>
        <v>2.7008414543622723</v>
      </c>
      <c r="ED292" s="173">
        <f t="shared" si="860"/>
        <v>19.978958747410491</v>
      </c>
      <c r="EE292" s="460">
        <f t="shared" si="831"/>
        <v>6.4580507477598355</v>
      </c>
      <c r="EF292" s="5">
        <f t="shared" si="832"/>
        <v>1.8101586095993367</v>
      </c>
      <c r="EH292" s="173">
        <f t="shared" si="861"/>
        <v>2.6989469852604131</v>
      </c>
      <c r="EI292" s="173">
        <f t="shared" si="862"/>
        <v>3.8188968186351793</v>
      </c>
      <c r="EK292" s="528">
        <f t="shared" si="863"/>
        <v>8.7411777950955269E-2</v>
      </c>
      <c r="EL292" s="528">
        <f t="shared" si="864"/>
        <v>3.6842217678624465</v>
      </c>
      <c r="EM292" s="528">
        <f t="shared" si="865"/>
        <v>4.0250000000000001E-2</v>
      </c>
      <c r="EN292" s="528">
        <f t="shared" si="866"/>
        <v>0.80646678000000016</v>
      </c>
      <c r="EO292">
        <f t="shared" si="867"/>
        <v>1.7999999999999999E-2</v>
      </c>
      <c r="EP292" s="460">
        <f t="shared" si="868"/>
        <v>58.249999999999993</v>
      </c>
      <c r="EQ292" s="460"/>
      <c r="ER292" s="460">
        <f t="shared" si="869"/>
        <v>4636.3503258134015</v>
      </c>
      <c r="ES292" s="528">
        <f t="shared" si="870"/>
        <v>1.3299999999999998</v>
      </c>
      <c r="EV292" s="460">
        <f t="shared" si="871"/>
        <v>1329.9999999999998</v>
      </c>
      <c r="EW292" s="528">
        <f t="shared" si="872"/>
        <v>0.10198040760944782</v>
      </c>
      <c r="EX292" s="528">
        <f t="shared" si="873"/>
        <v>0.2041756207593465</v>
      </c>
      <c r="EY292" s="528">
        <f t="shared" si="874"/>
        <v>21.394894938491046</v>
      </c>
      <c r="EZ292" s="528"/>
      <c r="FA292" s="528">
        <f t="shared" si="875"/>
        <v>2.2961702127659573</v>
      </c>
      <c r="FB292" s="460">
        <f t="shared" si="876"/>
        <v>23997.221179625798</v>
      </c>
      <c r="FC292" s="173">
        <f t="shared" si="877"/>
        <v>29.963571505439198</v>
      </c>
      <c r="FD292" s="5">
        <f t="shared" si="878"/>
        <v>53.199999999999996</v>
      </c>
      <c r="FE292" s="173">
        <f t="shared" si="879"/>
        <v>0.63970316614553435</v>
      </c>
      <c r="FF292" s="5">
        <f t="shared" si="880"/>
        <v>63.970316614553433</v>
      </c>
      <c r="FI292" s="562">
        <f t="shared" si="833"/>
        <v>-50</v>
      </c>
      <c r="FJ292">
        <f t="shared" si="834"/>
        <v>-50</v>
      </c>
      <c r="FL292">
        <f t="shared" si="835"/>
        <v>0.46915416848069985</v>
      </c>
    </row>
    <row r="293" spans="5:168">
      <c r="E293" s="170">
        <v>77</v>
      </c>
      <c r="F293" s="217">
        <f t="shared" si="836"/>
        <v>1.925</v>
      </c>
      <c r="G293" s="217"/>
      <c r="H293" s="217">
        <f t="shared" si="762"/>
        <v>53.9</v>
      </c>
      <c r="I293" s="541">
        <f t="shared" si="763"/>
        <v>39.894762679542751</v>
      </c>
      <c r="J293" s="172">
        <f t="shared" si="764"/>
        <v>28.456666249476978</v>
      </c>
      <c r="K293" s="172">
        <f t="shared" si="765"/>
        <v>68.351428929019733</v>
      </c>
      <c r="L293" s="443"/>
      <c r="M293" s="217">
        <f t="shared" si="766"/>
        <v>0.41633221283517696</v>
      </c>
      <c r="N293" s="172">
        <f t="shared" si="767"/>
        <v>140.53264871277707</v>
      </c>
      <c r="O293" s="172">
        <f t="shared" si="760"/>
        <v>53.9</v>
      </c>
      <c r="P293" s="217">
        <f t="shared" si="768"/>
        <v>5.019023168313467</v>
      </c>
      <c r="Q293" s="217">
        <f t="shared" si="769"/>
        <v>28</v>
      </c>
      <c r="R293" s="217"/>
      <c r="S293" s="172">
        <f t="shared" si="770"/>
        <v>132.9295253710838</v>
      </c>
      <c r="T293" s="172">
        <f t="shared" si="771"/>
        <v>28</v>
      </c>
      <c r="U293" s="217">
        <f t="shared" si="772"/>
        <v>6.4902714338299266</v>
      </c>
      <c r="V293" s="217">
        <f t="shared" si="773"/>
        <v>0.76461855366901688</v>
      </c>
      <c r="W293" s="217">
        <f t="shared" si="774"/>
        <v>1.0719553538553135</v>
      </c>
      <c r="X293" s="197">
        <f t="shared" si="775"/>
        <v>350</v>
      </c>
      <c r="Y293" s="443">
        <f t="shared" si="837"/>
        <v>350</v>
      </c>
      <c r="AA293" s="217">
        <f t="shared" si="776"/>
        <v>10.096861657520767</v>
      </c>
      <c r="AB293" s="173">
        <f t="shared" si="777"/>
        <v>1.6676320892374317</v>
      </c>
      <c r="AC293" s="173">
        <f t="shared" si="778"/>
        <v>2.9466238376177176</v>
      </c>
      <c r="AD293" s="173"/>
      <c r="AE293" s="173">
        <f t="shared" si="779"/>
        <v>0.55054469590072286</v>
      </c>
      <c r="AF293" s="545">
        <f t="shared" si="780"/>
        <v>2097.9223096688879</v>
      </c>
      <c r="AG293" s="528">
        <f t="shared" si="781"/>
        <v>0.32115107260875497</v>
      </c>
      <c r="AI293" s="173">
        <f t="shared" si="782"/>
        <v>8.1609256977046893</v>
      </c>
      <c r="AJ293" s="173">
        <f t="shared" si="783"/>
        <v>8.1609256977046893</v>
      </c>
      <c r="AK293" s="173">
        <f t="shared" si="784"/>
        <v>4.7759943439787822</v>
      </c>
      <c r="AM293" s="545">
        <f t="shared" si="785"/>
        <v>1925</v>
      </c>
      <c r="AN293" s="460">
        <f t="shared" si="786"/>
        <v>350</v>
      </c>
      <c r="AP293">
        <f t="shared" si="787"/>
        <v>1925</v>
      </c>
      <c r="AQ293">
        <f t="shared" si="788"/>
        <v>350</v>
      </c>
      <c r="AS293" s="5">
        <f t="shared" si="761"/>
        <v>2.8571428571428572</v>
      </c>
      <c r="AT293" s="5">
        <f t="shared" si="789"/>
        <v>0.96143824910833275</v>
      </c>
      <c r="AU293" s="5">
        <f t="shared" si="721"/>
        <v>1.8957046080345243</v>
      </c>
      <c r="AV293" s="5"/>
      <c r="AW293" s="173">
        <f t="shared" si="722"/>
        <v>0.33650338718791645</v>
      </c>
      <c r="AX293" s="173">
        <f t="shared" si="790"/>
        <v>54.779082530243187</v>
      </c>
      <c r="AY293" s="173">
        <f t="shared" si="791"/>
        <v>2.7073732789190759</v>
      </c>
      <c r="AZ293" s="173">
        <f t="shared" si="792"/>
        <v>20.23329511182656</v>
      </c>
      <c r="BA293" s="460">
        <f t="shared" si="723"/>
        <v>6.6098879626197879</v>
      </c>
      <c r="BB293" s="5">
        <f t="shared" si="724"/>
        <v>1.8294287898284516</v>
      </c>
      <c r="BD293" s="173">
        <f t="shared" si="838"/>
        <v>2.7332132440918566</v>
      </c>
      <c r="BE293" s="173">
        <f t="shared" si="839"/>
        <v>3.8379397394270178</v>
      </c>
      <c r="BG293" s="528">
        <f t="shared" si="840"/>
        <v>8.9645455652149569E-2</v>
      </c>
      <c r="BH293" s="528">
        <f t="shared" si="793"/>
        <v>3.5630173333984354</v>
      </c>
      <c r="BI293" s="528">
        <f t="shared" si="841"/>
        <v>4.0250000000000001E-2</v>
      </c>
      <c r="BJ293" s="528">
        <f t="shared" si="842"/>
        <v>0.80532183709061933</v>
      </c>
      <c r="BK293">
        <f t="shared" si="843"/>
        <v>1.7952643205794237E-2</v>
      </c>
      <c r="BL293" s="460">
        <f t="shared" si="844"/>
        <v>58.202643205794239</v>
      </c>
      <c r="BM293" s="528">
        <f t="shared" si="794"/>
        <v>4.579736181909519</v>
      </c>
      <c r="BN293" s="460">
        <f t="shared" si="845"/>
        <v>4579.7361819095195</v>
      </c>
      <c r="BO293" s="528">
        <f t="shared" si="795"/>
        <v>1.3474999999999999</v>
      </c>
      <c r="BR293" s="460">
        <f t="shared" si="846"/>
        <v>1347.5</v>
      </c>
      <c r="BS293" s="528">
        <f t="shared" si="847"/>
        <v>0.10458636492750784</v>
      </c>
      <c r="BT293" s="528">
        <f t="shared" si="848"/>
        <v>0.20621694020862377</v>
      </c>
      <c r="BU293" s="528">
        <f t="shared" si="849"/>
        <v>21.801615431463354</v>
      </c>
      <c r="BV293" s="528"/>
      <c r="BW293" s="528">
        <f t="shared" si="850"/>
        <v>2.3310247885209869</v>
      </c>
      <c r="BX293" s="460">
        <f t="shared" si="851"/>
        <v>24443.443525120474</v>
      </c>
      <c r="BY293" s="173">
        <f t="shared" si="852"/>
        <v>30.307130794467472</v>
      </c>
      <c r="BZ293" s="5">
        <f t="shared" si="853"/>
        <v>53.9</v>
      </c>
      <c r="CA293" s="173">
        <f t="shared" si="854"/>
        <v>0.64008830952284745</v>
      </c>
      <c r="CB293" s="5">
        <f t="shared" si="855"/>
        <v>64.00883095228474</v>
      </c>
      <c r="CE293" s="562">
        <f t="shared" si="796"/>
        <v>-50</v>
      </c>
      <c r="CF293">
        <f t="shared" si="797"/>
        <v>-50</v>
      </c>
      <c r="CG293" s="173">
        <f t="shared" si="798"/>
        <v>0.47559173668178889</v>
      </c>
      <c r="CI293" s="170">
        <v>77</v>
      </c>
      <c r="CJ293" s="217">
        <f t="shared" si="856"/>
        <v>1.925</v>
      </c>
      <c r="CK293" s="217"/>
      <c r="CL293" s="217">
        <f t="shared" si="799"/>
        <v>53.9</v>
      </c>
      <c r="CM293" s="541">
        <f t="shared" si="800"/>
        <v>40</v>
      </c>
      <c r="CN293" s="443">
        <f t="shared" si="801"/>
        <v>28.4</v>
      </c>
      <c r="CO293" s="443">
        <f t="shared" si="802"/>
        <v>68.400000000000006</v>
      </c>
      <c r="CP293" s="443"/>
      <c r="CQ293" s="217">
        <f t="shared" si="803"/>
        <v>0.41520467836257302</v>
      </c>
      <c r="CR293" s="172">
        <f t="shared" si="804"/>
        <v>140.52175355646798</v>
      </c>
      <c r="CS293" s="172">
        <f t="shared" si="805"/>
        <v>53.9</v>
      </c>
      <c r="CT293" s="217">
        <f t="shared" si="806"/>
        <v>5.0186340555881426</v>
      </c>
      <c r="CU293" s="217">
        <f t="shared" si="807"/>
        <v>28</v>
      </c>
      <c r="CV293" s="217"/>
      <c r="CW293" s="172">
        <f t="shared" si="808"/>
        <v>133.27986209274326</v>
      </c>
      <c r="CX293" s="172">
        <f t="shared" si="809"/>
        <v>28</v>
      </c>
      <c r="CY293" s="217">
        <f t="shared" si="810"/>
        <v>6.4907746478873252</v>
      </c>
      <c r="CZ293" s="217">
        <f t="shared" si="811"/>
        <v>0.76266602112676074</v>
      </c>
      <c r="DA293" s="217">
        <f t="shared" si="812"/>
        <v>1.0741774945447335</v>
      </c>
      <c r="DB293" s="197">
        <f t="shared" si="813"/>
        <v>350</v>
      </c>
      <c r="DC293" s="443">
        <f t="shared" si="814"/>
        <v>350</v>
      </c>
      <c r="DE293" s="217">
        <f t="shared" si="815"/>
        <v>10.09616239179509</v>
      </c>
      <c r="DF293" s="173">
        <f t="shared" si="816"/>
        <v>1.6708437761069339</v>
      </c>
      <c r="DG293" s="173">
        <f t="shared" si="817"/>
        <v>2.9520942666067511</v>
      </c>
      <c r="DH293" s="173"/>
      <c r="DI293" s="173">
        <f t="shared" si="818"/>
        <v>0.55164319248826299</v>
      </c>
      <c r="DJ293" s="545">
        <f t="shared" si="819"/>
        <v>2093.7446808510635</v>
      </c>
      <c r="DK293" s="528">
        <f t="shared" si="820"/>
        <v>0.3217918622848201</v>
      </c>
      <c r="DM293" s="173">
        <f t="shared" si="821"/>
        <v>8.1527961526327264</v>
      </c>
      <c r="DN293" s="173">
        <f t="shared" si="822"/>
        <v>8.1527961526327264</v>
      </c>
      <c r="DO293" s="173">
        <f t="shared" si="823"/>
        <v>4.7699724587402903</v>
      </c>
      <c r="DQ293" s="545">
        <f t="shared" si="824"/>
        <v>1925</v>
      </c>
      <c r="DR293" s="460">
        <f t="shared" si="825"/>
        <v>350</v>
      </c>
      <c r="DT293">
        <f t="shared" si="826"/>
        <v>1925</v>
      </c>
      <c r="DU293">
        <f t="shared" si="827"/>
        <v>350</v>
      </c>
      <c r="DW293" s="5">
        <f t="shared" si="857"/>
        <v>2.8571428571428572</v>
      </c>
      <c r="DX293" s="5">
        <f t="shared" si="828"/>
        <v>0.9579535479343454</v>
      </c>
      <c r="DY293" s="5">
        <f t="shared" si="829"/>
        <v>1.8991893092085119</v>
      </c>
      <c r="DZ293" s="5"/>
      <c r="EA293" s="173">
        <f t="shared" si="830"/>
        <v>0.33528374177702086</v>
      </c>
      <c r="EB293" s="173">
        <f t="shared" si="858"/>
        <v>54.67</v>
      </c>
      <c r="EC293" s="173">
        <f t="shared" si="859"/>
        <v>2.7096480763163631</v>
      </c>
      <c r="ED293" s="173">
        <f t="shared" si="860"/>
        <v>20.1760518193644</v>
      </c>
      <c r="EE293" s="460">
        <f t="shared" si="831"/>
        <v>6.5859306420486243</v>
      </c>
      <c r="EF293" s="5">
        <f t="shared" si="832"/>
        <v>1.8279697101131926</v>
      </c>
      <c r="EH293" s="173">
        <f t="shared" si="861"/>
        <v>2.7255377624254606</v>
      </c>
      <c r="EI293" s="173">
        <f t="shared" si="862"/>
        <v>3.8376388931720946</v>
      </c>
      <c r="EK293" s="528">
        <f t="shared" si="863"/>
        <v>8.9142673132886235E-2</v>
      </c>
      <c r="EL293" s="528">
        <f t="shared" si="864"/>
        <v>3.7083808579865223</v>
      </c>
      <c r="EM293" s="528">
        <f t="shared" si="865"/>
        <v>4.0250000000000001E-2</v>
      </c>
      <c r="EN293" s="528">
        <f t="shared" si="866"/>
        <v>0.80646678000000016</v>
      </c>
      <c r="EO293">
        <f t="shared" si="867"/>
        <v>1.7999999999999999E-2</v>
      </c>
      <c r="EP293" s="460">
        <f t="shared" si="868"/>
        <v>58.249999999999993</v>
      </c>
      <c r="EQ293" s="460"/>
      <c r="ER293" s="460">
        <f t="shared" si="869"/>
        <v>4662.240311119408</v>
      </c>
      <c r="ES293" s="528">
        <f t="shared" si="870"/>
        <v>1.3474999999999999</v>
      </c>
      <c r="EV293" s="460">
        <f t="shared" si="871"/>
        <v>1347.5</v>
      </c>
      <c r="EW293" s="528">
        <f t="shared" si="872"/>
        <v>0.10399978532170061</v>
      </c>
      <c r="EX293" s="528">
        <f t="shared" si="873"/>
        <v>0.20618461184141995</v>
      </c>
      <c r="EY293" s="528">
        <f t="shared" si="874"/>
        <v>21.747361530905376</v>
      </c>
      <c r="EZ293" s="528"/>
      <c r="FA293" s="528">
        <f t="shared" si="875"/>
        <v>2.3263829787234047</v>
      </c>
      <c r="FB293" s="460">
        <f t="shared" si="876"/>
        <v>24383.928906791902</v>
      </c>
      <c r="FC293" s="173">
        <f t="shared" si="877"/>
        <v>30.393669217911309</v>
      </c>
      <c r="FD293" s="5">
        <f t="shared" si="878"/>
        <v>53.9</v>
      </c>
      <c r="FE293" s="173">
        <f t="shared" si="879"/>
        <v>0.63943117555673978</v>
      </c>
      <c r="FF293" s="5">
        <f t="shared" si="880"/>
        <v>63.943117555673979</v>
      </c>
      <c r="FI293" s="562">
        <f t="shared" si="833"/>
        <v>-50</v>
      </c>
      <c r="FJ293">
        <f t="shared" si="834"/>
        <v>-50</v>
      </c>
      <c r="FL293">
        <f t="shared" si="835"/>
        <v>0.47223062222115619</v>
      </c>
    </row>
    <row r="294" spans="5:168">
      <c r="E294" s="170">
        <v>78</v>
      </c>
      <c r="F294" s="217">
        <f t="shared" si="836"/>
        <v>1.9500000000000002</v>
      </c>
      <c r="G294" s="217"/>
      <c r="H294" s="217">
        <f t="shared" si="762"/>
        <v>54.600000000000009</v>
      </c>
      <c r="I294" s="541">
        <f t="shared" si="763"/>
        <v>39.894081524726538</v>
      </c>
      <c r="J294" s="172">
        <f t="shared" si="764"/>
        <v>28.457033025147247</v>
      </c>
      <c r="K294" s="172">
        <f t="shared" si="765"/>
        <v>68.351114549873785</v>
      </c>
      <c r="L294" s="443"/>
      <c r="M294" s="217">
        <f t="shared" si="766"/>
        <v>0.41633951604537572</v>
      </c>
      <c r="N294" s="172">
        <f t="shared" si="767"/>
        <v>140.53271443921801</v>
      </c>
      <c r="O294" s="172">
        <f t="shared" si="760"/>
        <v>54.600000000000009</v>
      </c>
      <c r="P294" s="217">
        <f t="shared" si="768"/>
        <v>5.0190255156863577</v>
      </c>
      <c r="Q294" s="217">
        <f t="shared" si="769"/>
        <v>28</v>
      </c>
      <c r="R294" s="217"/>
      <c r="S294" s="172">
        <f t="shared" si="770"/>
        <v>130.71515336359735</v>
      </c>
      <c r="T294" s="172">
        <f t="shared" si="771"/>
        <v>28</v>
      </c>
      <c r="U294" s="217">
        <f t="shared" si="772"/>
        <v>6.5745575983414861</v>
      </c>
      <c r="V294" s="217">
        <f t="shared" si="773"/>
        <v>0.77456152720429861</v>
      </c>
      <c r="W294" s="217">
        <f t="shared" si="774"/>
        <v>1.0858623485062036</v>
      </c>
      <c r="X294" s="197">
        <f t="shared" si="775"/>
        <v>350</v>
      </c>
      <c r="Y294" s="443">
        <f t="shared" si="837"/>
        <v>350</v>
      </c>
      <c r="AA294" s="217">
        <f t="shared" si="776"/>
        <v>10.096865841286748</v>
      </c>
      <c r="AB294" s="173">
        <f t="shared" si="777"/>
        <v>1.6676112865354544</v>
      </c>
      <c r="AC294" s="173">
        <f t="shared" si="778"/>
        <v>2.9465883012237133</v>
      </c>
      <c r="AD294" s="173"/>
      <c r="AE294" s="173">
        <f t="shared" si="779"/>
        <v>0.55053760006611241</v>
      </c>
      <c r="AF294" s="545">
        <f t="shared" si="780"/>
        <v>2125.1954450695071</v>
      </c>
      <c r="AG294" s="528">
        <f t="shared" si="781"/>
        <v>0.32114693337189892</v>
      </c>
      <c r="AI294" s="173">
        <f t="shared" si="782"/>
        <v>8.2138007076930375</v>
      </c>
      <c r="AJ294" s="173">
        <f t="shared" si="783"/>
        <v>8.2138007076930375</v>
      </c>
      <c r="AK294" s="173">
        <f t="shared" si="784"/>
        <v>4.8151610180442246</v>
      </c>
      <c r="AM294" s="545">
        <f t="shared" si="785"/>
        <v>1950.0000000000002</v>
      </c>
      <c r="AN294" s="460">
        <f t="shared" si="786"/>
        <v>350</v>
      </c>
      <c r="AP294">
        <f t="shared" si="787"/>
        <v>1950.0000000000002</v>
      </c>
      <c r="AQ294">
        <f t="shared" si="788"/>
        <v>350</v>
      </c>
      <c r="AS294" s="5">
        <f t="shared" si="761"/>
        <v>2.8571428571428572</v>
      </c>
      <c r="AT294" s="5">
        <f t="shared" si="789"/>
        <v>0.96768397342923651</v>
      </c>
      <c r="AU294" s="5">
        <f t="shared" si="721"/>
        <v>1.8894588837136208</v>
      </c>
      <c r="AV294" s="5"/>
      <c r="AW294" s="173">
        <f t="shared" si="722"/>
        <v>0.3386893907002328</v>
      </c>
      <c r="AX294" s="173">
        <f t="shared" si="790"/>
        <v>55.491214399037133</v>
      </c>
      <c r="AY294" s="173">
        <f t="shared" si="791"/>
        <v>2.7159367753356705</v>
      </c>
      <c r="AZ294" s="173">
        <f t="shared" si="792"/>
        <v>20.431703308770437</v>
      </c>
      <c r="BA294" s="460">
        <f t="shared" si="723"/>
        <v>6.7392276720964688</v>
      </c>
      <c r="BB294" s="5">
        <f t="shared" si="724"/>
        <v>1.8471134977542594</v>
      </c>
      <c r="BD294" s="173">
        <f t="shared" si="838"/>
        <v>2.7598427039172169</v>
      </c>
      <c r="BE294" s="173">
        <f t="shared" si="839"/>
        <v>3.8564373375177667</v>
      </c>
      <c r="BG294" s="528">
        <f t="shared" si="840"/>
        <v>9.1400781004381149E-2</v>
      </c>
      <c r="BH294" s="528">
        <f t="shared" si="793"/>
        <v>3.5860857911794444</v>
      </c>
      <c r="BI294" s="528">
        <f t="shared" si="841"/>
        <v>4.0250000000000001E-2</v>
      </c>
      <c r="BJ294" s="528">
        <f t="shared" si="842"/>
        <v>0.80531442902869321</v>
      </c>
      <c r="BK294">
        <f t="shared" si="843"/>
        <v>1.7952336686126943E-2</v>
      </c>
      <c r="BL294" s="460">
        <f t="shared" si="844"/>
        <v>58.202336686126941</v>
      </c>
      <c r="BM294" s="528">
        <f t="shared" si="794"/>
        <v>4.6075403624257598</v>
      </c>
      <c r="BN294" s="460">
        <f t="shared" si="845"/>
        <v>4607.5403624257597</v>
      </c>
      <c r="BO294" s="528">
        <f t="shared" si="795"/>
        <v>1.365</v>
      </c>
      <c r="BR294" s="460">
        <f t="shared" si="846"/>
        <v>1365</v>
      </c>
      <c r="BS294" s="528">
        <f t="shared" si="847"/>
        <v>0.10663424450511133</v>
      </c>
      <c r="BT294" s="528">
        <f t="shared" si="848"/>
        <v>0.20820952513481569</v>
      </c>
      <c r="BU294" s="528">
        <f t="shared" si="849"/>
        <v>22.15646741520516</v>
      </c>
      <c r="BV294" s="528"/>
      <c r="BW294" s="528">
        <f t="shared" si="850"/>
        <v>2.3613282722994526</v>
      </c>
      <c r="BX294" s="460">
        <f t="shared" si="851"/>
        <v>24832.639457144542</v>
      </c>
      <c r="BY294" s="173">
        <f t="shared" si="852"/>
        <v>30.738642795043184</v>
      </c>
      <c r="BZ294" s="5">
        <f t="shared" si="853"/>
        <v>54.600000000000009</v>
      </c>
      <c r="CA294" s="173">
        <f t="shared" si="854"/>
        <v>0.63980394123600226</v>
      </c>
      <c r="CB294" s="5">
        <f t="shared" si="855"/>
        <v>63.980394123600227</v>
      </c>
      <c r="CE294" s="562">
        <f t="shared" si="796"/>
        <v>-50</v>
      </c>
      <c r="CF294">
        <f t="shared" si="797"/>
        <v>-50</v>
      </c>
      <c r="CG294" s="173">
        <f t="shared" si="798"/>
        <v>0.47867003248584516</v>
      </c>
      <c r="CI294" s="170">
        <v>78</v>
      </c>
      <c r="CJ294" s="217">
        <f t="shared" si="856"/>
        <v>1.9500000000000002</v>
      </c>
      <c r="CK294" s="217"/>
      <c r="CL294" s="217">
        <f t="shared" si="799"/>
        <v>54.600000000000009</v>
      </c>
      <c r="CM294" s="541">
        <f t="shared" si="800"/>
        <v>40</v>
      </c>
      <c r="CN294" s="443">
        <f t="shared" si="801"/>
        <v>28.4</v>
      </c>
      <c r="CO294" s="443">
        <f t="shared" si="802"/>
        <v>68.400000000000006</v>
      </c>
      <c r="CP294" s="443"/>
      <c r="CQ294" s="217">
        <f t="shared" si="803"/>
        <v>0.41520467836257302</v>
      </c>
      <c r="CR294" s="172">
        <f t="shared" si="804"/>
        <v>140.52175355646798</v>
      </c>
      <c r="CS294" s="172">
        <f t="shared" si="805"/>
        <v>54.600000000000009</v>
      </c>
      <c r="CT294" s="217">
        <f t="shared" si="806"/>
        <v>5.0186340555881426</v>
      </c>
      <c r="CU294" s="217">
        <f t="shared" si="807"/>
        <v>28</v>
      </c>
      <c r="CV294" s="217"/>
      <c r="CW294" s="172">
        <f t="shared" si="808"/>
        <v>131.06187922620927</v>
      </c>
      <c r="CX294" s="172">
        <f t="shared" si="809"/>
        <v>28</v>
      </c>
      <c r="CY294" s="217">
        <f t="shared" si="810"/>
        <v>6.5750704225352141</v>
      </c>
      <c r="CZ294" s="217">
        <f t="shared" si="811"/>
        <v>0.7725707746478877</v>
      </c>
      <c r="DA294" s="217">
        <f t="shared" si="812"/>
        <v>1.0881278516167432</v>
      </c>
      <c r="DB294" s="197">
        <f t="shared" si="813"/>
        <v>350</v>
      </c>
      <c r="DC294" s="443">
        <f t="shared" si="814"/>
        <v>350</v>
      </c>
      <c r="DE294" s="217">
        <f t="shared" si="815"/>
        <v>10.09616239179509</v>
      </c>
      <c r="DF294" s="173">
        <f t="shared" si="816"/>
        <v>1.6708437761069339</v>
      </c>
      <c r="DG294" s="173">
        <f t="shared" si="817"/>
        <v>2.9520942666067511</v>
      </c>
      <c r="DH294" s="173"/>
      <c r="DI294" s="173">
        <f t="shared" si="818"/>
        <v>0.55164319248826299</v>
      </c>
      <c r="DJ294" s="545">
        <f t="shared" si="819"/>
        <v>2120.9361702127658</v>
      </c>
      <c r="DK294" s="528">
        <f t="shared" si="820"/>
        <v>0.3217918622848201</v>
      </c>
      <c r="DM294" s="173">
        <f t="shared" si="821"/>
        <v>8.2055656106621608</v>
      </c>
      <c r="DN294" s="173">
        <f t="shared" si="822"/>
        <v>8.2055656106621608</v>
      </c>
      <c r="DO294" s="173">
        <f t="shared" si="823"/>
        <v>4.8090609461695015</v>
      </c>
      <c r="DQ294" s="545">
        <f t="shared" si="824"/>
        <v>1950.0000000000002</v>
      </c>
      <c r="DR294" s="460">
        <f t="shared" si="825"/>
        <v>350</v>
      </c>
      <c r="DT294">
        <f t="shared" si="826"/>
        <v>1950.0000000000002</v>
      </c>
      <c r="DU294">
        <f t="shared" si="827"/>
        <v>350</v>
      </c>
      <c r="DW294" s="5">
        <f t="shared" si="857"/>
        <v>2.8571428571428572</v>
      </c>
      <c r="DX294" s="5">
        <f t="shared" si="828"/>
        <v>0.96415395925280378</v>
      </c>
      <c r="DY294" s="5">
        <f t="shared" si="829"/>
        <v>1.8929888978900533</v>
      </c>
      <c r="DZ294" s="5"/>
      <c r="EA294" s="173">
        <f t="shared" si="830"/>
        <v>0.33745388573848134</v>
      </c>
      <c r="EB294" s="173">
        <f t="shared" si="858"/>
        <v>55.380000000000017</v>
      </c>
      <c r="EC294" s="173">
        <f t="shared" si="859"/>
        <v>2.7182828053310799</v>
      </c>
      <c r="ED294" s="173">
        <f t="shared" si="860"/>
        <v>20.373156130550175</v>
      </c>
      <c r="EE294" s="460">
        <f t="shared" si="831"/>
        <v>6.7146436447963129</v>
      </c>
      <c r="EF294" s="5">
        <f t="shared" si="832"/>
        <v>1.8456641754428023</v>
      </c>
      <c r="EH294" s="173">
        <f t="shared" si="861"/>
        <v>2.7520423431773677</v>
      </c>
      <c r="EI294" s="173">
        <f t="shared" si="862"/>
        <v>3.8561680381331045</v>
      </c>
      <c r="EK294" s="528">
        <f t="shared" si="863"/>
        <v>9.0884844703694123E-2</v>
      </c>
      <c r="EL294" s="528">
        <f t="shared" si="864"/>
        <v>3.7323835736657909</v>
      </c>
      <c r="EM294" s="528">
        <f t="shared" si="865"/>
        <v>4.0250000000000001E-2</v>
      </c>
      <c r="EN294" s="528">
        <f t="shared" si="866"/>
        <v>0.80646678000000016</v>
      </c>
      <c r="EO294">
        <f t="shared" si="867"/>
        <v>1.7999999999999999E-2</v>
      </c>
      <c r="EP294" s="460">
        <f t="shared" si="868"/>
        <v>58.249999999999993</v>
      </c>
      <c r="EQ294" s="460"/>
      <c r="ER294" s="460">
        <f t="shared" si="869"/>
        <v>4687.9851983694844</v>
      </c>
      <c r="ES294" s="528">
        <f t="shared" si="870"/>
        <v>1.365</v>
      </c>
      <c r="EV294" s="460">
        <f t="shared" si="871"/>
        <v>1365</v>
      </c>
      <c r="EW294" s="528">
        <f t="shared" si="872"/>
        <v>0.10603231882097648</v>
      </c>
      <c r="EX294" s="528">
        <f t="shared" si="873"/>
        <v>0.20818044713647044</v>
      </c>
      <c r="EY294" s="528">
        <f t="shared" si="874"/>
        <v>22.100974383372925</v>
      </c>
      <c r="EZ294" s="528"/>
      <c r="FA294" s="528">
        <f t="shared" si="875"/>
        <v>2.3565957446808525</v>
      </c>
      <c r="FB294" s="460">
        <f t="shared" si="876"/>
        <v>24771.782894011223</v>
      </c>
      <c r="FC294" s="173">
        <f t="shared" si="877"/>
        <v>30.824768092380708</v>
      </c>
      <c r="FD294" s="5">
        <f t="shared" si="878"/>
        <v>54.600000000000009</v>
      </c>
      <c r="FE294" s="173">
        <f t="shared" si="879"/>
        <v>0.63915889055682362</v>
      </c>
      <c r="FF294" s="5">
        <f t="shared" si="880"/>
        <v>63.915889055682364</v>
      </c>
      <c r="FI294" s="562">
        <f t="shared" si="833"/>
        <v>-50</v>
      </c>
      <c r="FJ294">
        <f t="shared" si="834"/>
        <v>-50</v>
      </c>
      <c r="FL294">
        <f t="shared" si="835"/>
        <v>0.47528716301194557</v>
      </c>
    </row>
    <row r="295" spans="5:168">
      <c r="E295" s="170">
        <v>79</v>
      </c>
      <c r="F295" s="217">
        <f t="shared" si="836"/>
        <v>1.9750000000000001</v>
      </c>
      <c r="G295" s="217"/>
      <c r="H295" s="217">
        <f t="shared" si="762"/>
        <v>55.300000000000004</v>
      </c>
      <c r="I295" s="541">
        <f t="shared" si="763"/>
        <v>39.893404722470976</v>
      </c>
      <c r="J295" s="172">
        <f t="shared" si="764"/>
        <v>28.457397457131012</v>
      </c>
      <c r="K295" s="172">
        <f t="shared" si="765"/>
        <v>68.350802179601985</v>
      </c>
      <c r="L295" s="443"/>
      <c r="M295" s="217">
        <f t="shared" si="766"/>
        <v>0.41634677265424769</v>
      </c>
      <c r="N295" s="172">
        <f t="shared" si="767"/>
        <v>140.53277968456658</v>
      </c>
      <c r="O295" s="172">
        <f t="shared" si="760"/>
        <v>55.300000000000004</v>
      </c>
      <c r="P295" s="217">
        <f t="shared" si="768"/>
        <v>5.0190278458773774</v>
      </c>
      <c r="Q295" s="217">
        <f t="shared" si="769"/>
        <v>28</v>
      </c>
      <c r="R295" s="217"/>
      <c r="S295" s="172">
        <f t="shared" si="770"/>
        <v>128.55693926732638</v>
      </c>
      <c r="T295" s="172">
        <f t="shared" si="771"/>
        <v>28</v>
      </c>
      <c r="U295" s="217">
        <f t="shared" si="772"/>
        <v>6.6588437068081836</v>
      </c>
      <c r="V295" s="217">
        <f t="shared" si="773"/>
        <v>0.78450474808358162</v>
      </c>
      <c r="W295" s="217">
        <f t="shared" si="774"/>
        <v>1.0997690659922239</v>
      </c>
      <c r="X295" s="197">
        <f t="shared" si="775"/>
        <v>350</v>
      </c>
      <c r="Y295" s="443">
        <f t="shared" si="837"/>
        <v>350</v>
      </c>
      <c r="AA295" s="217">
        <f t="shared" si="776"/>
        <v>10.096869993955275</v>
      </c>
      <c r="AB295" s="173">
        <f t="shared" si="777"/>
        <v>1.6675906165726404</v>
      </c>
      <c r="AC295" s="173">
        <f t="shared" si="778"/>
        <v>2.9465529902678922</v>
      </c>
      <c r="AD295" s="173"/>
      <c r="AE295" s="173">
        <f t="shared" si="779"/>
        <v>0.55053054975485205</v>
      </c>
      <c r="AF295" s="545">
        <f t="shared" si="780"/>
        <v>2152.4691055340586</v>
      </c>
      <c r="AG295" s="528">
        <f t="shared" si="781"/>
        <v>0.3211428206903304</v>
      </c>
      <c r="AI295" s="173">
        <f t="shared" si="782"/>
        <v>8.2663385217783567</v>
      </c>
      <c r="AJ295" s="173">
        <f t="shared" si="783"/>
        <v>8.2663385217783567</v>
      </c>
      <c r="AK295" s="173">
        <f t="shared" si="784"/>
        <v>4.8540779173666833</v>
      </c>
      <c r="AM295" s="545">
        <f t="shared" si="785"/>
        <v>1975</v>
      </c>
      <c r="AN295" s="460">
        <f t="shared" si="786"/>
        <v>350</v>
      </c>
      <c r="AP295">
        <f t="shared" si="787"/>
        <v>1975</v>
      </c>
      <c r="AQ295">
        <f t="shared" si="788"/>
        <v>350</v>
      </c>
      <c r="AS295" s="5">
        <f t="shared" si="761"/>
        <v>2.8571428571428572</v>
      </c>
      <c r="AT295" s="5">
        <f t="shared" si="789"/>
        <v>0.97389007838867203</v>
      </c>
      <c r="AU295" s="5">
        <f t="shared" si="721"/>
        <v>1.8832527787541853</v>
      </c>
      <c r="AV295" s="5"/>
      <c r="AW295" s="173">
        <f t="shared" si="722"/>
        <v>0.34086152743603521</v>
      </c>
      <c r="AX295" s="173">
        <f t="shared" si="790"/>
        <v>56.203359977833763</v>
      </c>
      <c r="AY295" s="173">
        <f t="shared" si="791"/>
        <v>2.7243308734708247</v>
      </c>
      <c r="AZ295" s="173">
        <f t="shared" si="792"/>
        <v>20.630151985257989</v>
      </c>
      <c r="BA295" s="460">
        <f t="shared" si="723"/>
        <v>6.8694032314915257</v>
      </c>
      <c r="BB295" s="5">
        <f t="shared" si="724"/>
        <v>1.864681274468637</v>
      </c>
      <c r="BD295" s="173">
        <f t="shared" si="838"/>
        <v>2.7863877491448124</v>
      </c>
      <c r="BE295" s="173">
        <f t="shared" si="839"/>
        <v>3.8747250436163818</v>
      </c>
      <c r="BG295" s="528">
        <f t="shared" si="840"/>
        <v>9.3167480263011526E-2</v>
      </c>
      <c r="BH295" s="528">
        <f t="shared" si="793"/>
        <v>3.6090069260677082</v>
      </c>
      <c r="BI295" s="528">
        <f t="shared" si="841"/>
        <v>4.0250000000000001E-2</v>
      </c>
      <c r="BJ295" s="528">
        <f t="shared" si="842"/>
        <v>0.8053070683378275</v>
      </c>
      <c r="BK295">
        <f t="shared" si="843"/>
        <v>1.7952032125111938E-2</v>
      </c>
      <c r="BL295" s="460">
        <f t="shared" si="844"/>
        <v>58.202032125111934</v>
      </c>
      <c r="BM295" s="528">
        <f t="shared" si="794"/>
        <v>4.6352452329558993</v>
      </c>
      <c r="BN295" s="460">
        <f t="shared" si="845"/>
        <v>4635.2452329558992</v>
      </c>
      <c r="BO295" s="528">
        <f t="shared" si="795"/>
        <v>1.3825000000000001</v>
      </c>
      <c r="BR295" s="460">
        <f t="shared" si="846"/>
        <v>1382.5</v>
      </c>
      <c r="BS295" s="528">
        <f t="shared" si="847"/>
        <v>0.10869539364018012</v>
      </c>
      <c r="BT295" s="528">
        <f t="shared" si="848"/>
        <v>0.21018891829079162</v>
      </c>
      <c r="BU295" s="528">
        <f t="shared" si="849"/>
        <v>22.512466593957797</v>
      </c>
      <c r="BV295" s="528"/>
      <c r="BW295" s="528">
        <f t="shared" si="850"/>
        <v>2.391632339482288</v>
      </c>
      <c r="BX295" s="460">
        <f t="shared" si="851"/>
        <v>25222.983245371059</v>
      </c>
      <c r="BY295" s="173">
        <f t="shared" si="852"/>
        <v>31.171166752164716</v>
      </c>
      <c r="BZ295" s="5">
        <f t="shared" si="853"/>
        <v>55.300000000000004</v>
      </c>
      <c r="CA295" s="173">
        <f t="shared" si="854"/>
        <v>0.6395195309263666</v>
      </c>
      <c r="CB295" s="5">
        <f t="shared" si="855"/>
        <v>63.951953092636657</v>
      </c>
      <c r="CE295" s="562">
        <f t="shared" si="796"/>
        <v>-50</v>
      </c>
      <c r="CF295">
        <f t="shared" si="797"/>
        <v>-50</v>
      </c>
      <c r="CG295" s="173">
        <f t="shared" si="798"/>
        <v>0.48172865806385234</v>
      </c>
      <c r="CI295" s="170">
        <v>79</v>
      </c>
      <c r="CJ295" s="217">
        <f t="shared" si="856"/>
        <v>1.9750000000000001</v>
      </c>
      <c r="CK295" s="217"/>
      <c r="CL295" s="217">
        <f t="shared" si="799"/>
        <v>55.300000000000004</v>
      </c>
      <c r="CM295" s="541">
        <f t="shared" si="800"/>
        <v>40</v>
      </c>
      <c r="CN295" s="443">
        <f t="shared" si="801"/>
        <v>28.4</v>
      </c>
      <c r="CO295" s="443">
        <f t="shared" si="802"/>
        <v>68.400000000000006</v>
      </c>
      <c r="CP295" s="443"/>
      <c r="CQ295" s="217">
        <f t="shared" si="803"/>
        <v>0.41520467836257302</v>
      </c>
      <c r="CR295" s="172">
        <f t="shared" si="804"/>
        <v>140.52175355646798</v>
      </c>
      <c r="CS295" s="172">
        <f t="shared" si="805"/>
        <v>55.300000000000004</v>
      </c>
      <c r="CT295" s="217">
        <f t="shared" si="806"/>
        <v>5.0186340555881426</v>
      </c>
      <c r="CU295" s="217">
        <f t="shared" si="807"/>
        <v>28</v>
      </c>
      <c r="CV295" s="217"/>
      <c r="CW295" s="172">
        <f t="shared" si="808"/>
        <v>128.90011443129541</v>
      </c>
      <c r="CX295" s="172">
        <f t="shared" si="809"/>
        <v>28</v>
      </c>
      <c r="CY295" s="217">
        <f t="shared" si="810"/>
        <v>6.6593661971831004</v>
      </c>
      <c r="CZ295" s="217">
        <f t="shared" si="811"/>
        <v>0.78247552816901433</v>
      </c>
      <c r="DA295" s="217">
        <f t="shared" si="812"/>
        <v>1.1020782086887524</v>
      </c>
      <c r="DB295" s="197">
        <f t="shared" si="813"/>
        <v>350</v>
      </c>
      <c r="DC295" s="443">
        <f t="shared" si="814"/>
        <v>350</v>
      </c>
      <c r="DE295" s="217">
        <f t="shared" si="815"/>
        <v>10.09616239179509</v>
      </c>
      <c r="DF295" s="173">
        <f t="shared" si="816"/>
        <v>1.6708437761069339</v>
      </c>
      <c r="DG295" s="173">
        <f t="shared" si="817"/>
        <v>2.9520942666067511</v>
      </c>
      <c r="DH295" s="173"/>
      <c r="DI295" s="173">
        <f t="shared" si="818"/>
        <v>0.55164319248826299</v>
      </c>
      <c r="DJ295" s="545">
        <f t="shared" si="819"/>
        <v>2148.127659574468</v>
      </c>
      <c r="DK295" s="528">
        <f t="shared" si="820"/>
        <v>0.3217918622848201</v>
      </c>
      <c r="DM295" s="173">
        <f t="shared" si="821"/>
        <v>8.257997873297132</v>
      </c>
      <c r="DN295" s="173">
        <f t="shared" si="822"/>
        <v>8.257997873297132</v>
      </c>
      <c r="DO295" s="173">
        <f t="shared" si="823"/>
        <v>4.8478996592324428</v>
      </c>
      <c r="DQ295" s="545">
        <f t="shared" si="824"/>
        <v>1975</v>
      </c>
      <c r="DR295" s="460">
        <f t="shared" si="825"/>
        <v>350</v>
      </c>
      <c r="DT295">
        <f t="shared" si="826"/>
        <v>1975</v>
      </c>
      <c r="DU295">
        <f t="shared" si="827"/>
        <v>350</v>
      </c>
      <c r="DW295" s="5">
        <f t="shared" si="857"/>
        <v>2.8571428571428572</v>
      </c>
      <c r="DX295" s="5">
        <f t="shared" si="828"/>
        <v>0.97031475011241286</v>
      </c>
      <c r="DY295" s="5">
        <f t="shared" si="829"/>
        <v>1.8868281070304445</v>
      </c>
      <c r="DZ295" s="5"/>
      <c r="EA295" s="173">
        <f t="shared" si="830"/>
        <v>0.33961016253934451</v>
      </c>
      <c r="EB295" s="173">
        <f t="shared" si="858"/>
        <v>56.090000000000025</v>
      </c>
      <c r="EC295" s="173">
        <f t="shared" si="859"/>
        <v>2.726748936648566</v>
      </c>
      <c r="ED295" s="173">
        <f t="shared" si="860"/>
        <v>20.570283991360046</v>
      </c>
      <c r="EE295" s="460">
        <f t="shared" si="831"/>
        <v>6.8441843981143409</v>
      </c>
      <c r="EF295" s="5">
        <f t="shared" si="832"/>
        <v>1.8632427556925637</v>
      </c>
      <c r="EH295" s="173">
        <f t="shared" si="861"/>
        <v>2.778462106733496</v>
      </c>
      <c r="EI295" s="173">
        <f t="shared" si="862"/>
        <v>3.8744880883250521</v>
      </c>
      <c r="EK295" s="528">
        <f t="shared" si="863"/>
        <v>9.2638220142647248E-2</v>
      </c>
      <c r="EL295" s="528">
        <f t="shared" si="864"/>
        <v>3.7562329126479339</v>
      </c>
      <c r="EM295" s="528">
        <f t="shared" si="865"/>
        <v>4.0250000000000001E-2</v>
      </c>
      <c r="EN295" s="528">
        <f t="shared" si="866"/>
        <v>0.80646678000000016</v>
      </c>
      <c r="EO295">
        <f t="shared" si="867"/>
        <v>1.7999999999999999E-2</v>
      </c>
      <c r="EP295" s="460">
        <f t="shared" si="868"/>
        <v>58.249999999999993</v>
      </c>
      <c r="EQ295" s="460"/>
      <c r="ER295" s="460">
        <f t="shared" si="869"/>
        <v>4713.587912790581</v>
      </c>
      <c r="ES295" s="528">
        <f t="shared" si="870"/>
        <v>1.3825000000000001</v>
      </c>
      <c r="EV295" s="460">
        <f t="shared" si="871"/>
        <v>1382.5</v>
      </c>
      <c r="EW295" s="528">
        <f t="shared" si="872"/>
        <v>0.10807792349975512</v>
      </c>
      <c r="EX295" s="528">
        <f t="shared" si="873"/>
        <v>0.21016321125201803</v>
      </c>
      <c r="EY295" s="528">
        <f t="shared" si="874"/>
        <v>22.455722455870784</v>
      </c>
      <c r="EZ295" s="528"/>
      <c r="FA295" s="528">
        <f t="shared" si="875"/>
        <v>2.386808510638299</v>
      </c>
      <c r="FB295" s="460">
        <f t="shared" si="876"/>
        <v>25160.772101260856</v>
      </c>
      <c r="FC295" s="173">
        <f t="shared" si="877"/>
        <v>31.256860014051441</v>
      </c>
      <c r="FD295" s="5">
        <f t="shared" si="878"/>
        <v>55.300000000000004</v>
      </c>
      <c r="FE295" s="173">
        <f t="shared" si="879"/>
        <v>0.63888639203204378</v>
      </c>
      <c r="FF295" s="5">
        <f t="shared" si="880"/>
        <v>63.888639203204377</v>
      </c>
      <c r="FI295" s="562">
        <f t="shared" si="833"/>
        <v>-50</v>
      </c>
      <c r="FJ295">
        <f t="shared" si="834"/>
        <v>-50</v>
      </c>
      <c r="FL295">
        <f t="shared" si="835"/>
        <v>0.4783241725906261</v>
      </c>
    </row>
    <row r="296" spans="5:168">
      <c r="E296" s="170">
        <v>80</v>
      </c>
      <c r="F296" s="217">
        <f t="shared" si="836"/>
        <v>2</v>
      </c>
      <c r="G296" s="217"/>
      <c r="H296" s="217">
        <f t="shared" si="762"/>
        <v>56</v>
      </c>
      <c r="I296" s="541">
        <f t="shared" si="763"/>
        <v>39.892732190389083</v>
      </c>
      <c r="J296" s="172">
        <f t="shared" si="764"/>
        <v>28.457759589790491</v>
      </c>
      <c r="K296" s="172">
        <f t="shared" si="765"/>
        <v>68.350491780179567</v>
      </c>
      <c r="L296" s="443"/>
      <c r="M296" s="217">
        <f t="shared" si="766"/>
        <v>0.41635398354388198</v>
      </c>
      <c r="N296" s="172">
        <f t="shared" si="767"/>
        <v>140.53284445792818</v>
      </c>
      <c r="O296" s="172">
        <f t="shared" si="760"/>
        <v>56</v>
      </c>
      <c r="P296" s="217">
        <f t="shared" si="768"/>
        <v>5.019030159211721</v>
      </c>
      <c r="Q296" s="217">
        <f t="shared" si="769"/>
        <v>28</v>
      </c>
      <c r="R296" s="217"/>
      <c r="S296" s="172">
        <f t="shared" si="770"/>
        <v>126.45277749257838</v>
      </c>
      <c r="T296" s="172">
        <f t="shared" si="771"/>
        <v>28</v>
      </c>
      <c r="U296" s="217">
        <f t="shared" si="772"/>
        <v>6.7431297596588156</v>
      </c>
      <c r="V296" s="217">
        <f t="shared" si="773"/>
        <v>0.79444821475606553</v>
      </c>
      <c r="W296" s="217">
        <f t="shared" si="774"/>
        <v>1.1136755080946892</v>
      </c>
      <c r="X296" s="197">
        <f t="shared" si="775"/>
        <v>350</v>
      </c>
      <c r="Y296" s="443">
        <f t="shared" si="837"/>
        <v>350</v>
      </c>
      <c r="AA296" s="217">
        <f t="shared" si="776"/>
        <v>10.096874116114918</v>
      </c>
      <c r="AB296" s="173">
        <f t="shared" si="777"/>
        <v>1.6675700768364485</v>
      </c>
      <c r="AC296" s="173">
        <f t="shared" si="778"/>
        <v>2.9465179004830984</v>
      </c>
      <c r="AD296" s="173"/>
      <c r="AE296" s="173">
        <f t="shared" si="779"/>
        <v>0.55052354410525139</v>
      </c>
      <c r="AF296" s="545">
        <f t="shared" si="780"/>
        <v>2179.7432877286333</v>
      </c>
      <c r="AG296" s="528">
        <f t="shared" si="781"/>
        <v>0.32113873406139665</v>
      </c>
      <c r="AI296" s="173">
        <f t="shared" si="782"/>
        <v>8.3185455225317373</v>
      </c>
      <c r="AJ296" s="173">
        <f t="shared" si="783"/>
        <v>8.3185455225317373</v>
      </c>
      <c r="AK296" s="173">
        <f t="shared" si="784"/>
        <v>4.8927497697765956</v>
      </c>
      <c r="AM296" s="545">
        <f t="shared" si="785"/>
        <v>2000</v>
      </c>
      <c r="AN296" s="460">
        <f t="shared" si="786"/>
        <v>350</v>
      </c>
      <c r="AP296">
        <f t="shared" si="787"/>
        <v>2000</v>
      </c>
      <c r="AQ296">
        <f t="shared" si="788"/>
        <v>350</v>
      </c>
      <c r="AS296" s="5">
        <f t="shared" si="761"/>
        <v>2.8571428571428572</v>
      </c>
      <c r="AT296" s="5">
        <f t="shared" si="789"/>
        <v>0.9800573139314438</v>
      </c>
      <c r="AU296" s="5">
        <f t="shared" si="721"/>
        <v>1.8770855432114133</v>
      </c>
      <c r="AV296" s="5"/>
      <c r="AW296" s="173">
        <f t="shared" si="722"/>
        <v>0.34302005987600531</v>
      </c>
      <c r="AX296" s="173">
        <f t="shared" si="790"/>
        <v>56.915519179580983</v>
      </c>
      <c r="AY296" s="173">
        <f t="shared" si="791"/>
        <v>2.732558769655812</v>
      </c>
      <c r="AZ296" s="173">
        <f t="shared" si="792"/>
        <v>20.828653279706021</v>
      </c>
      <c r="BA296" s="460">
        <f t="shared" si="723"/>
        <v>7.0004093852245983</v>
      </c>
      <c r="BB296" s="5">
        <f t="shared" si="724"/>
        <v>1.8821328499165959</v>
      </c>
      <c r="BD296" s="173">
        <f t="shared" si="838"/>
        <v>2.8128497159572552</v>
      </c>
      <c r="BE296" s="173">
        <f t="shared" si="839"/>
        <v>3.8928065726735164</v>
      </c>
      <c r="BG296" s="528">
        <f t="shared" si="840"/>
        <v>9.4945482294729738E-2</v>
      </c>
      <c r="BH296" s="528">
        <f t="shared" si="793"/>
        <v>3.6317835266424616</v>
      </c>
      <c r="BI296" s="528">
        <f t="shared" si="841"/>
        <v>4.0250000000000001E-2</v>
      </c>
      <c r="BJ296" s="528">
        <f t="shared" si="842"/>
        <v>0.80529975412136401</v>
      </c>
      <c r="BK296">
        <f t="shared" si="843"/>
        <v>1.7951729485675087E-2</v>
      </c>
      <c r="BL296" s="460">
        <f t="shared" si="844"/>
        <v>58.201729485675088</v>
      </c>
      <c r="BM296" s="528">
        <f t="shared" si="794"/>
        <v>4.6628535743185848</v>
      </c>
      <c r="BN296" s="460">
        <f t="shared" si="845"/>
        <v>4662.8535743185848</v>
      </c>
      <c r="BO296" s="528">
        <f t="shared" si="795"/>
        <v>1.4</v>
      </c>
      <c r="BR296" s="460">
        <f t="shared" si="846"/>
        <v>1400</v>
      </c>
      <c r="BS296" s="528">
        <f t="shared" si="847"/>
        <v>0.11076972934385136</v>
      </c>
      <c r="BT296" s="528">
        <f t="shared" si="848"/>
        <v>0.21215520217150183</v>
      </c>
      <c r="BU296" s="528">
        <f t="shared" si="849"/>
        <v>22.869602134626774</v>
      </c>
      <c r="BV296" s="528"/>
      <c r="BW296" s="528">
        <f t="shared" si="850"/>
        <v>2.4219369863651488</v>
      </c>
      <c r="BX296" s="460">
        <f t="shared" si="851"/>
        <v>25614.464052507275</v>
      </c>
      <c r="BY296" s="173">
        <f t="shared" si="852"/>
        <v>31.604694545051508</v>
      </c>
      <c r="BZ296" s="5">
        <f t="shared" si="853"/>
        <v>56</v>
      </c>
      <c r="CA296" s="173">
        <f t="shared" si="854"/>
        <v>0.63923514933553582</v>
      </c>
      <c r="CB296" s="5">
        <f t="shared" si="855"/>
        <v>63.923514933553584</v>
      </c>
      <c r="CE296" s="562">
        <f t="shared" si="796"/>
        <v>-50</v>
      </c>
      <c r="CF296">
        <f t="shared" si="797"/>
        <v>-50</v>
      </c>
      <c r="CG296" s="173">
        <f t="shared" si="798"/>
        <v>0.48476798574163293</v>
      </c>
      <c r="CI296" s="170">
        <v>80</v>
      </c>
      <c r="CJ296" s="217">
        <f t="shared" si="856"/>
        <v>2</v>
      </c>
      <c r="CK296" s="217"/>
      <c r="CL296" s="217">
        <f t="shared" si="799"/>
        <v>56</v>
      </c>
      <c r="CM296" s="541">
        <f t="shared" si="800"/>
        <v>40</v>
      </c>
      <c r="CN296" s="443">
        <f t="shared" si="801"/>
        <v>28.4</v>
      </c>
      <c r="CO296" s="443">
        <f t="shared" si="802"/>
        <v>68.400000000000006</v>
      </c>
      <c r="CP296" s="443"/>
      <c r="CQ296" s="217">
        <f t="shared" si="803"/>
        <v>0.41520467836257302</v>
      </c>
      <c r="CR296" s="172">
        <f t="shared" si="804"/>
        <v>140.52175355646798</v>
      </c>
      <c r="CS296" s="172">
        <f t="shared" si="805"/>
        <v>56</v>
      </c>
      <c r="CT296" s="217">
        <f t="shared" si="806"/>
        <v>5.0186340555881426</v>
      </c>
      <c r="CU296" s="217">
        <f t="shared" si="807"/>
        <v>28</v>
      </c>
      <c r="CV296" s="217"/>
      <c r="CW296" s="172">
        <f t="shared" si="808"/>
        <v>126.79246028653969</v>
      </c>
      <c r="CX296" s="172">
        <f t="shared" si="809"/>
        <v>28</v>
      </c>
      <c r="CY296" s="217">
        <f t="shared" si="810"/>
        <v>6.7436619718309876</v>
      </c>
      <c r="CZ296" s="217">
        <f t="shared" si="811"/>
        <v>0.79238028169014096</v>
      </c>
      <c r="DA296" s="217">
        <f t="shared" si="812"/>
        <v>1.116028565760762</v>
      </c>
      <c r="DB296" s="197">
        <f t="shared" si="813"/>
        <v>350</v>
      </c>
      <c r="DC296" s="443">
        <f t="shared" si="814"/>
        <v>350</v>
      </c>
      <c r="DE296" s="217">
        <f t="shared" si="815"/>
        <v>10.09616239179509</v>
      </c>
      <c r="DF296" s="173">
        <f t="shared" si="816"/>
        <v>1.6708437761069339</v>
      </c>
      <c r="DG296" s="173">
        <f t="shared" si="817"/>
        <v>2.9520942666067511</v>
      </c>
      <c r="DH296" s="173"/>
      <c r="DI296" s="173">
        <f t="shared" si="818"/>
        <v>0.55164319248826299</v>
      </c>
      <c r="DJ296" s="545">
        <f t="shared" si="819"/>
        <v>2175.3191489361702</v>
      </c>
      <c r="DK296" s="528">
        <f t="shared" si="820"/>
        <v>0.3217918622848201</v>
      </c>
      <c r="DM296" s="173">
        <f t="shared" si="821"/>
        <v>8.3100993231054954</v>
      </c>
      <c r="DN296" s="173">
        <f t="shared" si="822"/>
        <v>8.3100993231054954</v>
      </c>
      <c r="DO296" s="173">
        <f t="shared" si="823"/>
        <v>4.886493325757157</v>
      </c>
      <c r="DQ296" s="545">
        <f t="shared" si="824"/>
        <v>2000</v>
      </c>
      <c r="DR296" s="460">
        <f t="shared" si="825"/>
        <v>350</v>
      </c>
      <c r="DT296">
        <f t="shared" si="826"/>
        <v>2000</v>
      </c>
      <c r="DU296">
        <f t="shared" si="827"/>
        <v>350</v>
      </c>
      <c r="DW296" s="5">
        <f t="shared" si="857"/>
        <v>2.8571428571428572</v>
      </c>
      <c r="DX296" s="5">
        <f t="shared" si="828"/>
        <v>0.97643667046489568</v>
      </c>
      <c r="DY296" s="5">
        <f t="shared" si="829"/>
        <v>1.8807061866779615</v>
      </c>
      <c r="DZ296" s="5"/>
      <c r="EA296" s="173">
        <f t="shared" si="830"/>
        <v>0.3417528346627135</v>
      </c>
      <c r="EB296" s="173">
        <f t="shared" si="858"/>
        <v>56.8</v>
      </c>
      <c r="EC296" s="173">
        <f t="shared" si="859"/>
        <v>2.7350496615527482</v>
      </c>
      <c r="ED296" s="173">
        <f t="shared" si="860"/>
        <v>20.767447406330962</v>
      </c>
      <c r="EE296" s="460">
        <f t="shared" si="831"/>
        <v>6.9745476461778271</v>
      </c>
      <c r="EF296" s="5">
        <f t="shared" si="832"/>
        <v>1.8807061866779611</v>
      </c>
      <c r="EH296" s="173">
        <f t="shared" si="861"/>
        <v>2.8047983930887441</v>
      </c>
      <c r="EI296" s="173">
        <f t="shared" si="862"/>
        <v>3.8926027574644197</v>
      </c>
      <c r="EK296" s="528">
        <f t="shared" si="863"/>
        <v>9.4402728310478426E-2</v>
      </c>
      <c r="EL296" s="528">
        <f t="shared" si="864"/>
        <v>3.7799317781077661</v>
      </c>
      <c r="EM296" s="528">
        <f t="shared" si="865"/>
        <v>4.0250000000000001E-2</v>
      </c>
      <c r="EN296" s="528">
        <f t="shared" si="866"/>
        <v>0.80646678000000016</v>
      </c>
      <c r="EO296">
        <f t="shared" si="867"/>
        <v>1.7999999999999999E-2</v>
      </c>
      <c r="EP296" s="460">
        <f t="shared" si="868"/>
        <v>58.249999999999993</v>
      </c>
      <c r="EQ296" s="460"/>
      <c r="ER296" s="460">
        <f t="shared" si="869"/>
        <v>4739.0512864182447</v>
      </c>
      <c r="ES296" s="528">
        <f t="shared" si="870"/>
        <v>1.4</v>
      </c>
      <c r="EV296" s="460">
        <f t="shared" si="871"/>
        <v>1400</v>
      </c>
      <c r="EW296" s="528">
        <f t="shared" si="872"/>
        <v>0.11013651636222482</v>
      </c>
      <c r="EX296" s="528">
        <f t="shared" si="873"/>
        <v>0.21213298718387447</v>
      </c>
      <c r="EY296" s="528">
        <f t="shared" si="874"/>
        <v>22.811594953341547</v>
      </c>
      <c r="EZ296" s="528"/>
      <c r="FA296" s="528">
        <f t="shared" si="875"/>
        <v>2.4170212765957446</v>
      </c>
      <c r="FB296" s="460">
        <f t="shared" si="876"/>
        <v>25550.885733483392</v>
      </c>
      <c r="FC296" s="173">
        <f t="shared" si="877"/>
        <v>31.689937019901635</v>
      </c>
      <c r="FD296" s="5">
        <f t="shared" si="878"/>
        <v>56</v>
      </c>
      <c r="FE296" s="173">
        <f t="shared" si="879"/>
        <v>0.63861375550184896</v>
      </c>
      <c r="FF296" s="5">
        <f t="shared" si="880"/>
        <v>63.861375550184896</v>
      </c>
      <c r="FI296" s="562">
        <f t="shared" si="833"/>
        <v>-50</v>
      </c>
      <c r="FJ296">
        <f t="shared" si="834"/>
        <v>-50</v>
      </c>
      <c r="FL296">
        <f t="shared" si="835"/>
        <v>0.48134202065170917</v>
      </c>
    </row>
    <row r="297" spans="5:168">
      <c r="E297" s="170">
        <v>81</v>
      </c>
      <c r="F297" s="217">
        <f t="shared" si="836"/>
        <v>2.0250000000000004</v>
      </c>
      <c r="G297" s="217"/>
      <c r="H297" s="217">
        <f t="shared" si="762"/>
        <v>56.70000000000001</v>
      </c>
      <c r="I297" s="541">
        <f t="shared" si="763"/>
        <v>39.892063848660619</v>
      </c>
      <c r="J297" s="172">
        <f t="shared" si="764"/>
        <v>28.458119466105817</v>
      </c>
      <c r="K297" s="172">
        <f t="shared" si="765"/>
        <v>68.35018331476644</v>
      </c>
      <c r="L297" s="443"/>
      <c r="M297" s="217">
        <f t="shared" si="766"/>
        <v>0.41636114956888653</v>
      </c>
      <c r="N297" s="172">
        <f t="shared" si="767"/>
        <v>140.53290876812468</v>
      </c>
      <c r="O297" s="172">
        <f t="shared" si="760"/>
        <v>56.70000000000001</v>
      </c>
      <c r="P297" s="217">
        <f t="shared" si="768"/>
        <v>5.019032456004453</v>
      </c>
      <c r="Q297" s="217">
        <f t="shared" si="769"/>
        <v>28</v>
      </c>
      <c r="R297" s="217"/>
      <c r="S297" s="172">
        <f t="shared" si="770"/>
        <v>124.40066645274358</v>
      </c>
      <c r="T297" s="172">
        <f t="shared" si="771"/>
        <v>28</v>
      </c>
      <c r="U297" s="217">
        <f t="shared" si="772"/>
        <v>6.8274157573141121</v>
      </c>
      <c r="V297" s="217">
        <f t="shared" si="773"/>
        <v>0.80439192570012163</v>
      </c>
      <c r="W297" s="217">
        <f t="shared" si="774"/>
        <v>1.127581676561404</v>
      </c>
      <c r="X297" s="197">
        <f t="shared" si="775"/>
        <v>350</v>
      </c>
      <c r="Y297" s="443">
        <f t="shared" si="837"/>
        <v>350</v>
      </c>
      <c r="AA297" s="217">
        <f t="shared" si="776"/>
        <v>10.096878208335898</v>
      </c>
      <c r="AB297" s="173">
        <f t="shared" si="777"/>
        <v>1.6675496648926136</v>
      </c>
      <c r="AC297" s="173">
        <f t="shared" si="778"/>
        <v>2.9464830277351104</v>
      </c>
      <c r="AD297" s="173"/>
      <c r="AE297" s="173">
        <f t="shared" si="779"/>
        <v>0.55051658228246514</v>
      </c>
      <c r="AF297" s="545">
        <f t="shared" si="780"/>
        <v>2207.0179883820369</v>
      </c>
      <c r="AG297" s="528">
        <f t="shared" si="781"/>
        <v>0.32113467299810466</v>
      </c>
      <c r="AI297" s="173">
        <f t="shared" si="782"/>
        <v>8.3704278936765988</v>
      </c>
      <c r="AJ297" s="173">
        <f t="shared" si="783"/>
        <v>8.3704278936765988</v>
      </c>
      <c r="AK297" s="173">
        <f t="shared" si="784"/>
        <v>4.931181155809826</v>
      </c>
      <c r="AM297" s="545">
        <f t="shared" si="785"/>
        <v>2025.0000000000005</v>
      </c>
      <c r="AN297" s="460">
        <f t="shared" si="786"/>
        <v>350</v>
      </c>
      <c r="AP297">
        <f t="shared" si="787"/>
        <v>2025.0000000000005</v>
      </c>
      <c r="AQ297">
        <f t="shared" si="788"/>
        <v>350</v>
      </c>
      <c r="AS297" s="5">
        <f t="shared" si="761"/>
        <v>2.8571428571428572</v>
      </c>
      <c r="AT297" s="5">
        <f t="shared" si="789"/>
        <v>0.98618640663789292</v>
      </c>
      <c r="AU297" s="5">
        <f t="shared" si="721"/>
        <v>1.8709564505049643</v>
      </c>
      <c r="AV297" s="5"/>
      <c r="AW297" s="173">
        <f t="shared" si="722"/>
        <v>0.34516524232326251</v>
      </c>
      <c r="AX297" s="173">
        <f t="shared" si="790"/>
        <v>57.627691918864294</v>
      </c>
      <c r="AY297" s="173">
        <f t="shared" si="791"/>
        <v>2.7406235607031597</v>
      </c>
      <c r="AZ297" s="173">
        <f t="shared" si="792"/>
        <v>21.027219040647378</v>
      </c>
      <c r="BA297" s="460">
        <f t="shared" si="723"/>
        <v>7.13224097657762</v>
      </c>
      <c r="BB297" s="5">
        <f t="shared" si="724"/>
        <v>1.8994689403114244</v>
      </c>
      <c r="BD297" s="173">
        <f t="shared" si="838"/>
        <v>2.839229902989262</v>
      </c>
      <c r="BE297" s="173">
        <f t="shared" si="839"/>
        <v>3.9106855237564182</v>
      </c>
      <c r="BG297" s="528">
        <f t="shared" si="840"/>
        <v>9.6734717304340967E-2</v>
      </c>
      <c r="BH297" s="528">
        <f t="shared" si="793"/>
        <v>3.6544182946053634</v>
      </c>
      <c r="BI297" s="528">
        <f t="shared" si="841"/>
        <v>4.0250000000000001E-2</v>
      </c>
      <c r="BJ297" s="528">
        <f t="shared" si="842"/>
        <v>0.8052924855105803</v>
      </c>
      <c r="BK297">
        <f t="shared" si="843"/>
        <v>1.7951428731897277E-2</v>
      </c>
      <c r="BL297" s="460">
        <f t="shared" si="844"/>
        <v>58.20142873189728</v>
      </c>
      <c r="BM297" s="528">
        <f t="shared" si="794"/>
        <v>4.6903680829939214</v>
      </c>
      <c r="BN297" s="460">
        <f t="shared" si="845"/>
        <v>4690.3680829939212</v>
      </c>
      <c r="BO297" s="528">
        <f t="shared" si="795"/>
        <v>1.4175000000000002</v>
      </c>
      <c r="BR297" s="460">
        <f t="shared" si="846"/>
        <v>1417.5000000000002</v>
      </c>
      <c r="BS297" s="528">
        <f t="shared" si="847"/>
        <v>0.11285717018839779</v>
      </c>
      <c r="BT297" s="528">
        <f t="shared" si="848"/>
        <v>0.21410845772005216</v>
      </c>
      <c r="BU297" s="528">
        <f t="shared" si="849"/>
        <v>23.227863441245759</v>
      </c>
      <c r="BV297" s="528"/>
      <c r="BW297" s="528">
        <f t="shared" si="850"/>
        <v>2.4522422093133742</v>
      </c>
      <c r="BX297" s="460">
        <f t="shared" si="851"/>
        <v>26007.071278467585</v>
      </c>
      <c r="BY297" s="173">
        <f t="shared" si="852"/>
        <v>32.039218204619765</v>
      </c>
      <c r="BZ297" s="5">
        <f t="shared" si="853"/>
        <v>56.70000000000001</v>
      </c>
      <c r="CA297" s="173">
        <f t="shared" si="854"/>
        <v>0.63895086239387444</v>
      </c>
      <c r="CB297" s="5">
        <f t="shared" si="855"/>
        <v>63.895086239387446</v>
      </c>
      <c r="CE297" s="562">
        <f t="shared" si="796"/>
        <v>-50</v>
      </c>
      <c r="CF297">
        <f t="shared" si="797"/>
        <v>-50</v>
      </c>
      <c r="CG297" s="173">
        <f t="shared" si="798"/>
        <v>0.48778837624527299</v>
      </c>
      <c r="CI297" s="170">
        <v>81</v>
      </c>
      <c r="CJ297" s="217">
        <f t="shared" si="856"/>
        <v>2.0250000000000004</v>
      </c>
      <c r="CK297" s="217"/>
      <c r="CL297" s="217">
        <f t="shared" si="799"/>
        <v>56.70000000000001</v>
      </c>
      <c r="CM297" s="541">
        <f t="shared" si="800"/>
        <v>40</v>
      </c>
      <c r="CN297" s="443">
        <f t="shared" si="801"/>
        <v>28.4</v>
      </c>
      <c r="CO297" s="443">
        <f t="shared" si="802"/>
        <v>68.400000000000006</v>
      </c>
      <c r="CP297" s="443"/>
      <c r="CQ297" s="217">
        <f t="shared" si="803"/>
        <v>0.41520467836257302</v>
      </c>
      <c r="CR297" s="172">
        <f t="shared" si="804"/>
        <v>140.52175355646798</v>
      </c>
      <c r="CS297" s="172">
        <f t="shared" si="805"/>
        <v>56.70000000000001</v>
      </c>
      <c r="CT297" s="217">
        <f t="shared" si="806"/>
        <v>5.0186340555881426</v>
      </c>
      <c r="CU297" s="217">
        <f t="shared" si="807"/>
        <v>28</v>
      </c>
      <c r="CV297" s="217"/>
      <c r="CW297" s="172">
        <f t="shared" si="808"/>
        <v>124.736913451961</v>
      </c>
      <c r="CX297" s="172">
        <f t="shared" si="809"/>
        <v>28</v>
      </c>
      <c r="CY297" s="217">
        <f t="shared" si="810"/>
        <v>6.8279577464788757</v>
      </c>
      <c r="CZ297" s="217">
        <f t="shared" si="811"/>
        <v>0.80228503521126793</v>
      </c>
      <c r="DA297" s="217">
        <f t="shared" si="812"/>
        <v>1.1299789228327719</v>
      </c>
      <c r="DB297" s="197">
        <f t="shared" si="813"/>
        <v>350</v>
      </c>
      <c r="DC297" s="443">
        <f t="shared" si="814"/>
        <v>350</v>
      </c>
      <c r="DE297" s="217">
        <f t="shared" si="815"/>
        <v>10.09616239179509</v>
      </c>
      <c r="DF297" s="173">
        <f t="shared" si="816"/>
        <v>1.6708437761069339</v>
      </c>
      <c r="DG297" s="173">
        <f t="shared" si="817"/>
        <v>2.9520942666067511</v>
      </c>
      <c r="DH297" s="173"/>
      <c r="DI297" s="173">
        <f t="shared" si="818"/>
        <v>0.55164319248826299</v>
      </c>
      <c r="DJ297" s="545">
        <f t="shared" si="819"/>
        <v>2202.5106382978724</v>
      </c>
      <c r="DK297" s="528">
        <f t="shared" si="820"/>
        <v>0.3217918622848201</v>
      </c>
      <c r="DM297" s="173">
        <f t="shared" si="821"/>
        <v>8.3618761438074962</v>
      </c>
      <c r="DN297" s="173">
        <f t="shared" si="822"/>
        <v>8.3618761438074962</v>
      </c>
      <c r="DO297" s="173">
        <f t="shared" si="823"/>
        <v>4.9248465262771566</v>
      </c>
      <c r="DQ297" s="545">
        <f t="shared" si="824"/>
        <v>2025.0000000000005</v>
      </c>
      <c r="DR297" s="460">
        <f t="shared" si="825"/>
        <v>350</v>
      </c>
      <c r="DT297">
        <f t="shared" si="826"/>
        <v>2025.0000000000005</v>
      </c>
      <c r="DU297">
        <f t="shared" si="827"/>
        <v>350</v>
      </c>
      <c r="DW297" s="5">
        <f t="shared" si="857"/>
        <v>2.8571428571428572</v>
      </c>
      <c r="DX297" s="5">
        <f t="shared" si="828"/>
        <v>0.98252044689738072</v>
      </c>
      <c r="DY297" s="5">
        <f t="shared" si="829"/>
        <v>1.8746224102454765</v>
      </c>
      <c r="DZ297" s="5"/>
      <c r="EA297" s="173">
        <f t="shared" si="830"/>
        <v>0.34388215641408326</v>
      </c>
      <c r="EB297" s="173">
        <f t="shared" si="858"/>
        <v>57.510000000000005</v>
      </c>
      <c r="EC297" s="173">
        <f t="shared" si="859"/>
        <v>2.7431880719037478</v>
      </c>
      <c r="ED297" s="173">
        <f t="shared" si="860"/>
        <v>20.96465808853149</v>
      </c>
      <c r="EE297" s="460">
        <f t="shared" si="831"/>
        <v>7.1057282320257009</v>
      </c>
      <c r="EF297" s="5">
        <f t="shared" si="832"/>
        <v>1.898055190373545</v>
      </c>
      <c r="EH297" s="173">
        <f t="shared" si="861"/>
        <v>2.8310525046066326</v>
      </c>
      <c r="EI297" s="173">
        <f t="shared" si="862"/>
        <v>3.9105156434439037</v>
      </c>
      <c r="EK297" s="528">
        <f t="shared" si="863"/>
        <v>9.617829940607385E-2</v>
      </c>
      <c r="EL297" s="528">
        <f t="shared" si="864"/>
        <v>3.803482982772278</v>
      </c>
      <c r="EM297" s="528">
        <f t="shared" si="865"/>
        <v>4.0250000000000001E-2</v>
      </c>
      <c r="EN297" s="528">
        <f t="shared" si="866"/>
        <v>0.80646678000000016</v>
      </c>
      <c r="EO297">
        <f t="shared" si="867"/>
        <v>1.7999999999999999E-2</v>
      </c>
      <c r="EP297" s="460">
        <f t="shared" si="868"/>
        <v>58.249999999999993</v>
      </c>
      <c r="EQ297" s="460"/>
      <c r="ER297" s="460">
        <f t="shared" si="869"/>
        <v>4764.3780621783517</v>
      </c>
      <c r="ES297" s="528">
        <f t="shared" si="870"/>
        <v>1.4175000000000002</v>
      </c>
      <c r="EV297" s="460">
        <f t="shared" si="871"/>
        <v>1417.5000000000002</v>
      </c>
      <c r="EW297" s="528">
        <f t="shared" si="872"/>
        <v>0.11220801597375282</v>
      </c>
      <c r="EX297" s="528">
        <f t="shared" si="873"/>
        <v>0.21408985636667285</v>
      </c>
      <c r="EY297" s="528">
        <f t="shared" si="874"/>
        <v>23.168581317258688</v>
      </c>
      <c r="EZ297" s="528"/>
      <c r="FA297" s="528">
        <f t="shared" si="875"/>
        <v>2.4472340425531924</v>
      </c>
      <c r="FB297" s="460">
        <f t="shared" si="876"/>
        <v>25942.113232152304</v>
      </c>
      <c r="FC297" s="173">
        <f t="shared" si="877"/>
        <v>32.123991294330658</v>
      </c>
      <c r="FD297" s="5">
        <f t="shared" si="878"/>
        <v>56.70000000000001</v>
      </c>
      <c r="FE297" s="173">
        <f t="shared" si="879"/>
        <v>0.63834105148592868</v>
      </c>
      <c r="FF297" s="5">
        <f t="shared" si="880"/>
        <v>63.834105148592869</v>
      </c>
      <c r="FI297" s="562">
        <f t="shared" si="833"/>
        <v>-50</v>
      </c>
      <c r="FJ297">
        <f t="shared" si="834"/>
        <v>-50</v>
      </c>
      <c r="FL297">
        <f t="shared" si="835"/>
        <v>0.48434106537194827</v>
      </c>
    </row>
    <row r="298" spans="5:168">
      <c r="E298" s="170">
        <v>82</v>
      </c>
      <c r="F298" s="217">
        <f t="shared" si="836"/>
        <v>2.0499999999999998</v>
      </c>
      <c r="G298" s="217"/>
      <c r="H298" s="217">
        <f t="shared" si="762"/>
        <v>57.399999999999991</v>
      </c>
      <c r="I298" s="541">
        <f t="shared" si="763"/>
        <v>39.891399619921515</v>
      </c>
      <c r="J298" s="172">
        <f t="shared" si="764"/>
        <v>28.458477127734568</v>
      </c>
      <c r="K298" s="172">
        <f t="shared" si="765"/>
        <v>68.349876747656083</v>
      </c>
      <c r="L298" s="443"/>
      <c r="M298" s="217">
        <f t="shared" si="766"/>
        <v>0.41636827155757189</v>
      </c>
      <c r="N298" s="172">
        <f t="shared" si="767"/>
        <v>140.53297262370646</v>
      </c>
      <c r="O298" s="172">
        <f t="shared" si="760"/>
        <v>57.399999999999991</v>
      </c>
      <c r="P298" s="217">
        <f t="shared" si="768"/>
        <v>5.0190347365609451</v>
      </c>
      <c r="Q298" s="217">
        <f t="shared" si="769"/>
        <v>28</v>
      </c>
      <c r="R298" s="217"/>
      <c r="S298" s="172">
        <f t="shared" si="770"/>
        <v>122.39870222235584</v>
      </c>
      <c r="T298" s="172">
        <f t="shared" si="771"/>
        <v>28</v>
      </c>
      <c r="U298" s="217">
        <f t="shared" si="772"/>
        <v>6.9117017001869838</v>
      </c>
      <c r="V298" s="217">
        <f t="shared" si="773"/>
        <v>0.81433587942239105</v>
      </c>
      <c r="W298" s="217">
        <f t="shared" si="774"/>
        <v>1.1414875731077034</v>
      </c>
      <c r="X298" s="197">
        <f t="shared" si="775"/>
        <v>350</v>
      </c>
      <c r="Y298" s="443">
        <f t="shared" si="837"/>
        <v>350</v>
      </c>
      <c r="AA298" s="217">
        <f t="shared" si="776"/>
        <v>10.096882271170903</v>
      </c>
      <c r="AB298" s="173">
        <f t="shared" si="777"/>
        <v>1.6675293783817771</v>
      </c>
      <c r="AC298" s="173">
        <f t="shared" si="778"/>
        <v>2.94644836801693</v>
      </c>
      <c r="AD298" s="173"/>
      <c r="AE298" s="173">
        <f t="shared" si="779"/>
        <v>0.55050966347733765</v>
      </c>
      <c r="AF298" s="545">
        <f t="shared" si="780"/>
        <v>2234.2932042838415</v>
      </c>
      <c r="AG298" s="528">
        <f t="shared" si="781"/>
        <v>0.32113063702844696</v>
      </c>
      <c r="AI298" s="173">
        <f t="shared" si="782"/>
        <v>8.4219916286551744</v>
      </c>
      <c r="AJ298" s="173">
        <f t="shared" si="783"/>
        <v>8.4219916286551744</v>
      </c>
      <c r="AK298" s="173">
        <f t="shared" si="784"/>
        <v>4.9693765150532156</v>
      </c>
      <c r="AM298" s="545">
        <f t="shared" si="785"/>
        <v>2050</v>
      </c>
      <c r="AN298" s="460">
        <f t="shared" si="786"/>
        <v>350</v>
      </c>
      <c r="AP298">
        <f t="shared" si="787"/>
        <v>2050</v>
      </c>
      <c r="AQ298">
        <f t="shared" si="788"/>
        <v>350</v>
      </c>
      <c r="AS298" s="5">
        <f t="shared" si="761"/>
        <v>2.8571428571428572</v>
      </c>
      <c r="AT298" s="5">
        <f t="shared" si="789"/>
        <v>0.99227806073045455</v>
      </c>
      <c r="AU298" s="5">
        <f t="shared" ref="AU298:AU316" si="881">AS298-AT298</f>
        <v>1.8648647964124025</v>
      </c>
      <c r="AV298" s="5"/>
      <c r="AW298" s="173">
        <f t="shared" ref="AW298:AW315" si="882">AT298/AS298</f>
        <v>0.3472973212556591</v>
      </c>
      <c r="AX298" s="173">
        <f t="shared" si="790"/>
        <v>58.339878111855867</v>
      </c>
      <c r="AY298" s="173">
        <f t="shared" si="791"/>
        <v>2.748528248192823</v>
      </c>
      <c r="AZ298" s="173">
        <f t="shared" si="792"/>
        <v>21.225860840329641</v>
      </c>
      <c r="BA298" s="460">
        <f t="shared" si="723"/>
        <v>7.2648929446336847</v>
      </c>
      <c r="BB298" s="5">
        <f t="shared" si="724"/>
        <v>1.9166902485598702</v>
      </c>
      <c r="BD298" s="173">
        <f t="shared" si="838"/>
        <v>2.8655295728325316</v>
      </c>
      <c r="BE298" s="173">
        <f t="shared" si="839"/>
        <v>3.9283653850257045</v>
      </c>
      <c r="BG298" s="528">
        <f t="shared" si="840"/>
        <v>9.8535116793333488E-2</v>
      </c>
      <c r="BH298" s="528">
        <f t="shared" si="793"/>
        <v>3.6769138485232298</v>
      </c>
      <c r="BI298" s="528">
        <f t="shared" si="841"/>
        <v>4.0250000000000001E-2</v>
      </c>
      <c r="BJ298" s="528">
        <f t="shared" si="842"/>
        <v>0.80528526166348402</v>
      </c>
      <c r="BK298">
        <f t="shared" si="843"/>
        <v>1.7951129828964681E-2</v>
      </c>
      <c r="BL298" s="460">
        <f t="shared" si="844"/>
        <v>58.201129828964682</v>
      </c>
      <c r="BM298" s="528">
        <f t="shared" si="794"/>
        <v>4.7177913748058904</v>
      </c>
      <c r="BN298" s="460">
        <f t="shared" si="845"/>
        <v>4717.79137480589</v>
      </c>
      <c r="BO298" s="528">
        <f t="shared" si="795"/>
        <v>1.4349999999999998</v>
      </c>
      <c r="BR298" s="460">
        <f t="shared" si="846"/>
        <v>1434.9999999999998</v>
      </c>
      <c r="BS298" s="528">
        <f t="shared" si="847"/>
        <v>0.11495763625888906</v>
      </c>
      <c r="BT298" s="528">
        <f t="shared" si="848"/>
        <v>0.21604876437575413</v>
      </c>
      <c r="BU298" s="528">
        <f t="shared" si="849"/>
        <v>23.587240146916105</v>
      </c>
      <c r="BV298" s="528"/>
      <c r="BW298" s="528">
        <f t="shared" si="850"/>
        <v>2.4825480047598245</v>
      </c>
      <c r="BX298" s="460">
        <f t="shared" si="851"/>
        <v>26400.794552310574</v>
      </c>
      <c r="BY298" s="173">
        <f t="shared" si="852"/>
        <v>32.474729909119588</v>
      </c>
      <c r="BZ298" s="5">
        <f t="shared" si="853"/>
        <v>57.399999999999991</v>
      </c>
      <c r="CA298" s="173">
        <f t="shared" si="854"/>
        <v>0.63866673155003961</v>
      </c>
      <c r="CB298" s="5">
        <f t="shared" si="855"/>
        <v>63.866673155003959</v>
      </c>
      <c r="CE298" s="562">
        <f t="shared" si="796"/>
        <v>-50</v>
      </c>
      <c r="CF298">
        <f t="shared" si="797"/>
        <v>-50</v>
      </c>
      <c r="CG298" s="173">
        <f t="shared" si="798"/>
        <v>0.4907901792008475</v>
      </c>
      <c r="CI298" s="170">
        <v>82</v>
      </c>
      <c r="CJ298" s="217">
        <f t="shared" si="856"/>
        <v>2.0499999999999998</v>
      </c>
      <c r="CK298" s="217"/>
      <c r="CL298" s="217">
        <f t="shared" si="799"/>
        <v>57.399999999999991</v>
      </c>
      <c r="CM298" s="541">
        <f t="shared" si="800"/>
        <v>40</v>
      </c>
      <c r="CN298" s="443">
        <f t="shared" si="801"/>
        <v>28.4</v>
      </c>
      <c r="CO298" s="443">
        <f t="shared" si="802"/>
        <v>68.400000000000006</v>
      </c>
      <c r="CP298" s="443"/>
      <c r="CQ298" s="217">
        <f t="shared" si="803"/>
        <v>0.41520467836257302</v>
      </c>
      <c r="CR298" s="172">
        <f t="shared" si="804"/>
        <v>140.52175355646798</v>
      </c>
      <c r="CS298" s="172">
        <f t="shared" si="805"/>
        <v>57.399999999999991</v>
      </c>
      <c r="CT298" s="217">
        <f t="shared" si="806"/>
        <v>5.0186340555881426</v>
      </c>
      <c r="CU298" s="217">
        <f t="shared" si="807"/>
        <v>28</v>
      </c>
      <c r="CV298" s="217"/>
      <c r="CW298" s="172">
        <f t="shared" si="808"/>
        <v>122.73156832283466</v>
      </c>
      <c r="CX298" s="172">
        <f t="shared" si="809"/>
        <v>28</v>
      </c>
      <c r="CY298" s="217">
        <f t="shared" si="810"/>
        <v>6.9122535211267611</v>
      </c>
      <c r="CZ298" s="217">
        <f t="shared" si="811"/>
        <v>0.81218978873239434</v>
      </c>
      <c r="DA298" s="217">
        <f t="shared" si="812"/>
        <v>1.1439292799047809</v>
      </c>
      <c r="DB298" s="197">
        <f t="shared" si="813"/>
        <v>350</v>
      </c>
      <c r="DC298" s="443">
        <f t="shared" si="814"/>
        <v>350</v>
      </c>
      <c r="DE298" s="217">
        <f t="shared" si="815"/>
        <v>10.09616239179509</v>
      </c>
      <c r="DF298" s="173">
        <f t="shared" si="816"/>
        <v>1.6708437761069339</v>
      </c>
      <c r="DG298" s="173">
        <f t="shared" si="817"/>
        <v>2.9520942666067511</v>
      </c>
      <c r="DH298" s="173"/>
      <c r="DI298" s="173">
        <f t="shared" si="818"/>
        <v>0.55164319248826299</v>
      </c>
      <c r="DJ298" s="545">
        <f t="shared" si="819"/>
        <v>2229.7021276595742</v>
      </c>
      <c r="DK298" s="528">
        <f t="shared" si="820"/>
        <v>0.3217918622848201</v>
      </c>
      <c r="DM298" s="173">
        <f t="shared" si="821"/>
        <v>8.4133343288422449</v>
      </c>
      <c r="DN298" s="173">
        <f t="shared" si="822"/>
        <v>8.4133343288422449</v>
      </c>
      <c r="DO298" s="173">
        <f t="shared" si="823"/>
        <v>4.9629637003769709</v>
      </c>
      <c r="DQ298" s="545">
        <f t="shared" si="824"/>
        <v>2050</v>
      </c>
      <c r="DR298" s="460">
        <f t="shared" si="825"/>
        <v>350</v>
      </c>
      <c r="DT298">
        <f t="shared" si="826"/>
        <v>2050</v>
      </c>
      <c r="DU298">
        <f t="shared" si="827"/>
        <v>350</v>
      </c>
      <c r="DW298" s="5">
        <f t="shared" si="857"/>
        <v>2.8571428571428572</v>
      </c>
      <c r="DX298" s="5">
        <f t="shared" si="828"/>
        <v>0.98856678363896355</v>
      </c>
      <c r="DY298" s="5">
        <f t="shared" si="829"/>
        <v>1.8685760735038937</v>
      </c>
      <c r="DZ298" s="5"/>
      <c r="EA298" s="173">
        <f t="shared" si="830"/>
        <v>0.34599837427363722</v>
      </c>
      <c r="EB298" s="173">
        <f t="shared" si="858"/>
        <v>58.220000000000006</v>
      </c>
      <c r="EC298" s="173">
        <f t="shared" si="859"/>
        <v>2.7511671644211226</v>
      </c>
      <c r="ED298" s="173">
        <f t="shared" si="860"/>
        <v>21.161927473153078</v>
      </c>
      <c r="EE298" s="460">
        <f t="shared" si="831"/>
        <v>7.2377210944995536</v>
      </c>
      <c r="EF298" s="5">
        <f t="shared" si="832"/>
        <v>1.9152904753414908</v>
      </c>
      <c r="EH298" s="173">
        <f t="shared" si="861"/>
        <v>2.8572257075270162</v>
      </c>
      <c r="EI298" s="173">
        <f t="shared" si="862"/>
        <v>3.9282302333075991</v>
      </c>
      <c r="EK298" s="528">
        <f t="shared" si="863"/>
        <v>9.79648649250391E-2</v>
      </c>
      <c r="EL298" s="528">
        <f t="shared" si="864"/>
        <v>3.8268892528171845</v>
      </c>
      <c r="EM298" s="528">
        <f t="shared" si="865"/>
        <v>4.0250000000000001E-2</v>
      </c>
      <c r="EN298" s="528">
        <f t="shared" si="866"/>
        <v>0.80646678000000016</v>
      </c>
      <c r="EO298">
        <f t="shared" si="867"/>
        <v>1.7999999999999999E-2</v>
      </c>
      <c r="EP298" s="460">
        <f t="shared" si="868"/>
        <v>58.249999999999993</v>
      </c>
      <c r="EQ298" s="460"/>
      <c r="ER298" s="460">
        <f t="shared" si="869"/>
        <v>4789.5708977422237</v>
      </c>
      <c r="ES298" s="528">
        <f t="shared" si="870"/>
        <v>1.4349999999999998</v>
      </c>
      <c r="EV298" s="460">
        <f t="shared" si="871"/>
        <v>1434.9999999999998</v>
      </c>
      <c r="EW298" s="528">
        <f t="shared" si="872"/>
        <v>0.11429234241254563</v>
      </c>
      <c r="EX298" s="528">
        <f t="shared" si="873"/>
        <v>0.21603389872220624</v>
      </c>
      <c r="EY298" s="528">
        <f t="shared" si="874"/>
        <v>23.526671217582617</v>
      </c>
      <c r="EZ298" s="528"/>
      <c r="FA298" s="528">
        <f t="shared" si="875"/>
        <v>2.4774468085106389</v>
      </c>
      <c r="FB298" s="460">
        <f t="shared" si="876"/>
        <v>26334.444267228009</v>
      </c>
      <c r="FC298" s="173">
        <f t="shared" si="877"/>
        <v>32.559015164970234</v>
      </c>
      <c r="FD298" s="5">
        <f t="shared" si="878"/>
        <v>57.399999999999991</v>
      </c>
      <c r="FE298" s="173">
        <f t="shared" si="879"/>
        <v>0.63806834584324557</v>
      </c>
      <c r="FF298" s="5">
        <f t="shared" si="880"/>
        <v>63.806834584324555</v>
      </c>
      <c r="FI298" s="562">
        <f t="shared" si="833"/>
        <v>-50</v>
      </c>
      <c r="FJ298">
        <f t="shared" si="834"/>
        <v>-50</v>
      </c>
      <c r="FL298">
        <f t="shared" si="835"/>
        <v>0.48732165390653137</v>
      </c>
    </row>
    <row r="299" spans="5:168">
      <c r="E299" s="170">
        <v>83</v>
      </c>
      <c r="F299" s="217">
        <f t="shared" si="836"/>
        <v>2.0749999999999997</v>
      </c>
      <c r="G299" s="217"/>
      <c r="H299" s="217">
        <f t="shared" si="762"/>
        <v>58.099999999999994</v>
      </c>
      <c r="I299" s="541">
        <f t="shared" si="763"/>
        <v>39.890739429159346</v>
      </c>
      <c r="J299" s="172">
        <f t="shared" si="764"/>
        <v>28.458832615068044</v>
      </c>
      <c r="K299" s="172">
        <f t="shared" si="765"/>
        <v>68.349572044227386</v>
      </c>
      <c r="L299" s="443"/>
      <c r="M299" s="217">
        <f t="shared" si="766"/>
        <v>0.41637535031307032</v>
      </c>
      <c r="N299" s="172">
        <f t="shared" si="767"/>
        <v>140.53303603296391</v>
      </c>
      <c r="O299" s="172">
        <f t="shared" si="760"/>
        <v>58.099999999999994</v>
      </c>
      <c r="P299" s="217">
        <f t="shared" si="768"/>
        <v>5.0190370011772822</v>
      </c>
      <c r="Q299" s="217">
        <f t="shared" si="769"/>
        <v>28</v>
      </c>
      <c r="R299" s="217"/>
      <c r="S299" s="172">
        <f t="shared" si="770"/>
        <v>120.44507265363636</v>
      </c>
      <c r="T299" s="172">
        <f t="shared" si="771"/>
        <v>28</v>
      </c>
      <c r="U299" s="217">
        <f t="shared" si="772"/>
        <v>6.9959875886827758</v>
      </c>
      <c r="V299" s="217">
        <f t="shared" si="773"/>
        <v>0.82428007445691964</v>
      </c>
      <c r="W299" s="217">
        <f t="shared" si="774"/>
        <v>1.1553931994174467</v>
      </c>
      <c r="X299" s="197">
        <f t="shared" si="775"/>
        <v>350</v>
      </c>
      <c r="Y299" s="443">
        <f t="shared" si="837"/>
        <v>350</v>
      </c>
      <c r="AA299" s="217">
        <f t="shared" si="776"/>
        <v>10.09688630515582</v>
      </c>
      <c r="AB299" s="173">
        <f t="shared" si="777"/>
        <v>1.6675092150162989</v>
      </c>
      <c r="AC299" s="173">
        <f t="shared" si="778"/>
        <v>2.9464139174433597</v>
      </c>
      <c r="AD299" s="173"/>
      <c r="AE299" s="173">
        <f t="shared" si="779"/>
        <v>0.55050278690530929</v>
      </c>
      <c r="AF299" s="545">
        <f t="shared" si="780"/>
        <v>2261.5689322825342</v>
      </c>
      <c r="AG299" s="528">
        <f t="shared" si="781"/>
        <v>0.32112662569476369</v>
      </c>
      <c r="AI299" s="173">
        <f t="shared" si="782"/>
        <v>8.4732425387262733</v>
      </c>
      <c r="AJ299" s="173">
        <f t="shared" si="783"/>
        <v>8.4732425387262733</v>
      </c>
      <c r="AK299" s="173">
        <f t="shared" si="784"/>
        <v>5.0073401521429179</v>
      </c>
      <c r="AM299" s="545">
        <f t="shared" si="785"/>
        <v>2074.9999999999995</v>
      </c>
      <c r="AN299" s="460">
        <f t="shared" si="786"/>
        <v>350</v>
      </c>
      <c r="AP299">
        <f t="shared" si="787"/>
        <v>2074.9999999999995</v>
      </c>
      <c r="AQ299">
        <f t="shared" si="788"/>
        <v>350</v>
      </c>
      <c r="AS299" s="5">
        <f t="shared" si="761"/>
        <v>2.8571428571428572</v>
      </c>
      <c r="AT299" s="5">
        <f t="shared" si="789"/>
        <v>0.99833295902514019</v>
      </c>
      <c r="AU299" s="5">
        <f t="shared" si="881"/>
        <v>1.858809898117717</v>
      </c>
      <c r="AV299" s="5"/>
      <c r="AW299" s="173">
        <f t="shared" si="882"/>
        <v>0.34941653565879904</v>
      </c>
      <c r="AX299" s="173">
        <f t="shared" si="790"/>
        <v>59.05207767626618</v>
      </c>
      <c r="AY299" s="173">
        <f t="shared" si="791"/>
        <v>2.756275742523886</v>
      </c>
      <c r="AZ299" s="173">
        <f t="shared" si="792"/>
        <v>21.424589987572492</v>
      </c>
      <c r="BA299" s="460">
        <f t="shared" si="723"/>
        <v>7.3983603213470195</v>
      </c>
      <c r="BB299" s="5">
        <f t="shared" si="724"/>
        <v>1.9337974646691298</v>
      </c>
      <c r="BD299" s="173">
        <f t="shared" si="838"/>
        <v>2.8917499534627238</v>
      </c>
      <c r="BE299" s="173">
        <f t="shared" si="839"/>
        <v>3.9458495384401684</v>
      </c>
      <c r="BG299" s="528">
        <f t="shared" si="840"/>
        <v>0.10034661352021998</v>
      </c>
      <c r="BH299" s="528">
        <f t="shared" si="793"/>
        <v>3.6992727273659938</v>
      </c>
      <c r="BI299" s="528">
        <f t="shared" si="841"/>
        <v>4.0250000000000001E-2</v>
      </c>
      <c r="BJ299" s="528">
        <f t="shared" si="842"/>
        <v>0.8052780817636791</v>
      </c>
      <c r="BK299">
        <f t="shared" si="843"/>
        <v>1.7950832743121706E-2</v>
      </c>
      <c r="BL299" s="460">
        <f t="shared" si="844"/>
        <v>58.200832743121708</v>
      </c>
      <c r="BM299" s="528">
        <f t="shared" si="794"/>
        <v>4.7451259884026795</v>
      </c>
      <c r="BN299" s="460">
        <f t="shared" si="845"/>
        <v>4745.1259884026795</v>
      </c>
      <c r="BO299" s="528">
        <f t="shared" si="795"/>
        <v>1.4524999999999997</v>
      </c>
      <c r="BR299" s="460">
        <f t="shared" si="846"/>
        <v>1452.4999999999998</v>
      </c>
      <c r="BS299" s="528">
        <f t="shared" si="847"/>
        <v>0.1170710491069233</v>
      </c>
      <c r="BT299" s="528">
        <f t="shared" si="848"/>
        <v>0.21797620012011887</v>
      </c>
      <c r="BU299" s="528">
        <f t="shared" si="849"/>
        <v>23.947722106115688</v>
      </c>
      <c r="BV299" s="528"/>
      <c r="BW299" s="528">
        <f t="shared" si="850"/>
        <v>2.5128543692028162</v>
      </c>
      <c r="BX299" s="460">
        <f t="shared" si="851"/>
        <v>26795.623724545545</v>
      </c>
      <c r="BY299" s="173">
        <f t="shared" si="852"/>
        <v>32.91122197993856</v>
      </c>
      <c r="BZ299" s="5">
        <f t="shared" si="853"/>
        <v>58.099999999999994</v>
      </c>
      <c r="CA299" s="173">
        <f t="shared" si="854"/>
        <v>0.63838281407546504</v>
      </c>
      <c r="CB299" s="5">
        <f t="shared" si="855"/>
        <v>63.838281407546503</v>
      </c>
      <c r="CE299" s="562">
        <f t="shared" si="796"/>
        <v>-50</v>
      </c>
      <c r="CF299">
        <f t="shared" si="797"/>
        <v>-50</v>
      </c>
      <c r="CG299" s="173">
        <f t="shared" si="798"/>
        <v>0.49377373360680094</v>
      </c>
      <c r="CI299" s="170">
        <v>83</v>
      </c>
      <c r="CJ299" s="217">
        <f t="shared" si="856"/>
        <v>2.0749999999999997</v>
      </c>
      <c r="CK299" s="217"/>
      <c r="CL299" s="217">
        <f t="shared" si="799"/>
        <v>58.099999999999994</v>
      </c>
      <c r="CM299" s="541">
        <f t="shared" si="800"/>
        <v>40</v>
      </c>
      <c r="CN299" s="443">
        <f t="shared" si="801"/>
        <v>28.4</v>
      </c>
      <c r="CO299" s="443">
        <f t="shared" si="802"/>
        <v>68.400000000000006</v>
      </c>
      <c r="CP299" s="443"/>
      <c r="CQ299" s="217">
        <f t="shared" si="803"/>
        <v>0.41520467836257302</v>
      </c>
      <c r="CR299" s="172">
        <f t="shared" si="804"/>
        <v>140.52175355646798</v>
      </c>
      <c r="CS299" s="172">
        <f t="shared" si="805"/>
        <v>58.099999999999994</v>
      </c>
      <c r="CT299" s="217">
        <f t="shared" si="806"/>
        <v>5.0186340555881426</v>
      </c>
      <c r="CU299" s="217">
        <f t="shared" si="807"/>
        <v>28</v>
      </c>
      <c r="CV299" s="217"/>
      <c r="CW299" s="172">
        <f t="shared" si="808"/>
        <v>120.77461114223546</v>
      </c>
      <c r="CX299" s="172">
        <f t="shared" si="809"/>
        <v>28</v>
      </c>
      <c r="CY299" s="217">
        <f t="shared" si="810"/>
        <v>6.9965492957746491</v>
      </c>
      <c r="CZ299" s="217">
        <f t="shared" si="811"/>
        <v>0.82209454225352119</v>
      </c>
      <c r="DA299" s="217">
        <f t="shared" si="812"/>
        <v>1.1578796369767905</v>
      </c>
      <c r="DB299" s="197">
        <f t="shared" si="813"/>
        <v>350</v>
      </c>
      <c r="DC299" s="443">
        <f t="shared" si="814"/>
        <v>350</v>
      </c>
      <c r="DE299" s="217">
        <f t="shared" si="815"/>
        <v>10.09616239179509</v>
      </c>
      <c r="DF299" s="173">
        <f t="shared" si="816"/>
        <v>1.6708437761069339</v>
      </c>
      <c r="DG299" s="173">
        <f t="shared" si="817"/>
        <v>2.9520942666067511</v>
      </c>
      <c r="DH299" s="173"/>
      <c r="DI299" s="173">
        <f t="shared" si="818"/>
        <v>0.55164319248826299</v>
      </c>
      <c r="DJ299" s="545">
        <f t="shared" si="819"/>
        <v>2256.893617021276</v>
      </c>
      <c r="DK299" s="528">
        <f t="shared" si="820"/>
        <v>0.3217918622848201</v>
      </c>
      <c r="DM299" s="173">
        <f t="shared" si="821"/>
        <v>8.4644796894654935</v>
      </c>
      <c r="DN299" s="173">
        <f t="shared" si="822"/>
        <v>8.4644796894654935</v>
      </c>
      <c r="DO299" s="173">
        <f t="shared" si="823"/>
        <v>5.0008491526904884</v>
      </c>
      <c r="DQ299" s="545">
        <f t="shared" si="824"/>
        <v>2074.9999999999995</v>
      </c>
      <c r="DR299" s="460">
        <f t="shared" si="825"/>
        <v>350</v>
      </c>
      <c r="DT299">
        <f t="shared" si="826"/>
        <v>2074.9999999999995</v>
      </c>
      <c r="DU299">
        <f t="shared" si="827"/>
        <v>350</v>
      </c>
      <c r="DW299" s="5">
        <f t="shared" si="857"/>
        <v>2.8571428571428572</v>
      </c>
      <c r="DX299" s="5">
        <f t="shared" si="828"/>
        <v>0.99457636351219536</v>
      </c>
      <c r="DY299" s="5">
        <f t="shared" si="829"/>
        <v>1.8625664936306618</v>
      </c>
      <c r="DZ299" s="5"/>
      <c r="EA299" s="173">
        <f t="shared" si="830"/>
        <v>0.34810172722926835</v>
      </c>
      <c r="EB299" s="173">
        <f t="shared" si="858"/>
        <v>58.93</v>
      </c>
      <c r="EC299" s="173">
        <f t="shared" si="859"/>
        <v>2.758989844732747</v>
      </c>
      <c r="ED299" s="173">
        <f t="shared" si="860"/>
        <v>21.35926673035954</v>
      </c>
      <c r="EE299" s="460">
        <f t="shared" si="831"/>
        <v>7.3705212653135899</v>
      </c>
      <c r="EF299" s="5">
        <f t="shared" si="832"/>
        <v>1.9324127371418114</v>
      </c>
      <c r="EH299" s="173">
        <f t="shared" si="861"/>
        <v>2.8833192333957793</v>
      </c>
      <c r="EI299" s="173">
        <f t="shared" si="862"/>
        <v>3.9457499079542866</v>
      </c>
      <c r="EK299" s="528">
        <f t="shared" si="863"/>
        <v>9.9762357620040307E-2</v>
      </c>
      <c r="EL299" s="528">
        <f t="shared" si="864"/>
        <v>3.8501532315502751</v>
      </c>
      <c r="EM299" s="528">
        <f t="shared" si="865"/>
        <v>4.0250000000000001E-2</v>
      </c>
      <c r="EN299" s="528">
        <f t="shared" si="866"/>
        <v>0.80646678000000016</v>
      </c>
      <c r="EO299">
        <f t="shared" si="867"/>
        <v>1.7999999999999999E-2</v>
      </c>
      <c r="EP299" s="460">
        <f t="shared" si="868"/>
        <v>58.249999999999993</v>
      </c>
      <c r="EQ299" s="460"/>
      <c r="ER299" s="460">
        <f t="shared" si="869"/>
        <v>4814.6323691703155</v>
      </c>
      <c r="ES299" s="528">
        <f t="shared" si="870"/>
        <v>1.4524999999999997</v>
      </c>
      <c r="EV299" s="460">
        <f t="shared" si="871"/>
        <v>1452.4999999999998</v>
      </c>
      <c r="EW299" s="528">
        <f t="shared" si="872"/>
        <v>0.11638941722338036</v>
      </c>
      <c r="EX299" s="528">
        <f t="shared" si="873"/>
        <v>0.21796519270569764</v>
      </c>
      <c r="EY299" s="528">
        <f t="shared" si="874"/>
        <v>23.885854545085788</v>
      </c>
      <c r="EZ299" s="528"/>
      <c r="FA299" s="528">
        <f t="shared" si="875"/>
        <v>2.5076595744680854</v>
      </c>
      <c r="FB299" s="460">
        <f t="shared" si="876"/>
        <v>26727.868729482954</v>
      </c>
      <c r="FC299" s="173">
        <f t="shared" si="877"/>
        <v>32.995001098653269</v>
      </c>
      <c r="FD299" s="5">
        <f t="shared" si="878"/>
        <v>58.099999999999994</v>
      </c>
      <c r="FE299" s="173">
        <f t="shared" si="879"/>
        <v>0.63779570008544562</v>
      </c>
      <c r="FF299" s="5">
        <f t="shared" si="880"/>
        <v>63.77957000854456</v>
      </c>
      <c r="FI299" s="562">
        <f t="shared" si="833"/>
        <v>-50</v>
      </c>
      <c r="FJ299">
        <f t="shared" si="834"/>
        <v>-50</v>
      </c>
      <c r="FL299">
        <f t="shared" si="835"/>
        <v>0.4902841228581245</v>
      </c>
    </row>
    <row r="300" spans="5:168">
      <c r="E300" s="170">
        <v>84</v>
      </c>
      <c r="F300" s="217">
        <f t="shared" si="836"/>
        <v>2.1</v>
      </c>
      <c r="G300" s="217"/>
      <c r="H300" s="217">
        <f t="shared" si="762"/>
        <v>58.800000000000004</v>
      </c>
      <c r="I300" s="541">
        <f t="shared" si="763"/>
        <v>39.890083203614466</v>
      </c>
      <c r="J300" s="172">
        <f t="shared" si="764"/>
        <v>28.459185967284519</v>
      </c>
      <c r="K300" s="172">
        <f t="shared" si="765"/>
        <v>68.349269170898992</v>
      </c>
      <c r="L300" s="443"/>
      <c r="M300" s="217">
        <f t="shared" si="766"/>
        <v>0.41638238661439436</v>
      </c>
      <c r="N300" s="172">
        <f t="shared" si="767"/>
        <v>140.53309900393856</v>
      </c>
      <c r="O300" s="172">
        <f t="shared" si="760"/>
        <v>58.800000000000004</v>
      </c>
      <c r="P300" s="217">
        <f t="shared" si="768"/>
        <v>5.0190392501406631</v>
      </c>
      <c r="Q300" s="217">
        <f t="shared" si="769"/>
        <v>28</v>
      </c>
      <c r="R300" s="217"/>
      <c r="S300" s="172">
        <f t="shared" si="770"/>
        <v>118.53805191331442</v>
      </c>
      <c r="T300" s="172">
        <f t="shared" si="771"/>
        <v>28</v>
      </c>
      <c r="U300" s="217">
        <f t="shared" si="772"/>
        <v>7.0802734231994764</v>
      </c>
      <c r="V300" s="217">
        <f t="shared" si="773"/>
        <v>0.83422450936432901</v>
      </c>
      <c r="W300" s="217">
        <f t="shared" si="774"/>
        <v>1.1692985571439642</v>
      </c>
      <c r="X300" s="197">
        <f t="shared" si="775"/>
        <v>350</v>
      </c>
      <c r="Y300" s="443">
        <f t="shared" si="837"/>
        <v>350</v>
      </c>
      <c r="AA300" s="217">
        <f t="shared" si="776"/>
        <v>10.096890310810432</v>
      </c>
      <c r="AB300" s="173">
        <f t="shared" si="777"/>
        <v>1.6674891725772387</v>
      </c>
      <c r="AC300" s="173">
        <f t="shared" si="778"/>
        <v>2.9463796722458748</v>
      </c>
      <c r="AD300" s="173"/>
      <c r="AE300" s="173">
        <f t="shared" si="779"/>
        <v>0.55049595180538224</v>
      </c>
      <c r="AF300" s="545">
        <f t="shared" si="780"/>
        <v>2288.8451692837334</v>
      </c>
      <c r="AG300" s="528">
        <f t="shared" si="781"/>
        <v>0.32112263855313966</v>
      </c>
      <c r="AI300" s="173">
        <f t="shared" si="782"/>
        <v>8.5241862606252816</v>
      </c>
      <c r="AJ300" s="173">
        <f t="shared" si="783"/>
        <v>8.5241862606252816</v>
      </c>
      <c r="AK300" s="173">
        <f t="shared" si="784"/>
        <v>5.0450762424384799</v>
      </c>
      <c r="AM300" s="545">
        <f t="shared" si="785"/>
        <v>2100</v>
      </c>
      <c r="AN300" s="460">
        <f t="shared" si="786"/>
        <v>350</v>
      </c>
      <c r="AP300">
        <f t="shared" si="787"/>
        <v>2100</v>
      </c>
      <c r="AQ300">
        <f t="shared" si="788"/>
        <v>350</v>
      </c>
      <c r="AS300" s="5">
        <f t="shared" si="761"/>
        <v>2.8571428571428572</v>
      </c>
      <c r="AT300" s="5">
        <f t="shared" si="789"/>
        <v>1.0043517638315838</v>
      </c>
      <c r="AU300" s="5">
        <f t="shared" si="881"/>
        <v>1.8527910933112735</v>
      </c>
      <c r="AV300" s="5"/>
      <c r="AW300" s="173">
        <f t="shared" si="882"/>
        <v>0.35152311734105429</v>
      </c>
      <c r="AX300" s="173">
        <f t="shared" si="790"/>
        <v>59.76429053129749</v>
      </c>
      <c r="AY300" s="173">
        <f t="shared" si="791"/>
        <v>2.7638688667472491</v>
      </c>
      <c r="AZ300" s="173">
        <f t="shared" si="792"/>
        <v>21.623417539933101</v>
      </c>
      <c r="BA300" s="460">
        <f t="shared" si="723"/>
        <v>7.5326382287368778</v>
      </c>
      <c r="BB300" s="5">
        <f t="shared" si="724"/>
        <v>1.9507912661366025</v>
      </c>
      <c r="BD300" s="173">
        <f t="shared" si="838"/>
        <v>2.9178922395934532</v>
      </c>
      <c r="BE300" s="173">
        <f t="shared" si="839"/>
        <v>3.963141264207545</v>
      </c>
      <c r="BG300" s="528">
        <f t="shared" si="840"/>
        <v>0.10216914146255639</v>
      </c>
      <c r="BH300" s="528">
        <f t="shared" si="793"/>
        <v>3.7214973938534013</v>
      </c>
      <c r="BI300" s="528">
        <f t="shared" si="841"/>
        <v>4.0250000000000001E-2</v>
      </c>
      <c r="BJ300" s="528">
        <f t="shared" si="842"/>
        <v>0.8052709450192862</v>
      </c>
      <c r="BK300">
        <f t="shared" si="843"/>
        <v>1.7950537441626509E-2</v>
      </c>
      <c r="BL300" s="460">
        <f t="shared" si="844"/>
        <v>58.200537441626508</v>
      </c>
      <c r="BM300" s="528">
        <f t="shared" si="794"/>
        <v>4.7723743885483065</v>
      </c>
      <c r="BN300" s="460">
        <f t="shared" si="845"/>
        <v>4772.3743885483063</v>
      </c>
      <c r="BO300" s="528">
        <f t="shared" si="795"/>
        <v>1.47</v>
      </c>
      <c r="BR300" s="460">
        <f t="shared" si="846"/>
        <v>1470</v>
      </c>
      <c r="BS300" s="528">
        <f t="shared" si="847"/>
        <v>0.11919733170631579</v>
      </c>
      <c r="BT300" s="528">
        <f t="shared" si="848"/>
        <v>0.21989084152090407</v>
      </c>
      <c r="BU300" s="528">
        <f t="shared" si="849"/>
        <v>24.309299387355718</v>
      </c>
      <c r="BV300" s="528"/>
      <c r="BW300" s="528">
        <f t="shared" si="850"/>
        <v>2.543161299204149</v>
      </c>
      <c r="BX300" s="460">
        <f t="shared" si="851"/>
        <v>27191.54885978709</v>
      </c>
      <c r="BY300" s="173">
        <f t="shared" si="852"/>
        <v>33.348686877563956</v>
      </c>
      <c r="BZ300" s="5">
        <f t="shared" si="853"/>
        <v>58.800000000000004</v>
      </c>
      <c r="CA300" s="173">
        <f t="shared" si="854"/>
        <v>0.63809916334593397</v>
      </c>
      <c r="CB300" s="5">
        <f t="shared" si="855"/>
        <v>63.809916334593396</v>
      </c>
      <c r="CE300" s="562">
        <f t="shared" si="796"/>
        <v>-50</v>
      </c>
      <c r="CF300">
        <f t="shared" si="797"/>
        <v>-50</v>
      </c>
      <c r="CG300" s="173">
        <f t="shared" si="798"/>
        <v>0.49673936828079174</v>
      </c>
      <c r="CI300" s="170">
        <v>84</v>
      </c>
      <c r="CJ300" s="217">
        <f t="shared" si="856"/>
        <v>2.1</v>
      </c>
      <c r="CK300" s="217"/>
      <c r="CL300" s="217">
        <f t="shared" si="799"/>
        <v>58.800000000000004</v>
      </c>
      <c r="CM300" s="541">
        <f t="shared" si="800"/>
        <v>40</v>
      </c>
      <c r="CN300" s="443">
        <f t="shared" si="801"/>
        <v>28.4</v>
      </c>
      <c r="CO300" s="443">
        <f t="shared" si="802"/>
        <v>68.400000000000006</v>
      </c>
      <c r="CP300" s="443"/>
      <c r="CQ300" s="217">
        <f t="shared" si="803"/>
        <v>0.41520467836257302</v>
      </c>
      <c r="CR300" s="172">
        <f t="shared" si="804"/>
        <v>140.52175355646798</v>
      </c>
      <c r="CS300" s="172">
        <f t="shared" si="805"/>
        <v>58.800000000000004</v>
      </c>
      <c r="CT300" s="217">
        <f t="shared" si="806"/>
        <v>5.0186340555881426</v>
      </c>
      <c r="CU300" s="217">
        <f t="shared" si="807"/>
        <v>28</v>
      </c>
      <c r="CV300" s="217"/>
      <c r="CW300" s="172">
        <f t="shared" si="808"/>
        <v>118.86431453411821</v>
      </c>
      <c r="CX300" s="172">
        <f t="shared" si="809"/>
        <v>28</v>
      </c>
      <c r="CY300" s="217">
        <f t="shared" si="810"/>
        <v>7.0808450704225372</v>
      </c>
      <c r="CZ300" s="217">
        <f t="shared" si="811"/>
        <v>0.83199929577464804</v>
      </c>
      <c r="DA300" s="217">
        <f t="shared" si="812"/>
        <v>1.1718299940488002</v>
      </c>
      <c r="DB300" s="197">
        <f t="shared" si="813"/>
        <v>350</v>
      </c>
      <c r="DC300" s="443">
        <f t="shared" si="814"/>
        <v>350</v>
      </c>
      <c r="DE300" s="217">
        <f t="shared" si="815"/>
        <v>10.09616239179509</v>
      </c>
      <c r="DF300" s="173">
        <f t="shared" si="816"/>
        <v>1.6708437761069339</v>
      </c>
      <c r="DG300" s="173">
        <f t="shared" si="817"/>
        <v>2.9520942666067511</v>
      </c>
      <c r="DH300" s="173"/>
      <c r="DI300" s="173">
        <f t="shared" si="818"/>
        <v>0.55164319248826299</v>
      </c>
      <c r="DJ300" s="545">
        <f t="shared" si="819"/>
        <v>2284.0851063829787</v>
      </c>
      <c r="DK300" s="528">
        <f t="shared" si="820"/>
        <v>0.3217918622848201</v>
      </c>
      <c r="DM300" s="173">
        <f t="shared" si="821"/>
        <v>8.5153178624096206</v>
      </c>
      <c r="DN300" s="173">
        <f t="shared" si="822"/>
        <v>8.5153178624096206</v>
      </c>
      <c r="DO300" s="173">
        <f t="shared" si="823"/>
        <v>5.0385070585750276</v>
      </c>
      <c r="DQ300" s="545">
        <f t="shared" si="824"/>
        <v>2100</v>
      </c>
      <c r="DR300" s="460">
        <f t="shared" si="825"/>
        <v>350</v>
      </c>
      <c r="DT300">
        <f t="shared" si="826"/>
        <v>2100</v>
      </c>
      <c r="DU300">
        <f t="shared" si="827"/>
        <v>350</v>
      </c>
      <c r="DW300" s="5">
        <f t="shared" si="857"/>
        <v>2.8571428571428572</v>
      </c>
      <c r="DX300" s="5">
        <f t="shared" si="828"/>
        <v>1.0005498488331306</v>
      </c>
      <c r="DY300" s="5">
        <f t="shared" si="829"/>
        <v>1.8565930083097266</v>
      </c>
      <c r="DZ300" s="5"/>
      <c r="EA300" s="173">
        <f t="shared" si="830"/>
        <v>0.35019244709159569</v>
      </c>
      <c r="EB300" s="173">
        <f t="shared" si="858"/>
        <v>59.640000000000008</v>
      </c>
      <c r="EC300" s="173">
        <f t="shared" si="859"/>
        <v>2.7666589312048098</v>
      </c>
      <c r="ED300" s="173">
        <f t="shared" si="860"/>
        <v>21.556686777443975</v>
      </c>
      <c r="EE300" s="460">
        <f t="shared" si="831"/>
        <v>7.5041238662484799</v>
      </c>
      <c r="EF300" s="5">
        <f t="shared" si="832"/>
        <v>1.949422658725213</v>
      </c>
      <c r="EH300" s="173">
        <f t="shared" si="861"/>
        <v>2.90933428042141</v>
      </c>
      <c r="EI300" s="173">
        <f t="shared" si="862"/>
        <v>3.9630779465867545</v>
      </c>
      <c r="EK300" s="528">
        <f t="shared" si="863"/>
        <v>0.10157071146282196</v>
      </c>
      <c r="EL300" s="528">
        <f t="shared" si="864"/>
        <v>3.8732774828956411</v>
      </c>
      <c r="EM300" s="528">
        <f t="shared" si="865"/>
        <v>4.0250000000000001E-2</v>
      </c>
      <c r="EN300" s="528">
        <f t="shared" si="866"/>
        <v>0.80646678000000016</v>
      </c>
      <c r="EO300">
        <f t="shared" si="867"/>
        <v>1.7999999999999999E-2</v>
      </c>
      <c r="EP300" s="460">
        <f t="shared" si="868"/>
        <v>58.249999999999993</v>
      </c>
      <c r="EQ300" s="460"/>
      <c r="ER300" s="460">
        <f t="shared" si="869"/>
        <v>4839.5649743584636</v>
      </c>
      <c r="ES300" s="528">
        <f t="shared" si="870"/>
        <v>1.47</v>
      </c>
      <c r="EV300" s="460">
        <f t="shared" si="871"/>
        <v>1470</v>
      </c>
      <c r="EW300" s="528">
        <f t="shared" si="872"/>
        <v>0.11849916337329228</v>
      </c>
      <c r="EX300" s="528">
        <f t="shared" si="873"/>
        <v>0.21988381535011203</v>
      </c>
      <c r="EY300" s="528">
        <f t="shared" si="874"/>
        <v>24.246121404024713</v>
      </c>
      <c r="EZ300" s="528"/>
      <c r="FA300" s="528">
        <f t="shared" si="875"/>
        <v>2.5378723404255323</v>
      </c>
      <c r="FB300" s="460">
        <f t="shared" si="876"/>
        <v>27122.376723173653</v>
      </c>
      <c r="FC300" s="173">
        <f t="shared" si="877"/>
        <v>33.43194169753211</v>
      </c>
      <c r="FD300" s="5">
        <f t="shared" si="878"/>
        <v>58.800000000000004</v>
      </c>
      <c r="FE300" s="173">
        <f t="shared" si="879"/>
        <v>0.63752317166682115</v>
      </c>
      <c r="FF300" s="5">
        <f t="shared" si="880"/>
        <v>63.752317166682118</v>
      </c>
      <c r="FI300" s="562">
        <f t="shared" si="833"/>
        <v>-50</v>
      </c>
      <c r="FJ300">
        <f t="shared" si="834"/>
        <v>-50</v>
      </c>
      <c r="FL300">
        <f t="shared" si="835"/>
        <v>0.49322879872055725</v>
      </c>
    </row>
    <row r="301" spans="5:168">
      <c r="E301" s="170">
        <v>85</v>
      </c>
      <c r="F301" s="217">
        <f t="shared" si="836"/>
        <v>2.125</v>
      </c>
      <c r="G301" s="217"/>
      <c r="H301" s="217">
        <f t="shared" si="762"/>
        <v>59.5</v>
      </c>
      <c r="I301" s="541">
        <f t="shared" si="763"/>
        <v>39.88943087268639</v>
      </c>
      <c r="J301" s="172">
        <f t="shared" si="764"/>
        <v>28.459537222399636</v>
      </c>
      <c r="K301" s="172">
        <f t="shared" si="765"/>
        <v>68.348968095086022</v>
      </c>
      <c r="L301" s="443"/>
      <c r="M301" s="217">
        <f t="shared" si="766"/>
        <v>0.41638938121743907</v>
      </c>
      <c r="N301" s="172">
        <f t="shared" si="767"/>
        <v>140.5331615444332</v>
      </c>
      <c r="O301" s="172">
        <f t="shared" si="760"/>
        <v>59.5</v>
      </c>
      <c r="P301" s="217">
        <f t="shared" si="768"/>
        <v>5.0190414837297572</v>
      </c>
      <c r="Q301" s="217">
        <f t="shared" si="769"/>
        <v>28</v>
      </c>
      <c r="R301" s="217"/>
      <c r="S301" s="172">
        <f t="shared" si="770"/>
        <v>116.67599540511043</v>
      </c>
      <c r="T301" s="172">
        <f t="shared" si="771"/>
        <v>28</v>
      </c>
      <c r="U301" s="217">
        <f t="shared" si="772"/>
        <v>7.1645592041279498</v>
      </c>
      <c r="V301" s="217">
        <f t="shared" si="773"/>
        <v>0.84416918273102448</v>
      </c>
      <c r="W301" s="217">
        <f t="shared" si="774"/>
        <v>1.1832036479109729</v>
      </c>
      <c r="X301" s="197">
        <f t="shared" si="775"/>
        <v>350</v>
      </c>
      <c r="Y301" s="443">
        <f t="shared" si="837"/>
        <v>350</v>
      </c>
      <c r="AA301" s="217">
        <f t="shared" si="776"/>
        <v>10.096894288639108</v>
      </c>
      <c r="AB301" s="173">
        <f t="shared" si="777"/>
        <v>1.6674692489115073</v>
      </c>
      <c r="AC301" s="173">
        <f t="shared" si="778"/>
        <v>2.9463456287677894</v>
      </c>
      <c r="AD301" s="173"/>
      <c r="AE301" s="173">
        <f t="shared" si="779"/>
        <v>0.55048915743914173</v>
      </c>
      <c r="AF301" s="545">
        <f t="shared" si="780"/>
        <v>2316.1219122484804</v>
      </c>
      <c r="AG301" s="528">
        <f t="shared" si="781"/>
        <v>0.32111867517283271</v>
      </c>
      <c r="AI301" s="173">
        <f t="shared" si="782"/>
        <v>8.57482826381497</v>
      </c>
      <c r="AJ301" s="173">
        <f t="shared" si="783"/>
        <v>8.57482826381497</v>
      </c>
      <c r="AK301" s="173">
        <f t="shared" si="784"/>
        <v>5.0825888373938044</v>
      </c>
      <c r="AM301" s="545">
        <f t="shared" si="785"/>
        <v>2125</v>
      </c>
      <c r="AN301" s="460">
        <f t="shared" si="786"/>
        <v>350</v>
      </c>
      <c r="AP301">
        <f t="shared" si="787"/>
        <v>2125</v>
      </c>
      <c r="AQ301">
        <f t="shared" si="788"/>
        <v>350</v>
      </c>
      <c r="AS301" s="5">
        <f t="shared" si="761"/>
        <v>2.8571428571428572</v>
      </c>
      <c r="AT301" s="5">
        <f t="shared" si="789"/>
        <v>1.0103351178050088</v>
      </c>
      <c r="AU301" s="5">
        <f t="shared" si="881"/>
        <v>1.8468077393378484</v>
      </c>
      <c r="AV301" s="5"/>
      <c r="AW301" s="173">
        <f t="shared" si="882"/>
        <v>0.35361729123175306</v>
      </c>
      <c r="AX301" s="173">
        <f t="shared" si="790"/>
        <v>60.476516597599243</v>
      </c>
      <c r="AY301" s="173">
        <f t="shared" si="791"/>
        <v>2.7713103601936222</v>
      </c>
      <c r="AZ301" s="173">
        <f t="shared" si="792"/>
        <v>21.822354315225073</v>
      </c>
      <c r="BA301" s="460">
        <f t="shared" si="723"/>
        <v>7.667721876198728</v>
      </c>
      <c r="BB301" s="5">
        <f t="shared" si="724"/>
        <v>1.9676723183233678</v>
      </c>
      <c r="BD301" s="173">
        <f t="shared" si="838"/>
        <v>2.943957593961855</v>
      </c>
      <c r="BE301" s="173">
        <f t="shared" si="839"/>
        <v>3.9802437449978294</v>
      </c>
      <c r="BG301" s="528">
        <f t="shared" si="840"/>
        <v>0.10400263578054809</v>
      </c>
      <c r="BH301" s="528">
        <f t="shared" si="793"/>
        <v>3.7435902376229162</v>
      </c>
      <c r="BI301" s="528">
        <f t="shared" si="841"/>
        <v>4.0250000000000001E-2</v>
      </c>
      <c r="BJ301" s="528">
        <f t="shared" si="842"/>
        <v>0.80526385066192463</v>
      </c>
      <c r="BK301">
        <f t="shared" si="843"/>
        <v>1.7950243892708873E-2</v>
      </c>
      <c r="BL301" s="460">
        <f t="shared" si="844"/>
        <v>58.200243892708876</v>
      </c>
      <c r="BM301" s="528">
        <f t="shared" si="794"/>
        <v>4.799538969237866</v>
      </c>
      <c r="BN301" s="460">
        <f t="shared" si="845"/>
        <v>4799.5389692378658</v>
      </c>
      <c r="BO301" s="528">
        <f t="shared" si="795"/>
        <v>1.4874999999999998</v>
      </c>
      <c r="BR301" s="460">
        <f t="shared" si="846"/>
        <v>1487.4999999999998</v>
      </c>
      <c r="BS301" s="528">
        <f t="shared" si="847"/>
        <v>0.12133640841063945</v>
      </c>
      <c r="BT301" s="528">
        <f t="shared" si="848"/>
        <v>0.22179276377432083</v>
      </c>
      <c r="BU301" s="528">
        <f t="shared" si="849"/>
        <v>24.671962266165725</v>
      </c>
      <c r="BV301" s="528"/>
      <c r="BW301" s="528">
        <f t="shared" si="850"/>
        <v>2.5734687913872021</v>
      </c>
      <c r="BX301" s="460">
        <f t="shared" si="851"/>
        <v>27588.560229737886</v>
      </c>
      <c r="BY301" s="173">
        <f t="shared" si="852"/>
        <v>33.787117197695984</v>
      </c>
      <c r="BZ301" s="5">
        <f t="shared" si="853"/>
        <v>59.5</v>
      </c>
      <c r="CA301" s="173">
        <f t="shared" si="854"/>
        <v>0.6378158291021726</v>
      </c>
      <c r="CB301" s="5">
        <f t="shared" si="855"/>
        <v>63.78158291021726</v>
      </c>
      <c r="CE301" s="562">
        <f t="shared" si="796"/>
        <v>-50</v>
      </c>
      <c r="CF301">
        <f t="shared" si="797"/>
        <v>-50</v>
      </c>
      <c r="CG301" s="173">
        <f t="shared" si="798"/>
        <v>0.49968740228266711</v>
      </c>
      <c r="CI301" s="170">
        <v>85</v>
      </c>
      <c r="CJ301" s="217">
        <f t="shared" si="856"/>
        <v>2.125</v>
      </c>
      <c r="CK301" s="217"/>
      <c r="CL301" s="217">
        <f t="shared" si="799"/>
        <v>59.5</v>
      </c>
      <c r="CM301" s="541">
        <f t="shared" si="800"/>
        <v>40</v>
      </c>
      <c r="CN301" s="443">
        <f t="shared" si="801"/>
        <v>28.4</v>
      </c>
      <c r="CO301" s="443">
        <f t="shared" si="802"/>
        <v>68.400000000000006</v>
      </c>
      <c r="CP301" s="443"/>
      <c r="CQ301" s="217">
        <f t="shared" si="803"/>
        <v>0.41520467836257302</v>
      </c>
      <c r="CR301" s="172">
        <f t="shared" si="804"/>
        <v>140.52175355646798</v>
      </c>
      <c r="CS301" s="172">
        <f t="shared" si="805"/>
        <v>59.5</v>
      </c>
      <c r="CT301" s="217">
        <f t="shared" si="806"/>
        <v>5.0186340555881426</v>
      </c>
      <c r="CU301" s="217">
        <f t="shared" si="807"/>
        <v>28</v>
      </c>
      <c r="CV301" s="217"/>
      <c r="CW301" s="172">
        <f t="shared" si="808"/>
        <v>116.99903242230307</v>
      </c>
      <c r="CX301" s="172">
        <f t="shared" si="809"/>
        <v>28</v>
      </c>
      <c r="CY301" s="217">
        <f t="shared" si="810"/>
        <v>7.1651408450704244</v>
      </c>
      <c r="CZ301" s="217">
        <f t="shared" si="811"/>
        <v>0.84190404929577489</v>
      </c>
      <c r="DA301" s="217">
        <f t="shared" si="812"/>
        <v>1.1857803511208096</v>
      </c>
      <c r="DB301" s="197">
        <f t="shared" si="813"/>
        <v>350</v>
      </c>
      <c r="DC301" s="443">
        <f t="shared" si="814"/>
        <v>350</v>
      </c>
      <c r="DE301" s="217">
        <f t="shared" si="815"/>
        <v>10.09616239179509</v>
      </c>
      <c r="DF301" s="173">
        <f t="shared" si="816"/>
        <v>1.6708437761069339</v>
      </c>
      <c r="DG301" s="173">
        <f t="shared" si="817"/>
        <v>2.9520942666067511</v>
      </c>
      <c r="DH301" s="173"/>
      <c r="DI301" s="173">
        <f t="shared" si="818"/>
        <v>0.55164319248826299</v>
      </c>
      <c r="DJ301" s="545">
        <f t="shared" si="819"/>
        <v>2311.2765957446804</v>
      </c>
      <c r="DK301" s="528">
        <f t="shared" si="820"/>
        <v>0.3217918622848201</v>
      </c>
      <c r="DM301" s="173">
        <f t="shared" si="821"/>
        <v>8.5658543171344448</v>
      </c>
      <c r="DN301" s="173">
        <f t="shared" si="822"/>
        <v>8.5658543171344448</v>
      </c>
      <c r="DO301" s="173">
        <f t="shared" si="823"/>
        <v>5.0759414694823048</v>
      </c>
      <c r="DQ301" s="545">
        <f t="shared" si="824"/>
        <v>2125</v>
      </c>
      <c r="DR301" s="460">
        <f t="shared" si="825"/>
        <v>350</v>
      </c>
      <c r="DT301">
        <f t="shared" si="826"/>
        <v>2125</v>
      </c>
      <c r="DU301">
        <f t="shared" si="827"/>
        <v>350</v>
      </c>
      <c r="DW301" s="5">
        <f t="shared" si="857"/>
        <v>2.8571428571428572</v>
      </c>
      <c r="DX301" s="5">
        <f t="shared" si="828"/>
        <v>1.0064878822632974</v>
      </c>
      <c r="DY301" s="5">
        <f t="shared" si="829"/>
        <v>1.8506549748795598</v>
      </c>
      <c r="DZ301" s="5"/>
      <c r="EA301" s="173">
        <f t="shared" si="830"/>
        <v>0.35227075879215408</v>
      </c>
      <c r="EB301" s="173">
        <f t="shared" si="858"/>
        <v>60.349999999999987</v>
      </c>
      <c r="EC301" s="173">
        <f t="shared" si="859"/>
        <v>2.7741771585672224</v>
      </c>
      <c r="ED301" s="173">
        <f t="shared" si="860"/>
        <v>21.754198290338788</v>
      </c>
      <c r="EE301" s="460">
        <f t="shared" si="831"/>
        <v>7.6385241064625253</v>
      </c>
      <c r="EF301" s="5">
        <f t="shared" si="832"/>
        <v>1.9663209108095321</v>
      </c>
      <c r="EH301" s="173">
        <f t="shared" si="861"/>
        <v>2.9352720147630373</v>
      </c>
      <c r="EI301" s="173">
        <f t="shared" si="862"/>
        <v>3.9802175309237233</v>
      </c>
      <c r="EK301" s="528">
        <f t="shared" si="863"/>
        <v>0.10338986160781273</v>
      </c>
      <c r="EL301" s="528">
        <f t="shared" si="864"/>
        <v>3.8962644946917737</v>
      </c>
      <c r="EM301" s="528">
        <f t="shared" si="865"/>
        <v>4.0250000000000001E-2</v>
      </c>
      <c r="EN301" s="528">
        <f t="shared" si="866"/>
        <v>0.80646678000000016</v>
      </c>
      <c r="EO301">
        <f t="shared" si="867"/>
        <v>1.7999999999999999E-2</v>
      </c>
      <c r="EP301" s="460">
        <f t="shared" si="868"/>
        <v>58.249999999999993</v>
      </c>
      <c r="EQ301" s="460"/>
      <c r="ER301" s="460">
        <f t="shared" si="869"/>
        <v>4864.3711362995864</v>
      </c>
      <c r="ES301" s="528">
        <f t="shared" si="870"/>
        <v>1.4874999999999998</v>
      </c>
      <c r="EV301" s="460">
        <f t="shared" si="871"/>
        <v>1487.4999999999998</v>
      </c>
      <c r="EW301" s="528">
        <f t="shared" si="872"/>
        <v>0.12062150520911485</v>
      </c>
      <c r="EX301" s="528">
        <f t="shared" si="873"/>
        <v>0.22178984230861556</v>
      </c>
      <c r="EY301" s="528">
        <f t="shared" si="874"/>
        <v>24.607462105139639</v>
      </c>
      <c r="EZ301" s="528"/>
      <c r="FA301" s="528">
        <f t="shared" si="875"/>
        <v>2.5680851063829784</v>
      </c>
      <c r="FB301" s="460">
        <f t="shared" si="876"/>
        <v>27517.958559040348</v>
      </c>
      <c r="FC301" s="173">
        <f t="shared" si="877"/>
        <v>33.869829695339938</v>
      </c>
      <c r="FD301" s="5">
        <f t="shared" si="878"/>
        <v>59.5</v>
      </c>
      <c r="FE301" s="173">
        <f t="shared" si="879"/>
        <v>0.63725081425279306</v>
      </c>
      <c r="FF301" s="5">
        <f t="shared" si="880"/>
        <v>63.725081425279306</v>
      </c>
      <c r="FI301" s="562">
        <f t="shared" si="833"/>
        <v>-50</v>
      </c>
      <c r="FJ301">
        <f t="shared" si="834"/>
        <v>-50</v>
      </c>
      <c r="FL301">
        <f t="shared" si="835"/>
        <v>0.49615599829880852</v>
      </c>
    </row>
    <row r="302" spans="5:168">
      <c r="E302" s="170">
        <v>86</v>
      </c>
      <c r="F302" s="217">
        <f t="shared" si="836"/>
        <v>2.15</v>
      </c>
      <c r="G302" s="217"/>
      <c r="H302" s="217">
        <f t="shared" si="762"/>
        <v>60.199999999999996</v>
      </c>
      <c r="I302" s="541">
        <f t="shared" si="763"/>
        <v>39.888782367845167</v>
      </c>
      <c r="J302" s="172">
        <f t="shared" si="764"/>
        <v>28.459886417314138</v>
      </c>
      <c r="K302" s="172">
        <f t="shared" si="765"/>
        <v>68.348668785159305</v>
      </c>
      <c r="L302" s="443"/>
      <c r="M302" s="217">
        <f t="shared" si="766"/>
        <v>0.4163963348559313</v>
      </c>
      <c r="N302" s="172">
        <f t="shared" si="767"/>
        <v>140.53322366202192</v>
      </c>
      <c r="O302" s="172">
        <f t="shared" si="760"/>
        <v>60.199999999999996</v>
      </c>
      <c r="P302" s="217">
        <f t="shared" si="768"/>
        <v>5.0190437022150691</v>
      </c>
      <c r="Q302" s="217">
        <f t="shared" si="769"/>
        <v>28</v>
      </c>
      <c r="R302" s="217"/>
      <c r="S302" s="172">
        <f t="shared" si="770"/>
        <v>114.85733504648992</v>
      </c>
      <c r="T302" s="172">
        <f t="shared" si="771"/>
        <v>28</v>
      </c>
      <c r="U302" s="217">
        <f t="shared" si="772"/>
        <v>7.2488449318521386</v>
      </c>
      <c r="V302" s="217">
        <f t="shared" si="773"/>
        <v>0.8541140931684329</v>
      </c>
      <c r="W302" s="217">
        <f t="shared" si="774"/>
        <v>1.1971084733134476</v>
      </c>
      <c r="X302" s="197">
        <f t="shared" si="775"/>
        <v>350</v>
      </c>
      <c r="Y302" s="443">
        <f t="shared" si="837"/>
        <v>350</v>
      </c>
      <c r="AA302" s="217">
        <f t="shared" si="776"/>
        <v>10.096898239131423</v>
      </c>
      <c r="AB302" s="173">
        <f t="shared" si="777"/>
        <v>1.6674494419291581</v>
      </c>
      <c r="AC302" s="173">
        <f t="shared" si="778"/>
        <v>2.9463117834596582</v>
      </c>
      <c r="AD302" s="173"/>
      <c r="AE302" s="173">
        <f t="shared" si="779"/>
        <v>0.55048240308982888</v>
      </c>
      <c r="AF302" s="545">
        <f t="shared" si="780"/>
        <v>2343.3991581916107</v>
      </c>
      <c r="AG302" s="528">
        <f t="shared" si="781"/>
        <v>0.32111473513573352</v>
      </c>
      <c r="AI302" s="173">
        <f t="shared" si="782"/>
        <v>8.6251738573535395</v>
      </c>
      <c r="AJ302" s="173">
        <f t="shared" si="783"/>
        <v>8.6251738573535395</v>
      </c>
      <c r="AK302" s="173">
        <f t="shared" si="784"/>
        <v>5.1198818696445967</v>
      </c>
      <c r="AM302" s="545">
        <f t="shared" si="785"/>
        <v>2150</v>
      </c>
      <c r="AN302" s="460">
        <f t="shared" si="786"/>
        <v>350</v>
      </c>
      <c r="AP302">
        <f t="shared" si="787"/>
        <v>2150</v>
      </c>
      <c r="AQ302">
        <f t="shared" si="788"/>
        <v>350</v>
      </c>
      <c r="AS302" s="5">
        <f t="shared" si="761"/>
        <v>2.8571428571428572</v>
      </c>
      <c r="AT302" s="5">
        <f t="shared" si="789"/>
        <v>1.0162836447532193</v>
      </c>
      <c r="AU302" s="5">
        <f t="shared" si="881"/>
        <v>1.8408592123896379</v>
      </c>
      <c r="AV302" s="5"/>
      <c r="AW302" s="173">
        <f t="shared" si="882"/>
        <v>0.35569927566362675</v>
      </c>
      <c r="AX302" s="173">
        <f t="shared" si="790"/>
        <v>61.188755797225383</v>
      </c>
      <c r="AY302" s="173">
        <f t="shared" si="791"/>
        <v>2.7786028819100177</v>
      </c>
      <c r="AZ302" s="173">
        <f t="shared" si="792"/>
        <v>22.021410902433132</v>
      </c>
      <c r="BA302" s="460">
        <f t="shared" si="723"/>
        <v>7.8036065579265044</v>
      </c>
      <c r="BB302" s="5">
        <f t="shared" si="724"/>
        <v>1.9844412748122338</v>
      </c>
      <c r="BD302" s="173">
        <f t="shared" si="838"/>
        <v>2.9699471485499509</v>
      </c>
      <c r="BE302" s="173">
        <f t="shared" si="839"/>
        <v>3.9971600699344436</v>
      </c>
      <c r="BG302" s="528">
        <f t="shared" si="840"/>
        <v>0.10584703278215982</v>
      </c>
      <c r="BH302" s="528">
        <f t="shared" si="793"/>
        <v>3.765553578230417</v>
      </c>
      <c r="BI302" s="528">
        <f t="shared" si="841"/>
        <v>4.0250000000000001E-2</v>
      </c>
      <c r="BJ302" s="528">
        <f t="shared" si="842"/>
        <v>0.80525679794575011</v>
      </c>
      <c r="BK302">
        <f t="shared" si="843"/>
        <v>1.7949952065530326E-2</v>
      </c>
      <c r="BL302" s="460">
        <f t="shared" si="844"/>
        <v>58.199952065530333</v>
      </c>
      <c r="BM302" s="528">
        <f t="shared" si="794"/>
        <v>4.8266220566478779</v>
      </c>
      <c r="BN302" s="460">
        <f t="shared" si="845"/>
        <v>4826.6220566478778</v>
      </c>
      <c r="BO302" s="528">
        <f t="shared" si="795"/>
        <v>1.5049999999999999</v>
      </c>
      <c r="BR302" s="460">
        <f t="shared" si="846"/>
        <v>1505</v>
      </c>
      <c r="BS302" s="528">
        <f t="shared" si="847"/>
        <v>0.12348820491251979</v>
      </c>
      <c r="BT302" s="528">
        <f t="shared" si="848"/>
        <v>0.22368204074549658</v>
      </c>
      <c r="BU302" s="528">
        <f t="shared" si="849"/>
        <v>25.035701218388478</v>
      </c>
      <c r="BV302" s="528"/>
      <c r="BW302" s="528">
        <f t="shared" si="850"/>
        <v>2.6037768424351233</v>
      </c>
      <c r="BX302" s="460">
        <f t="shared" si="851"/>
        <v>27986.64830648162</v>
      </c>
      <c r="BY302" s="173">
        <f t="shared" si="852"/>
        <v>34.226505667505478</v>
      </c>
      <c r="BZ302" s="5">
        <f t="shared" si="853"/>
        <v>60.199999999999996</v>
      </c>
      <c r="CA302" s="173">
        <f t="shared" si="854"/>
        <v>0.63753285769120993</v>
      </c>
      <c r="CB302" s="5">
        <f t="shared" si="855"/>
        <v>63.753285769120993</v>
      </c>
      <c r="CE302" s="562">
        <f t="shared" si="796"/>
        <v>-50</v>
      </c>
      <c r="CF302">
        <f t="shared" si="797"/>
        <v>-50</v>
      </c>
      <c r="CG302" s="173">
        <f t="shared" si="798"/>
        <v>0.50261814531510896</v>
      </c>
      <c r="CI302" s="170">
        <v>86</v>
      </c>
      <c r="CJ302" s="217">
        <f t="shared" si="856"/>
        <v>2.15</v>
      </c>
      <c r="CK302" s="217"/>
      <c r="CL302" s="217">
        <f t="shared" si="799"/>
        <v>60.199999999999996</v>
      </c>
      <c r="CM302" s="541">
        <f t="shared" si="800"/>
        <v>40</v>
      </c>
      <c r="CN302" s="443">
        <f t="shared" si="801"/>
        <v>28.4</v>
      </c>
      <c r="CO302" s="443">
        <f t="shared" si="802"/>
        <v>68.400000000000006</v>
      </c>
      <c r="CP302" s="443"/>
      <c r="CQ302" s="217">
        <f t="shared" si="803"/>
        <v>0.41520467836257302</v>
      </c>
      <c r="CR302" s="172">
        <f t="shared" si="804"/>
        <v>140.52175355646798</v>
      </c>
      <c r="CS302" s="172">
        <f t="shared" si="805"/>
        <v>60.199999999999996</v>
      </c>
      <c r="CT302" s="217">
        <f t="shared" si="806"/>
        <v>5.0186340555881426</v>
      </c>
      <c r="CU302" s="217">
        <f t="shared" si="807"/>
        <v>28</v>
      </c>
      <c r="CV302" s="217"/>
      <c r="CW302" s="172">
        <f t="shared" si="808"/>
        <v>115.17719530395449</v>
      </c>
      <c r="CX302" s="172">
        <f t="shared" si="809"/>
        <v>28</v>
      </c>
      <c r="CY302" s="217">
        <f t="shared" si="810"/>
        <v>7.2494366197183115</v>
      </c>
      <c r="CZ302" s="217">
        <f t="shared" si="811"/>
        <v>0.85180880281690152</v>
      </c>
      <c r="DA302" s="217">
        <f t="shared" si="812"/>
        <v>1.1997307081928192</v>
      </c>
      <c r="DB302" s="197">
        <f t="shared" si="813"/>
        <v>350</v>
      </c>
      <c r="DC302" s="443">
        <f t="shared" si="814"/>
        <v>350</v>
      </c>
      <c r="DE302" s="217">
        <f t="shared" si="815"/>
        <v>10.09616239179509</v>
      </c>
      <c r="DF302" s="173">
        <f t="shared" si="816"/>
        <v>1.6708437761069339</v>
      </c>
      <c r="DG302" s="173">
        <f t="shared" si="817"/>
        <v>2.9520942666067511</v>
      </c>
      <c r="DH302" s="173"/>
      <c r="DI302" s="173">
        <f t="shared" si="818"/>
        <v>0.55164319248826299</v>
      </c>
      <c r="DJ302" s="545">
        <f t="shared" si="819"/>
        <v>2338.4680851063827</v>
      </c>
      <c r="DK302" s="528">
        <f t="shared" si="820"/>
        <v>0.3217918622848201</v>
      </c>
      <c r="DM302" s="173">
        <f t="shared" si="821"/>
        <v>8.6160943626952751</v>
      </c>
      <c r="DN302" s="173">
        <f t="shared" si="822"/>
        <v>8.6160943626952751</v>
      </c>
      <c r="DO302" s="173">
        <f t="shared" si="823"/>
        <v>5.1131563180458821</v>
      </c>
      <c r="DQ302" s="545">
        <f t="shared" si="824"/>
        <v>2150</v>
      </c>
      <c r="DR302" s="460">
        <f t="shared" si="825"/>
        <v>350</v>
      </c>
      <c r="DT302">
        <f t="shared" si="826"/>
        <v>2150</v>
      </c>
      <c r="DU302">
        <f t="shared" si="827"/>
        <v>350</v>
      </c>
      <c r="DW302" s="5">
        <f t="shared" si="857"/>
        <v>2.8571428571428572</v>
      </c>
      <c r="DX302" s="5">
        <f t="shared" si="828"/>
        <v>1.0123910876166948</v>
      </c>
      <c r="DY302" s="5">
        <f t="shared" si="829"/>
        <v>1.8447517695261624</v>
      </c>
      <c r="DZ302" s="5"/>
      <c r="EA302" s="173">
        <f t="shared" si="830"/>
        <v>0.35433688066584318</v>
      </c>
      <c r="EB302" s="173">
        <f t="shared" si="858"/>
        <v>61.059999999999988</v>
      </c>
      <c r="EC302" s="173">
        <f t="shared" si="859"/>
        <v>2.781547181347638</v>
      </c>
      <c r="ED302" s="173">
        <f t="shared" si="860"/>
        <v>21.951811714521014</v>
      </c>
      <c r="EE302" s="460">
        <f t="shared" si="831"/>
        <v>7.7737172799139067</v>
      </c>
      <c r="EF302" s="5">
        <f t="shared" si="832"/>
        <v>1.9831081522406242</v>
      </c>
      <c r="EH302" s="173">
        <f t="shared" si="861"/>
        <v>2.9611335717541616</v>
      </c>
      <c r="EI302" s="173">
        <f t="shared" si="862"/>
        <v>3.9971717491896959</v>
      </c>
      <c r="EK302" s="528">
        <f t="shared" si="863"/>
        <v>0.10521974435723472</v>
      </c>
      <c r="EL302" s="528">
        <f t="shared" si="864"/>
        <v>3.9191166818155736</v>
      </c>
      <c r="EM302" s="528">
        <f t="shared" si="865"/>
        <v>4.0250000000000001E-2</v>
      </c>
      <c r="EN302" s="528">
        <f t="shared" si="866"/>
        <v>0.80646678000000016</v>
      </c>
      <c r="EO302">
        <f t="shared" si="867"/>
        <v>1.7999999999999999E-2</v>
      </c>
      <c r="EP302" s="460">
        <f t="shared" si="868"/>
        <v>58.249999999999993</v>
      </c>
      <c r="EQ302" s="460"/>
      <c r="ER302" s="460">
        <f t="shared" si="869"/>
        <v>4889.0532061728081</v>
      </c>
      <c r="ES302" s="528">
        <f t="shared" si="870"/>
        <v>1.5049999999999999</v>
      </c>
      <c r="EV302" s="460">
        <f t="shared" si="871"/>
        <v>1505</v>
      </c>
      <c r="EW302" s="528">
        <f t="shared" si="872"/>
        <v>0.12275636841677383</v>
      </c>
      <c r="EX302" s="528">
        <f t="shared" si="873"/>
        <v>0.22368334789528299</v>
      </c>
      <c r="EY302" s="528">
        <f t="shared" si="874"/>
        <v>24.969867158963961</v>
      </c>
      <c r="EZ302" s="528"/>
      <c r="FA302" s="528">
        <f t="shared" si="875"/>
        <v>2.5982978723404253</v>
      </c>
      <c r="FB302" s="460">
        <f t="shared" si="876"/>
        <v>27914.604747616442</v>
      </c>
      <c r="FC302" s="173">
        <f t="shared" si="877"/>
        <v>34.30865795378925</v>
      </c>
      <c r="FD302" s="5">
        <f t="shared" si="878"/>
        <v>60.199999999999996</v>
      </c>
      <c r="FE302" s="173">
        <f t="shared" si="879"/>
        <v>0.63697867796869212</v>
      </c>
      <c r="FF302" s="5">
        <f t="shared" si="880"/>
        <v>63.697867796869211</v>
      </c>
      <c r="FI302" s="562">
        <f t="shared" si="833"/>
        <v>-50</v>
      </c>
      <c r="FJ302">
        <f t="shared" si="834"/>
        <v>-50</v>
      </c>
      <c r="FL302">
        <f t="shared" si="835"/>
        <v>0.49906602910682141</v>
      </c>
    </row>
    <row r="303" spans="5:168">
      <c r="E303" s="170">
        <v>87</v>
      </c>
      <c r="F303" s="217">
        <f t="shared" si="836"/>
        <v>2.1749999999999998</v>
      </c>
      <c r="G303" s="217"/>
      <c r="H303" s="217">
        <f t="shared" si="762"/>
        <v>60.899999999999991</v>
      </c>
      <c r="I303" s="541">
        <f t="shared" si="763"/>
        <v>39.88813762254734</v>
      </c>
      <c r="J303" s="172">
        <f t="shared" si="764"/>
        <v>28.460233587859125</v>
      </c>
      <c r="K303" s="172">
        <f t="shared" si="765"/>
        <v>68.348371210406469</v>
      </c>
      <c r="L303" s="443"/>
      <c r="M303" s="217">
        <f t="shared" si="766"/>
        <v>0.41640324824232883</v>
      </c>
      <c r="N303" s="172">
        <f t="shared" si="767"/>
        <v>140.53328536405922</v>
      </c>
      <c r="O303" s="172">
        <f t="shared" si="760"/>
        <v>60.899999999999991</v>
      </c>
      <c r="P303" s="217">
        <f t="shared" si="768"/>
        <v>5.019045905859258</v>
      </c>
      <c r="Q303" s="217">
        <f t="shared" si="769"/>
        <v>28</v>
      </c>
      <c r="R303" s="217"/>
      <c r="S303" s="172">
        <f t="shared" si="770"/>
        <v>113.08057487118286</v>
      </c>
      <c r="T303" s="172">
        <f t="shared" si="771"/>
        <v>28</v>
      </c>
      <c r="U303" s="217">
        <f t="shared" si="772"/>
        <v>7.3331306067492763</v>
      </c>
      <c r="V303" s="217">
        <f t="shared" si="773"/>
        <v>0.86405923931227513</v>
      </c>
      <c r="W303" s="217">
        <f t="shared" si="774"/>
        <v>1.2110130349184611</v>
      </c>
      <c r="X303" s="197">
        <f t="shared" si="775"/>
        <v>350</v>
      </c>
      <c r="Y303" s="443">
        <f t="shared" si="837"/>
        <v>350</v>
      </c>
      <c r="AA303" s="217">
        <f t="shared" si="776"/>
        <v>10.096902162762762</v>
      </c>
      <c r="AB303" s="173">
        <f t="shared" si="777"/>
        <v>1.6674297496008266</v>
      </c>
      <c r="AC303" s="173">
        <f t="shared" si="778"/>
        <v>2.9462781328749221</v>
      </c>
      <c r="AD303" s="173"/>
      <c r="AE303" s="173">
        <f t="shared" si="779"/>
        <v>0.55047568806146141</v>
      </c>
      <c r="AF303" s="545">
        <f t="shared" si="780"/>
        <v>2370.6769041801804</v>
      </c>
      <c r="AG303" s="528">
        <f t="shared" si="781"/>
        <v>0.32111081803585251</v>
      </c>
      <c r="AI303" s="173">
        <f t="shared" si="782"/>
        <v>8.6752281964043032</v>
      </c>
      <c r="AJ303" s="173">
        <f t="shared" si="783"/>
        <v>8.6752281964043032</v>
      </c>
      <c r="AK303" s="173">
        <f t="shared" si="784"/>
        <v>5.1569591578303475</v>
      </c>
      <c r="AM303" s="545">
        <f t="shared" si="785"/>
        <v>2175</v>
      </c>
      <c r="AN303" s="460">
        <f t="shared" si="786"/>
        <v>350</v>
      </c>
      <c r="AP303">
        <f t="shared" si="787"/>
        <v>2175</v>
      </c>
      <c r="AQ303">
        <f t="shared" si="788"/>
        <v>350</v>
      </c>
      <c r="AS303" s="5">
        <f t="shared" si="761"/>
        <v>2.8571428571428572</v>
      </c>
      <c r="AT303" s="5">
        <f t="shared" si="789"/>
        <v>1.0221979504014842</v>
      </c>
      <c r="AU303" s="5">
        <f t="shared" si="881"/>
        <v>1.834944906741373</v>
      </c>
      <c r="AV303" s="5"/>
      <c r="AW303" s="173">
        <f t="shared" si="882"/>
        <v>0.35776928264051944</v>
      </c>
      <c r="AX303" s="173">
        <f t="shared" si="790"/>
        <v>61.901008053593586</v>
      </c>
      <c r="AY303" s="173">
        <f t="shared" si="791"/>
        <v>2.7857490139169641</v>
      </c>
      <c r="AZ303" s="173">
        <f t="shared" si="792"/>
        <v>22.220597672062461</v>
      </c>
      <c r="BA303" s="460">
        <f t="shared" si="723"/>
        <v>7.9402876504400997</v>
      </c>
      <c r="BB303" s="5">
        <f t="shared" si="724"/>
        <v>2.0010987777511637</v>
      </c>
      <c r="BD303" s="173">
        <f t="shared" si="838"/>
        <v>2.995862005745725</v>
      </c>
      <c r="BE303" s="173">
        <f t="shared" si="839"/>
        <v>4.0138932383774177</v>
      </c>
      <c r="BG303" s="528">
        <f t="shared" si="840"/>
        <v>0.10770226988964959</v>
      </c>
      <c r="BH303" s="528">
        <f t="shared" si="793"/>
        <v>3.7873896679943035</v>
      </c>
      <c r="BI303" s="528">
        <f t="shared" si="841"/>
        <v>4.0250000000000001E-2</v>
      </c>
      <c r="BJ303" s="528">
        <f t="shared" si="842"/>
        <v>0.80524978614653775</v>
      </c>
      <c r="BK303">
        <f t="shared" si="843"/>
        <v>1.7949661930146302E-2</v>
      </c>
      <c r="BL303" s="460">
        <f t="shared" si="844"/>
        <v>58.199661930146306</v>
      </c>
      <c r="BM303" s="528">
        <f t="shared" si="794"/>
        <v>4.8536259119321876</v>
      </c>
      <c r="BN303" s="460">
        <f t="shared" si="845"/>
        <v>4853.6259119321876</v>
      </c>
      <c r="BO303" s="528">
        <f t="shared" si="795"/>
        <v>1.5224999999999997</v>
      </c>
      <c r="BR303" s="460">
        <f t="shared" si="846"/>
        <v>1522.4999999999998</v>
      </c>
      <c r="BS303" s="528">
        <f t="shared" si="847"/>
        <v>0.12565264820459118</v>
      </c>
      <c r="BT303" s="528">
        <f t="shared" si="848"/>
        <v>0.22555874500728734</v>
      </c>
      <c r="BU303" s="528">
        <f t="shared" si="849"/>
        <v>25.400506913767671</v>
      </c>
      <c r="BV303" s="528"/>
      <c r="BW303" s="528">
        <f t="shared" si="850"/>
        <v>2.6340854490890893</v>
      </c>
      <c r="BX303" s="460">
        <f t="shared" si="851"/>
        <v>28385.803756068639</v>
      </c>
      <c r="BY303" s="173">
        <f t="shared" si="852"/>
        <v>34.666845142029281</v>
      </c>
      <c r="BZ303" s="5">
        <f t="shared" si="853"/>
        <v>60.899999999999991</v>
      </c>
      <c r="CA303" s="173">
        <f t="shared" si="854"/>
        <v>0.63725029229009067</v>
      </c>
      <c r="CB303" s="5">
        <f t="shared" si="855"/>
        <v>63.725029229009067</v>
      </c>
      <c r="CE303" s="562">
        <f t="shared" si="796"/>
        <v>-50</v>
      </c>
      <c r="CF303">
        <f t="shared" si="797"/>
        <v>-50</v>
      </c>
      <c r="CG303" s="173">
        <f t="shared" si="798"/>
        <v>0.50553189810337384</v>
      </c>
      <c r="CI303" s="170">
        <v>87</v>
      </c>
      <c r="CJ303" s="217">
        <f t="shared" si="856"/>
        <v>2.1749999999999998</v>
      </c>
      <c r="CK303" s="217"/>
      <c r="CL303" s="217">
        <f t="shared" si="799"/>
        <v>60.899999999999991</v>
      </c>
      <c r="CM303" s="541">
        <f t="shared" si="800"/>
        <v>40</v>
      </c>
      <c r="CN303" s="443">
        <f t="shared" si="801"/>
        <v>28.4</v>
      </c>
      <c r="CO303" s="443">
        <f t="shared" si="802"/>
        <v>68.400000000000006</v>
      </c>
      <c r="CP303" s="443"/>
      <c r="CQ303" s="217">
        <f t="shared" si="803"/>
        <v>0.41520467836257302</v>
      </c>
      <c r="CR303" s="172">
        <f t="shared" si="804"/>
        <v>140.52175355646798</v>
      </c>
      <c r="CS303" s="172">
        <f t="shared" si="805"/>
        <v>60.899999999999991</v>
      </c>
      <c r="CT303" s="217">
        <f t="shared" si="806"/>
        <v>5.0186340555881426</v>
      </c>
      <c r="CU303" s="217">
        <f t="shared" si="807"/>
        <v>28</v>
      </c>
      <c r="CV303" s="217"/>
      <c r="CW303" s="172">
        <f t="shared" si="808"/>
        <v>113.39730584903242</v>
      </c>
      <c r="CX303" s="172">
        <f t="shared" si="809"/>
        <v>28</v>
      </c>
      <c r="CY303" s="217">
        <f t="shared" si="810"/>
        <v>7.3337323943661978</v>
      </c>
      <c r="CZ303" s="217">
        <f t="shared" si="811"/>
        <v>0.86171355633802815</v>
      </c>
      <c r="DA303" s="217">
        <f t="shared" si="812"/>
        <v>1.2136810652648284</v>
      </c>
      <c r="DB303" s="197">
        <f t="shared" si="813"/>
        <v>350</v>
      </c>
      <c r="DC303" s="443">
        <f t="shared" si="814"/>
        <v>350</v>
      </c>
      <c r="DE303" s="217">
        <f t="shared" si="815"/>
        <v>10.09616239179509</v>
      </c>
      <c r="DF303" s="173">
        <f t="shared" si="816"/>
        <v>1.6708437761069339</v>
      </c>
      <c r="DG303" s="173">
        <f t="shared" si="817"/>
        <v>2.9520942666067511</v>
      </c>
      <c r="DH303" s="173"/>
      <c r="DI303" s="173">
        <f t="shared" si="818"/>
        <v>0.55164319248826299</v>
      </c>
      <c r="DJ303" s="545">
        <f t="shared" si="819"/>
        <v>2365.6595744680844</v>
      </c>
      <c r="DK303" s="528">
        <f t="shared" si="820"/>
        <v>0.3217918622848201</v>
      </c>
      <c r="DM303" s="173">
        <f t="shared" si="821"/>
        <v>8.6660431542525664</v>
      </c>
      <c r="DN303" s="173">
        <f t="shared" si="822"/>
        <v>8.6660431542525664</v>
      </c>
      <c r="DO303" s="173">
        <f t="shared" si="823"/>
        <v>5.1501554229031354</v>
      </c>
      <c r="DQ303" s="545">
        <f t="shared" si="824"/>
        <v>2175</v>
      </c>
      <c r="DR303" s="460">
        <f t="shared" si="825"/>
        <v>350</v>
      </c>
      <c r="DT303">
        <f t="shared" si="826"/>
        <v>2175</v>
      </c>
      <c r="DU303">
        <f t="shared" si="827"/>
        <v>350</v>
      </c>
      <c r="DW303" s="5">
        <f t="shared" si="857"/>
        <v>2.8571428571428572</v>
      </c>
      <c r="DX303" s="5">
        <f t="shared" si="828"/>
        <v>1.0182600706246765</v>
      </c>
      <c r="DY303" s="5">
        <f t="shared" si="829"/>
        <v>1.8388827865181807</v>
      </c>
      <c r="DZ303" s="5"/>
      <c r="EA303" s="173">
        <f t="shared" si="830"/>
        <v>0.35639102471863676</v>
      </c>
      <c r="EB303" s="173">
        <f t="shared" si="858"/>
        <v>61.769999999999996</v>
      </c>
      <c r="EC303" s="173">
        <f t="shared" si="859"/>
        <v>2.7887715771262833</v>
      </c>
      <c r="ED303" s="173">
        <f t="shared" si="860"/>
        <v>22.149537275351712</v>
      </c>
      <c r="EE303" s="460">
        <f t="shared" si="831"/>
        <v>7.9096987628881115</v>
      </c>
      <c r="EF303" s="5">
        <f t="shared" si="832"/>
        <v>1.999785030338521</v>
      </c>
      <c r="EH303" s="173">
        <f t="shared" si="861"/>
        <v>2.986920057065976</v>
      </c>
      <c r="EI303" s="173">
        <f t="shared" si="862"/>
        <v>4.0139435998968533</v>
      </c>
      <c r="EK303" s="528">
        <f t="shared" si="863"/>
        <v>0.10706029712763616</v>
      </c>
      <c r="EL303" s="528">
        <f t="shared" si="864"/>
        <v>3.9418363891433228</v>
      </c>
      <c r="EM303" s="528">
        <f t="shared" si="865"/>
        <v>4.0250000000000001E-2</v>
      </c>
      <c r="EN303" s="528">
        <f t="shared" si="866"/>
        <v>0.80646678000000016</v>
      </c>
      <c r="EO303">
        <f t="shared" si="867"/>
        <v>1.7999999999999999E-2</v>
      </c>
      <c r="EP303" s="460">
        <f t="shared" si="868"/>
        <v>58.249999999999993</v>
      </c>
      <c r="EQ303" s="460"/>
      <c r="ER303" s="460">
        <f t="shared" si="869"/>
        <v>4913.6134662709592</v>
      </c>
      <c r="ES303" s="528">
        <f t="shared" si="870"/>
        <v>1.5224999999999997</v>
      </c>
      <c r="EV303" s="460">
        <f t="shared" si="871"/>
        <v>1522.4999999999998</v>
      </c>
      <c r="EW303" s="528">
        <f t="shared" si="872"/>
        <v>0.12490367998224219</v>
      </c>
      <c r="EX303" s="528">
        <f t="shared" si="873"/>
        <v>0.22556440512414075</v>
      </c>
      <c r="EY303" s="528">
        <f t="shared" si="874"/>
        <v>25.333327269425371</v>
      </c>
      <c r="EZ303" s="528"/>
      <c r="FA303" s="528">
        <f t="shared" si="875"/>
        <v>2.6285106382978727</v>
      </c>
      <c r="FB303" s="460">
        <f t="shared" si="876"/>
        <v>28312.305992829624</v>
      </c>
      <c r="FC303" s="173">
        <f t="shared" si="877"/>
        <v>34.748419459100589</v>
      </c>
      <c r="FD303" s="5">
        <f t="shared" si="878"/>
        <v>60.899999999999991</v>
      </c>
      <c r="FE303" s="173">
        <f t="shared" si="879"/>
        <v>0.63670680963046056</v>
      </c>
      <c r="FF303" s="5">
        <f t="shared" si="880"/>
        <v>63.670680963046053</v>
      </c>
      <c r="FI303" s="562">
        <f t="shared" si="833"/>
        <v>-50</v>
      </c>
      <c r="FJ303">
        <f t="shared" si="834"/>
        <v>-50</v>
      </c>
      <c r="FL303">
        <f t="shared" si="835"/>
        <v>0.50195918974455889</v>
      </c>
    </row>
    <row r="304" spans="5:168">
      <c r="E304" s="170">
        <v>88</v>
      </c>
      <c r="F304" s="217">
        <f t="shared" si="836"/>
        <v>2.2000000000000002</v>
      </c>
      <c r="G304" s="217"/>
      <c r="H304" s="217">
        <f t="shared" si="762"/>
        <v>61.600000000000009</v>
      </c>
      <c r="I304" s="541">
        <f t="shared" si="763"/>
        <v>39.887496572156245</v>
      </c>
      <c r="J304" s="172">
        <f t="shared" si="764"/>
        <v>28.460578768838946</v>
      </c>
      <c r="K304" s="172">
        <f t="shared" si="765"/>
        <v>68.348075340995194</v>
      </c>
      <c r="L304" s="443"/>
      <c r="M304" s="217">
        <f t="shared" si="766"/>
        <v>0.41641012206867428</v>
      </c>
      <c r="N304" s="172">
        <f t="shared" si="767"/>
        <v>140.53334665768875</v>
      </c>
      <c r="O304" s="172">
        <f t="shared" si="760"/>
        <v>61.600000000000009</v>
      </c>
      <c r="P304" s="217">
        <f t="shared" si="768"/>
        <v>5.0190480949174558</v>
      </c>
      <c r="Q304" s="217">
        <f t="shared" si="769"/>
        <v>28</v>
      </c>
      <c r="R304" s="217"/>
      <c r="S304" s="172">
        <f t="shared" si="770"/>
        <v>111.34428693155337</v>
      </c>
      <c r="T304" s="172">
        <f t="shared" si="771"/>
        <v>28</v>
      </c>
      <c r="U304" s="217">
        <f t="shared" si="772"/>
        <v>7.4174162291900725</v>
      </c>
      <c r="V304" s="217">
        <f t="shared" si="773"/>
        <v>0.8740046198218645</v>
      </c>
      <c r="W304" s="217">
        <f t="shared" si="774"/>
        <v>1.2249173342659867</v>
      </c>
      <c r="X304" s="197">
        <f t="shared" si="775"/>
        <v>350</v>
      </c>
      <c r="Y304" s="443">
        <f t="shared" si="837"/>
        <v>350</v>
      </c>
      <c r="AA304" s="217">
        <f t="shared" si="776"/>
        <v>10.096906059994881</v>
      </c>
      <c r="AB304" s="173">
        <f t="shared" si="777"/>
        <v>1.6674101699552997</v>
      </c>
      <c r="AC304" s="173">
        <f t="shared" si="778"/>
        <v>2.9462446736657828</v>
      </c>
      <c r="AD304" s="173"/>
      <c r="AE304" s="173">
        <f t="shared" si="779"/>
        <v>0.55046901167800077</v>
      </c>
      <c r="AF304" s="545">
        <f t="shared" si="780"/>
        <v>2397.955147331963</v>
      </c>
      <c r="AG304" s="528">
        <f t="shared" si="781"/>
        <v>0.32110692347883374</v>
      </c>
      <c r="AI304" s="173">
        <f t="shared" si="782"/>
        <v>8.7249962884095673</v>
      </c>
      <c r="AJ304" s="173">
        <f t="shared" si="783"/>
        <v>8.7249962884095673</v>
      </c>
      <c r="AK304" s="173">
        <f t="shared" si="784"/>
        <v>5.1938244111675802</v>
      </c>
      <c r="AM304" s="545">
        <f t="shared" si="785"/>
        <v>2200</v>
      </c>
      <c r="AN304" s="460">
        <f t="shared" si="786"/>
        <v>350</v>
      </c>
      <c r="AP304">
        <f t="shared" si="787"/>
        <v>2200</v>
      </c>
      <c r="AQ304">
        <f t="shared" si="788"/>
        <v>350</v>
      </c>
      <c r="AS304" s="5">
        <f t="shared" si="761"/>
        <v>2.8571428571428572</v>
      </c>
      <c r="AT304" s="5">
        <f t="shared" si="789"/>
        <v>1.0280786231179657</v>
      </c>
      <c r="AU304" s="5">
        <f t="shared" si="881"/>
        <v>1.8290642340248915</v>
      </c>
      <c r="AV304" s="5"/>
      <c r="AW304" s="173">
        <f t="shared" si="882"/>
        <v>0.35982751809128799</v>
      </c>
      <c r="AX304" s="173">
        <f t="shared" si="790"/>
        <v>62.613273291445687</v>
      </c>
      <c r="AY304" s="173">
        <f t="shared" si="791"/>
        <v>2.7927512642977268</v>
      </c>
      <c r="AZ304" s="173">
        <f t="shared" si="792"/>
        <v>22.41992478595855</v>
      </c>
      <c r="BA304" s="460">
        <f t="shared" si="723"/>
        <v>8.0777606102125894</v>
      </c>
      <c r="BB304" s="5">
        <f t="shared" si="724"/>
        <v>2.0176454581828547</v>
      </c>
      <c r="BD304" s="173">
        <f t="shared" si="838"/>
        <v>3.0217032394475329</v>
      </c>
      <c r="BE304" s="173">
        <f t="shared" si="839"/>
        <v>4.0304461635116606</v>
      </c>
      <c r="BG304" s="528">
        <f t="shared" si="840"/>
        <v>0.10956828560745256</v>
      </c>
      <c r="BH304" s="528">
        <f t="shared" si="793"/>
        <v>3.8091006946928951</v>
      </c>
      <c r="BI304" s="528">
        <f t="shared" si="841"/>
        <v>4.0250000000000001E-2</v>
      </c>
      <c r="BJ304" s="528">
        <f t="shared" si="842"/>
        <v>0.80524281456081404</v>
      </c>
      <c r="BK304">
        <f t="shared" si="843"/>
        <v>1.7949373457470309E-2</v>
      </c>
      <c r="BL304" s="460">
        <f t="shared" si="844"/>
        <v>58.199373457470308</v>
      </c>
      <c r="BM304" s="528">
        <f t="shared" si="794"/>
        <v>4.880552733873234</v>
      </c>
      <c r="BN304" s="460">
        <f t="shared" si="845"/>
        <v>4880.5527338732336</v>
      </c>
      <c r="BO304" s="528">
        <f t="shared" si="795"/>
        <v>1.54</v>
      </c>
      <c r="BR304" s="460">
        <f t="shared" si="846"/>
        <v>1540</v>
      </c>
      <c r="BS304" s="528">
        <f t="shared" si="847"/>
        <v>0.12782966654202799</v>
      </c>
      <c r="BT304" s="528">
        <f t="shared" si="848"/>
        <v>0.22742294787752212</v>
      </c>
      <c r="BU304" s="528">
        <f t="shared" si="849"/>
        <v>25.766370209812415</v>
      </c>
      <c r="BV304" s="528"/>
      <c r="BW304" s="528">
        <f t="shared" si="850"/>
        <v>2.6643946081466257</v>
      </c>
      <c r="BX304" s="460">
        <f t="shared" si="851"/>
        <v>28786.017432378594</v>
      </c>
      <c r="BY304" s="173">
        <f t="shared" si="852"/>
        <v>35.108128600697221</v>
      </c>
      <c r="BZ304" s="5">
        <f t="shared" si="853"/>
        <v>61.600000000000009</v>
      </c>
      <c r="CA304" s="173">
        <f t="shared" si="854"/>
        <v>0.63696817311338083</v>
      </c>
      <c r="CB304" s="5">
        <f t="shared" si="855"/>
        <v>63.69681731133808</v>
      </c>
      <c r="CE304" s="562">
        <f t="shared" si="796"/>
        <v>-50</v>
      </c>
      <c r="CF304">
        <f t="shared" si="797"/>
        <v>-50</v>
      </c>
      <c r="CG304" s="173">
        <f t="shared" si="798"/>
        <v>0.50842895275544653</v>
      </c>
      <c r="CI304" s="170">
        <v>88</v>
      </c>
      <c r="CJ304" s="217">
        <f t="shared" si="856"/>
        <v>2.2000000000000002</v>
      </c>
      <c r="CK304" s="217"/>
      <c r="CL304" s="217">
        <f t="shared" si="799"/>
        <v>61.600000000000009</v>
      </c>
      <c r="CM304" s="541">
        <f t="shared" si="800"/>
        <v>40</v>
      </c>
      <c r="CN304" s="443">
        <f t="shared" si="801"/>
        <v>28.4</v>
      </c>
      <c r="CO304" s="443">
        <f t="shared" si="802"/>
        <v>68.400000000000006</v>
      </c>
      <c r="CP304" s="443"/>
      <c r="CQ304" s="217">
        <f t="shared" si="803"/>
        <v>0.41520467836257302</v>
      </c>
      <c r="CR304" s="172">
        <f t="shared" si="804"/>
        <v>140.52175355646798</v>
      </c>
      <c r="CS304" s="172">
        <f t="shared" si="805"/>
        <v>61.600000000000009</v>
      </c>
      <c r="CT304" s="217">
        <f t="shared" si="806"/>
        <v>5.0186340555881426</v>
      </c>
      <c r="CU304" s="217">
        <f t="shared" si="807"/>
        <v>28</v>
      </c>
      <c r="CV304" s="217"/>
      <c r="CW304" s="172">
        <f t="shared" si="808"/>
        <v>111.65793479978537</v>
      </c>
      <c r="CX304" s="172">
        <f t="shared" si="809"/>
        <v>28</v>
      </c>
      <c r="CY304" s="217">
        <f t="shared" si="810"/>
        <v>7.4180281690140877</v>
      </c>
      <c r="CZ304" s="217">
        <f t="shared" si="811"/>
        <v>0.87161830985915534</v>
      </c>
      <c r="DA304" s="217">
        <f t="shared" si="812"/>
        <v>1.2276314223368385</v>
      </c>
      <c r="DB304" s="197">
        <f t="shared" si="813"/>
        <v>350</v>
      </c>
      <c r="DC304" s="443">
        <f t="shared" si="814"/>
        <v>350</v>
      </c>
      <c r="DE304" s="217">
        <f t="shared" si="815"/>
        <v>10.09616239179509</v>
      </c>
      <c r="DF304" s="173">
        <f t="shared" si="816"/>
        <v>1.6708437761069339</v>
      </c>
      <c r="DG304" s="173">
        <f t="shared" si="817"/>
        <v>2.9520942666067511</v>
      </c>
      <c r="DH304" s="173"/>
      <c r="DI304" s="173">
        <f t="shared" si="818"/>
        <v>0.55164319248826299</v>
      </c>
      <c r="DJ304" s="545">
        <f t="shared" si="819"/>
        <v>2392.8510638297871</v>
      </c>
      <c r="DK304" s="528">
        <f t="shared" si="820"/>
        <v>0.3217918622848201</v>
      </c>
      <c r="DM304" s="173">
        <f t="shared" si="821"/>
        <v>8.7157056992458308</v>
      </c>
      <c r="DN304" s="173">
        <f t="shared" si="822"/>
        <v>8.7157056992458308</v>
      </c>
      <c r="DO304" s="173">
        <f t="shared" si="823"/>
        <v>5.186942493268516</v>
      </c>
      <c r="DQ304" s="545">
        <f t="shared" si="824"/>
        <v>2200</v>
      </c>
      <c r="DR304" s="460">
        <f t="shared" si="825"/>
        <v>350</v>
      </c>
      <c r="DT304">
        <f t="shared" si="826"/>
        <v>2200</v>
      </c>
      <c r="DU304">
        <f t="shared" si="827"/>
        <v>350</v>
      </c>
      <c r="DW304" s="5">
        <f t="shared" si="857"/>
        <v>2.8571428571428572</v>
      </c>
      <c r="DX304" s="5">
        <f t="shared" si="828"/>
        <v>1.0240954196613852</v>
      </c>
      <c r="DY304" s="5">
        <f t="shared" si="829"/>
        <v>1.833047437481472</v>
      </c>
      <c r="DZ304" s="5"/>
      <c r="EA304" s="173">
        <f t="shared" si="830"/>
        <v>0.35843339688148479</v>
      </c>
      <c r="EB304" s="173">
        <f t="shared" si="858"/>
        <v>62.48</v>
      </c>
      <c r="EC304" s="173">
        <f t="shared" si="859"/>
        <v>2.7958528496229156</v>
      </c>
      <c r="ED304" s="173">
        <f t="shared" si="860"/>
        <v>22.347384987885484</v>
      </c>
      <c r="EE304" s="460">
        <f t="shared" si="831"/>
        <v>8.0464640116251687</v>
      </c>
      <c r="EF304" s="5">
        <f t="shared" si="832"/>
        <v>2.0163521812296192</v>
      </c>
      <c r="EH304" s="173">
        <f t="shared" si="861"/>
        <v>3.0126325478139533</v>
      </c>
      <c r="EI304" s="173">
        <f t="shared" si="862"/>
        <v>4.0305359954321327</v>
      </c>
      <c r="EK304" s="528">
        <f t="shared" si="863"/>
        <v>0.1089114584177759</v>
      </c>
      <c r="EL304" s="528">
        <f t="shared" si="864"/>
        <v>3.9644258943589596</v>
      </c>
      <c r="EM304" s="528">
        <f t="shared" si="865"/>
        <v>4.0250000000000001E-2</v>
      </c>
      <c r="EN304" s="528">
        <f t="shared" si="866"/>
        <v>0.80646678000000016</v>
      </c>
      <c r="EO304">
        <f t="shared" si="867"/>
        <v>1.7999999999999999E-2</v>
      </c>
      <c r="EP304" s="460">
        <f t="shared" si="868"/>
        <v>58.249999999999993</v>
      </c>
      <c r="EQ304" s="460"/>
      <c r="ER304" s="460">
        <f t="shared" si="869"/>
        <v>4938.054132776736</v>
      </c>
      <c r="ES304" s="528">
        <f t="shared" si="870"/>
        <v>1.54</v>
      </c>
      <c r="EV304" s="460">
        <f t="shared" si="871"/>
        <v>1540</v>
      </c>
      <c r="EW304" s="528">
        <f t="shared" si="872"/>
        <v>0.1270633681540719</v>
      </c>
      <c r="EX304" s="528">
        <f t="shared" si="873"/>
        <v>0.22743308574663731</v>
      </c>
      <c r="EY304" s="528">
        <f t="shared" si="874"/>
        <v>25.697833327723398</v>
      </c>
      <c r="EZ304" s="528"/>
      <c r="FA304" s="528">
        <f t="shared" si="875"/>
        <v>2.6587234042553196</v>
      </c>
      <c r="FB304" s="460">
        <f t="shared" si="876"/>
        <v>28711.053185879424</v>
      </c>
      <c r="FC304" s="173">
        <f t="shared" si="877"/>
        <v>35.189107318656163</v>
      </c>
      <c r="FD304" s="5">
        <f t="shared" si="878"/>
        <v>61.600000000000009</v>
      </c>
      <c r="FE304" s="173">
        <f t="shared" si="879"/>
        <v>0.63643525295874459</v>
      </c>
      <c r="FF304" s="5">
        <f t="shared" si="880"/>
        <v>63.643525295874461</v>
      </c>
      <c r="FI304" s="562">
        <f t="shared" si="833"/>
        <v>-50</v>
      </c>
      <c r="FJ304">
        <f t="shared" si="834"/>
        <v>-50</v>
      </c>
      <c r="FL304">
        <f t="shared" si="835"/>
        <v>0.50483577025561244</v>
      </c>
    </row>
    <row r="305" spans="5:168">
      <c r="E305" s="170">
        <v>89</v>
      </c>
      <c r="F305" s="217">
        <f t="shared" si="836"/>
        <v>2.2250000000000001</v>
      </c>
      <c r="G305" s="217"/>
      <c r="H305" s="217">
        <f t="shared" si="762"/>
        <v>62.300000000000004</v>
      </c>
      <c r="I305" s="541">
        <f t="shared" si="763"/>
        <v>39.886859153866389</v>
      </c>
      <c r="J305" s="172">
        <f t="shared" si="764"/>
        <v>28.460921994071946</v>
      </c>
      <c r="K305" s="172">
        <f t="shared" si="765"/>
        <v>68.347781147938335</v>
      </c>
      <c r="L305" s="443"/>
      <c r="M305" s="217">
        <f t="shared" si="766"/>
        <v>0.41641695700740433</v>
      </c>
      <c r="N305" s="172">
        <f t="shared" si="767"/>
        <v>140.53340754985189</v>
      </c>
      <c r="O305" s="172">
        <f t="shared" si="760"/>
        <v>62.300000000000004</v>
      </c>
      <c r="P305" s="217">
        <f t="shared" si="768"/>
        <v>5.0190502696375674</v>
      </c>
      <c r="Q305" s="217">
        <f t="shared" si="769"/>
        <v>28</v>
      </c>
      <c r="R305" s="217"/>
      <c r="S305" s="172">
        <f t="shared" si="770"/>
        <v>109.64710747723599</v>
      </c>
      <c r="T305" s="172">
        <f t="shared" si="771"/>
        <v>28</v>
      </c>
      <c r="U305" s="217">
        <f t="shared" si="772"/>
        <v>7.5017017995388944</v>
      </c>
      <c r="V305" s="217">
        <f t="shared" si="773"/>
        <v>0.88395023337943379</v>
      </c>
      <c r="W305" s="217">
        <f t="shared" si="774"/>
        <v>1.2388213728696702</v>
      </c>
      <c r="X305" s="197">
        <f t="shared" si="775"/>
        <v>350</v>
      </c>
      <c r="Y305" s="443">
        <f t="shared" si="837"/>
        <v>350</v>
      </c>
      <c r="AA305" s="217">
        <f t="shared" si="776"/>
        <v>10.096909931276462</v>
      </c>
      <c r="AB305" s="173">
        <f t="shared" si="777"/>
        <v>1.6673907010772087</v>
      </c>
      <c r="AC305" s="173">
        <f t="shared" si="778"/>
        <v>2.9462114025792863</v>
      </c>
      <c r="AD305" s="173"/>
      <c r="AE305" s="173">
        <f t="shared" si="779"/>
        <v>0.55046237328256054</v>
      </c>
      <c r="AF305" s="545">
        <f t="shared" si="780"/>
        <v>2425.233884814003</v>
      </c>
      <c r="AG305" s="528">
        <f t="shared" si="781"/>
        <v>0.32110305108149362</v>
      </c>
      <c r="AI305" s="173">
        <f t="shared" si="782"/>
        <v>8.7744829989496953</v>
      </c>
      <c r="AJ305" s="173">
        <f t="shared" si="783"/>
        <v>8.7744829989496953</v>
      </c>
      <c r="AK305" s="173">
        <f t="shared" si="784"/>
        <v>5.2304812337898978</v>
      </c>
      <c r="AM305" s="545">
        <f t="shared" si="785"/>
        <v>2225</v>
      </c>
      <c r="AN305" s="460">
        <f t="shared" si="786"/>
        <v>350</v>
      </c>
      <c r="AP305">
        <f t="shared" si="787"/>
        <v>2225</v>
      </c>
      <c r="AQ305">
        <f t="shared" si="788"/>
        <v>350</v>
      </c>
      <c r="AS305" s="5">
        <f t="shared" si="761"/>
        <v>2.8571428571428572</v>
      </c>
      <c r="AT305" s="5">
        <f t="shared" si="789"/>
        <v>1.0339262346021549</v>
      </c>
      <c r="AU305" s="5">
        <f t="shared" si="881"/>
        <v>1.8232166225407023</v>
      </c>
      <c r="AV305" s="5"/>
      <c r="AW305" s="173">
        <f t="shared" si="882"/>
        <v>0.36187418211075423</v>
      </c>
      <c r="AX305" s="173">
        <f t="shared" si="790"/>
        <v>63.32555143681008</v>
      </c>
      <c r="AY305" s="173">
        <f t="shared" si="791"/>
        <v>2.7996120701300278</v>
      </c>
      <c r="AZ305" s="173">
        <f t="shared" si="792"/>
        <v>22.619402206631054</v>
      </c>
      <c r="BA305" s="460">
        <f t="shared" si="723"/>
        <v>8.2160209713921244</v>
      </c>
      <c r="BB305" s="5">
        <f t="shared" si="724"/>
        <v>2.0340819363611562</v>
      </c>
      <c r="BD305" s="173">
        <f t="shared" si="838"/>
        <v>3.0474718961152401</v>
      </c>
      <c r="BE305" s="173">
        <f t="shared" si="839"/>
        <v>4.0468216757524909</v>
      </c>
      <c r="BG305" s="528">
        <f t="shared" si="840"/>
        <v>0.11144501949134661</v>
      </c>
      <c r="BH305" s="528">
        <f t="shared" si="793"/>
        <v>3.8306887841242929</v>
      </c>
      <c r="BI305" s="528">
        <f t="shared" si="841"/>
        <v>4.0250000000000001E-2</v>
      </c>
      <c r="BJ305" s="528">
        <f t="shared" si="842"/>
        <v>0.80523588250503597</v>
      </c>
      <c r="BK305">
        <f t="shared" si="843"/>
        <v>1.7949086619239874E-2</v>
      </c>
      <c r="BL305" s="460">
        <f t="shared" si="844"/>
        <v>58.199086619239878</v>
      </c>
      <c r="BM305" s="528">
        <f t="shared" si="794"/>
        <v>4.9074046613977353</v>
      </c>
      <c r="BN305" s="460">
        <f t="shared" si="845"/>
        <v>4907.4046613977353</v>
      </c>
      <c r="BO305" s="528">
        <f t="shared" si="795"/>
        <v>1.5574999999999999</v>
      </c>
      <c r="BR305" s="460">
        <f t="shared" si="846"/>
        <v>1557.4999999999998</v>
      </c>
      <c r="BS305" s="528">
        <f t="shared" si="847"/>
        <v>0.13001918940657103</v>
      </c>
      <c r="BT305" s="528">
        <f t="shared" si="848"/>
        <v>0.2292747194547628</v>
      </c>
      <c r="BU305" s="528">
        <f t="shared" si="849"/>
        <v>26.133282145923314</v>
      </c>
      <c r="BV305" s="528"/>
      <c r="BW305" s="528">
        <f t="shared" si="850"/>
        <v>2.6947043164600037</v>
      </c>
      <c r="BX305" s="460">
        <f t="shared" si="851"/>
        <v>29187.280371244655</v>
      </c>
      <c r="BY305" s="173">
        <f t="shared" si="852"/>
        <v>35.550349143984569</v>
      </c>
      <c r="BZ305" s="5">
        <f t="shared" si="853"/>
        <v>62.300000000000004</v>
      </c>
      <c r="CA305" s="173">
        <f t="shared" si="854"/>
        <v>0.63668653760577765</v>
      </c>
      <c r="CB305" s="5">
        <f t="shared" si="855"/>
        <v>63.668653760577762</v>
      </c>
      <c r="CE305" s="562">
        <f t="shared" si="796"/>
        <v>-50</v>
      </c>
      <c r="CF305">
        <f t="shared" si="797"/>
        <v>-50</v>
      </c>
      <c r="CG305" s="173">
        <f t="shared" si="798"/>
        <v>0.51130959310382595</v>
      </c>
      <c r="CI305" s="170">
        <v>89</v>
      </c>
      <c r="CJ305" s="217">
        <f t="shared" si="856"/>
        <v>2.2250000000000001</v>
      </c>
      <c r="CK305" s="217"/>
      <c r="CL305" s="217">
        <f t="shared" si="799"/>
        <v>62.300000000000004</v>
      </c>
      <c r="CM305" s="541">
        <f t="shared" si="800"/>
        <v>40</v>
      </c>
      <c r="CN305" s="443">
        <f t="shared" si="801"/>
        <v>28.4</v>
      </c>
      <c r="CO305" s="443">
        <f t="shared" si="802"/>
        <v>68.400000000000006</v>
      </c>
      <c r="CP305" s="443"/>
      <c r="CQ305" s="217">
        <f t="shared" si="803"/>
        <v>0.41520467836257302</v>
      </c>
      <c r="CR305" s="172">
        <f t="shared" si="804"/>
        <v>140.52175355646798</v>
      </c>
      <c r="CS305" s="172">
        <f t="shared" si="805"/>
        <v>62.300000000000004</v>
      </c>
      <c r="CT305" s="217">
        <f t="shared" si="806"/>
        <v>5.0186340555881426</v>
      </c>
      <c r="CU305" s="217">
        <f t="shared" si="807"/>
        <v>28</v>
      </c>
      <c r="CV305" s="217"/>
      <c r="CW305" s="172">
        <f t="shared" si="808"/>
        <v>109.95771714668724</v>
      </c>
      <c r="CX305" s="172">
        <f t="shared" si="809"/>
        <v>28</v>
      </c>
      <c r="CY305" s="217">
        <f t="shared" si="810"/>
        <v>7.502323943661974</v>
      </c>
      <c r="CZ305" s="217">
        <f t="shared" si="811"/>
        <v>0.88152306338028197</v>
      </c>
      <c r="DA305" s="217">
        <f t="shared" si="812"/>
        <v>1.241581779408848</v>
      </c>
      <c r="DB305" s="197">
        <f t="shared" si="813"/>
        <v>350</v>
      </c>
      <c r="DC305" s="443">
        <f t="shared" si="814"/>
        <v>350</v>
      </c>
      <c r="DE305" s="217">
        <f t="shared" si="815"/>
        <v>10.09616239179509</v>
      </c>
      <c r="DF305" s="173">
        <f t="shared" si="816"/>
        <v>1.6708437761069339</v>
      </c>
      <c r="DG305" s="173">
        <f t="shared" si="817"/>
        <v>2.9520942666067511</v>
      </c>
      <c r="DH305" s="173"/>
      <c r="DI305" s="173">
        <f t="shared" si="818"/>
        <v>0.55164319248826299</v>
      </c>
      <c r="DJ305" s="545">
        <f t="shared" si="819"/>
        <v>2420.0425531914889</v>
      </c>
      <c r="DK305" s="528">
        <f t="shared" si="820"/>
        <v>0.3217918622848201</v>
      </c>
      <c r="DM305" s="173">
        <f t="shared" si="821"/>
        <v>8.7650868632526819</v>
      </c>
      <c r="DN305" s="173">
        <f t="shared" si="822"/>
        <v>8.7650868632526819</v>
      </c>
      <c r="DO305" s="173">
        <f t="shared" si="823"/>
        <v>5.2235211332735911</v>
      </c>
      <c r="DQ305" s="545">
        <f t="shared" si="824"/>
        <v>2225</v>
      </c>
      <c r="DR305" s="460">
        <f t="shared" si="825"/>
        <v>350</v>
      </c>
      <c r="DT305">
        <f t="shared" si="826"/>
        <v>2225</v>
      </c>
      <c r="DU305">
        <f t="shared" si="827"/>
        <v>350</v>
      </c>
      <c r="DW305" s="5">
        <f t="shared" si="857"/>
        <v>2.8571428571428572</v>
      </c>
      <c r="DX305" s="5">
        <f t="shared" si="828"/>
        <v>1.0298977064321901</v>
      </c>
      <c r="DY305" s="5">
        <f t="shared" si="829"/>
        <v>1.8272451507106671</v>
      </c>
      <c r="DZ305" s="5"/>
      <c r="EA305" s="173">
        <f t="shared" si="830"/>
        <v>0.36046419725126655</v>
      </c>
      <c r="EB305" s="173">
        <f t="shared" si="858"/>
        <v>63.19</v>
      </c>
      <c r="EC305" s="173">
        <f t="shared" si="859"/>
        <v>2.8027934316263412</v>
      </c>
      <c r="ED305" s="173">
        <f t="shared" si="860"/>
        <v>22.545364666183602</v>
      </c>
      <c r="EE305" s="460">
        <f t="shared" si="831"/>
        <v>8.1840085600415104</v>
      </c>
      <c r="EF305" s="5">
        <f t="shared" si="832"/>
        <v>2.0328102301656168</v>
      </c>
      <c r="EH305" s="173">
        <f t="shared" si="861"/>
        <v>3.0382720936110408</v>
      </c>
      <c r="EI305" s="173">
        <f t="shared" si="862"/>
        <v>4.0469517654615839</v>
      </c>
      <c r="EK305" s="528">
        <f t="shared" si="863"/>
        <v>0.11077316777778741</v>
      </c>
      <c r="EL305" s="528">
        <f t="shared" si="864"/>
        <v>3.9868874106191154</v>
      </c>
      <c r="EM305" s="528">
        <f t="shared" si="865"/>
        <v>4.0250000000000001E-2</v>
      </c>
      <c r="EN305" s="528">
        <f t="shared" si="866"/>
        <v>0.80646678000000016</v>
      </c>
      <c r="EO305">
        <f t="shared" si="867"/>
        <v>1.7999999999999999E-2</v>
      </c>
      <c r="EP305" s="460">
        <f t="shared" si="868"/>
        <v>58.249999999999993</v>
      </c>
      <c r="EQ305" s="460"/>
      <c r="ER305" s="460">
        <f t="shared" si="869"/>
        <v>4962.3773583969032</v>
      </c>
      <c r="ES305" s="528">
        <f t="shared" si="870"/>
        <v>1.5574999999999999</v>
      </c>
      <c r="EV305" s="460">
        <f t="shared" si="871"/>
        <v>1557.4999999999998</v>
      </c>
      <c r="EW305" s="528">
        <f t="shared" si="872"/>
        <v>0.12923536240741865</v>
      </c>
      <c r="EX305" s="528">
        <f t="shared" si="873"/>
        <v>0.22928946028761682</v>
      </c>
      <c r="EY305" s="528">
        <f t="shared" si="874"/>
        <v>26.063376406468553</v>
      </c>
      <c r="EZ305" s="528"/>
      <c r="FA305" s="528">
        <f t="shared" si="875"/>
        <v>2.6889361702127661</v>
      </c>
      <c r="FB305" s="460">
        <f t="shared" si="876"/>
        <v>29110.837399376353</v>
      </c>
      <c r="FC305" s="173">
        <f t="shared" si="877"/>
        <v>35.630714757773255</v>
      </c>
      <c r="FD305" s="5">
        <f t="shared" si="878"/>
        <v>62.300000000000004</v>
      </c>
      <c r="FE305" s="173">
        <f t="shared" si="879"/>
        <v>0.63616404877770927</v>
      </c>
      <c r="FF305" s="5">
        <f t="shared" si="880"/>
        <v>63.616404877770925</v>
      </c>
      <c r="FI305" s="562">
        <f t="shared" si="833"/>
        <v>-50</v>
      </c>
      <c r="FJ305">
        <f t="shared" si="834"/>
        <v>-50</v>
      </c>
      <c r="FL305">
        <f t="shared" si="835"/>
        <v>0.50769605246657268</v>
      </c>
    </row>
    <row r="306" spans="5:168">
      <c r="E306" s="170">
        <v>90</v>
      </c>
      <c r="F306" s="217">
        <f t="shared" si="836"/>
        <v>2.25</v>
      </c>
      <c r="G306" s="217"/>
      <c r="H306" s="217">
        <f t="shared" si="762"/>
        <v>63</v>
      </c>
      <c r="I306" s="541">
        <f t="shared" si="763"/>
        <v>39.886225306631644</v>
      </c>
      <c r="J306" s="172">
        <f t="shared" si="764"/>
        <v>28.461263296429113</v>
      </c>
      <c r="K306" s="172">
        <f t="shared" si="765"/>
        <v>68.347488603060754</v>
      </c>
      <c r="L306" s="443"/>
      <c r="M306" s="217">
        <f t="shared" si="766"/>
        <v>0.41642375371211915</v>
      </c>
      <c r="N306" s="172">
        <f t="shared" si="767"/>
        <v>140.53346804729563</v>
      </c>
      <c r="O306" s="172">
        <f t="shared" si="760"/>
        <v>63</v>
      </c>
      <c r="P306" s="217">
        <f t="shared" si="768"/>
        <v>5.0190524302605581</v>
      </c>
      <c r="Q306" s="217">
        <f t="shared" si="769"/>
        <v>28</v>
      </c>
      <c r="R306" s="217"/>
      <c r="S306" s="172">
        <f t="shared" si="770"/>
        <v>107.98773338854953</v>
      </c>
      <c r="T306" s="172">
        <f t="shared" si="771"/>
        <v>28</v>
      </c>
      <c r="U306" s="217">
        <f t="shared" si="772"/>
        <v>7.5859873181539568</v>
      </c>
      <c r="V306" s="217">
        <f t="shared" si="773"/>
        <v>0.89389607868949172</v>
      </c>
      <c r="W306" s="217">
        <f t="shared" si="774"/>
        <v>1.2527251522175733</v>
      </c>
      <c r="X306" s="197">
        <f t="shared" si="775"/>
        <v>350</v>
      </c>
      <c r="Y306" s="443">
        <f t="shared" si="837"/>
        <v>350</v>
      </c>
      <c r="AA306" s="217">
        <f t="shared" si="776"/>
        <v>10.096913777043618</v>
      </c>
      <c r="AB306" s="173">
        <f t="shared" si="777"/>
        <v>1.6673713411048412</v>
      </c>
      <c r="AC306" s="173">
        <f t="shared" si="778"/>
        <v>2.9461783164536035</v>
      </c>
      <c r="AD306" s="173"/>
      <c r="AE306" s="173">
        <f t="shared" si="779"/>
        <v>0.55045577223665554</v>
      </c>
      <c r="AF306" s="545">
        <f t="shared" si="780"/>
        <v>2452.5131138412321</v>
      </c>
      <c r="AG306" s="528">
        <f t="shared" si="781"/>
        <v>0.32109920047138241</v>
      </c>
      <c r="AI306" s="173">
        <f t="shared" si="782"/>
        <v>8.8236930573067269</v>
      </c>
      <c r="AJ306" s="173">
        <f t="shared" si="783"/>
        <v>8.8236930573067269</v>
      </c>
      <c r="AK306" s="173">
        <f t="shared" si="784"/>
        <v>5.2669331288691801</v>
      </c>
      <c r="AM306" s="545">
        <f t="shared" si="785"/>
        <v>2250</v>
      </c>
      <c r="AN306" s="460">
        <f t="shared" si="786"/>
        <v>350</v>
      </c>
      <c r="AP306">
        <f t="shared" si="787"/>
        <v>2250</v>
      </c>
      <c r="AQ306">
        <f t="shared" si="788"/>
        <v>350</v>
      </c>
      <c r="AS306" s="5">
        <f t="shared" si="761"/>
        <v>2.8571428571428572</v>
      </c>
      <c r="AT306" s="5">
        <f t="shared" si="789"/>
        <v>1.0397413405385949</v>
      </c>
      <c r="AU306" s="5">
        <f t="shared" si="881"/>
        <v>1.8174015166042623</v>
      </c>
      <c r="AV306" s="5"/>
      <c r="AW306" s="173">
        <f t="shared" si="882"/>
        <v>0.36390946918850819</v>
      </c>
      <c r="AX306" s="173">
        <f t="shared" si="790"/>
        <v>64.037842416965518</v>
      </c>
      <c r="AY306" s="173">
        <f t="shared" si="791"/>
        <v>2.8063338002699556</v>
      </c>
      <c r="AZ306" s="173">
        <f t="shared" si="792"/>
        <v>22.819039706112434</v>
      </c>
      <c r="BA306" s="460">
        <f t="shared" si="723"/>
        <v>8.3550643436137069</v>
      </c>
      <c r="BB306" s="5">
        <f t="shared" si="724"/>
        <v>2.0504088220550218</v>
      </c>
      <c r="BD306" s="173">
        <f t="shared" si="838"/>
        <v>3.0731689957712227</v>
      </c>
      <c r="BE306" s="173">
        <f t="shared" si="839"/>
        <v>4.06302252597966</v>
      </c>
      <c r="BG306" s="528">
        <f t="shared" si="840"/>
        <v>0.11333241211883407</v>
      </c>
      <c r="BH306" s="528">
        <f t="shared" si="793"/>
        <v>3.8521560025371486</v>
      </c>
      <c r="BI306" s="528">
        <f t="shared" si="841"/>
        <v>4.0250000000000001E-2</v>
      </c>
      <c r="BJ306" s="528">
        <f t="shared" si="842"/>
        <v>0.8052289893148088</v>
      </c>
      <c r="BK306">
        <f t="shared" si="843"/>
        <v>1.7948801387984239E-2</v>
      </c>
      <c r="BL306" s="460">
        <f t="shared" si="844"/>
        <v>58.19880138798424</v>
      </c>
      <c r="BM306" s="528">
        <f t="shared" si="794"/>
        <v>4.9341837759651321</v>
      </c>
      <c r="BN306" s="460">
        <f t="shared" si="845"/>
        <v>4934.1837759651326</v>
      </c>
      <c r="BO306" s="528">
        <f t="shared" si="795"/>
        <v>1.575</v>
      </c>
      <c r="BR306" s="460">
        <f t="shared" si="846"/>
        <v>1575</v>
      </c>
      <c r="BS306" s="528">
        <f t="shared" si="847"/>
        <v>0.13222114747197308</v>
      </c>
      <c r="BT306" s="528">
        <f t="shared" si="848"/>
        <v>0.23111412865265391</v>
      </c>
      <c r="BU306" s="528">
        <f t="shared" si="849"/>
        <v>26.501233937766578</v>
      </c>
      <c r="BV306" s="528"/>
      <c r="BW306" s="528">
        <f t="shared" si="850"/>
        <v>2.7250145709347029</v>
      </c>
      <c r="BX306" s="460">
        <f t="shared" si="851"/>
        <v>29589.583784825907</v>
      </c>
      <c r="BY306" s="173">
        <f t="shared" si="852"/>
        <v>35.993499990184681</v>
      </c>
      <c r="BZ306" s="5">
        <f t="shared" si="853"/>
        <v>63</v>
      </c>
      <c r="CA306" s="173">
        <f t="shared" si="854"/>
        <v>0.63640542062101568</v>
      </c>
      <c r="CB306" s="5">
        <f t="shared" si="855"/>
        <v>63.640542062101567</v>
      </c>
      <c r="CE306" s="562">
        <f t="shared" si="796"/>
        <v>-50</v>
      </c>
      <c r="CF306">
        <f t="shared" si="797"/>
        <v>-50</v>
      </c>
      <c r="CG306" s="173">
        <f t="shared" si="798"/>
        <v>0.51417409503007838</v>
      </c>
      <c r="CI306" s="170">
        <v>90</v>
      </c>
      <c r="CJ306" s="217">
        <f t="shared" si="856"/>
        <v>2.25</v>
      </c>
      <c r="CK306" s="217"/>
      <c r="CL306" s="217">
        <f t="shared" si="799"/>
        <v>63</v>
      </c>
      <c r="CM306" s="541">
        <f t="shared" si="800"/>
        <v>40</v>
      </c>
      <c r="CN306" s="443">
        <f t="shared" si="801"/>
        <v>28.4</v>
      </c>
      <c r="CO306" s="443">
        <f t="shared" si="802"/>
        <v>68.400000000000006</v>
      </c>
      <c r="CP306" s="443"/>
      <c r="CQ306" s="217">
        <f t="shared" si="803"/>
        <v>0.41520467836257302</v>
      </c>
      <c r="CR306" s="172">
        <f t="shared" si="804"/>
        <v>140.52175355646798</v>
      </c>
      <c r="CS306" s="172">
        <f t="shared" si="805"/>
        <v>63</v>
      </c>
      <c r="CT306" s="217">
        <f t="shared" si="806"/>
        <v>5.0186340555881426</v>
      </c>
      <c r="CU306" s="217">
        <f t="shared" si="807"/>
        <v>28</v>
      </c>
      <c r="CV306" s="217"/>
      <c r="CW306" s="172">
        <f t="shared" si="808"/>
        <v>108.29534855931634</v>
      </c>
      <c r="CX306" s="172">
        <f t="shared" si="809"/>
        <v>28</v>
      </c>
      <c r="CY306" s="217">
        <f t="shared" si="810"/>
        <v>7.5866197183098611</v>
      </c>
      <c r="CZ306" s="217">
        <f t="shared" si="811"/>
        <v>0.8914278169014086</v>
      </c>
      <c r="DA306" s="217">
        <f t="shared" si="812"/>
        <v>1.2555321364808572</v>
      </c>
      <c r="DB306" s="197">
        <f t="shared" si="813"/>
        <v>350</v>
      </c>
      <c r="DC306" s="443">
        <f t="shared" si="814"/>
        <v>350</v>
      </c>
      <c r="DE306" s="217">
        <f t="shared" si="815"/>
        <v>10.09616239179509</v>
      </c>
      <c r="DF306" s="173">
        <f t="shared" si="816"/>
        <v>1.6708437761069339</v>
      </c>
      <c r="DG306" s="173">
        <f t="shared" si="817"/>
        <v>2.9520942666067511</v>
      </c>
      <c r="DH306" s="173"/>
      <c r="DI306" s="173">
        <f t="shared" si="818"/>
        <v>0.55164319248826299</v>
      </c>
      <c r="DJ306" s="545">
        <f t="shared" si="819"/>
        <v>2447.2340425531911</v>
      </c>
      <c r="DK306" s="528">
        <f t="shared" si="820"/>
        <v>0.3217918622848201</v>
      </c>
      <c r="DM306" s="173">
        <f t="shared" si="821"/>
        <v>8.8141913755524524</v>
      </c>
      <c r="DN306" s="173">
        <f t="shared" si="822"/>
        <v>8.8141913755524524</v>
      </c>
      <c r="DO306" s="173">
        <f t="shared" si="823"/>
        <v>5.259894846088236</v>
      </c>
      <c r="DQ306" s="545">
        <f t="shared" si="824"/>
        <v>2250</v>
      </c>
      <c r="DR306" s="460">
        <f t="shared" si="825"/>
        <v>350</v>
      </c>
      <c r="DT306">
        <f t="shared" si="826"/>
        <v>2250</v>
      </c>
      <c r="DU306">
        <f t="shared" si="827"/>
        <v>350</v>
      </c>
      <c r="DW306" s="5">
        <f t="shared" si="857"/>
        <v>2.8571428571428572</v>
      </c>
      <c r="DX306" s="5">
        <f t="shared" si="828"/>
        <v>1.0356674866274131</v>
      </c>
      <c r="DY306" s="5">
        <f t="shared" si="829"/>
        <v>1.8214753705154441</v>
      </c>
      <c r="DZ306" s="5"/>
      <c r="EA306" s="173">
        <f t="shared" si="830"/>
        <v>0.36248362031959458</v>
      </c>
      <c r="EB306" s="173">
        <f t="shared" si="858"/>
        <v>63.900000000000013</v>
      </c>
      <c r="EC306" s="173">
        <f t="shared" si="859"/>
        <v>2.809595687776226</v>
      </c>
      <c r="ED306" s="173">
        <f t="shared" si="860"/>
        <v>22.74348593216143</v>
      </c>
      <c r="EE306" s="460">
        <f t="shared" si="831"/>
        <v>8.3223280175417127</v>
      </c>
      <c r="EF306" s="5">
        <f t="shared" si="832"/>
        <v>2.0491597918298741</v>
      </c>
      <c r="EH306" s="173">
        <f t="shared" si="861"/>
        <v>3.0638397175706436</v>
      </c>
      <c r="EI306" s="173">
        <f t="shared" si="862"/>
        <v>4.063193660163277</v>
      </c>
      <c r="EK306" s="528">
        <f t="shared" si="863"/>
        <v>0.11264536577956033</v>
      </c>
      <c r="EL306" s="528">
        <f t="shared" si="864"/>
        <v>4.0092230890837888</v>
      </c>
      <c r="EM306" s="528">
        <f t="shared" si="865"/>
        <v>4.0250000000000001E-2</v>
      </c>
      <c r="EN306" s="528">
        <f t="shared" si="866"/>
        <v>0.80646678000000016</v>
      </c>
      <c r="EO306">
        <f t="shared" si="867"/>
        <v>1.7999999999999999E-2</v>
      </c>
      <c r="EP306" s="460">
        <f t="shared" si="868"/>
        <v>58.249999999999993</v>
      </c>
      <c r="EQ306" s="460"/>
      <c r="ER306" s="460">
        <f t="shared" si="869"/>
        <v>4986.5852348633489</v>
      </c>
      <c r="ES306" s="528">
        <f t="shared" si="870"/>
        <v>1.575</v>
      </c>
      <c r="EV306" s="460">
        <f t="shared" si="871"/>
        <v>1575</v>
      </c>
      <c r="EW306" s="528">
        <f t="shared" si="872"/>
        <v>0.13141959340948706</v>
      </c>
      <c r="EX306" s="528">
        <f t="shared" si="873"/>
        <v>0.23113359807987466</v>
      </c>
      <c r="EY306" s="528">
        <f t="shared" si="874"/>
        <v>26.42994775406833</v>
      </c>
      <c r="EZ306" s="528"/>
      <c r="FA306" s="528">
        <f t="shared" si="875"/>
        <v>2.7191489361702135</v>
      </c>
      <c r="FB306" s="460">
        <f t="shared" si="876"/>
        <v>29511.649881727906</v>
      </c>
      <c r="FC306" s="173">
        <f t="shared" si="877"/>
        <v>36.073235116591256</v>
      </c>
      <c r="FD306" s="5">
        <f t="shared" si="878"/>
        <v>63</v>
      </c>
      <c r="FE306" s="173">
        <f t="shared" si="879"/>
        <v>0.63589323519980345</v>
      </c>
      <c r="FF306" s="5">
        <f t="shared" si="880"/>
        <v>63.589323519980347</v>
      </c>
      <c r="FI306" s="562">
        <f t="shared" si="833"/>
        <v>-50</v>
      </c>
      <c r="FJ306">
        <f t="shared" si="834"/>
        <v>-50</v>
      </c>
      <c r="FL306">
        <f t="shared" si="835"/>
        <v>0.51054031030928815</v>
      </c>
    </row>
    <row r="307" spans="5:168">
      <c r="E307" s="170">
        <v>91</v>
      </c>
      <c r="F307" s="217">
        <f t="shared" si="836"/>
        <v>2.2749999999999999</v>
      </c>
      <c r="G307" s="217"/>
      <c r="H307" s="217">
        <f t="shared" si="762"/>
        <v>63.699999999999996</v>
      </c>
      <c r="I307" s="541">
        <f t="shared" si="763"/>
        <v>39.885594971096992</v>
      </c>
      <c r="J307" s="172">
        <f t="shared" si="764"/>
        <v>28.461602707870849</v>
      </c>
      <c r="K307" s="172">
        <f t="shared" si="765"/>
        <v>68.347197678967845</v>
      </c>
      <c r="L307" s="443"/>
      <c r="M307" s="217">
        <f t="shared" si="766"/>
        <v>0.41643051281831228</v>
      </c>
      <c r="N307" s="172">
        <f t="shared" si="767"/>
        <v>140.53352815657988</v>
      </c>
      <c r="O307" s="172">
        <f t="shared" si="760"/>
        <v>63.699999999999996</v>
      </c>
      <c r="P307" s="217">
        <f t="shared" si="768"/>
        <v>5.01905457702071</v>
      </c>
      <c r="Q307" s="217">
        <f t="shared" si="769"/>
        <v>28</v>
      </c>
      <c r="R307" s="217"/>
      <c r="S307" s="172">
        <f t="shared" si="770"/>
        <v>106.36491884508975</v>
      </c>
      <c r="T307" s="172">
        <f t="shared" si="771"/>
        <v>28</v>
      </c>
      <c r="U307" s="217">
        <f t="shared" si="772"/>
        <v>7.6702727853874864</v>
      </c>
      <c r="V307" s="217">
        <f t="shared" si="773"/>
        <v>0.90384215447820049</v>
      </c>
      <c r="W307" s="217">
        <f t="shared" si="774"/>
        <v>1.266628673772884</v>
      </c>
      <c r="X307" s="197">
        <f t="shared" si="775"/>
        <v>350</v>
      </c>
      <c r="Y307" s="443">
        <f t="shared" si="837"/>
        <v>350</v>
      </c>
      <c r="AA307" s="217">
        <f t="shared" si="776"/>
        <v>10.096917597720379</v>
      </c>
      <c r="AB307" s="173">
        <f t="shared" si="777"/>
        <v>1.6673520882280568</v>
      </c>
      <c r="AC307" s="173">
        <f t="shared" si="778"/>
        <v>2.9461454122144954</v>
      </c>
      <c r="AD307" s="173"/>
      <c r="AE307" s="173">
        <f t="shared" si="779"/>
        <v>0.55044920791948804</v>
      </c>
      <c r="AF307" s="545">
        <f t="shared" si="780"/>
        <v>2479.7928316751304</v>
      </c>
      <c r="AG307" s="528">
        <f t="shared" si="781"/>
        <v>0.32109537128636806</v>
      </c>
      <c r="AI307" s="173">
        <f t="shared" si="782"/>
        <v>8.8726310617505479</v>
      </c>
      <c r="AJ307" s="173">
        <f t="shared" si="783"/>
        <v>8.8726310617505479</v>
      </c>
      <c r="AK307" s="173">
        <f t="shared" si="784"/>
        <v>5.3031835025312697</v>
      </c>
      <c r="AM307" s="545">
        <f t="shared" si="785"/>
        <v>2275</v>
      </c>
      <c r="AN307" s="460">
        <f t="shared" si="786"/>
        <v>350</v>
      </c>
      <c r="AP307">
        <f t="shared" si="787"/>
        <v>2275</v>
      </c>
      <c r="AQ307">
        <f t="shared" si="788"/>
        <v>350</v>
      </c>
      <c r="AS307" s="5">
        <f t="shared" si="761"/>
        <v>2.8571428571428572</v>
      </c>
      <c r="AT307" s="5">
        <f t="shared" si="789"/>
        <v>1.0455244812180029</v>
      </c>
      <c r="AU307" s="5">
        <f t="shared" si="881"/>
        <v>1.8116183759248543</v>
      </c>
      <c r="AV307" s="5"/>
      <c r="AW307" s="173">
        <f t="shared" si="882"/>
        <v>0.36593356842630098</v>
      </c>
      <c r="AX307" s="173">
        <f t="shared" si="790"/>
        <v>64.750146160406189</v>
      </c>
      <c r="AY307" s="173">
        <f t="shared" si="791"/>
        <v>2.8129187579970649</v>
      </c>
      <c r="AZ307" s="173">
        <f t="shared" si="792"/>
        <v>23.018846874380205</v>
      </c>
      <c r="BA307" s="460">
        <f t="shared" si="723"/>
        <v>8.4948864098962726</v>
      </c>
      <c r="BB307" s="5">
        <f t="shared" si="724"/>
        <v>2.0666267148405981</v>
      </c>
      <c r="BD307" s="173">
        <f t="shared" si="838"/>
        <v>3.0987955329541395</v>
      </c>
      <c r="BE307" s="173">
        <f t="shared" si="839"/>
        <v>4.079051388610309</v>
      </c>
      <c r="BG307" s="528">
        <f t="shared" si="840"/>
        <v>0.11523040506067835</v>
      </c>
      <c r="BH307" s="528">
        <f t="shared" si="793"/>
        <v>3.8735043589402212</v>
      </c>
      <c r="BI307" s="528">
        <f t="shared" si="841"/>
        <v>4.0250000000000001E-2</v>
      </c>
      <c r="BJ307" s="528">
        <f t="shared" si="842"/>
        <v>0.80522213434414314</v>
      </c>
      <c r="BK307">
        <f t="shared" si="843"/>
        <v>1.7948517736993647E-2</v>
      </c>
      <c r="BL307" s="460">
        <f t="shared" si="844"/>
        <v>58.198517736993651</v>
      </c>
      <c r="BM307" s="528">
        <f t="shared" si="794"/>
        <v>4.9608921038365956</v>
      </c>
      <c r="BN307" s="460">
        <f t="shared" si="845"/>
        <v>4960.8921038365952</v>
      </c>
      <c r="BO307" s="528">
        <f t="shared" si="795"/>
        <v>1.5924999999999998</v>
      </c>
      <c r="BR307" s="460">
        <f t="shared" si="846"/>
        <v>1592.4999999999998</v>
      </c>
      <c r="BS307" s="528">
        <f t="shared" si="847"/>
        <v>0.13443547257079141</v>
      </c>
      <c r="BT307" s="528">
        <f t="shared" si="848"/>
        <v>0.23294124323293167</v>
      </c>
      <c r="BU307" s="528">
        <f t="shared" si="849"/>
        <v>26.870216971882741</v>
      </c>
      <c r="BV307" s="528"/>
      <c r="BW307" s="528">
        <f t="shared" si="850"/>
        <v>2.7553253685279229</v>
      </c>
      <c r="BX307" s="460">
        <f t="shared" si="851"/>
        <v>29992.919056214385</v>
      </c>
      <c r="BY307" s="173">
        <f t="shared" si="852"/>
        <v>36.437574472296419</v>
      </c>
      <c r="BZ307" s="5">
        <f t="shared" si="853"/>
        <v>63.699999999999996</v>
      </c>
      <c r="CA307" s="173">
        <f t="shared" si="854"/>
        <v>0.63612485458815393</v>
      </c>
      <c r="CB307" s="5">
        <f t="shared" si="855"/>
        <v>63.612485458815392</v>
      </c>
      <c r="CE307" s="562">
        <f t="shared" si="796"/>
        <v>-50</v>
      </c>
      <c r="CF307">
        <f t="shared" si="797"/>
        <v>-50</v>
      </c>
      <c r="CG307" s="173">
        <f t="shared" si="798"/>
        <v>0.51702272677320482</v>
      </c>
      <c r="CI307" s="170">
        <v>91</v>
      </c>
      <c r="CJ307" s="217">
        <f t="shared" si="856"/>
        <v>2.2749999999999999</v>
      </c>
      <c r="CK307" s="217"/>
      <c r="CL307" s="217">
        <f t="shared" si="799"/>
        <v>63.699999999999996</v>
      </c>
      <c r="CM307" s="541">
        <f t="shared" si="800"/>
        <v>40</v>
      </c>
      <c r="CN307" s="443">
        <f t="shared" si="801"/>
        <v>28.4</v>
      </c>
      <c r="CO307" s="443">
        <f t="shared" si="802"/>
        <v>68.400000000000006</v>
      </c>
      <c r="CP307" s="443"/>
      <c r="CQ307" s="217">
        <f t="shared" si="803"/>
        <v>0.41520467836257302</v>
      </c>
      <c r="CR307" s="172">
        <f t="shared" si="804"/>
        <v>140.52175355646798</v>
      </c>
      <c r="CS307" s="172">
        <f t="shared" si="805"/>
        <v>63.699999999999996</v>
      </c>
      <c r="CT307" s="217">
        <f t="shared" si="806"/>
        <v>5.0186340555881426</v>
      </c>
      <c r="CU307" s="217">
        <f t="shared" si="807"/>
        <v>28</v>
      </c>
      <c r="CV307" s="217"/>
      <c r="CW307" s="172">
        <f t="shared" si="808"/>
        <v>106.66958205256643</v>
      </c>
      <c r="CX307" s="172">
        <f t="shared" si="809"/>
        <v>28</v>
      </c>
      <c r="CY307" s="217">
        <f t="shared" si="810"/>
        <v>7.6709154929577474</v>
      </c>
      <c r="CZ307" s="217">
        <f t="shared" si="811"/>
        <v>0.90133257042253534</v>
      </c>
      <c r="DA307" s="217">
        <f t="shared" si="812"/>
        <v>1.2694824935528666</v>
      </c>
      <c r="DB307" s="197">
        <f t="shared" si="813"/>
        <v>350</v>
      </c>
      <c r="DC307" s="443">
        <f t="shared" si="814"/>
        <v>350</v>
      </c>
      <c r="DE307" s="217">
        <f t="shared" si="815"/>
        <v>10.09616239179509</v>
      </c>
      <c r="DF307" s="173">
        <f t="shared" si="816"/>
        <v>1.6708437761069339</v>
      </c>
      <c r="DG307" s="173">
        <f t="shared" si="817"/>
        <v>2.9520942666067511</v>
      </c>
      <c r="DH307" s="173"/>
      <c r="DI307" s="173">
        <f t="shared" si="818"/>
        <v>0.55164319248826299</v>
      </c>
      <c r="DJ307" s="545">
        <f t="shared" si="819"/>
        <v>2474.4255319148929</v>
      </c>
      <c r="DK307" s="528">
        <f t="shared" si="820"/>
        <v>0.3217918622848201</v>
      </c>
      <c r="DM307" s="173">
        <f t="shared" si="821"/>
        <v>8.8630238344123669</v>
      </c>
      <c r="DN307" s="173">
        <f t="shared" si="822"/>
        <v>8.8630238344123669</v>
      </c>
      <c r="DO307" s="173">
        <f t="shared" si="823"/>
        <v>5.2960670378363206</v>
      </c>
      <c r="DQ307" s="545">
        <f t="shared" si="824"/>
        <v>2275</v>
      </c>
      <c r="DR307" s="460">
        <f t="shared" si="825"/>
        <v>350</v>
      </c>
      <c r="DT307">
        <f t="shared" si="826"/>
        <v>2275</v>
      </c>
      <c r="DU307">
        <f t="shared" si="827"/>
        <v>350</v>
      </c>
      <c r="DW307" s="5">
        <f t="shared" si="857"/>
        <v>2.8571428571428572</v>
      </c>
      <c r="DX307" s="5">
        <f t="shared" si="828"/>
        <v>1.0414053005434529</v>
      </c>
      <c r="DY307" s="5">
        <f t="shared" si="829"/>
        <v>1.8157375565994043</v>
      </c>
      <c r="DZ307" s="5"/>
      <c r="EA307" s="173">
        <f t="shared" si="830"/>
        <v>0.36449185519020849</v>
      </c>
      <c r="EB307" s="173">
        <f t="shared" si="858"/>
        <v>64.61</v>
      </c>
      <c r="EC307" s="173">
        <f t="shared" si="859"/>
        <v>2.8162619172061838</v>
      </c>
      <c r="ED307" s="173">
        <f t="shared" si="860"/>
        <v>22.941758223998942</v>
      </c>
      <c r="EE307" s="460">
        <f t="shared" si="831"/>
        <v>8.4614180669155541</v>
      </c>
      <c r="EF307" s="5">
        <f t="shared" si="832"/>
        <v>2.065401470631822</v>
      </c>
      <c r="EH307" s="173">
        <f t="shared" si="861"/>
        <v>3.0893364172622975</v>
      </c>
      <c r="EI307" s="173">
        <f t="shared" si="862"/>
        <v>4.0792643532991972</v>
      </c>
      <c r="EK307" s="528">
        <f t="shared" si="863"/>
        <v>0.11452799398827658</v>
      </c>
      <c r="EL307" s="528">
        <f t="shared" si="864"/>
        <v>4.0314350213208101</v>
      </c>
      <c r="EM307" s="528">
        <f t="shared" si="865"/>
        <v>4.0250000000000001E-2</v>
      </c>
      <c r="EN307" s="528">
        <f t="shared" si="866"/>
        <v>0.80646678000000016</v>
      </c>
      <c r="EO307">
        <f t="shared" si="867"/>
        <v>1.7999999999999999E-2</v>
      </c>
      <c r="EP307" s="460">
        <f t="shared" si="868"/>
        <v>58.249999999999993</v>
      </c>
      <c r="EQ307" s="460"/>
      <c r="ER307" s="460">
        <f t="shared" si="869"/>
        <v>5010.6797953090863</v>
      </c>
      <c r="ES307" s="528">
        <f t="shared" si="870"/>
        <v>1.5924999999999998</v>
      </c>
      <c r="EV307" s="460">
        <f t="shared" si="871"/>
        <v>1592.4999999999998</v>
      </c>
      <c r="EW307" s="528">
        <f t="shared" si="872"/>
        <v>0.13361599298632268</v>
      </c>
      <c r="EX307" s="528">
        <f t="shared" si="873"/>
        <v>0.23296556729736523</v>
      </c>
      <c r="EY307" s="528">
        <f t="shared" si="874"/>
        <v>26.797538789347659</v>
      </c>
      <c r="EZ307" s="528"/>
      <c r="FA307" s="528">
        <f t="shared" si="875"/>
        <v>2.74936170212766</v>
      </c>
      <c r="FB307" s="460">
        <f t="shared" si="876"/>
        <v>29913.482051759009</v>
      </c>
      <c r="FC307" s="173">
        <f t="shared" si="877"/>
        <v>36.516661847068093</v>
      </c>
      <c r="FD307" s="5">
        <f t="shared" si="878"/>
        <v>63.699999999999996</v>
      </c>
      <c r="FE307" s="173">
        <f t="shared" si="879"/>
        <v>0.63562284779757494</v>
      </c>
      <c r="FF307" s="5">
        <f t="shared" si="880"/>
        <v>63.562284779757491</v>
      </c>
      <c r="FI307" s="562">
        <f t="shared" si="833"/>
        <v>-50</v>
      </c>
      <c r="FJ307">
        <f t="shared" si="834"/>
        <v>-50</v>
      </c>
      <c r="FL307">
        <f t="shared" si="835"/>
        <v>0.51336881012705438</v>
      </c>
    </row>
    <row r="308" spans="5:168">
      <c r="E308" s="170">
        <v>92</v>
      </c>
      <c r="F308" s="217">
        <f t="shared" si="836"/>
        <v>2.3000000000000003</v>
      </c>
      <c r="G308" s="217"/>
      <c r="H308" s="217">
        <f t="shared" si="762"/>
        <v>64.400000000000006</v>
      </c>
      <c r="I308" s="541">
        <f t="shared" si="763"/>
        <v>39.884968089533679</v>
      </c>
      <c r="J308" s="172">
        <f t="shared" si="764"/>
        <v>28.461940259481864</v>
      </c>
      <c r="K308" s="172">
        <f t="shared" si="765"/>
        <v>68.346908349015536</v>
      </c>
      <c r="L308" s="443"/>
      <c r="M308" s="217">
        <f t="shared" si="766"/>
        <v>0.41643723494406581</v>
      </c>
      <c r="N308" s="172">
        <f t="shared" si="767"/>
        <v>140.53358788408499</v>
      </c>
      <c r="O308" s="172">
        <f t="shared" si="760"/>
        <v>64.400000000000006</v>
      </c>
      <c r="P308" s="217">
        <f t="shared" si="768"/>
        <v>5.0190567101458923</v>
      </c>
      <c r="Q308" s="217">
        <f t="shared" si="769"/>
        <v>28</v>
      </c>
      <c r="R308" s="217"/>
      <c r="S308" s="172">
        <f t="shared" si="770"/>
        <v>104.7774722116062</v>
      </c>
      <c r="T308" s="172">
        <f t="shared" si="771"/>
        <v>28</v>
      </c>
      <c r="U308" s="217">
        <f t="shared" si="772"/>
        <v>7.7545582015858914</v>
      </c>
      <c r="V308" s="217">
        <f t="shared" si="773"/>
        <v>0.91378845949278054</v>
      </c>
      <c r="W308" s="217">
        <f t="shared" si="774"/>
        <v>1.2805319389746053</v>
      </c>
      <c r="X308" s="197">
        <f t="shared" si="775"/>
        <v>350</v>
      </c>
      <c r="Y308" s="443">
        <f t="shared" si="837"/>
        <v>350</v>
      </c>
      <c r="AA308" s="217">
        <f t="shared" si="776"/>
        <v>10.096921393719157</v>
      </c>
      <c r="AB308" s="173">
        <f t="shared" si="777"/>
        <v>1.667332940686312</v>
      </c>
      <c r="AC308" s="173">
        <f t="shared" si="778"/>
        <v>2.9461126868719516</v>
      </c>
      <c r="AD308" s="173"/>
      <c r="AE308" s="173">
        <f t="shared" si="779"/>
        <v>0.55044267972727001</v>
      </c>
      <c r="AF308" s="545">
        <f t="shared" si="780"/>
        <v>2507.0730356224453</v>
      </c>
      <c r="AG308" s="528">
        <f t="shared" si="781"/>
        <v>0.32109156317424081</v>
      </c>
      <c r="AI308" s="173">
        <f t="shared" si="782"/>
        <v>8.9213014845643634</v>
      </c>
      <c r="AJ308" s="173">
        <f t="shared" si="783"/>
        <v>8.9213014845643634</v>
      </c>
      <c r="AK308" s="173">
        <f t="shared" si="784"/>
        <v>5.3392356675785404</v>
      </c>
      <c r="AM308" s="545">
        <f t="shared" si="785"/>
        <v>2300.0000000000005</v>
      </c>
      <c r="AN308" s="460">
        <f t="shared" si="786"/>
        <v>350</v>
      </c>
      <c r="AP308">
        <f t="shared" si="787"/>
        <v>2300.0000000000005</v>
      </c>
      <c r="AQ308">
        <f t="shared" si="788"/>
        <v>350</v>
      </c>
      <c r="AS308" s="5">
        <f t="shared" si="761"/>
        <v>2.8571428571428572</v>
      </c>
      <c r="AT308" s="5">
        <f t="shared" si="789"/>
        <v>1.0512761821277601</v>
      </c>
      <c r="AU308" s="5">
        <f t="shared" si="881"/>
        <v>1.8058666750150971</v>
      </c>
      <c r="AV308" s="5"/>
      <c r="AW308" s="173">
        <f t="shared" si="882"/>
        <v>0.36794666374471602</v>
      </c>
      <c r="AX308" s="173">
        <f t="shared" si="790"/>
        <v>65.46246259680828</v>
      </c>
      <c r="AY308" s="173">
        <f t="shared" si="791"/>
        <v>2.8193691835290622</v>
      </c>
      <c r="AZ308" s="173">
        <f t="shared" si="792"/>
        <v>23.218833127369141</v>
      </c>
      <c r="BA308" s="460">
        <f t="shared" si="723"/>
        <v>8.6354829246208862</v>
      </c>
      <c r="BB308" s="5">
        <f t="shared" si="724"/>
        <v>2.0827362043820474</v>
      </c>
      <c r="BD308" s="173">
        <f t="shared" si="838"/>
        <v>3.1243524776282121</v>
      </c>
      <c r="BE308" s="173">
        <f t="shared" si="839"/>
        <v>4.094910864520565</v>
      </c>
      <c r="BG308" s="528">
        <f t="shared" si="840"/>
        <v>0.11713894085353857</v>
      </c>
      <c r="BH308" s="528">
        <f t="shared" si="793"/>
        <v>3.8947358072980305</v>
      </c>
      <c r="BI308" s="528">
        <f t="shared" si="841"/>
        <v>4.0250000000000001E-2</v>
      </c>
      <c r="BJ308" s="528">
        <f t="shared" si="842"/>
        <v>0.80521531696474724</v>
      </c>
      <c r="BK308">
        <f t="shared" si="843"/>
        <v>1.7948235640290154E-2</v>
      </c>
      <c r="BL308" s="460">
        <f t="shared" si="844"/>
        <v>58.198235640290157</v>
      </c>
      <c r="BM308" s="528">
        <f t="shared" si="794"/>
        <v>4.987531618231781</v>
      </c>
      <c r="BN308" s="460">
        <f t="shared" si="845"/>
        <v>4987.5316182317811</v>
      </c>
      <c r="BO308" s="528">
        <f t="shared" si="795"/>
        <v>1.61</v>
      </c>
      <c r="BR308" s="460">
        <f t="shared" si="846"/>
        <v>1610</v>
      </c>
      <c r="BS308" s="528">
        <f t="shared" si="847"/>
        <v>0.13666209766246165</v>
      </c>
      <c r="BT308" s="528">
        <f t="shared" si="848"/>
        <v>0.23475612983715985</v>
      </c>
      <c r="BU308" s="528">
        <f t="shared" si="849"/>
        <v>27.240222800517717</v>
      </c>
      <c r="BV308" s="528"/>
      <c r="BW308" s="528">
        <f t="shared" si="850"/>
        <v>2.7856367062471614</v>
      </c>
      <c r="BX308" s="460">
        <f t="shared" si="851"/>
        <v>30397.277734264499</v>
      </c>
      <c r="BY308" s="173">
        <f t="shared" si="852"/>
        <v>36.882566035021107</v>
      </c>
      <c r="BZ308" s="5">
        <f t="shared" si="853"/>
        <v>64.400000000000006</v>
      </c>
      <c r="CA308" s="173">
        <f t="shared" si="854"/>
        <v>0.63584486966623666</v>
      </c>
      <c r="CB308" s="5">
        <f t="shared" si="855"/>
        <v>63.584486966623665</v>
      </c>
      <c r="CE308" s="562">
        <f t="shared" si="796"/>
        <v>-50</v>
      </c>
      <c r="CF308">
        <f t="shared" si="797"/>
        <v>-50</v>
      </c>
      <c r="CG308" s="173">
        <f t="shared" si="798"/>
        <v>0.5198557492228012</v>
      </c>
      <c r="CI308" s="170">
        <v>92</v>
      </c>
      <c r="CJ308" s="217">
        <f t="shared" si="856"/>
        <v>2.3000000000000003</v>
      </c>
      <c r="CK308" s="217"/>
      <c r="CL308" s="217">
        <f t="shared" si="799"/>
        <v>64.400000000000006</v>
      </c>
      <c r="CM308" s="541">
        <f t="shared" si="800"/>
        <v>40</v>
      </c>
      <c r="CN308" s="443">
        <f t="shared" si="801"/>
        <v>28.4</v>
      </c>
      <c r="CO308" s="443">
        <f t="shared" si="802"/>
        <v>68.400000000000006</v>
      </c>
      <c r="CP308" s="443"/>
      <c r="CQ308" s="217">
        <f t="shared" si="803"/>
        <v>0.41520467836257302</v>
      </c>
      <c r="CR308" s="172">
        <f t="shared" si="804"/>
        <v>140.52175355646798</v>
      </c>
      <c r="CS308" s="172">
        <f t="shared" si="805"/>
        <v>64.400000000000006</v>
      </c>
      <c r="CT308" s="217">
        <f t="shared" si="806"/>
        <v>5.0186340555881426</v>
      </c>
      <c r="CU308" s="217">
        <f t="shared" si="807"/>
        <v>28</v>
      </c>
      <c r="CV308" s="217"/>
      <c r="CW308" s="172">
        <f t="shared" si="808"/>
        <v>105.07922487028347</v>
      </c>
      <c r="CX308" s="172">
        <f t="shared" si="809"/>
        <v>28</v>
      </c>
      <c r="CY308" s="217">
        <f t="shared" si="810"/>
        <v>7.7552112676056364</v>
      </c>
      <c r="CZ308" s="217">
        <f t="shared" si="811"/>
        <v>0.9112373239436623</v>
      </c>
      <c r="DA308" s="217">
        <f t="shared" si="812"/>
        <v>1.2834328506248764</v>
      </c>
      <c r="DB308" s="197">
        <f t="shared" si="813"/>
        <v>350</v>
      </c>
      <c r="DC308" s="443">
        <f t="shared" si="814"/>
        <v>350</v>
      </c>
      <c r="DE308" s="217">
        <f t="shared" si="815"/>
        <v>10.09616239179509</v>
      </c>
      <c r="DF308" s="173">
        <f t="shared" si="816"/>
        <v>1.6708437761069339</v>
      </c>
      <c r="DG308" s="173">
        <f t="shared" si="817"/>
        <v>2.9520942666067511</v>
      </c>
      <c r="DH308" s="173"/>
      <c r="DI308" s="173">
        <f t="shared" si="818"/>
        <v>0.55164319248826299</v>
      </c>
      <c r="DJ308" s="545">
        <f t="shared" si="819"/>
        <v>2501.6170212765956</v>
      </c>
      <c r="DK308" s="528">
        <f t="shared" si="820"/>
        <v>0.3217918622848201</v>
      </c>
      <c r="DM308" s="173">
        <f t="shared" si="821"/>
        <v>8.9115887121130193</v>
      </c>
      <c r="DN308" s="173">
        <f t="shared" si="822"/>
        <v>8.9115887121130193</v>
      </c>
      <c r="DO308" s="173">
        <f t="shared" si="823"/>
        <v>5.3320410213182861</v>
      </c>
      <c r="DQ308" s="545">
        <f t="shared" si="824"/>
        <v>2300.0000000000005</v>
      </c>
      <c r="DR308" s="460">
        <f t="shared" si="825"/>
        <v>350</v>
      </c>
      <c r="DT308">
        <f t="shared" si="826"/>
        <v>2300.0000000000005</v>
      </c>
      <c r="DU308">
        <f t="shared" si="827"/>
        <v>350</v>
      </c>
      <c r="DW308" s="5">
        <f t="shared" si="857"/>
        <v>2.8571428571428572</v>
      </c>
      <c r="DX308" s="5">
        <f t="shared" si="828"/>
        <v>1.0471116736732797</v>
      </c>
      <c r="DY308" s="5">
        <f t="shared" si="829"/>
        <v>1.8100311834695775</v>
      </c>
      <c r="DZ308" s="5"/>
      <c r="EA308" s="173">
        <f t="shared" si="830"/>
        <v>0.36648908578564787</v>
      </c>
      <c r="EB308" s="173">
        <f t="shared" si="858"/>
        <v>65.319999999999993</v>
      </c>
      <c r="EC308" s="173">
        <f t="shared" si="859"/>
        <v>2.8227943560565101</v>
      </c>
      <c r="ED308" s="173">
        <f t="shared" si="860"/>
        <v>23.140190804141007</v>
      </c>
      <c r="EE308" s="460">
        <f t="shared" si="831"/>
        <v>8.6012744623162263</v>
      </c>
      <c r="EF308" s="5">
        <f t="shared" si="832"/>
        <v>2.0815358609900141</v>
      </c>
      <c r="EH308" s="173">
        <f t="shared" si="861"/>
        <v>3.1147631656227688</v>
      </c>
      <c r="EI308" s="173">
        <f t="shared" si="862"/>
        <v>4.0951664451358205</v>
      </c>
      <c r="EK308" s="528">
        <f t="shared" si="863"/>
        <v>0.11642099493504447</v>
      </c>
      <c r="EL308" s="528">
        <f t="shared" si="864"/>
        <v>4.0535252415917284</v>
      </c>
      <c r="EM308" s="528">
        <f t="shared" si="865"/>
        <v>4.0250000000000001E-2</v>
      </c>
      <c r="EN308" s="528">
        <f t="shared" si="866"/>
        <v>0.80646678000000016</v>
      </c>
      <c r="EO308">
        <f t="shared" si="867"/>
        <v>1.7999999999999999E-2</v>
      </c>
      <c r="EP308" s="460">
        <f t="shared" si="868"/>
        <v>58.249999999999993</v>
      </c>
      <c r="EQ308" s="460"/>
      <c r="ER308" s="460">
        <f t="shared" si="869"/>
        <v>5034.6630165267734</v>
      </c>
      <c r="ES308" s="528">
        <f t="shared" si="870"/>
        <v>1.61</v>
      </c>
      <c r="EV308" s="460">
        <f t="shared" si="871"/>
        <v>1610</v>
      </c>
      <c r="EW308" s="528">
        <f t="shared" si="872"/>
        <v>0.13582449409088521</v>
      </c>
      <c r="EX308" s="528">
        <f t="shared" si="873"/>
        <v>0.23478543498712895</v>
      </c>
      <c r="EY308" s="528">
        <f t="shared" si="874"/>
        <v>27.166141096391641</v>
      </c>
      <c r="EZ308" s="528"/>
      <c r="FA308" s="528">
        <f t="shared" si="875"/>
        <v>2.7795744680851064</v>
      </c>
      <c r="FB308" s="460">
        <f t="shared" si="876"/>
        <v>30316.325493554759</v>
      </c>
      <c r="FC308" s="173">
        <f t="shared" si="877"/>
        <v>36.960988510081535</v>
      </c>
      <c r="FD308" s="5">
        <f t="shared" si="878"/>
        <v>64.400000000000006</v>
      </c>
      <c r="FE308" s="173">
        <f t="shared" si="879"/>
        <v>0.63535291976355057</v>
      </c>
      <c r="FF308" s="5">
        <f t="shared" si="880"/>
        <v>63.535291976355055</v>
      </c>
      <c r="FI308" s="562">
        <f t="shared" si="833"/>
        <v>-50</v>
      </c>
      <c r="FJ308">
        <f t="shared" si="834"/>
        <v>-50</v>
      </c>
      <c r="FL308">
        <f t="shared" si="835"/>
        <v>0.51618181096570137</v>
      </c>
    </row>
    <row r="309" spans="5:168">
      <c r="E309" s="170">
        <v>93</v>
      </c>
      <c r="F309" s="217">
        <f t="shared" si="836"/>
        <v>2.3250000000000002</v>
      </c>
      <c r="G309" s="217"/>
      <c r="H309" s="217">
        <f t="shared" si="762"/>
        <v>65.100000000000009</v>
      </c>
      <c r="I309" s="541">
        <f t="shared" si="763"/>
        <v>39.884344605777486</v>
      </c>
      <c r="J309" s="172">
        <f t="shared" si="764"/>
        <v>28.46227598150443</v>
      </c>
      <c r="K309" s="172">
        <f t="shared" si="765"/>
        <v>68.346620587281919</v>
      </c>
      <c r="L309" s="443"/>
      <c r="M309" s="217">
        <f t="shared" si="766"/>
        <v>0.41644392069071062</v>
      </c>
      <c r="N309" s="172">
        <f t="shared" si="767"/>
        <v>140.53364723601828</v>
      </c>
      <c r="O309" s="172">
        <f t="shared" si="760"/>
        <v>65.100000000000009</v>
      </c>
      <c r="P309" s="217">
        <f t="shared" si="768"/>
        <v>5.0190588298577961</v>
      </c>
      <c r="Q309" s="217">
        <f t="shared" si="769"/>
        <v>28</v>
      </c>
      <c r="R309" s="217"/>
      <c r="S309" s="172">
        <f t="shared" si="770"/>
        <v>103.22425312480757</v>
      </c>
      <c r="T309" s="172">
        <f t="shared" si="771"/>
        <v>28</v>
      </c>
      <c r="U309" s="217">
        <f t="shared" si="772"/>
        <v>7.8388435670899108</v>
      </c>
      <c r="V309" s="217">
        <f t="shared" si="773"/>
        <v>0.92373499250093516</v>
      </c>
      <c r="W309" s="217">
        <f t="shared" si="774"/>
        <v>1.2944349492382088</v>
      </c>
      <c r="X309" s="197">
        <f t="shared" si="775"/>
        <v>350</v>
      </c>
      <c r="Y309" s="443">
        <f t="shared" si="837"/>
        <v>350</v>
      </c>
      <c r="AA309" s="217">
        <f t="shared" si="776"/>
        <v>10.096925165441185</v>
      </c>
      <c r="AB309" s="173">
        <f t="shared" si="777"/>
        <v>1.667313896766776</v>
      </c>
      <c r="AC309" s="173">
        <f t="shared" si="778"/>
        <v>2.9460801375169963</v>
      </c>
      <c r="AD309" s="173"/>
      <c r="AE309" s="173">
        <f t="shared" si="779"/>
        <v>0.55043618707257624</v>
      </c>
      <c r="AF309" s="545">
        <f t="shared" si="780"/>
        <v>2534.3537230339584</v>
      </c>
      <c r="AG309" s="528">
        <f t="shared" si="781"/>
        <v>0.32108777579233616</v>
      </c>
      <c r="AI309" s="173">
        <f t="shared" si="782"/>
        <v>8.9697086768250056</v>
      </c>
      <c r="AJ309" s="173">
        <f t="shared" si="783"/>
        <v>8.9697086768250056</v>
      </c>
      <c r="AK309" s="173">
        <f t="shared" si="784"/>
        <v>5.3750928470308681</v>
      </c>
      <c r="AM309" s="545">
        <f t="shared" si="785"/>
        <v>2325</v>
      </c>
      <c r="AN309" s="460">
        <f t="shared" si="786"/>
        <v>350</v>
      </c>
      <c r="AP309">
        <f t="shared" si="787"/>
        <v>2325</v>
      </c>
      <c r="AQ309">
        <f t="shared" si="788"/>
        <v>350</v>
      </c>
      <c r="AS309" s="5">
        <f t="shared" si="761"/>
        <v>2.8571428571428572</v>
      </c>
      <c r="AT309" s="5">
        <f t="shared" si="789"/>
        <v>1.0569969545135949</v>
      </c>
      <c r="AU309" s="5">
        <f t="shared" si="881"/>
        <v>1.8001459026292623</v>
      </c>
      <c r="AV309" s="5"/>
      <c r="AW309" s="173">
        <f t="shared" si="882"/>
        <v>0.36994893407975821</v>
      </c>
      <c r="AX309" s="173">
        <f t="shared" si="790"/>
        <v>66.174791656997812</v>
      </c>
      <c r="AY309" s="173">
        <f t="shared" si="791"/>
        <v>2.8256872564138185</v>
      </c>
      <c r="AZ309" s="173">
        <f t="shared" si="792"/>
        <v>23.419007714598475</v>
      </c>
      <c r="BA309" s="460">
        <f t="shared" ref="BA309:BA316" si="883">F309*AT309/Vout_ripple*1000</f>
        <v>8.7768497115861006</v>
      </c>
      <c r="BB309" s="5">
        <f t="shared" ref="BB309:BB316" si="884">H309/Efficiency/I309*AU309/Vinripple1</f>
        <v>2.0987378707016608</v>
      </c>
      <c r="BD309" s="173">
        <f t="shared" si="838"/>
        <v>3.1498407760505427</v>
      </c>
      <c r="BE309" s="173">
        <f t="shared" si="839"/>
        <v>4.1106034838248</v>
      </c>
      <c r="BG309" s="528">
        <f t="shared" si="840"/>
        <v>0.11905796297364822</v>
      </c>
      <c r="BH309" s="528">
        <f t="shared" si="793"/>
        <v>3.9158522486194016</v>
      </c>
      <c r="BI309" s="528">
        <f t="shared" si="841"/>
        <v>4.0250000000000001E-2</v>
      </c>
      <c r="BJ309" s="528">
        <f t="shared" si="842"/>
        <v>0.80520853656535973</v>
      </c>
      <c r="BK309">
        <f t="shared" si="843"/>
        <v>1.7947955072599869E-2</v>
      </c>
      <c r="BL309" s="460">
        <f t="shared" si="844"/>
        <v>58.197955072599868</v>
      </c>
      <c r="BM309" s="528">
        <f t="shared" si="794"/>
        <v>5.0141042413801147</v>
      </c>
      <c r="BN309" s="460">
        <f t="shared" si="845"/>
        <v>5014.1042413801151</v>
      </c>
      <c r="BO309" s="528">
        <f t="shared" si="795"/>
        <v>1.6274999999999999</v>
      </c>
      <c r="BR309" s="460">
        <f t="shared" si="846"/>
        <v>1627.5</v>
      </c>
      <c r="BS309" s="528">
        <f t="shared" si="847"/>
        <v>0.1389009568025896</v>
      </c>
      <c r="BT309" s="528">
        <f t="shared" si="848"/>
        <v>0.23655885401725615</v>
      </c>
      <c r="BU309" s="528">
        <f t="shared" si="849"/>
        <v>27.611243136665045</v>
      </c>
      <c r="BV309" s="528"/>
      <c r="BW309" s="528">
        <f t="shared" si="850"/>
        <v>2.8159485811488429</v>
      </c>
      <c r="BX309" s="460">
        <f t="shared" si="851"/>
        <v>30802.651528633731</v>
      </c>
      <c r="BY309" s="173">
        <f t="shared" si="852"/>
        <v>37.328468231864747</v>
      </c>
      <c r="BZ309" s="5">
        <f t="shared" si="853"/>
        <v>65.100000000000009</v>
      </c>
      <c r="CA309" s="173">
        <f t="shared" si="854"/>
        <v>0.63556549388823014</v>
      </c>
      <c r="CB309" s="5">
        <f t="shared" si="855"/>
        <v>63.556549388823015</v>
      </c>
      <c r="CE309" s="562">
        <f t="shared" si="796"/>
        <v>-50</v>
      </c>
      <c r="CF309">
        <f t="shared" si="797"/>
        <v>-50</v>
      </c>
      <c r="CG309" s="173">
        <f t="shared" si="798"/>
        <v>0.52267341619791607</v>
      </c>
      <c r="CI309" s="170">
        <v>93</v>
      </c>
      <c r="CJ309" s="217">
        <f t="shared" si="856"/>
        <v>2.3250000000000002</v>
      </c>
      <c r="CK309" s="217"/>
      <c r="CL309" s="217">
        <f t="shared" si="799"/>
        <v>65.100000000000009</v>
      </c>
      <c r="CM309" s="541">
        <f t="shared" si="800"/>
        <v>40</v>
      </c>
      <c r="CN309" s="443">
        <f t="shared" si="801"/>
        <v>28.4</v>
      </c>
      <c r="CO309" s="443">
        <f t="shared" si="802"/>
        <v>68.400000000000006</v>
      </c>
      <c r="CP309" s="443"/>
      <c r="CQ309" s="217">
        <f t="shared" si="803"/>
        <v>0.41520467836257302</v>
      </c>
      <c r="CR309" s="172">
        <f t="shared" si="804"/>
        <v>140.52175355646798</v>
      </c>
      <c r="CS309" s="172">
        <f t="shared" si="805"/>
        <v>65.100000000000009</v>
      </c>
      <c r="CT309" s="217">
        <f t="shared" si="806"/>
        <v>5.0186340555881426</v>
      </c>
      <c r="CU309" s="217">
        <f t="shared" si="807"/>
        <v>28</v>
      </c>
      <c r="CV309" s="217"/>
      <c r="CW309" s="172">
        <f t="shared" si="808"/>
        <v>103.52313556996366</v>
      </c>
      <c r="CX309" s="172">
        <f t="shared" si="809"/>
        <v>28</v>
      </c>
      <c r="CY309" s="217">
        <f t="shared" si="810"/>
        <v>7.8395070422535245</v>
      </c>
      <c r="CZ309" s="217">
        <f t="shared" si="811"/>
        <v>0.92114207746478916</v>
      </c>
      <c r="DA309" s="217">
        <f t="shared" si="812"/>
        <v>1.2973832076968863</v>
      </c>
      <c r="DB309" s="197">
        <f t="shared" si="813"/>
        <v>350</v>
      </c>
      <c r="DC309" s="443">
        <f t="shared" si="814"/>
        <v>350</v>
      </c>
      <c r="DE309" s="217">
        <f t="shared" si="815"/>
        <v>10.09616239179509</v>
      </c>
      <c r="DF309" s="173">
        <f t="shared" si="816"/>
        <v>1.6708437761069339</v>
      </c>
      <c r="DG309" s="173">
        <f t="shared" si="817"/>
        <v>2.9520942666067511</v>
      </c>
      <c r="DH309" s="173"/>
      <c r="DI309" s="173">
        <f t="shared" si="818"/>
        <v>0.55164319248826299</v>
      </c>
      <c r="DJ309" s="545">
        <f t="shared" si="819"/>
        <v>2528.8085106382978</v>
      </c>
      <c r="DK309" s="528">
        <f t="shared" si="820"/>
        <v>0.3217918622848201</v>
      </c>
      <c r="DM309" s="173">
        <f t="shared" si="821"/>
        <v>8.9598903597286643</v>
      </c>
      <c r="DN309" s="173">
        <f t="shared" si="822"/>
        <v>8.9598903597286643</v>
      </c>
      <c r="DO309" s="173">
        <f t="shared" si="823"/>
        <v>5.3678200195520969</v>
      </c>
      <c r="DQ309" s="545">
        <f t="shared" si="824"/>
        <v>2325</v>
      </c>
      <c r="DR309" s="460">
        <f t="shared" si="825"/>
        <v>350</v>
      </c>
      <c r="DT309">
        <f t="shared" si="826"/>
        <v>2325</v>
      </c>
      <c r="DU309">
        <f t="shared" si="827"/>
        <v>350</v>
      </c>
      <c r="DW309" s="5">
        <f t="shared" si="857"/>
        <v>2.8571428571428572</v>
      </c>
      <c r="DX309" s="5">
        <f t="shared" si="828"/>
        <v>1.052787117268118</v>
      </c>
      <c r="DY309" s="5">
        <f t="shared" si="829"/>
        <v>1.8043557398747392</v>
      </c>
      <c r="DZ309" s="5"/>
      <c r="EA309" s="173">
        <f t="shared" si="830"/>
        <v>0.36847549104384131</v>
      </c>
      <c r="EB309" s="173">
        <f t="shared" si="858"/>
        <v>66.029999999999987</v>
      </c>
      <c r="EC309" s="173">
        <f t="shared" si="859"/>
        <v>2.8291951798643327</v>
      </c>
      <c r="ED309" s="173">
        <f t="shared" si="860"/>
        <v>23.338792766912</v>
      </c>
      <c r="EE309" s="460">
        <f t="shared" si="831"/>
        <v>8.7418930273156228</v>
      </c>
      <c r="EF309" s="5">
        <f t="shared" si="832"/>
        <v>2.0975635476043841</v>
      </c>
      <c r="EH309" s="173">
        <f t="shared" si="861"/>
        <v>3.1401209118251154</v>
      </c>
      <c r="EI309" s="173">
        <f t="shared" si="862"/>
        <v>4.1109024652223862</v>
      </c>
      <c r="EK309" s="528">
        <f t="shared" si="863"/>
        <v>0.11832431209057674</v>
      </c>
      <c r="EL309" s="528">
        <f t="shared" si="864"/>
        <v>4.0754957290261808</v>
      </c>
      <c r="EM309" s="528">
        <f t="shared" si="865"/>
        <v>4.0250000000000001E-2</v>
      </c>
      <c r="EN309" s="528">
        <f t="shared" si="866"/>
        <v>0.80646678000000016</v>
      </c>
      <c r="EO309">
        <f t="shared" si="867"/>
        <v>1.7999999999999999E-2</v>
      </c>
      <c r="EP309" s="460">
        <f t="shared" si="868"/>
        <v>58.249999999999993</v>
      </c>
      <c r="EQ309" s="460"/>
      <c r="ER309" s="460">
        <f t="shared" si="869"/>
        <v>5058.5368211167579</v>
      </c>
      <c r="ES309" s="528">
        <f t="shared" si="870"/>
        <v>1.6274999999999999</v>
      </c>
      <c r="EV309" s="460">
        <f t="shared" si="871"/>
        <v>1627.5</v>
      </c>
      <c r="EW309" s="528">
        <f t="shared" si="872"/>
        <v>0.13804503077233954</v>
      </c>
      <c r="EX309" s="528">
        <f t="shared" si="873"/>
        <v>0.23659326710000092</v>
      </c>
      <c r="EY309" s="528">
        <f t="shared" si="874"/>
        <v>27.535746419598215</v>
      </c>
      <c r="EZ309" s="528"/>
      <c r="FA309" s="528">
        <f t="shared" si="875"/>
        <v>2.8097872340425529</v>
      </c>
      <c r="FB309" s="460">
        <f t="shared" si="876"/>
        <v>30720.171951513108</v>
      </c>
      <c r="FC309" s="173">
        <f t="shared" si="877"/>
        <v>37.406208772629867</v>
      </c>
      <c r="FD309" s="5">
        <f t="shared" si="878"/>
        <v>65.100000000000009</v>
      </c>
      <c r="FE309" s="173">
        <f t="shared" si="879"/>
        <v>0.63508348205911136</v>
      </c>
      <c r="FF309" s="5">
        <f t="shared" si="880"/>
        <v>63.508348205911133</v>
      </c>
      <c r="FI309" s="562">
        <f t="shared" si="833"/>
        <v>-50</v>
      </c>
      <c r="FJ309">
        <f t="shared" si="834"/>
        <v>-50</v>
      </c>
      <c r="FL309">
        <f t="shared" si="835"/>
        <v>0.5189795648504808</v>
      </c>
    </row>
    <row r="310" spans="5:168">
      <c r="E310" s="170">
        <v>94</v>
      </c>
      <c r="F310" s="217">
        <f t="shared" si="836"/>
        <v>2.3499999999999996</v>
      </c>
      <c r="G310" s="217"/>
      <c r="H310" s="217">
        <f t="shared" si="762"/>
        <v>65.799999999999983</v>
      </c>
      <c r="I310" s="541">
        <f t="shared" si="763"/>
        <v>39.883724465170012</v>
      </c>
      <c r="J310" s="172">
        <f t="shared" si="764"/>
        <v>28.462609903369994</v>
      </c>
      <c r="K310" s="172">
        <f t="shared" si="765"/>
        <v>68.346334368539999</v>
      </c>
      <c r="L310" s="443"/>
      <c r="M310" s="217">
        <f t="shared" si="766"/>
        <v>0.41645057064345536</v>
      </c>
      <c r="N310" s="172">
        <f t="shared" si="767"/>
        <v>140.53370621842075</v>
      </c>
      <c r="O310" s="172">
        <f t="shared" si="760"/>
        <v>65.799999999999983</v>
      </c>
      <c r="P310" s="217">
        <f t="shared" si="768"/>
        <v>5.0190609363721697</v>
      </c>
      <c r="Q310" s="217">
        <f t="shared" si="769"/>
        <v>28</v>
      </c>
      <c r="R310" s="217"/>
      <c r="S310" s="172">
        <f t="shared" si="770"/>
        <v>101.70416976613264</v>
      </c>
      <c r="T310" s="172">
        <f t="shared" si="771"/>
        <v>28</v>
      </c>
      <c r="U310" s="217">
        <f t="shared" si="772"/>
        <v>7.9231288822347761</v>
      </c>
      <c r="V310" s="217">
        <f t="shared" si="773"/>
        <v>0.93368175229030004</v>
      </c>
      <c r="W310" s="217">
        <f t="shared" si="774"/>
        <v>1.3083377059562746</v>
      </c>
      <c r="X310" s="197">
        <f t="shared" si="775"/>
        <v>350</v>
      </c>
      <c r="Y310" s="443">
        <f t="shared" si="837"/>
        <v>350</v>
      </c>
      <c r="AA310" s="217">
        <f t="shared" si="776"/>
        <v>10.096928913276949</v>
      </c>
      <c r="AB310" s="173">
        <f t="shared" si="777"/>
        <v>1.6672949548025422</v>
      </c>
      <c r="AC310" s="173">
        <f t="shared" si="778"/>
        <v>2.94604776131865</v>
      </c>
      <c r="AD310" s="173"/>
      <c r="AE310" s="173">
        <f t="shared" si="779"/>
        <v>0.55042972938373169</v>
      </c>
      <c r="AF310" s="545">
        <f t="shared" si="780"/>
        <v>2561.6348913032989</v>
      </c>
      <c r="AG310" s="528">
        <f t="shared" si="781"/>
        <v>0.32108400880717686</v>
      </c>
      <c r="AI310" s="173">
        <f t="shared" si="782"/>
        <v>9.0178568729525264</v>
      </c>
      <c r="AJ310" s="173">
        <f t="shared" si="783"/>
        <v>9.0178568729525264</v>
      </c>
      <c r="AK310" s="173">
        <f t="shared" si="784"/>
        <v>5.4107581774956977</v>
      </c>
      <c r="AM310" s="545">
        <f t="shared" si="785"/>
        <v>2349.9999999999995</v>
      </c>
      <c r="AN310" s="460">
        <f t="shared" si="786"/>
        <v>350</v>
      </c>
      <c r="AP310">
        <f t="shared" si="787"/>
        <v>2349.9999999999995</v>
      </c>
      <c r="AQ310">
        <f t="shared" si="788"/>
        <v>350</v>
      </c>
      <c r="AS310" s="5">
        <f t="shared" si="761"/>
        <v>2.8571428571428572</v>
      </c>
      <c r="AT310" s="5">
        <f t="shared" si="789"/>
        <v>1.0626872959141582</v>
      </c>
      <c r="AU310" s="5">
        <f t="shared" si="881"/>
        <v>1.794455561228699</v>
      </c>
      <c r="AV310" s="5"/>
      <c r="AW310" s="173">
        <f t="shared" si="882"/>
        <v>0.37194055356995537</v>
      </c>
      <c r="AX310" s="173">
        <f t="shared" si="790"/>
        <v>66.887133272919485</v>
      </c>
      <c r="AY310" s="173">
        <f t="shared" si="791"/>
        <v>2.8318750978059684</v>
      </c>
      <c r="AZ310" s="173">
        <f t="shared" si="792"/>
        <v>23.619379726436787</v>
      </c>
      <c r="BA310" s="460">
        <f t="shared" si="883"/>
        <v>8.9189826621366848</v>
      </c>
      <c r="BB310" s="5">
        <f t="shared" si="884"/>
        <v>2.1146322844397702</v>
      </c>
      <c r="BD310" s="173">
        <f t="shared" si="838"/>
        <v>3.1752613515988357</v>
      </c>
      <c r="BE310" s="173">
        <f t="shared" si="839"/>
        <v>4.126131708520921</v>
      </c>
      <c r="BG310" s="528">
        <f t="shared" si="840"/>
        <v>0.12098741581148718</v>
      </c>
      <c r="BH310" s="528">
        <f t="shared" si="793"/>
        <v>3.9368555329451986</v>
      </c>
      <c r="BI310" s="528">
        <f t="shared" si="841"/>
        <v>4.0250000000000001E-2</v>
      </c>
      <c r="BJ310" s="528">
        <f t="shared" si="842"/>
        <v>0.80520179255110491</v>
      </c>
      <c r="BK310">
        <f t="shared" si="843"/>
        <v>1.7947676009326504E-2</v>
      </c>
      <c r="BL310" s="460">
        <f t="shared" si="844"/>
        <v>58.1976760093265</v>
      </c>
      <c r="BM310" s="528">
        <f t="shared" si="794"/>
        <v>5.0406118464727419</v>
      </c>
      <c r="BN310" s="460">
        <f t="shared" si="845"/>
        <v>5040.6118464727415</v>
      </c>
      <c r="BO310" s="528">
        <f t="shared" si="795"/>
        <v>1.6449999999999996</v>
      </c>
      <c r="BR310" s="460">
        <f t="shared" si="846"/>
        <v>1644.9999999999995</v>
      </c>
      <c r="BS310" s="528">
        <f t="shared" si="847"/>
        <v>0.14115198511340171</v>
      </c>
      <c r="BT310" s="528">
        <f t="shared" si="848"/>
        <v>0.23834948026486485</v>
      </c>
      <c r="BU310" s="528">
        <f t="shared" si="849"/>
        <v>27.983269849307899</v>
      </c>
      <c r="BV310" s="528"/>
      <c r="BW310" s="528">
        <f t="shared" si="850"/>
        <v>2.8462609903369995</v>
      </c>
      <c r="BX310" s="460">
        <f t="shared" si="851"/>
        <v>31209.032305023164</v>
      </c>
      <c r="BY310" s="173">
        <f t="shared" si="852"/>
        <v>37.775274722340285</v>
      </c>
      <c r="BZ310" s="5">
        <f t="shared" si="853"/>
        <v>65.799999999999983</v>
      </c>
      <c r="CA310" s="173">
        <f t="shared" si="854"/>
        <v>0.63528675329506523</v>
      </c>
      <c r="CB310" s="5">
        <f t="shared" si="855"/>
        <v>63.528675329506527</v>
      </c>
      <c r="CE310" s="562">
        <f t="shared" si="796"/>
        <v>-50</v>
      </c>
      <c r="CF310">
        <f t="shared" si="797"/>
        <v>-50</v>
      </c>
      <c r="CG310" s="173">
        <f t="shared" si="798"/>
        <v>0.52547597471245056</v>
      </c>
      <c r="CI310" s="170">
        <v>94</v>
      </c>
      <c r="CJ310" s="217">
        <f t="shared" si="856"/>
        <v>2.3499999999999996</v>
      </c>
      <c r="CK310" s="217"/>
      <c r="CL310" s="217">
        <f t="shared" si="799"/>
        <v>65.799999999999983</v>
      </c>
      <c r="CM310" s="541">
        <f t="shared" si="800"/>
        <v>40</v>
      </c>
      <c r="CN310" s="443">
        <f t="shared" si="801"/>
        <v>28.4</v>
      </c>
      <c r="CO310" s="443">
        <f t="shared" si="802"/>
        <v>68.400000000000006</v>
      </c>
      <c r="CP310" s="443"/>
      <c r="CQ310" s="217">
        <f t="shared" si="803"/>
        <v>0.41520467836257302</v>
      </c>
      <c r="CR310" s="172">
        <f t="shared" si="804"/>
        <v>140.52175355646798</v>
      </c>
      <c r="CS310" s="172">
        <f t="shared" si="805"/>
        <v>65.799999999999983</v>
      </c>
      <c r="CT310" s="217">
        <f t="shared" si="806"/>
        <v>5.0186340555881426</v>
      </c>
      <c r="CU310" s="217">
        <f t="shared" si="807"/>
        <v>28</v>
      </c>
      <c r="CV310" s="217"/>
      <c r="CW310" s="172">
        <f t="shared" si="808"/>
        <v>102.00022129353928</v>
      </c>
      <c r="CX310" s="172">
        <f t="shared" si="809"/>
        <v>28</v>
      </c>
      <c r="CY310" s="217">
        <f t="shared" si="810"/>
        <v>7.9238028169014081</v>
      </c>
      <c r="CZ310" s="217">
        <f t="shared" si="811"/>
        <v>0.93104683098591545</v>
      </c>
      <c r="DA310" s="217">
        <f t="shared" si="812"/>
        <v>1.3113335647688951</v>
      </c>
      <c r="DB310" s="197">
        <f t="shared" si="813"/>
        <v>350</v>
      </c>
      <c r="DC310" s="443">
        <f t="shared" si="814"/>
        <v>350</v>
      </c>
      <c r="DE310" s="217">
        <f t="shared" si="815"/>
        <v>10.09616239179509</v>
      </c>
      <c r="DF310" s="173">
        <f t="shared" si="816"/>
        <v>1.6708437761069339</v>
      </c>
      <c r="DG310" s="173">
        <f t="shared" si="817"/>
        <v>2.9520942666067511</v>
      </c>
      <c r="DH310" s="173"/>
      <c r="DI310" s="173">
        <f t="shared" si="818"/>
        <v>0.55164319248826299</v>
      </c>
      <c r="DJ310" s="545">
        <f t="shared" si="819"/>
        <v>2555.9999999999995</v>
      </c>
      <c r="DK310" s="528">
        <f t="shared" si="820"/>
        <v>0.3217918622848201</v>
      </c>
      <c r="DM310" s="173">
        <f t="shared" si="821"/>
        <v>9.0079330116768261</v>
      </c>
      <c r="DN310" s="173">
        <f t="shared" si="822"/>
        <v>9.0079330116768261</v>
      </c>
      <c r="DO310" s="173">
        <f t="shared" si="823"/>
        <v>5.4034071691433283</v>
      </c>
      <c r="DQ310" s="545">
        <f t="shared" si="824"/>
        <v>2349.9999999999995</v>
      </c>
      <c r="DR310" s="460">
        <f t="shared" si="825"/>
        <v>350</v>
      </c>
      <c r="DT310">
        <f t="shared" si="826"/>
        <v>2349.9999999999995</v>
      </c>
      <c r="DU310">
        <f t="shared" si="827"/>
        <v>350</v>
      </c>
      <c r="DW310" s="5">
        <f t="shared" si="857"/>
        <v>2.8571428571428572</v>
      </c>
      <c r="DX310" s="5">
        <f t="shared" si="828"/>
        <v>1.0584321288720271</v>
      </c>
      <c r="DY310" s="5">
        <f t="shared" si="829"/>
        <v>1.7987107282708301</v>
      </c>
      <c r="DZ310" s="5"/>
      <c r="EA310" s="173">
        <f t="shared" si="830"/>
        <v>0.37045124510520949</v>
      </c>
      <c r="EB310" s="173">
        <f t="shared" si="858"/>
        <v>66.739999999999995</v>
      </c>
      <c r="EC310" s="173">
        <f t="shared" si="859"/>
        <v>2.8354665058384128</v>
      </c>
      <c r="ED310" s="173">
        <f t="shared" si="860"/>
        <v>23.537573045767928</v>
      </c>
      <c r="EE310" s="460">
        <f t="shared" si="831"/>
        <v>8.8832696530330839</v>
      </c>
      <c r="EF310" s="5">
        <f t="shared" si="832"/>
        <v>2.1134851057182247</v>
      </c>
      <c r="EH310" s="173">
        <f t="shared" si="861"/>
        <v>3.1654105821080862</v>
      </c>
      <c r="EI310" s="173">
        <f t="shared" si="862"/>
        <v>4.1264748750352505</v>
      </c>
      <c r="EK310" s="528">
        <f t="shared" si="863"/>
        <v>0.12023788983986224</v>
      </c>
      <c r="EL310" s="528">
        <f t="shared" si="864"/>
        <v>4.097348409691322</v>
      </c>
      <c r="EM310" s="528">
        <f t="shared" si="865"/>
        <v>4.0250000000000001E-2</v>
      </c>
      <c r="EN310" s="528">
        <f t="shared" si="866"/>
        <v>0.80646678000000016</v>
      </c>
      <c r="EO310">
        <f t="shared" si="867"/>
        <v>1.7999999999999999E-2</v>
      </c>
      <c r="EP310" s="460">
        <f t="shared" si="868"/>
        <v>58.249999999999993</v>
      </c>
      <c r="EQ310" s="460"/>
      <c r="ER310" s="460">
        <f t="shared" si="869"/>
        <v>5082.3030795311852</v>
      </c>
      <c r="ES310" s="528">
        <f t="shared" si="870"/>
        <v>1.6449999999999996</v>
      </c>
      <c r="EV310" s="460">
        <f t="shared" si="871"/>
        <v>1644.9999999999995</v>
      </c>
      <c r="EW310" s="528">
        <f t="shared" si="872"/>
        <v>0.14027753814650595</v>
      </c>
      <c r="EX310" s="528">
        <f t="shared" si="873"/>
        <v>0.23838912852016064</v>
      </c>
      <c r="EY310" s="528">
        <f t="shared" si="874"/>
        <v>27.906346658931295</v>
      </c>
      <c r="EZ310" s="528"/>
      <c r="FA310" s="528">
        <f t="shared" si="875"/>
        <v>2.8400000000000003</v>
      </c>
      <c r="FB310" s="460">
        <f t="shared" si="876"/>
        <v>31125.013325597964</v>
      </c>
      <c r="FC310" s="173">
        <f t="shared" si="877"/>
        <v>37.852316405129152</v>
      </c>
      <c r="FD310" s="5">
        <f t="shared" si="878"/>
        <v>65.799999999999983</v>
      </c>
      <c r="FE310" s="173">
        <f t="shared" si="879"/>
        <v>0.63481456355319743</v>
      </c>
      <c r="FF310" s="5">
        <f t="shared" si="880"/>
        <v>63.481456355319743</v>
      </c>
      <c r="FI310" s="562">
        <f t="shared" si="833"/>
        <v>-50</v>
      </c>
      <c r="FJ310">
        <f t="shared" si="834"/>
        <v>-50</v>
      </c>
      <c r="FL310">
        <f t="shared" si="835"/>
        <v>0.52176231704959086</v>
      </c>
    </row>
    <row r="311" spans="5:168">
      <c r="E311" s="170">
        <v>95</v>
      </c>
      <c r="F311" s="217">
        <f t="shared" si="836"/>
        <v>2.375</v>
      </c>
      <c r="G311" s="217"/>
      <c r="H311" s="217">
        <f t="shared" si="762"/>
        <v>66.5</v>
      </c>
      <c r="I311" s="541">
        <f t="shared" si="763"/>
        <v>39.883107614502762</v>
      </c>
      <c r="J311" s="172">
        <f t="shared" si="764"/>
        <v>28.462942053729279</v>
      </c>
      <c r="K311" s="172">
        <f t="shared" si="765"/>
        <v>68.346049668232041</v>
      </c>
      <c r="L311" s="443"/>
      <c r="M311" s="217">
        <f t="shared" si="766"/>
        <v>0.41645718537198501</v>
      </c>
      <c r="N311" s="172">
        <f t="shared" si="767"/>
        <v>140.53376483717304</v>
      </c>
      <c r="O311" s="172">
        <f t="shared" si="760"/>
        <v>66.5</v>
      </c>
      <c r="P311" s="217">
        <f t="shared" si="768"/>
        <v>5.0190630298990371</v>
      </c>
      <c r="Q311" s="217">
        <f t="shared" si="769"/>
        <v>28</v>
      </c>
      <c r="R311" s="217"/>
      <c r="S311" s="172">
        <f t="shared" si="770"/>
        <v>100.21617630678278</v>
      </c>
      <c r="T311" s="172">
        <f t="shared" si="771"/>
        <v>28</v>
      </c>
      <c r="U311" s="217">
        <f t="shared" si="772"/>
        <v>8.0074141473503655</v>
      </c>
      <c r="V311" s="217">
        <f t="shared" si="773"/>
        <v>0.94362873766791167</v>
      </c>
      <c r="W311" s="217">
        <f t="shared" si="774"/>
        <v>1.3222402104991011</v>
      </c>
      <c r="X311" s="197">
        <f t="shared" si="775"/>
        <v>350</v>
      </c>
      <c r="Y311" s="443">
        <f t="shared" si="837"/>
        <v>350</v>
      </c>
      <c r="AA311" s="217">
        <f t="shared" si="776"/>
        <v>10.09693263760656</v>
      </c>
      <c r="AB311" s="173">
        <f t="shared" si="777"/>
        <v>1.6672761131709184</v>
      </c>
      <c r="AC311" s="173">
        <f t="shared" si="778"/>
        <v>2.9460155555210199</v>
      </c>
      <c r="AD311" s="173"/>
      <c r="AE311" s="173">
        <f t="shared" si="779"/>
        <v>0.55042330610422563</v>
      </c>
      <c r="AF311" s="545">
        <f t="shared" si="780"/>
        <v>2588.9165378658013</v>
      </c>
      <c r="AG311" s="528">
        <f t="shared" si="781"/>
        <v>0.32108026189413158</v>
      </c>
      <c r="AI311" s="173">
        <f t="shared" si="782"/>
        <v>9.0657501950425665</v>
      </c>
      <c r="AJ311" s="173">
        <f t="shared" si="783"/>
        <v>9.0657501950425665</v>
      </c>
      <c r="AK311" s="173">
        <f t="shared" si="784"/>
        <v>5.4462347123772092</v>
      </c>
      <c r="AM311" s="545">
        <f t="shared" si="785"/>
        <v>2375</v>
      </c>
      <c r="AN311" s="460">
        <f t="shared" si="786"/>
        <v>350</v>
      </c>
      <c r="AP311">
        <f t="shared" si="787"/>
        <v>2375</v>
      </c>
      <c r="AQ311">
        <f t="shared" si="788"/>
        <v>350</v>
      </c>
      <c r="AS311" s="5">
        <f t="shared" si="761"/>
        <v>2.8571428571428572</v>
      </c>
      <c r="AT311" s="5">
        <f t="shared" si="789"/>
        <v>1.0683476906700737</v>
      </c>
      <c r="AU311" s="5">
        <f t="shared" si="881"/>
        <v>1.7887951664727835</v>
      </c>
      <c r="AV311" s="5"/>
      <c r="AW311" s="173">
        <f t="shared" si="882"/>
        <v>0.37392169173452577</v>
      </c>
      <c r="AX311" s="173">
        <f t="shared" si="790"/>
        <v>67.599487377607034</v>
      </c>
      <c r="AY311" s="173">
        <f t="shared" si="791"/>
        <v>2.8379347726348212</v>
      </c>
      <c r="AZ311" s="173">
        <f t="shared" si="792"/>
        <v>23.819958101026298</v>
      </c>
      <c r="BA311" s="460">
        <f t="shared" si="883"/>
        <v>9.0618777333622322</v>
      </c>
      <c r="BB311" s="5">
        <f t="shared" si="884"/>
        <v>2.1304200071049686</v>
      </c>
      <c r="BD311" s="173">
        <f t="shared" si="838"/>
        <v>3.2006151055617367</v>
      </c>
      <c r="BE311" s="173">
        <f t="shared" si="839"/>
        <v>4.1414979350095225</v>
      </c>
      <c r="BG311" s="528">
        <f t="shared" si="840"/>
        <v>0.12292724464739961</v>
      </c>
      <c r="BH311" s="528">
        <f t="shared" si="793"/>
        <v>3.9577474612411696</v>
      </c>
      <c r="BI311" s="528">
        <f t="shared" si="841"/>
        <v>4.0250000000000001E-2</v>
      </c>
      <c r="BJ311" s="528">
        <f t="shared" si="842"/>
        <v>0.80519508434288956</v>
      </c>
      <c r="BK311">
        <f t="shared" si="843"/>
        <v>1.7947398426526241E-2</v>
      </c>
      <c r="BL311" s="460">
        <f t="shared" si="844"/>
        <v>58.197398426526242</v>
      </c>
      <c r="BM311" s="528">
        <f t="shared" si="794"/>
        <v>5.0670562595210695</v>
      </c>
      <c r="BN311" s="460">
        <f t="shared" si="845"/>
        <v>5067.0562595210695</v>
      </c>
      <c r="BO311" s="528">
        <f t="shared" si="795"/>
        <v>1.6624999999999999</v>
      </c>
      <c r="BR311" s="460">
        <f t="shared" si="846"/>
        <v>1662.4999999999998</v>
      </c>
      <c r="BS311" s="528">
        <f t="shared" si="847"/>
        <v>0.14341511875529955</v>
      </c>
      <c r="BT311" s="528">
        <f t="shared" si="848"/>
        <v>0.24012807203963396</v>
      </c>
      <c r="BU311" s="528">
        <f t="shared" si="849"/>
        <v>28.356294958851532</v>
      </c>
      <c r="BV311" s="528"/>
      <c r="BW311" s="528">
        <f t="shared" si="850"/>
        <v>2.8765739309620018</v>
      </c>
      <c r="BX311" s="460">
        <f t="shared" si="851"/>
        <v>31616.412080608468</v>
      </c>
      <c r="BY311" s="173">
        <f t="shared" si="852"/>
        <v>38.222979269266453</v>
      </c>
      <c r="BZ311" s="5">
        <f t="shared" si="853"/>
        <v>66.5</v>
      </c>
      <c r="CA311" s="173">
        <f t="shared" si="854"/>
        <v>0.63500867206053657</v>
      </c>
      <c r="CB311" s="5">
        <f t="shared" si="855"/>
        <v>63.500867206053655</v>
      </c>
      <c r="CE311" s="562">
        <f t="shared" si="796"/>
        <v>-50</v>
      </c>
      <c r="CF311">
        <f t="shared" si="797"/>
        <v>-50</v>
      </c>
      <c r="CG311" s="173">
        <f t="shared" si="798"/>
        <v>0.52826366522788593</v>
      </c>
      <c r="CI311" s="170">
        <v>95</v>
      </c>
      <c r="CJ311" s="217">
        <f t="shared" si="856"/>
        <v>2.375</v>
      </c>
      <c r="CK311" s="217"/>
      <c r="CL311" s="217">
        <f t="shared" si="799"/>
        <v>66.5</v>
      </c>
      <c r="CM311" s="541">
        <f t="shared" si="800"/>
        <v>40</v>
      </c>
      <c r="CN311" s="443">
        <f t="shared" si="801"/>
        <v>28.4</v>
      </c>
      <c r="CO311" s="443">
        <f t="shared" si="802"/>
        <v>68.400000000000006</v>
      </c>
      <c r="CP311" s="443"/>
      <c r="CQ311" s="217">
        <f t="shared" si="803"/>
        <v>0.41520467836257302</v>
      </c>
      <c r="CR311" s="172">
        <f t="shared" si="804"/>
        <v>140.52175355646798</v>
      </c>
      <c r="CS311" s="172">
        <f t="shared" si="805"/>
        <v>66.5</v>
      </c>
      <c r="CT311" s="217">
        <f t="shared" si="806"/>
        <v>5.0186340555881426</v>
      </c>
      <c r="CU311" s="217">
        <f t="shared" si="807"/>
        <v>28</v>
      </c>
      <c r="CV311" s="217"/>
      <c r="CW311" s="172">
        <f t="shared" si="808"/>
        <v>100.50943521054164</v>
      </c>
      <c r="CX311" s="172">
        <f t="shared" si="809"/>
        <v>28</v>
      </c>
      <c r="CY311" s="217">
        <f t="shared" si="810"/>
        <v>8.008098591549297</v>
      </c>
      <c r="CZ311" s="217">
        <f t="shared" si="811"/>
        <v>0.94095158450704242</v>
      </c>
      <c r="DA311" s="217">
        <f t="shared" si="812"/>
        <v>1.3252839218409049</v>
      </c>
      <c r="DB311" s="197">
        <f t="shared" si="813"/>
        <v>350</v>
      </c>
      <c r="DC311" s="443">
        <f t="shared" si="814"/>
        <v>350</v>
      </c>
      <c r="DE311" s="217">
        <f t="shared" si="815"/>
        <v>10.09616239179509</v>
      </c>
      <c r="DF311" s="173">
        <f t="shared" si="816"/>
        <v>1.6708437761069339</v>
      </c>
      <c r="DG311" s="173">
        <f t="shared" si="817"/>
        <v>2.9520942666067511</v>
      </c>
      <c r="DH311" s="173"/>
      <c r="DI311" s="173">
        <f t="shared" si="818"/>
        <v>0.55164319248826299</v>
      </c>
      <c r="DJ311" s="545">
        <f t="shared" si="819"/>
        <v>2583.1914893617022</v>
      </c>
      <c r="DK311" s="528">
        <f t="shared" si="820"/>
        <v>0.3217918622848201</v>
      </c>
      <c r="DM311" s="173">
        <f t="shared" si="821"/>
        <v>9.0557207900506533</v>
      </c>
      <c r="DN311" s="173">
        <f t="shared" si="822"/>
        <v>9.0557207900506533</v>
      </c>
      <c r="DO311" s="173">
        <f t="shared" si="823"/>
        <v>5.4388055234943105</v>
      </c>
      <c r="DQ311" s="545">
        <f t="shared" si="824"/>
        <v>2375</v>
      </c>
      <c r="DR311" s="460">
        <f t="shared" si="825"/>
        <v>350</v>
      </c>
      <c r="DT311">
        <f t="shared" si="826"/>
        <v>2375</v>
      </c>
      <c r="DU311">
        <f t="shared" si="827"/>
        <v>350</v>
      </c>
      <c r="DW311" s="5">
        <f t="shared" si="857"/>
        <v>2.8571428571428572</v>
      </c>
      <c r="DX311" s="5">
        <f t="shared" si="828"/>
        <v>1.0640471928309518</v>
      </c>
      <c r="DY311" s="5">
        <f t="shared" si="829"/>
        <v>1.7930956643119054</v>
      </c>
      <c r="DZ311" s="5"/>
      <c r="EA311" s="173">
        <f t="shared" si="830"/>
        <v>0.37241651749083315</v>
      </c>
      <c r="EB311" s="173">
        <f t="shared" si="858"/>
        <v>67.450000000000017</v>
      </c>
      <c r="EC311" s="173">
        <f t="shared" si="859"/>
        <v>2.8416103950253264</v>
      </c>
      <c r="ED311" s="173">
        <f t="shared" si="860"/>
        <v>23.736540420207344</v>
      </c>
      <c r="EE311" s="460">
        <f t="shared" si="831"/>
        <v>9.0254002963339648</v>
      </c>
      <c r="EF311" s="5">
        <f t="shared" si="832"/>
        <v>2.1293011013703875</v>
      </c>
      <c r="EH311" s="173">
        <f t="shared" si="861"/>
        <v>3.1906330805680678</v>
      </c>
      <c r="EI311" s="173">
        <f t="shared" si="862"/>
        <v>4.1418860704961373</v>
      </c>
      <c r="EK311" s="528">
        <f t="shared" si="863"/>
        <v>0.12216167345778335</v>
      </c>
      <c r="EL311" s="528">
        <f t="shared" si="864"/>
        <v>4.1190851585624415</v>
      </c>
      <c r="EM311" s="528">
        <f t="shared" si="865"/>
        <v>4.0250000000000001E-2</v>
      </c>
      <c r="EN311" s="528">
        <f t="shared" si="866"/>
        <v>0.80646678000000016</v>
      </c>
      <c r="EO311">
        <f t="shared" si="867"/>
        <v>1.7999999999999999E-2</v>
      </c>
      <c r="EP311" s="460">
        <f t="shared" si="868"/>
        <v>58.249999999999993</v>
      </c>
      <c r="EQ311" s="460"/>
      <c r="ER311" s="460">
        <f t="shared" si="869"/>
        <v>5105.9636120202249</v>
      </c>
      <c r="ES311" s="528">
        <f t="shared" si="870"/>
        <v>1.6624999999999999</v>
      </c>
      <c r="EV311" s="460">
        <f t="shared" si="871"/>
        <v>1662.4999999999998</v>
      </c>
      <c r="EW311" s="528">
        <f t="shared" si="872"/>
        <v>0.14252195236741391</v>
      </c>
      <c r="EX311" s="528">
        <f t="shared" si="873"/>
        <v>0.24017308309357907</v>
      </c>
      <c r="EY311" s="528">
        <f t="shared" si="874"/>
        <v>28.277933865363</v>
      </c>
      <c r="EZ311" s="528"/>
      <c r="FA311" s="528">
        <f t="shared" si="875"/>
        <v>2.8702127659574472</v>
      </c>
      <c r="FB311" s="460">
        <f t="shared" si="876"/>
        <v>31530.841666781442</v>
      </c>
      <c r="FC311" s="173">
        <f t="shared" si="877"/>
        <v>38.299305278801661</v>
      </c>
      <c r="FD311" s="5">
        <f t="shared" si="878"/>
        <v>66.5</v>
      </c>
      <c r="FE311" s="173">
        <f t="shared" si="879"/>
        <v>0.63454619115162525</v>
      </c>
      <c r="FF311" s="5">
        <f t="shared" si="880"/>
        <v>63.454619115162522</v>
      </c>
      <c r="FI311" s="562">
        <f t="shared" si="833"/>
        <v>-50</v>
      </c>
      <c r="FJ311">
        <f t="shared" si="834"/>
        <v>-50</v>
      </c>
      <c r="FL311">
        <f t="shared" si="835"/>
        <v>0.5245303063251171</v>
      </c>
    </row>
    <row r="312" spans="5:168">
      <c r="E312" s="170">
        <v>96</v>
      </c>
      <c r="F312" s="217">
        <f t="shared" si="836"/>
        <v>2.4</v>
      </c>
      <c r="G312" s="217"/>
      <c r="H312" s="217">
        <f>F312*Vout</f>
        <v>67.2</v>
      </c>
      <c r="I312" s="541">
        <f t="shared" si="763"/>
        <v>39.882494001963863</v>
      </c>
      <c r="J312" s="172">
        <f t="shared" si="764"/>
        <v>28.463272460480994</v>
      </c>
      <c r="K312" s="172">
        <f t="shared" si="765"/>
        <v>68.345766462444857</v>
      </c>
      <c r="L312" s="443"/>
      <c r="M312" s="217">
        <f t="shared" si="766"/>
        <v>0.41646376543103181</v>
      </c>
      <c r="N312" s="172">
        <f>M312*I312*(Isw_max+VIN_max/Lmag*ILIM_delay)*0.5*Efficiency</f>
        <v>140.53382309800159</v>
      </c>
      <c r="O312" s="172">
        <f t="shared" si="760"/>
        <v>67.2</v>
      </c>
      <c r="P312" s="217">
        <f>N312/Vout</f>
        <v>5.0190651106429138</v>
      </c>
      <c r="Q312" s="217">
        <f t="shared" si="769"/>
        <v>28</v>
      </c>
      <c r="R312" s="217"/>
      <c r="S312" s="172">
        <f t="shared" si="770"/>
        <v>98.759270512456183</v>
      </c>
      <c r="T312" s="172">
        <f>MIN(Vout, S312)</f>
        <v>28</v>
      </c>
      <c r="U312" s="217">
        <f t="shared" si="772"/>
        <v>8.0916993627613145</v>
      </c>
      <c r="V312" s="217">
        <f>L*U312/I312*1000000</f>
        <v>0.95357594745969199</v>
      </c>
      <c r="W312" s="217">
        <f t="shared" si="774"/>
        <v>1.3361424642152864</v>
      </c>
      <c r="X312" s="197">
        <f t="shared" si="775"/>
        <v>350</v>
      </c>
      <c r="Y312" s="443">
        <f t="shared" si="837"/>
        <v>350</v>
      </c>
      <c r="AA312" s="217">
        <f t="shared" si="776"/>
        <v>10.096936338800168</v>
      </c>
      <c r="AB312" s="173">
        <f>L*AA312/J312*1000000</f>
        <v>1.6672573702918081</v>
      </c>
      <c r="AC312" s="173">
        <f>0.5*AB312*AA312*Nps*X312/1000</f>
        <v>2.9459835174405584</v>
      </c>
      <c r="AD312" s="173"/>
      <c r="AE312" s="173">
        <f t="shared" si="779"/>
        <v>0.55041691669215465</v>
      </c>
      <c r="AF312" s="545">
        <f>MAX(12000,F312/(0.5*AE312/1000000*Isw_min*Nps))/1000</f>
        <v>2616.1986601974018</v>
      </c>
      <c r="AG312" s="528">
        <f t="shared" si="781"/>
        <v>0.32107653473709025</v>
      </c>
      <c r="AI312" s="173">
        <f t="shared" si="782"/>
        <v>9.1133926569940158</v>
      </c>
      <c r="AJ312" s="173">
        <f>MAX(IF(F312&gt;AC312,U312,AI312),Isw_min)</f>
        <v>9.1133926569940158</v>
      </c>
      <c r="AK312" s="173">
        <f>IF(F312&gt;AG312, (AJ312-Isw_min)/1.08*0.8+1.2, AF312*0.2/350+1)</f>
        <v>5.4815254249338388</v>
      </c>
      <c r="AM312" s="545">
        <f t="shared" si="785"/>
        <v>2400</v>
      </c>
      <c r="AN312" s="460">
        <f t="shared" si="786"/>
        <v>350</v>
      </c>
      <c r="AP312">
        <f t="shared" si="787"/>
        <v>2400</v>
      </c>
      <c r="AQ312">
        <f t="shared" si="788"/>
        <v>350</v>
      </c>
      <c r="AS312" s="5">
        <f t="shared" si="761"/>
        <v>2.8571428571428572</v>
      </c>
      <c r="AT312" s="5">
        <f t="shared" si="789"/>
        <v>1.0739786104089359</v>
      </c>
      <c r="AU312" s="5">
        <f t="shared" si="881"/>
        <v>1.7831642467339213</v>
      </c>
      <c r="AV312" s="5"/>
      <c r="AW312" s="173">
        <f t="shared" si="882"/>
        <v>0.37589251364312759</v>
      </c>
      <c r="AX312" s="173">
        <f t="shared" si="790"/>
        <v>68.311853905154393</v>
      </c>
      <c r="AY312" s="173">
        <f t="shared" si="791"/>
        <v>2.8438682916698568</v>
      </c>
      <c r="AZ312" s="173">
        <f t="shared" si="792"/>
        <v>24.020751630886245</v>
      </c>
      <c r="BA312" s="460">
        <f t="shared" si="883"/>
        <v>9.2055309463623072</v>
      </c>
      <c r="BB312" s="5">
        <f t="shared" si="884"/>
        <v>2.1461015913150661</v>
      </c>
      <c r="BD312" s="173">
        <f t="shared" si="838"/>
        <v>3.2259029178938445</v>
      </c>
      <c r="BE312" s="173">
        <f t="shared" si="839"/>
        <v>4.1567044964941626</v>
      </c>
      <c r="BG312" s="528">
        <f t="shared" si="840"/>
        <v>0.12487739562811224</v>
      </c>
      <c r="BH312" s="528">
        <f t="shared" si="793"/>
        <v>3.978529787201333</v>
      </c>
      <c r="BI312" s="528">
        <f t="shared" si="841"/>
        <v>4.0250000000000001E-2</v>
      </c>
      <c r="BJ312" s="528">
        <f t="shared" si="842"/>
        <v>0.80518841137681918</v>
      </c>
      <c r="BK312">
        <f t="shared" si="843"/>
        <v>1.7947122300883737E-2</v>
      </c>
      <c r="BL312" s="460">
        <f t="shared" si="844"/>
        <v>58.197122300883741</v>
      </c>
      <c r="BM312" s="528">
        <f t="shared" si="794"/>
        <v>5.0934392611272186</v>
      </c>
      <c r="BN312" s="460">
        <f t="shared" si="845"/>
        <v>5093.4392611272187</v>
      </c>
      <c r="BO312" s="528">
        <f t="shared" si="795"/>
        <v>1.68</v>
      </c>
      <c r="BR312" s="460">
        <f t="shared" si="846"/>
        <v>1680</v>
      </c>
      <c r="BS312" s="528">
        <f t="shared" si="847"/>
        <v>0.14569029489946428</v>
      </c>
      <c r="BT312" s="528">
        <f t="shared" si="848"/>
        <v>0.2418946917964471</v>
      </c>
      <c r="BU312" s="528">
        <f t="shared" si="849"/>
        <v>28.730310632735943</v>
      </c>
      <c r="BV312" s="528"/>
      <c r="BW312" s="528">
        <f t="shared" si="850"/>
        <v>2.9068874002193357</v>
      </c>
      <c r="BX312" s="460">
        <f t="shared" si="851"/>
        <v>32024.78301965119</v>
      </c>
      <c r="BY312" s="173">
        <f t="shared" si="852"/>
        <v>38.671575736158331</v>
      </c>
      <c r="BZ312" s="5">
        <f t="shared" si="853"/>
        <v>67.2</v>
      </c>
      <c r="CA312" s="173">
        <f t="shared" si="854"/>
        <v>0.63473127260775408</v>
      </c>
      <c r="CB312" s="5">
        <f t="shared" si="855"/>
        <v>63.473127260775406</v>
      </c>
      <c r="CE312" s="562">
        <f t="shared" si="796"/>
        <v>-50</v>
      </c>
      <c r="CF312">
        <f t="shared" si="797"/>
        <v>-50</v>
      </c>
      <c r="CG312" s="173">
        <f t="shared" si="798"/>
        <v>0.53103672189407025</v>
      </c>
      <c r="CI312" s="170">
        <v>96</v>
      </c>
      <c r="CJ312" s="217">
        <f t="shared" si="856"/>
        <v>2.4</v>
      </c>
      <c r="CK312" s="217"/>
      <c r="CL312" s="217">
        <f t="shared" si="799"/>
        <v>67.2</v>
      </c>
      <c r="CM312" s="541">
        <f t="shared" si="800"/>
        <v>40</v>
      </c>
      <c r="CN312" s="443">
        <f t="shared" si="801"/>
        <v>28.4</v>
      </c>
      <c r="CO312" s="443">
        <f t="shared" si="802"/>
        <v>68.400000000000006</v>
      </c>
      <c r="CP312" s="443"/>
      <c r="CQ312" s="217">
        <f t="shared" si="803"/>
        <v>0.41520467836257302</v>
      </c>
      <c r="CR312" s="172">
        <f t="shared" si="804"/>
        <v>140.52175355646798</v>
      </c>
      <c r="CS312" s="172">
        <f t="shared" si="805"/>
        <v>67.2</v>
      </c>
      <c r="CT312" s="217">
        <f t="shared" si="806"/>
        <v>5.0186340555881426</v>
      </c>
      <c r="CU312" s="217">
        <f t="shared" si="807"/>
        <v>28</v>
      </c>
      <c r="CV312" s="217"/>
      <c r="CW312" s="172">
        <f t="shared" si="808"/>
        <v>99.049774121071749</v>
      </c>
      <c r="CX312" s="172">
        <f t="shared" si="809"/>
        <v>28</v>
      </c>
      <c r="CY312" s="217">
        <f t="shared" si="810"/>
        <v>8.0923943661971851</v>
      </c>
      <c r="CZ312" s="217">
        <f t="shared" si="811"/>
        <v>0.95085633802816927</v>
      </c>
      <c r="DA312" s="217">
        <f t="shared" si="812"/>
        <v>1.3392342789129144</v>
      </c>
      <c r="DB312" s="197">
        <f t="shared" si="813"/>
        <v>350</v>
      </c>
      <c r="DC312" s="443">
        <f t="shared" si="814"/>
        <v>350</v>
      </c>
      <c r="DE312" s="217">
        <f t="shared" si="815"/>
        <v>10.09616239179509</v>
      </c>
      <c r="DF312" s="173">
        <f t="shared" si="816"/>
        <v>1.6708437761069339</v>
      </c>
      <c r="DG312" s="173">
        <f t="shared" si="817"/>
        <v>2.9520942666067511</v>
      </c>
      <c r="DH312" s="173"/>
      <c r="DI312" s="173">
        <f t="shared" si="818"/>
        <v>0.55164319248826299</v>
      </c>
      <c r="DJ312" s="545">
        <f t="shared" si="819"/>
        <v>2610.382978723404</v>
      </c>
      <c r="DK312" s="528">
        <f t="shared" si="820"/>
        <v>0.3217918622848201</v>
      </c>
      <c r="DM312" s="173">
        <f t="shared" si="821"/>
        <v>9.1032577087465842</v>
      </c>
      <c r="DN312" s="173">
        <f t="shared" si="822"/>
        <v>9.1032577087465842</v>
      </c>
      <c r="DO312" s="173">
        <f t="shared" si="823"/>
        <v>5.4740180558616665</v>
      </c>
      <c r="DQ312" s="545">
        <f t="shared" si="824"/>
        <v>2400</v>
      </c>
      <c r="DR312" s="460">
        <f t="shared" si="825"/>
        <v>350</v>
      </c>
      <c r="DT312">
        <f t="shared" si="826"/>
        <v>2400</v>
      </c>
      <c r="DU312">
        <f t="shared" si="827"/>
        <v>350</v>
      </c>
      <c r="DW312" s="5">
        <f t="shared" si="857"/>
        <v>2.8571428571428572</v>
      </c>
      <c r="DX312" s="5">
        <f t="shared" si="828"/>
        <v>1.0696327807777237</v>
      </c>
      <c r="DY312" s="5">
        <f t="shared" si="829"/>
        <v>1.7875100763651335</v>
      </c>
      <c r="DZ312" s="5"/>
      <c r="EA312" s="173">
        <f t="shared" si="830"/>
        <v>0.37437147327220327</v>
      </c>
      <c r="EB312" s="173">
        <f t="shared" si="858"/>
        <v>68.16</v>
      </c>
      <c r="EC312" s="173">
        <f t="shared" si="859"/>
        <v>2.8476288543732924</v>
      </c>
      <c r="ED312" s="173">
        <f t="shared" si="860"/>
        <v>23.935703522361127</v>
      </c>
      <c r="EE312" s="460">
        <f t="shared" si="831"/>
        <v>9.1682809780947743</v>
      </c>
      <c r="EF312" s="5">
        <f t="shared" si="832"/>
        <v>2.1450120916381601</v>
      </c>
      <c r="EH312" s="173">
        <f t="shared" si="861"/>
        <v>3.2157892899156377</v>
      </c>
      <c r="EI312" s="173">
        <f t="shared" si="862"/>
        <v>4.1571383843715441</v>
      </c>
      <c r="EK312" s="528">
        <f t="shared" si="863"/>
        <v>0.12409560908563345</v>
      </c>
      <c r="EL312" s="528">
        <f t="shared" si="864"/>
        <v>4.1407078014004721</v>
      </c>
      <c r="EM312" s="528">
        <f t="shared" si="865"/>
        <v>4.0250000000000001E-2</v>
      </c>
      <c r="EN312" s="528">
        <f t="shared" si="866"/>
        <v>0.80646678000000016</v>
      </c>
      <c r="EO312">
        <f t="shared" si="867"/>
        <v>1.7999999999999999E-2</v>
      </c>
      <c r="EP312" s="460">
        <f t="shared" si="868"/>
        <v>58.249999999999993</v>
      </c>
      <c r="EQ312" s="460"/>
      <c r="ER312" s="460">
        <f t="shared" si="869"/>
        <v>5129.5201904861051</v>
      </c>
      <c r="ES312" s="528">
        <f t="shared" si="870"/>
        <v>1.68</v>
      </c>
      <c r="EV312" s="460">
        <f t="shared" si="871"/>
        <v>1680</v>
      </c>
      <c r="EW312" s="528">
        <f t="shared" si="872"/>
        <v>0.1447782105999057</v>
      </c>
      <c r="EX312" s="528">
        <f t="shared" si="873"/>
        <v>0.24194519365541356</v>
      </c>
      <c r="EY312" s="528">
        <f t="shared" si="874"/>
        <v>28.650500236496267</v>
      </c>
      <c r="EZ312" s="528"/>
      <c r="FA312" s="528">
        <f t="shared" si="875"/>
        <v>2.9004255319148942</v>
      </c>
      <c r="FB312" s="460">
        <f t="shared" si="876"/>
        <v>31937.649172666483</v>
      </c>
      <c r="FC312" s="173">
        <f t="shared" si="877"/>
        <v>38.74716936315258</v>
      </c>
      <c r="FD312" s="5">
        <f t="shared" si="878"/>
        <v>67.2</v>
      </c>
      <c r="FE312" s="173">
        <f t="shared" si="879"/>
        <v>0.63427838991771612</v>
      </c>
      <c r="FF312" s="5">
        <f t="shared" si="880"/>
        <v>63.427838991771615</v>
      </c>
      <c r="FI312" s="562">
        <f t="shared" si="833"/>
        <v>-50</v>
      </c>
      <c r="FJ312">
        <f t="shared" si="834"/>
        <v>-50</v>
      </c>
      <c r="FL312">
        <f t="shared" si="835"/>
        <v>0.52728376517211728</v>
      </c>
    </row>
    <row r="313" spans="5:168">
      <c r="E313" s="170">
        <v>97</v>
      </c>
      <c r="F313" s="217">
        <f>IF(PLOT_TYPE=1, E313/100*Iout_max, min_I*EXP(N313*rr/100))</f>
        <v>2.4249999999999998</v>
      </c>
      <c r="G313" s="217"/>
      <c r="H313" s="217">
        <f>F313*Vout</f>
        <v>67.899999999999991</v>
      </c>
      <c r="I313" s="541">
        <f t="shared" si="763"/>
        <v>39.881883577087258</v>
      </c>
      <c r="J313" s="172">
        <f t="shared" si="764"/>
        <v>28.463601150799168</v>
      </c>
      <c r="K313" s="172">
        <f t="shared" si="765"/>
        <v>68.345484727886429</v>
      </c>
      <c r="L313" s="443"/>
      <c r="M313" s="217">
        <f t="shared" si="766"/>
        <v>0.416470311360918</v>
      </c>
      <c r="N313" s="172">
        <f>M313*I313*(Isw_max+VIN_max/Lmag*ILIM_delay)*0.5*Efficiency</f>
        <v>140.53388100648391</v>
      </c>
      <c r="O313" s="172">
        <f t="shared" si="760"/>
        <v>67.899999999999991</v>
      </c>
      <c r="P313" s="217">
        <f>N313/Vout</f>
        <v>5.019067178802997</v>
      </c>
      <c r="Q313" s="217">
        <f t="shared" si="769"/>
        <v>28</v>
      </c>
      <c r="R313" s="217"/>
      <c r="S313" s="172">
        <f t="shared" si="770"/>
        <v>97.332491496256765</v>
      </c>
      <c r="T313" s="172">
        <f>MIN(Vout, S313)</f>
        <v>28</v>
      </c>
      <c r="U313" s="217">
        <f t="shared" si="772"/>
        <v>8.1759845287871915</v>
      </c>
      <c r="V313" s="217">
        <f>L*U313/I313*1000000</f>
        <v>0.96352338050996067</v>
      </c>
      <c r="W313" s="217">
        <f t="shared" si="774"/>
        <v>1.3500444684323045</v>
      </c>
      <c r="X313" s="197">
        <f t="shared" si="775"/>
        <v>350</v>
      </c>
      <c r="Y313" s="443">
        <f t="shared" si="837"/>
        <v>350</v>
      </c>
      <c r="AA313" s="217">
        <f t="shared" si="776"/>
        <v>10.096940017218303</v>
      </c>
      <c r="AB313" s="173">
        <f>L*AA313/J313*1000000</f>
        <v>1.6672387246261573</v>
      </c>
      <c r="AC313" s="173">
        <f>0.5*AB313*AA313*Nps*X313/1000</f>
        <v>2.9459516444634244</v>
      </c>
      <c r="AD313" s="173"/>
      <c r="AE313" s="173">
        <f t="shared" si="779"/>
        <v>0.55041056061969151</v>
      </c>
      <c r="AF313" s="545">
        <f>MAX(12000,F313/(0.5*AE313/1000000*Isw_min*Nps))/1000</f>
        <v>2643.4812558135818</v>
      </c>
      <c r="AG313" s="528">
        <f t="shared" si="781"/>
        <v>0.32107282702815343</v>
      </c>
      <c r="AI313" s="173">
        <f t="shared" si="782"/>
        <v>9.1607881684436876</v>
      </c>
      <c r="AJ313" s="173">
        <f>MAX(IF(F313&gt;AC313,U313,AI313),Isw_min)</f>
        <v>9.1607881684436876</v>
      </c>
      <c r="AK313" s="173">
        <f>IF(F313&gt;AG313, (AJ313-Isw_min)/1.08*0.8+1.2, AF313*0.2/350+1)</f>
        <v>5.516633211192854</v>
      </c>
      <c r="AM313" s="545">
        <f t="shared" si="785"/>
        <v>2425</v>
      </c>
      <c r="AN313" s="460">
        <f t="shared" si="786"/>
        <v>350</v>
      </c>
      <c r="AP313">
        <f t="shared" si="787"/>
        <v>2425</v>
      </c>
      <c r="AQ313">
        <f t="shared" si="788"/>
        <v>350</v>
      </c>
      <c r="AS313" s="5">
        <f t="shared" si="761"/>
        <v>2.8571428571428572</v>
      </c>
      <c r="AT313" s="5">
        <f t="shared" si="789"/>
        <v>1.0795805145076318</v>
      </c>
      <c r="AU313" s="5">
        <f t="shared" si="881"/>
        <v>1.7775623426352254</v>
      </c>
      <c r="AV313" s="5"/>
      <c r="AW313" s="173">
        <f t="shared" si="882"/>
        <v>0.3778531800776711</v>
      </c>
      <c r="AX313" s="173">
        <f t="shared" si="790"/>
        <v>69.024232790687975</v>
      </c>
      <c r="AY313" s="173">
        <f t="shared" si="791"/>
        <v>2.8496776134896682</v>
      </c>
      <c r="AZ313" s="173">
        <f t="shared" si="792"/>
        <v>24.221768969214043</v>
      </c>
      <c r="BA313" s="460">
        <f t="shared" si="883"/>
        <v>9.3499383845750241</v>
      </c>
      <c r="BB313" s="5">
        <f t="shared" si="884"/>
        <v>2.1616775810292563</v>
      </c>
      <c r="BD313" s="173">
        <f t="shared" si="838"/>
        <v>3.2511256479373349</v>
      </c>
      <c r="BE313" s="173">
        <f t="shared" si="839"/>
        <v>4.1717536652695584</v>
      </c>
      <c r="BG313" s="528">
        <f t="shared" si="840"/>
        <v>0.12683781574411149</v>
      </c>
      <c r="BH313" s="528">
        <f t="shared" si="793"/>
        <v>3.9992042189670602</v>
      </c>
      <c r="BI313" s="528">
        <f t="shared" si="841"/>
        <v>4.0250000000000001E-2</v>
      </c>
      <c r="BJ313" s="528">
        <f t="shared" si="842"/>
        <v>0.80518177310364691</v>
      </c>
      <c r="BK313">
        <f t="shared" si="843"/>
        <v>1.7946847609689266E-2</v>
      </c>
      <c r="BL313" s="460">
        <f t="shared" si="844"/>
        <v>58.196847609689264</v>
      </c>
      <c r="BM313" s="528">
        <f t="shared" si="794"/>
        <v>5.1197625881714819</v>
      </c>
      <c r="BN313" s="460">
        <f t="shared" si="845"/>
        <v>5119.7625881714821</v>
      </c>
      <c r="BO313" s="528">
        <f t="shared" si="795"/>
        <v>1.6974999999999998</v>
      </c>
      <c r="BR313" s="460">
        <f t="shared" si="846"/>
        <v>1697.4999999999998</v>
      </c>
      <c r="BS313" s="528">
        <f t="shared" si="847"/>
        <v>0.1479774517014634</v>
      </c>
      <c r="BT313" s="528">
        <f t="shared" si="848"/>
        <v>0.24364940101165994</v>
      </c>
      <c r="BU313" s="528">
        <f t="shared" si="849"/>
        <v>29.105309181220274</v>
      </c>
      <c r="BV313" s="528"/>
      <c r="BW313" s="528">
        <f t="shared" si="850"/>
        <v>2.9372013953484255</v>
      </c>
      <c r="BX313" s="460">
        <f t="shared" si="851"/>
        <v>32434.137429281825</v>
      </c>
      <c r="BY313" s="173">
        <f t="shared" si="852"/>
        <v>39.121058084706334</v>
      </c>
      <c r="BZ313" s="5">
        <f t="shared" si="853"/>
        <v>67.899999999999991</v>
      </c>
      <c r="CA313" s="173">
        <f t="shared" si="854"/>
        <v>0.63445457571777764</v>
      </c>
      <c r="CB313" s="5">
        <f t="shared" si="855"/>
        <v>63.445457571777766</v>
      </c>
      <c r="CE313" s="562">
        <f t="shared" si="796"/>
        <v>-50</v>
      </c>
      <c r="CF313">
        <f t="shared" si="797"/>
        <v>-50</v>
      </c>
      <c r="CG313" s="173">
        <f t="shared" si="798"/>
        <v>0.53379537277874556</v>
      </c>
      <c r="CI313" s="170">
        <v>97</v>
      </c>
      <c r="CJ313" s="217">
        <f t="shared" si="856"/>
        <v>2.4249999999999998</v>
      </c>
      <c r="CK313" s="217"/>
      <c r="CL313" s="217">
        <f t="shared" si="799"/>
        <v>67.899999999999991</v>
      </c>
      <c r="CM313" s="541">
        <f t="shared" si="800"/>
        <v>40</v>
      </c>
      <c r="CN313" s="443">
        <f t="shared" si="801"/>
        <v>28.4</v>
      </c>
      <c r="CO313" s="443">
        <f t="shared" si="802"/>
        <v>68.400000000000006</v>
      </c>
      <c r="CP313" s="443"/>
      <c r="CQ313" s="217">
        <f t="shared" si="803"/>
        <v>0.41520467836257302</v>
      </c>
      <c r="CR313" s="172">
        <f t="shared" si="804"/>
        <v>140.52175355646798</v>
      </c>
      <c r="CS313" s="172">
        <f t="shared" si="805"/>
        <v>67.899999999999991</v>
      </c>
      <c r="CT313" s="217">
        <f t="shared" si="806"/>
        <v>5.0186340555881426</v>
      </c>
      <c r="CU313" s="217">
        <f t="shared" si="807"/>
        <v>28</v>
      </c>
      <c r="CV313" s="217"/>
      <c r="CW313" s="172">
        <f t="shared" si="808"/>
        <v>97.620276207045976</v>
      </c>
      <c r="CX313" s="172">
        <f t="shared" si="809"/>
        <v>28</v>
      </c>
      <c r="CY313" s="217">
        <f t="shared" si="810"/>
        <v>8.1766901408450714</v>
      </c>
      <c r="CZ313" s="217">
        <f t="shared" si="811"/>
        <v>0.96076109154929601</v>
      </c>
      <c r="DA313" s="217">
        <f t="shared" si="812"/>
        <v>1.3531846359849238</v>
      </c>
      <c r="DB313" s="197">
        <f t="shared" si="813"/>
        <v>350</v>
      </c>
      <c r="DC313" s="443">
        <f t="shared" si="814"/>
        <v>350</v>
      </c>
      <c r="DE313" s="217">
        <f t="shared" si="815"/>
        <v>10.09616239179509</v>
      </c>
      <c r="DF313" s="173">
        <f t="shared" si="816"/>
        <v>1.6708437761069339</v>
      </c>
      <c r="DG313" s="173">
        <f t="shared" si="817"/>
        <v>2.9520942666067511</v>
      </c>
      <c r="DH313" s="173"/>
      <c r="DI313" s="173">
        <f t="shared" si="818"/>
        <v>0.55164319248826299</v>
      </c>
      <c r="DJ313" s="545">
        <f t="shared" si="819"/>
        <v>2637.5744680851062</v>
      </c>
      <c r="DK313" s="528">
        <f t="shared" si="820"/>
        <v>0.3217918622848201</v>
      </c>
      <c r="DM313" s="173">
        <f t="shared" si="821"/>
        <v>9.15054767739902</v>
      </c>
      <c r="DN313" s="173">
        <f t="shared" si="822"/>
        <v>9.15054767739902</v>
      </c>
      <c r="DO313" s="173">
        <f t="shared" si="823"/>
        <v>5.5090476622708788</v>
      </c>
      <c r="DQ313" s="545">
        <f t="shared" si="824"/>
        <v>2425</v>
      </c>
      <c r="DR313" s="460">
        <f t="shared" si="825"/>
        <v>350</v>
      </c>
      <c r="DT313">
        <f t="shared" si="826"/>
        <v>2425</v>
      </c>
      <c r="DU313">
        <f t="shared" si="827"/>
        <v>350</v>
      </c>
      <c r="DW313" s="5">
        <f t="shared" si="857"/>
        <v>2.8571428571428572</v>
      </c>
      <c r="DX313" s="5">
        <f t="shared" si="828"/>
        <v>1.0751893520943849</v>
      </c>
      <c r="DY313" s="5">
        <f t="shared" si="829"/>
        <v>1.7819535050484723</v>
      </c>
      <c r="DZ313" s="5"/>
      <c r="EA313" s="173">
        <f t="shared" si="830"/>
        <v>0.37631627323303474</v>
      </c>
      <c r="EB313" s="173">
        <f t="shared" si="858"/>
        <v>68.870000000000019</v>
      </c>
      <c r="EC313" s="173">
        <f t="shared" si="859"/>
        <v>2.8535238386995094</v>
      </c>
      <c r="ED313" s="173">
        <f t="shared" si="860"/>
        <v>24.135070843279674</v>
      </c>
      <c r="EE313" s="460">
        <f t="shared" si="831"/>
        <v>9.3119077815317262</v>
      </c>
      <c r="EF313" s="5">
        <f t="shared" si="832"/>
        <v>2.160618624871272</v>
      </c>
      <c r="EH313" s="173">
        <f t="shared" si="861"/>
        <v>3.2408800721986784</v>
      </c>
      <c r="EI313" s="173">
        <f t="shared" si="862"/>
        <v>4.1722340885601108</v>
      </c>
      <c r="EK313" s="528">
        <f t="shared" si="863"/>
        <v>0.12603964370849413</v>
      </c>
      <c r="EL313" s="528">
        <f t="shared" si="864"/>
        <v>4.1622181165417187</v>
      </c>
      <c r="EM313" s="528">
        <f t="shared" si="865"/>
        <v>4.0250000000000001E-2</v>
      </c>
      <c r="EN313" s="528">
        <f t="shared" si="866"/>
        <v>0.80646678000000016</v>
      </c>
      <c r="EO313">
        <f t="shared" si="867"/>
        <v>1.7999999999999999E-2</v>
      </c>
      <c r="EP313" s="460">
        <f t="shared" si="868"/>
        <v>58.249999999999993</v>
      </c>
      <c r="EQ313" s="460"/>
      <c r="ER313" s="460">
        <f t="shared" si="869"/>
        <v>5152.9745402502131</v>
      </c>
      <c r="ES313" s="528">
        <f t="shared" si="870"/>
        <v>1.6974999999999998</v>
      </c>
      <c r="EV313" s="460">
        <f t="shared" si="871"/>
        <v>1697.4999999999998</v>
      </c>
      <c r="EW313" s="528">
        <f t="shared" si="872"/>
        <v>0.14704625099324314</v>
      </c>
      <c r="EX313" s="528">
        <f t="shared" si="873"/>
        <v>0.24370552205640225</v>
      </c>
      <c r="EY313" s="528">
        <f t="shared" si="874"/>
        <v>29.02403811235882</v>
      </c>
      <c r="EZ313" s="528"/>
      <c r="FA313" s="528">
        <f t="shared" si="875"/>
        <v>2.9306382978723415</v>
      </c>
      <c r="FB313" s="460">
        <f t="shared" si="876"/>
        <v>32345.428183280801</v>
      </c>
      <c r="FC313" s="173">
        <f t="shared" si="877"/>
        <v>39.19590272353102</v>
      </c>
      <c r="FD313" s="5">
        <f t="shared" si="878"/>
        <v>67.899999999999991</v>
      </c>
      <c r="FE313" s="173">
        <f t="shared" si="879"/>
        <v>0.63401118318489202</v>
      </c>
      <c r="FF313" s="5">
        <f t="shared" si="880"/>
        <v>63.401118318489203</v>
      </c>
      <c r="FI313" s="562">
        <f t="shared" si="833"/>
        <v>-50</v>
      </c>
      <c r="FJ313">
        <f t="shared" si="834"/>
        <v>-50</v>
      </c>
      <c r="FL313">
        <f t="shared" si="835"/>
        <v>0.53002292004652773</v>
      </c>
    </row>
    <row r="314" spans="5:168">
      <c r="E314" s="170">
        <v>98</v>
      </c>
      <c r="F314" s="217">
        <f>IF(PLOT_TYPE=1, E314/100*Iout_max, min_I*EXP(N314*rr/100))</f>
        <v>2.4500000000000002</v>
      </c>
      <c r="G314" s="217"/>
      <c r="H314" s="217">
        <f>F314*Vout</f>
        <v>68.600000000000009</v>
      </c>
      <c r="I314" s="541">
        <f t="shared" si="763"/>
        <v>39.881276290704271</v>
      </c>
      <c r="J314" s="172">
        <f t="shared" si="764"/>
        <v>28.463928151159237</v>
      </c>
      <c r="K314" s="172">
        <f t="shared" si="765"/>
        <v>68.345204441863501</v>
      </c>
      <c r="L314" s="443"/>
      <c r="M314" s="217">
        <f t="shared" si="766"/>
        <v>0.41647682368807604</v>
      </c>
      <c r="N314" s="172">
        <f>M314*I314*(Isw_max+VIN_max/Lmag*ILIM_delay)*0.5*Efficiency</f>
        <v>140.53393856805428</v>
      </c>
      <c r="O314" s="172">
        <f t="shared" si="760"/>
        <v>68.600000000000009</v>
      </c>
      <c r="P314" s="217">
        <f>N314/Vout</f>
        <v>5.019069234573367</v>
      </c>
      <c r="Q314" s="217">
        <f t="shared" si="769"/>
        <v>28</v>
      </c>
      <c r="R314" s="217"/>
      <c r="S314" s="172">
        <f t="shared" si="770"/>
        <v>95.934917609194926</v>
      </c>
      <c r="T314" s="172">
        <f>MIN(Vout, S314)</f>
        <v>28</v>
      </c>
      <c r="U314" s="217">
        <f t="shared" si="772"/>
        <v>8.2602696457426052</v>
      </c>
      <c r="V314" s="217">
        <f>L*U314/I314*1000000</f>
        <v>0.97347103568095594</v>
      </c>
      <c r="W314" s="217">
        <f t="shared" si="774"/>
        <v>1.3639462244570451</v>
      </c>
      <c r="X314" s="197">
        <f t="shared" si="775"/>
        <v>350</v>
      </c>
      <c r="Y314" s="443">
        <f t="shared" si="837"/>
        <v>350</v>
      </c>
      <c r="AA314" s="217">
        <f t="shared" si="776"/>
        <v>10.096943673212225</v>
      </c>
      <c r="AB314" s="173">
        <f>L*AA314/J314*1000000</f>
        <v>1.6672201746744766</v>
      </c>
      <c r="AC314" s="173">
        <f>0.5*AB314*AA314*Nps*X314/1000</f>
        <v>2.9459199340429665</v>
      </c>
      <c r="AD314" s="173"/>
      <c r="AE314" s="173">
        <f t="shared" si="779"/>
        <v>0.55040423737257838</v>
      </c>
      <c r="AF314" s="545">
        <f>MAX(12000,F314/(0.5*AE314/1000000*Isw_min*Nps))/1000</f>
        <v>2670.7643222683459</v>
      </c>
      <c r="AG314" s="528">
        <f t="shared" si="781"/>
        <v>0.32106913846733742</v>
      </c>
      <c r="AI314" s="173">
        <f t="shared" si="782"/>
        <v>9.2079405385189066</v>
      </c>
      <c r="AJ314" s="173">
        <f>MAX(IF(F314&gt;AC314,U314,AI314),Isw_min)</f>
        <v>9.2079405385189066</v>
      </c>
      <c r="AK314" s="173">
        <f>IF(F314&gt;AG314, (AJ314-Isw_min)/1.08*0.8+1.2, AF314*0.2/350+1)</f>
        <v>5.5515608927300537</v>
      </c>
      <c r="AM314" s="545">
        <f t="shared" si="785"/>
        <v>2450</v>
      </c>
      <c r="AN314" s="460">
        <f t="shared" si="786"/>
        <v>350</v>
      </c>
      <c r="AP314">
        <f t="shared" si="787"/>
        <v>2450</v>
      </c>
      <c r="AQ314">
        <f t="shared" si="788"/>
        <v>350</v>
      </c>
      <c r="AS314" s="5">
        <f t="shared" si="761"/>
        <v>2.8571428571428572</v>
      </c>
      <c r="AT314" s="5">
        <f t="shared" si="789"/>
        <v>1.0851538505332676</v>
      </c>
      <c r="AU314" s="5">
        <f t="shared" si="881"/>
        <v>1.7719890066095896</v>
      </c>
      <c r="AV314" s="5"/>
      <c r="AW314" s="173">
        <f t="shared" si="882"/>
        <v>0.37980384768664366</v>
      </c>
      <c r="AX314" s="173">
        <f t="shared" si="790"/>
        <v>69.736623970340133</v>
      </c>
      <c r="AY314" s="173">
        <f t="shared" si="791"/>
        <v>2.8553646463598001</v>
      </c>
      <c r="AZ314" s="173">
        <f t="shared" si="792"/>
        <v>24.423018635901652</v>
      </c>
      <c r="BA314" s="460">
        <f t="shared" si="883"/>
        <v>9.4950961921660912</v>
      </c>
      <c r="BB314" s="5">
        <f t="shared" si="884"/>
        <v>2.1771485117718781</v>
      </c>
      <c r="BD314" s="173">
        <f t="shared" si="838"/>
        <v>3.2762841351119945</v>
      </c>
      <c r="BE314" s="173">
        <f t="shared" si="839"/>
        <v>4.1866476549040286</v>
      </c>
      <c r="BG314" s="528">
        <f t="shared" si="840"/>
        <v>0.12880845280783859</v>
      </c>
      <c r="BH314" s="528">
        <f t="shared" si="793"/>
        <v>4.0197724207666035</v>
      </c>
      <c r="BI314" s="528">
        <f t="shared" si="841"/>
        <v>4.0250000000000001E-2</v>
      </c>
      <c r="BJ314" s="528">
        <f t="shared" si="842"/>
        <v>0.80517516898824548</v>
      </c>
      <c r="BK314">
        <f t="shared" si="843"/>
        <v>1.7946574330816922E-2</v>
      </c>
      <c r="BL314" s="460">
        <f t="shared" si="844"/>
        <v>58.196574330816922</v>
      </c>
      <c r="BM314" s="528">
        <f t="shared" si="794"/>
        <v>5.1460279354214968</v>
      </c>
      <c r="BN314" s="460">
        <f t="shared" si="845"/>
        <v>5146.0279354214972</v>
      </c>
      <c r="BO314" s="528">
        <f t="shared" si="795"/>
        <v>1.7150000000000001</v>
      </c>
      <c r="BR314" s="460">
        <f t="shared" si="846"/>
        <v>1715</v>
      </c>
      <c r="BS314" s="528">
        <f t="shared" si="847"/>
        <v>0.15027652827581167</v>
      </c>
      <c r="BT314" s="528">
        <f t="shared" si="848"/>
        <v>0.24539226020838761</v>
      </c>
      <c r="BU314" s="528">
        <f t="shared" si="849"/>
        <v>29.481283053330159</v>
      </c>
      <c r="BV314" s="528"/>
      <c r="BW314" s="528">
        <f t="shared" si="850"/>
        <v>2.967515913631495</v>
      </c>
      <c r="BX314" s="460">
        <f t="shared" si="851"/>
        <v>32844.467755445854</v>
      </c>
      <c r="BY314" s="173">
        <f t="shared" si="852"/>
        <v>39.571420372339361</v>
      </c>
      <c r="BZ314" s="5">
        <f t="shared" si="853"/>
        <v>68.600000000000009</v>
      </c>
      <c r="CA314" s="173">
        <f t="shared" si="854"/>
        <v>0.63417860063102016</v>
      </c>
      <c r="CB314" s="5">
        <f t="shared" si="855"/>
        <v>63.417860063102019</v>
      </c>
      <c r="CE314" s="562">
        <f t="shared" si="796"/>
        <v>-50</v>
      </c>
      <c r="CF314">
        <f t="shared" si="797"/>
        <v>-50</v>
      </c>
      <c r="CG314" s="173">
        <f t="shared" si="798"/>
        <v>0.53653984008645617</v>
      </c>
      <c r="CI314" s="170">
        <v>98</v>
      </c>
      <c r="CJ314" s="217">
        <f t="shared" si="856"/>
        <v>2.4500000000000002</v>
      </c>
      <c r="CK314" s="217"/>
      <c r="CL314" s="217">
        <f t="shared" si="799"/>
        <v>68.600000000000009</v>
      </c>
      <c r="CM314" s="541">
        <f t="shared" si="800"/>
        <v>40</v>
      </c>
      <c r="CN314" s="443">
        <f t="shared" si="801"/>
        <v>28.4</v>
      </c>
      <c r="CO314" s="443">
        <f t="shared" si="802"/>
        <v>68.400000000000006</v>
      </c>
      <c r="CP314" s="443"/>
      <c r="CQ314" s="217">
        <f t="shared" si="803"/>
        <v>0.41520467836257302</v>
      </c>
      <c r="CR314" s="172">
        <f t="shared" si="804"/>
        <v>140.52175355646798</v>
      </c>
      <c r="CS314" s="172">
        <f t="shared" si="805"/>
        <v>68.600000000000009</v>
      </c>
      <c r="CT314" s="217">
        <f t="shared" si="806"/>
        <v>5.0186340555881426</v>
      </c>
      <c r="CU314" s="217">
        <f t="shared" si="807"/>
        <v>28</v>
      </c>
      <c r="CV314" s="217"/>
      <c r="CW314" s="172">
        <f t="shared" si="808"/>
        <v>96.220018921126396</v>
      </c>
      <c r="CX314" s="172">
        <f t="shared" si="809"/>
        <v>28</v>
      </c>
      <c r="CY314" s="217">
        <f t="shared" si="810"/>
        <v>8.2609859154929612</v>
      </c>
      <c r="CZ314" s="217">
        <f t="shared" si="811"/>
        <v>0.97066584507042286</v>
      </c>
      <c r="DA314" s="217">
        <f t="shared" si="812"/>
        <v>1.3671349930569336</v>
      </c>
      <c r="DB314" s="197">
        <f t="shared" si="813"/>
        <v>350</v>
      </c>
      <c r="DC314" s="443">
        <f t="shared" si="814"/>
        <v>350</v>
      </c>
      <c r="DE314" s="217">
        <f t="shared" si="815"/>
        <v>10.09616239179509</v>
      </c>
      <c r="DF314" s="173">
        <f t="shared" si="816"/>
        <v>1.6708437761069339</v>
      </c>
      <c r="DG314" s="173">
        <f t="shared" si="817"/>
        <v>2.9520942666067511</v>
      </c>
      <c r="DH314" s="173"/>
      <c r="DI314" s="173">
        <f t="shared" si="818"/>
        <v>0.55164319248826299</v>
      </c>
      <c r="DJ314" s="545">
        <f t="shared" si="819"/>
        <v>2664.7659574468084</v>
      </c>
      <c r="DK314" s="528">
        <f t="shared" si="820"/>
        <v>0.3217918622848201</v>
      </c>
      <c r="DM314" s="173">
        <f t="shared" si="821"/>
        <v>9.1975945051329084</v>
      </c>
      <c r="DN314" s="173">
        <f t="shared" si="822"/>
        <v>9.1975945051329084</v>
      </c>
      <c r="DO314" s="173">
        <f t="shared" si="823"/>
        <v>5.5438971642959807</v>
      </c>
      <c r="DQ314" s="545">
        <f t="shared" si="824"/>
        <v>2450</v>
      </c>
      <c r="DR314" s="460">
        <f t="shared" si="825"/>
        <v>350</v>
      </c>
      <c r="DT314">
        <f t="shared" si="826"/>
        <v>2450</v>
      </c>
      <c r="DU314">
        <f t="shared" si="827"/>
        <v>350</v>
      </c>
      <c r="DW314" s="5">
        <f t="shared" si="857"/>
        <v>2.8571428571428572</v>
      </c>
      <c r="DX314" s="5">
        <f t="shared" si="828"/>
        <v>1.0807173543531168</v>
      </c>
      <c r="DY314" s="5">
        <f t="shared" si="829"/>
        <v>1.7764255027897404</v>
      </c>
      <c r="DZ314" s="5"/>
      <c r="EA314" s="173">
        <f t="shared" si="830"/>
        <v>0.37825107402359087</v>
      </c>
      <c r="EB314" s="173">
        <f t="shared" si="858"/>
        <v>69.58</v>
      </c>
      <c r="EC314" s="173">
        <f t="shared" si="859"/>
        <v>2.8592972525664537</v>
      </c>
      <c r="ED314" s="173">
        <f t="shared" si="860"/>
        <v>24.334650738934627</v>
      </c>
      <c r="EE314" s="460">
        <f t="shared" si="831"/>
        <v>9.4562768505897736</v>
      </c>
      <c r="EF314" s="5">
        <f t="shared" si="832"/>
        <v>2.1761212409174324</v>
      </c>
      <c r="EH314" s="173">
        <f t="shared" si="861"/>
        <v>3.2659062694938337</v>
      </c>
      <c r="EI314" s="173">
        <f t="shared" si="862"/>
        <v>4.1871753962742666</v>
      </c>
      <c r="EK314" s="528">
        <f t="shared" si="863"/>
        <v>0.12799372513342955</v>
      </c>
      <c r="EL314" s="528">
        <f t="shared" si="864"/>
        <v>4.1836178366047561</v>
      </c>
      <c r="EM314" s="528">
        <f t="shared" si="865"/>
        <v>4.0250000000000001E-2</v>
      </c>
      <c r="EN314" s="528">
        <f t="shared" si="866"/>
        <v>0.80646678000000016</v>
      </c>
      <c r="EO314">
        <f t="shared" si="867"/>
        <v>1.7999999999999999E-2</v>
      </c>
      <c r="EP314" s="460">
        <f t="shared" si="868"/>
        <v>58.249999999999993</v>
      </c>
      <c r="EQ314" s="460"/>
      <c r="ER314" s="460">
        <f t="shared" si="869"/>
        <v>5176.3283417381863</v>
      </c>
      <c r="ES314" s="528">
        <f t="shared" si="870"/>
        <v>1.7150000000000001</v>
      </c>
      <c r="EV314" s="460">
        <f t="shared" si="871"/>
        <v>1715</v>
      </c>
      <c r="EW314" s="528">
        <f t="shared" si="872"/>
        <v>0.14932601265566781</v>
      </c>
      <c r="EX314" s="528">
        <f t="shared" si="873"/>
        <v>0.24545412918830387</v>
      </c>
      <c r="EY314" s="528">
        <f t="shared" si="874"/>
        <v>29.398539971359657</v>
      </c>
      <c r="EZ314" s="528"/>
      <c r="FA314" s="528">
        <f t="shared" si="875"/>
        <v>2.960851063829788</v>
      </c>
      <c r="FB314" s="460">
        <f t="shared" si="876"/>
        <v>32754.171177033415</v>
      </c>
      <c r="FC314" s="173">
        <f t="shared" si="877"/>
        <v>39.645499518771601</v>
      </c>
      <c r="FD314" s="5">
        <f t="shared" si="878"/>
        <v>68.600000000000009</v>
      </c>
      <c r="FE314" s="173">
        <f t="shared" si="879"/>
        <v>0.63374459266182792</v>
      </c>
      <c r="FF314" s="5">
        <f t="shared" si="880"/>
        <v>63.374459266182789</v>
      </c>
      <c r="FI314" s="562">
        <f t="shared" si="833"/>
        <v>-50</v>
      </c>
      <c r="FJ314">
        <f t="shared" si="834"/>
        <v>-50</v>
      </c>
      <c r="FL314">
        <f t="shared" si="835"/>
        <v>0.53274799158252228</v>
      </c>
    </row>
    <row r="315" spans="5:168">
      <c r="E315" s="170">
        <v>99</v>
      </c>
      <c r="F315" s="217">
        <f>IF(PLOT_TYPE=1, E315/100*Iout_max, min_I*EXP(N315*rr/100))</f>
        <v>2.4750000000000001</v>
      </c>
      <c r="G315" s="217"/>
      <c r="H315" s="217">
        <f>F315*Vout</f>
        <v>69.3</v>
      </c>
      <c r="I315" s="541">
        <f t="shared" si="763"/>
        <v>39.88067209489742</v>
      </c>
      <c r="J315" s="172">
        <f t="shared" si="764"/>
        <v>28.464253487362924</v>
      </c>
      <c r="K315" s="172">
        <f t="shared" si="765"/>
        <v>68.344925582260345</v>
      </c>
      <c r="L315" s="443"/>
      <c r="M315" s="217">
        <f t="shared" si="766"/>
        <v>0.41648330292554175</v>
      </c>
      <c r="N315" s="172">
        <f>M315*I315*(Isw_max+VIN_max/Lmag*ILIM_delay)*0.5*Efficiency</f>
        <v>140.53399578800867</v>
      </c>
      <c r="O315" s="172">
        <f t="shared" si="760"/>
        <v>69.3</v>
      </c>
      <c r="P315" s="217">
        <f>N315/Vout</f>
        <v>5.0190712781431666</v>
      </c>
      <c r="Q315" s="217">
        <f t="shared" si="769"/>
        <v>28</v>
      </c>
      <c r="R315" s="217"/>
      <c r="S315" s="172">
        <f t="shared" si="770"/>
        <v>94.565664458550572</v>
      </c>
      <c r="T315" s="172">
        <f>MIN(Vout, S315)</f>
        <v>28</v>
      </c>
      <c r="U315" s="217">
        <f t="shared" si="772"/>
        <v>8.3445547139373311</v>
      </c>
      <c r="V315" s="217">
        <f>L*U315/I315*1000000</f>
        <v>0.98341891185237651</v>
      </c>
      <c r="W315" s="217">
        <f t="shared" si="774"/>
        <v>1.3778477335763406</v>
      </c>
      <c r="X315" s="197">
        <f t="shared" si="775"/>
        <v>350</v>
      </c>
      <c r="Y315" s="443">
        <f t="shared" si="837"/>
        <v>350</v>
      </c>
      <c r="AA315" s="217">
        <f t="shared" si="776"/>
        <v>10.096947307124253</v>
      </c>
      <c r="AB315" s="173">
        <f>L*AA315/J315*1000000</f>
        <v>1.6672017189754351</v>
      </c>
      <c r="AC315" s="173">
        <f>0.5*AB315*AA315*Nps*X315/1000</f>
        <v>2.9458883836973406</v>
      </c>
      <c r="AD315" s="173"/>
      <c r="AE315" s="173">
        <f t="shared" si="779"/>
        <v>0.5503979464496439</v>
      </c>
      <c r="AF315" s="545">
        <f>MAX(12000,F315/(0.5*AE315/1000000*Isw_min*Nps))/1000</f>
        <v>2698.0478571532303</v>
      </c>
      <c r="AG315" s="528">
        <f t="shared" si="781"/>
        <v>0.32106546876229225</v>
      </c>
      <c r="AI315" s="173">
        <f t="shared" si="782"/>
        <v>9.2548534794182107</v>
      </c>
      <c r="AJ315" s="173">
        <f>MAX(IF(F315&gt;AC315,U315,AI315),Isw_min)</f>
        <v>9.2548534794182107</v>
      </c>
      <c r="AK315" s="173">
        <f>IF(F315&gt;AG315, (AJ315-Isw_min)/1.08*0.8+1.2, AF315*0.2/350+1)</f>
        <v>5.5863112193221305</v>
      </c>
      <c r="AM315" s="545">
        <f t="shared" si="785"/>
        <v>2475</v>
      </c>
      <c r="AN315" s="460">
        <f t="shared" si="786"/>
        <v>350</v>
      </c>
      <c r="AP315">
        <f t="shared" si="787"/>
        <v>2475</v>
      </c>
      <c r="AQ315">
        <f t="shared" si="788"/>
        <v>350</v>
      </c>
      <c r="AS315" s="5">
        <f t="shared" si="761"/>
        <v>2.8571428571428572</v>
      </c>
      <c r="AT315" s="5">
        <f t="shared" si="789"/>
        <v>1.0906990546638999</v>
      </c>
      <c r="AU315" s="5">
        <f t="shared" si="881"/>
        <v>1.7664438024789573</v>
      </c>
      <c r="AV315" s="5"/>
      <c r="AW315" s="173">
        <f t="shared" si="882"/>
        <v>0.38174466913236499</v>
      </c>
      <c r="AX315" s="173">
        <f t="shared" si="790"/>
        <v>70.449027381223218</v>
      </c>
      <c r="AY315" s="173">
        <f t="shared" si="791"/>
        <v>2.8609312500245947</v>
      </c>
      <c r="AZ315" s="173">
        <f t="shared" si="792"/>
        <v>24.624509023283096</v>
      </c>
      <c r="BA315" s="460">
        <f t="shared" si="883"/>
        <v>9.6410005724755443</v>
      </c>
      <c r="BB315" s="5">
        <f t="shared" si="884"/>
        <v>2.1925149108481512</v>
      </c>
      <c r="BD315" s="173">
        <f t="shared" si="838"/>
        <v>3.3013791995753605</v>
      </c>
      <c r="BE315" s="173">
        <f t="shared" si="839"/>
        <v>4.201388622322102</v>
      </c>
      <c r="BG315" s="528">
        <f t="shared" si="840"/>
        <v>0.1307892554326662</v>
      </c>
      <c r="BH315" s="528">
        <f t="shared" si="793"/>
        <v>4.04023601447952</v>
      </c>
      <c r="BI315" s="528">
        <f t="shared" si="841"/>
        <v>4.0250000000000001E-2</v>
      </c>
      <c r="BJ315" s="528">
        <f t="shared" si="842"/>
        <v>0.80516859850910583</v>
      </c>
      <c r="BK315">
        <f t="shared" si="843"/>
        <v>1.794630244270384E-2</v>
      </c>
      <c r="BL315" s="460">
        <f t="shared" si="844"/>
        <v>58.196302442703839</v>
      </c>
      <c r="BM315" s="528">
        <f t="shared" si="794"/>
        <v>5.1722369570675077</v>
      </c>
      <c r="BN315" s="460">
        <f t="shared" si="845"/>
        <v>5172.2369570675073</v>
      </c>
      <c r="BO315" s="528">
        <f t="shared" si="795"/>
        <v>1.7324999999999999</v>
      </c>
      <c r="BR315" s="460">
        <f t="shared" si="846"/>
        <v>1732.5</v>
      </c>
      <c r="BS315" s="528">
        <f t="shared" si="847"/>
        <v>0.15258746467144388</v>
      </c>
      <c r="BT315" s="528">
        <f t="shared" si="848"/>
        <v>0.24712332898088654</v>
      </c>
      <c r="BU315" s="528">
        <f t="shared" si="849"/>
        <v>29.858224832960651</v>
      </c>
      <c r="BV315" s="528"/>
      <c r="BW315" s="528">
        <f t="shared" si="850"/>
        <v>2.9978309523924782</v>
      </c>
      <c r="BX315" s="460">
        <f t="shared" si="851"/>
        <v>33255.76657900546</v>
      </c>
      <c r="BY315" s="173">
        <f t="shared" si="852"/>
        <v>40.022656749869455</v>
      </c>
      <c r="BZ315" s="5">
        <f t="shared" si="853"/>
        <v>69.3</v>
      </c>
      <c r="CA315" s="173">
        <f t="shared" si="854"/>
        <v>0.6339033651419449</v>
      </c>
      <c r="CB315" s="5">
        <f t="shared" si="855"/>
        <v>63.390336514194487</v>
      </c>
      <c r="CE315" s="562">
        <f t="shared" si="796"/>
        <v>-50</v>
      </c>
      <c r="CF315">
        <f t="shared" si="797"/>
        <v>-50</v>
      </c>
      <c r="CG315" s="173">
        <f t="shared" si="798"/>
        <v>0.53927034036742649</v>
      </c>
      <c r="CI315" s="170">
        <v>99</v>
      </c>
      <c r="CJ315" s="217">
        <f t="shared" si="856"/>
        <v>2.4750000000000001</v>
      </c>
      <c r="CK315" s="217"/>
      <c r="CL315" s="217">
        <f t="shared" si="799"/>
        <v>69.3</v>
      </c>
      <c r="CM315" s="541">
        <f t="shared" si="800"/>
        <v>40</v>
      </c>
      <c r="CN315" s="443">
        <f t="shared" si="801"/>
        <v>28.4</v>
      </c>
      <c r="CO315" s="443">
        <f t="shared" si="802"/>
        <v>68.400000000000006</v>
      </c>
      <c r="CP315" s="443"/>
      <c r="CQ315" s="217">
        <f t="shared" si="803"/>
        <v>0.41520467836257302</v>
      </c>
      <c r="CR315" s="172">
        <f t="shared" si="804"/>
        <v>140.52175355646798</v>
      </c>
      <c r="CS315" s="172">
        <f t="shared" si="805"/>
        <v>69.3</v>
      </c>
      <c r="CT315" s="217">
        <f t="shared" si="806"/>
        <v>5.0186340555881426</v>
      </c>
      <c r="CU315" s="217">
        <f t="shared" si="807"/>
        <v>28</v>
      </c>
      <c r="CV315" s="217"/>
      <c r="CW315" s="172">
        <f t="shared" si="808"/>
        <v>94.848117003600407</v>
      </c>
      <c r="CX315" s="172">
        <f t="shared" si="809"/>
        <v>28</v>
      </c>
      <c r="CY315" s="217">
        <f t="shared" si="810"/>
        <v>8.3452816901408475</v>
      </c>
      <c r="CZ315" s="217">
        <f t="shared" si="811"/>
        <v>0.98057059859154949</v>
      </c>
      <c r="DA315" s="217">
        <f t="shared" si="812"/>
        <v>1.3810853501289431</v>
      </c>
      <c r="DB315" s="197">
        <f t="shared" si="813"/>
        <v>350</v>
      </c>
      <c r="DC315" s="443">
        <f t="shared" si="814"/>
        <v>350</v>
      </c>
      <c r="DE315" s="217">
        <f t="shared" si="815"/>
        <v>10.09616239179509</v>
      </c>
      <c r="DF315" s="173">
        <f t="shared" si="816"/>
        <v>1.6708437761069339</v>
      </c>
      <c r="DG315" s="173">
        <f t="shared" si="817"/>
        <v>2.9520942666067511</v>
      </c>
      <c r="DH315" s="173"/>
      <c r="DI315" s="173">
        <f t="shared" si="818"/>
        <v>0.55164319248826299</v>
      </c>
      <c r="DJ315" s="545">
        <f t="shared" si="819"/>
        <v>2691.9574468085107</v>
      </c>
      <c r="DK315" s="528">
        <f t="shared" si="820"/>
        <v>0.3217918622848201</v>
      </c>
      <c r="DM315" s="173">
        <f t="shared" si="821"/>
        <v>9.2444019041444498</v>
      </c>
      <c r="DN315" s="173">
        <f t="shared" si="822"/>
        <v>9.2444019041444498</v>
      </c>
      <c r="DO315" s="173">
        <f t="shared" si="823"/>
        <v>5.5785693117119379</v>
      </c>
      <c r="DQ315" s="545">
        <f t="shared" si="824"/>
        <v>2475</v>
      </c>
      <c r="DR315" s="460">
        <f t="shared" si="825"/>
        <v>350</v>
      </c>
      <c r="DT315">
        <f t="shared" si="826"/>
        <v>2475</v>
      </c>
      <c r="DU315">
        <f t="shared" si="827"/>
        <v>350</v>
      </c>
      <c r="DW315" s="5">
        <f t="shared" si="857"/>
        <v>2.8571428571428572</v>
      </c>
      <c r="DX315" s="5">
        <f t="shared" si="828"/>
        <v>1.0862172237369729</v>
      </c>
      <c r="DY315" s="5">
        <f t="shared" si="829"/>
        <v>1.7709256334058843</v>
      </c>
      <c r="DZ315" s="5"/>
      <c r="EA315" s="173">
        <f t="shared" si="830"/>
        <v>0.38017602830794051</v>
      </c>
      <c r="EB315" s="173">
        <f t="shared" si="858"/>
        <v>70.289999999999978</v>
      </c>
      <c r="EC315" s="173">
        <f t="shared" si="859"/>
        <v>2.8649509520722254</v>
      </c>
      <c r="ED315" s="173">
        <f t="shared" si="860"/>
        <v>24.534451435951834</v>
      </c>
      <c r="EE315" s="460">
        <f t="shared" si="831"/>
        <v>9.6013843883893149</v>
      </c>
      <c r="EF315" s="5">
        <f t="shared" si="832"/>
        <v>2.1915204713397816</v>
      </c>
      <c r="EH315" s="173">
        <f t="shared" si="861"/>
        <v>3.2908687045680232</v>
      </c>
      <c r="EI315" s="173">
        <f t="shared" si="862"/>
        <v>4.2019644641220637</v>
      </c>
      <c r="EK315" s="528">
        <f t="shared" si="863"/>
        <v>0.12995780196846263</v>
      </c>
      <c r="EL315" s="528">
        <f t="shared" si="864"/>
        <v>4.2049086501191448</v>
      </c>
      <c r="EM315" s="528">
        <f t="shared" si="865"/>
        <v>4.0250000000000001E-2</v>
      </c>
      <c r="EN315" s="528">
        <f t="shared" si="866"/>
        <v>0.80646678000000016</v>
      </c>
      <c r="EO315">
        <f t="shared" si="867"/>
        <v>1.7999999999999999E-2</v>
      </c>
      <c r="EP315" s="460">
        <f t="shared" si="868"/>
        <v>58.249999999999993</v>
      </c>
      <c r="EQ315" s="460"/>
      <c r="ER315" s="460">
        <f t="shared" si="869"/>
        <v>5199.583232087607</v>
      </c>
      <c r="ES315" s="528">
        <f t="shared" si="870"/>
        <v>1.7324999999999999</v>
      </c>
      <c r="EV315" s="460">
        <f t="shared" si="871"/>
        <v>1732.5</v>
      </c>
      <c r="EW315" s="528">
        <f t="shared" si="872"/>
        <v>0.15161743562987307</v>
      </c>
      <c r="EX315" s="528">
        <f t="shared" si="873"/>
        <v>0.24719107500842469</v>
      </c>
      <c r="EY315" s="528">
        <f t="shared" si="874"/>
        <v>29.773998426400869</v>
      </c>
      <c r="EZ315" s="528"/>
      <c r="FA315" s="528">
        <f t="shared" si="875"/>
        <v>2.9910638297872341</v>
      </c>
      <c r="FB315" s="460">
        <f t="shared" si="876"/>
        <v>33163.870766826396</v>
      </c>
      <c r="FC315" s="173">
        <f t="shared" si="877"/>
        <v>40.095953998914013</v>
      </c>
      <c r="FD315" s="5">
        <f t="shared" si="878"/>
        <v>69.3</v>
      </c>
      <c r="FE315" s="173">
        <f t="shared" si="879"/>
        <v>0.63347863853070785</v>
      </c>
      <c r="FF315" s="5">
        <f t="shared" si="880"/>
        <v>63.347863853070784</v>
      </c>
      <c r="FI315" s="562">
        <f t="shared" si="833"/>
        <v>-50</v>
      </c>
      <c r="FJ315">
        <f t="shared" si="834"/>
        <v>-50</v>
      </c>
      <c r="FL315">
        <f t="shared" si="835"/>
        <v>0.53545919479991633</v>
      </c>
    </row>
    <row r="316" spans="5:168">
      <c r="E316" s="170">
        <v>100</v>
      </c>
      <c r="F316" s="217">
        <f>IF(PLOT_TYPE=1, E316/100*Iout_max, min_I*EXP(N316*rr/100))</f>
        <v>2.5</v>
      </c>
      <c r="G316" s="217"/>
      <c r="H316" s="217">
        <f>F316*Vout</f>
        <v>70</v>
      </c>
      <c r="I316" s="541">
        <f t="shared" si="763"/>
        <v>39.880070942956245</v>
      </c>
      <c r="J316" s="172">
        <f t="shared" si="764"/>
        <v>28.464577184562021</v>
      </c>
      <c r="K316" s="172">
        <f t="shared" si="765"/>
        <v>68.344648127518269</v>
      </c>
      <c r="L316" s="443"/>
      <c r="M316" s="217">
        <f t="shared" si="766"/>
        <v>0.41648974957342794</v>
      </c>
      <c r="N316" s="172">
        <f>M316*I316*(Isw_max+VIN_max/Lmag*ILIM_delay)*0.5*Efficiency</f>
        <v>140.53405267150956</v>
      </c>
      <c r="O316" s="172">
        <f t="shared" si="760"/>
        <v>70</v>
      </c>
      <c r="P316" s="217">
        <f>N316/Vout</f>
        <v>5.0190733096967701</v>
      </c>
      <c r="Q316" s="217">
        <f t="shared" si="769"/>
        <v>28</v>
      </c>
      <c r="R316" s="217"/>
      <c r="S316" s="172">
        <f t="shared" si="770"/>
        <v>93.223883045147488</v>
      </c>
      <c r="T316" s="172">
        <f>MIN(Vout, S316)</f>
        <v>28</v>
      </c>
      <c r="U316" s="217">
        <f>MIN(2*Vout*F316/(Efficiency*I316*M316), Isw_max)</f>
        <v>8.4288397336764493</v>
      </c>
      <c r="V316" s="217">
        <f>L*U316/I316*1000000</f>
        <v>0.99336700792094113</v>
      </c>
      <c r="W316" s="217">
        <f t="shared" si="774"/>
        <v>1.3917489970574761</v>
      </c>
      <c r="X316" s="197">
        <f t="shared" si="775"/>
        <v>350</v>
      </c>
      <c r="Y316" s="443">
        <f t="shared" si="837"/>
        <v>350</v>
      </c>
      <c r="AA316" s="217">
        <f t="shared" si="776"/>
        <v>10.096950919288092</v>
      </c>
      <c r="AB316" s="173">
        <f>L*AA316/J316*1000000</f>
        <v>1.6671833561045122</v>
      </c>
      <c r="AC316" s="173">
        <f>0.5*AB316*AA316*Nps*X316/1000</f>
        <v>2.9458569910072208</v>
      </c>
      <c r="AD316" s="173"/>
      <c r="AE316" s="173">
        <f t="shared" si="779"/>
        <v>0.55039168736234034</v>
      </c>
      <c r="AF316" s="545">
        <f>MAX(12000,F316/(0.5*AE316/1000000*Isw_min*Nps))/1000</f>
        <v>2725.3318580963642</v>
      </c>
      <c r="AG316" s="528">
        <f t="shared" si="781"/>
        <v>0.32106181762803188</v>
      </c>
      <c r="AI316" s="173">
        <f t="shared" si="782"/>
        <v>9.3015306098296993</v>
      </c>
      <c r="AJ316" s="173">
        <f>MAX(IF(F316&gt;AC316,U316,AI316),Isw_min)</f>
        <v>9.3015306098296993</v>
      </c>
      <c r="AK316" s="173">
        <f>IF(F316&gt;AG316, (AJ316-Isw_min)/1.08*0.8+1.2, AF316*0.2/350+1)</f>
        <v>5.6208868714787892</v>
      </c>
      <c r="AM316" s="545">
        <f t="shared" si="785"/>
        <v>2500</v>
      </c>
      <c r="AN316" s="460">
        <f t="shared" si="786"/>
        <v>350</v>
      </c>
      <c r="AP316">
        <f t="shared" si="787"/>
        <v>2500</v>
      </c>
      <c r="AQ316">
        <f t="shared" si="788"/>
        <v>350</v>
      </c>
      <c r="AS316" s="5">
        <f t="shared" si="761"/>
        <v>2.8571428571428572</v>
      </c>
      <c r="AT316" s="5">
        <f t="shared" si="789"/>
        <v>1.0962165520901879</v>
      </c>
      <c r="AU316" s="5">
        <f t="shared" si="881"/>
        <v>1.7609263050526693</v>
      </c>
      <c r="AV316" s="5"/>
      <c r="AW316" s="173">
        <f>AT316/AS316</f>
        <v>0.38367579323156575</v>
      </c>
      <c r="AX316" s="173">
        <f t="shared" si="790"/>
        <v>71.161442961405058</v>
      </c>
      <c r="AY316" s="173">
        <f t="shared" si="791"/>
        <v>2.8663792374177999</v>
      </c>
      <c r="AZ316" s="173">
        <f t="shared" si="792"/>
        <v>24.8262484016286</v>
      </c>
      <c r="BA316" s="460">
        <f t="shared" si="883"/>
        <v>9.7876477865195355</v>
      </c>
      <c r="BB316" s="5">
        <f t="shared" si="884"/>
        <v>2.2077772975522878</v>
      </c>
      <c r="BD316" s="173">
        <f t="shared" si="838"/>
        <v>3.3264116428545489</v>
      </c>
      <c r="BE316" s="173">
        <f t="shared" si="839"/>
        <v>4.2159786697928139</v>
      </c>
      <c r="BG316" s="528">
        <f t="shared" si="840"/>
        <v>0.1327801730126196</v>
      </c>
      <c r="BH316" s="528">
        <f t="shared" si="793"/>
        <v>4.0605965811301665</v>
      </c>
      <c r="BI316" s="528">
        <f t="shared" si="841"/>
        <v>4.0250000000000001E-2</v>
      </c>
      <c r="BJ316" s="528">
        <f t="shared" si="842"/>
        <v>0.80516206115785516</v>
      </c>
      <c r="BK316">
        <f t="shared" si="843"/>
        <v>1.7946031924330308E-2</v>
      </c>
      <c r="BL316" s="460">
        <f t="shared" si="844"/>
        <v>58.196031924330306</v>
      </c>
      <c r="BM316" s="528">
        <f t="shared" si="794"/>
        <v>5.1983912681878488</v>
      </c>
      <c r="BN316" s="460">
        <f t="shared" si="845"/>
        <v>5198.3912681878492</v>
      </c>
      <c r="BO316" s="528">
        <f t="shared" si="795"/>
        <v>1.75</v>
      </c>
      <c r="BR316" s="460">
        <f t="shared" si="846"/>
        <v>1750</v>
      </c>
      <c r="BS316" s="528">
        <f t="shared" si="847"/>
        <v>0.15491020184805618</v>
      </c>
      <c r="BT316" s="528">
        <f t="shared" si="848"/>
        <v>0.24884266601807181</v>
      </c>
      <c r="BU316" s="528">
        <f t="shared" si="849"/>
        <v>30.236127235126524</v>
      </c>
      <c r="BV316" s="528"/>
      <c r="BW316" s="528">
        <f t="shared" si="850"/>
        <v>3.0281465089959601</v>
      </c>
      <c r="BX316" s="460">
        <f t="shared" si="851"/>
        <v>33668.026611988615</v>
      </c>
      <c r="BY316" s="173">
        <f t="shared" si="852"/>
        <v>40.474761459213582</v>
      </c>
      <c r="BZ316" s="5">
        <f t="shared" si="853"/>
        <v>70</v>
      </c>
      <c r="CA316" s="173">
        <f t="shared" si="854"/>
        <v>0.63362888568755549</v>
      </c>
      <c r="CB316" s="5">
        <f t="shared" si="855"/>
        <v>63.362888568755551</v>
      </c>
      <c r="CE316" s="562">
        <f t="shared" si="796"/>
        <v>-50</v>
      </c>
      <c r="CF316">
        <f t="shared" si="797"/>
        <v>-50</v>
      </c>
      <c r="CG316" s="173">
        <f t="shared" si="798"/>
        <v>0.54198708471696999</v>
      </c>
      <c r="CI316" s="170">
        <v>100</v>
      </c>
      <c r="CJ316" s="217">
        <f t="shared" si="856"/>
        <v>2.5</v>
      </c>
      <c r="CK316" s="217"/>
      <c r="CL316" s="217">
        <f t="shared" si="799"/>
        <v>70</v>
      </c>
      <c r="CM316" s="541">
        <f t="shared" si="800"/>
        <v>40</v>
      </c>
      <c r="CN316" s="443">
        <f t="shared" si="801"/>
        <v>28.4</v>
      </c>
      <c r="CO316" s="443">
        <f t="shared" si="802"/>
        <v>68.400000000000006</v>
      </c>
      <c r="CP316" s="443"/>
      <c r="CQ316" s="217">
        <f t="shared" si="803"/>
        <v>0.41520467836257302</v>
      </c>
      <c r="CR316" s="172">
        <f t="shared" si="804"/>
        <v>140.52175355646798</v>
      </c>
      <c r="CS316" s="172">
        <f t="shared" si="805"/>
        <v>70</v>
      </c>
      <c r="CT316" s="217">
        <f t="shared" si="806"/>
        <v>5.0186340555881426</v>
      </c>
      <c r="CU316" s="217">
        <f t="shared" si="807"/>
        <v>28</v>
      </c>
      <c r="CV316" s="217"/>
      <c r="CW316" s="172">
        <f t="shared" si="808"/>
        <v>93.503720618253013</v>
      </c>
      <c r="CX316" s="172">
        <f t="shared" si="809"/>
        <v>28</v>
      </c>
      <c r="CY316" s="217">
        <f t="shared" si="810"/>
        <v>8.4295774647887338</v>
      </c>
      <c r="CZ316" s="217">
        <f t="shared" si="811"/>
        <v>0.99047535211267612</v>
      </c>
      <c r="DA316" s="217">
        <f t="shared" si="812"/>
        <v>1.3950357072009525</v>
      </c>
      <c r="DB316" s="197">
        <f t="shared" si="813"/>
        <v>350</v>
      </c>
      <c r="DC316" s="443">
        <f t="shared" si="814"/>
        <v>350</v>
      </c>
      <c r="DE316" s="217">
        <f t="shared" si="815"/>
        <v>10.09616239179509</v>
      </c>
      <c r="DF316" s="173">
        <f t="shared" si="816"/>
        <v>1.6708437761069339</v>
      </c>
      <c r="DG316" s="173">
        <f t="shared" si="817"/>
        <v>2.9520942666067511</v>
      </c>
      <c r="DH316" s="173"/>
      <c r="DI316" s="173">
        <f t="shared" si="818"/>
        <v>0.55164319248826299</v>
      </c>
      <c r="DJ316" s="545">
        <f t="shared" si="819"/>
        <v>2719.1489361702124</v>
      </c>
      <c r="DK316" s="528">
        <f t="shared" si="820"/>
        <v>0.3217918622848201</v>
      </c>
      <c r="DM316" s="173">
        <f t="shared" si="821"/>
        <v>9.2909734931194397</v>
      </c>
      <c r="DN316" s="173">
        <f t="shared" si="822"/>
        <v>9.2909734931194397</v>
      </c>
      <c r="DO316" s="173">
        <f t="shared" si="823"/>
        <v>5.6130667850267457</v>
      </c>
      <c r="DQ316" s="545">
        <f t="shared" si="824"/>
        <v>2500</v>
      </c>
      <c r="DR316" s="460">
        <f t="shared" si="825"/>
        <v>350</v>
      </c>
      <c r="DT316">
        <f t="shared" si="826"/>
        <v>2500</v>
      </c>
      <c r="DU316">
        <f t="shared" si="827"/>
        <v>350</v>
      </c>
      <c r="DW316" s="5">
        <f t="shared" si="857"/>
        <v>2.8571428571428572</v>
      </c>
      <c r="DX316" s="5">
        <f t="shared" si="828"/>
        <v>1.0916893854415342</v>
      </c>
      <c r="DY316" s="5">
        <f t="shared" si="829"/>
        <v>1.7654534717013231</v>
      </c>
      <c r="DZ316" s="5"/>
      <c r="EA316" s="173">
        <f t="shared" si="830"/>
        <v>0.38209128490453692</v>
      </c>
      <c r="EB316" s="173">
        <f t="shared" si="858"/>
        <v>71.000000000000014</v>
      </c>
      <c r="EC316" s="173">
        <f t="shared" si="859"/>
        <v>2.8704867465597195</v>
      </c>
      <c r="ED316" s="173">
        <f t="shared" si="860"/>
        <v>24.734481037090163</v>
      </c>
      <c r="EE316" s="460">
        <f t="shared" si="831"/>
        <v>9.7472266557279834</v>
      </c>
      <c r="EF316" s="5">
        <f t="shared" si="832"/>
        <v>2.2068168396266539</v>
      </c>
      <c r="EH316" s="173">
        <f t="shared" si="861"/>
        <v>3.3157681815115896</v>
      </c>
      <c r="EI316" s="173">
        <f t="shared" si="862"/>
        <v>4.2166033940947472</v>
      </c>
      <c r="EK316" s="528">
        <f t="shared" si="863"/>
        <v>0.13193182360229611</v>
      </c>
      <c r="EL316" s="528">
        <f t="shared" si="864"/>
        <v>4.2260922030803094</v>
      </c>
      <c r="EM316" s="528">
        <f t="shared" si="865"/>
        <v>4.0250000000000001E-2</v>
      </c>
      <c r="EN316" s="528">
        <f t="shared" si="866"/>
        <v>0.80646678000000016</v>
      </c>
      <c r="EO316">
        <f t="shared" si="867"/>
        <v>1.7999999999999999E-2</v>
      </c>
      <c r="EP316" s="460">
        <f t="shared" si="868"/>
        <v>58.249999999999993</v>
      </c>
      <c r="EQ316" s="460"/>
      <c r="ER316" s="460">
        <f t="shared" si="869"/>
        <v>5222.7408066826056</v>
      </c>
      <c r="ES316" s="528">
        <f t="shared" si="870"/>
        <v>1.75</v>
      </c>
      <c r="EV316" s="460">
        <f t="shared" si="871"/>
        <v>1750</v>
      </c>
      <c r="EW316" s="528">
        <f t="shared" si="872"/>
        <v>0.15392046086934544</v>
      </c>
      <c r="EX316" s="528">
        <f t="shared" si="873"/>
        <v>0.24891641856327879</v>
      </c>
      <c r="EY316" s="528">
        <f t="shared" si="874"/>
        <v>30.15040622113645</v>
      </c>
      <c r="EZ316" s="528"/>
      <c r="FA316" s="528">
        <f t="shared" si="875"/>
        <v>3.0212765957446823</v>
      </c>
      <c r="FB316" s="460">
        <f t="shared" si="876"/>
        <v>33574.519696313757</v>
      </c>
      <c r="FC316" s="173">
        <f t="shared" si="877"/>
        <v>40.547260502996359</v>
      </c>
      <c r="FD316" s="5">
        <f t="shared" si="878"/>
        <v>70</v>
      </c>
      <c r="FE316" s="173">
        <f t="shared" si="879"/>
        <v>0.63321333953908943</v>
      </c>
      <c r="FF316" s="5">
        <f t="shared" si="880"/>
        <v>63.32133395390894</v>
      </c>
      <c r="FI316" s="562">
        <f t="shared" si="833"/>
        <v>-50</v>
      </c>
      <c r="FJ316">
        <f t="shared" si="834"/>
        <v>-50</v>
      </c>
      <c r="FL316">
        <f t="shared" si="835"/>
        <v>0.53815673930216468</v>
      </c>
    </row>
    <row r="317" spans="5:168">
      <c r="E317" s="170"/>
      <c r="F317" s="217"/>
      <c r="G317" s="217"/>
      <c r="CE317" s="562"/>
      <c r="CI317" s="170"/>
      <c r="CJ317" s="217"/>
      <c r="CK317" s="217"/>
      <c r="FI317" s="562"/>
    </row>
    <row r="318" spans="5:168" ht="45" customHeight="1" thickBot="1">
      <c r="E318" s="241" t="s">
        <v>25</v>
      </c>
      <c r="F318" s="444" t="s">
        <v>194</v>
      </c>
      <c r="G318" s="260"/>
      <c r="H318" s="527" t="s">
        <v>223</v>
      </c>
      <c r="I318" s="242" t="s">
        <v>412</v>
      </c>
      <c r="J318" s="243" t="s">
        <v>418</v>
      </c>
      <c r="K318" s="527" t="s">
        <v>413</v>
      </c>
      <c r="L318" s="527"/>
      <c r="M318" s="244" t="s">
        <v>48</v>
      </c>
      <c r="N318" s="527" t="s">
        <v>402</v>
      </c>
      <c r="O318" s="527" t="s">
        <v>656</v>
      </c>
      <c r="P318" s="527" t="s">
        <v>403</v>
      </c>
      <c r="Q318" s="527" t="s">
        <v>433</v>
      </c>
      <c r="R318" s="527" t="s">
        <v>654</v>
      </c>
      <c r="S318" s="527" t="s">
        <v>657</v>
      </c>
      <c r="T318" s="527" t="s">
        <v>655</v>
      </c>
      <c r="U318" s="527" t="s">
        <v>414</v>
      </c>
      <c r="V318" s="527" t="s">
        <v>466</v>
      </c>
      <c r="W318" s="527" t="s">
        <v>465</v>
      </c>
      <c r="X318" s="546" t="s">
        <v>420</v>
      </c>
      <c r="Y318" s="542" t="s">
        <v>425</v>
      </c>
      <c r="AA318" s="245" t="s">
        <v>417</v>
      </c>
      <c r="AB318" s="245" t="s">
        <v>464</v>
      </c>
      <c r="AC318" s="245" t="s">
        <v>423</v>
      </c>
      <c r="AD318" s="544"/>
      <c r="AE318" s="245" t="s">
        <v>463</v>
      </c>
      <c r="AF318" s="245" t="s">
        <v>681</v>
      </c>
      <c r="AG318" s="245" t="s">
        <v>427</v>
      </c>
      <c r="AH318" s="544"/>
      <c r="AI318" s="245" t="s">
        <v>429</v>
      </c>
      <c r="AJ318" s="547" t="s">
        <v>430</v>
      </c>
      <c r="AK318" s="547" t="s">
        <v>431</v>
      </c>
      <c r="AM318" s="543" t="s">
        <v>275</v>
      </c>
      <c r="AN318" s="543" t="s">
        <v>432</v>
      </c>
      <c r="AP318" s="245" t="s">
        <v>275</v>
      </c>
      <c r="AQ318" s="245" t="s">
        <v>432</v>
      </c>
      <c r="AR318" s="548"/>
      <c r="AS318" s="245" t="s">
        <v>467</v>
      </c>
      <c r="AT318" s="245" t="s">
        <v>461</v>
      </c>
      <c r="AU318" s="245" t="s">
        <v>462</v>
      </c>
      <c r="AV318" s="245" t="s">
        <v>653</v>
      </c>
      <c r="AW318" s="245" t="s">
        <v>48</v>
      </c>
      <c r="AX318" s="548" t="s">
        <v>651</v>
      </c>
      <c r="AY318" s="544" t="s">
        <v>650</v>
      </c>
      <c r="AZ318" s="544" t="s">
        <v>652</v>
      </c>
      <c r="BA318" s="245" t="s">
        <v>481</v>
      </c>
      <c r="BB318" s="245" t="s">
        <v>514</v>
      </c>
      <c r="BC318" s="544"/>
      <c r="BD318" s="557" t="s">
        <v>456</v>
      </c>
      <c r="BE318" s="245" t="s">
        <v>457</v>
      </c>
      <c r="BF318" s="544"/>
      <c r="BG318" s="557" t="s">
        <v>474</v>
      </c>
      <c r="BH318" s="245" t="s">
        <v>475</v>
      </c>
      <c r="BI318" s="245" t="s">
        <v>473</v>
      </c>
      <c r="BJ318" s="245" t="s">
        <v>469</v>
      </c>
      <c r="BK318" s="245" t="s">
        <v>478</v>
      </c>
      <c r="BL318" s="245" t="s">
        <v>777</v>
      </c>
      <c r="BM318" s="245" t="s">
        <v>776</v>
      </c>
      <c r="BN318" s="245" t="s">
        <v>491</v>
      </c>
      <c r="BO318" s="557" t="s">
        <v>476</v>
      </c>
      <c r="BP318" s="245" t="s">
        <v>477</v>
      </c>
      <c r="BQ318" s="245" t="s">
        <v>483</v>
      </c>
      <c r="BR318" s="245" t="s">
        <v>487</v>
      </c>
      <c r="BS318" s="557" t="s">
        <v>458</v>
      </c>
      <c r="BT318" s="245" t="s">
        <v>459</v>
      </c>
      <c r="BU318" s="245" t="s">
        <v>468</v>
      </c>
      <c r="BV318" s="245" t="s">
        <v>666</v>
      </c>
      <c r="BW318" s="245" t="s">
        <v>484</v>
      </c>
      <c r="BX318" s="245" t="s">
        <v>667</v>
      </c>
      <c r="BY318" s="557" t="s">
        <v>482</v>
      </c>
      <c r="BZ318" s="245" t="s">
        <v>223</v>
      </c>
      <c r="CA318" s="245" t="s">
        <v>47</v>
      </c>
      <c r="CB318" s="245" t="s">
        <v>485</v>
      </c>
      <c r="CC318" s="245"/>
      <c r="CE318" s="569" t="s">
        <v>664</v>
      </c>
      <c r="CF318" s="569" t="s">
        <v>665</v>
      </c>
      <c r="CG318" s="781" t="s">
        <v>828</v>
      </c>
      <c r="CI318" s="241" t="s">
        <v>25</v>
      </c>
      <c r="CJ318" s="444" t="s">
        <v>194</v>
      </c>
      <c r="CK318" s="260"/>
      <c r="CL318" s="527" t="s">
        <v>223</v>
      </c>
      <c r="CM318" s="242" t="s">
        <v>412</v>
      </c>
      <c r="CN318" s="243" t="s">
        <v>418</v>
      </c>
      <c r="CO318" s="527" t="s">
        <v>413</v>
      </c>
      <c r="CP318" s="527"/>
      <c r="CQ318" s="244" t="s">
        <v>48</v>
      </c>
      <c r="CR318" s="527" t="s">
        <v>402</v>
      </c>
      <c r="CS318" s="527" t="s">
        <v>656</v>
      </c>
      <c r="CT318" s="527" t="s">
        <v>403</v>
      </c>
      <c r="CU318" s="527" t="s">
        <v>433</v>
      </c>
      <c r="CV318" s="527" t="s">
        <v>654</v>
      </c>
      <c r="CW318" s="527" t="s">
        <v>657</v>
      </c>
      <c r="CX318" s="527" t="s">
        <v>655</v>
      </c>
      <c r="CY318" s="527" t="s">
        <v>414</v>
      </c>
      <c r="CZ318" s="527" t="s">
        <v>466</v>
      </c>
      <c r="DA318" s="527" t="s">
        <v>465</v>
      </c>
      <c r="DB318" s="546" t="s">
        <v>420</v>
      </c>
      <c r="DC318" s="542" t="s">
        <v>425</v>
      </c>
      <c r="DE318" s="245" t="s">
        <v>417</v>
      </c>
      <c r="DF318" s="245" t="s">
        <v>464</v>
      </c>
      <c r="DG318" s="245" t="s">
        <v>423</v>
      </c>
      <c r="DH318" s="544"/>
      <c r="DI318" s="245" t="s">
        <v>463</v>
      </c>
      <c r="DJ318" s="245" t="s">
        <v>681</v>
      </c>
      <c r="DK318" s="245" t="s">
        <v>427</v>
      </c>
      <c r="DL318" s="544"/>
      <c r="DM318" s="245" t="s">
        <v>429</v>
      </c>
      <c r="DN318" s="547" t="s">
        <v>430</v>
      </c>
      <c r="DO318" s="547" t="s">
        <v>431</v>
      </c>
      <c r="DQ318" s="543" t="s">
        <v>275</v>
      </c>
      <c r="DR318" s="543" t="s">
        <v>432</v>
      </c>
      <c r="DT318" s="245" t="s">
        <v>275</v>
      </c>
      <c r="DU318" s="245" t="s">
        <v>432</v>
      </c>
      <c r="DV318" s="548"/>
      <c r="DW318" s="245" t="s">
        <v>467</v>
      </c>
      <c r="DX318" s="245" t="s">
        <v>461</v>
      </c>
      <c r="DY318" s="245" t="s">
        <v>462</v>
      </c>
      <c r="DZ318" s="245" t="s">
        <v>653</v>
      </c>
      <c r="EA318" s="245" t="s">
        <v>48</v>
      </c>
      <c r="EB318" s="548" t="s">
        <v>651</v>
      </c>
      <c r="EC318" s="544" t="s">
        <v>650</v>
      </c>
      <c r="ED318" s="544" t="s">
        <v>652</v>
      </c>
      <c r="EE318" s="245" t="s">
        <v>481</v>
      </c>
      <c r="EF318" s="245" t="s">
        <v>514</v>
      </c>
      <c r="EG318" s="544"/>
      <c r="EH318" s="557" t="s">
        <v>456</v>
      </c>
      <c r="EI318" s="245" t="s">
        <v>457</v>
      </c>
      <c r="EJ318" s="544"/>
      <c r="EK318" s="557" t="s">
        <v>474</v>
      </c>
      <c r="EL318" s="245" t="s">
        <v>475</v>
      </c>
      <c r="EM318" s="245" t="s">
        <v>473</v>
      </c>
      <c r="EN318" s="245" t="s">
        <v>469</v>
      </c>
      <c r="EO318" s="245" t="s">
        <v>478</v>
      </c>
      <c r="EP318" s="245" t="s">
        <v>777</v>
      </c>
      <c r="EQ318" s="245" t="s">
        <v>776</v>
      </c>
      <c r="ER318" s="245" t="s">
        <v>491</v>
      </c>
      <c r="ES318" s="557" t="s">
        <v>476</v>
      </c>
      <c r="ET318" s="245" t="s">
        <v>477</v>
      </c>
      <c r="EU318" s="245" t="s">
        <v>483</v>
      </c>
      <c r="EV318" s="245" t="s">
        <v>487</v>
      </c>
      <c r="EW318" s="557" t="s">
        <v>458</v>
      </c>
      <c r="EX318" s="245" t="s">
        <v>459</v>
      </c>
      <c r="EY318" s="245" t="s">
        <v>468</v>
      </c>
      <c r="EZ318" s="245" t="s">
        <v>666</v>
      </c>
      <c r="FA318" s="245" t="s">
        <v>484</v>
      </c>
      <c r="FB318" s="245" t="s">
        <v>667</v>
      </c>
      <c r="FC318" s="557" t="s">
        <v>482</v>
      </c>
      <c r="FD318" s="245" t="s">
        <v>223</v>
      </c>
      <c r="FE318" s="245" t="s">
        <v>47</v>
      </c>
      <c r="FF318" s="245" t="s">
        <v>485</v>
      </c>
      <c r="FG318" s="245"/>
      <c r="FI318" s="569" t="s">
        <v>664</v>
      </c>
      <c r="FJ318" s="569" t="s">
        <v>665</v>
      </c>
      <c r="FL318" t="s">
        <v>825</v>
      </c>
    </row>
    <row r="319" spans="5:168">
      <c r="CE319" s="562"/>
      <c r="FI319" s="562"/>
    </row>
    <row r="320" spans="5:168">
      <c r="E320" s="76" t="s">
        <v>904</v>
      </c>
      <c r="CE320" s="562"/>
      <c r="FI320" s="562"/>
    </row>
    <row r="321" spans="5:165">
      <c r="F321" s="76" t="s">
        <v>905</v>
      </c>
      <c r="G321" s="76" t="s">
        <v>906</v>
      </c>
      <c r="N321">
        <f>Efficiency</f>
        <v>1</v>
      </c>
      <c r="CE321" s="562"/>
      <c r="FI321" s="562"/>
    </row>
    <row r="322" spans="5:165">
      <c r="F322">
        <f>'Design Converter'!E73</f>
        <v>1E-3</v>
      </c>
      <c r="G322" s="884">
        <f>F322*Vout</f>
        <v>2.8000000000000001E-2</v>
      </c>
    </row>
    <row r="323" spans="5:165">
      <c r="E323" t="s">
        <v>907</v>
      </c>
    </row>
    <row r="324" spans="5:165">
      <c r="F324" t="s">
        <v>908</v>
      </c>
      <c r="G324" t="s">
        <v>909</v>
      </c>
      <c r="H324" t="s">
        <v>910</v>
      </c>
      <c r="I324" s="76" t="s">
        <v>660</v>
      </c>
    </row>
    <row r="325" spans="5:165">
      <c r="F325" s="885">
        <v>1.9999999999999999E-7</v>
      </c>
      <c r="G325">
        <f>VIN_max</f>
        <v>40</v>
      </c>
      <c r="H325">
        <f>15000</f>
        <v>15000</v>
      </c>
      <c r="I325">
        <f>L*0.9</f>
        <v>4.2300000000000002E-6</v>
      </c>
    </row>
    <row r="326" spans="5:165">
      <c r="G326" s="76" t="s">
        <v>911</v>
      </c>
    </row>
    <row r="327" spans="5:165">
      <c r="G327" s="884">
        <f>0.5*(G325/I325*F325)^2*H325*I325</f>
        <v>0.11347517730496451</v>
      </c>
    </row>
    <row r="328" spans="5:165">
      <c r="E328" s="76" t="s">
        <v>912</v>
      </c>
    </row>
    <row r="329" spans="5:165">
      <c r="G329" t="str">
        <f>IF(G327&gt;G322, "Yes", "No")</f>
        <v>Yes</v>
      </c>
      <c r="H329">
        <f>(Vout*1.05)^2/(G327-G322)</f>
        <v>10112.409558579493</v>
      </c>
    </row>
  </sheetData>
  <sheetProtection algorithmName="SHA-512" hashValue="M72uJoCXEeMiYSWIh+bDAn1D6JzAGnDUW0qM/cOXtRuf8hK+JFpOBJluubuPoihMJtrc72wXh9EajQsXPfp1Cw==" saltValue="AzU/9kl3cJ8EnhEQK0cF6A==" spinCount="100000" sheet="1" selectLockedCells="1" selectUnlockedCells="1"/>
  <mergeCells count="2">
    <mergeCell ref="M3:AA3"/>
    <mergeCell ref="CQ3:DE3"/>
  </mergeCells>
  <phoneticPr fontId="83"/>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rgb="FF7030A0"/>
  </sheetPr>
  <dimension ref="A1:FM329"/>
  <sheetViews>
    <sheetView topLeftCell="CV163" zoomScale="70" zoomScaleNormal="70" workbookViewId="0">
      <selection activeCell="AP105" sqref="AP105"/>
    </sheetView>
  </sheetViews>
  <sheetFormatPr defaultRowHeight="12.5"/>
  <cols>
    <col min="1" max="1" width="2.81640625" customWidth="1"/>
    <col min="2" max="2" width="3.54296875" customWidth="1"/>
    <col min="3" max="3" width="2.81640625" customWidth="1"/>
    <col min="4" max="4" width="3.7265625" customWidth="1"/>
    <col min="5" max="5" width="6.1796875" customWidth="1"/>
    <col min="6" max="7" width="7.7265625" customWidth="1"/>
    <col min="8" max="9" width="7.81640625" customWidth="1"/>
    <col min="10" max="10" width="6.26953125" customWidth="1"/>
    <col min="11" max="11" width="9.54296875" customWidth="1"/>
    <col min="12" max="12" width="9.26953125" customWidth="1"/>
    <col min="13" max="13" width="7.81640625" customWidth="1"/>
    <col min="14" max="14" width="8.453125" customWidth="1"/>
    <col min="15" max="16" width="9.54296875" customWidth="1"/>
    <col min="17" max="18" width="8.81640625" customWidth="1"/>
    <col min="19" max="19" width="8.54296875" customWidth="1"/>
    <col min="20" max="20" width="7.54296875" customWidth="1"/>
    <col min="21" max="21" width="9" customWidth="1"/>
    <col min="22" max="22" width="8.81640625" customWidth="1"/>
    <col min="23" max="23" width="10" customWidth="1"/>
    <col min="24" max="24" width="9.54296875" customWidth="1"/>
    <col min="25" max="25" width="1.81640625" customWidth="1"/>
    <col min="26" max="26" width="9.81640625" customWidth="1"/>
    <col min="27" max="27" width="10.453125" customWidth="1"/>
    <col min="28" max="28" width="10.1796875" customWidth="1"/>
    <col min="29" max="29" width="2" customWidth="1"/>
    <col min="30" max="30" width="9.1796875" customWidth="1"/>
    <col min="31" max="31" width="9.453125" customWidth="1"/>
    <col min="32" max="32" width="10.453125" customWidth="1"/>
    <col min="33" max="33" width="2.1796875" customWidth="1"/>
    <col min="35" max="35" width="8" customWidth="1"/>
    <col min="37" max="37" width="2.26953125" customWidth="1"/>
    <col min="38" max="38" width="6.54296875" customWidth="1"/>
    <col min="39" max="39" width="7.54296875" customWidth="1"/>
    <col min="40" max="40" width="2" customWidth="1"/>
    <col min="41" max="41" width="6.453125" customWidth="1"/>
    <col min="42" max="42" width="7.54296875" customWidth="1"/>
    <col min="43" max="43" width="2.1796875" customWidth="1"/>
    <col min="44" max="46" width="7" customWidth="1"/>
    <col min="47" max="47" width="8.453125" customWidth="1"/>
    <col min="48" max="48" width="2.1796875" customWidth="1"/>
    <col min="49" max="50" width="9.453125" customWidth="1"/>
    <col min="51" max="51" width="9.81640625" customWidth="1"/>
    <col min="52" max="52" width="2" customWidth="1"/>
    <col min="56" max="56" width="2.1796875" customWidth="1"/>
    <col min="57" max="57" width="9" customWidth="1"/>
    <col min="58" max="59" width="8.1796875" customWidth="1"/>
    <col min="60" max="60" width="8.7265625" customWidth="1"/>
    <col min="61" max="64" width="7.54296875" customWidth="1"/>
    <col min="65" max="66" width="10.26953125" customWidth="1"/>
    <col min="67" max="67" width="9.453125" customWidth="1"/>
    <col min="68" max="68" width="9.54296875" customWidth="1"/>
    <col min="69" max="69" width="10" customWidth="1"/>
    <col min="70" max="70" width="8.7265625" customWidth="1"/>
    <col min="73" max="74" width="9.81640625" customWidth="1"/>
    <col min="75" max="75" width="12.1796875" customWidth="1"/>
    <col min="76" max="76" width="9.1796875" customWidth="1"/>
    <col min="78" max="78" width="7.7265625" customWidth="1"/>
    <col min="79" max="79" width="10.453125" customWidth="1"/>
    <col min="80" max="80" width="12.453125" bestFit="1" customWidth="1"/>
    <col min="81" max="81" width="6.54296875" customWidth="1"/>
    <col min="82" max="82" width="5" customWidth="1"/>
    <col min="83" max="83" width="9.54296875" customWidth="1"/>
    <col min="85" max="85" width="15" customWidth="1"/>
    <col min="86" max="86" width="16.7265625" customWidth="1"/>
    <col min="87" max="87" width="6.1796875" customWidth="1"/>
    <col min="88" max="89" width="7.7265625" customWidth="1"/>
    <col min="90" max="91" width="7.81640625" customWidth="1"/>
    <col min="92" max="92" width="6.26953125" customWidth="1"/>
    <col min="93" max="93" width="9.54296875" customWidth="1"/>
    <col min="94" max="94" width="9.26953125" customWidth="1"/>
    <col min="95" max="95" width="1.81640625" customWidth="1"/>
    <col min="96" max="96" width="8.453125" customWidth="1"/>
    <col min="97" max="98" width="9.54296875" customWidth="1"/>
    <col min="99" max="100" width="8.81640625" customWidth="1"/>
    <col min="101" max="101" width="8.54296875" customWidth="1"/>
    <col min="102" max="102" width="7.54296875" customWidth="1"/>
    <col min="103" max="103" width="9" customWidth="1"/>
    <col min="104" max="104" width="8.81640625" customWidth="1"/>
    <col min="105" max="105" width="10" customWidth="1"/>
    <col min="106" max="106" width="9.54296875" customWidth="1"/>
    <col min="107" max="107" width="1.81640625" customWidth="1"/>
    <col min="108" max="108" width="9.81640625" customWidth="1"/>
    <col min="109" max="109" width="10.453125" customWidth="1"/>
    <col min="110" max="110" width="10.1796875" customWidth="1"/>
    <col min="111" max="111" width="2" customWidth="1"/>
    <col min="113" max="113" width="9.453125" customWidth="1"/>
    <col min="114" max="114" width="10.453125" customWidth="1"/>
    <col min="115" max="115" width="2.1796875" customWidth="1"/>
    <col min="117" max="117" width="8" customWidth="1"/>
    <col min="119" max="119" width="2.26953125" customWidth="1"/>
    <col min="120" max="120" width="6.54296875" customWidth="1"/>
    <col min="121" max="121" width="7.54296875" customWidth="1"/>
    <col min="122" max="122" width="2" customWidth="1"/>
    <col min="123" max="123" width="6.453125" customWidth="1"/>
    <col min="124" max="124" width="7.54296875" customWidth="1"/>
    <col min="125" max="125" width="2.1796875" customWidth="1"/>
    <col min="126" max="128" width="7" customWidth="1"/>
    <col min="129" max="129" width="8.453125" customWidth="1"/>
    <col min="130" max="130" width="2.1796875" customWidth="1"/>
    <col min="131" max="132" width="9.453125" customWidth="1"/>
    <col min="133" max="133" width="9.81640625" customWidth="1"/>
    <col min="134" max="134" width="2" customWidth="1"/>
    <col min="138" max="138" width="2.1796875" customWidth="1"/>
    <col min="139" max="139" width="9" customWidth="1"/>
    <col min="140" max="141" width="8.1796875" customWidth="1"/>
    <col min="142" max="142" width="8.7265625" customWidth="1"/>
    <col min="143" max="146" width="7.54296875" customWidth="1"/>
    <col min="147" max="148" width="10.26953125" customWidth="1"/>
    <col min="149" max="149" width="9.453125" customWidth="1"/>
    <col min="150" max="150" width="9.54296875" customWidth="1"/>
    <col min="151" max="151" width="10" customWidth="1"/>
    <col min="152" max="152" width="8.7265625" customWidth="1"/>
    <col min="155" max="156" width="9.81640625" customWidth="1"/>
    <col min="157" max="157" width="12.1796875" customWidth="1"/>
    <col min="160" max="160" width="7.7265625" customWidth="1"/>
    <col min="161" max="161" width="10.453125" customWidth="1"/>
    <col min="162" max="162" width="12.453125" bestFit="1" customWidth="1"/>
    <col min="163" max="163" width="6.54296875" customWidth="1"/>
    <col min="164" max="164" width="5" customWidth="1"/>
    <col min="165" max="165" width="9.54296875" customWidth="1"/>
    <col min="168" max="168" width="17.453125" customWidth="1"/>
    <col min="169" max="169" width="14.1796875" customWidth="1"/>
  </cols>
  <sheetData>
    <row r="1" spans="2:169" ht="25">
      <c r="B1" s="445" t="s">
        <v>515</v>
      </c>
      <c r="CI1" s="779" t="s">
        <v>823</v>
      </c>
    </row>
    <row r="2" spans="2:169" ht="13" thickBot="1">
      <c r="AW2">
        <f>Vout_ripple</f>
        <v>280</v>
      </c>
      <c r="EA2">
        <f>Vout_ripple</f>
        <v>280</v>
      </c>
    </row>
    <row r="3" spans="2:169" ht="13">
      <c r="E3" s="220" t="s">
        <v>421</v>
      </c>
      <c r="F3" s="540"/>
      <c r="G3" s="540"/>
      <c r="H3" s="540"/>
      <c r="I3" s="540"/>
      <c r="J3" s="221"/>
      <c r="K3" s="222"/>
      <c r="L3" s="524"/>
      <c r="M3" s="524"/>
      <c r="N3" s="947" t="s">
        <v>189</v>
      </c>
      <c r="O3" s="948"/>
      <c r="P3" s="950"/>
      <c r="Q3" s="947"/>
      <c r="R3" s="950"/>
      <c r="S3" s="947"/>
      <c r="T3" s="947"/>
      <c r="U3" s="948"/>
      <c r="V3" s="948"/>
      <c r="W3" s="947"/>
      <c r="X3" s="948"/>
      <c r="Y3" s="947"/>
      <c r="Z3" s="949"/>
      <c r="AA3" s="533"/>
      <c r="AB3" s="533"/>
      <c r="AC3" s="533"/>
      <c r="AD3" s="533"/>
      <c r="AE3" s="533"/>
      <c r="AF3" s="533"/>
      <c r="AG3" s="533"/>
      <c r="AH3" s="533"/>
      <c r="AI3" s="533"/>
      <c r="AJ3" s="533"/>
      <c r="AK3" s="533"/>
      <c r="AL3" s="533"/>
      <c r="AM3" s="533"/>
      <c r="AN3" s="533"/>
      <c r="AO3" s="533"/>
      <c r="AP3" s="533"/>
      <c r="AQ3" s="533"/>
      <c r="AR3" s="533" t="s">
        <v>460</v>
      </c>
      <c r="AS3" s="533"/>
      <c r="AT3" s="533"/>
      <c r="AU3" s="533"/>
      <c r="AV3" s="533"/>
      <c r="AW3" s="533" t="s">
        <v>470</v>
      </c>
      <c r="AX3" s="533" t="s">
        <v>470</v>
      </c>
      <c r="AY3" s="533"/>
      <c r="AZ3" s="533"/>
      <c r="BA3" s="558" t="s">
        <v>471</v>
      </c>
      <c r="BB3" s="533"/>
      <c r="BC3" s="533"/>
      <c r="BD3" s="533"/>
      <c r="BE3" s="558" t="s">
        <v>888</v>
      </c>
      <c r="BF3" s="533"/>
      <c r="BG3" s="533"/>
      <c r="BH3" s="533"/>
      <c r="BI3" s="533"/>
      <c r="BJ3" s="533"/>
      <c r="BK3" s="533"/>
      <c r="BL3" s="533"/>
      <c r="BM3" s="558" t="s">
        <v>489</v>
      </c>
      <c r="BN3" s="533"/>
      <c r="BO3" s="533"/>
      <c r="BP3" s="533"/>
      <c r="BQ3" s="533"/>
      <c r="BR3" s="559" t="s">
        <v>490</v>
      </c>
      <c r="BS3" s="533"/>
      <c r="BT3" s="533"/>
      <c r="BU3" s="533"/>
      <c r="BV3" s="533"/>
      <c r="BW3" s="533"/>
      <c r="BX3" s="533"/>
      <c r="BY3" s="558"/>
      <c r="BZ3" s="533"/>
      <c r="CA3" s="533"/>
      <c r="CB3" s="533"/>
      <c r="CC3" s="533"/>
      <c r="CI3" s="220" t="s">
        <v>421</v>
      </c>
      <c r="CJ3" s="540"/>
      <c r="CK3" s="540"/>
      <c r="CL3" s="540"/>
      <c r="CM3" s="540"/>
      <c r="CN3" s="221"/>
      <c r="CO3" s="222"/>
      <c r="CP3" s="524"/>
      <c r="CQ3" s="524"/>
      <c r="CR3" s="947" t="s">
        <v>189</v>
      </c>
      <c r="CS3" s="948"/>
      <c r="CT3" s="950"/>
      <c r="CU3" s="947"/>
      <c r="CV3" s="950"/>
      <c r="CW3" s="947"/>
      <c r="CX3" s="947"/>
      <c r="CY3" s="948"/>
      <c r="CZ3" s="948"/>
      <c r="DA3" s="947"/>
      <c r="DB3" s="948"/>
      <c r="DC3" s="947"/>
      <c r="DD3" s="949"/>
      <c r="DE3" s="533"/>
      <c r="DF3" s="533"/>
      <c r="DG3" s="533"/>
      <c r="DH3" s="533"/>
      <c r="DI3" s="533"/>
      <c r="DJ3" s="533"/>
      <c r="DK3" s="533"/>
      <c r="DL3" s="533"/>
      <c r="DM3" s="533"/>
      <c r="DN3" s="533"/>
      <c r="DO3" s="533"/>
      <c r="DP3" s="533"/>
      <c r="DQ3" s="533"/>
      <c r="DR3" s="533"/>
      <c r="DS3" s="533"/>
      <c r="DT3" s="533"/>
      <c r="DU3" s="533"/>
      <c r="DV3" s="533" t="s">
        <v>460</v>
      </c>
      <c r="DW3" s="533"/>
      <c r="DX3" s="533"/>
      <c r="DY3" s="533"/>
      <c r="DZ3" s="533"/>
      <c r="EA3" s="533" t="s">
        <v>470</v>
      </c>
      <c r="EB3" s="533" t="s">
        <v>470</v>
      </c>
      <c r="EC3" s="533"/>
      <c r="ED3" s="533"/>
      <c r="EE3" s="558" t="s">
        <v>471</v>
      </c>
      <c r="EF3" s="533"/>
      <c r="EG3" s="533"/>
      <c r="EH3" s="533"/>
      <c r="EI3" s="558" t="s">
        <v>493</v>
      </c>
      <c r="EJ3" s="533"/>
      <c r="EK3" s="533"/>
      <c r="EL3" s="533"/>
      <c r="EM3" s="533"/>
      <c r="EN3" s="533"/>
      <c r="EO3" s="533"/>
      <c r="EP3" s="533"/>
      <c r="EQ3" s="558" t="s">
        <v>489</v>
      </c>
      <c r="ER3" s="533"/>
      <c r="ES3" s="533"/>
      <c r="ET3" s="533"/>
      <c r="EU3" s="533"/>
      <c r="EV3" s="559" t="s">
        <v>490</v>
      </c>
      <c r="EW3" s="533"/>
      <c r="EX3" s="533"/>
      <c r="EY3" s="533"/>
      <c r="EZ3" s="533"/>
      <c r="FA3" s="533"/>
      <c r="FB3" s="533"/>
      <c r="FC3" s="558"/>
      <c r="FD3" s="533"/>
      <c r="FE3" s="533"/>
      <c r="FF3" s="533"/>
      <c r="FG3" s="533"/>
    </row>
    <row r="4" spans="2:169" ht="45" customHeight="1" thickBot="1">
      <c r="E4" s="241" t="s">
        <v>25</v>
      </c>
      <c r="F4" s="602" t="s">
        <v>580</v>
      </c>
      <c r="G4" s="444" t="s">
        <v>579</v>
      </c>
      <c r="H4" s="603" t="s">
        <v>581</v>
      </c>
      <c r="I4" s="604" t="s">
        <v>582</v>
      </c>
      <c r="J4" s="242" t="s">
        <v>412</v>
      </c>
      <c r="K4" s="243" t="s">
        <v>586</v>
      </c>
      <c r="L4" s="605" t="s">
        <v>413</v>
      </c>
      <c r="M4" s="606"/>
      <c r="N4" s="244" t="s">
        <v>48</v>
      </c>
      <c r="O4" s="606" t="s">
        <v>590</v>
      </c>
      <c r="P4" s="606" t="s">
        <v>606</v>
      </c>
      <c r="Q4" s="606" t="s">
        <v>583</v>
      </c>
      <c r="R4" s="606" t="s">
        <v>584</v>
      </c>
      <c r="S4" s="606" t="s">
        <v>585</v>
      </c>
      <c r="T4" s="606" t="s">
        <v>414</v>
      </c>
      <c r="U4" s="606" t="s">
        <v>466</v>
      </c>
      <c r="V4" s="606" t="s">
        <v>465</v>
      </c>
      <c r="W4" s="607" t="s">
        <v>420</v>
      </c>
      <c r="X4" s="608" t="s">
        <v>425</v>
      </c>
      <c r="Z4" s="245" t="s">
        <v>417</v>
      </c>
      <c r="AA4" s="245" t="s">
        <v>464</v>
      </c>
      <c r="AB4" s="245" t="s">
        <v>587</v>
      </c>
      <c r="AC4" s="544"/>
      <c r="AD4" s="245" t="s">
        <v>463</v>
      </c>
      <c r="AE4" s="607" t="s">
        <v>426</v>
      </c>
      <c r="AF4" s="245" t="s">
        <v>588</v>
      </c>
      <c r="AG4" s="544"/>
      <c r="AH4" s="245" t="s">
        <v>429</v>
      </c>
      <c r="AI4" s="547" t="s">
        <v>430</v>
      </c>
      <c r="AJ4" s="547" t="s">
        <v>431</v>
      </c>
      <c r="AL4" s="543" t="s">
        <v>275</v>
      </c>
      <c r="AM4" s="543" t="s">
        <v>432</v>
      </c>
      <c r="AO4" s="245" t="s">
        <v>275</v>
      </c>
      <c r="AP4" s="245" t="s">
        <v>432</v>
      </c>
      <c r="AQ4" s="548"/>
      <c r="AR4" s="245" t="s">
        <v>467</v>
      </c>
      <c r="AS4" s="245" t="s">
        <v>461</v>
      </c>
      <c r="AT4" s="245" t="s">
        <v>462</v>
      </c>
      <c r="AU4" s="245" t="s">
        <v>48</v>
      </c>
      <c r="AV4" s="544"/>
      <c r="AW4" s="245" t="s">
        <v>591</v>
      </c>
      <c r="AX4" s="245" t="s">
        <v>592</v>
      </c>
      <c r="AY4" s="245" t="s">
        <v>514</v>
      </c>
      <c r="AZ4" s="544"/>
      <c r="BA4" s="557" t="s">
        <v>456</v>
      </c>
      <c r="BB4" s="245" t="s">
        <v>599</v>
      </c>
      <c r="BC4" s="245" t="s">
        <v>598</v>
      </c>
      <c r="BD4" s="544"/>
      <c r="BE4" s="557" t="s">
        <v>474</v>
      </c>
      <c r="BF4" s="245" t="s">
        <v>475</v>
      </c>
      <c r="BG4" s="245" t="s">
        <v>473</v>
      </c>
      <c r="BH4" s="245" t="s">
        <v>469</v>
      </c>
      <c r="BI4" s="245" t="s">
        <v>478</v>
      </c>
      <c r="BJ4" s="245" t="s">
        <v>491</v>
      </c>
      <c r="BK4" s="245" t="s">
        <v>776</v>
      </c>
      <c r="BL4" s="245" t="s">
        <v>778</v>
      </c>
      <c r="BM4" s="557" t="s">
        <v>601</v>
      </c>
      <c r="BN4" s="245" t="s">
        <v>600</v>
      </c>
      <c r="BO4" s="245" t="s">
        <v>477</v>
      </c>
      <c r="BP4" s="245" t="s">
        <v>483</v>
      </c>
      <c r="BQ4" s="245" t="s">
        <v>487</v>
      </c>
      <c r="BR4" s="557" t="s">
        <v>458</v>
      </c>
      <c r="BS4" s="245" t="s">
        <v>603</v>
      </c>
      <c r="BT4" s="245" t="s">
        <v>602</v>
      </c>
      <c r="BU4" s="245" t="s">
        <v>468</v>
      </c>
      <c r="BV4" s="245" t="s">
        <v>673</v>
      </c>
      <c r="BW4" s="245" t="s">
        <v>484</v>
      </c>
      <c r="BX4" s="245" t="s">
        <v>667</v>
      </c>
      <c r="BY4" s="557" t="s">
        <v>482</v>
      </c>
      <c r="BZ4" s="245" t="s">
        <v>223</v>
      </c>
      <c r="CA4" s="245" t="s">
        <v>47</v>
      </c>
      <c r="CB4" s="245" t="s">
        <v>485</v>
      </c>
      <c r="CC4" s="245" t="s">
        <v>604</v>
      </c>
      <c r="CE4" s="569" t="s">
        <v>497</v>
      </c>
      <c r="CG4" s="782" t="s">
        <v>829</v>
      </c>
      <c r="CH4" s="783" t="s">
        <v>830</v>
      </c>
      <c r="CI4" s="241" t="s">
        <v>25</v>
      </c>
      <c r="CJ4" s="602" t="s">
        <v>580</v>
      </c>
      <c r="CK4" s="444" t="s">
        <v>579</v>
      </c>
      <c r="CL4" s="603" t="s">
        <v>581</v>
      </c>
      <c r="CM4" s="604" t="s">
        <v>582</v>
      </c>
      <c r="CN4" s="242" t="s">
        <v>412</v>
      </c>
      <c r="CO4" s="243" t="s">
        <v>586</v>
      </c>
      <c r="CP4" s="605" t="s">
        <v>413</v>
      </c>
      <c r="CQ4" s="606"/>
      <c r="CR4" s="244" t="s">
        <v>48</v>
      </c>
      <c r="CS4" s="606" t="s">
        <v>590</v>
      </c>
      <c r="CT4" s="606" t="s">
        <v>606</v>
      </c>
      <c r="CU4" s="606" t="s">
        <v>583</v>
      </c>
      <c r="CV4" s="606" t="s">
        <v>584</v>
      </c>
      <c r="CW4" s="606" t="s">
        <v>585</v>
      </c>
      <c r="CX4" s="606" t="s">
        <v>414</v>
      </c>
      <c r="CY4" s="606" t="s">
        <v>466</v>
      </c>
      <c r="CZ4" s="606" t="s">
        <v>465</v>
      </c>
      <c r="DA4" s="607" t="s">
        <v>420</v>
      </c>
      <c r="DB4" s="608" t="s">
        <v>425</v>
      </c>
      <c r="DD4" s="245" t="s">
        <v>417</v>
      </c>
      <c r="DE4" s="245" t="s">
        <v>464</v>
      </c>
      <c r="DF4" s="245" t="s">
        <v>587</v>
      </c>
      <c r="DG4" s="544"/>
      <c r="DH4" s="245" t="s">
        <v>463</v>
      </c>
      <c r="DI4" s="607" t="s">
        <v>426</v>
      </c>
      <c r="DJ4" s="245" t="s">
        <v>588</v>
      </c>
      <c r="DK4" s="544"/>
      <c r="DL4" s="245" t="s">
        <v>429</v>
      </c>
      <c r="DM4" s="547" t="s">
        <v>430</v>
      </c>
      <c r="DN4" s="547" t="s">
        <v>431</v>
      </c>
      <c r="DP4" s="543" t="s">
        <v>275</v>
      </c>
      <c r="DQ4" s="543" t="s">
        <v>432</v>
      </c>
      <c r="DS4" s="245" t="s">
        <v>275</v>
      </c>
      <c r="DT4" s="245" t="s">
        <v>432</v>
      </c>
      <c r="DU4" s="548"/>
      <c r="DV4" s="245" t="s">
        <v>467</v>
      </c>
      <c r="DW4" s="245" t="s">
        <v>461</v>
      </c>
      <c r="DX4" s="245" t="s">
        <v>462</v>
      </c>
      <c r="DY4" s="245" t="s">
        <v>48</v>
      </c>
      <c r="DZ4" s="544"/>
      <c r="EA4" s="245" t="s">
        <v>591</v>
      </c>
      <c r="EB4" s="245" t="s">
        <v>592</v>
      </c>
      <c r="EC4" s="245" t="s">
        <v>514</v>
      </c>
      <c r="ED4" s="544"/>
      <c r="EE4" s="557" t="s">
        <v>456</v>
      </c>
      <c r="EF4" s="245" t="s">
        <v>599</v>
      </c>
      <c r="EG4" s="245" t="s">
        <v>598</v>
      </c>
      <c r="EH4" s="544"/>
      <c r="EI4" s="557" t="s">
        <v>474</v>
      </c>
      <c r="EJ4" s="245" t="s">
        <v>475</v>
      </c>
      <c r="EK4" s="245" t="s">
        <v>473</v>
      </c>
      <c r="EL4" s="245" t="s">
        <v>469</v>
      </c>
      <c r="EM4" s="245" t="s">
        <v>478</v>
      </c>
      <c r="EN4" s="245" t="s">
        <v>491</v>
      </c>
      <c r="EO4" s="245" t="s">
        <v>776</v>
      </c>
      <c r="EP4" s="245" t="s">
        <v>778</v>
      </c>
      <c r="EQ4" s="557" t="s">
        <v>601</v>
      </c>
      <c r="ER4" s="245" t="s">
        <v>600</v>
      </c>
      <c r="ES4" s="245" t="s">
        <v>477</v>
      </c>
      <c r="ET4" s="245" t="s">
        <v>483</v>
      </c>
      <c r="EU4" s="245" t="s">
        <v>487</v>
      </c>
      <c r="EV4" s="557" t="s">
        <v>458</v>
      </c>
      <c r="EW4" s="245" t="s">
        <v>603</v>
      </c>
      <c r="EX4" s="245" t="s">
        <v>602</v>
      </c>
      <c r="EY4" s="245" t="s">
        <v>468</v>
      </c>
      <c r="EZ4" s="245" t="s">
        <v>673</v>
      </c>
      <c r="FA4" s="245" t="s">
        <v>484</v>
      </c>
      <c r="FB4" s="245" t="s">
        <v>486</v>
      </c>
      <c r="FC4" s="557" t="s">
        <v>482</v>
      </c>
      <c r="FD4" s="245" t="s">
        <v>223</v>
      </c>
      <c r="FE4" s="245" t="s">
        <v>47</v>
      </c>
      <c r="FF4" s="245" t="s">
        <v>485</v>
      </c>
      <c r="FG4" s="245" t="s">
        <v>604</v>
      </c>
      <c r="FI4" s="569" t="s">
        <v>497</v>
      </c>
      <c r="FL4" s="782" t="s">
        <v>876</v>
      </c>
      <c r="FM4" s="782" t="s">
        <v>875</v>
      </c>
    </row>
    <row r="5" spans="2:169">
      <c r="E5" s="170">
        <v>0.1</v>
      </c>
      <c r="F5" s="217">
        <v>1.0000000000000001E-9</v>
      </c>
      <c r="G5" s="217">
        <v>1.0000000000000001E-9</v>
      </c>
      <c r="H5" s="217">
        <f t="shared" ref="H5:H36" si="0">F5*Vout</f>
        <v>2.8000000000000003E-8</v>
      </c>
      <c r="I5" s="217">
        <f>G5*Vout2</f>
        <v>3.0000000000000004E-8</v>
      </c>
      <c r="J5" s="541">
        <f t="shared" ref="J5:J36" si="1">Vin-(F5/CG5/Nps+G5/CH5/(Nps/Nsec1sec2))*(Rdcr_pri+RON/1000)</f>
        <v>27.999970898657452</v>
      </c>
      <c r="K5" s="443">
        <f t="shared" ref="K5:K36" si="2">MAX((S5+Vfwd2+Rdcr_sec*F5/CG5)*Nps,(Vout2+Vfwd22+Rdcr_sec2*G5/CH5)*Nps/Nsec1sec2)</f>
        <v>28.700007695259661</v>
      </c>
      <c r="L5" s="172">
        <f t="shared" ref="L5:L36" si="3">MAX((Vout+Vfwd2+F5/CG5*Rdcr_sec)*Nps+J5, (Vout2+Vfwd22+G5/CH5*Rdcr_sec2)*Nps/Nsec1sec2+J5)</f>
        <v>56.699978593917109</v>
      </c>
      <c r="M5" s="443"/>
      <c r="N5" s="217">
        <f t="shared" ref="N5:N36" si="4">MAX((Vout+Vfwd2+F5/CG5*Rdcr_sec)*Nps/((Vout+Vfwd2+F5/CG5*Rdcr_sec)*Nps+J5), (Vout2+Vfwd22+G5/CH5*Rdcr_sec2)*Nps/Nsec1sec2/((Vout2+Vfwd22+G5/CH5*Rdcr_sec2)*Nps/Nsec1sec2+J5))</f>
        <v>0.50617316632177101</v>
      </c>
      <c r="O5" s="172">
        <f>N5*J5*Isw_max*0.5*Efficiency*(Pout/Pout_total)</f>
        <v>118.10694938909073</v>
      </c>
      <c r="P5" s="172">
        <f t="shared" ref="P5:P36" si="5">N5*J5*Isw_max*0.5*Efficiency*(Pout2/Pout_total)</f>
        <v>12.654316005974007</v>
      </c>
      <c r="Q5" s="217">
        <f t="shared" ref="Q5:Q68" si="6">O5/Vout</f>
        <v>4.2181053353246689</v>
      </c>
      <c r="R5" s="217">
        <f t="shared" ref="R5:R36" si="7">O5/Vout2</f>
        <v>3.9368983129696908</v>
      </c>
      <c r="S5" s="443">
        <f t="shared" ref="S5:S36" si="8">MIN(Vout,O5/F5)</f>
        <v>28</v>
      </c>
      <c r="T5" s="217">
        <f t="shared" ref="T5:T36" si="9">MIN(2*(Vout*F5+Vout2*G5)/(Efficiency*J5*N5), Isw_max)</f>
        <v>8.1846722116417283E-9</v>
      </c>
      <c r="U5" s="217">
        <f t="shared" ref="U5:U68" si="10">L*T5/J5*1000000</f>
        <v>1.3738571205643858E-9</v>
      </c>
      <c r="V5" s="217">
        <f t="shared" ref="V5:V68" si="11">L*T5/K5*1000000</f>
        <v>1.3403466578536779E-9</v>
      </c>
      <c r="W5" s="197">
        <f t="shared" ref="W5:W68" si="12">IF(1/((350000*L)*(1/J5+1/K5))&gt;Isw_min, 350, 0.001/((Isw_min*L)*(1/J5+1/K5)))</f>
        <v>350</v>
      </c>
      <c r="X5" s="443">
        <f>MIN(1/(U5+V5+0.2)*1000, 350)</f>
        <v>350</v>
      </c>
      <c r="Z5" s="217">
        <f t="shared" ref="Z5:Z68" si="13">1/((W5*1000*L)*(1/J5+1/K5))</f>
        <v>8.6157045147057065</v>
      </c>
      <c r="AA5" s="173">
        <f t="shared" ref="AA5:AA68" si="14">L*Z5/K5*1000000</f>
        <v>1.4109338105092257</v>
      </c>
      <c r="AB5" s="173">
        <f t="shared" ref="AB5:AB36" si="15">0.5*AA5*Z5*Nps*W5/1000*(Pout/Pout_total)</f>
        <v>2.1273330402021706</v>
      </c>
      <c r="AC5" s="173"/>
      <c r="AD5" s="173">
        <f t="shared" ref="AD5:AD68" si="16">L*Isw_min/K5*1000000</f>
        <v>0.54587674097572836</v>
      </c>
      <c r="AE5" s="545">
        <f t="shared" ref="AE5:AE36" si="17">MAX(10, F5/(0.5*AD5/1000000*Isw_min*Nps)/1000*Pout_total/Pout)</f>
        <v>10</v>
      </c>
      <c r="AF5" s="528">
        <f t="shared" ref="AF5:AF36" si="18">0.5*AD5/1000000*Isw_min*Nps*W5*1000*(Pout/Pout_total)</f>
        <v>0.31842809890250817</v>
      </c>
      <c r="AH5" s="173">
        <f t="shared" ref="AH5:AH36" si="19">SQRT((H5+I5)/(0.5*L*Fsw_DCM))</f>
        <v>2.6554983962568675E-4</v>
      </c>
      <c r="AI5" s="173">
        <f t="shared" ref="AI5:AI36" si="20">MAX(IF(F5&gt;AB5,T5,AH5),Isw_min)</f>
        <v>3.3333333333333335</v>
      </c>
      <c r="AJ5" s="173">
        <f t="shared" ref="AJ5:AJ36" si="21">IF(F5&gt;AF5, (AI5-Isw_min)/1.08*0.8+1.2, AE5*0.2/350+1)</f>
        <v>1.0057142857142858</v>
      </c>
      <c r="AL5" s="545">
        <f t="shared" ref="AL5:AL36" si="22">F5*1000</f>
        <v>1.0000000000000002E-6</v>
      </c>
      <c r="AM5" s="460">
        <f t="shared" ref="AM5:AM36" si="23">IF(F5&gt;AF5, X5, AE5)</f>
        <v>10</v>
      </c>
      <c r="AO5">
        <f>IF(H5&gt;O5, "",AL5)</f>
        <v>1.0000000000000002E-6</v>
      </c>
      <c r="AP5" s="460">
        <f t="shared" ref="AP5:AP68" si="24">IF(H5&gt;O5, "",AM5)</f>
        <v>10</v>
      </c>
      <c r="AQ5" s="460"/>
      <c r="AR5" s="5">
        <f>1/AM5*1000</f>
        <v>100</v>
      </c>
      <c r="AS5" s="5">
        <f t="shared" ref="AS5:AS68" si="25">L*AI5/J5*1000000</f>
        <v>0.55952439105634411</v>
      </c>
      <c r="AT5" s="5">
        <f>AR5-AS5</f>
        <v>99.440475608943657</v>
      </c>
      <c r="AU5" s="173">
        <f>AS5/AR5</f>
        <v>5.5952439105634412E-3</v>
      </c>
      <c r="AW5" s="5">
        <f t="shared" ref="AW5:AW36" si="26">F5*AS5/Vout_ripple*1000</f>
        <v>1.9983013966298003E-9</v>
      </c>
      <c r="AX5" s="5">
        <f t="shared" ref="AX5:AX36" si="27">G5*AS5/Vout_ripple2*1000</f>
        <v>1.8650813035211469E-9</v>
      </c>
      <c r="AY5" s="5">
        <f t="shared" ref="AY5:AY68" si="28">H5/Efficiency/J5*AT5/Vinripple1</f>
        <v>7.1028984972060571E-8</v>
      </c>
      <c r="AZ5" s="5"/>
      <c r="BA5" s="173">
        <f>AI5*SQRT(AU5/3)</f>
        <v>0.14395529026291259</v>
      </c>
      <c r="BB5" s="173">
        <f t="shared" ref="BB5:BB36" si="29">AI5*Npri_sec1*SQRT((1-AU5)/3)*(Pout/Pout_total)</f>
        <v>1.9191093189573709</v>
      </c>
      <c r="BC5" s="173">
        <f t="shared" ref="BC5:BC36" si="30">AI5*Npri_sec2*SQRT((1-AU5)/3)*(Pout2/Pout_total)</f>
        <v>0.19348397232111197</v>
      </c>
      <c r="BD5" s="173"/>
      <c r="BE5" s="528">
        <f t="shared" ref="BE5:BE68" si="31">Rdson*BA5^2</f>
        <v>2.4867750713615305E-4</v>
      </c>
      <c r="BF5" s="528">
        <f t="shared" ref="BF5:BF36" si="32">0.5*L5*AI5*AM5*1000*Tfall</f>
        <v>3.4492486977966245E-2</v>
      </c>
      <c r="BG5" s="528">
        <f t="shared" ref="BG5:BG68" si="33">Qg*Vdd*AM5*1000</f>
        <v>1.15E-3</v>
      </c>
      <c r="BH5" s="528">
        <f t="shared" ref="BH5:BH68" si="34">0.5*(Coss+Csw)*L5^2*AM5*1000</f>
        <v>1.5833321294811992E-2</v>
      </c>
      <c r="BI5">
        <f t="shared" ref="BI5:BI68" si="35">J5*IQ</f>
        <v>1.2599986904395852E-2</v>
      </c>
      <c r="BJ5" s="460">
        <f>(BG5+BI5)*1000</f>
        <v>13.749986904395852</v>
      </c>
      <c r="BK5">
        <f t="shared" ref="BK5:BK36" si="36">(BF5+BG5*0+BH5+BI5*0+BE5*(1+RdsonTC*(Ta-25)))/(1-BE5*RdsonTC*ThetaJA)</f>
        <v>5.0644621083562678E-2</v>
      </c>
      <c r="BL5" s="460">
        <f>BK5*1000</f>
        <v>50.644621083562676</v>
      </c>
      <c r="BM5" s="173">
        <f t="shared" ref="BM5:BM36" si="37">Vfwd2*F5*(1+Diode_TC/1000*(Ta-25))</f>
        <v>6.7059999999999994E-10</v>
      </c>
      <c r="BN5" s="173">
        <f t="shared" ref="BN5:BN36" si="38">Vfwd22*G5*(1+Diode_TC/1000*(Ta-25))</f>
        <v>4.79E-10</v>
      </c>
      <c r="BO5" s="528"/>
      <c r="BQ5" s="460">
        <f>SUM(BM5:BP5)*1000</f>
        <v>1.1495999999999998E-6</v>
      </c>
      <c r="BR5" s="528">
        <f t="shared" ref="BR5:BR68" si="39">Rdcr_pri*BA5^2</f>
        <v>2.9012375832551186E-4</v>
      </c>
      <c r="BS5" s="528">
        <f>Rdcr_sec*BB5^2</f>
        <v>5.1561728093526334E-2</v>
      </c>
      <c r="BT5" s="528">
        <f t="shared" ref="BT5:BT36" si="40">Rdcr_sec2*BC5^2</f>
        <v>1.8718023772578411E-4</v>
      </c>
      <c r="BU5" s="528">
        <f t="shared" ref="BU5:BU68" si="41">AI5^2.5*AM5^2.5*k_core</f>
        <v>3.2075014954979249E-4</v>
      </c>
      <c r="BV5" s="528">
        <f t="shared" ref="BV5:BV36" si="42">(BU5+(BR5+BS5+BT5)*(1+Ltc*(Ta-25)))/(1-(BR5+BS5+BT5)*Ltc*ThetaCa)</f>
        <v>6.5120253537708478E-2</v>
      </c>
      <c r="BW5" s="625">
        <f t="shared" ref="BW5:BW36" si="43">0.5*Lleak*0.000000001*AI5^2*AM5*1000</f>
        <v>1.1111111111111112E-2</v>
      </c>
      <c r="BX5" s="460">
        <f>(BV5+BW5)*1000</f>
        <v>76.231364648819593</v>
      </c>
      <c r="BY5" s="173">
        <f>SUM(BK5,BM5:BP5,BV5:BW5)</f>
        <v>0.12687598688198226</v>
      </c>
      <c r="BZ5" s="5">
        <f>MIN(H5+I5,O5+P5)</f>
        <v>5.8000000000000003E-8</v>
      </c>
      <c r="CA5" s="173">
        <f>BZ5/(BZ5+BY5)</f>
        <v>4.5713909236334195E-7</v>
      </c>
      <c r="CB5" s="5">
        <f>CA5*100</f>
        <v>4.5713909236334194E-5</v>
      </c>
      <c r="CC5">
        <v>0</v>
      </c>
      <c r="CE5" s="562">
        <f t="shared" ref="CE5:CE36" si="44">IF(ABS(F5-Ioutmax_Vinnom)&lt;Iout/200, AM5, -50)</f>
        <v>-50</v>
      </c>
      <c r="CF5">
        <f t="shared" ref="CF5:CF36" si="45">IF(ABS(F5-Ioutmax_Vinnom)&lt;Iout/200, (O5+P5)*CA5, -50)</f>
        <v>-50</v>
      </c>
      <c r="CG5" s="173">
        <f t="shared" ref="CG5:CG36" si="46">MIN(SQRT(2*DT5*1000*Ls1_*(CL5+CJ5*Vfwd1))/(CW5+Vfwd1), 1-DY5)</f>
        <v>1.8193018317281983E-6</v>
      </c>
      <c r="CH5" s="173">
        <f t="shared" ref="CH5:CH36" si="47">MIN(SQRT(2*DT5*1000*Ls2_*(CM5+CK5*Vfwd22))/(Vout2+Vfwd22), 1-DY5)</f>
        <v>1.8656576348749203E-6</v>
      </c>
      <c r="CI5" s="170">
        <v>0.1</v>
      </c>
      <c r="CJ5" s="217">
        <v>1.0000000000000001E-9</v>
      </c>
      <c r="CK5" s="217">
        <v>1.0000000000000001E-9</v>
      </c>
      <c r="CL5" s="217">
        <f t="shared" ref="CL5:CL68" si="48">CJ5*Vout</f>
        <v>2.8000000000000003E-8</v>
      </c>
      <c r="CM5" s="217">
        <f>CK5*Vout2</f>
        <v>3.0000000000000004E-8</v>
      </c>
      <c r="CN5" s="541">
        <f>Vin</f>
        <v>28</v>
      </c>
      <c r="CO5" s="443">
        <f t="shared" ref="CO5:CO36" si="49">(CW5+Vfwd2)*Nps</f>
        <v>28.7</v>
      </c>
      <c r="CP5" s="443">
        <f t="shared" ref="CP5:CP36" si="50">(Vout+Vfwd2)*Nps+CN5</f>
        <v>56.7</v>
      </c>
      <c r="CQ5" s="443"/>
      <c r="CR5" s="217">
        <f>(Vout+Vfwd2)*Nps/((Vout+Vfwd2)*Nps+CN5)</f>
        <v>0.50617283950617276</v>
      </c>
      <c r="CS5" s="172">
        <f>CR5*CN5*Isw_max*0.5*Efficiency*(Pout/Pout_total)</f>
        <v>118.10699588477365</v>
      </c>
      <c r="CT5" s="172">
        <f t="shared" ref="CT5:CT68" si="51">CR5*CN5*Isw_max*0.5*Efficiency*(Pout2/Pout_total)</f>
        <v>12.654320987654319</v>
      </c>
      <c r="CU5" s="217">
        <f t="shared" ref="CU5:CU68" si="52">CS5/Vout</f>
        <v>4.2181069958847734</v>
      </c>
      <c r="CV5" s="217">
        <f t="shared" ref="CV5:CV68" si="53">CS5/Vout2</f>
        <v>3.9368998628257885</v>
      </c>
      <c r="CW5" s="443">
        <f t="shared" ref="CW5:CW68" si="54">MIN(Vout,CS5/CJ5)</f>
        <v>28</v>
      </c>
      <c r="CX5" s="217">
        <f t="shared" ref="CX5:CX68" si="55">MIN(2*(Vout*CJ5+Vout2*CK5)/(Efficiency*CN5*CR5), Isw_max)</f>
        <v>8.1846689895470399E-9</v>
      </c>
      <c r="CY5" s="217">
        <f t="shared" ref="CY5:CY68" si="56">L*CX5/CN5*1000000</f>
        <v>1.3738551518168244E-9</v>
      </c>
      <c r="CZ5" s="217">
        <f t="shared" ref="CZ5:CZ68" si="57">L*CX5/CO5*1000000</f>
        <v>1.3403464895773898E-9</v>
      </c>
      <c r="DA5" s="197">
        <f t="shared" ref="DA5:DA68" si="58">IF(1/((350000*L)*(1/CN5+1/CO5))&gt;Isw_min, 350, 0.001/((Isw_min*L)*(1/CN5+1/CO5)))</f>
        <v>350</v>
      </c>
      <c r="DB5" s="443">
        <f>MIN(1/(CY5+CZ5)*1000, 350)</f>
        <v>350</v>
      </c>
      <c r="DD5" s="217">
        <f t="shared" ref="DD5:DD68" si="59">1/((DA5*1000*L)*(1/CN5+1/CO5))</f>
        <v>8.6157079064880477</v>
      </c>
      <c r="DE5" s="173">
        <f t="shared" ref="DE5:DE68" si="60">L*DD5/CO5*1000000</f>
        <v>1.4109347442680775</v>
      </c>
      <c r="DF5" s="173">
        <f t="shared" ref="DF5:DF68" si="61">0.5*DE5*DD5*Nps*DA5/1000*(Pout/Pout_total)</f>
        <v>2.1273352855526046</v>
      </c>
      <c r="DG5" s="173"/>
      <c r="DH5" s="173">
        <f t="shared" ref="DH5:DH68" si="62">L*Isw_min/CO5*1000000</f>
        <v>0.54587688734030204</v>
      </c>
      <c r="DI5" s="545">
        <f t="shared" ref="DI5:DI68" si="63">MAX(10, CJ5/(0.5*DH5/1000000*Isw_min*Nps)/1000*Pout_total/Pout)</f>
        <v>10</v>
      </c>
      <c r="DJ5" s="528">
        <f t="shared" ref="DJ5:DJ68" si="64">0.5*DH5/1000000*Isw_min*Nps*DA5*1000*(Pout/Pout_total)</f>
        <v>0.31842818428184283</v>
      </c>
      <c r="DL5" s="173">
        <f t="shared" ref="DL5:DL68" si="65">SQRT((CL5+CM5)/(0.5*L*Fsw_DCM))</f>
        <v>2.6554983962568675E-4</v>
      </c>
      <c r="DM5" s="173">
        <f t="shared" ref="DM5:DM68" si="66">MAX(IF(CJ5&gt;DF5,CX5,DL5),Isw_min)</f>
        <v>3.3333333333333335</v>
      </c>
      <c r="DN5" s="173">
        <f t="shared" ref="DN5:DN68" si="67">IF(CJ5&gt;DJ5, (DM5-Isw_min)/1.08*0.8+1.2, DI5*0.2/350+1)</f>
        <v>1.0057142857142858</v>
      </c>
      <c r="DP5" s="545">
        <f t="shared" ref="DP5:DP68" si="68">CJ5*1000</f>
        <v>1.0000000000000002E-6</v>
      </c>
      <c r="DQ5" s="460">
        <f t="shared" ref="DQ5:DQ68" si="69">IF(CJ5&gt;DJ5, DB5, DI5)</f>
        <v>10</v>
      </c>
      <c r="DS5">
        <f>IF(CL5&gt;CS5, "",DP5)</f>
        <v>1.0000000000000002E-6</v>
      </c>
      <c r="DT5" s="460">
        <f t="shared" ref="DT5:DT68" si="70">IF(CL5&gt;CS5, "",DQ5)</f>
        <v>10</v>
      </c>
      <c r="DU5" s="460"/>
      <c r="DV5" s="5">
        <f>1/DQ5*1000</f>
        <v>100</v>
      </c>
      <c r="DW5" s="5">
        <f t="shared" ref="DW5:DW68" si="71">L*DM5/CN5*1000000</f>
        <v>0.55952380952380953</v>
      </c>
      <c r="DX5" s="5">
        <f>DV5-DW5</f>
        <v>99.44047619047619</v>
      </c>
      <c r="DY5" s="173">
        <f>DW5/DV5</f>
        <v>5.595238095238095E-3</v>
      </c>
      <c r="EA5" s="5">
        <f t="shared" ref="EA5:EA68" si="72">CJ5*DW5/Vout_ripple*1000</f>
        <v>1.9982993197278914E-9</v>
      </c>
      <c r="EB5" s="5">
        <f t="shared" ref="EB5:EB68" si="73">CK5*DW5/Vout_ripple2*1000</f>
        <v>1.8650793650793654E-9</v>
      </c>
      <c r="EC5" s="5">
        <f t="shared" ref="EC5:EC68" si="74">CL5/Efficiency/CN5*DX5/Vinripple1</f>
        <v>7.1028911564625838E-8</v>
      </c>
      <c r="ED5" s="5"/>
      <c r="EE5" s="173">
        <f>DM5*SQRT(DY5/3)</f>
        <v>0.14395521545410361</v>
      </c>
      <c r="EF5" s="173">
        <f t="shared" ref="EF5:EF68" si="75">DM5*Npri_sec1*SQRT((1-DY5)/3)*(Pout/Pout_total)</f>
        <v>1.9191093245688915</v>
      </c>
      <c r="EG5" s="173">
        <f t="shared" ref="EG5:EG68" si="76">DM5*Npri_sec2*SQRT((1-DY5)/3)*(Pout2/Pout_total)</f>
        <v>0.19348397288686364</v>
      </c>
      <c r="EH5" s="173"/>
      <c r="EI5" s="528">
        <f t="shared" ref="EI5:EI68" si="77">Rdson*EE5^2</f>
        <v>2.4867724867724871E-4</v>
      </c>
      <c r="EJ5" s="528">
        <f t="shared" ref="EJ5:EJ68" si="78">0.5*CP5*DM5*DQ5*1000*Trise</f>
        <v>3.5910000000000004E-2</v>
      </c>
      <c r="EK5" s="528">
        <f t="shared" ref="EK5:EK68" si="79">Qg*Vdd*DQ5*1000</f>
        <v>1.15E-3</v>
      </c>
      <c r="EL5" s="528">
        <f t="shared" ref="EL5:EL68" si="80">0.5*(Coss+Csw)*CP5^2*DQ5*1000</f>
        <v>1.5833333250000001E-2</v>
      </c>
      <c r="EM5">
        <f t="shared" ref="EM5:EM68" si="81">CN5*IQ</f>
        <v>1.26E-2</v>
      </c>
      <c r="EN5" s="460">
        <f>(EK5+EM5)*1000</f>
        <v>13.75</v>
      </c>
      <c r="EO5">
        <f t="shared" ref="EO5:EO68" si="82">(EJ5+EK5+EL5+EM5+EI5*(1+RdsonTC*(Ta-25)))/(1-EI5*RdsonTC*ThetaJA)</f>
        <v>6.5813041966414021E-2</v>
      </c>
      <c r="EP5" s="460">
        <f>EO5*1000</f>
        <v>65.813041966414019</v>
      </c>
      <c r="EQ5" s="173">
        <f t="shared" ref="EQ5:EQ68" si="83">Vfwd2*CJ5*(1+Diode_TC/1000*(Ta-25))</f>
        <v>6.7059999999999994E-10</v>
      </c>
      <c r="ER5" s="173">
        <f t="shared" ref="ER5:ER36" si="84">Vfwd22*CK5*(1+Diode_TC/1000*(Ta-25))</f>
        <v>4.79E-10</v>
      </c>
      <c r="ES5" s="528"/>
      <c r="EU5" s="460">
        <f>SUM(EQ5:ET5)*1000</f>
        <v>1.1495999999999998E-6</v>
      </c>
      <c r="EV5" s="528">
        <f t="shared" ref="EV5:EV68" si="85">Rdcr_pri*EE5^2</f>
        <v>2.9012345679012351E-4</v>
      </c>
      <c r="EW5" s="528">
        <f>Rdcr_sec*EF5^2</f>
        <v>5.1561728395061741E-2</v>
      </c>
      <c r="EX5" s="528">
        <f t="shared" ref="EX5:EX68" si="86">Rdcr_sec2*EG5^2</f>
        <v>1.8718023882042294E-4</v>
      </c>
      <c r="EY5" s="528">
        <f t="shared" ref="EY5:EY68" si="87">DM5^2.5*DQ5^2.5*k_core</f>
        <v>3.2075014954979249E-4</v>
      </c>
      <c r="EZ5" s="528">
        <f t="shared" ref="EZ5:EZ68" si="88">(EY5+(EV5+EW5+EX5)*(1+Ltc*(Ta-25)))/(1-(EV5+EW5+EX5)*Ltc*ThetaCa)</f>
        <v>6.5120253539077258E-2</v>
      </c>
      <c r="FA5" s="625">
        <f t="shared" ref="FA5:FA68" si="89">0.5*Lleak*0.000000001*DM5^2*DQ5*1000</f>
        <v>1.1111111111111112E-2</v>
      </c>
      <c r="FB5" s="460">
        <f>(EZ5+FA5)*1000</f>
        <v>76.231364650188368</v>
      </c>
      <c r="FC5" s="173">
        <f>SUM(EO5,EQ5:ET5,EZ5:FA5)</f>
        <v>0.14204440776620239</v>
      </c>
      <c r="FD5" s="5">
        <f>MIN(CL5+CM5,CS5+CT5)</f>
        <v>5.8000000000000003E-8</v>
      </c>
      <c r="FE5" s="173">
        <f>FD5/(FD5+FC5)</f>
        <v>4.0832284233772901E-7</v>
      </c>
      <c r="FF5" s="5">
        <f>FE5*100</f>
        <v>4.0832284233772903E-5</v>
      </c>
      <c r="FG5">
        <v>0</v>
      </c>
      <c r="FI5" s="562">
        <f t="shared" ref="FI5:FI68" si="90">IF(ABS(CJ5-Ioutmax_Vinnom)&lt;Iout/200, DQ5, -50)</f>
        <v>-50</v>
      </c>
      <c r="FJ5">
        <f t="shared" ref="FJ5:FJ68" si="91">IF(ABS(CJ5-Ioutmax_Vinnom)&lt;Iout/200, (CS5+CT5)*FE5, -50)</f>
        <v>-50</v>
      </c>
      <c r="FL5">
        <f t="shared" ref="FL5:FL68" si="92">MIN(SQRT(2*DQ5*1000*L*CJ5*(Vout+Vfwd1))/(Nps*(Vout+Vfwd1)),1-DY5)</f>
        <v>1.8193018317281983E-6</v>
      </c>
      <c r="FM5">
        <f>MIN(,)</f>
        <v>0</v>
      </c>
    </row>
    <row r="6" spans="2:169">
      <c r="E6" s="170">
        <v>1</v>
      </c>
      <c r="F6" s="217">
        <f>IF(PLOT_TYPE=1, E6/100*Iout, min_I*EXP(O6*rr/100))</f>
        <v>2.5000000000000001E-2</v>
      </c>
      <c r="G6" s="217">
        <f t="shared" ref="G6:G37" si="93">IF(PLOT_TYPE=1, E6/100*Iout2, min_I*EXP(Q6*rr/100))</f>
        <v>2.5000000000000001E-3</v>
      </c>
      <c r="H6" s="217">
        <f t="shared" si="0"/>
        <v>0.70000000000000007</v>
      </c>
      <c r="I6" s="217">
        <f>G6*Vout2</f>
        <v>7.4999999999999997E-2</v>
      </c>
      <c r="J6" s="541">
        <f t="shared" si="1"/>
        <v>27.942767356471048</v>
      </c>
      <c r="K6" s="443">
        <f t="shared" si="2"/>
        <v>28.723211061749385</v>
      </c>
      <c r="L6" s="172">
        <f t="shared" si="3"/>
        <v>56.665978418220433</v>
      </c>
      <c r="M6" s="443"/>
      <c r="N6" s="217">
        <f t="shared" si="4"/>
        <v>0.50688635162635254</v>
      </c>
      <c r="O6" s="172">
        <f t="shared" ref="O6:O37" si="94">N6*J6*Isw_max*0.5*Efficiency*Pout/(Pout+Pout2)</f>
        <v>106.60930300823532</v>
      </c>
      <c r="P6" s="172">
        <f t="shared" si="5"/>
        <v>12.64625660684424</v>
      </c>
      <c r="Q6" s="217">
        <f t="shared" si="6"/>
        <v>3.8074751074369755</v>
      </c>
      <c r="R6" s="217">
        <f t="shared" si="7"/>
        <v>3.553643433607844</v>
      </c>
      <c r="S6" s="443">
        <f t="shared" si="8"/>
        <v>28</v>
      </c>
      <c r="T6" s="217">
        <f t="shared" si="9"/>
        <v>0.109433851807149</v>
      </c>
      <c r="U6" s="217">
        <f t="shared" si="10"/>
        <v>1.8406877777425595E-2</v>
      </c>
      <c r="V6" s="217">
        <f t="shared" si="11"/>
        <v>1.7906741080858612E-2</v>
      </c>
      <c r="W6" s="197">
        <f t="shared" si="12"/>
        <v>350</v>
      </c>
      <c r="X6" s="443">
        <f t="shared" ref="X6:X69" si="95">MIN(1/(U6+V6+0.2)*1000, 350)</f>
        <v>350</v>
      </c>
      <c r="Z6" s="217">
        <f t="shared" si="13"/>
        <v>8.6102172642343753</v>
      </c>
      <c r="AA6" s="173">
        <f t="shared" si="14"/>
        <v>1.4088961382104213</v>
      </c>
      <c r="AB6" s="173">
        <f t="shared" si="15"/>
        <v>2.1229078242281894</v>
      </c>
      <c r="AC6" s="173"/>
      <c r="AD6" s="173">
        <f t="shared" si="16"/>
        <v>0.54543576736550603</v>
      </c>
      <c r="AE6" s="545">
        <f t="shared" si="17"/>
        <v>27.500946761249416</v>
      </c>
      <c r="AF6" s="528">
        <f t="shared" si="18"/>
        <v>0.31817086429654512</v>
      </c>
      <c r="AH6" s="173">
        <f t="shared" si="19"/>
        <v>0.97069523544806813</v>
      </c>
      <c r="AI6" s="173">
        <f t="shared" si="20"/>
        <v>3.3333333333333335</v>
      </c>
      <c r="AJ6" s="173">
        <f t="shared" si="21"/>
        <v>1.0157148267207139</v>
      </c>
      <c r="AL6" s="545">
        <f t="shared" si="22"/>
        <v>25</v>
      </c>
      <c r="AM6" s="460">
        <f t="shared" si="23"/>
        <v>27.500946761249416</v>
      </c>
      <c r="AO6">
        <f t="shared" ref="AO6:AO69" si="96">IF(H6&gt;O6, "",AL6)</f>
        <v>25</v>
      </c>
      <c r="AP6" s="460">
        <f t="shared" si="24"/>
        <v>27.500946761249416</v>
      </c>
      <c r="AQ6" s="460"/>
      <c r="AR6" s="5">
        <f t="shared" ref="AR6:AR69" si="97">1/AM6*1000</f>
        <v>36.362384491033723</v>
      </c>
      <c r="AS6" s="5">
        <f t="shared" si="25"/>
        <v>0.56066983154546235</v>
      </c>
      <c r="AT6" s="5">
        <f t="shared" ref="AT6:AT69" si="98">AR6-AS6</f>
        <v>35.801714659488262</v>
      </c>
      <c r="AU6" s="173">
        <f t="shared" ref="AU6:AU69" si="99">AS6/AR6</f>
        <v>1.5418951187970441E-2</v>
      </c>
      <c r="AW6" s="5">
        <f t="shared" si="26"/>
        <v>5.005980638798771E-2</v>
      </c>
      <c r="AX6" s="5">
        <f t="shared" si="27"/>
        <v>4.6722485962121868E-3</v>
      </c>
      <c r="AY6" s="5">
        <f t="shared" si="28"/>
        <v>0.64062578703746786</v>
      </c>
      <c r="AZ6" s="5"/>
      <c r="BA6" s="173">
        <f t="shared" ref="BA6:BA69" si="100">AI6*SQRT(AU6/3)</f>
        <v>0.2389711836647104</v>
      </c>
      <c r="BB6" s="173">
        <f t="shared" si="29"/>
        <v>1.9096063670509666</v>
      </c>
      <c r="BC6" s="173">
        <f t="shared" si="30"/>
        <v>0.19252588782563027</v>
      </c>
      <c r="BD6" s="173"/>
      <c r="BE6" s="528">
        <f t="shared" si="31"/>
        <v>6.8528671946535308E-4</v>
      </c>
      <c r="BF6" s="528">
        <f t="shared" si="32"/>
        <v>9.4800723385593325E-2</v>
      </c>
      <c r="BG6" s="528">
        <f t="shared" si="33"/>
        <v>3.1626088775436835E-3</v>
      </c>
      <c r="BH6" s="528">
        <f t="shared" si="34"/>
        <v>4.3490926925085362E-2</v>
      </c>
      <c r="BI6">
        <f t="shared" si="35"/>
        <v>1.2574245310411972E-2</v>
      </c>
      <c r="BJ6" s="460">
        <f t="shared" ref="BJ6:BJ69" si="101">(BG6+BI6)*1000</f>
        <v>15.736854187955656</v>
      </c>
      <c r="BK6">
        <f t="shared" si="36"/>
        <v>0.13918462705945076</v>
      </c>
      <c r="BL6" s="460">
        <f t="shared" ref="BL6:BL69" si="102">BK6*1000</f>
        <v>139.18462705945075</v>
      </c>
      <c r="BM6" s="173">
        <f t="shared" si="37"/>
        <v>1.6764999999999999E-2</v>
      </c>
      <c r="BN6" s="173">
        <f t="shared" si="38"/>
        <v>1.1975E-3</v>
      </c>
      <c r="BO6" s="528"/>
      <c r="BQ6" s="460">
        <f t="shared" ref="BQ6:BQ69" si="103">SUM(BM6:BP6)*1000</f>
        <v>17.962499999999999</v>
      </c>
      <c r="BR6" s="528">
        <f t="shared" si="39"/>
        <v>7.9950117270957861E-4</v>
      </c>
      <c r="BS6" s="528">
        <f t="shared" ref="BS6:BS68" si="104">Rdcr_sec*BB6^2</f>
        <v>5.105235067914228E-2</v>
      </c>
      <c r="BT6" s="528">
        <f t="shared" si="40"/>
        <v>1.8533108741523586E-4</v>
      </c>
      <c r="BU6" s="528">
        <f t="shared" si="41"/>
        <v>4.0228698367954776E-3</v>
      </c>
      <c r="BV6" s="528">
        <f t="shared" si="42"/>
        <v>6.8835537277167846E-2</v>
      </c>
      <c r="BW6" s="625">
        <f t="shared" si="43"/>
        <v>3.0556607512499355E-2</v>
      </c>
      <c r="BX6" s="460">
        <f t="shared" ref="BX6:BX69" si="105">(BV6+BW6)*1000</f>
        <v>99.392144789667213</v>
      </c>
      <c r="BY6" s="173">
        <f t="shared" ref="BY6:BY69" si="106">SUM(BK6,BM6:BP6,BV6:BW6)</f>
        <v>0.25653927184911796</v>
      </c>
      <c r="BZ6" s="5">
        <f t="shared" ref="BZ6:BZ69" si="107">MIN(H6+I6,O6+P6)</f>
        <v>0.77500000000000002</v>
      </c>
      <c r="CA6" s="173">
        <f t="shared" ref="CA6:CA69" si="108">BZ6/(BZ6+BY6)</f>
        <v>0.75130440609473803</v>
      </c>
      <c r="CB6" s="5">
        <f t="shared" ref="CB6:CB69" si="109">CA6*100</f>
        <v>75.130440609473808</v>
      </c>
      <c r="CC6">
        <f t="shared" ref="CC6:CC37" si="110">F6/Iout*100</f>
        <v>1</v>
      </c>
      <c r="CE6" s="562">
        <f t="shared" si="44"/>
        <v>-50</v>
      </c>
      <c r="CF6">
        <f t="shared" si="45"/>
        <v>-50</v>
      </c>
      <c r="CG6" s="173">
        <f t="shared" si="46"/>
        <v>1.5079017228035133E-2</v>
      </c>
      <c r="CH6" s="173">
        <f t="shared" si="47"/>
        <v>4.8899028442070261E-3</v>
      </c>
      <c r="CI6" s="170">
        <v>1</v>
      </c>
      <c r="CJ6" s="217">
        <f>IF(PLOT_TYPE=1, CI6/100*Iout, min_I*EXP(CS6*rr/100))</f>
        <v>2.5000000000000001E-2</v>
      </c>
      <c r="CK6" s="217">
        <f t="shared" ref="CK6:CK69" si="111">IF(PLOT_TYPE=1, CI6/100*Iout2, min_I*EXP(CU6*rr/100))</f>
        <v>2.5000000000000001E-3</v>
      </c>
      <c r="CL6" s="217">
        <f t="shared" si="48"/>
        <v>0.70000000000000007</v>
      </c>
      <c r="CM6" s="217">
        <f>CK6*Vout2</f>
        <v>7.4999999999999997E-2</v>
      </c>
      <c r="CN6" s="541">
        <f t="shared" ref="CN6:CN69" si="112">Vin</f>
        <v>28</v>
      </c>
      <c r="CO6" s="443">
        <f t="shared" si="49"/>
        <v>28.7</v>
      </c>
      <c r="CP6" s="443">
        <f t="shared" si="50"/>
        <v>56.7</v>
      </c>
      <c r="CQ6" s="443"/>
      <c r="CR6" s="217">
        <f t="shared" ref="CR6:CR68" si="113">(Vout+Vfwd1)*Nps/((Vout+Vfwd1)*Nps+CN6)</f>
        <v>0.50354609929078009</v>
      </c>
      <c r="CS6" s="172">
        <f t="shared" ref="CS6:CS69" si="114">CR6*CN6*Isw_max*0.5*Efficiency*Pout/(Pout+Pout2)</f>
        <v>106.12369404407841</v>
      </c>
      <c r="CT6" s="172">
        <f t="shared" si="51"/>
        <v>12.588652482269502</v>
      </c>
      <c r="CU6" s="217">
        <f t="shared" si="52"/>
        <v>3.7901319301456575</v>
      </c>
      <c r="CV6" s="217">
        <f t="shared" si="53"/>
        <v>3.5374564681359471</v>
      </c>
      <c r="CW6" s="443">
        <f t="shared" si="54"/>
        <v>28</v>
      </c>
      <c r="CX6" s="217">
        <f t="shared" si="55"/>
        <v>0.10993460764587526</v>
      </c>
      <c r="CY6" s="217">
        <f t="shared" si="56"/>
        <v>1.8453309140557633E-2</v>
      </c>
      <c r="CZ6" s="217">
        <f t="shared" si="57"/>
        <v>1.8003228429812328E-2</v>
      </c>
      <c r="DA6" s="197">
        <f t="shared" si="58"/>
        <v>350</v>
      </c>
      <c r="DB6" s="443">
        <f t="shared" ref="DB6:DB69" si="115">MIN(1/(CY6+CZ6)*1000, 350)</f>
        <v>350</v>
      </c>
      <c r="DD6" s="217">
        <f t="shared" si="59"/>
        <v>8.6157079064880477</v>
      </c>
      <c r="DE6" s="173">
        <f t="shared" si="60"/>
        <v>1.4109347442680775</v>
      </c>
      <c r="DF6" s="173">
        <f t="shared" si="61"/>
        <v>2.1273352855526046</v>
      </c>
      <c r="DG6" s="173"/>
      <c r="DH6" s="173">
        <f t="shared" si="62"/>
        <v>0.54587688734030204</v>
      </c>
      <c r="DI6" s="545">
        <f t="shared" si="63"/>
        <v>27.478723404255319</v>
      </c>
      <c r="DJ6" s="528">
        <f t="shared" si="64"/>
        <v>0.31842818428184283</v>
      </c>
      <c r="DL6" s="173">
        <f t="shared" si="65"/>
        <v>0.97069523544806813</v>
      </c>
      <c r="DM6" s="173">
        <f t="shared" si="66"/>
        <v>3.3333333333333335</v>
      </c>
      <c r="DN6" s="173">
        <f t="shared" si="67"/>
        <v>1.0157021276595746</v>
      </c>
      <c r="DP6" s="545">
        <f t="shared" si="68"/>
        <v>25</v>
      </c>
      <c r="DQ6" s="460">
        <f t="shared" si="69"/>
        <v>27.478723404255319</v>
      </c>
      <c r="DS6">
        <f t="shared" ref="DS6:DS69" si="116">IF(CL6&gt;CS6, "",DP6)</f>
        <v>25</v>
      </c>
      <c r="DT6" s="460">
        <f t="shared" si="70"/>
        <v>27.478723404255319</v>
      </c>
      <c r="DU6" s="460"/>
      <c r="DV6" s="5">
        <f t="shared" ref="DV6:DV69" si="117">1/DQ6*1000</f>
        <v>36.391792489353463</v>
      </c>
      <c r="DW6" s="5">
        <f t="shared" si="71"/>
        <v>0.55952380952380953</v>
      </c>
      <c r="DX6" s="5">
        <f t="shared" ref="DX6:DX69" si="118">DV6-DW6</f>
        <v>35.832268679829653</v>
      </c>
      <c r="DY6" s="173">
        <f t="shared" ref="DY6:DY69" si="119">DW6/DV6</f>
        <v>1.5375000000000002E-2</v>
      </c>
      <c r="EA6" s="5">
        <f t="shared" si="72"/>
        <v>4.9957482993197279E-2</v>
      </c>
      <c r="EB6" s="5">
        <f t="shared" si="73"/>
        <v>4.6626984126984135E-3</v>
      </c>
      <c r="EC6" s="5">
        <f t="shared" si="74"/>
        <v>0.63986194071124369</v>
      </c>
      <c r="ED6" s="5"/>
      <c r="EE6" s="173">
        <f t="shared" ref="EE6:EE69" si="120">DM6*SQRT(DY6/3)</f>
        <v>0.23863035105460589</v>
      </c>
      <c r="EF6" s="173">
        <f t="shared" si="75"/>
        <v>1.909648988494812</v>
      </c>
      <c r="EG6" s="173">
        <f t="shared" si="76"/>
        <v>0.19253018490562449</v>
      </c>
      <c r="EH6" s="173"/>
      <c r="EI6" s="528">
        <f t="shared" si="77"/>
        <v>6.8333333333333343E-4</v>
      </c>
      <c r="EJ6" s="528">
        <f t="shared" si="78"/>
        <v>9.8676095744680864E-2</v>
      </c>
      <c r="EK6" s="528">
        <f t="shared" si="79"/>
        <v>3.160053191489362E-3</v>
      </c>
      <c r="EL6" s="528">
        <f t="shared" si="80"/>
        <v>4.3507978494414901E-2</v>
      </c>
      <c r="EM6">
        <f t="shared" si="81"/>
        <v>1.26E-2</v>
      </c>
      <c r="EN6" s="460">
        <f t="shared" ref="EN6:EN69" si="121">(EK6+EM6)*1000</f>
        <v>15.760053191489362</v>
      </c>
      <c r="EO6">
        <f t="shared" si="82"/>
        <v>0.1588377496609534</v>
      </c>
      <c r="EP6" s="460">
        <f t="shared" ref="EP6:EP69" si="122">EO6*1000</f>
        <v>158.83774966095339</v>
      </c>
      <c r="EQ6" s="173">
        <f t="shared" si="83"/>
        <v>1.6764999999999999E-2</v>
      </c>
      <c r="ER6" s="173">
        <f t="shared" si="84"/>
        <v>1.1975E-3</v>
      </c>
      <c r="ES6" s="528"/>
      <c r="EU6" s="460">
        <f t="shared" ref="EU6:EU69" si="123">SUM(EQ6:ET6)*1000</f>
        <v>17.962499999999999</v>
      </c>
      <c r="EV6" s="528">
        <f t="shared" si="85"/>
        <v>7.9722222222222228E-4</v>
      </c>
      <c r="EW6" s="528">
        <f t="shared" ref="EW6:EW69" si="124">Rdcr_sec*EF6^2</f>
        <v>5.1054629629629623E-2</v>
      </c>
      <c r="EX6" s="528">
        <f t="shared" si="86"/>
        <v>1.8533936049896976E-4</v>
      </c>
      <c r="EY6" s="528">
        <f t="shared" si="87"/>
        <v>4.0147476167802301E-3</v>
      </c>
      <c r="EZ6" s="528">
        <f t="shared" si="88"/>
        <v>6.882739145045963E-2</v>
      </c>
      <c r="FA6" s="625">
        <f t="shared" si="89"/>
        <v>3.0531914893617024E-2</v>
      </c>
      <c r="FB6" s="460">
        <f t="shared" ref="FB6:FB69" si="125">(EZ6+FA6)*1000</f>
        <v>99.359306344076657</v>
      </c>
      <c r="FC6" s="173">
        <f t="shared" ref="FC6:FC69" si="126">SUM(EO6,EQ6:ET6,EZ6:FA6)</f>
        <v>0.27615955600503006</v>
      </c>
      <c r="FD6" s="5">
        <f t="shared" ref="FD6:FD69" si="127">MIN(CL6+CM6,CS6+CT6)</f>
        <v>0.77500000000000002</v>
      </c>
      <c r="FE6" s="173">
        <f t="shared" ref="FE6:FE69" si="128">FD6/(FD6+FC6)</f>
        <v>0.73728102986136135</v>
      </c>
      <c r="FF6" s="5">
        <f t="shared" ref="FF6:FF69" si="129">FE6*100</f>
        <v>73.728102986136136</v>
      </c>
      <c r="FG6">
        <f t="shared" ref="FG6:FG69" si="130">CJ6/Iout*100</f>
        <v>1</v>
      </c>
      <c r="FI6" s="562">
        <f t="shared" si="90"/>
        <v>-50</v>
      </c>
      <c r="FJ6">
        <f t="shared" si="91"/>
        <v>-50</v>
      </c>
      <c r="FL6">
        <f t="shared" si="92"/>
        <v>1.5079017228035133E-2</v>
      </c>
    </row>
    <row r="7" spans="2:169">
      <c r="E7" s="170">
        <v>2</v>
      </c>
      <c r="F7" s="217">
        <f>IF(PLOT_TYPE=1, E7/100*Iout, min_I*EXP(O7*rr/100))</f>
        <v>0.05</v>
      </c>
      <c r="G7" s="217">
        <f t="shared" si="93"/>
        <v>5.0000000000000001E-3</v>
      </c>
      <c r="H7" s="217">
        <f t="shared" si="0"/>
        <v>1.4000000000000001</v>
      </c>
      <c r="I7" s="217">
        <f>G7*Vout2</f>
        <v>0.15</v>
      </c>
      <c r="J7" s="541">
        <f t="shared" si="1"/>
        <v>27.942767356471048</v>
      </c>
      <c r="K7" s="443">
        <f t="shared" si="2"/>
        <v>28.723211061749385</v>
      </c>
      <c r="L7" s="172">
        <f t="shared" si="3"/>
        <v>56.665978418220433</v>
      </c>
      <c r="M7" s="443"/>
      <c r="N7" s="217">
        <f t="shared" si="4"/>
        <v>0.50688635162635254</v>
      </c>
      <c r="O7" s="172">
        <f t="shared" si="94"/>
        <v>106.60930300823532</v>
      </c>
      <c r="P7" s="172">
        <f t="shared" si="5"/>
        <v>12.64625660684424</v>
      </c>
      <c r="Q7" s="217">
        <f t="shared" si="6"/>
        <v>3.8074751074369755</v>
      </c>
      <c r="R7" s="217">
        <f t="shared" si="7"/>
        <v>3.553643433607844</v>
      </c>
      <c r="S7" s="443">
        <f t="shared" si="8"/>
        <v>28</v>
      </c>
      <c r="T7" s="217">
        <f t="shared" si="9"/>
        <v>0.218867703614298</v>
      </c>
      <c r="U7" s="217">
        <f t="shared" si="10"/>
        <v>3.6813755554851189E-2</v>
      </c>
      <c r="V7" s="217">
        <f t="shared" si="11"/>
        <v>3.5813482161717224E-2</v>
      </c>
      <c r="W7" s="197">
        <f t="shared" si="12"/>
        <v>350</v>
      </c>
      <c r="X7" s="443">
        <f t="shared" si="95"/>
        <v>350</v>
      </c>
      <c r="Z7" s="217">
        <f t="shared" si="13"/>
        <v>8.6102172642343753</v>
      </c>
      <c r="AA7" s="173">
        <f t="shared" si="14"/>
        <v>1.4088961382104213</v>
      </c>
      <c r="AB7" s="173">
        <f t="shared" si="15"/>
        <v>2.1229078242281894</v>
      </c>
      <c r="AC7" s="173"/>
      <c r="AD7" s="173">
        <f t="shared" si="16"/>
        <v>0.54543576736550603</v>
      </c>
      <c r="AE7" s="545">
        <f t="shared" si="17"/>
        <v>55.001893522498833</v>
      </c>
      <c r="AF7" s="528">
        <f t="shared" si="18"/>
        <v>0.31817086429654512</v>
      </c>
      <c r="AH7" s="173">
        <f t="shared" si="19"/>
        <v>1.3727703669016027</v>
      </c>
      <c r="AI7" s="173">
        <f t="shared" si="20"/>
        <v>3.3333333333333335</v>
      </c>
      <c r="AJ7" s="173">
        <f t="shared" si="21"/>
        <v>1.031429653441428</v>
      </c>
      <c r="AL7" s="545">
        <f t="shared" si="22"/>
        <v>50</v>
      </c>
      <c r="AM7" s="460">
        <f t="shared" si="23"/>
        <v>55.001893522498833</v>
      </c>
      <c r="AO7">
        <f t="shared" si="96"/>
        <v>50</v>
      </c>
      <c r="AP7" s="460">
        <f t="shared" si="24"/>
        <v>55.001893522498833</v>
      </c>
      <c r="AQ7" s="460"/>
      <c r="AR7" s="5">
        <f t="shared" si="97"/>
        <v>18.181192245516861</v>
      </c>
      <c r="AS7" s="5">
        <f t="shared" si="25"/>
        <v>0.56066983154546235</v>
      </c>
      <c r="AT7" s="5">
        <f t="shared" si="98"/>
        <v>17.620522413971401</v>
      </c>
      <c r="AU7" s="173">
        <f t="shared" si="99"/>
        <v>3.0837902375940883E-2</v>
      </c>
      <c r="AW7" s="5">
        <f t="shared" si="26"/>
        <v>0.10011961277597542</v>
      </c>
      <c r="AX7" s="5">
        <f t="shared" si="27"/>
        <v>9.3444971924243735E-3</v>
      </c>
      <c r="AY7" s="5">
        <f t="shared" si="28"/>
        <v>0.63059331916496086</v>
      </c>
      <c r="AZ7" s="5"/>
      <c r="BA7" s="173">
        <f t="shared" si="100"/>
        <v>0.33795628895498525</v>
      </c>
      <c r="BB7" s="173">
        <f t="shared" si="29"/>
        <v>1.8945947457067114</v>
      </c>
      <c r="BC7" s="173">
        <f t="shared" si="30"/>
        <v>0.19101242108354549</v>
      </c>
      <c r="BD7" s="173"/>
      <c r="BE7" s="528">
        <f t="shared" si="31"/>
        <v>1.3705734389307057E-3</v>
      </c>
      <c r="BF7" s="528">
        <f t="shared" si="32"/>
        <v>0.18960144677118665</v>
      </c>
      <c r="BG7" s="528">
        <f t="shared" si="33"/>
        <v>6.3252177550873669E-3</v>
      </c>
      <c r="BH7" s="528">
        <f t="shared" si="34"/>
        <v>8.6981853850170723E-2</v>
      </c>
      <c r="BI7">
        <f t="shared" si="35"/>
        <v>1.2574245310411972E-2</v>
      </c>
      <c r="BJ7" s="460">
        <f t="shared" si="101"/>
        <v>18.89946306549934</v>
      </c>
      <c r="BK7">
        <f t="shared" si="36"/>
        <v>0.27841459411389363</v>
      </c>
      <c r="BL7" s="460">
        <f t="shared" si="102"/>
        <v>278.41459411389366</v>
      </c>
      <c r="BM7" s="173">
        <f t="shared" si="37"/>
        <v>3.3529999999999997E-2</v>
      </c>
      <c r="BN7" s="173">
        <f t="shared" si="38"/>
        <v>2.395E-3</v>
      </c>
      <c r="BO7" s="528"/>
      <c r="BQ7" s="460">
        <f t="shared" si="103"/>
        <v>35.924999999999997</v>
      </c>
      <c r="BR7" s="528">
        <f t="shared" si="39"/>
        <v>1.5990023454191568E-3</v>
      </c>
      <c r="BS7" s="528">
        <f t="shared" si="104"/>
        <v>5.0252849506432697E-2</v>
      </c>
      <c r="BT7" s="528">
        <f t="shared" si="40"/>
        <v>1.8242872504098848E-4</v>
      </c>
      <c r="BU7" s="528">
        <f t="shared" si="41"/>
        <v>2.2756788331431202E-2</v>
      </c>
      <c r="BV7" s="528">
        <f t="shared" si="42"/>
        <v>8.7644136212747414E-2</v>
      </c>
      <c r="BW7" s="625">
        <f t="shared" si="43"/>
        <v>6.111321502499871E-2</v>
      </c>
      <c r="BX7" s="460">
        <f t="shared" si="105"/>
        <v>148.75735123774615</v>
      </c>
      <c r="BY7" s="173">
        <f t="shared" si="106"/>
        <v>0.46309694535163975</v>
      </c>
      <c r="BZ7" s="5">
        <f t="shared" si="107"/>
        <v>1.55</v>
      </c>
      <c r="CA7" s="173">
        <f t="shared" si="108"/>
        <v>0.76995795139376777</v>
      </c>
      <c r="CB7" s="5">
        <f t="shared" si="109"/>
        <v>76.995795139376781</v>
      </c>
      <c r="CC7">
        <f t="shared" si="110"/>
        <v>2</v>
      </c>
      <c r="CE7" s="562">
        <f t="shared" si="44"/>
        <v>-50</v>
      </c>
      <c r="CF7">
        <f t="shared" si="45"/>
        <v>-50</v>
      </c>
      <c r="CG7" s="173">
        <f t="shared" si="46"/>
        <v>3.0158034456070265E-2</v>
      </c>
      <c r="CH7" s="173">
        <f t="shared" si="47"/>
        <v>9.7798056884140522E-3</v>
      </c>
      <c r="CI7" s="170">
        <v>2</v>
      </c>
      <c r="CJ7" s="217">
        <f>IF(PLOT_TYPE=1, CI7/100*Iout, min_I*EXP(CS7*rr/100))</f>
        <v>0.05</v>
      </c>
      <c r="CK7" s="217">
        <f t="shared" si="111"/>
        <v>5.0000000000000001E-3</v>
      </c>
      <c r="CL7" s="217">
        <f t="shared" si="48"/>
        <v>1.4000000000000001</v>
      </c>
      <c r="CM7" s="217">
        <f>CK7*Vout2</f>
        <v>0.15</v>
      </c>
      <c r="CN7" s="541">
        <f t="shared" si="112"/>
        <v>28</v>
      </c>
      <c r="CO7" s="443">
        <f t="shared" si="49"/>
        <v>28.7</v>
      </c>
      <c r="CP7" s="443">
        <f t="shared" si="50"/>
        <v>56.7</v>
      </c>
      <c r="CQ7" s="443"/>
      <c r="CR7" s="217">
        <f t="shared" si="113"/>
        <v>0.50354609929078009</v>
      </c>
      <c r="CS7" s="172">
        <f t="shared" si="114"/>
        <v>106.12369404407841</v>
      </c>
      <c r="CT7" s="172">
        <f t="shared" si="51"/>
        <v>12.588652482269502</v>
      </c>
      <c r="CU7" s="217">
        <f t="shared" si="52"/>
        <v>3.7901319301456575</v>
      </c>
      <c r="CV7" s="217">
        <f t="shared" si="53"/>
        <v>3.5374564681359471</v>
      </c>
      <c r="CW7" s="443">
        <f t="shared" si="54"/>
        <v>28</v>
      </c>
      <c r="CX7" s="217">
        <f t="shared" si="55"/>
        <v>0.21986921529175052</v>
      </c>
      <c r="CY7" s="217">
        <f t="shared" si="56"/>
        <v>3.6906618281115265E-2</v>
      </c>
      <c r="CZ7" s="217">
        <f t="shared" si="57"/>
        <v>3.6006456859624655E-2</v>
      </c>
      <c r="DA7" s="197">
        <f t="shared" si="58"/>
        <v>350</v>
      </c>
      <c r="DB7" s="443">
        <f t="shared" si="115"/>
        <v>350</v>
      </c>
      <c r="DD7" s="217">
        <f t="shared" si="59"/>
        <v>8.6157079064880477</v>
      </c>
      <c r="DE7" s="173">
        <f t="shared" si="60"/>
        <v>1.4109347442680775</v>
      </c>
      <c r="DF7" s="173">
        <f t="shared" si="61"/>
        <v>2.1273352855526046</v>
      </c>
      <c r="DG7" s="173"/>
      <c r="DH7" s="173">
        <f t="shared" si="62"/>
        <v>0.54587688734030204</v>
      </c>
      <c r="DI7" s="545">
        <f t="shared" si="63"/>
        <v>54.957446808510639</v>
      </c>
      <c r="DJ7" s="528">
        <f t="shared" si="64"/>
        <v>0.31842818428184283</v>
      </c>
      <c r="DL7" s="173">
        <f t="shared" si="65"/>
        <v>1.3727703669016027</v>
      </c>
      <c r="DM7" s="173">
        <f t="shared" si="66"/>
        <v>3.3333333333333335</v>
      </c>
      <c r="DN7" s="173">
        <f t="shared" si="67"/>
        <v>1.0314042553191489</v>
      </c>
      <c r="DP7" s="545">
        <f t="shared" si="68"/>
        <v>50</v>
      </c>
      <c r="DQ7" s="460">
        <f t="shared" si="69"/>
        <v>54.957446808510639</v>
      </c>
      <c r="DS7">
        <f t="shared" si="116"/>
        <v>50</v>
      </c>
      <c r="DT7" s="460">
        <f t="shared" si="70"/>
        <v>54.957446808510639</v>
      </c>
      <c r="DU7" s="460"/>
      <c r="DV7" s="5">
        <f t="shared" si="117"/>
        <v>18.195896244676732</v>
      </c>
      <c r="DW7" s="5">
        <f t="shared" si="71"/>
        <v>0.55952380952380953</v>
      </c>
      <c r="DX7" s="5">
        <f t="shared" si="118"/>
        <v>17.636372435152921</v>
      </c>
      <c r="DY7" s="173">
        <f t="shared" si="119"/>
        <v>3.0750000000000003E-2</v>
      </c>
      <c r="EA7" s="5">
        <f t="shared" si="72"/>
        <v>9.9914965986394558E-2</v>
      </c>
      <c r="EB7" s="5">
        <f t="shared" si="73"/>
        <v>9.325396825396827E-3</v>
      </c>
      <c r="EC7" s="5">
        <f t="shared" si="74"/>
        <v>0.62987044411260429</v>
      </c>
      <c r="ED7" s="5"/>
      <c r="EE7" s="173">
        <f t="shared" si="120"/>
        <v>0.33747427885527648</v>
      </c>
      <c r="EF7" s="173">
        <f t="shared" si="75"/>
        <v>1.8946806630181288</v>
      </c>
      <c r="EG7" s="173">
        <f t="shared" si="76"/>
        <v>0.19102108323871297</v>
      </c>
      <c r="EH7" s="173"/>
      <c r="EI7" s="528">
        <f t="shared" si="77"/>
        <v>1.3666666666666671E-3</v>
      </c>
      <c r="EJ7" s="528">
        <f t="shared" si="78"/>
        <v>0.19735219148936173</v>
      </c>
      <c r="EK7" s="528">
        <f t="shared" si="79"/>
        <v>6.3201063829787241E-3</v>
      </c>
      <c r="EL7" s="528">
        <f t="shared" si="80"/>
        <v>8.7015956988829801E-2</v>
      </c>
      <c r="EM7">
        <f t="shared" si="81"/>
        <v>1.26E-2</v>
      </c>
      <c r="EN7" s="460">
        <f t="shared" si="121"/>
        <v>18.920106382978723</v>
      </c>
      <c r="EO7">
        <f t="shared" si="82"/>
        <v>0.30512300106874396</v>
      </c>
      <c r="EP7" s="460">
        <f t="shared" si="122"/>
        <v>305.12300106874397</v>
      </c>
      <c r="EQ7" s="173">
        <f t="shared" si="83"/>
        <v>3.3529999999999997E-2</v>
      </c>
      <c r="ER7" s="173">
        <f t="shared" si="84"/>
        <v>2.395E-3</v>
      </c>
      <c r="ES7" s="528"/>
      <c r="EU7" s="460">
        <f t="shared" si="123"/>
        <v>35.924999999999997</v>
      </c>
      <c r="EV7" s="528">
        <f t="shared" si="85"/>
        <v>1.5944444444444448E-3</v>
      </c>
      <c r="EW7" s="528">
        <f t="shared" si="124"/>
        <v>5.0257407407407424E-2</v>
      </c>
      <c r="EX7" s="528">
        <f t="shared" si="86"/>
        <v>1.8244527120845656E-4</v>
      </c>
      <c r="EY7" s="528">
        <f t="shared" si="87"/>
        <v>2.2710842116622672E-2</v>
      </c>
      <c r="EZ7" s="528">
        <f t="shared" si="88"/>
        <v>8.7598018655626941E-2</v>
      </c>
      <c r="FA7" s="625">
        <f t="shared" si="89"/>
        <v>6.1063829787234049E-2</v>
      </c>
      <c r="FB7" s="460">
        <f t="shared" si="125"/>
        <v>148.66184844286099</v>
      </c>
      <c r="FC7" s="173">
        <f t="shared" si="126"/>
        <v>0.48970984951160496</v>
      </c>
      <c r="FD7" s="5">
        <f t="shared" si="127"/>
        <v>1.55</v>
      </c>
      <c r="FE7" s="173">
        <f t="shared" si="128"/>
        <v>0.75991200433293848</v>
      </c>
      <c r="FF7" s="5">
        <f t="shared" si="129"/>
        <v>75.991200433293855</v>
      </c>
      <c r="FG7">
        <f t="shared" si="130"/>
        <v>2</v>
      </c>
      <c r="FI7" s="562">
        <f t="shared" si="90"/>
        <v>-50</v>
      </c>
      <c r="FJ7">
        <f t="shared" si="91"/>
        <v>-50</v>
      </c>
      <c r="FL7">
        <f t="shared" si="92"/>
        <v>3.0158034456070265E-2</v>
      </c>
    </row>
    <row r="8" spans="2:169">
      <c r="E8" s="170">
        <v>3</v>
      </c>
      <c r="F8" s="217">
        <f t="shared" ref="F8:F39" si="131">IF(PLOT_TYPE=1, E8/100*Iout_max, min_I*EXP(O8*rr/100))</f>
        <v>7.4999999999999997E-2</v>
      </c>
      <c r="G8" s="217">
        <f t="shared" si="93"/>
        <v>7.4999999999999997E-3</v>
      </c>
      <c r="H8" s="217">
        <f t="shared" si="0"/>
        <v>2.1</v>
      </c>
      <c r="I8" s="217">
        <f t="shared" ref="I8:I39" si="132">Vout2*G8</f>
        <v>0.22499999999999998</v>
      </c>
      <c r="J8" s="541">
        <f t="shared" si="1"/>
        <v>27.942767356471048</v>
      </c>
      <c r="K8" s="443">
        <f t="shared" si="2"/>
        <v>28.723211061749385</v>
      </c>
      <c r="L8" s="172">
        <f t="shared" si="3"/>
        <v>56.665978418220433</v>
      </c>
      <c r="M8" s="443"/>
      <c r="N8" s="217">
        <f t="shared" si="4"/>
        <v>0.50688635162635254</v>
      </c>
      <c r="O8" s="172">
        <f t="shared" si="94"/>
        <v>106.60930300823532</v>
      </c>
      <c r="P8" s="172">
        <f t="shared" si="5"/>
        <v>12.64625660684424</v>
      </c>
      <c r="Q8" s="217">
        <f t="shared" si="6"/>
        <v>3.8074751074369755</v>
      </c>
      <c r="R8" s="217">
        <f t="shared" si="7"/>
        <v>3.553643433607844</v>
      </c>
      <c r="S8" s="443">
        <f t="shared" si="8"/>
        <v>28</v>
      </c>
      <c r="T8" s="217">
        <f t="shared" si="9"/>
        <v>0.32830155542144701</v>
      </c>
      <c r="U8" s="217">
        <f t="shared" si="10"/>
        <v>5.5220633332276788E-2</v>
      </c>
      <c r="V8" s="217">
        <f t="shared" si="11"/>
        <v>5.3720223242575846E-2</v>
      </c>
      <c r="W8" s="197">
        <f t="shared" si="12"/>
        <v>350</v>
      </c>
      <c r="X8" s="443">
        <f t="shared" si="95"/>
        <v>350</v>
      </c>
      <c r="Z8" s="217">
        <f t="shared" si="13"/>
        <v>8.6102172642343753</v>
      </c>
      <c r="AA8" s="173">
        <f t="shared" si="14"/>
        <v>1.4088961382104213</v>
      </c>
      <c r="AB8" s="173">
        <f t="shared" si="15"/>
        <v>2.1229078242281894</v>
      </c>
      <c r="AC8" s="173"/>
      <c r="AD8" s="173">
        <f t="shared" si="16"/>
        <v>0.54543576736550603</v>
      </c>
      <c r="AE8" s="545">
        <f t="shared" si="17"/>
        <v>82.502840283748242</v>
      </c>
      <c r="AF8" s="528">
        <f t="shared" si="18"/>
        <v>0.31817086429654512</v>
      </c>
      <c r="AH8" s="173">
        <f t="shared" si="19"/>
        <v>1.6812934664610881</v>
      </c>
      <c r="AI8" s="173">
        <f t="shared" si="20"/>
        <v>3.3333333333333335</v>
      </c>
      <c r="AJ8" s="173">
        <f t="shared" si="21"/>
        <v>1.0471444801621419</v>
      </c>
      <c r="AL8" s="545">
        <f t="shared" si="22"/>
        <v>75</v>
      </c>
      <c r="AM8" s="460">
        <f t="shared" si="23"/>
        <v>82.502840283748242</v>
      </c>
      <c r="AO8">
        <f t="shared" si="96"/>
        <v>75</v>
      </c>
      <c r="AP8" s="460">
        <f t="shared" si="24"/>
        <v>82.502840283748242</v>
      </c>
      <c r="AQ8" s="460"/>
      <c r="AR8" s="5">
        <f t="shared" si="97"/>
        <v>12.120794830344577</v>
      </c>
      <c r="AS8" s="5">
        <f t="shared" si="25"/>
        <v>0.56066983154546235</v>
      </c>
      <c r="AT8" s="5">
        <f t="shared" si="98"/>
        <v>11.560124998799115</v>
      </c>
      <c r="AU8" s="173">
        <f t="shared" si="99"/>
        <v>4.6256853563911314E-2</v>
      </c>
      <c r="AW8" s="5">
        <f t="shared" si="26"/>
        <v>0.15017941916396313</v>
      </c>
      <c r="AX8" s="5">
        <f t="shared" si="27"/>
        <v>1.4016745788636558E-2</v>
      </c>
      <c r="AY8" s="5">
        <f t="shared" si="28"/>
        <v>0.6205608512924542</v>
      </c>
      <c r="AZ8" s="5"/>
      <c r="BA8" s="173">
        <f t="shared" si="100"/>
        <v>0.41391023165215207</v>
      </c>
      <c r="BB8" s="173">
        <f t="shared" si="29"/>
        <v>1.8794632275831751</v>
      </c>
      <c r="BC8" s="173">
        <f t="shared" si="30"/>
        <v>0.18948686638748405</v>
      </c>
      <c r="BD8" s="173"/>
      <c r="BE8" s="528">
        <f t="shared" si="31"/>
        <v>2.0558601583960585E-3</v>
      </c>
      <c r="BF8" s="528">
        <f t="shared" si="32"/>
        <v>0.28440217015677993</v>
      </c>
      <c r="BG8" s="528">
        <f t="shared" si="33"/>
        <v>9.4878266326310478E-3</v>
      </c>
      <c r="BH8" s="528">
        <f t="shared" si="34"/>
        <v>0.13047278077525606</v>
      </c>
      <c r="BI8">
        <f t="shared" si="35"/>
        <v>1.2574245310411972E-2</v>
      </c>
      <c r="BJ8" s="460">
        <f t="shared" si="101"/>
        <v>22.062071943043023</v>
      </c>
      <c r="BK8">
        <f t="shared" si="36"/>
        <v>0.41768992332148719</v>
      </c>
      <c r="BL8" s="460">
        <f t="shared" si="102"/>
        <v>417.68992332148719</v>
      </c>
      <c r="BM8" s="173">
        <f t="shared" si="37"/>
        <v>5.0294999999999999E-2</v>
      </c>
      <c r="BN8" s="173">
        <f t="shared" si="38"/>
        <v>3.5924999999999998E-3</v>
      </c>
      <c r="BO8" s="528"/>
      <c r="BQ8" s="460">
        <f t="shared" si="103"/>
        <v>53.887499999999996</v>
      </c>
      <c r="BR8" s="528">
        <f t="shared" si="39"/>
        <v>2.398503518128735E-3</v>
      </c>
      <c r="BS8" s="528">
        <f t="shared" si="104"/>
        <v>4.945334833372312E-2</v>
      </c>
      <c r="BT8" s="528">
        <f t="shared" si="40"/>
        <v>1.7952636266674118E-4</v>
      </c>
      <c r="BU8" s="528">
        <f t="shared" si="41"/>
        <v>6.2710334546094731E-2</v>
      </c>
      <c r="BV8" s="528">
        <f t="shared" si="42"/>
        <v>0.12776105021407963</v>
      </c>
      <c r="BW8" s="625">
        <f t="shared" si="43"/>
        <v>9.1669822537498058E-2</v>
      </c>
      <c r="BX8" s="460">
        <f t="shared" si="105"/>
        <v>219.43087275157768</v>
      </c>
      <c r="BY8" s="173">
        <f t="shared" si="106"/>
        <v>0.6910082960730648</v>
      </c>
      <c r="BZ8" s="5">
        <f t="shared" si="107"/>
        <v>2.3250000000000002</v>
      </c>
      <c r="CA8" s="173">
        <f t="shared" si="108"/>
        <v>0.77088647369678032</v>
      </c>
      <c r="CB8" s="5">
        <f t="shared" si="109"/>
        <v>77.088647369678029</v>
      </c>
      <c r="CC8">
        <f t="shared" si="110"/>
        <v>3</v>
      </c>
      <c r="CE8" s="562">
        <f t="shared" si="44"/>
        <v>-50</v>
      </c>
      <c r="CF8">
        <f t="shared" si="45"/>
        <v>-50</v>
      </c>
      <c r="CG8" s="173">
        <f t="shared" si="46"/>
        <v>4.5237051684105391E-2</v>
      </c>
      <c r="CH8" s="173">
        <f t="shared" si="47"/>
        <v>1.4669708532621078E-2</v>
      </c>
      <c r="CI8" s="170">
        <v>3</v>
      </c>
      <c r="CJ8" s="217">
        <f t="shared" ref="CJ8:CJ71" si="133">IF(PLOT_TYPE=1, CI8/100*Iout_max, min_I*EXP(CS8*rr/100))</f>
        <v>7.4999999999999997E-2</v>
      </c>
      <c r="CK8" s="217">
        <f t="shared" si="111"/>
        <v>7.4999999999999997E-3</v>
      </c>
      <c r="CL8" s="217">
        <f t="shared" si="48"/>
        <v>2.1</v>
      </c>
      <c r="CM8" s="217">
        <f t="shared" ref="CM8:CM71" si="134">Vout2*CK8</f>
        <v>0.22499999999999998</v>
      </c>
      <c r="CN8" s="541">
        <f t="shared" si="112"/>
        <v>28</v>
      </c>
      <c r="CO8" s="443">
        <f t="shared" si="49"/>
        <v>28.7</v>
      </c>
      <c r="CP8" s="443">
        <f t="shared" si="50"/>
        <v>56.7</v>
      </c>
      <c r="CQ8" s="443"/>
      <c r="CR8" s="217">
        <f t="shared" si="113"/>
        <v>0.50354609929078009</v>
      </c>
      <c r="CS8" s="172">
        <f t="shared" si="114"/>
        <v>106.12369404407841</v>
      </c>
      <c r="CT8" s="172">
        <f t="shared" si="51"/>
        <v>12.588652482269502</v>
      </c>
      <c r="CU8" s="217">
        <f t="shared" si="52"/>
        <v>3.7901319301456575</v>
      </c>
      <c r="CV8" s="217">
        <f t="shared" si="53"/>
        <v>3.5374564681359471</v>
      </c>
      <c r="CW8" s="443">
        <f t="shared" si="54"/>
        <v>28</v>
      </c>
      <c r="CX8" s="217">
        <f t="shared" si="55"/>
        <v>0.32980382293762583</v>
      </c>
      <c r="CY8" s="217">
        <f t="shared" si="56"/>
        <v>5.5359927421672908E-2</v>
      </c>
      <c r="CZ8" s="217">
        <f t="shared" si="57"/>
        <v>5.400968528943699E-2</v>
      </c>
      <c r="DA8" s="197">
        <f t="shared" si="58"/>
        <v>350</v>
      </c>
      <c r="DB8" s="443">
        <f t="shared" si="115"/>
        <v>350</v>
      </c>
      <c r="DD8" s="217">
        <f t="shared" si="59"/>
        <v>8.6157079064880477</v>
      </c>
      <c r="DE8" s="173">
        <f t="shared" si="60"/>
        <v>1.4109347442680775</v>
      </c>
      <c r="DF8" s="173">
        <f t="shared" si="61"/>
        <v>2.1273352855526046</v>
      </c>
      <c r="DG8" s="173"/>
      <c r="DH8" s="173">
        <f t="shared" si="62"/>
        <v>0.54587688734030204</v>
      </c>
      <c r="DI8" s="545">
        <f t="shared" si="63"/>
        <v>82.436170212765958</v>
      </c>
      <c r="DJ8" s="528">
        <f t="shared" si="64"/>
        <v>0.31842818428184283</v>
      </c>
      <c r="DL8" s="173">
        <f t="shared" si="65"/>
        <v>1.6812934664610881</v>
      </c>
      <c r="DM8" s="173">
        <f t="shared" si="66"/>
        <v>3.3333333333333335</v>
      </c>
      <c r="DN8" s="173">
        <f t="shared" si="67"/>
        <v>1.0471063829787235</v>
      </c>
      <c r="DP8" s="545">
        <f t="shared" si="68"/>
        <v>75</v>
      </c>
      <c r="DQ8" s="460">
        <f t="shared" si="69"/>
        <v>82.436170212765958</v>
      </c>
      <c r="DS8">
        <f t="shared" si="116"/>
        <v>75</v>
      </c>
      <c r="DT8" s="460">
        <f t="shared" si="70"/>
        <v>82.436170212765958</v>
      </c>
      <c r="DU8" s="460"/>
      <c r="DV8" s="5">
        <f t="shared" si="117"/>
        <v>12.130597496451154</v>
      </c>
      <c r="DW8" s="5">
        <f t="shared" si="71"/>
        <v>0.55952380952380953</v>
      </c>
      <c r="DX8" s="5">
        <f t="shared" si="118"/>
        <v>11.571073686927344</v>
      </c>
      <c r="DY8" s="173">
        <f t="shared" si="119"/>
        <v>4.6125000000000006E-2</v>
      </c>
      <c r="EA8" s="5">
        <f t="shared" si="72"/>
        <v>0.14987244897959182</v>
      </c>
      <c r="EB8" s="5">
        <f t="shared" si="73"/>
        <v>1.3988095238095237E-2</v>
      </c>
      <c r="EC8" s="5">
        <f t="shared" si="74"/>
        <v>0.61987894751396477</v>
      </c>
      <c r="ED8" s="5"/>
      <c r="EE8" s="173">
        <f t="shared" si="120"/>
        <v>0.41331989225457488</v>
      </c>
      <c r="EF8" s="173">
        <f t="shared" si="75"/>
        <v>1.8795931395837693</v>
      </c>
      <c r="EG8" s="173">
        <f t="shared" si="76"/>
        <v>0.18949996407278985</v>
      </c>
      <c r="EH8" s="173"/>
      <c r="EI8" s="528">
        <f t="shared" si="77"/>
        <v>2.0500000000000006E-3</v>
      </c>
      <c r="EJ8" s="528">
        <f t="shared" si="78"/>
        <v>0.29602828723404262</v>
      </c>
      <c r="EK8" s="528">
        <f t="shared" si="79"/>
        <v>9.4801595744680861E-3</v>
      </c>
      <c r="EL8" s="528">
        <f t="shared" si="80"/>
        <v>0.1305239354832447</v>
      </c>
      <c r="EM8">
        <f t="shared" si="81"/>
        <v>1.26E-2</v>
      </c>
      <c r="EN8" s="460">
        <f t="shared" si="121"/>
        <v>22.080159574468087</v>
      </c>
      <c r="EO8">
        <f t="shared" si="82"/>
        <v>0.4514557773717976</v>
      </c>
      <c r="EP8" s="460">
        <f t="shared" si="122"/>
        <v>451.45577737179758</v>
      </c>
      <c r="EQ8" s="173">
        <f t="shared" si="83"/>
        <v>5.0294999999999999E-2</v>
      </c>
      <c r="ER8" s="173">
        <f t="shared" si="84"/>
        <v>3.5924999999999998E-3</v>
      </c>
      <c r="ES8" s="528"/>
      <c r="EU8" s="460">
        <f t="shared" si="123"/>
        <v>53.887499999999996</v>
      </c>
      <c r="EV8" s="528">
        <f t="shared" si="85"/>
        <v>2.3916666666666674E-3</v>
      </c>
      <c r="EW8" s="528">
        <f t="shared" si="124"/>
        <v>4.946018518518519E-2</v>
      </c>
      <c r="EX8" s="528">
        <f t="shared" si="86"/>
        <v>1.7955118191794324E-4</v>
      </c>
      <c r="EY8" s="528">
        <f t="shared" si="87"/>
        <v>6.2583721666464864E-2</v>
      </c>
      <c r="EZ8" s="528">
        <f t="shared" si="88"/>
        <v>0.12763393926310634</v>
      </c>
      <c r="FA8" s="625">
        <f t="shared" si="89"/>
        <v>9.1595744680851077E-2</v>
      </c>
      <c r="FB8" s="460">
        <f t="shared" si="125"/>
        <v>219.22968394395741</v>
      </c>
      <c r="FC8" s="173">
        <f t="shared" si="126"/>
        <v>0.72457296131575499</v>
      </c>
      <c r="FD8" s="5">
        <f t="shared" si="127"/>
        <v>2.3250000000000002</v>
      </c>
      <c r="FE8" s="173">
        <f t="shared" si="128"/>
        <v>0.7624018278929342</v>
      </c>
      <c r="FF8" s="5">
        <f t="shared" si="129"/>
        <v>76.240182789293414</v>
      </c>
      <c r="FG8">
        <f t="shared" si="130"/>
        <v>3</v>
      </c>
      <c r="FI8" s="562">
        <f t="shared" si="90"/>
        <v>-50</v>
      </c>
      <c r="FJ8">
        <f t="shared" si="91"/>
        <v>-50</v>
      </c>
      <c r="FL8">
        <f t="shared" si="92"/>
        <v>4.5237051684105391E-2</v>
      </c>
    </row>
    <row r="9" spans="2:169">
      <c r="E9" s="170">
        <v>4</v>
      </c>
      <c r="F9" s="217">
        <f t="shared" si="131"/>
        <v>0.1</v>
      </c>
      <c r="G9" s="217">
        <f t="shared" si="93"/>
        <v>0.01</v>
      </c>
      <c r="H9" s="217">
        <f t="shared" si="0"/>
        <v>2.8000000000000003</v>
      </c>
      <c r="I9" s="217">
        <f t="shared" si="132"/>
        <v>0.3</v>
      </c>
      <c r="J9" s="541">
        <f t="shared" si="1"/>
        <v>27.942767356471048</v>
      </c>
      <c r="K9" s="443">
        <f t="shared" si="2"/>
        <v>28.723211061749385</v>
      </c>
      <c r="L9" s="172">
        <f t="shared" si="3"/>
        <v>56.665978418220433</v>
      </c>
      <c r="M9" s="443"/>
      <c r="N9" s="217">
        <f t="shared" si="4"/>
        <v>0.50688635162635254</v>
      </c>
      <c r="O9" s="172">
        <f t="shared" si="94"/>
        <v>106.60930300823532</v>
      </c>
      <c r="P9" s="172">
        <f t="shared" si="5"/>
        <v>12.64625660684424</v>
      </c>
      <c r="Q9" s="217">
        <f t="shared" si="6"/>
        <v>3.8074751074369755</v>
      </c>
      <c r="R9" s="217">
        <f t="shared" si="7"/>
        <v>3.553643433607844</v>
      </c>
      <c r="S9" s="443">
        <f t="shared" si="8"/>
        <v>28</v>
      </c>
      <c r="T9" s="217">
        <f t="shared" si="9"/>
        <v>0.437735407228596</v>
      </c>
      <c r="U9" s="217">
        <f t="shared" si="10"/>
        <v>7.3627511109702379E-2</v>
      </c>
      <c r="V9" s="217">
        <f t="shared" si="11"/>
        <v>7.1626964323434447E-2</v>
      </c>
      <c r="W9" s="197">
        <f t="shared" si="12"/>
        <v>350</v>
      </c>
      <c r="X9" s="443">
        <f t="shared" si="95"/>
        <v>350</v>
      </c>
      <c r="Z9" s="217">
        <f t="shared" si="13"/>
        <v>8.6102172642343753</v>
      </c>
      <c r="AA9" s="173">
        <f t="shared" si="14"/>
        <v>1.4088961382104213</v>
      </c>
      <c r="AB9" s="173">
        <f t="shared" si="15"/>
        <v>2.1229078242281894</v>
      </c>
      <c r="AC9" s="173"/>
      <c r="AD9" s="173">
        <f t="shared" si="16"/>
        <v>0.54543576736550603</v>
      </c>
      <c r="AE9" s="545">
        <f t="shared" si="17"/>
        <v>110.00378704499767</v>
      </c>
      <c r="AF9" s="528">
        <f t="shared" si="18"/>
        <v>0.31817086429654512</v>
      </c>
      <c r="AH9" s="173">
        <f t="shared" si="19"/>
        <v>1.9413904708961363</v>
      </c>
      <c r="AI9" s="173">
        <f t="shared" si="20"/>
        <v>3.3333333333333335</v>
      </c>
      <c r="AJ9" s="173">
        <f t="shared" si="21"/>
        <v>1.0628593068828558</v>
      </c>
      <c r="AL9" s="545">
        <f t="shared" si="22"/>
        <v>100</v>
      </c>
      <c r="AM9" s="460">
        <f t="shared" si="23"/>
        <v>110.00378704499767</v>
      </c>
      <c r="AO9">
        <f t="shared" si="96"/>
        <v>100</v>
      </c>
      <c r="AP9" s="460">
        <f t="shared" si="24"/>
        <v>110.00378704499767</v>
      </c>
      <c r="AQ9" s="460"/>
      <c r="AR9" s="5">
        <f t="shared" si="97"/>
        <v>9.0905961227584307</v>
      </c>
      <c r="AS9" s="5">
        <f t="shared" si="25"/>
        <v>0.56066983154546235</v>
      </c>
      <c r="AT9" s="5">
        <f t="shared" si="98"/>
        <v>8.5299262912129681</v>
      </c>
      <c r="AU9" s="173">
        <f t="shared" si="99"/>
        <v>6.1675804751881766E-2</v>
      </c>
      <c r="AW9" s="5">
        <f t="shared" si="26"/>
        <v>0.20023922555195084</v>
      </c>
      <c r="AX9" s="5">
        <f t="shared" si="27"/>
        <v>1.8688994384848747E-2</v>
      </c>
      <c r="AY9" s="5">
        <f t="shared" si="28"/>
        <v>0.61052838341994697</v>
      </c>
      <c r="AZ9" s="5"/>
      <c r="BA9" s="173">
        <f t="shared" si="100"/>
        <v>0.4779423673294208</v>
      </c>
      <c r="BB9" s="173">
        <f t="shared" si="29"/>
        <v>1.8642088931273912</v>
      </c>
      <c r="BC9" s="173">
        <f t="shared" si="30"/>
        <v>0.18794892938907304</v>
      </c>
      <c r="BD9" s="173"/>
      <c r="BE9" s="528">
        <f t="shared" si="31"/>
        <v>2.7411468778614123E-3</v>
      </c>
      <c r="BF9" s="528">
        <f t="shared" si="32"/>
        <v>0.3792028935423733</v>
      </c>
      <c r="BG9" s="528">
        <f t="shared" si="33"/>
        <v>1.2650435510174734E-2</v>
      </c>
      <c r="BH9" s="528">
        <f t="shared" si="34"/>
        <v>0.17396370770034145</v>
      </c>
      <c r="BI9">
        <f t="shared" si="35"/>
        <v>1.2574245310411972E-2</v>
      </c>
      <c r="BJ9" s="460">
        <f t="shared" si="101"/>
        <v>25.224680820586705</v>
      </c>
      <c r="BK9">
        <f t="shared" si="36"/>
        <v>0.55701063685483121</v>
      </c>
      <c r="BL9" s="460">
        <f t="shared" si="102"/>
        <v>557.0106368548312</v>
      </c>
      <c r="BM9" s="173">
        <f t="shared" si="37"/>
        <v>6.7059999999999995E-2</v>
      </c>
      <c r="BN9" s="173">
        <f t="shared" si="38"/>
        <v>4.79E-3</v>
      </c>
      <c r="BO9" s="528"/>
      <c r="BQ9" s="460">
        <f t="shared" si="103"/>
        <v>71.849999999999994</v>
      </c>
      <c r="BR9" s="528">
        <f t="shared" si="39"/>
        <v>3.1980046908383145E-3</v>
      </c>
      <c r="BS9" s="528">
        <f t="shared" si="104"/>
        <v>4.8653847161013543E-2</v>
      </c>
      <c r="BT9" s="528">
        <f t="shared" si="40"/>
        <v>1.7662400029249382E-4</v>
      </c>
      <c r="BU9" s="528">
        <f t="shared" si="41"/>
        <v>0.12873183477745534</v>
      </c>
      <c r="BV9" s="528">
        <f t="shared" si="42"/>
        <v>0.19405485510152565</v>
      </c>
      <c r="BW9" s="625">
        <f t="shared" si="43"/>
        <v>0.12222643004999742</v>
      </c>
      <c r="BX9" s="460">
        <f t="shared" si="105"/>
        <v>316.28128515152309</v>
      </c>
      <c r="BY9" s="173">
        <f t="shared" si="106"/>
        <v>0.94514192200635427</v>
      </c>
      <c r="BZ9" s="5">
        <f t="shared" si="107"/>
        <v>3.1</v>
      </c>
      <c r="CA9" s="173">
        <f t="shared" si="108"/>
        <v>0.76635135670652266</v>
      </c>
      <c r="CB9" s="5">
        <f t="shared" si="109"/>
        <v>76.635135670652261</v>
      </c>
      <c r="CC9">
        <f t="shared" si="110"/>
        <v>4</v>
      </c>
      <c r="CE9" s="562">
        <f t="shared" si="44"/>
        <v>-50</v>
      </c>
      <c r="CF9">
        <f t="shared" si="45"/>
        <v>-50</v>
      </c>
      <c r="CG9" s="173">
        <f t="shared" si="46"/>
        <v>6.031606891214053E-2</v>
      </c>
      <c r="CH9" s="173">
        <f t="shared" si="47"/>
        <v>1.9559611376828104E-2</v>
      </c>
      <c r="CI9" s="170">
        <v>4</v>
      </c>
      <c r="CJ9" s="217">
        <f t="shared" si="133"/>
        <v>0.1</v>
      </c>
      <c r="CK9" s="217">
        <f t="shared" si="111"/>
        <v>0.01</v>
      </c>
      <c r="CL9" s="217">
        <f t="shared" si="48"/>
        <v>2.8000000000000003</v>
      </c>
      <c r="CM9" s="217">
        <f t="shared" si="134"/>
        <v>0.3</v>
      </c>
      <c r="CN9" s="541">
        <f t="shared" si="112"/>
        <v>28</v>
      </c>
      <c r="CO9" s="443">
        <f t="shared" si="49"/>
        <v>28.7</v>
      </c>
      <c r="CP9" s="443">
        <f t="shared" si="50"/>
        <v>56.7</v>
      </c>
      <c r="CQ9" s="443"/>
      <c r="CR9" s="217">
        <f t="shared" si="113"/>
        <v>0.50354609929078009</v>
      </c>
      <c r="CS9" s="172">
        <f t="shared" si="114"/>
        <v>106.12369404407841</v>
      </c>
      <c r="CT9" s="172">
        <f t="shared" si="51"/>
        <v>12.588652482269502</v>
      </c>
      <c r="CU9" s="217">
        <f t="shared" si="52"/>
        <v>3.7901319301456575</v>
      </c>
      <c r="CV9" s="217">
        <f t="shared" si="53"/>
        <v>3.5374564681359471</v>
      </c>
      <c r="CW9" s="443">
        <f t="shared" si="54"/>
        <v>28</v>
      </c>
      <c r="CX9" s="217">
        <f t="shared" si="55"/>
        <v>0.43973843058350104</v>
      </c>
      <c r="CY9" s="217">
        <f t="shared" si="56"/>
        <v>7.381323656223053E-2</v>
      </c>
      <c r="CZ9" s="217">
        <f t="shared" si="57"/>
        <v>7.2012913719249311E-2</v>
      </c>
      <c r="DA9" s="197">
        <f t="shared" si="58"/>
        <v>350</v>
      </c>
      <c r="DB9" s="443">
        <f t="shared" si="115"/>
        <v>350</v>
      </c>
      <c r="DD9" s="217">
        <f t="shared" si="59"/>
        <v>8.6157079064880477</v>
      </c>
      <c r="DE9" s="173">
        <f t="shared" si="60"/>
        <v>1.4109347442680775</v>
      </c>
      <c r="DF9" s="173">
        <f t="shared" si="61"/>
        <v>2.1273352855526046</v>
      </c>
      <c r="DG9" s="173"/>
      <c r="DH9" s="173">
        <f t="shared" si="62"/>
        <v>0.54587688734030204</v>
      </c>
      <c r="DI9" s="545">
        <f t="shared" si="63"/>
        <v>109.91489361702128</v>
      </c>
      <c r="DJ9" s="528">
        <f t="shared" si="64"/>
        <v>0.31842818428184283</v>
      </c>
      <c r="DL9" s="173">
        <f t="shared" si="65"/>
        <v>1.9413904708961363</v>
      </c>
      <c r="DM9" s="173">
        <f t="shared" si="66"/>
        <v>3.3333333333333335</v>
      </c>
      <c r="DN9" s="173">
        <f t="shared" si="67"/>
        <v>1.0628085106382978</v>
      </c>
      <c r="DP9" s="545">
        <f t="shared" si="68"/>
        <v>100</v>
      </c>
      <c r="DQ9" s="460">
        <f t="shared" si="69"/>
        <v>109.91489361702128</v>
      </c>
      <c r="DS9">
        <f t="shared" si="116"/>
        <v>100</v>
      </c>
      <c r="DT9" s="460">
        <f t="shared" si="70"/>
        <v>109.91489361702128</v>
      </c>
      <c r="DU9" s="460"/>
      <c r="DV9" s="5">
        <f t="shared" si="117"/>
        <v>9.0979481223383658</v>
      </c>
      <c r="DW9" s="5">
        <f t="shared" si="71"/>
        <v>0.55952380952380953</v>
      </c>
      <c r="DX9" s="5">
        <f t="shared" si="118"/>
        <v>8.5384243128145556</v>
      </c>
      <c r="DY9" s="173">
        <f t="shared" si="119"/>
        <v>6.1500000000000006E-2</v>
      </c>
      <c r="EA9" s="5">
        <f t="shared" si="72"/>
        <v>0.19982993197278912</v>
      </c>
      <c r="EB9" s="5">
        <f t="shared" si="73"/>
        <v>1.8650793650793654E-2</v>
      </c>
      <c r="EC9" s="5">
        <f t="shared" si="74"/>
        <v>0.60988745091532537</v>
      </c>
      <c r="ED9" s="5"/>
      <c r="EE9" s="173">
        <f t="shared" si="120"/>
        <v>0.47726070210921179</v>
      </c>
      <c r="EF9" s="173">
        <f t="shared" si="75"/>
        <v>1.8643835243656082</v>
      </c>
      <c r="EG9" s="173">
        <f t="shared" si="76"/>
        <v>0.18796653565325394</v>
      </c>
      <c r="EH9" s="173"/>
      <c r="EI9" s="528">
        <f t="shared" si="77"/>
        <v>2.7333333333333337E-3</v>
      </c>
      <c r="EJ9" s="528">
        <f t="shared" si="78"/>
        <v>0.39470438297872346</v>
      </c>
      <c r="EK9" s="528">
        <f t="shared" si="79"/>
        <v>1.2640212765957448E-2</v>
      </c>
      <c r="EL9" s="528">
        <f t="shared" si="80"/>
        <v>0.1740319139776596</v>
      </c>
      <c r="EM9">
        <f t="shared" si="81"/>
        <v>1.26E-2</v>
      </c>
      <c r="EN9" s="460">
        <f t="shared" si="121"/>
        <v>25.240212765957448</v>
      </c>
      <c r="EO9">
        <f t="shared" si="82"/>
        <v>0.59783610173358359</v>
      </c>
      <c r="EP9" s="460">
        <f t="shared" si="122"/>
        <v>597.83610173358363</v>
      </c>
      <c r="EQ9" s="173">
        <f t="shared" si="83"/>
        <v>6.7059999999999995E-2</v>
      </c>
      <c r="ER9" s="173">
        <f t="shared" si="84"/>
        <v>4.79E-3</v>
      </c>
      <c r="ES9" s="528"/>
      <c r="EU9" s="460">
        <f t="shared" si="123"/>
        <v>71.849999999999994</v>
      </c>
      <c r="EV9" s="528">
        <f t="shared" si="85"/>
        <v>3.1888888888888891E-3</v>
      </c>
      <c r="EW9" s="528">
        <f t="shared" si="124"/>
        <v>4.866296296296297E-2</v>
      </c>
      <c r="EX9" s="528">
        <f t="shared" si="86"/>
        <v>1.7665709262742994E-4</v>
      </c>
      <c r="EY9" s="528">
        <f t="shared" si="87"/>
        <v>0.12847192373696739</v>
      </c>
      <c r="EZ9" s="528">
        <f t="shared" si="88"/>
        <v>0.19379389943854763</v>
      </c>
      <c r="FA9" s="625">
        <f t="shared" si="89"/>
        <v>0.1221276595744681</v>
      </c>
      <c r="FB9" s="460">
        <f t="shared" si="125"/>
        <v>315.92155901301572</v>
      </c>
      <c r="FC9" s="173">
        <f t="shared" si="126"/>
        <v>0.98560766074659933</v>
      </c>
      <c r="FD9" s="5">
        <f t="shared" si="127"/>
        <v>3.1</v>
      </c>
      <c r="FE9" s="173">
        <f t="shared" si="128"/>
        <v>0.75876106014386846</v>
      </c>
      <c r="FF9" s="5">
        <f t="shared" si="129"/>
        <v>75.876106014386849</v>
      </c>
      <c r="FG9">
        <f t="shared" si="130"/>
        <v>4</v>
      </c>
      <c r="FI9" s="562">
        <f t="shared" si="90"/>
        <v>-50</v>
      </c>
      <c r="FJ9">
        <f t="shared" si="91"/>
        <v>-50</v>
      </c>
      <c r="FL9">
        <f t="shared" si="92"/>
        <v>6.031606891214053E-2</v>
      </c>
    </row>
    <row r="10" spans="2:169">
      <c r="E10" s="170">
        <v>5</v>
      </c>
      <c r="F10" s="217">
        <f t="shared" si="131"/>
        <v>0.125</v>
      </c>
      <c r="G10" s="217">
        <f t="shared" si="93"/>
        <v>1.2500000000000001E-2</v>
      </c>
      <c r="H10" s="217">
        <f t="shared" si="0"/>
        <v>3.5</v>
      </c>
      <c r="I10" s="217">
        <f t="shared" si="132"/>
        <v>0.375</v>
      </c>
      <c r="J10" s="541">
        <f t="shared" si="1"/>
        <v>27.942767356471048</v>
      </c>
      <c r="K10" s="443">
        <f t="shared" si="2"/>
        <v>28.723211061749385</v>
      </c>
      <c r="L10" s="172">
        <f t="shared" si="3"/>
        <v>56.665978418220433</v>
      </c>
      <c r="M10" s="443"/>
      <c r="N10" s="217">
        <f t="shared" si="4"/>
        <v>0.50688635162635254</v>
      </c>
      <c r="O10" s="172">
        <f t="shared" si="94"/>
        <v>106.60930300823532</v>
      </c>
      <c r="P10" s="172">
        <f t="shared" si="5"/>
        <v>12.64625660684424</v>
      </c>
      <c r="Q10" s="217">
        <f t="shared" si="6"/>
        <v>3.8074751074369755</v>
      </c>
      <c r="R10" s="217">
        <f t="shared" si="7"/>
        <v>3.553643433607844</v>
      </c>
      <c r="S10" s="443">
        <f t="shared" si="8"/>
        <v>28</v>
      </c>
      <c r="T10" s="217">
        <f t="shared" si="9"/>
        <v>0.54716925903574498</v>
      </c>
      <c r="U10" s="217">
        <f t="shared" si="10"/>
        <v>9.2034388887127977E-2</v>
      </c>
      <c r="V10" s="217">
        <f t="shared" si="11"/>
        <v>8.9533705404293076E-2</v>
      </c>
      <c r="W10" s="197">
        <f t="shared" si="12"/>
        <v>350</v>
      </c>
      <c r="X10" s="443">
        <f t="shared" si="95"/>
        <v>350</v>
      </c>
      <c r="Z10" s="217">
        <f t="shared" si="13"/>
        <v>8.6102172642343753</v>
      </c>
      <c r="AA10" s="173">
        <f t="shared" si="14"/>
        <v>1.4088961382104213</v>
      </c>
      <c r="AB10" s="173">
        <f t="shared" si="15"/>
        <v>2.1229078242281894</v>
      </c>
      <c r="AC10" s="173"/>
      <c r="AD10" s="173">
        <f t="shared" si="16"/>
        <v>0.54543576736550603</v>
      </c>
      <c r="AE10" s="545">
        <f t="shared" si="17"/>
        <v>137.50473380624706</v>
      </c>
      <c r="AF10" s="528">
        <f t="shared" si="18"/>
        <v>0.31817086429654512</v>
      </c>
      <c r="AH10" s="173">
        <f t="shared" si="19"/>
        <v>2.1705405318970441</v>
      </c>
      <c r="AI10" s="173">
        <f t="shared" si="20"/>
        <v>3.3333333333333335</v>
      </c>
      <c r="AJ10" s="173">
        <f t="shared" si="21"/>
        <v>1.0785741336035697</v>
      </c>
      <c r="AL10" s="545">
        <f t="shared" si="22"/>
        <v>125</v>
      </c>
      <c r="AM10" s="460">
        <f t="shared" si="23"/>
        <v>137.50473380624706</v>
      </c>
      <c r="AO10">
        <f t="shared" si="96"/>
        <v>125</v>
      </c>
      <c r="AP10" s="460">
        <f t="shared" si="24"/>
        <v>137.50473380624706</v>
      </c>
      <c r="AQ10" s="460"/>
      <c r="AR10" s="5">
        <f t="shared" si="97"/>
        <v>7.2724768982067465</v>
      </c>
      <c r="AS10" s="5">
        <f t="shared" si="25"/>
        <v>0.56066983154546235</v>
      </c>
      <c r="AT10" s="5">
        <f t="shared" si="98"/>
        <v>6.7118070666612839</v>
      </c>
      <c r="AU10" s="173">
        <f t="shared" si="99"/>
        <v>7.7094755939852183E-2</v>
      </c>
      <c r="AW10" s="5">
        <f t="shared" si="26"/>
        <v>0.25029903193993852</v>
      </c>
      <c r="AX10" s="5">
        <f t="shared" si="27"/>
        <v>2.3361242981060935E-2</v>
      </c>
      <c r="AY10" s="5">
        <f t="shared" si="28"/>
        <v>0.60049591554744031</v>
      </c>
      <c r="AZ10" s="5"/>
      <c r="BA10" s="173">
        <f t="shared" si="100"/>
        <v>0.53435581133787968</v>
      </c>
      <c r="BB10" s="173">
        <f t="shared" si="29"/>
        <v>1.8488287023391703</v>
      </c>
      <c r="BC10" s="173">
        <f t="shared" si="30"/>
        <v>0.18639830359649012</v>
      </c>
      <c r="BD10" s="173"/>
      <c r="BE10" s="528">
        <f t="shared" si="31"/>
        <v>3.4264335973267636E-3</v>
      </c>
      <c r="BF10" s="528">
        <f t="shared" si="32"/>
        <v>0.47400361692796644</v>
      </c>
      <c r="BG10" s="528">
        <f t="shared" si="33"/>
        <v>1.5813044387718415E-2</v>
      </c>
      <c r="BH10" s="528">
        <f t="shared" si="34"/>
        <v>0.2174546346254268</v>
      </c>
      <c r="BI10">
        <f t="shared" si="35"/>
        <v>1.2574245310411972E-2</v>
      </c>
      <c r="BJ10" s="460">
        <f t="shared" si="101"/>
        <v>28.387289698130388</v>
      </c>
      <c r="BK10">
        <f t="shared" si="36"/>
        <v>0.69637675690097756</v>
      </c>
      <c r="BL10" s="460">
        <f t="shared" si="102"/>
        <v>696.37675690097751</v>
      </c>
      <c r="BM10" s="173">
        <f t="shared" si="37"/>
        <v>8.3824999999999997E-2</v>
      </c>
      <c r="BN10" s="173">
        <f t="shared" si="38"/>
        <v>5.9874999999999998E-3</v>
      </c>
      <c r="BO10" s="528"/>
      <c r="BQ10" s="460">
        <f t="shared" si="103"/>
        <v>89.812499999999986</v>
      </c>
      <c r="BR10" s="528">
        <f t="shared" si="39"/>
        <v>3.9975058635478913E-3</v>
      </c>
      <c r="BS10" s="528">
        <f t="shared" si="104"/>
        <v>4.7854345988303966E-2</v>
      </c>
      <c r="BT10" s="528">
        <f t="shared" si="40"/>
        <v>1.7372163791824652E-4</v>
      </c>
      <c r="BU10" s="528">
        <f t="shared" si="41"/>
        <v>0.2248852604927043</v>
      </c>
      <c r="BV10" s="528">
        <f t="shared" si="42"/>
        <v>0.29060648916069387</v>
      </c>
      <c r="BW10" s="625">
        <f t="shared" si="43"/>
        <v>0.15278303756249675</v>
      </c>
      <c r="BX10" s="460">
        <f t="shared" si="105"/>
        <v>443.38952672319067</v>
      </c>
      <c r="BY10" s="173">
        <f t="shared" si="106"/>
        <v>1.2295787836241683</v>
      </c>
      <c r="BZ10" s="5">
        <f t="shared" si="107"/>
        <v>3.875</v>
      </c>
      <c r="CA10" s="173">
        <f t="shared" si="108"/>
        <v>0.75912238095555706</v>
      </c>
      <c r="CB10" s="5">
        <f t="shared" si="109"/>
        <v>75.912238095555708</v>
      </c>
      <c r="CC10">
        <f t="shared" si="110"/>
        <v>5</v>
      </c>
      <c r="CE10" s="562">
        <f t="shared" si="44"/>
        <v>-50</v>
      </c>
      <c r="CF10">
        <f t="shared" si="45"/>
        <v>-50</v>
      </c>
      <c r="CG10" s="173">
        <f t="shared" si="46"/>
        <v>7.5395086140175649E-2</v>
      </c>
      <c r="CH10" s="173">
        <f t="shared" si="47"/>
        <v>2.444951422103513E-2</v>
      </c>
      <c r="CI10" s="170">
        <v>5</v>
      </c>
      <c r="CJ10" s="217">
        <f t="shared" si="133"/>
        <v>0.125</v>
      </c>
      <c r="CK10" s="217">
        <f t="shared" si="111"/>
        <v>1.2500000000000001E-2</v>
      </c>
      <c r="CL10" s="217">
        <f t="shared" si="48"/>
        <v>3.5</v>
      </c>
      <c r="CM10" s="217">
        <f t="shared" si="134"/>
        <v>0.375</v>
      </c>
      <c r="CN10" s="541">
        <f t="shared" si="112"/>
        <v>28</v>
      </c>
      <c r="CO10" s="443">
        <f t="shared" si="49"/>
        <v>28.7</v>
      </c>
      <c r="CP10" s="443">
        <f t="shared" si="50"/>
        <v>56.7</v>
      </c>
      <c r="CQ10" s="443"/>
      <c r="CR10" s="217">
        <f t="shared" si="113"/>
        <v>0.50354609929078009</v>
      </c>
      <c r="CS10" s="172">
        <f t="shared" si="114"/>
        <v>106.12369404407841</v>
      </c>
      <c r="CT10" s="172">
        <f t="shared" si="51"/>
        <v>12.588652482269502</v>
      </c>
      <c r="CU10" s="217">
        <f t="shared" si="52"/>
        <v>3.7901319301456575</v>
      </c>
      <c r="CV10" s="217">
        <f t="shared" si="53"/>
        <v>3.5374564681359471</v>
      </c>
      <c r="CW10" s="443">
        <f t="shared" si="54"/>
        <v>28</v>
      </c>
      <c r="CX10" s="217">
        <f t="shared" si="55"/>
        <v>0.5496730382293763</v>
      </c>
      <c r="CY10" s="217">
        <f t="shared" si="56"/>
        <v>9.2266545702788166E-2</v>
      </c>
      <c r="CZ10" s="217">
        <f t="shared" si="57"/>
        <v>9.0016142149061631E-2</v>
      </c>
      <c r="DA10" s="197">
        <f t="shared" si="58"/>
        <v>350</v>
      </c>
      <c r="DB10" s="443">
        <f t="shared" si="115"/>
        <v>350</v>
      </c>
      <c r="DD10" s="217">
        <f t="shared" si="59"/>
        <v>8.6157079064880477</v>
      </c>
      <c r="DE10" s="173">
        <f t="shared" si="60"/>
        <v>1.4109347442680775</v>
      </c>
      <c r="DF10" s="173">
        <f t="shared" si="61"/>
        <v>2.1273352855526046</v>
      </c>
      <c r="DG10" s="173"/>
      <c r="DH10" s="173">
        <f t="shared" si="62"/>
        <v>0.54587688734030204</v>
      </c>
      <c r="DI10" s="545">
        <f t="shared" si="63"/>
        <v>137.39361702127658</v>
      </c>
      <c r="DJ10" s="528">
        <f t="shared" si="64"/>
        <v>0.31842818428184283</v>
      </c>
      <c r="DL10" s="173">
        <f t="shared" si="65"/>
        <v>2.1705405318970441</v>
      </c>
      <c r="DM10" s="173">
        <f t="shared" si="66"/>
        <v>3.3333333333333335</v>
      </c>
      <c r="DN10" s="173">
        <f t="shared" si="67"/>
        <v>1.0785106382978724</v>
      </c>
      <c r="DP10" s="545">
        <f t="shared" si="68"/>
        <v>125</v>
      </c>
      <c r="DQ10" s="460">
        <f t="shared" si="69"/>
        <v>137.39361702127658</v>
      </c>
      <c r="DS10">
        <f t="shared" si="116"/>
        <v>125</v>
      </c>
      <c r="DT10" s="460">
        <f t="shared" si="70"/>
        <v>137.39361702127658</v>
      </c>
      <c r="DU10" s="460"/>
      <c r="DV10" s="5">
        <f t="shared" si="117"/>
        <v>7.2783584978706939</v>
      </c>
      <c r="DW10" s="5">
        <f t="shared" si="71"/>
        <v>0.55952380952380953</v>
      </c>
      <c r="DX10" s="5">
        <f t="shared" si="118"/>
        <v>6.7188346883468846</v>
      </c>
      <c r="DY10" s="173">
        <f t="shared" si="119"/>
        <v>7.6874999999999999E-2</v>
      </c>
      <c r="EA10" s="5">
        <f t="shared" si="72"/>
        <v>0.24978741496598639</v>
      </c>
      <c r="EB10" s="5">
        <f t="shared" si="73"/>
        <v>2.3313492063492067E-2</v>
      </c>
      <c r="EC10" s="5">
        <f t="shared" si="74"/>
        <v>0.59989595431668608</v>
      </c>
      <c r="ED10" s="5"/>
      <c r="EE10" s="173">
        <f t="shared" si="120"/>
        <v>0.53359368645273741</v>
      </c>
      <c r="EF10" s="173">
        <f t="shared" si="75"/>
        <v>1.8490488045158464</v>
      </c>
      <c r="EG10" s="173">
        <f t="shared" si="76"/>
        <v>0.18642049422577797</v>
      </c>
      <c r="EH10" s="173"/>
      <c r="EI10" s="528">
        <f t="shared" si="77"/>
        <v>3.4166666666666672E-3</v>
      </c>
      <c r="EJ10" s="528">
        <f t="shared" si="78"/>
        <v>0.49338047872340429</v>
      </c>
      <c r="EK10" s="528">
        <f t="shared" si="79"/>
        <v>1.5800265957446807E-2</v>
      </c>
      <c r="EL10" s="528">
        <f t="shared" si="80"/>
        <v>0.21753989247207448</v>
      </c>
      <c r="EM10">
        <f t="shared" si="81"/>
        <v>1.26E-2</v>
      </c>
      <c r="EN10" s="460">
        <f t="shared" si="121"/>
        <v>28.400265957446805</v>
      </c>
      <c r="EO10">
        <f t="shared" si="82"/>
        <v>0.74426399733262683</v>
      </c>
      <c r="EP10" s="460">
        <f t="shared" si="122"/>
        <v>744.26399733262679</v>
      </c>
      <c r="EQ10" s="173">
        <f t="shared" si="83"/>
        <v>8.3824999999999997E-2</v>
      </c>
      <c r="ER10" s="173">
        <f t="shared" si="84"/>
        <v>5.9874999999999998E-3</v>
      </c>
      <c r="ES10" s="528"/>
      <c r="EU10" s="460">
        <f t="shared" si="123"/>
        <v>89.812499999999986</v>
      </c>
      <c r="EV10" s="528">
        <f t="shared" si="85"/>
        <v>3.9861111111111121E-3</v>
      </c>
      <c r="EW10" s="528">
        <f t="shared" si="124"/>
        <v>4.7865740740740736E-2</v>
      </c>
      <c r="EX10" s="528">
        <f t="shared" si="86"/>
        <v>1.7376300333691658E-4</v>
      </c>
      <c r="EY10" s="528">
        <f t="shared" si="87"/>
        <v>0.2244312145906471</v>
      </c>
      <c r="EZ10" s="528">
        <f t="shared" si="88"/>
        <v>0.2901505980723062</v>
      </c>
      <c r="FA10" s="625">
        <f t="shared" si="89"/>
        <v>0.15265957446808512</v>
      </c>
      <c r="FB10" s="460">
        <f t="shared" si="125"/>
        <v>442.81017254039136</v>
      </c>
      <c r="FC10" s="173">
        <f t="shared" si="126"/>
        <v>1.2768866698730184</v>
      </c>
      <c r="FD10" s="5">
        <f t="shared" si="127"/>
        <v>3.875</v>
      </c>
      <c r="FE10" s="173">
        <f t="shared" si="128"/>
        <v>0.75215163847839639</v>
      </c>
      <c r="FF10" s="5">
        <f t="shared" si="129"/>
        <v>75.215163847839634</v>
      </c>
      <c r="FG10">
        <f t="shared" si="130"/>
        <v>5</v>
      </c>
      <c r="FI10" s="562">
        <f t="shared" si="90"/>
        <v>-50</v>
      </c>
      <c r="FJ10">
        <f t="shared" si="91"/>
        <v>-50</v>
      </c>
      <c r="FL10">
        <f t="shared" si="92"/>
        <v>7.5395086140175649E-2</v>
      </c>
    </row>
    <row r="11" spans="2:169">
      <c r="E11" s="170">
        <v>6</v>
      </c>
      <c r="F11" s="217">
        <f t="shared" si="131"/>
        <v>0.15</v>
      </c>
      <c r="G11" s="217">
        <f t="shared" si="93"/>
        <v>1.4999999999999999E-2</v>
      </c>
      <c r="H11" s="217">
        <f t="shared" si="0"/>
        <v>4.2</v>
      </c>
      <c r="I11" s="217">
        <f t="shared" si="132"/>
        <v>0.44999999999999996</v>
      </c>
      <c r="J11" s="541">
        <f t="shared" si="1"/>
        <v>27.942767356471048</v>
      </c>
      <c r="K11" s="443">
        <f t="shared" si="2"/>
        <v>28.723211061749385</v>
      </c>
      <c r="L11" s="172">
        <f t="shared" si="3"/>
        <v>56.665978418220433</v>
      </c>
      <c r="M11" s="443"/>
      <c r="N11" s="217">
        <f t="shared" si="4"/>
        <v>0.50688635162635254</v>
      </c>
      <c r="O11" s="172">
        <f t="shared" si="94"/>
        <v>106.60930300823532</v>
      </c>
      <c r="P11" s="172">
        <f t="shared" si="5"/>
        <v>12.64625660684424</v>
      </c>
      <c r="Q11" s="217">
        <f t="shared" si="6"/>
        <v>3.8074751074369755</v>
      </c>
      <c r="R11" s="217">
        <f t="shared" si="7"/>
        <v>3.553643433607844</v>
      </c>
      <c r="S11" s="443">
        <f t="shared" si="8"/>
        <v>28</v>
      </c>
      <c r="T11" s="217">
        <f t="shared" si="9"/>
        <v>0.65660311084289402</v>
      </c>
      <c r="U11" s="217">
        <f t="shared" si="10"/>
        <v>0.11044126666455358</v>
      </c>
      <c r="V11" s="217">
        <f t="shared" si="11"/>
        <v>0.10744044648515169</v>
      </c>
      <c r="W11" s="197">
        <f t="shared" si="12"/>
        <v>350</v>
      </c>
      <c r="X11" s="443">
        <f t="shared" si="95"/>
        <v>350</v>
      </c>
      <c r="Z11" s="217">
        <f t="shared" si="13"/>
        <v>8.6102172642343753</v>
      </c>
      <c r="AA11" s="173">
        <f t="shared" si="14"/>
        <v>1.4088961382104213</v>
      </c>
      <c r="AB11" s="173">
        <f t="shared" si="15"/>
        <v>2.1229078242281894</v>
      </c>
      <c r="AC11" s="173"/>
      <c r="AD11" s="173">
        <f t="shared" si="16"/>
        <v>0.54543576736550603</v>
      </c>
      <c r="AE11" s="545">
        <f t="shared" si="17"/>
        <v>165.00568056749648</v>
      </c>
      <c r="AF11" s="528">
        <f t="shared" si="18"/>
        <v>0.31817086429654512</v>
      </c>
      <c r="AH11" s="173">
        <f t="shared" si="19"/>
        <v>2.377708022598545</v>
      </c>
      <c r="AI11" s="173">
        <f t="shared" si="20"/>
        <v>3.3333333333333335</v>
      </c>
      <c r="AJ11" s="173">
        <f t="shared" si="21"/>
        <v>1.0942889603242838</v>
      </c>
      <c r="AL11" s="545">
        <f t="shared" si="22"/>
        <v>150</v>
      </c>
      <c r="AM11" s="460">
        <f t="shared" si="23"/>
        <v>165.00568056749648</v>
      </c>
      <c r="AO11">
        <f t="shared" si="96"/>
        <v>150</v>
      </c>
      <c r="AP11" s="460">
        <f t="shared" si="24"/>
        <v>165.00568056749648</v>
      </c>
      <c r="AQ11" s="460"/>
      <c r="AR11" s="5">
        <f t="shared" si="97"/>
        <v>6.0603974151722886</v>
      </c>
      <c r="AS11" s="5">
        <f t="shared" si="25"/>
        <v>0.56066983154546235</v>
      </c>
      <c r="AT11" s="5">
        <f t="shared" si="98"/>
        <v>5.499727583626826</v>
      </c>
      <c r="AU11" s="173">
        <f t="shared" si="99"/>
        <v>9.2513707127822628E-2</v>
      </c>
      <c r="AW11" s="5">
        <f t="shared" si="26"/>
        <v>0.30035883832792626</v>
      </c>
      <c r="AX11" s="5">
        <f t="shared" si="27"/>
        <v>2.8033491577273115E-2</v>
      </c>
      <c r="AY11" s="5">
        <f t="shared" si="28"/>
        <v>0.59046344767493342</v>
      </c>
      <c r="AZ11" s="5"/>
      <c r="BA11" s="173">
        <f t="shared" si="100"/>
        <v>0.58535746320746307</v>
      </c>
      <c r="BB11" s="173">
        <f t="shared" si="29"/>
        <v>1.8333194876973917</v>
      </c>
      <c r="BC11" s="173">
        <f t="shared" si="30"/>
        <v>0.18483466966129442</v>
      </c>
      <c r="BD11" s="173"/>
      <c r="BE11" s="528">
        <f t="shared" si="31"/>
        <v>4.1117203167921178E-3</v>
      </c>
      <c r="BF11" s="528">
        <f t="shared" si="32"/>
        <v>0.56880434031355986</v>
      </c>
      <c r="BG11" s="528">
        <f t="shared" si="33"/>
        <v>1.8975653265262096E-2</v>
      </c>
      <c r="BH11" s="528">
        <f t="shared" si="34"/>
        <v>0.26094556155051213</v>
      </c>
      <c r="BI11">
        <f t="shared" si="35"/>
        <v>1.2574245310411972E-2</v>
      </c>
      <c r="BJ11" s="460">
        <f t="shared" si="101"/>
        <v>31.549898575674071</v>
      </c>
      <c r="BK11">
        <f t="shared" si="36"/>
        <v>0.83578830566144346</v>
      </c>
      <c r="BL11" s="460">
        <f t="shared" si="102"/>
        <v>835.78830566144347</v>
      </c>
      <c r="BM11" s="173">
        <f t="shared" si="37"/>
        <v>0.10059</v>
      </c>
      <c r="BN11" s="173">
        <f t="shared" si="38"/>
        <v>7.1849999999999995E-3</v>
      </c>
      <c r="BO11" s="528"/>
      <c r="BQ11" s="460">
        <f t="shared" si="103"/>
        <v>107.77499999999999</v>
      </c>
      <c r="BR11" s="528">
        <f t="shared" si="39"/>
        <v>4.7970070362574708E-3</v>
      </c>
      <c r="BS11" s="528">
        <f t="shared" si="104"/>
        <v>4.7054844815594375E-2</v>
      </c>
      <c r="BT11" s="528">
        <f t="shared" si="40"/>
        <v>1.7081927554399916E-4</v>
      </c>
      <c r="BU11" s="528">
        <f t="shared" si="41"/>
        <v>0.35474322246416518</v>
      </c>
      <c r="BV11" s="528">
        <f t="shared" si="42"/>
        <v>0.42100347267834703</v>
      </c>
      <c r="BW11" s="625">
        <f t="shared" si="43"/>
        <v>0.18333964507499612</v>
      </c>
      <c r="BX11" s="460">
        <f t="shared" si="105"/>
        <v>604.34311775334311</v>
      </c>
      <c r="BY11" s="173">
        <f t="shared" si="106"/>
        <v>1.5479064234147866</v>
      </c>
      <c r="BZ11" s="5">
        <f t="shared" si="107"/>
        <v>4.6500000000000004</v>
      </c>
      <c r="CA11" s="173">
        <f t="shared" si="108"/>
        <v>0.75025334077858585</v>
      </c>
      <c r="CB11" s="5">
        <f t="shared" si="109"/>
        <v>75.025334077858588</v>
      </c>
      <c r="CC11">
        <f t="shared" si="110"/>
        <v>6</v>
      </c>
      <c r="CE11" s="562">
        <f t="shared" si="44"/>
        <v>-50</v>
      </c>
      <c r="CF11">
        <f t="shared" si="45"/>
        <v>-50</v>
      </c>
      <c r="CG11" s="173">
        <f t="shared" si="46"/>
        <v>9.0474103368210781E-2</v>
      </c>
      <c r="CH11" s="173">
        <f t="shared" si="47"/>
        <v>2.9339417065242155E-2</v>
      </c>
      <c r="CI11" s="170">
        <v>6</v>
      </c>
      <c r="CJ11" s="217">
        <f t="shared" si="133"/>
        <v>0.15</v>
      </c>
      <c r="CK11" s="217">
        <f t="shared" si="111"/>
        <v>1.4999999999999999E-2</v>
      </c>
      <c r="CL11" s="217">
        <f t="shared" si="48"/>
        <v>4.2</v>
      </c>
      <c r="CM11" s="217">
        <f t="shared" si="134"/>
        <v>0.44999999999999996</v>
      </c>
      <c r="CN11" s="541">
        <f t="shared" si="112"/>
        <v>28</v>
      </c>
      <c r="CO11" s="443">
        <f t="shared" si="49"/>
        <v>28.7</v>
      </c>
      <c r="CP11" s="443">
        <f t="shared" si="50"/>
        <v>56.7</v>
      </c>
      <c r="CQ11" s="443"/>
      <c r="CR11" s="217">
        <f t="shared" si="113"/>
        <v>0.50354609929078009</v>
      </c>
      <c r="CS11" s="172">
        <f t="shared" si="114"/>
        <v>106.12369404407841</v>
      </c>
      <c r="CT11" s="172">
        <f t="shared" si="51"/>
        <v>12.588652482269502</v>
      </c>
      <c r="CU11" s="217">
        <f t="shared" si="52"/>
        <v>3.7901319301456575</v>
      </c>
      <c r="CV11" s="217">
        <f t="shared" si="53"/>
        <v>3.5374564681359471</v>
      </c>
      <c r="CW11" s="443">
        <f t="shared" si="54"/>
        <v>28</v>
      </c>
      <c r="CX11" s="217">
        <f t="shared" si="55"/>
        <v>0.65960764587525167</v>
      </c>
      <c r="CY11" s="217">
        <f t="shared" si="56"/>
        <v>0.11071985484334582</v>
      </c>
      <c r="CZ11" s="217">
        <f t="shared" si="57"/>
        <v>0.10801937057887398</v>
      </c>
      <c r="DA11" s="197">
        <f t="shared" si="58"/>
        <v>350</v>
      </c>
      <c r="DB11" s="443">
        <f t="shared" si="115"/>
        <v>350</v>
      </c>
      <c r="DD11" s="217">
        <f t="shared" si="59"/>
        <v>8.6157079064880477</v>
      </c>
      <c r="DE11" s="173">
        <f t="shared" si="60"/>
        <v>1.4109347442680775</v>
      </c>
      <c r="DF11" s="173">
        <f t="shared" si="61"/>
        <v>2.1273352855526046</v>
      </c>
      <c r="DG11" s="173"/>
      <c r="DH11" s="173">
        <f t="shared" si="62"/>
        <v>0.54587688734030204</v>
      </c>
      <c r="DI11" s="545">
        <f t="shared" si="63"/>
        <v>164.87234042553192</v>
      </c>
      <c r="DJ11" s="528">
        <f t="shared" si="64"/>
        <v>0.31842818428184283</v>
      </c>
      <c r="DL11" s="173">
        <f t="shared" si="65"/>
        <v>2.377708022598545</v>
      </c>
      <c r="DM11" s="173">
        <f t="shared" si="66"/>
        <v>3.3333333333333335</v>
      </c>
      <c r="DN11" s="173">
        <f t="shared" si="67"/>
        <v>1.0942127659574468</v>
      </c>
      <c r="DP11" s="545">
        <f t="shared" si="68"/>
        <v>150</v>
      </c>
      <c r="DQ11" s="460">
        <f t="shared" si="69"/>
        <v>164.87234042553192</v>
      </c>
      <c r="DS11">
        <f t="shared" si="116"/>
        <v>150</v>
      </c>
      <c r="DT11" s="460">
        <f t="shared" si="70"/>
        <v>164.87234042553192</v>
      </c>
      <c r="DU11" s="460"/>
      <c r="DV11" s="5">
        <f t="shared" si="117"/>
        <v>6.0652987482255769</v>
      </c>
      <c r="DW11" s="5">
        <f t="shared" si="71"/>
        <v>0.55952380952380953</v>
      </c>
      <c r="DX11" s="5">
        <f t="shared" si="118"/>
        <v>5.5057749387017676</v>
      </c>
      <c r="DY11" s="173">
        <f t="shared" si="119"/>
        <v>9.2250000000000013E-2</v>
      </c>
      <c r="EA11" s="5">
        <f t="shared" si="72"/>
        <v>0.29974489795918363</v>
      </c>
      <c r="EB11" s="5">
        <f t="shared" si="73"/>
        <v>2.7976190476190474E-2</v>
      </c>
      <c r="EC11" s="5">
        <f t="shared" si="74"/>
        <v>0.58990445771804645</v>
      </c>
      <c r="ED11" s="5"/>
      <c r="EE11" s="173">
        <f t="shared" si="120"/>
        <v>0.5845225972250061</v>
      </c>
      <c r="EF11" s="173">
        <f t="shared" si="75"/>
        <v>1.8335858411967074</v>
      </c>
      <c r="EG11" s="173">
        <f t="shared" si="76"/>
        <v>0.1848615233337664</v>
      </c>
      <c r="EH11" s="173"/>
      <c r="EI11" s="528">
        <f t="shared" si="77"/>
        <v>4.1000000000000012E-3</v>
      </c>
      <c r="EJ11" s="528">
        <f t="shared" si="78"/>
        <v>0.59205657446808524</v>
      </c>
      <c r="EK11" s="528">
        <f t="shared" si="79"/>
        <v>1.8960319148936172E-2</v>
      </c>
      <c r="EL11" s="528">
        <f t="shared" si="80"/>
        <v>0.2610478709664894</v>
      </c>
      <c r="EM11">
        <f t="shared" si="81"/>
        <v>1.26E-2</v>
      </c>
      <c r="EN11" s="460">
        <f t="shared" si="121"/>
        <v>31.560319148936173</v>
      </c>
      <c r="EO11">
        <f t="shared" si="82"/>
        <v>0.89073948736251984</v>
      </c>
      <c r="EP11" s="460">
        <f t="shared" si="122"/>
        <v>890.73948736251987</v>
      </c>
      <c r="EQ11" s="173">
        <f t="shared" si="83"/>
        <v>0.10059</v>
      </c>
      <c r="ER11" s="173">
        <f t="shared" si="84"/>
        <v>7.1849999999999995E-3</v>
      </c>
      <c r="ES11" s="528"/>
      <c r="EU11" s="460">
        <f t="shared" si="123"/>
        <v>107.77499999999999</v>
      </c>
      <c r="EV11" s="528">
        <f t="shared" si="85"/>
        <v>4.7833333333333339E-3</v>
      </c>
      <c r="EW11" s="528">
        <f t="shared" si="124"/>
        <v>4.7068518518518523E-2</v>
      </c>
      <c r="EX11" s="528">
        <f t="shared" si="86"/>
        <v>1.7086891404640331E-4</v>
      </c>
      <c r="EY11" s="528">
        <f t="shared" si="87"/>
        <v>0.3540269918579893</v>
      </c>
      <c r="EZ11" s="528">
        <f t="shared" si="88"/>
        <v>0.42028431228131102</v>
      </c>
      <c r="FA11" s="625">
        <f t="shared" si="89"/>
        <v>0.18319148936170215</v>
      </c>
      <c r="FB11" s="460">
        <f t="shared" si="125"/>
        <v>603.47580164301314</v>
      </c>
      <c r="FC11" s="173">
        <f t="shared" si="126"/>
        <v>1.6019902890055331</v>
      </c>
      <c r="FD11" s="5">
        <f t="shared" si="127"/>
        <v>4.6500000000000004</v>
      </c>
      <c r="FE11" s="173">
        <f t="shared" si="128"/>
        <v>0.74376315142032123</v>
      </c>
      <c r="FF11" s="5">
        <f t="shared" si="129"/>
        <v>74.376315142032126</v>
      </c>
      <c r="FG11">
        <f t="shared" si="130"/>
        <v>6</v>
      </c>
      <c r="FI11" s="562">
        <f t="shared" si="90"/>
        <v>-50</v>
      </c>
      <c r="FJ11">
        <f t="shared" si="91"/>
        <v>-50</v>
      </c>
      <c r="FL11">
        <f t="shared" si="92"/>
        <v>9.0474103368210781E-2</v>
      </c>
    </row>
    <row r="12" spans="2:169">
      <c r="E12" s="170">
        <v>7</v>
      </c>
      <c r="F12" s="217">
        <f t="shared" si="131"/>
        <v>0.17500000000000002</v>
      </c>
      <c r="G12" s="217">
        <f t="shared" si="93"/>
        <v>1.7500000000000002E-2</v>
      </c>
      <c r="H12" s="217">
        <f t="shared" si="0"/>
        <v>4.9000000000000004</v>
      </c>
      <c r="I12" s="217">
        <f t="shared" si="132"/>
        <v>0.52500000000000002</v>
      </c>
      <c r="J12" s="541">
        <f t="shared" si="1"/>
        <v>27.942767356471048</v>
      </c>
      <c r="K12" s="443">
        <f t="shared" si="2"/>
        <v>28.723211061749385</v>
      </c>
      <c r="L12" s="172">
        <f t="shared" si="3"/>
        <v>56.665978418220433</v>
      </c>
      <c r="M12" s="443"/>
      <c r="N12" s="217">
        <f t="shared" si="4"/>
        <v>0.50688635162635254</v>
      </c>
      <c r="O12" s="172">
        <f t="shared" si="94"/>
        <v>106.60930300823532</v>
      </c>
      <c r="P12" s="172">
        <f t="shared" si="5"/>
        <v>12.64625660684424</v>
      </c>
      <c r="Q12" s="217">
        <f t="shared" si="6"/>
        <v>3.8074751074369755</v>
      </c>
      <c r="R12" s="217">
        <f t="shared" si="7"/>
        <v>3.553643433607844</v>
      </c>
      <c r="S12" s="443">
        <f t="shared" si="8"/>
        <v>28</v>
      </c>
      <c r="T12" s="217">
        <f t="shared" si="9"/>
        <v>0.76603696265004306</v>
      </c>
      <c r="U12" s="217">
        <f t="shared" si="10"/>
        <v>0.12884814444197917</v>
      </c>
      <c r="V12" s="217">
        <f t="shared" si="11"/>
        <v>0.12534718756601029</v>
      </c>
      <c r="W12" s="197">
        <f t="shared" si="12"/>
        <v>350</v>
      </c>
      <c r="X12" s="443">
        <f t="shared" si="95"/>
        <v>350</v>
      </c>
      <c r="Z12" s="217">
        <f t="shared" si="13"/>
        <v>8.6102172642343753</v>
      </c>
      <c r="AA12" s="173">
        <f t="shared" si="14"/>
        <v>1.4088961382104213</v>
      </c>
      <c r="AB12" s="173">
        <f t="shared" si="15"/>
        <v>2.1229078242281894</v>
      </c>
      <c r="AC12" s="173"/>
      <c r="AD12" s="173">
        <f t="shared" si="16"/>
        <v>0.54543576736550603</v>
      </c>
      <c r="AE12" s="545">
        <f t="shared" si="17"/>
        <v>192.50662732874591</v>
      </c>
      <c r="AF12" s="528">
        <f t="shared" si="18"/>
        <v>0.31817086429654512</v>
      </c>
      <c r="AH12" s="173">
        <f t="shared" si="19"/>
        <v>2.5682181918308777</v>
      </c>
      <c r="AI12" s="173">
        <f t="shared" si="20"/>
        <v>3.3333333333333335</v>
      </c>
      <c r="AJ12" s="173">
        <f t="shared" si="21"/>
        <v>1.1100037870449977</v>
      </c>
      <c r="AL12" s="545">
        <f t="shared" si="22"/>
        <v>175.00000000000003</v>
      </c>
      <c r="AM12" s="460">
        <f t="shared" si="23"/>
        <v>192.50662732874591</v>
      </c>
      <c r="AO12">
        <f t="shared" si="96"/>
        <v>175.00000000000003</v>
      </c>
      <c r="AP12" s="460">
        <f t="shared" si="24"/>
        <v>192.50662732874591</v>
      </c>
      <c r="AQ12" s="460"/>
      <c r="AR12" s="5">
        <f t="shared" si="97"/>
        <v>5.1946263558619616</v>
      </c>
      <c r="AS12" s="5">
        <f t="shared" si="25"/>
        <v>0.56066983154546235</v>
      </c>
      <c r="AT12" s="5">
        <f t="shared" si="98"/>
        <v>4.6339565243164991</v>
      </c>
      <c r="AU12" s="173">
        <f t="shared" si="99"/>
        <v>0.10793265831579306</v>
      </c>
      <c r="AW12" s="5">
        <f t="shared" si="26"/>
        <v>0.350418644715914</v>
      </c>
      <c r="AX12" s="5">
        <f t="shared" si="27"/>
        <v>3.2705740173485306E-2</v>
      </c>
      <c r="AY12" s="5">
        <f t="shared" si="28"/>
        <v>0.58043097980242631</v>
      </c>
      <c r="AZ12" s="5"/>
      <c r="BA12" s="173">
        <f t="shared" si="100"/>
        <v>0.63225832248756453</v>
      </c>
      <c r="BB12" s="173">
        <f t="shared" si="29"/>
        <v>1.8176779465430379</v>
      </c>
      <c r="BC12" s="173">
        <f t="shared" si="30"/>
        <v>0.1832576946104866</v>
      </c>
      <c r="BD12" s="173"/>
      <c r="BE12" s="528">
        <f t="shared" si="31"/>
        <v>4.79700703625747E-3</v>
      </c>
      <c r="BF12" s="528">
        <f t="shared" si="32"/>
        <v>0.66360506369915317</v>
      </c>
      <c r="BG12" s="528">
        <f t="shared" si="33"/>
        <v>2.213826214280578E-2</v>
      </c>
      <c r="BH12" s="528">
        <f t="shared" si="34"/>
        <v>0.30443648847559751</v>
      </c>
      <c r="BI12">
        <f t="shared" si="35"/>
        <v>1.2574245310411972E-2</v>
      </c>
      <c r="BJ12" s="460">
        <f t="shared" si="101"/>
        <v>34.712507453217754</v>
      </c>
      <c r="BK12">
        <f t="shared" si="36"/>
        <v>0.97524530535222165</v>
      </c>
      <c r="BL12" s="460">
        <f t="shared" si="102"/>
        <v>975.24530535222164</v>
      </c>
      <c r="BM12" s="173">
        <f t="shared" si="37"/>
        <v>0.11735499999999999</v>
      </c>
      <c r="BN12" s="173">
        <f t="shared" si="38"/>
        <v>8.3825000000000011E-3</v>
      </c>
      <c r="BO12" s="528"/>
      <c r="BQ12" s="460">
        <f t="shared" si="103"/>
        <v>125.7375</v>
      </c>
      <c r="BR12" s="528">
        <f t="shared" si="39"/>
        <v>5.5965082089670486E-3</v>
      </c>
      <c r="BS12" s="528">
        <f t="shared" si="104"/>
        <v>4.6255343642884812E-2</v>
      </c>
      <c r="BT12" s="528">
        <f t="shared" si="40"/>
        <v>1.6791691316975186E-4</v>
      </c>
      <c r="BU12" s="528">
        <f t="shared" si="41"/>
        <v>0.52153214410224746</v>
      </c>
      <c r="BV12" s="528">
        <f t="shared" si="42"/>
        <v>0.58848568852596594</v>
      </c>
      <c r="BW12" s="625">
        <f t="shared" si="43"/>
        <v>0.21389625258749548</v>
      </c>
      <c r="BX12" s="460">
        <f t="shared" si="105"/>
        <v>802.38194111346138</v>
      </c>
      <c r="BY12" s="173">
        <f t="shared" si="106"/>
        <v>1.9033647464656831</v>
      </c>
      <c r="BZ12" s="5">
        <f t="shared" si="107"/>
        <v>5.4250000000000007</v>
      </c>
      <c r="CA12" s="173">
        <f t="shared" si="108"/>
        <v>0.74027428869671974</v>
      </c>
      <c r="CB12" s="5">
        <f t="shared" si="109"/>
        <v>74.027428869671979</v>
      </c>
      <c r="CC12">
        <f t="shared" si="110"/>
        <v>7.0000000000000009</v>
      </c>
      <c r="CE12" s="562">
        <f t="shared" si="44"/>
        <v>-50</v>
      </c>
      <c r="CF12">
        <f t="shared" si="45"/>
        <v>-50</v>
      </c>
      <c r="CG12" s="173">
        <f t="shared" si="46"/>
        <v>0.10555312059624594</v>
      </c>
      <c r="CH12" s="173">
        <f t="shared" si="47"/>
        <v>3.4229319909449184E-2</v>
      </c>
      <c r="CI12" s="170">
        <v>7</v>
      </c>
      <c r="CJ12" s="217">
        <f t="shared" si="133"/>
        <v>0.17500000000000002</v>
      </c>
      <c r="CK12" s="217">
        <f t="shared" si="111"/>
        <v>1.7500000000000002E-2</v>
      </c>
      <c r="CL12" s="217">
        <f t="shared" si="48"/>
        <v>4.9000000000000004</v>
      </c>
      <c r="CM12" s="217">
        <f t="shared" si="134"/>
        <v>0.52500000000000002</v>
      </c>
      <c r="CN12" s="541">
        <f t="shared" si="112"/>
        <v>28</v>
      </c>
      <c r="CO12" s="443">
        <f t="shared" si="49"/>
        <v>28.7</v>
      </c>
      <c r="CP12" s="443">
        <f t="shared" si="50"/>
        <v>56.7</v>
      </c>
      <c r="CQ12" s="443"/>
      <c r="CR12" s="217">
        <f t="shared" si="113"/>
        <v>0.50354609929078009</v>
      </c>
      <c r="CS12" s="172">
        <f t="shared" si="114"/>
        <v>106.12369404407841</v>
      </c>
      <c r="CT12" s="172">
        <f t="shared" si="51"/>
        <v>12.588652482269502</v>
      </c>
      <c r="CU12" s="217">
        <f t="shared" si="52"/>
        <v>3.7901319301456575</v>
      </c>
      <c r="CV12" s="217">
        <f t="shared" si="53"/>
        <v>3.5374564681359471</v>
      </c>
      <c r="CW12" s="443">
        <f t="shared" si="54"/>
        <v>28</v>
      </c>
      <c r="CX12" s="217">
        <f t="shared" si="55"/>
        <v>0.76954225352112693</v>
      </c>
      <c r="CY12" s="217">
        <f t="shared" si="56"/>
        <v>0.12917316398390347</v>
      </c>
      <c r="CZ12" s="217">
        <f t="shared" si="57"/>
        <v>0.12602259900868629</v>
      </c>
      <c r="DA12" s="197">
        <f t="shared" si="58"/>
        <v>350</v>
      </c>
      <c r="DB12" s="443">
        <f t="shared" si="115"/>
        <v>350</v>
      </c>
      <c r="DD12" s="217">
        <f t="shared" si="59"/>
        <v>8.6157079064880477</v>
      </c>
      <c r="DE12" s="173">
        <f t="shared" si="60"/>
        <v>1.4109347442680775</v>
      </c>
      <c r="DF12" s="173">
        <f t="shared" si="61"/>
        <v>2.1273352855526046</v>
      </c>
      <c r="DG12" s="173"/>
      <c r="DH12" s="173">
        <f t="shared" si="62"/>
        <v>0.54587688734030204</v>
      </c>
      <c r="DI12" s="545">
        <f t="shared" si="63"/>
        <v>192.35106382978725</v>
      </c>
      <c r="DJ12" s="528">
        <f t="shared" si="64"/>
        <v>0.31842818428184283</v>
      </c>
      <c r="DL12" s="173">
        <f t="shared" si="65"/>
        <v>2.5682181918308777</v>
      </c>
      <c r="DM12" s="173">
        <f t="shared" si="66"/>
        <v>3.3333333333333335</v>
      </c>
      <c r="DN12" s="173">
        <f t="shared" si="67"/>
        <v>1.1099148936170213</v>
      </c>
      <c r="DP12" s="545">
        <f t="shared" si="68"/>
        <v>175.00000000000003</v>
      </c>
      <c r="DQ12" s="460">
        <f t="shared" si="69"/>
        <v>192.35106382978725</v>
      </c>
      <c r="DS12">
        <f t="shared" si="116"/>
        <v>175.00000000000003</v>
      </c>
      <c r="DT12" s="460">
        <f t="shared" si="70"/>
        <v>192.35106382978725</v>
      </c>
      <c r="DU12" s="460"/>
      <c r="DV12" s="5">
        <f t="shared" si="117"/>
        <v>5.1988274984790657</v>
      </c>
      <c r="DW12" s="5">
        <f t="shared" si="71"/>
        <v>0.55952380952380953</v>
      </c>
      <c r="DX12" s="5">
        <f t="shared" si="118"/>
        <v>4.6393036889552564</v>
      </c>
      <c r="DY12" s="173">
        <f t="shared" si="119"/>
        <v>0.10762500000000001</v>
      </c>
      <c r="EA12" s="5">
        <f t="shared" si="72"/>
        <v>0.34970238095238099</v>
      </c>
      <c r="EB12" s="5">
        <f t="shared" si="73"/>
        <v>3.2638888888888891E-2</v>
      </c>
      <c r="EC12" s="5">
        <f t="shared" si="74"/>
        <v>0.57991296111940704</v>
      </c>
      <c r="ED12" s="5"/>
      <c r="EE12" s="173">
        <f t="shared" si="120"/>
        <v>0.63135656416252717</v>
      </c>
      <c r="EF12" s="173">
        <f t="shared" si="75"/>
        <v>1.8179913620786523</v>
      </c>
      <c r="EG12" s="173">
        <f t="shared" si="76"/>
        <v>0.18328929306202807</v>
      </c>
      <c r="EH12" s="173"/>
      <c r="EI12" s="528">
        <f t="shared" si="77"/>
        <v>4.7833333333333356E-3</v>
      </c>
      <c r="EJ12" s="528">
        <f t="shared" si="78"/>
        <v>0.69073267021276619</v>
      </c>
      <c r="EK12" s="528">
        <f t="shared" si="79"/>
        <v>2.2120372340425534E-2</v>
      </c>
      <c r="EL12" s="528">
        <f t="shared" si="80"/>
        <v>0.3045558494609043</v>
      </c>
      <c r="EM12">
        <f t="shared" si="81"/>
        <v>1.26E-2</v>
      </c>
      <c r="EN12" s="460">
        <f t="shared" si="121"/>
        <v>34.720372340425534</v>
      </c>
      <c r="EO12">
        <f t="shared" si="82"/>
        <v>1.037262595031935</v>
      </c>
      <c r="EP12" s="460">
        <f t="shared" si="122"/>
        <v>1037.262595031935</v>
      </c>
      <c r="EQ12" s="173">
        <f t="shared" si="83"/>
        <v>0.11735499999999999</v>
      </c>
      <c r="ER12" s="173">
        <f t="shared" si="84"/>
        <v>8.3825000000000011E-3</v>
      </c>
      <c r="ES12" s="528"/>
      <c r="EU12" s="460">
        <f t="shared" si="123"/>
        <v>125.7375</v>
      </c>
      <c r="EV12" s="528">
        <f t="shared" si="85"/>
        <v>5.5805555555555582E-3</v>
      </c>
      <c r="EW12" s="528">
        <f t="shared" si="124"/>
        <v>4.627129629629631E-2</v>
      </c>
      <c r="EX12" s="528">
        <f t="shared" si="86"/>
        <v>1.6797482475589006E-4</v>
      </c>
      <c r="EY12" s="528">
        <f t="shared" si="87"/>
        <v>0.52047916476379752</v>
      </c>
      <c r="EZ12" s="528">
        <f t="shared" si="88"/>
        <v>0.58742838365902006</v>
      </c>
      <c r="FA12" s="625">
        <f t="shared" si="89"/>
        <v>0.21372340425531919</v>
      </c>
      <c r="FB12" s="460">
        <f t="shared" si="125"/>
        <v>801.15178791433925</v>
      </c>
      <c r="FC12" s="173">
        <f t="shared" si="126"/>
        <v>1.9641518829462739</v>
      </c>
      <c r="FD12" s="5">
        <f t="shared" si="127"/>
        <v>5.4250000000000007</v>
      </c>
      <c r="FE12" s="173">
        <f t="shared" si="128"/>
        <v>0.734184394357975</v>
      </c>
      <c r="FF12" s="5">
        <f t="shared" si="129"/>
        <v>73.418439435797495</v>
      </c>
      <c r="FG12">
        <f t="shared" si="130"/>
        <v>7.0000000000000009</v>
      </c>
      <c r="FI12" s="562">
        <f t="shared" si="90"/>
        <v>-50</v>
      </c>
      <c r="FJ12">
        <f t="shared" si="91"/>
        <v>-50</v>
      </c>
      <c r="FL12">
        <f t="shared" si="92"/>
        <v>0.10555312059624591</v>
      </c>
    </row>
    <row r="13" spans="2:169" s="76" customFormat="1">
      <c r="E13" s="189">
        <v>8</v>
      </c>
      <c r="F13" s="217">
        <f t="shared" si="131"/>
        <v>0.2</v>
      </c>
      <c r="G13" s="217">
        <f t="shared" si="93"/>
        <v>0.02</v>
      </c>
      <c r="H13" s="217">
        <f t="shared" si="0"/>
        <v>5.6000000000000005</v>
      </c>
      <c r="I13" s="217">
        <f t="shared" si="132"/>
        <v>0.6</v>
      </c>
      <c r="J13" s="541">
        <f t="shared" si="1"/>
        <v>27.942767356471048</v>
      </c>
      <c r="K13" s="443">
        <f t="shared" si="2"/>
        <v>28.723211061749385</v>
      </c>
      <c r="L13" s="172">
        <f t="shared" si="3"/>
        <v>56.665978418220433</v>
      </c>
      <c r="M13" s="443"/>
      <c r="N13" s="217">
        <f t="shared" si="4"/>
        <v>0.50688635162635254</v>
      </c>
      <c r="O13" s="172">
        <f t="shared" si="94"/>
        <v>106.60930300823532</v>
      </c>
      <c r="P13" s="172">
        <f t="shared" si="5"/>
        <v>12.64625660684424</v>
      </c>
      <c r="Q13" s="329">
        <f t="shared" si="6"/>
        <v>3.8074751074369755</v>
      </c>
      <c r="R13" s="217">
        <f t="shared" si="7"/>
        <v>3.553643433607844</v>
      </c>
      <c r="S13" s="443">
        <f t="shared" si="8"/>
        <v>28</v>
      </c>
      <c r="T13" s="217">
        <f t="shared" si="9"/>
        <v>0.87547081445719199</v>
      </c>
      <c r="U13" s="329">
        <f t="shared" si="10"/>
        <v>0.14725502221940476</v>
      </c>
      <c r="V13" s="217">
        <f t="shared" si="11"/>
        <v>0.14325392864686889</v>
      </c>
      <c r="W13" s="537">
        <f t="shared" si="12"/>
        <v>350</v>
      </c>
      <c r="X13" s="443">
        <f t="shared" si="95"/>
        <v>350</v>
      </c>
      <c r="Z13" s="329">
        <f t="shared" si="13"/>
        <v>8.6102172642343753</v>
      </c>
      <c r="AA13" s="173">
        <f t="shared" si="14"/>
        <v>1.4088961382104213</v>
      </c>
      <c r="AB13" s="173">
        <f t="shared" si="15"/>
        <v>2.1229078242281894</v>
      </c>
      <c r="AC13" s="538"/>
      <c r="AD13" s="173">
        <f t="shared" si="16"/>
        <v>0.54543576736550603</v>
      </c>
      <c r="AE13" s="545">
        <f t="shared" si="17"/>
        <v>220.00757408999533</v>
      </c>
      <c r="AF13" s="528">
        <f t="shared" si="18"/>
        <v>0.31817086429654512</v>
      </c>
      <c r="AG13"/>
      <c r="AH13" s="173">
        <f t="shared" si="19"/>
        <v>2.7455407338032054</v>
      </c>
      <c r="AI13" s="173">
        <f t="shared" si="20"/>
        <v>3.3333333333333335</v>
      </c>
      <c r="AJ13" s="173">
        <f t="shared" si="21"/>
        <v>1.1257186137657116</v>
      </c>
      <c r="AL13" s="545">
        <f t="shared" si="22"/>
        <v>200</v>
      </c>
      <c r="AM13" s="460">
        <f t="shared" si="23"/>
        <v>220.00757408999533</v>
      </c>
      <c r="AO13">
        <f t="shared" si="96"/>
        <v>200</v>
      </c>
      <c r="AP13" s="460">
        <f t="shared" si="24"/>
        <v>220.00757408999533</v>
      </c>
      <c r="AQ13" s="460"/>
      <c r="AR13" s="5">
        <f t="shared" si="97"/>
        <v>4.5452980613792153</v>
      </c>
      <c r="AS13" s="5">
        <f t="shared" si="25"/>
        <v>0.56066983154546235</v>
      </c>
      <c r="AT13" s="5">
        <f t="shared" si="98"/>
        <v>3.9846282298337528</v>
      </c>
      <c r="AU13" s="173">
        <f t="shared" si="99"/>
        <v>0.12335160950376353</v>
      </c>
      <c r="AW13" s="5">
        <f t="shared" si="26"/>
        <v>0.40047845110390168</v>
      </c>
      <c r="AX13" s="5">
        <f t="shared" si="27"/>
        <v>3.7377988769697494E-2</v>
      </c>
      <c r="AY13" s="5">
        <f t="shared" si="28"/>
        <v>0.57039851192991931</v>
      </c>
      <c r="AZ13" s="5"/>
      <c r="BA13" s="173">
        <f t="shared" si="100"/>
        <v>0.6759125779099705</v>
      </c>
      <c r="BB13" s="173">
        <f t="shared" si="29"/>
        <v>1.801900632867085</v>
      </c>
      <c r="BC13" s="173">
        <f t="shared" si="30"/>
        <v>0.18166703101856677</v>
      </c>
      <c r="BD13" s="173"/>
      <c r="BE13" s="528">
        <f t="shared" si="31"/>
        <v>5.4822937557228229E-3</v>
      </c>
      <c r="BF13" s="528">
        <f t="shared" si="32"/>
        <v>0.7584057870847466</v>
      </c>
      <c r="BG13" s="528">
        <f t="shared" si="33"/>
        <v>2.5300871020349468E-2</v>
      </c>
      <c r="BH13" s="528">
        <f t="shared" si="34"/>
        <v>0.34792741540068289</v>
      </c>
      <c r="BI13">
        <f t="shared" si="35"/>
        <v>1.2574245310411972E-2</v>
      </c>
      <c r="BJ13" s="460">
        <f t="shared" si="101"/>
        <v>37.875116330761436</v>
      </c>
      <c r="BK13">
        <f t="shared" si="36"/>
        <v>1.1147477782037933</v>
      </c>
      <c r="BL13" s="460">
        <f t="shared" si="102"/>
        <v>1114.7477782037934</v>
      </c>
      <c r="BM13" s="173">
        <f t="shared" si="37"/>
        <v>0.13411999999999999</v>
      </c>
      <c r="BN13" s="173">
        <f t="shared" si="38"/>
        <v>9.58E-3</v>
      </c>
      <c r="BO13" s="528"/>
      <c r="BQ13" s="460">
        <f t="shared" si="103"/>
        <v>143.69999999999999</v>
      </c>
      <c r="BR13" s="528">
        <f t="shared" si="39"/>
        <v>6.3960093816766272E-3</v>
      </c>
      <c r="BS13" s="528">
        <f t="shared" si="104"/>
        <v>4.5455842470175221E-2</v>
      </c>
      <c r="BT13" s="528">
        <f t="shared" si="40"/>
        <v>1.650145507955045E-4</v>
      </c>
      <c r="BU13" s="528">
        <f t="shared" si="41"/>
        <v>0.72821722660579868</v>
      </c>
      <c r="BV13" s="528">
        <f t="shared" si="42"/>
        <v>0.79603070276252175</v>
      </c>
      <c r="BW13" s="625">
        <f t="shared" si="43"/>
        <v>0.24445286009999484</v>
      </c>
      <c r="BX13" s="460">
        <f t="shared" si="105"/>
        <v>1040.4835628625167</v>
      </c>
      <c r="BY13" s="173">
        <f t="shared" si="106"/>
        <v>2.2989313410663099</v>
      </c>
      <c r="BZ13" s="5">
        <f t="shared" si="107"/>
        <v>6.2</v>
      </c>
      <c r="CA13" s="173">
        <f t="shared" si="108"/>
        <v>0.72950348122498465</v>
      </c>
      <c r="CB13" s="5">
        <f t="shared" si="109"/>
        <v>72.950348122498468</v>
      </c>
      <c r="CC13">
        <f t="shared" si="110"/>
        <v>8</v>
      </c>
      <c r="CE13" s="562">
        <f t="shared" si="44"/>
        <v>-50</v>
      </c>
      <c r="CF13">
        <f t="shared" si="45"/>
        <v>-50</v>
      </c>
      <c r="CG13" s="173">
        <f t="shared" si="46"/>
        <v>0.12063213782428106</v>
      </c>
      <c r="CH13" s="173">
        <f t="shared" si="47"/>
        <v>3.9119222753656209E-2</v>
      </c>
      <c r="CI13" s="189">
        <v>8</v>
      </c>
      <c r="CJ13" s="217">
        <f t="shared" si="133"/>
        <v>0.2</v>
      </c>
      <c r="CK13" s="217">
        <f t="shared" si="111"/>
        <v>0.02</v>
      </c>
      <c r="CL13" s="217">
        <f t="shared" si="48"/>
        <v>5.6000000000000005</v>
      </c>
      <c r="CM13" s="217">
        <f t="shared" si="134"/>
        <v>0.6</v>
      </c>
      <c r="CN13" s="541">
        <f t="shared" si="112"/>
        <v>28</v>
      </c>
      <c r="CO13" s="443">
        <f t="shared" si="49"/>
        <v>28.7</v>
      </c>
      <c r="CP13" s="443">
        <f t="shared" si="50"/>
        <v>56.7</v>
      </c>
      <c r="CQ13" s="535"/>
      <c r="CR13" s="329">
        <f t="shared" si="113"/>
        <v>0.50354609929078009</v>
      </c>
      <c r="CS13" s="172">
        <f t="shared" si="114"/>
        <v>106.12369404407841</v>
      </c>
      <c r="CT13" s="172">
        <f t="shared" si="51"/>
        <v>12.588652482269502</v>
      </c>
      <c r="CU13" s="329">
        <f t="shared" si="52"/>
        <v>3.7901319301456575</v>
      </c>
      <c r="CV13" s="217">
        <f t="shared" si="53"/>
        <v>3.5374564681359471</v>
      </c>
      <c r="CW13" s="443">
        <f t="shared" si="54"/>
        <v>28</v>
      </c>
      <c r="CX13" s="217">
        <f t="shared" si="55"/>
        <v>0.87947686116700208</v>
      </c>
      <c r="CY13" s="329">
        <f t="shared" si="56"/>
        <v>0.14762647312446106</v>
      </c>
      <c r="CZ13" s="217">
        <f t="shared" si="57"/>
        <v>0.14402582743849862</v>
      </c>
      <c r="DA13" s="537">
        <f t="shared" si="58"/>
        <v>350</v>
      </c>
      <c r="DB13" s="535">
        <f t="shared" si="115"/>
        <v>350</v>
      </c>
      <c r="DD13" s="329">
        <f t="shared" si="59"/>
        <v>8.6157079064880477</v>
      </c>
      <c r="DE13" s="173">
        <f t="shared" si="60"/>
        <v>1.4109347442680775</v>
      </c>
      <c r="DF13" s="173">
        <f t="shared" si="61"/>
        <v>2.1273352855526046</v>
      </c>
      <c r="DG13" s="538"/>
      <c r="DH13" s="173">
        <f t="shared" si="62"/>
        <v>0.54587688734030204</v>
      </c>
      <c r="DI13" s="545">
        <f t="shared" si="63"/>
        <v>219.82978723404256</v>
      </c>
      <c r="DJ13" s="528">
        <f t="shared" si="64"/>
        <v>0.31842818428184283</v>
      </c>
      <c r="DK13"/>
      <c r="DL13" s="173">
        <f t="shared" si="65"/>
        <v>2.7455407338032054</v>
      </c>
      <c r="DM13" s="173">
        <f t="shared" si="66"/>
        <v>3.3333333333333335</v>
      </c>
      <c r="DN13" s="173">
        <f t="shared" si="67"/>
        <v>1.1256170212765957</v>
      </c>
      <c r="DP13" s="545">
        <f t="shared" si="68"/>
        <v>200</v>
      </c>
      <c r="DQ13" s="460">
        <f t="shared" si="69"/>
        <v>219.82978723404256</v>
      </c>
      <c r="DS13">
        <f t="shared" si="116"/>
        <v>200</v>
      </c>
      <c r="DT13" s="460">
        <f t="shared" si="70"/>
        <v>219.82978723404256</v>
      </c>
      <c r="DU13" s="460"/>
      <c r="DV13" s="5">
        <f t="shared" si="117"/>
        <v>4.5489740611691829</v>
      </c>
      <c r="DW13" s="5">
        <f t="shared" si="71"/>
        <v>0.55952380952380953</v>
      </c>
      <c r="DX13" s="5">
        <f t="shared" si="118"/>
        <v>3.9894502516453736</v>
      </c>
      <c r="DY13" s="173">
        <f t="shared" si="119"/>
        <v>0.12300000000000001</v>
      </c>
      <c r="EA13" s="5">
        <f t="shared" si="72"/>
        <v>0.39965986394557823</v>
      </c>
      <c r="EB13" s="5">
        <f t="shared" si="73"/>
        <v>3.7301587301587308E-2</v>
      </c>
      <c r="EC13" s="5">
        <f t="shared" si="74"/>
        <v>0.56992146452076764</v>
      </c>
      <c r="ED13" s="5"/>
      <c r="EE13" s="173">
        <f t="shared" si="120"/>
        <v>0.67494855771055295</v>
      </c>
      <c r="EF13" s="173">
        <f t="shared" si="75"/>
        <v>1.8022619532543398</v>
      </c>
      <c r="EG13" s="173">
        <f t="shared" si="76"/>
        <v>0.1817034592215441</v>
      </c>
      <c r="EH13" s="173"/>
      <c r="EI13" s="528">
        <f t="shared" si="77"/>
        <v>5.4666666666666683E-3</v>
      </c>
      <c r="EJ13" s="528">
        <f t="shared" si="78"/>
        <v>0.78940876595744691</v>
      </c>
      <c r="EK13" s="528">
        <f t="shared" si="79"/>
        <v>2.5280425531914896E-2</v>
      </c>
      <c r="EL13" s="528">
        <f t="shared" si="80"/>
        <v>0.3480638279553192</v>
      </c>
      <c r="EM13">
        <f t="shared" si="81"/>
        <v>1.26E-2</v>
      </c>
      <c r="EN13" s="460">
        <f t="shared" si="121"/>
        <v>37.880425531914895</v>
      </c>
      <c r="EO13">
        <f t="shared" si="82"/>
        <v>1.1838333435646369</v>
      </c>
      <c r="EP13" s="460">
        <f t="shared" si="122"/>
        <v>1183.8333435646368</v>
      </c>
      <c r="EQ13" s="173">
        <f t="shared" si="83"/>
        <v>0.13411999999999999</v>
      </c>
      <c r="ER13" s="173">
        <f t="shared" si="84"/>
        <v>9.58E-3</v>
      </c>
      <c r="ES13" s="528"/>
      <c r="EU13" s="460">
        <f t="shared" si="123"/>
        <v>143.69999999999999</v>
      </c>
      <c r="EV13" s="528">
        <f t="shared" si="85"/>
        <v>6.3777777777777791E-3</v>
      </c>
      <c r="EW13" s="528">
        <f t="shared" si="124"/>
        <v>4.5474074074074076E-2</v>
      </c>
      <c r="EX13" s="528">
        <f t="shared" si="86"/>
        <v>1.6508073546537671E-4</v>
      </c>
      <c r="EY13" s="528">
        <f t="shared" si="87"/>
        <v>0.72674694773192594</v>
      </c>
      <c r="EZ13" s="528">
        <f t="shared" si="88"/>
        <v>0.79455436661420975</v>
      </c>
      <c r="FA13" s="625">
        <f t="shared" si="89"/>
        <v>0.2442553191489362</v>
      </c>
      <c r="FB13" s="460">
        <f t="shared" si="125"/>
        <v>1038.8096857631458</v>
      </c>
      <c r="FC13" s="173">
        <f t="shared" si="126"/>
        <v>2.3663430293277825</v>
      </c>
      <c r="FD13" s="5">
        <f t="shared" si="127"/>
        <v>6.2</v>
      </c>
      <c r="FE13" s="173">
        <f t="shared" si="128"/>
        <v>0.72376275136001944</v>
      </c>
      <c r="FF13" s="5">
        <f t="shared" si="129"/>
        <v>72.376275136001951</v>
      </c>
      <c r="FG13">
        <f t="shared" si="130"/>
        <v>8</v>
      </c>
      <c r="FI13" s="562">
        <f t="shared" si="90"/>
        <v>-50</v>
      </c>
      <c r="FJ13">
        <f t="shared" si="91"/>
        <v>-50</v>
      </c>
      <c r="FL13">
        <f t="shared" si="92"/>
        <v>0.12063213782428106</v>
      </c>
    </row>
    <row r="14" spans="2:169">
      <c r="E14" s="170">
        <v>9</v>
      </c>
      <c r="F14" s="217">
        <f t="shared" si="131"/>
        <v>0.22499999999999998</v>
      </c>
      <c r="G14" s="217">
        <f t="shared" si="93"/>
        <v>2.2499999999999999E-2</v>
      </c>
      <c r="H14" s="217">
        <f t="shared" si="0"/>
        <v>6.2999999999999989</v>
      </c>
      <c r="I14" s="217">
        <f t="shared" si="132"/>
        <v>0.67499999999999993</v>
      </c>
      <c r="J14" s="541">
        <f t="shared" si="1"/>
        <v>27.942767356471048</v>
      </c>
      <c r="K14" s="443">
        <f t="shared" si="2"/>
        <v>28.723211061749385</v>
      </c>
      <c r="L14" s="172">
        <f t="shared" si="3"/>
        <v>56.665978418220433</v>
      </c>
      <c r="M14" s="443"/>
      <c r="N14" s="217">
        <f t="shared" si="4"/>
        <v>0.50688635162635254</v>
      </c>
      <c r="O14" s="172">
        <f t="shared" si="94"/>
        <v>106.60930300823532</v>
      </c>
      <c r="P14" s="172">
        <f t="shared" si="5"/>
        <v>12.64625660684424</v>
      </c>
      <c r="Q14" s="217">
        <f t="shared" si="6"/>
        <v>3.8074751074369755</v>
      </c>
      <c r="R14" s="217">
        <f t="shared" si="7"/>
        <v>3.553643433607844</v>
      </c>
      <c r="S14" s="443">
        <f t="shared" si="8"/>
        <v>28</v>
      </c>
      <c r="T14" s="217">
        <f t="shared" si="9"/>
        <v>0.9849046662643407</v>
      </c>
      <c r="U14" s="217">
        <f t="shared" si="10"/>
        <v>0.16566189999683031</v>
      </c>
      <c r="V14" s="217">
        <f t="shared" si="11"/>
        <v>0.1611606697277275</v>
      </c>
      <c r="W14" s="197">
        <f t="shared" si="12"/>
        <v>350</v>
      </c>
      <c r="X14" s="443">
        <f t="shared" si="95"/>
        <v>350</v>
      </c>
      <c r="Z14" s="217">
        <f t="shared" si="13"/>
        <v>8.6102172642343753</v>
      </c>
      <c r="AA14" s="173">
        <f t="shared" si="14"/>
        <v>1.4088961382104213</v>
      </c>
      <c r="AB14" s="173">
        <f t="shared" si="15"/>
        <v>2.1229078242281894</v>
      </c>
      <c r="AC14" s="173"/>
      <c r="AD14" s="173">
        <f t="shared" si="16"/>
        <v>0.54543576736550603</v>
      </c>
      <c r="AE14" s="545">
        <f t="shared" si="17"/>
        <v>247.50852085124473</v>
      </c>
      <c r="AF14" s="528">
        <f t="shared" si="18"/>
        <v>0.31817086429654512</v>
      </c>
      <c r="AH14" s="173">
        <f t="shared" si="19"/>
        <v>2.9120857063442043</v>
      </c>
      <c r="AI14" s="173">
        <f t="shared" si="20"/>
        <v>3.3333333333333335</v>
      </c>
      <c r="AJ14" s="173">
        <f t="shared" si="21"/>
        <v>1.1414334404864255</v>
      </c>
      <c r="AL14" s="545">
        <f t="shared" si="22"/>
        <v>224.99999999999997</v>
      </c>
      <c r="AM14" s="460">
        <f t="shared" si="23"/>
        <v>247.50852085124473</v>
      </c>
      <c r="AO14">
        <f t="shared" si="96"/>
        <v>224.99999999999997</v>
      </c>
      <c r="AP14" s="460">
        <f t="shared" si="24"/>
        <v>247.50852085124473</v>
      </c>
      <c r="AQ14" s="460"/>
      <c r="AR14" s="5">
        <f t="shared" si="97"/>
        <v>4.0402649434481921</v>
      </c>
      <c r="AS14" s="5">
        <f t="shared" si="25"/>
        <v>0.56066983154546235</v>
      </c>
      <c r="AT14" s="5">
        <f t="shared" si="98"/>
        <v>3.4795951119027295</v>
      </c>
      <c r="AU14" s="173">
        <f t="shared" si="99"/>
        <v>0.13877056069173394</v>
      </c>
      <c r="AW14" s="5">
        <f t="shared" si="26"/>
        <v>0.45053825749188936</v>
      </c>
      <c r="AX14" s="5">
        <f t="shared" si="27"/>
        <v>4.2050237365909675E-2</v>
      </c>
      <c r="AY14" s="5">
        <f t="shared" si="28"/>
        <v>0.5603660440574123</v>
      </c>
      <c r="AZ14" s="5"/>
      <c r="BA14" s="173">
        <f t="shared" si="100"/>
        <v>0.71691355099413112</v>
      </c>
      <c r="BB14" s="173">
        <f t="shared" si="29"/>
        <v>1.7859839484454192</v>
      </c>
      <c r="BC14" s="173">
        <f t="shared" si="30"/>
        <v>0.18006231611375947</v>
      </c>
      <c r="BD14" s="173"/>
      <c r="BE14" s="528">
        <f t="shared" si="31"/>
        <v>6.1675804751881759E-3</v>
      </c>
      <c r="BF14" s="528">
        <f t="shared" si="32"/>
        <v>0.85320651047033957</v>
      </c>
      <c r="BG14" s="528">
        <f t="shared" si="33"/>
        <v>2.8463479897893149E-2</v>
      </c>
      <c r="BH14" s="528">
        <f t="shared" si="34"/>
        <v>0.39141834232576828</v>
      </c>
      <c r="BI14">
        <f t="shared" si="35"/>
        <v>1.2574245310411972E-2</v>
      </c>
      <c r="BJ14" s="460">
        <f t="shared" si="101"/>
        <v>41.037725208305119</v>
      </c>
      <c r="BK14">
        <f t="shared" si="36"/>
        <v>1.2542957464611388</v>
      </c>
      <c r="BL14" s="460">
        <f t="shared" si="102"/>
        <v>1254.2957464611388</v>
      </c>
      <c r="BM14" s="173">
        <f t="shared" si="37"/>
        <v>0.15088499999999996</v>
      </c>
      <c r="BN14" s="173">
        <f t="shared" si="38"/>
        <v>1.0777499999999999E-2</v>
      </c>
      <c r="BO14" s="528"/>
      <c r="BQ14" s="460">
        <f t="shared" si="103"/>
        <v>161.66249999999997</v>
      </c>
      <c r="BR14" s="528">
        <f t="shared" si="39"/>
        <v>7.1955105543862049E-3</v>
      </c>
      <c r="BS14" s="528">
        <f t="shared" si="104"/>
        <v>4.4656341297465658E-2</v>
      </c>
      <c r="BT14" s="528">
        <f t="shared" si="40"/>
        <v>1.6211218842125723E-4</v>
      </c>
      <c r="BU14" s="528">
        <f t="shared" si="41"/>
        <v>0.97755737034129997</v>
      </c>
      <c r="BV14" s="528">
        <f t="shared" si="42"/>
        <v>1.0464089158087024</v>
      </c>
      <c r="BW14" s="625">
        <f t="shared" si="43"/>
        <v>0.27500946761249417</v>
      </c>
      <c r="BX14" s="460">
        <f t="shared" si="105"/>
        <v>1321.4183834211965</v>
      </c>
      <c r="BY14" s="173">
        <f t="shared" si="106"/>
        <v>2.7373766298823359</v>
      </c>
      <c r="BZ14" s="5">
        <f t="shared" si="107"/>
        <v>6.9749999999999988</v>
      </c>
      <c r="CA14" s="173">
        <f t="shared" si="108"/>
        <v>0.71815584030584489</v>
      </c>
      <c r="CB14" s="5">
        <f t="shared" si="109"/>
        <v>71.815584030584489</v>
      </c>
      <c r="CC14">
        <f t="shared" si="110"/>
        <v>9</v>
      </c>
      <c r="CE14" s="562">
        <f t="shared" si="44"/>
        <v>-50</v>
      </c>
      <c r="CF14">
        <f t="shared" si="45"/>
        <v>-50</v>
      </c>
      <c r="CG14" s="173">
        <f t="shared" si="46"/>
        <v>0.13571115505231618</v>
      </c>
      <c r="CH14" s="173">
        <f t="shared" si="47"/>
        <v>4.4009125597863234E-2</v>
      </c>
      <c r="CI14" s="170">
        <v>9</v>
      </c>
      <c r="CJ14" s="217">
        <f t="shared" si="133"/>
        <v>0.22499999999999998</v>
      </c>
      <c r="CK14" s="217">
        <f t="shared" si="111"/>
        <v>2.2499999999999999E-2</v>
      </c>
      <c r="CL14" s="217">
        <f t="shared" si="48"/>
        <v>6.2999999999999989</v>
      </c>
      <c r="CM14" s="217">
        <f t="shared" si="134"/>
        <v>0.67499999999999993</v>
      </c>
      <c r="CN14" s="541">
        <f t="shared" si="112"/>
        <v>28</v>
      </c>
      <c r="CO14" s="443">
        <f t="shared" si="49"/>
        <v>28.7</v>
      </c>
      <c r="CP14" s="443">
        <f t="shared" si="50"/>
        <v>56.7</v>
      </c>
      <c r="CQ14" s="443"/>
      <c r="CR14" s="217">
        <f t="shared" si="113"/>
        <v>0.50354609929078009</v>
      </c>
      <c r="CS14" s="172">
        <f t="shared" si="114"/>
        <v>106.12369404407841</v>
      </c>
      <c r="CT14" s="172">
        <f t="shared" si="51"/>
        <v>12.588652482269502</v>
      </c>
      <c r="CU14" s="217">
        <f t="shared" si="52"/>
        <v>3.7901319301456575</v>
      </c>
      <c r="CV14" s="217">
        <f t="shared" si="53"/>
        <v>3.5374564681359471</v>
      </c>
      <c r="CW14" s="443">
        <f t="shared" si="54"/>
        <v>28</v>
      </c>
      <c r="CX14" s="217">
        <f t="shared" si="55"/>
        <v>0.98941146881287723</v>
      </c>
      <c r="CY14" s="217">
        <f t="shared" si="56"/>
        <v>0.16607978226501868</v>
      </c>
      <c r="CZ14" s="217">
        <f t="shared" si="57"/>
        <v>0.1620290558683109</v>
      </c>
      <c r="DA14" s="197">
        <f t="shared" si="58"/>
        <v>350</v>
      </c>
      <c r="DB14" s="443">
        <f t="shared" si="115"/>
        <v>350</v>
      </c>
      <c r="DD14" s="217">
        <f t="shared" si="59"/>
        <v>8.6157079064880477</v>
      </c>
      <c r="DE14" s="173">
        <f t="shared" si="60"/>
        <v>1.4109347442680775</v>
      </c>
      <c r="DF14" s="173">
        <f t="shared" si="61"/>
        <v>2.1273352855526046</v>
      </c>
      <c r="DG14" s="173"/>
      <c r="DH14" s="173">
        <f t="shared" si="62"/>
        <v>0.54587688734030204</v>
      </c>
      <c r="DI14" s="545">
        <f t="shared" si="63"/>
        <v>247.30851063829786</v>
      </c>
      <c r="DJ14" s="528">
        <f t="shared" si="64"/>
        <v>0.31842818428184283</v>
      </c>
      <c r="DL14" s="173">
        <f t="shared" si="65"/>
        <v>2.9120857063442043</v>
      </c>
      <c r="DM14" s="173">
        <f t="shared" si="66"/>
        <v>3.3333333333333335</v>
      </c>
      <c r="DN14" s="173">
        <f t="shared" si="67"/>
        <v>1.1413191489361703</v>
      </c>
      <c r="DP14" s="545">
        <f t="shared" si="68"/>
        <v>224.99999999999997</v>
      </c>
      <c r="DQ14" s="460">
        <f t="shared" si="69"/>
        <v>247.30851063829786</v>
      </c>
      <c r="DS14">
        <f t="shared" si="116"/>
        <v>224.99999999999997</v>
      </c>
      <c r="DT14" s="460">
        <f t="shared" si="70"/>
        <v>247.30851063829786</v>
      </c>
      <c r="DU14" s="460"/>
      <c r="DV14" s="5">
        <f t="shared" si="117"/>
        <v>4.0435324988170516</v>
      </c>
      <c r="DW14" s="5">
        <f t="shared" si="71"/>
        <v>0.55952380952380953</v>
      </c>
      <c r="DX14" s="5">
        <f t="shared" si="118"/>
        <v>3.4840086892932423</v>
      </c>
      <c r="DY14" s="173">
        <f t="shared" si="119"/>
        <v>0.138375</v>
      </c>
      <c r="EA14" s="5">
        <f t="shared" si="72"/>
        <v>0.44961734693877548</v>
      </c>
      <c r="EB14" s="5">
        <f t="shared" si="73"/>
        <v>4.1964285714285711E-2</v>
      </c>
      <c r="EC14" s="5">
        <f t="shared" si="74"/>
        <v>0.55992996792212812</v>
      </c>
      <c r="ED14" s="5"/>
      <c r="EE14" s="173">
        <f t="shared" si="120"/>
        <v>0.71589105316381774</v>
      </c>
      <c r="EF14" s="173">
        <f t="shared" si="75"/>
        <v>1.7863940505117297</v>
      </c>
      <c r="EG14" s="173">
        <f t="shared" si="76"/>
        <v>0.18010366246962523</v>
      </c>
      <c r="EH14" s="173"/>
      <c r="EI14" s="528">
        <f t="shared" si="77"/>
        <v>6.150000000000001E-3</v>
      </c>
      <c r="EJ14" s="528">
        <f t="shared" si="78"/>
        <v>0.88808486170212786</v>
      </c>
      <c r="EK14" s="528">
        <f t="shared" si="79"/>
        <v>2.8440478723404255E-2</v>
      </c>
      <c r="EL14" s="528">
        <f t="shared" si="80"/>
        <v>0.39157180644973411</v>
      </c>
      <c r="EM14">
        <f t="shared" si="81"/>
        <v>1.26E-2</v>
      </c>
      <c r="EN14" s="460">
        <f t="shared" si="121"/>
        <v>41.040478723404256</v>
      </c>
      <c r="EO14">
        <f t="shared" si="82"/>
        <v>1.3304517561994951</v>
      </c>
      <c r="EP14" s="460">
        <f t="shared" si="122"/>
        <v>1330.4517561994951</v>
      </c>
      <c r="EQ14" s="173">
        <f t="shared" si="83"/>
        <v>0.15088499999999996</v>
      </c>
      <c r="ER14" s="173">
        <f t="shared" si="84"/>
        <v>1.0777499999999999E-2</v>
      </c>
      <c r="ES14" s="528"/>
      <c r="EU14" s="460">
        <f t="shared" si="123"/>
        <v>161.66249999999997</v>
      </c>
      <c r="EV14" s="528">
        <f t="shared" si="85"/>
        <v>7.1750000000000008E-3</v>
      </c>
      <c r="EW14" s="528">
        <f t="shared" si="124"/>
        <v>4.4676851851851863E-2</v>
      </c>
      <c r="EX14" s="528">
        <f t="shared" si="86"/>
        <v>1.6218664617486344E-4</v>
      </c>
      <c r="EY14" s="528">
        <f t="shared" si="87"/>
        <v>0.97558367087759645</v>
      </c>
      <c r="EZ14" s="528">
        <f t="shared" si="88"/>
        <v>1.0444270681938228</v>
      </c>
      <c r="FA14" s="625">
        <f t="shared" si="89"/>
        <v>0.27478723404255323</v>
      </c>
      <c r="FB14" s="460">
        <f t="shared" si="125"/>
        <v>1319.2143022363759</v>
      </c>
      <c r="FC14" s="173">
        <f t="shared" si="126"/>
        <v>2.8113285584358714</v>
      </c>
      <c r="FD14" s="5">
        <f t="shared" si="127"/>
        <v>6.9749999999999988</v>
      </c>
      <c r="FE14" s="173">
        <f t="shared" si="128"/>
        <v>0.71272898292255993</v>
      </c>
      <c r="FF14" s="5">
        <f t="shared" si="129"/>
        <v>71.272898292255988</v>
      </c>
      <c r="FG14">
        <f t="shared" si="130"/>
        <v>9</v>
      </c>
      <c r="FI14" s="562">
        <f t="shared" si="90"/>
        <v>-50</v>
      </c>
      <c r="FJ14">
        <f t="shared" si="91"/>
        <v>-50</v>
      </c>
      <c r="FL14">
        <f t="shared" si="92"/>
        <v>0.13571115505231618</v>
      </c>
    </row>
    <row r="15" spans="2:169">
      <c r="E15" s="170">
        <v>10</v>
      </c>
      <c r="F15" s="217">
        <f t="shared" si="131"/>
        <v>0.25</v>
      </c>
      <c r="G15" s="217">
        <f t="shared" si="93"/>
        <v>2.5000000000000001E-2</v>
      </c>
      <c r="H15" s="217">
        <f t="shared" si="0"/>
        <v>7</v>
      </c>
      <c r="I15" s="217">
        <f t="shared" si="132"/>
        <v>0.75</v>
      </c>
      <c r="J15" s="541">
        <f t="shared" si="1"/>
        <v>27.942767356471048</v>
      </c>
      <c r="K15" s="443">
        <f t="shared" si="2"/>
        <v>28.723211061749385</v>
      </c>
      <c r="L15" s="172">
        <f t="shared" si="3"/>
        <v>56.665978418220433</v>
      </c>
      <c r="M15" s="443"/>
      <c r="N15" s="217">
        <f t="shared" si="4"/>
        <v>0.50688635162635254</v>
      </c>
      <c r="O15" s="172">
        <f t="shared" si="94"/>
        <v>106.60930300823532</v>
      </c>
      <c r="P15" s="172">
        <f t="shared" si="5"/>
        <v>12.64625660684424</v>
      </c>
      <c r="Q15" s="217">
        <f t="shared" si="6"/>
        <v>3.8074751074369755</v>
      </c>
      <c r="R15" s="217">
        <f t="shared" si="7"/>
        <v>3.553643433607844</v>
      </c>
      <c r="S15" s="443">
        <f t="shared" si="8"/>
        <v>28</v>
      </c>
      <c r="T15" s="217">
        <f t="shared" si="9"/>
        <v>1.09433851807149</v>
      </c>
      <c r="U15" s="217">
        <f t="shared" si="10"/>
        <v>0.18406877777425595</v>
      </c>
      <c r="V15" s="217">
        <f t="shared" si="11"/>
        <v>0.17906741080858615</v>
      </c>
      <c r="W15" s="197">
        <f t="shared" si="12"/>
        <v>350</v>
      </c>
      <c r="X15" s="443">
        <f t="shared" si="95"/>
        <v>350</v>
      </c>
      <c r="Z15" s="217">
        <f t="shared" si="13"/>
        <v>8.6102172642343753</v>
      </c>
      <c r="AA15" s="173">
        <f t="shared" si="14"/>
        <v>1.4088961382104213</v>
      </c>
      <c r="AB15" s="173">
        <f t="shared" si="15"/>
        <v>2.1229078242281894</v>
      </c>
      <c r="AC15" s="173"/>
      <c r="AD15" s="173">
        <f t="shared" si="16"/>
        <v>0.54543576736550603</v>
      </c>
      <c r="AE15" s="545">
        <f t="shared" si="17"/>
        <v>275.00946761249412</v>
      </c>
      <c r="AF15" s="528">
        <f t="shared" si="18"/>
        <v>0.31817086429654512</v>
      </c>
      <c r="AH15" s="173">
        <f t="shared" si="19"/>
        <v>3.0696078578893111</v>
      </c>
      <c r="AI15" s="173">
        <f t="shared" si="20"/>
        <v>3.3333333333333335</v>
      </c>
      <c r="AJ15" s="173">
        <f t="shared" si="21"/>
        <v>1.1571482672071396</v>
      </c>
      <c r="AL15" s="545">
        <f t="shared" si="22"/>
        <v>250</v>
      </c>
      <c r="AM15" s="460">
        <f t="shared" si="23"/>
        <v>275.00946761249412</v>
      </c>
      <c r="AO15">
        <f t="shared" si="96"/>
        <v>250</v>
      </c>
      <c r="AP15" s="460">
        <f t="shared" si="24"/>
        <v>275.00946761249412</v>
      </c>
      <c r="AQ15" s="460"/>
      <c r="AR15" s="5">
        <f t="shared" si="97"/>
        <v>3.6362384491033732</v>
      </c>
      <c r="AS15" s="5">
        <f t="shared" si="25"/>
        <v>0.56066983154546235</v>
      </c>
      <c r="AT15" s="5">
        <f t="shared" si="98"/>
        <v>3.0755686175579111</v>
      </c>
      <c r="AU15" s="173">
        <f t="shared" si="99"/>
        <v>0.15418951187970437</v>
      </c>
      <c r="AW15" s="5">
        <f t="shared" si="26"/>
        <v>0.50059806387987704</v>
      </c>
      <c r="AX15" s="5">
        <f t="shared" si="27"/>
        <v>4.6722485962121869E-2</v>
      </c>
      <c r="AY15" s="5">
        <f t="shared" si="28"/>
        <v>0.55033357618490564</v>
      </c>
      <c r="AZ15" s="5"/>
      <c r="BA15" s="173">
        <f t="shared" si="100"/>
        <v>0.75569323552690837</v>
      </c>
      <c r="BB15" s="173">
        <f t="shared" si="29"/>
        <v>1.7699241332561622</v>
      </c>
      <c r="BC15" s="173">
        <f t="shared" si="30"/>
        <v>0.17844317081189176</v>
      </c>
      <c r="BD15" s="173"/>
      <c r="BE15" s="528">
        <f t="shared" si="31"/>
        <v>6.8528671946535289E-3</v>
      </c>
      <c r="BF15" s="528">
        <f t="shared" si="32"/>
        <v>0.94800723385593288</v>
      </c>
      <c r="BG15" s="528">
        <f t="shared" si="33"/>
        <v>3.1626088775436829E-2</v>
      </c>
      <c r="BH15" s="528">
        <f t="shared" si="34"/>
        <v>0.4349092692508536</v>
      </c>
      <c r="BI15">
        <f t="shared" si="35"/>
        <v>1.2574245310411972E-2</v>
      </c>
      <c r="BJ15" s="460">
        <f t="shared" si="101"/>
        <v>44.200334085848802</v>
      </c>
      <c r="BK15">
        <f t="shared" si="36"/>
        <v>1.393889232383752</v>
      </c>
      <c r="BL15" s="460">
        <f t="shared" si="102"/>
        <v>1393.889232383752</v>
      </c>
      <c r="BM15" s="173">
        <f t="shared" si="37"/>
        <v>0.16764999999999999</v>
      </c>
      <c r="BN15" s="173">
        <f t="shared" si="38"/>
        <v>1.1975E-2</v>
      </c>
      <c r="BO15" s="528"/>
      <c r="BQ15" s="460">
        <f t="shared" si="103"/>
        <v>179.62499999999997</v>
      </c>
      <c r="BR15" s="528">
        <f t="shared" si="39"/>
        <v>7.9950117270957844E-3</v>
      </c>
      <c r="BS15" s="528">
        <f t="shared" si="104"/>
        <v>4.3856840124756075E-2</v>
      </c>
      <c r="BT15" s="528">
        <f t="shared" si="40"/>
        <v>1.592098260470099E-4</v>
      </c>
      <c r="BU15" s="528">
        <f t="shared" si="41"/>
        <v>1.2721431414663544</v>
      </c>
      <c r="BV15" s="528">
        <f t="shared" si="42"/>
        <v>1.3422216879467259</v>
      </c>
      <c r="BW15" s="625">
        <f t="shared" si="43"/>
        <v>0.30556607512499351</v>
      </c>
      <c r="BX15" s="460">
        <f t="shared" si="105"/>
        <v>1647.7877630717194</v>
      </c>
      <c r="BY15" s="173">
        <f t="shared" si="106"/>
        <v>3.2213019954554718</v>
      </c>
      <c r="BZ15" s="5">
        <f t="shared" si="107"/>
        <v>7.75</v>
      </c>
      <c r="CA15" s="173">
        <f t="shared" si="108"/>
        <v>0.70638835784578735</v>
      </c>
      <c r="CB15" s="5">
        <f t="shared" si="109"/>
        <v>70.638835784578731</v>
      </c>
      <c r="CC15">
        <f t="shared" si="110"/>
        <v>10</v>
      </c>
      <c r="CE15" s="562">
        <f t="shared" si="44"/>
        <v>-50</v>
      </c>
      <c r="CF15">
        <f t="shared" si="45"/>
        <v>-50</v>
      </c>
      <c r="CG15" s="173">
        <f t="shared" si="46"/>
        <v>0.1507901722803513</v>
      </c>
      <c r="CH15" s="173">
        <f t="shared" si="47"/>
        <v>4.889902844207026E-2</v>
      </c>
      <c r="CI15" s="170">
        <v>10</v>
      </c>
      <c r="CJ15" s="217">
        <f t="shared" si="133"/>
        <v>0.25</v>
      </c>
      <c r="CK15" s="217">
        <f t="shared" si="111"/>
        <v>2.5000000000000001E-2</v>
      </c>
      <c r="CL15" s="217">
        <f t="shared" si="48"/>
        <v>7</v>
      </c>
      <c r="CM15" s="217">
        <f t="shared" si="134"/>
        <v>0.75</v>
      </c>
      <c r="CN15" s="541">
        <f t="shared" si="112"/>
        <v>28</v>
      </c>
      <c r="CO15" s="443">
        <f t="shared" si="49"/>
        <v>28.7</v>
      </c>
      <c r="CP15" s="443">
        <f t="shared" si="50"/>
        <v>56.7</v>
      </c>
      <c r="CQ15" s="443"/>
      <c r="CR15" s="217">
        <f t="shared" si="113"/>
        <v>0.50354609929078009</v>
      </c>
      <c r="CS15" s="172">
        <f t="shared" si="114"/>
        <v>106.12369404407841</v>
      </c>
      <c r="CT15" s="172">
        <f t="shared" si="51"/>
        <v>12.588652482269502</v>
      </c>
      <c r="CU15" s="217">
        <f t="shared" si="52"/>
        <v>3.7901319301456575</v>
      </c>
      <c r="CV15" s="217">
        <f t="shared" si="53"/>
        <v>3.5374564681359471</v>
      </c>
      <c r="CW15" s="443">
        <f t="shared" si="54"/>
        <v>28</v>
      </c>
      <c r="CX15" s="217">
        <f t="shared" si="55"/>
        <v>1.0993460764587526</v>
      </c>
      <c r="CY15" s="217">
        <f t="shared" si="56"/>
        <v>0.18453309140557633</v>
      </c>
      <c r="CZ15" s="217">
        <f t="shared" si="57"/>
        <v>0.18003228429812326</v>
      </c>
      <c r="DA15" s="197">
        <f t="shared" si="58"/>
        <v>350</v>
      </c>
      <c r="DB15" s="443">
        <f t="shared" si="115"/>
        <v>350</v>
      </c>
      <c r="DD15" s="217">
        <f t="shared" si="59"/>
        <v>8.6157079064880477</v>
      </c>
      <c r="DE15" s="173">
        <f t="shared" si="60"/>
        <v>1.4109347442680775</v>
      </c>
      <c r="DF15" s="173">
        <f t="shared" si="61"/>
        <v>2.1273352855526046</v>
      </c>
      <c r="DG15" s="173"/>
      <c r="DH15" s="173">
        <f t="shared" si="62"/>
        <v>0.54587688734030204</v>
      </c>
      <c r="DI15" s="545">
        <f t="shared" si="63"/>
        <v>274.78723404255317</v>
      </c>
      <c r="DJ15" s="528">
        <f t="shared" si="64"/>
        <v>0.31842818428184283</v>
      </c>
      <c r="DL15" s="173">
        <f t="shared" si="65"/>
        <v>3.0696078578893111</v>
      </c>
      <c r="DM15" s="173">
        <f t="shared" si="66"/>
        <v>3.3333333333333335</v>
      </c>
      <c r="DN15" s="173">
        <f t="shared" si="67"/>
        <v>1.1570212765957446</v>
      </c>
      <c r="DP15" s="545">
        <f t="shared" si="68"/>
        <v>250</v>
      </c>
      <c r="DQ15" s="460">
        <f t="shared" si="69"/>
        <v>274.78723404255317</v>
      </c>
      <c r="DS15">
        <f t="shared" si="116"/>
        <v>250</v>
      </c>
      <c r="DT15" s="460">
        <f t="shared" si="70"/>
        <v>274.78723404255317</v>
      </c>
      <c r="DU15" s="460"/>
      <c r="DV15" s="5">
        <f t="shared" si="117"/>
        <v>3.6391792489353469</v>
      </c>
      <c r="DW15" s="5">
        <f t="shared" si="71"/>
        <v>0.55952380952380953</v>
      </c>
      <c r="DX15" s="5">
        <f t="shared" si="118"/>
        <v>3.0796554394115372</v>
      </c>
      <c r="DY15" s="173">
        <f t="shared" si="119"/>
        <v>0.15375</v>
      </c>
      <c r="EA15" s="5">
        <f t="shared" si="72"/>
        <v>0.49957482993197277</v>
      </c>
      <c r="EB15" s="5">
        <f t="shared" si="73"/>
        <v>4.6626984126984135E-2</v>
      </c>
      <c r="EC15" s="5">
        <f t="shared" si="74"/>
        <v>0.54993847132348872</v>
      </c>
      <c r="ED15" s="5"/>
      <c r="EE15" s="173">
        <f t="shared" si="120"/>
        <v>0.754615428178118</v>
      </c>
      <c r="EF15" s="173">
        <f t="shared" si="75"/>
        <v>1.7703839299031325</v>
      </c>
      <c r="EG15" s="173">
        <f t="shared" si="76"/>
        <v>0.17848952735908633</v>
      </c>
      <c r="EH15" s="173"/>
      <c r="EI15" s="528">
        <f t="shared" si="77"/>
        <v>6.8333333333333319E-3</v>
      </c>
      <c r="EJ15" s="528">
        <f t="shared" si="78"/>
        <v>0.98676095744680858</v>
      </c>
      <c r="EK15" s="528">
        <f t="shared" si="79"/>
        <v>3.1600531914893613E-2</v>
      </c>
      <c r="EL15" s="528">
        <f t="shared" si="80"/>
        <v>0.43507978494414895</v>
      </c>
      <c r="EM15">
        <f t="shared" si="81"/>
        <v>1.26E-2</v>
      </c>
      <c r="EN15" s="460">
        <f t="shared" si="121"/>
        <v>44.200531914893617</v>
      </c>
      <c r="EO15">
        <f t="shared" si="82"/>
        <v>1.4771178561904952</v>
      </c>
      <c r="EP15" s="460">
        <f t="shared" si="122"/>
        <v>1477.1178561904951</v>
      </c>
      <c r="EQ15" s="173">
        <f t="shared" si="83"/>
        <v>0.16764999999999999</v>
      </c>
      <c r="ER15" s="173">
        <f t="shared" si="84"/>
        <v>1.1975E-2</v>
      </c>
      <c r="ES15" s="528"/>
      <c r="EU15" s="460">
        <f t="shared" si="123"/>
        <v>179.62499999999997</v>
      </c>
      <c r="EV15" s="528">
        <f t="shared" si="85"/>
        <v>7.9722222222222208E-3</v>
      </c>
      <c r="EW15" s="528">
        <f t="shared" si="124"/>
        <v>4.3879629629629636E-2</v>
      </c>
      <c r="EX15" s="528">
        <f t="shared" si="86"/>
        <v>1.5929255688435014E-4</v>
      </c>
      <c r="EY15" s="528">
        <f t="shared" si="87"/>
        <v>1.2695746699758375</v>
      </c>
      <c r="EZ15" s="528">
        <f t="shared" si="88"/>
        <v>1.3396425966065262</v>
      </c>
      <c r="FA15" s="625">
        <f t="shared" si="89"/>
        <v>0.30531914893617024</v>
      </c>
      <c r="FB15" s="460">
        <f t="shared" si="125"/>
        <v>1644.9617455426965</v>
      </c>
      <c r="FC15" s="173">
        <f t="shared" si="126"/>
        <v>3.3017046017331917</v>
      </c>
      <c r="FD15" s="5">
        <f t="shared" si="127"/>
        <v>7.75</v>
      </c>
      <c r="FE15" s="173">
        <f t="shared" si="128"/>
        <v>0.70124928952449561</v>
      </c>
      <c r="FF15" s="5">
        <f t="shared" si="129"/>
        <v>70.124928952449565</v>
      </c>
      <c r="FG15">
        <f t="shared" si="130"/>
        <v>10</v>
      </c>
      <c r="FI15" s="562">
        <f t="shared" si="90"/>
        <v>-50</v>
      </c>
      <c r="FJ15">
        <f t="shared" si="91"/>
        <v>-50</v>
      </c>
      <c r="FL15">
        <f t="shared" si="92"/>
        <v>0.1507901722803513</v>
      </c>
    </row>
    <row r="16" spans="2:169">
      <c r="E16" s="170">
        <v>11</v>
      </c>
      <c r="F16" s="217">
        <f t="shared" si="131"/>
        <v>0.27500000000000002</v>
      </c>
      <c r="G16" s="217">
        <f t="shared" si="93"/>
        <v>2.75E-2</v>
      </c>
      <c r="H16" s="217">
        <f t="shared" si="0"/>
        <v>7.7000000000000011</v>
      </c>
      <c r="I16" s="217">
        <f t="shared" si="132"/>
        <v>0.82499999999999996</v>
      </c>
      <c r="J16" s="541">
        <f t="shared" si="1"/>
        <v>27.942767356471048</v>
      </c>
      <c r="K16" s="443">
        <f t="shared" si="2"/>
        <v>28.723211061749385</v>
      </c>
      <c r="L16" s="172">
        <f t="shared" si="3"/>
        <v>56.665978418220433</v>
      </c>
      <c r="M16" s="443"/>
      <c r="N16" s="217">
        <f t="shared" si="4"/>
        <v>0.50688635162635254</v>
      </c>
      <c r="O16" s="172">
        <f t="shared" si="94"/>
        <v>106.60930300823532</v>
      </c>
      <c r="P16" s="172">
        <f t="shared" si="5"/>
        <v>12.64625660684424</v>
      </c>
      <c r="Q16" s="217">
        <f t="shared" si="6"/>
        <v>3.8074751074369755</v>
      </c>
      <c r="R16" s="217">
        <f t="shared" si="7"/>
        <v>3.553643433607844</v>
      </c>
      <c r="S16" s="443">
        <f t="shared" si="8"/>
        <v>28</v>
      </c>
      <c r="T16" s="217">
        <f t="shared" si="9"/>
        <v>1.2037723698786389</v>
      </c>
      <c r="U16" s="217">
        <f t="shared" si="10"/>
        <v>0.20247565555168151</v>
      </c>
      <c r="V16" s="217">
        <f t="shared" si="11"/>
        <v>0.19697415188944473</v>
      </c>
      <c r="W16" s="197">
        <f t="shared" si="12"/>
        <v>350</v>
      </c>
      <c r="X16" s="443">
        <f t="shared" si="95"/>
        <v>350</v>
      </c>
      <c r="Z16" s="217">
        <f t="shared" si="13"/>
        <v>8.6102172642343753</v>
      </c>
      <c r="AA16" s="173">
        <f t="shared" si="14"/>
        <v>1.4088961382104213</v>
      </c>
      <c r="AB16" s="173">
        <f t="shared" si="15"/>
        <v>2.1229078242281894</v>
      </c>
      <c r="AC16" s="173"/>
      <c r="AD16" s="173">
        <f t="shared" si="16"/>
        <v>0.54543576736550603</v>
      </c>
      <c r="AE16" s="545">
        <f t="shared" si="17"/>
        <v>302.51041437374357</v>
      </c>
      <c r="AF16" s="528">
        <f t="shared" si="18"/>
        <v>0.31817086429654512</v>
      </c>
      <c r="AH16" s="173">
        <f t="shared" si="19"/>
        <v>3.2194318817669347</v>
      </c>
      <c r="AI16" s="173">
        <f t="shared" si="20"/>
        <v>3.3333333333333335</v>
      </c>
      <c r="AJ16" s="173">
        <f t="shared" si="21"/>
        <v>1.1728630939278535</v>
      </c>
      <c r="AL16" s="545">
        <f t="shared" si="22"/>
        <v>275</v>
      </c>
      <c r="AM16" s="460">
        <f t="shared" si="23"/>
        <v>302.51041437374357</v>
      </c>
      <c r="AO16">
        <f t="shared" si="96"/>
        <v>275</v>
      </c>
      <c r="AP16" s="460">
        <f t="shared" si="24"/>
        <v>302.51041437374357</v>
      </c>
      <c r="AQ16" s="460"/>
      <c r="AR16" s="5">
        <f t="shared" si="97"/>
        <v>3.3056713173667025</v>
      </c>
      <c r="AS16" s="5">
        <f t="shared" si="25"/>
        <v>0.56066983154546235</v>
      </c>
      <c r="AT16" s="5">
        <f t="shared" si="98"/>
        <v>2.7450014858212404</v>
      </c>
      <c r="AU16" s="173">
        <f t="shared" si="99"/>
        <v>0.16960846306767483</v>
      </c>
      <c r="AW16" s="5">
        <f t="shared" si="26"/>
        <v>0.55065787026786484</v>
      </c>
      <c r="AX16" s="5">
        <f t="shared" si="27"/>
        <v>5.139473455833405E-2</v>
      </c>
      <c r="AY16" s="5">
        <f t="shared" si="28"/>
        <v>0.54030110831239875</v>
      </c>
      <c r="AZ16" s="5"/>
      <c r="BA16" s="173">
        <f t="shared" si="100"/>
        <v>0.79257775192295177</v>
      </c>
      <c r="BB16" s="173">
        <f t="shared" si="29"/>
        <v>1.7537172551071234</v>
      </c>
      <c r="BC16" s="173">
        <f t="shared" si="30"/>
        <v>0.17680919867063624</v>
      </c>
      <c r="BD16" s="173"/>
      <c r="BE16" s="528">
        <f t="shared" si="31"/>
        <v>7.538153914118881E-3</v>
      </c>
      <c r="BF16" s="528">
        <f t="shared" si="32"/>
        <v>1.0428079572415263</v>
      </c>
      <c r="BG16" s="528">
        <f t="shared" si="33"/>
        <v>3.478869765298051E-2</v>
      </c>
      <c r="BH16" s="528">
        <f t="shared" si="34"/>
        <v>0.47840019617593904</v>
      </c>
      <c r="BI16">
        <f t="shared" si="35"/>
        <v>1.2574245310411972E-2</v>
      </c>
      <c r="BJ16" s="460">
        <f t="shared" si="101"/>
        <v>47.362942963392484</v>
      </c>
      <c r="BK16">
        <f t="shared" si="36"/>
        <v>1.5335282582456482</v>
      </c>
      <c r="BL16" s="460">
        <f t="shared" si="102"/>
        <v>1533.5282582456482</v>
      </c>
      <c r="BM16" s="173">
        <f t="shared" si="37"/>
        <v>0.184415</v>
      </c>
      <c r="BN16" s="173">
        <f t="shared" si="38"/>
        <v>1.31725E-2</v>
      </c>
      <c r="BO16" s="528"/>
      <c r="BQ16" s="460">
        <f t="shared" si="103"/>
        <v>197.58750000000001</v>
      </c>
      <c r="BR16" s="528">
        <f t="shared" si="39"/>
        <v>8.7945128998053613E-3</v>
      </c>
      <c r="BS16" s="528">
        <f t="shared" si="104"/>
        <v>4.3057338952046491E-2</v>
      </c>
      <c r="BT16" s="528">
        <f t="shared" si="40"/>
        <v>1.563074636727626E-4</v>
      </c>
      <c r="BU16" s="528">
        <f t="shared" si="41"/>
        <v>1.6144243293197515</v>
      </c>
      <c r="BV16" s="528">
        <f t="shared" si="42"/>
        <v>1.6859290120432429</v>
      </c>
      <c r="BW16" s="625">
        <f t="shared" si="43"/>
        <v>0.3361226826374929</v>
      </c>
      <c r="BX16" s="460">
        <f t="shared" si="105"/>
        <v>2022.0516946807359</v>
      </c>
      <c r="BY16" s="173">
        <f t="shared" si="106"/>
        <v>3.7531674529263839</v>
      </c>
      <c r="BZ16" s="5">
        <f t="shared" si="107"/>
        <v>8.5250000000000004</v>
      </c>
      <c r="CA16" s="173">
        <f t="shared" si="108"/>
        <v>0.69432185484391218</v>
      </c>
      <c r="CB16" s="5">
        <f t="shared" si="109"/>
        <v>69.432185484391212</v>
      </c>
      <c r="CC16">
        <f t="shared" si="110"/>
        <v>11.000000000000002</v>
      </c>
      <c r="CE16" s="562">
        <f t="shared" si="44"/>
        <v>-50</v>
      </c>
      <c r="CF16">
        <f t="shared" si="45"/>
        <v>-50</v>
      </c>
      <c r="CG16" s="173">
        <f t="shared" si="46"/>
        <v>0.16586918950838647</v>
      </c>
      <c r="CH16" s="173">
        <f t="shared" si="47"/>
        <v>5.3788931286277285E-2</v>
      </c>
      <c r="CI16" s="170">
        <v>11</v>
      </c>
      <c r="CJ16" s="217">
        <f t="shared" si="133"/>
        <v>0.27500000000000002</v>
      </c>
      <c r="CK16" s="217">
        <f t="shared" si="111"/>
        <v>2.75E-2</v>
      </c>
      <c r="CL16" s="217">
        <f t="shared" si="48"/>
        <v>7.7000000000000011</v>
      </c>
      <c r="CM16" s="217">
        <f t="shared" si="134"/>
        <v>0.82499999999999996</v>
      </c>
      <c r="CN16" s="541">
        <f t="shared" si="112"/>
        <v>28</v>
      </c>
      <c r="CO16" s="443">
        <f t="shared" si="49"/>
        <v>28.7</v>
      </c>
      <c r="CP16" s="443">
        <f t="shared" si="50"/>
        <v>56.7</v>
      </c>
      <c r="CQ16" s="443"/>
      <c r="CR16" s="217">
        <f t="shared" si="113"/>
        <v>0.50354609929078009</v>
      </c>
      <c r="CS16" s="172">
        <f t="shared" si="114"/>
        <v>106.12369404407841</v>
      </c>
      <c r="CT16" s="172">
        <f t="shared" si="51"/>
        <v>12.588652482269502</v>
      </c>
      <c r="CU16" s="217">
        <f t="shared" si="52"/>
        <v>3.7901319301456575</v>
      </c>
      <c r="CV16" s="217">
        <f t="shared" si="53"/>
        <v>3.5374564681359471</v>
      </c>
      <c r="CW16" s="443">
        <f t="shared" si="54"/>
        <v>28</v>
      </c>
      <c r="CX16" s="217">
        <f t="shared" si="55"/>
        <v>1.209280684104628</v>
      </c>
      <c r="CY16" s="217">
        <f t="shared" si="56"/>
        <v>0.20298640054613398</v>
      </c>
      <c r="CZ16" s="217">
        <f t="shared" si="57"/>
        <v>0.19803551272793557</v>
      </c>
      <c r="DA16" s="197">
        <f t="shared" si="58"/>
        <v>350</v>
      </c>
      <c r="DB16" s="443">
        <f t="shared" si="115"/>
        <v>350</v>
      </c>
      <c r="DD16" s="217">
        <f t="shared" si="59"/>
        <v>8.6157079064880477</v>
      </c>
      <c r="DE16" s="173">
        <f t="shared" si="60"/>
        <v>1.4109347442680775</v>
      </c>
      <c r="DF16" s="173">
        <f t="shared" si="61"/>
        <v>2.1273352855526046</v>
      </c>
      <c r="DG16" s="173"/>
      <c r="DH16" s="173">
        <f t="shared" si="62"/>
        <v>0.54587688734030204</v>
      </c>
      <c r="DI16" s="545">
        <f t="shared" si="63"/>
        <v>302.2659574468085</v>
      </c>
      <c r="DJ16" s="528">
        <f t="shared" si="64"/>
        <v>0.31842818428184283</v>
      </c>
      <c r="DL16" s="173">
        <f t="shared" si="65"/>
        <v>3.2194318817669347</v>
      </c>
      <c r="DM16" s="173">
        <f t="shared" si="66"/>
        <v>3.3333333333333335</v>
      </c>
      <c r="DN16" s="173">
        <f t="shared" si="67"/>
        <v>1.1727234042553192</v>
      </c>
      <c r="DP16" s="545">
        <f t="shared" si="68"/>
        <v>275</v>
      </c>
      <c r="DQ16" s="460">
        <f t="shared" si="69"/>
        <v>302.2659574468085</v>
      </c>
      <c r="DS16">
        <f t="shared" si="116"/>
        <v>275</v>
      </c>
      <c r="DT16" s="460">
        <f t="shared" si="70"/>
        <v>302.2659574468085</v>
      </c>
      <c r="DU16" s="460"/>
      <c r="DV16" s="5">
        <f t="shared" si="117"/>
        <v>3.3083447717594061</v>
      </c>
      <c r="DW16" s="5">
        <f t="shared" si="71"/>
        <v>0.55952380952380953</v>
      </c>
      <c r="DX16" s="5">
        <f t="shared" si="118"/>
        <v>2.7488209622355964</v>
      </c>
      <c r="DY16" s="173">
        <f t="shared" si="119"/>
        <v>0.169125</v>
      </c>
      <c r="EA16" s="5">
        <f t="shared" si="72"/>
        <v>0.54953231292517013</v>
      </c>
      <c r="EB16" s="5">
        <f t="shared" si="73"/>
        <v>5.1289682539682545E-2</v>
      </c>
      <c r="EC16" s="5">
        <f t="shared" si="74"/>
        <v>0.53994697472484932</v>
      </c>
      <c r="ED16" s="5"/>
      <c r="EE16" s="173">
        <f t="shared" si="120"/>
        <v>0.79144733803891776</v>
      </c>
      <c r="EF16" s="173">
        <f t="shared" si="75"/>
        <v>1.754227697539523</v>
      </c>
      <c r="EG16" s="173">
        <f t="shared" si="76"/>
        <v>0.17686066130931258</v>
      </c>
      <c r="EH16" s="173"/>
      <c r="EI16" s="528">
        <f t="shared" si="77"/>
        <v>7.516666666666668E-3</v>
      </c>
      <c r="EJ16" s="528">
        <f t="shared" si="78"/>
        <v>1.0854370531914896</v>
      </c>
      <c r="EK16" s="528">
        <f t="shared" si="79"/>
        <v>3.4760585106382982E-2</v>
      </c>
      <c r="EL16" s="528">
        <f t="shared" si="80"/>
        <v>0.47858776343856385</v>
      </c>
      <c r="EM16">
        <f t="shared" si="81"/>
        <v>1.26E-2</v>
      </c>
      <c r="EN16" s="460">
        <f t="shared" si="121"/>
        <v>47.360585106382985</v>
      </c>
      <c r="EO16">
        <f t="shared" si="82"/>
        <v>1.6238316668067534</v>
      </c>
      <c r="EP16" s="460">
        <f t="shared" si="122"/>
        <v>1623.8316668067534</v>
      </c>
      <c r="EQ16" s="173">
        <f t="shared" si="83"/>
        <v>0.184415</v>
      </c>
      <c r="ER16" s="173">
        <f t="shared" si="84"/>
        <v>1.31725E-2</v>
      </c>
      <c r="ES16" s="528"/>
      <c r="EU16" s="460">
        <f t="shared" si="123"/>
        <v>197.58750000000001</v>
      </c>
      <c r="EV16" s="528">
        <f t="shared" si="85"/>
        <v>8.769444444444446E-3</v>
      </c>
      <c r="EW16" s="528">
        <f t="shared" si="124"/>
        <v>4.308240740740743E-2</v>
      </c>
      <c r="EX16" s="528">
        <f t="shared" si="86"/>
        <v>1.5639846759383686E-4</v>
      </c>
      <c r="EY16" s="528">
        <f t="shared" si="87"/>
        <v>1.6111647882128641</v>
      </c>
      <c r="EZ16" s="528">
        <f t="shared" si="88"/>
        <v>1.6826559780737105</v>
      </c>
      <c r="FA16" s="625">
        <f t="shared" si="89"/>
        <v>0.3358510638297873</v>
      </c>
      <c r="FB16" s="460">
        <f t="shared" si="125"/>
        <v>2018.5070419034976</v>
      </c>
      <c r="FC16" s="173">
        <f t="shared" si="126"/>
        <v>3.839926208710251</v>
      </c>
      <c r="FD16" s="5">
        <f t="shared" si="127"/>
        <v>8.5250000000000004</v>
      </c>
      <c r="FE16" s="173">
        <f t="shared" si="128"/>
        <v>0.68945013145284417</v>
      </c>
      <c r="FF16" s="5">
        <f t="shared" si="129"/>
        <v>68.94501314528442</v>
      </c>
      <c r="FG16">
        <f t="shared" si="130"/>
        <v>11.000000000000002</v>
      </c>
      <c r="FI16" s="562">
        <f t="shared" si="90"/>
        <v>-50</v>
      </c>
      <c r="FJ16">
        <f t="shared" si="91"/>
        <v>-50</v>
      </c>
      <c r="FL16">
        <f t="shared" si="92"/>
        <v>0.16586918950838644</v>
      </c>
    </row>
    <row r="17" spans="5:168">
      <c r="E17" s="170">
        <v>12</v>
      </c>
      <c r="F17" s="217">
        <f t="shared" si="131"/>
        <v>0.3</v>
      </c>
      <c r="G17" s="217">
        <f t="shared" si="93"/>
        <v>0.03</v>
      </c>
      <c r="H17" s="217">
        <f t="shared" si="0"/>
        <v>8.4</v>
      </c>
      <c r="I17" s="217">
        <f t="shared" si="132"/>
        <v>0.89999999999999991</v>
      </c>
      <c r="J17" s="541">
        <f t="shared" si="1"/>
        <v>27.942767356471048</v>
      </c>
      <c r="K17" s="443">
        <f t="shared" si="2"/>
        <v>28.723211061749385</v>
      </c>
      <c r="L17" s="172">
        <f t="shared" si="3"/>
        <v>56.665978418220433</v>
      </c>
      <c r="M17" s="443"/>
      <c r="N17" s="217">
        <f t="shared" si="4"/>
        <v>0.50688635162635254</v>
      </c>
      <c r="O17" s="172">
        <f t="shared" si="94"/>
        <v>106.60930300823532</v>
      </c>
      <c r="P17" s="172">
        <f t="shared" si="5"/>
        <v>12.64625660684424</v>
      </c>
      <c r="Q17" s="217">
        <f t="shared" si="6"/>
        <v>3.8074751074369755</v>
      </c>
      <c r="R17" s="217">
        <f t="shared" si="7"/>
        <v>3.553643433607844</v>
      </c>
      <c r="S17" s="443">
        <f t="shared" si="8"/>
        <v>28</v>
      </c>
      <c r="T17" s="217">
        <f t="shared" si="9"/>
        <v>1.313206221685788</v>
      </c>
      <c r="U17" s="217">
        <f t="shared" si="10"/>
        <v>0.22088253332910715</v>
      </c>
      <c r="V17" s="217">
        <f t="shared" si="11"/>
        <v>0.21488089297030338</v>
      </c>
      <c r="W17" s="197">
        <f t="shared" si="12"/>
        <v>350</v>
      </c>
      <c r="X17" s="443">
        <f t="shared" si="95"/>
        <v>350</v>
      </c>
      <c r="Z17" s="217">
        <f t="shared" si="13"/>
        <v>8.6102172642343753</v>
      </c>
      <c r="AA17" s="173">
        <f t="shared" si="14"/>
        <v>1.4088961382104213</v>
      </c>
      <c r="AB17" s="173">
        <f t="shared" si="15"/>
        <v>2.1229078242281894</v>
      </c>
      <c r="AC17" s="173"/>
      <c r="AD17" s="173">
        <f t="shared" si="16"/>
        <v>0.54543576736550603</v>
      </c>
      <c r="AE17" s="545">
        <f t="shared" si="17"/>
        <v>330.01136113499297</v>
      </c>
      <c r="AF17" s="528">
        <f t="shared" si="18"/>
        <v>0.31817086429654512</v>
      </c>
      <c r="AH17" s="173">
        <f t="shared" si="19"/>
        <v>3.3625869329221763</v>
      </c>
      <c r="AI17" s="173">
        <f t="shared" si="20"/>
        <v>3.3625869329221763</v>
      </c>
      <c r="AJ17" s="173">
        <f t="shared" si="21"/>
        <v>1.1885779206485674</v>
      </c>
      <c r="AL17" s="545">
        <f t="shared" si="22"/>
        <v>300</v>
      </c>
      <c r="AM17" s="460">
        <f t="shared" si="23"/>
        <v>330.01136113499297</v>
      </c>
      <c r="AO17">
        <f t="shared" si="96"/>
        <v>300</v>
      </c>
      <c r="AP17" s="460">
        <f t="shared" si="24"/>
        <v>330.01136113499297</v>
      </c>
      <c r="AQ17" s="460"/>
      <c r="AR17" s="5">
        <f t="shared" si="97"/>
        <v>3.0301987075861443</v>
      </c>
      <c r="AS17" s="5">
        <f t="shared" si="25"/>
        <v>0.56559031477153487</v>
      </c>
      <c r="AT17" s="5">
        <f t="shared" si="98"/>
        <v>2.4646083928146094</v>
      </c>
      <c r="AU17" s="173">
        <f t="shared" si="99"/>
        <v>0.18665122962252334</v>
      </c>
      <c r="AW17" s="5">
        <f t="shared" si="26"/>
        <v>0.60598962296950165</v>
      </c>
      <c r="AX17" s="5">
        <f t="shared" si="27"/>
        <v>5.6559031477153486E-2</v>
      </c>
      <c r="AY17" s="5">
        <f t="shared" si="28"/>
        <v>0.5292120915669829</v>
      </c>
      <c r="AZ17" s="5"/>
      <c r="BA17" s="173">
        <f t="shared" si="100"/>
        <v>0.83874186560486241</v>
      </c>
      <c r="BB17" s="173">
        <f t="shared" si="29"/>
        <v>1.7508595156002658</v>
      </c>
      <c r="BC17" s="173">
        <f t="shared" si="30"/>
        <v>0.17652108231051858</v>
      </c>
      <c r="BD17" s="173"/>
      <c r="BE17" s="528">
        <f t="shared" si="31"/>
        <v>8.4418550054199005E-3</v>
      </c>
      <c r="BF17" s="528">
        <f t="shared" si="32"/>
        <v>1.1475924252766767</v>
      </c>
      <c r="BG17" s="528">
        <f t="shared" si="33"/>
        <v>3.7951306530524191E-2</v>
      </c>
      <c r="BH17" s="528">
        <f t="shared" si="34"/>
        <v>0.52189112310102426</v>
      </c>
      <c r="BI17">
        <f t="shared" si="35"/>
        <v>1.2574245310411972E-2</v>
      </c>
      <c r="BJ17" s="460">
        <f t="shared" si="101"/>
        <v>50.52555184093616</v>
      </c>
      <c r="BK17">
        <f t="shared" si="36"/>
        <v>1.6835816065451743</v>
      </c>
      <c r="BL17" s="460">
        <f t="shared" si="102"/>
        <v>1683.5816065451743</v>
      </c>
      <c r="BM17" s="173">
        <f t="shared" si="37"/>
        <v>0.20118</v>
      </c>
      <c r="BN17" s="173">
        <f t="shared" si="38"/>
        <v>1.4369999999999999E-2</v>
      </c>
      <c r="BO17" s="528"/>
      <c r="BQ17" s="460">
        <f t="shared" si="103"/>
        <v>215.54999999999998</v>
      </c>
      <c r="BR17" s="528">
        <f t="shared" si="39"/>
        <v>9.8488308396565503E-3</v>
      </c>
      <c r="BS17" s="528">
        <f t="shared" si="104"/>
        <v>4.2917126607151961E-2</v>
      </c>
      <c r="BT17" s="528">
        <f t="shared" si="40"/>
        <v>1.5579846250038439E-4</v>
      </c>
      <c r="BU17" s="528">
        <f t="shared" si="41"/>
        <v>2.0510489967048309</v>
      </c>
      <c r="BV17" s="528">
        <f t="shared" si="42"/>
        <v>2.1256715155595591</v>
      </c>
      <c r="BW17" s="625">
        <f t="shared" si="43"/>
        <v>0.37314354511312281</v>
      </c>
      <c r="BX17" s="460">
        <f t="shared" si="105"/>
        <v>2498.8150606726822</v>
      </c>
      <c r="BY17" s="173">
        <f t="shared" si="106"/>
        <v>4.3979466672178562</v>
      </c>
      <c r="BZ17" s="5">
        <f t="shared" si="107"/>
        <v>9.3000000000000007</v>
      </c>
      <c r="CA17" s="173">
        <f t="shared" si="108"/>
        <v>0.67893387424678098</v>
      </c>
      <c r="CB17" s="5">
        <f t="shared" si="109"/>
        <v>67.893387424678096</v>
      </c>
      <c r="CC17">
        <f t="shared" si="110"/>
        <v>12</v>
      </c>
      <c r="CE17" s="562">
        <f t="shared" si="44"/>
        <v>-50</v>
      </c>
      <c r="CF17">
        <f t="shared" si="45"/>
        <v>-50</v>
      </c>
      <c r="CG17" s="173">
        <f t="shared" si="46"/>
        <v>0.18094820673642156</v>
      </c>
      <c r="CH17" s="173">
        <f t="shared" si="47"/>
        <v>5.867883413048431E-2</v>
      </c>
      <c r="CI17" s="170">
        <v>12</v>
      </c>
      <c r="CJ17" s="217">
        <f t="shared" si="133"/>
        <v>0.3</v>
      </c>
      <c r="CK17" s="217">
        <f t="shared" si="111"/>
        <v>0.03</v>
      </c>
      <c r="CL17" s="217">
        <f t="shared" si="48"/>
        <v>8.4</v>
      </c>
      <c r="CM17" s="217">
        <f t="shared" si="134"/>
        <v>0.89999999999999991</v>
      </c>
      <c r="CN17" s="541">
        <f t="shared" si="112"/>
        <v>28</v>
      </c>
      <c r="CO17" s="443">
        <f t="shared" si="49"/>
        <v>28.7</v>
      </c>
      <c r="CP17" s="443">
        <f t="shared" si="50"/>
        <v>56.7</v>
      </c>
      <c r="CQ17" s="443"/>
      <c r="CR17" s="217">
        <f t="shared" si="113"/>
        <v>0.50354609929078009</v>
      </c>
      <c r="CS17" s="172">
        <f t="shared" si="114"/>
        <v>106.12369404407841</v>
      </c>
      <c r="CT17" s="172">
        <f t="shared" si="51"/>
        <v>12.588652482269502</v>
      </c>
      <c r="CU17" s="217">
        <f t="shared" si="52"/>
        <v>3.7901319301456575</v>
      </c>
      <c r="CV17" s="217">
        <f t="shared" si="53"/>
        <v>3.5374564681359471</v>
      </c>
      <c r="CW17" s="443">
        <f t="shared" si="54"/>
        <v>28</v>
      </c>
      <c r="CX17" s="217">
        <f t="shared" si="55"/>
        <v>1.3192152917505033</v>
      </c>
      <c r="CY17" s="217">
        <f t="shared" si="56"/>
        <v>0.22143970968669163</v>
      </c>
      <c r="CZ17" s="217">
        <f t="shared" si="57"/>
        <v>0.21603874115774796</v>
      </c>
      <c r="DA17" s="197">
        <f t="shared" si="58"/>
        <v>350</v>
      </c>
      <c r="DB17" s="443">
        <f t="shared" si="115"/>
        <v>350</v>
      </c>
      <c r="DD17" s="217">
        <f t="shared" si="59"/>
        <v>8.6157079064880477</v>
      </c>
      <c r="DE17" s="173">
        <f t="shared" si="60"/>
        <v>1.4109347442680775</v>
      </c>
      <c r="DF17" s="173">
        <f t="shared" si="61"/>
        <v>2.1273352855526046</v>
      </c>
      <c r="DG17" s="173"/>
      <c r="DH17" s="173">
        <f t="shared" si="62"/>
        <v>0.54587688734030204</v>
      </c>
      <c r="DI17" s="545">
        <f t="shared" si="63"/>
        <v>329.74468085106383</v>
      </c>
      <c r="DJ17" s="528">
        <f t="shared" si="64"/>
        <v>0.31842818428184283</v>
      </c>
      <c r="DL17" s="173">
        <f t="shared" si="65"/>
        <v>3.3625869329221763</v>
      </c>
      <c r="DM17" s="173">
        <f t="shared" si="66"/>
        <v>3.3625869329221763</v>
      </c>
      <c r="DN17" s="173">
        <f t="shared" si="67"/>
        <v>1.1884255319148935</v>
      </c>
      <c r="DP17" s="545">
        <f t="shared" si="68"/>
        <v>300</v>
      </c>
      <c r="DQ17" s="460">
        <f t="shared" si="69"/>
        <v>329.74468085106383</v>
      </c>
      <c r="DS17">
        <f t="shared" si="116"/>
        <v>300</v>
      </c>
      <c r="DT17" s="460">
        <f t="shared" si="70"/>
        <v>329.74468085106383</v>
      </c>
      <c r="DU17" s="460"/>
      <c r="DV17" s="5">
        <f t="shared" si="117"/>
        <v>3.0326493741127885</v>
      </c>
      <c r="DW17" s="5">
        <f t="shared" si="71"/>
        <v>0.56443423516907953</v>
      </c>
      <c r="DX17" s="5">
        <f t="shared" si="118"/>
        <v>2.4682151389437088</v>
      </c>
      <c r="DY17" s="173">
        <f t="shared" si="119"/>
        <v>0.18611918673724245</v>
      </c>
      <c r="EA17" s="5">
        <f t="shared" si="72"/>
        <v>0.60475096625258529</v>
      </c>
      <c r="EB17" s="5">
        <f t="shared" si="73"/>
        <v>5.6443423516907947E-2</v>
      </c>
      <c r="EC17" s="5">
        <f t="shared" si="74"/>
        <v>0.52890324405936606</v>
      </c>
      <c r="ED17" s="5"/>
      <c r="EE17" s="173">
        <f t="shared" si="120"/>
        <v>0.83754561016153217</v>
      </c>
      <c r="EF17" s="173">
        <f t="shared" si="75"/>
        <v>1.7514320744423602</v>
      </c>
      <c r="EG17" s="173">
        <f t="shared" si="76"/>
        <v>0.17657880750525434</v>
      </c>
      <c r="EH17" s="173"/>
      <c r="EI17" s="528">
        <f t="shared" si="77"/>
        <v>8.4177917892102397E-3</v>
      </c>
      <c r="EJ17" s="528">
        <f t="shared" si="78"/>
        <v>1.1945050205142291</v>
      </c>
      <c r="EK17" s="528">
        <f t="shared" si="79"/>
        <v>3.7920638297872344E-2</v>
      </c>
      <c r="EL17" s="528">
        <f t="shared" si="80"/>
        <v>0.52209574193297881</v>
      </c>
      <c r="EM17">
        <f t="shared" si="81"/>
        <v>1.26E-2</v>
      </c>
      <c r="EN17" s="460">
        <f t="shared" si="121"/>
        <v>50.520638297872345</v>
      </c>
      <c r="EO17">
        <f t="shared" si="82"/>
        <v>1.7813748659877482</v>
      </c>
      <c r="EP17" s="460">
        <f t="shared" si="122"/>
        <v>1781.3748659877481</v>
      </c>
      <c r="EQ17" s="173">
        <f t="shared" si="83"/>
        <v>0.20118</v>
      </c>
      <c r="ER17" s="173">
        <f t="shared" si="84"/>
        <v>1.4369999999999999E-2</v>
      </c>
      <c r="ES17" s="528"/>
      <c r="EU17" s="460">
        <f t="shared" si="123"/>
        <v>215.54999999999998</v>
      </c>
      <c r="EV17" s="528">
        <f t="shared" si="85"/>
        <v>9.8207570874119451E-3</v>
      </c>
      <c r="EW17" s="528">
        <f t="shared" si="124"/>
        <v>4.2945200359396571E-2</v>
      </c>
      <c r="EX17" s="528">
        <f t="shared" si="86"/>
        <v>1.5590037629988833E-4</v>
      </c>
      <c r="EY17" s="528">
        <f t="shared" si="87"/>
        <v>2.0469079054219601</v>
      </c>
      <c r="EZ17" s="528">
        <f t="shared" si="88"/>
        <v>2.1215129617089699</v>
      </c>
      <c r="FA17" s="625">
        <f t="shared" si="89"/>
        <v>0.37284200995925765</v>
      </c>
      <c r="FB17" s="460">
        <f t="shared" si="125"/>
        <v>2494.3549716682278</v>
      </c>
      <c r="FC17" s="173">
        <f t="shared" si="126"/>
        <v>4.4912798376559762</v>
      </c>
      <c r="FD17" s="5">
        <f t="shared" si="127"/>
        <v>9.3000000000000007</v>
      </c>
      <c r="FE17" s="173">
        <f t="shared" si="128"/>
        <v>0.67433915557329938</v>
      </c>
      <c r="FF17" s="5">
        <f t="shared" si="129"/>
        <v>67.433915557329939</v>
      </c>
      <c r="FG17">
        <f t="shared" si="130"/>
        <v>12</v>
      </c>
      <c r="FI17" s="562">
        <f t="shared" si="90"/>
        <v>-50</v>
      </c>
      <c r="FJ17">
        <f t="shared" si="91"/>
        <v>-50</v>
      </c>
      <c r="FL17">
        <f t="shared" si="92"/>
        <v>0.18094820673642156</v>
      </c>
    </row>
    <row r="18" spans="5:168">
      <c r="E18" s="170">
        <v>13</v>
      </c>
      <c r="F18" s="217">
        <f t="shared" si="131"/>
        <v>0.32500000000000001</v>
      </c>
      <c r="G18" s="217">
        <f t="shared" si="93"/>
        <v>3.2500000000000001E-2</v>
      </c>
      <c r="H18" s="217">
        <f t="shared" si="0"/>
        <v>9.1</v>
      </c>
      <c r="I18" s="217">
        <f t="shared" si="132"/>
        <v>0.97500000000000009</v>
      </c>
      <c r="J18" s="541">
        <f t="shared" si="1"/>
        <v>27.942179780458034</v>
      </c>
      <c r="K18" s="443">
        <f t="shared" si="2"/>
        <v>28.723449356929894</v>
      </c>
      <c r="L18" s="172">
        <f t="shared" si="3"/>
        <v>56.665629137387924</v>
      </c>
      <c r="M18" s="443"/>
      <c r="N18" s="217">
        <f t="shared" si="4"/>
        <v>0.50689368130527279</v>
      </c>
      <c r="O18" s="172">
        <f t="shared" si="94"/>
        <v>106.60860280459239</v>
      </c>
      <c r="P18" s="172">
        <f t="shared" si="5"/>
        <v>12.646173546973332</v>
      </c>
      <c r="Q18" s="217">
        <f t="shared" si="6"/>
        <v>3.8074501001640142</v>
      </c>
      <c r="R18" s="217">
        <f t="shared" si="7"/>
        <v>3.5536200934864133</v>
      </c>
      <c r="S18" s="443">
        <f t="shared" si="8"/>
        <v>28</v>
      </c>
      <c r="T18" s="217">
        <f t="shared" si="9"/>
        <v>1.4226494173707838</v>
      </c>
      <c r="U18" s="217">
        <f t="shared" si="10"/>
        <v>0.23929601463372582</v>
      </c>
      <c r="V18" s="217">
        <f t="shared" si="11"/>
        <v>0.23278723173369473</v>
      </c>
      <c r="W18" s="197">
        <f t="shared" si="12"/>
        <v>350</v>
      </c>
      <c r="X18" s="443">
        <f t="shared" si="95"/>
        <v>350</v>
      </c>
      <c r="Z18" s="217">
        <f t="shared" si="13"/>
        <v>8.6101607128329061</v>
      </c>
      <c r="AA18" s="173">
        <f t="shared" si="14"/>
        <v>1.4088751962706492</v>
      </c>
      <c r="AB18" s="173">
        <f t="shared" si="15"/>
        <v>2.1228623262375015</v>
      </c>
      <c r="AC18" s="173"/>
      <c r="AD18" s="173">
        <f t="shared" si="16"/>
        <v>0.54543124232699047</v>
      </c>
      <c r="AE18" s="545">
        <f t="shared" si="17"/>
        <v>357.51527391072318</v>
      </c>
      <c r="AF18" s="528">
        <f t="shared" si="18"/>
        <v>0.31816822469074446</v>
      </c>
      <c r="AH18" s="173">
        <f t="shared" si="19"/>
        <v>3.4998914442565998</v>
      </c>
      <c r="AI18" s="173">
        <f t="shared" si="20"/>
        <v>3.4998914442565998</v>
      </c>
      <c r="AJ18" s="173">
        <f t="shared" si="21"/>
        <v>1.3233763784616788</v>
      </c>
      <c r="AL18" s="545">
        <f t="shared" si="22"/>
        <v>325</v>
      </c>
      <c r="AM18" s="460">
        <f t="shared" si="23"/>
        <v>350</v>
      </c>
      <c r="AO18">
        <f t="shared" si="96"/>
        <v>325</v>
      </c>
      <c r="AP18" s="460">
        <f t="shared" si="24"/>
        <v>350</v>
      </c>
      <c r="AQ18" s="460"/>
      <c r="AR18" s="5">
        <f t="shared" si="97"/>
        <v>2.8571428571428572</v>
      </c>
      <c r="AS18" s="5">
        <f t="shared" si="25"/>
        <v>0.58869744297867288</v>
      </c>
      <c r="AT18" s="5">
        <f t="shared" si="98"/>
        <v>2.2684454141641845</v>
      </c>
      <c r="AU18" s="173">
        <f t="shared" si="99"/>
        <v>0.20604410504253551</v>
      </c>
      <c r="AW18" s="5">
        <f t="shared" si="26"/>
        <v>0.68330953202881672</v>
      </c>
      <c r="AX18" s="5">
        <f t="shared" si="27"/>
        <v>6.3775556322689553E-2</v>
      </c>
      <c r="AY18" s="5">
        <f t="shared" si="28"/>
        <v>0.52769309008523946</v>
      </c>
      <c r="AZ18" s="5"/>
      <c r="BA18" s="173">
        <f t="shared" si="100"/>
        <v>0.91722111443609622</v>
      </c>
      <c r="BB18" s="173">
        <f t="shared" si="29"/>
        <v>1.8004958949576797</v>
      </c>
      <c r="BC18" s="173">
        <f t="shared" si="30"/>
        <v>0.18152540580311033</v>
      </c>
      <c r="BD18" s="173"/>
      <c r="BE18" s="528">
        <f t="shared" si="31"/>
        <v>1.0095534873208731E-2</v>
      </c>
      <c r="BF18" s="528">
        <f t="shared" si="32"/>
        <v>1.2667916794661966</v>
      </c>
      <c r="BG18" s="528">
        <f t="shared" si="33"/>
        <v>4.0250000000000001E-2</v>
      </c>
      <c r="BH18" s="528">
        <f t="shared" si="34"/>
        <v>0.55349500896426584</v>
      </c>
      <c r="BI18">
        <f t="shared" si="35"/>
        <v>1.2573980901206115E-2</v>
      </c>
      <c r="BJ18" s="460">
        <f t="shared" si="101"/>
        <v>52.823980901206113</v>
      </c>
      <c r="BK18">
        <f t="shared" si="36"/>
        <v>1.8375156648650293</v>
      </c>
      <c r="BL18" s="460">
        <f t="shared" si="102"/>
        <v>1837.5156648650293</v>
      </c>
      <c r="BM18" s="173">
        <f t="shared" si="37"/>
        <v>0.21794499999999997</v>
      </c>
      <c r="BN18" s="173">
        <f t="shared" si="38"/>
        <v>1.55675E-2</v>
      </c>
      <c r="BO18" s="528"/>
      <c r="BQ18" s="460">
        <f t="shared" si="103"/>
        <v>233.51249999999999</v>
      </c>
      <c r="BR18" s="528">
        <f t="shared" si="39"/>
        <v>1.177812401874352E-2</v>
      </c>
      <c r="BS18" s="528">
        <f t="shared" si="104"/>
        <v>4.5384996548632379E-2</v>
      </c>
      <c r="BT18" s="528">
        <f t="shared" si="40"/>
        <v>1.6475736475991942E-4</v>
      </c>
      <c r="BU18" s="528">
        <f t="shared" si="41"/>
        <v>2.6258901279086788</v>
      </c>
      <c r="BV18" s="528">
        <f t="shared" si="42"/>
        <v>2.7094026408536362</v>
      </c>
      <c r="BW18" s="625">
        <f t="shared" si="43"/>
        <v>0.42872340425531924</v>
      </c>
      <c r="BX18" s="460">
        <f t="shared" si="105"/>
        <v>3138.1260451089556</v>
      </c>
      <c r="BY18" s="173">
        <f t="shared" si="106"/>
        <v>5.2091542099739856</v>
      </c>
      <c r="BZ18" s="5">
        <f t="shared" si="107"/>
        <v>10.074999999999999</v>
      </c>
      <c r="CA18" s="173">
        <f t="shared" si="108"/>
        <v>0.65917942606371727</v>
      </c>
      <c r="CB18" s="5">
        <f t="shared" si="109"/>
        <v>65.917942606371724</v>
      </c>
      <c r="CC18">
        <f t="shared" si="110"/>
        <v>13</v>
      </c>
      <c r="CE18" s="562">
        <f t="shared" si="44"/>
        <v>-50</v>
      </c>
      <c r="CF18">
        <f t="shared" si="45"/>
        <v>-50</v>
      </c>
      <c r="CG18" s="173">
        <f t="shared" si="46"/>
        <v>0.19403517177904617</v>
      </c>
      <c r="CH18" s="173">
        <f t="shared" si="47"/>
        <v>6.2922743837344336E-2</v>
      </c>
      <c r="CI18" s="170">
        <v>13</v>
      </c>
      <c r="CJ18" s="217">
        <f t="shared" si="133"/>
        <v>0.32500000000000001</v>
      </c>
      <c r="CK18" s="217">
        <f t="shared" si="111"/>
        <v>3.2500000000000001E-2</v>
      </c>
      <c r="CL18" s="217">
        <f t="shared" si="48"/>
        <v>9.1</v>
      </c>
      <c r="CM18" s="217">
        <f t="shared" si="134"/>
        <v>0.97500000000000009</v>
      </c>
      <c r="CN18" s="541">
        <f t="shared" si="112"/>
        <v>28</v>
      </c>
      <c r="CO18" s="443">
        <f t="shared" si="49"/>
        <v>28.7</v>
      </c>
      <c r="CP18" s="443">
        <f t="shared" si="50"/>
        <v>56.7</v>
      </c>
      <c r="CQ18" s="443"/>
      <c r="CR18" s="217">
        <f t="shared" si="113"/>
        <v>0.50354609929078009</v>
      </c>
      <c r="CS18" s="172">
        <f t="shared" si="114"/>
        <v>106.12369404407841</v>
      </c>
      <c r="CT18" s="172">
        <f t="shared" si="51"/>
        <v>12.588652482269502</v>
      </c>
      <c r="CU18" s="217">
        <f t="shared" si="52"/>
        <v>3.7901319301456575</v>
      </c>
      <c r="CV18" s="217">
        <f t="shared" si="53"/>
        <v>3.5374564681359471</v>
      </c>
      <c r="CW18" s="443">
        <f t="shared" si="54"/>
        <v>28</v>
      </c>
      <c r="CX18" s="217">
        <f t="shared" si="55"/>
        <v>1.4291498993963783</v>
      </c>
      <c r="CY18" s="217">
        <f t="shared" si="56"/>
        <v>0.23989301882724923</v>
      </c>
      <c r="CZ18" s="217">
        <f t="shared" si="57"/>
        <v>0.23404196958756021</v>
      </c>
      <c r="DA18" s="197">
        <f t="shared" si="58"/>
        <v>350</v>
      </c>
      <c r="DB18" s="443">
        <f t="shared" si="115"/>
        <v>350</v>
      </c>
      <c r="DD18" s="217">
        <f t="shared" si="59"/>
        <v>8.6157079064880477</v>
      </c>
      <c r="DE18" s="173">
        <f t="shared" si="60"/>
        <v>1.4109347442680775</v>
      </c>
      <c r="DF18" s="173">
        <f t="shared" si="61"/>
        <v>2.1273352855526046</v>
      </c>
      <c r="DG18" s="173"/>
      <c r="DH18" s="173">
        <f t="shared" si="62"/>
        <v>0.54587688734030204</v>
      </c>
      <c r="DI18" s="545">
        <f t="shared" si="63"/>
        <v>357.22340425531917</v>
      </c>
      <c r="DJ18" s="528">
        <f t="shared" si="64"/>
        <v>0.31842818428184283</v>
      </c>
      <c r="DL18" s="173">
        <f t="shared" si="65"/>
        <v>3.4998914442565998</v>
      </c>
      <c r="DM18" s="173">
        <f t="shared" si="66"/>
        <v>3.4998914442565998</v>
      </c>
      <c r="DN18" s="173">
        <f t="shared" si="67"/>
        <v>1.3233763784616788</v>
      </c>
      <c r="DP18" s="545">
        <f t="shared" si="68"/>
        <v>325</v>
      </c>
      <c r="DQ18" s="460">
        <f t="shared" si="69"/>
        <v>350</v>
      </c>
      <c r="DS18">
        <f t="shared" si="116"/>
        <v>325</v>
      </c>
      <c r="DT18" s="460">
        <f t="shared" si="70"/>
        <v>350</v>
      </c>
      <c r="DU18" s="460"/>
      <c r="DV18" s="5">
        <f t="shared" si="117"/>
        <v>2.8571428571428572</v>
      </c>
      <c r="DW18" s="5">
        <f t="shared" si="71"/>
        <v>0.58748177814307212</v>
      </c>
      <c r="DX18" s="5">
        <f t="shared" si="118"/>
        <v>2.2696610789997851</v>
      </c>
      <c r="DY18" s="173">
        <f t="shared" si="119"/>
        <v>0.20561862235007525</v>
      </c>
      <c r="EA18" s="5">
        <f t="shared" si="72"/>
        <v>0.68189849248749446</v>
      </c>
      <c r="EB18" s="5">
        <f t="shared" si="73"/>
        <v>6.3643859298832817E-2</v>
      </c>
      <c r="EC18" s="5">
        <f t="shared" si="74"/>
        <v>0.52688560762495007</v>
      </c>
      <c r="ED18" s="5"/>
      <c r="EE18" s="173">
        <f t="shared" si="120"/>
        <v>0.91627359062575864</v>
      </c>
      <c r="EF18" s="173">
        <f t="shared" si="75"/>
        <v>1.800978275173976</v>
      </c>
      <c r="EG18" s="173">
        <f t="shared" si="76"/>
        <v>0.18157403921835988</v>
      </c>
      <c r="EH18" s="173"/>
      <c r="EI18" s="528">
        <f t="shared" si="77"/>
        <v>1.0074687514538645E-2</v>
      </c>
      <c r="EJ18" s="528">
        <f t="shared" si="78"/>
        <v>1.3196515685141723</v>
      </c>
      <c r="EK18" s="528">
        <f t="shared" si="79"/>
        <v>4.0250000000000001E-2</v>
      </c>
      <c r="EL18" s="528">
        <f t="shared" si="80"/>
        <v>0.55416666375000012</v>
      </c>
      <c r="EM18">
        <f t="shared" si="81"/>
        <v>1.26E-2</v>
      </c>
      <c r="EN18" s="460">
        <f t="shared" si="121"/>
        <v>52.85</v>
      </c>
      <c r="EO18">
        <f t="shared" si="82"/>
        <v>1.9441168067580326</v>
      </c>
      <c r="EP18" s="460">
        <f t="shared" si="122"/>
        <v>1944.1168067580325</v>
      </c>
      <c r="EQ18" s="173">
        <f t="shared" si="83"/>
        <v>0.21794499999999997</v>
      </c>
      <c r="ER18" s="173">
        <f t="shared" si="84"/>
        <v>1.55675E-2</v>
      </c>
      <c r="ES18" s="528"/>
      <c r="EU18" s="460">
        <f t="shared" si="123"/>
        <v>233.51249999999999</v>
      </c>
      <c r="EV18" s="528">
        <f t="shared" si="85"/>
        <v>1.1753802100295085E-2</v>
      </c>
      <c r="EW18" s="528">
        <f t="shared" si="124"/>
        <v>4.5409318467080816E-2</v>
      </c>
      <c r="EX18" s="528">
        <f t="shared" si="86"/>
        <v>1.6484565859035244E-4</v>
      </c>
      <c r="EY18" s="528">
        <f t="shared" si="87"/>
        <v>2.6258901279086788</v>
      </c>
      <c r="EZ18" s="528">
        <f t="shared" si="88"/>
        <v>2.7094027700684786</v>
      </c>
      <c r="FA18" s="625">
        <f t="shared" si="89"/>
        <v>0.42872340425531924</v>
      </c>
      <c r="FB18" s="460">
        <f t="shared" si="125"/>
        <v>3138.1261743237978</v>
      </c>
      <c r="FC18" s="173">
        <f t="shared" si="126"/>
        <v>5.3157554810818306</v>
      </c>
      <c r="FD18" s="5">
        <f t="shared" si="127"/>
        <v>10.074999999999999</v>
      </c>
      <c r="FE18" s="173">
        <f t="shared" si="128"/>
        <v>0.65461373955190794</v>
      </c>
      <c r="FF18" s="5">
        <f t="shared" si="129"/>
        <v>65.461373955190794</v>
      </c>
      <c r="FG18">
        <f t="shared" si="130"/>
        <v>13</v>
      </c>
      <c r="FI18" s="562">
        <f t="shared" si="90"/>
        <v>-50</v>
      </c>
      <c r="FJ18">
        <f t="shared" si="91"/>
        <v>-50</v>
      </c>
      <c r="FL18">
        <f t="shared" si="92"/>
        <v>0.19403517177904617</v>
      </c>
    </row>
    <row r="19" spans="5:168">
      <c r="E19" s="170">
        <v>14</v>
      </c>
      <c r="F19" s="217">
        <f t="shared" si="131"/>
        <v>0.35000000000000003</v>
      </c>
      <c r="G19" s="217">
        <f t="shared" si="93"/>
        <v>3.5000000000000003E-2</v>
      </c>
      <c r="H19" s="217">
        <f t="shared" si="0"/>
        <v>9.8000000000000007</v>
      </c>
      <c r="I19" s="217">
        <f t="shared" si="132"/>
        <v>1.05</v>
      </c>
      <c r="J19" s="541">
        <f t="shared" si="1"/>
        <v>27.939997122485451</v>
      </c>
      <c r="K19" s="443">
        <f t="shared" si="2"/>
        <v>28.724334547720595</v>
      </c>
      <c r="L19" s="172">
        <f t="shared" si="3"/>
        <v>56.664331670206046</v>
      </c>
      <c r="M19" s="443"/>
      <c r="N19" s="217">
        <f t="shared" si="4"/>
        <v>0.50692090952206137</v>
      </c>
      <c r="O19" s="172">
        <f t="shared" si="94"/>
        <v>106.6060013694825</v>
      </c>
      <c r="P19" s="172">
        <f t="shared" si="5"/>
        <v>12.645864958369735</v>
      </c>
      <c r="Q19" s="217">
        <f t="shared" si="6"/>
        <v>3.807357191767232</v>
      </c>
      <c r="R19" s="217">
        <f t="shared" si="7"/>
        <v>3.5535333789827499</v>
      </c>
      <c r="S19" s="443">
        <f t="shared" si="8"/>
        <v>28</v>
      </c>
      <c r="T19" s="217">
        <f t="shared" si="9"/>
        <v>1.5321213743609174</v>
      </c>
      <c r="U19" s="217">
        <f t="shared" si="10"/>
        <v>0.25772982108509745</v>
      </c>
      <c r="V19" s="217">
        <f t="shared" si="11"/>
        <v>0.25069233362162402</v>
      </c>
      <c r="W19" s="197">
        <f t="shared" si="12"/>
        <v>350</v>
      </c>
      <c r="X19" s="443">
        <f t="shared" si="95"/>
        <v>350</v>
      </c>
      <c r="Z19" s="217">
        <f t="shared" si="13"/>
        <v>8.6099506099538612</v>
      </c>
      <c r="AA19" s="173">
        <f t="shared" si="14"/>
        <v>1.4087974013655389</v>
      </c>
      <c r="AB19" s="173">
        <f t="shared" si="15"/>
        <v>2.1226933079080115</v>
      </c>
      <c r="AC19" s="173"/>
      <c r="AD19" s="173">
        <f t="shared" si="16"/>
        <v>0.54541443390582878</v>
      </c>
      <c r="AE19" s="545">
        <f t="shared" si="17"/>
        <v>385.02831415029732</v>
      </c>
      <c r="AF19" s="528">
        <f t="shared" si="18"/>
        <v>0.31815841977840009</v>
      </c>
      <c r="AH19" s="173">
        <f t="shared" si="19"/>
        <v>3.6320089980205346</v>
      </c>
      <c r="AI19" s="173">
        <f t="shared" si="20"/>
        <v>3.6320089980205346</v>
      </c>
      <c r="AJ19" s="173">
        <f t="shared" si="21"/>
        <v>1.4212412331016304</v>
      </c>
      <c r="AL19" s="545">
        <f t="shared" si="22"/>
        <v>350.00000000000006</v>
      </c>
      <c r="AM19" s="460">
        <f t="shared" si="23"/>
        <v>350</v>
      </c>
      <c r="AO19">
        <f t="shared" si="96"/>
        <v>350.00000000000006</v>
      </c>
      <c r="AP19" s="460">
        <f t="shared" si="24"/>
        <v>350</v>
      </c>
      <c r="AQ19" s="460"/>
      <c r="AR19" s="5">
        <f t="shared" si="97"/>
        <v>2.8571428571428572</v>
      </c>
      <c r="AS19" s="5">
        <f t="shared" si="25"/>
        <v>0.61096793302668684</v>
      </c>
      <c r="AT19" s="5">
        <f t="shared" si="98"/>
        <v>2.2461749241161701</v>
      </c>
      <c r="AU19" s="173">
        <f t="shared" si="99"/>
        <v>0.21383877655934039</v>
      </c>
      <c r="AW19" s="5">
        <f t="shared" si="26"/>
        <v>0.7637099162833586</v>
      </c>
      <c r="AX19" s="5">
        <f t="shared" si="27"/>
        <v>7.1279592186446805E-2</v>
      </c>
      <c r="AY19" s="5">
        <f t="shared" si="28"/>
        <v>0.56274968103556144</v>
      </c>
      <c r="AZ19" s="5"/>
      <c r="BA19" s="173">
        <f t="shared" si="100"/>
        <v>0.96968241297549518</v>
      </c>
      <c r="BB19" s="173">
        <f t="shared" si="29"/>
        <v>1.8592684417623502</v>
      </c>
      <c r="BC19" s="173">
        <f t="shared" si="30"/>
        <v>0.18745083470226973</v>
      </c>
      <c r="BD19" s="173"/>
      <c r="BE19" s="528">
        <f t="shared" si="31"/>
        <v>1.1283407784407746E-2</v>
      </c>
      <c r="BF19" s="528">
        <f t="shared" si="32"/>
        <v>1.3145817529240906</v>
      </c>
      <c r="BG19" s="528">
        <f t="shared" si="33"/>
        <v>4.0250000000000001E-2</v>
      </c>
      <c r="BH19" s="528">
        <f t="shared" si="34"/>
        <v>0.55346966261591368</v>
      </c>
      <c r="BI19">
        <f t="shared" si="35"/>
        <v>1.2572998705118453E-2</v>
      </c>
      <c r="BJ19" s="460">
        <f t="shared" si="101"/>
        <v>52.822998705118451</v>
      </c>
      <c r="BK19">
        <f t="shared" si="36"/>
        <v>1.8874414563634339</v>
      </c>
      <c r="BL19" s="460">
        <f t="shared" si="102"/>
        <v>1887.4414563634339</v>
      </c>
      <c r="BM19" s="173">
        <f t="shared" si="37"/>
        <v>0.23470999999999997</v>
      </c>
      <c r="BN19" s="173">
        <f t="shared" si="38"/>
        <v>1.6765000000000002E-2</v>
      </c>
      <c r="BO19" s="528"/>
      <c r="BQ19" s="460">
        <f t="shared" si="103"/>
        <v>251.47499999999999</v>
      </c>
      <c r="BR19" s="528">
        <f t="shared" si="39"/>
        <v>1.3163975748475703E-2</v>
      </c>
      <c r="BS19" s="528">
        <f t="shared" si="104"/>
        <v>4.8396307939467573E-2</v>
      </c>
      <c r="BT19" s="528">
        <f t="shared" si="40"/>
        <v>1.7568907715288822E-4</v>
      </c>
      <c r="BU19" s="528">
        <f t="shared" si="41"/>
        <v>2.8807621659795424</v>
      </c>
      <c r="BV19" s="528">
        <f t="shared" si="42"/>
        <v>2.9719930829303287</v>
      </c>
      <c r="BW19" s="625">
        <f t="shared" si="43"/>
        <v>0.46170212765957447</v>
      </c>
      <c r="BX19" s="460">
        <f t="shared" si="105"/>
        <v>3433.6952105899031</v>
      </c>
      <c r="BY19" s="173">
        <f t="shared" si="106"/>
        <v>5.5726116669533372</v>
      </c>
      <c r="BZ19" s="5">
        <f t="shared" si="107"/>
        <v>10.850000000000001</v>
      </c>
      <c r="CA19" s="173">
        <f t="shared" si="108"/>
        <v>0.66067445422417725</v>
      </c>
      <c r="CB19" s="5">
        <f t="shared" si="109"/>
        <v>66.06744542241772</v>
      </c>
      <c r="CC19">
        <f t="shared" si="110"/>
        <v>14.000000000000002</v>
      </c>
      <c r="CE19" s="562">
        <f t="shared" si="44"/>
        <v>-50</v>
      </c>
      <c r="CF19">
        <f t="shared" si="45"/>
        <v>-50</v>
      </c>
      <c r="CG19" s="173">
        <f t="shared" si="46"/>
        <v>0.20135981388521229</v>
      </c>
      <c r="CH19" s="173">
        <f t="shared" si="47"/>
        <v>6.5298017220622215E-2</v>
      </c>
      <c r="CI19" s="170">
        <v>14</v>
      </c>
      <c r="CJ19" s="217">
        <f t="shared" si="133"/>
        <v>0.35000000000000003</v>
      </c>
      <c r="CK19" s="217">
        <f t="shared" si="111"/>
        <v>3.5000000000000003E-2</v>
      </c>
      <c r="CL19" s="217">
        <f t="shared" si="48"/>
        <v>9.8000000000000007</v>
      </c>
      <c r="CM19" s="217">
        <f t="shared" si="134"/>
        <v>1.05</v>
      </c>
      <c r="CN19" s="541">
        <f t="shared" si="112"/>
        <v>28</v>
      </c>
      <c r="CO19" s="443">
        <f t="shared" si="49"/>
        <v>28.7</v>
      </c>
      <c r="CP19" s="443">
        <f t="shared" si="50"/>
        <v>56.7</v>
      </c>
      <c r="CQ19" s="443"/>
      <c r="CR19" s="217">
        <f t="shared" si="113"/>
        <v>0.50354609929078009</v>
      </c>
      <c r="CS19" s="172">
        <f t="shared" si="114"/>
        <v>106.12369404407841</v>
      </c>
      <c r="CT19" s="172">
        <f t="shared" si="51"/>
        <v>12.588652482269502</v>
      </c>
      <c r="CU19" s="217">
        <f t="shared" si="52"/>
        <v>3.7901319301456575</v>
      </c>
      <c r="CV19" s="217">
        <f t="shared" si="53"/>
        <v>3.5374564681359471</v>
      </c>
      <c r="CW19" s="443">
        <f t="shared" si="54"/>
        <v>28</v>
      </c>
      <c r="CX19" s="217">
        <f t="shared" si="55"/>
        <v>1.5390845070422539</v>
      </c>
      <c r="CY19" s="217">
        <f t="shared" si="56"/>
        <v>0.25834632796780693</v>
      </c>
      <c r="CZ19" s="217">
        <f t="shared" si="57"/>
        <v>0.25204519801737257</v>
      </c>
      <c r="DA19" s="197">
        <f t="shared" si="58"/>
        <v>350</v>
      </c>
      <c r="DB19" s="443">
        <f t="shared" si="115"/>
        <v>350</v>
      </c>
      <c r="DD19" s="217">
        <f t="shared" si="59"/>
        <v>8.6157079064880477</v>
      </c>
      <c r="DE19" s="173">
        <f t="shared" si="60"/>
        <v>1.4109347442680775</v>
      </c>
      <c r="DF19" s="173">
        <f t="shared" si="61"/>
        <v>2.1273352855526046</v>
      </c>
      <c r="DG19" s="173"/>
      <c r="DH19" s="173">
        <f t="shared" si="62"/>
        <v>0.54587688734030204</v>
      </c>
      <c r="DI19" s="545">
        <f t="shared" si="63"/>
        <v>384.7021276595745</v>
      </c>
      <c r="DJ19" s="528">
        <f t="shared" si="64"/>
        <v>0.31842818428184283</v>
      </c>
      <c r="DL19" s="173">
        <f t="shared" si="65"/>
        <v>3.6320089980205346</v>
      </c>
      <c r="DM19" s="173">
        <f t="shared" si="66"/>
        <v>3.6320089980205346</v>
      </c>
      <c r="DN19" s="173">
        <f t="shared" si="67"/>
        <v>1.4212412331016304</v>
      </c>
      <c r="DP19" s="545">
        <f t="shared" si="68"/>
        <v>350.00000000000006</v>
      </c>
      <c r="DQ19" s="460">
        <f t="shared" si="69"/>
        <v>350</v>
      </c>
      <c r="DS19">
        <f t="shared" si="116"/>
        <v>350.00000000000006</v>
      </c>
      <c r="DT19" s="460">
        <f t="shared" si="70"/>
        <v>350</v>
      </c>
      <c r="DU19" s="460"/>
      <c r="DV19" s="5">
        <f t="shared" si="117"/>
        <v>2.8571428571428572</v>
      </c>
      <c r="DW19" s="5">
        <f t="shared" si="71"/>
        <v>0.60965865323916124</v>
      </c>
      <c r="DX19" s="5">
        <f t="shared" si="118"/>
        <v>2.2474842039036957</v>
      </c>
      <c r="DY19" s="173">
        <f t="shared" si="119"/>
        <v>0.21338052863370643</v>
      </c>
      <c r="EA19" s="5">
        <f t="shared" si="72"/>
        <v>0.76207331654895172</v>
      </c>
      <c r="EB19" s="5">
        <f t="shared" si="73"/>
        <v>7.1126842877902149E-2</v>
      </c>
      <c r="EC19" s="5">
        <f t="shared" si="74"/>
        <v>0.56187105097592394</v>
      </c>
      <c r="ED19" s="5"/>
      <c r="EE19" s="173">
        <f t="shared" si="120"/>
        <v>0.96864286047815629</v>
      </c>
      <c r="EF19" s="173">
        <f t="shared" si="75"/>
        <v>1.8598102401621706</v>
      </c>
      <c r="EG19" s="173">
        <f t="shared" si="76"/>
        <v>0.18750545863930082</v>
      </c>
      <c r="EH19" s="173"/>
      <c r="EI19" s="528">
        <f t="shared" si="77"/>
        <v>1.1259227893863659E-2</v>
      </c>
      <c r="EJ19" s="528">
        <f t="shared" si="78"/>
        <v>1.3694671527486328</v>
      </c>
      <c r="EK19" s="528">
        <f t="shared" si="79"/>
        <v>4.0250000000000001E-2</v>
      </c>
      <c r="EL19" s="528">
        <f t="shared" si="80"/>
        <v>0.55416666375000012</v>
      </c>
      <c r="EM19">
        <f t="shared" si="81"/>
        <v>1.26E-2</v>
      </c>
      <c r="EN19" s="460">
        <f t="shared" si="121"/>
        <v>52.85</v>
      </c>
      <c r="EO19">
        <f t="shared" si="82"/>
        <v>1.9961230494297306</v>
      </c>
      <c r="EP19" s="460">
        <f t="shared" si="122"/>
        <v>1996.1230494297306</v>
      </c>
      <c r="EQ19" s="173">
        <f t="shared" si="83"/>
        <v>0.23470999999999997</v>
      </c>
      <c r="ER19" s="173">
        <f t="shared" si="84"/>
        <v>1.6765000000000002E-2</v>
      </c>
      <c r="ES19" s="528"/>
      <c r="EU19" s="460">
        <f t="shared" si="123"/>
        <v>251.47499999999999</v>
      </c>
      <c r="EV19" s="528">
        <f t="shared" si="85"/>
        <v>1.3135765876174269E-2</v>
      </c>
      <c r="EW19" s="528">
        <f t="shared" si="124"/>
        <v>4.8424517811768993E-2</v>
      </c>
      <c r="EX19" s="528">
        <f t="shared" si="86"/>
        <v>1.7579148509767276E-4</v>
      </c>
      <c r="EY19" s="528">
        <f t="shared" si="87"/>
        <v>2.8807621659795424</v>
      </c>
      <c r="EZ19" s="528">
        <f t="shared" si="88"/>
        <v>2.9719932350157694</v>
      </c>
      <c r="FA19" s="625">
        <f t="shared" si="89"/>
        <v>0.46170212765957447</v>
      </c>
      <c r="FB19" s="460">
        <f t="shared" si="125"/>
        <v>3433.6953626753439</v>
      </c>
      <c r="FC19" s="173">
        <f t="shared" si="126"/>
        <v>5.6812934121050738</v>
      </c>
      <c r="FD19" s="5">
        <f t="shared" si="127"/>
        <v>10.850000000000001</v>
      </c>
      <c r="FE19" s="173">
        <f t="shared" si="128"/>
        <v>0.65633097964706533</v>
      </c>
      <c r="FF19" s="5">
        <f t="shared" si="129"/>
        <v>65.633097964706536</v>
      </c>
      <c r="FG19">
        <f t="shared" si="130"/>
        <v>14.000000000000002</v>
      </c>
      <c r="FI19" s="562">
        <f t="shared" si="90"/>
        <v>-50</v>
      </c>
      <c r="FJ19">
        <f t="shared" si="91"/>
        <v>-50</v>
      </c>
      <c r="FL19">
        <f t="shared" si="92"/>
        <v>0.20135981388521229</v>
      </c>
    </row>
    <row r="20" spans="5:168">
      <c r="E20" s="170">
        <v>15</v>
      </c>
      <c r="F20" s="217">
        <f t="shared" si="131"/>
        <v>0.375</v>
      </c>
      <c r="G20" s="217">
        <f t="shared" si="93"/>
        <v>3.7499999999999999E-2</v>
      </c>
      <c r="H20" s="217">
        <f t="shared" si="0"/>
        <v>10.5</v>
      </c>
      <c r="I20" s="217">
        <f t="shared" si="132"/>
        <v>1.125</v>
      </c>
      <c r="J20" s="541">
        <f t="shared" si="1"/>
        <v>27.937891121148656</v>
      </c>
      <c r="K20" s="443">
        <f t="shared" si="2"/>
        <v>28.725188649926235</v>
      </c>
      <c r="L20" s="172">
        <f t="shared" si="3"/>
        <v>56.663079771074891</v>
      </c>
      <c r="M20" s="443"/>
      <c r="N20" s="217">
        <f t="shared" si="4"/>
        <v>0.50694718264483984</v>
      </c>
      <c r="O20" s="172">
        <f t="shared" si="94"/>
        <v>106.60349069928192</v>
      </c>
      <c r="P20" s="172">
        <f t="shared" si="5"/>
        <v>12.645567136521963</v>
      </c>
      <c r="Q20" s="217">
        <f t="shared" si="6"/>
        <v>3.8072675249743542</v>
      </c>
      <c r="R20" s="217">
        <f t="shared" si="7"/>
        <v>3.5534496899760639</v>
      </c>
      <c r="S20" s="443">
        <f t="shared" si="8"/>
        <v>28</v>
      </c>
      <c r="T20" s="217">
        <f t="shared" si="9"/>
        <v>1.641597276525006</v>
      </c>
      <c r="U20" s="217">
        <f t="shared" si="10"/>
        <v>0.27616641378586299</v>
      </c>
      <c r="V20" s="217">
        <f t="shared" si="11"/>
        <v>0.26859726819191282</v>
      </c>
      <c r="W20" s="197">
        <f t="shared" si="12"/>
        <v>350</v>
      </c>
      <c r="X20" s="443">
        <f t="shared" si="95"/>
        <v>350</v>
      </c>
      <c r="Z20" s="217">
        <f t="shared" si="13"/>
        <v>8.6097478376319749</v>
      </c>
      <c r="AA20" s="173">
        <f t="shared" si="14"/>
        <v>1.4087223353004574</v>
      </c>
      <c r="AB20" s="173">
        <f t="shared" si="15"/>
        <v>2.1225302140309714</v>
      </c>
      <c r="AC20" s="173"/>
      <c r="AD20" s="173">
        <f t="shared" si="16"/>
        <v>0.54539821679141165</v>
      </c>
      <c r="AE20" s="545">
        <f t="shared" si="17"/>
        <v>412.54260295106826</v>
      </c>
      <c r="AF20" s="528">
        <f t="shared" si="18"/>
        <v>0.31814895979499014</v>
      </c>
      <c r="AH20" s="173">
        <f t="shared" si="19"/>
        <v>3.7594864811332553</v>
      </c>
      <c r="AI20" s="173">
        <f t="shared" si="20"/>
        <v>3.7594864811332553</v>
      </c>
      <c r="AJ20" s="173">
        <f t="shared" si="21"/>
        <v>1.5156689983703124</v>
      </c>
      <c r="AL20" s="545">
        <f t="shared" si="22"/>
        <v>375</v>
      </c>
      <c r="AM20" s="460">
        <f t="shared" si="23"/>
        <v>350</v>
      </c>
      <c r="AO20">
        <f t="shared" si="96"/>
        <v>375</v>
      </c>
      <c r="AP20" s="460">
        <f t="shared" si="24"/>
        <v>350</v>
      </c>
      <c r="AQ20" s="460"/>
      <c r="AR20" s="5">
        <f t="shared" si="97"/>
        <v>2.8571428571428572</v>
      </c>
      <c r="AS20" s="5">
        <f t="shared" si="25"/>
        <v>0.63245956485064225</v>
      </c>
      <c r="AT20" s="5">
        <f t="shared" si="98"/>
        <v>2.2246832922922151</v>
      </c>
      <c r="AU20" s="173">
        <f t="shared" si="99"/>
        <v>0.22136084769772479</v>
      </c>
      <c r="AW20" s="5">
        <f t="shared" si="26"/>
        <v>0.8470440600678244</v>
      </c>
      <c r="AX20" s="5">
        <f t="shared" si="27"/>
        <v>7.9057445606330282E-2</v>
      </c>
      <c r="AY20" s="5">
        <f t="shared" si="28"/>
        <v>0.59722205301176678</v>
      </c>
      <c r="AZ20" s="5"/>
      <c r="BA20" s="173">
        <f t="shared" si="100"/>
        <v>1.0212176323777662</v>
      </c>
      <c r="BB20" s="173">
        <f t="shared" si="29"/>
        <v>1.9152965169729339</v>
      </c>
      <c r="BC20" s="173">
        <f t="shared" si="30"/>
        <v>0.19309956687514007</v>
      </c>
      <c r="BD20" s="173"/>
      <c r="BE20" s="528">
        <f t="shared" si="31"/>
        <v>1.2514625432151004E-2</v>
      </c>
      <c r="BF20" s="528">
        <f t="shared" si="32"/>
        <v>1.3606913261941462</v>
      </c>
      <c r="BG20" s="528">
        <f t="shared" si="33"/>
        <v>4.0250000000000001E-2</v>
      </c>
      <c r="BH20" s="528">
        <f t="shared" si="34"/>
        <v>0.55344520700105848</v>
      </c>
      <c r="BI20">
        <f t="shared" si="35"/>
        <v>1.2572051004516895E-2</v>
      </c>
      <c r="BJ20" s="460">
        <f t="shared" si="101"/>
        <v>52.822051004516894</v>
      </c>
      <c r="BK20">
        <f t="shared" si="36"/>
        <v>1.935786119129802</v>
      </c>
      <c r="BL20" s="460">
        <f t="shared" si="102"/>
        <v>1935.786119129802</v>
      </c>
      <c r="BM20" s="173">
        <f t="shared" si="37"/>
        <v>0.25147499999999995</v>
      </c>
      <c r="BN20" s="173">
        <f t="shared" si="38"/>
        <v>1.7962499999999999E-2</v>
      </c>
      <c r="BO20" s="528"/>
      <c r="BQ20" s="460">
        <f t="shared" si="103"/>
        <v>269.43749999999994</v>
      </c>
      <c r="BR20" s="528">
        <f t="shared" si="39"/>
        <v>1.4600396337509506E-2</v>
      </c>
      <c r="BS20" s="528">
        <f t="shared" si="104"/>
        <v>5.1357050471001128E-2</v>
      </c>
      <c r="BT20" s="528">
        <f t="shared" si="40"/>
        <v>1.8643721363683347E-4</v>
      </c>
      <c r="BU20" s="528">
        <f t="shared" si="41"/>
        <v>3.1402298235666453</v>
      </c>
      <c r="BV20" s="528">
        <f t="shared" si="42"/>
        <v>3.2393895040467666</v>
      </c>
      <c r="BW20" s="625">
        <f t="shared" si="43"/>
        <v>0.49468085106382981</v>
      </c>
      <c r="BX20" s="460">
        <f t="shared" si="105"/>
        <v>3734.0703551105967</v>
      </c>
      <c r="BY20" s="173">
        <f t="shared" si="106"/>
        <v>5.9392939742403978</v>
      </c>
      <c r="BZ20" s="5">
        <f t="shared" si="107"/>
        <v>11.625</v>
      </c>
      <c r="CA20" s="173">
        <f t="shared" si="108"/>
        <v>0.66185410111269471</v>
      </c>
      <c r="CB20" s="5">
        <f t="shared" si="109"/>
        <v>66.185410111269476</v>
      </c>
      <c r="CC20">
        <f t="shared" si="110"/>
        <v>15</v>
      </c>
      <c r="CE20" s="562">
        <f t="shared" si="44"/>
        <v>-50</v>
      </c>
      <c r="CF20">
        <f t="shared" si="45"/>
        <v>-50</v>
      </c>
      <c r="CG20" s="173">
        <f t="shared" si="46"/>
        <v>0.20842720889665703</v>
      </c>
      <c r="CH20" s="173">
        <f t="shared" si="47"/>
        <v>6.758986916594302E-2</v>
      </c>
      <c r="CI20" s="170">
        <v>15</v>
      </c>
      <c r="CJ20" s="217">
        <f t="shared" si="133"/>
        <v>0.375</v>
      </c>
      <c r="CK20" s="217">
        <f t="shared" si="111"/>
        <v>3.7499999999999999E-2</v>
      </c>
      <c r="CL20" s="217">
        <f t="shared" si="48"/>
        <v>10.5</v>
      </c>
      <c r="CM20" s="217">
        <f t="shared" si="134"/>
        <v>1.125</v>
      </c>
      <c r="CN20" s="541">
        <f t="shared" si="112"/>
        <v>28</v>
      </c>
      <c r="CO20" s="443">
        <f t="shared" si="49"/>
        <v>28.7</v>
      </c>
      <c r="CP20" s="443">
        <f t="shared" si="50"/>
        <v>56.7</v>
      </c>
      <c r="CQ20" s="443"/>
      <c r="CR20" s="217">
        <f t="shared" si="113"/>
        <v>0.50354609929078009</v>
      </c>
      <c r="CS20" s="172">
        <f t="shared" si="114"/>
        <v>106.12369404407841</v>
      </c>
      <c r="CT20" s="172">
        <f t="shared" si="51"/>
        <v>12.588652482269502</v>
      </c>
      <c r="CU20" s="217">
        <f t="shared" si="52"/>
        <v>3.7901319301456575</v>
      </c>
      <c r="CV20" s="217">
        <f t="shared" si="53"/>
        <v>3.5374564681359471</v>
      </c>
      <c r="CW20" s="443">
        <f t="shared" si="54"/>
        <v>28</v>
      </c>
      <c r="CX20" s="217">
        <f t="shared" si="55"/>
        <v>1.649019114688129</v>
      </c>
      <c r="CY20" s="217">
        <f t="shared" si="56"/>
        <v>0.27679963710836453</v>
      </c>
      <c r="CZ20" s="217">
        <f t="shared" si="57"/>
        <v>0.27004842644718485</v>
      </c>
      <c r="DA20" s="197">
        <f t="shared" si="58"/>
        <v>350</v>
      </c>
      <c r="DB20" s="443">
        <f t="shared" si="115"/>
        <v>350</v>
      </c>
      <c r="DD20" s="217">
        <f t="shared" si="59"/>
        <v>8.6157079064880477</v>
      </c>
      <c r="DE20" s="173">
        <f t="shared" si="60"/>
        <v>1.4109347442680775</v>
      </c>
      <c r="DF20" s="173">
        <f t="shared" si="61"/>
        <v>2.1273352855526046</v>
      </c>
      <c r="DG20" s="173"/>
      <c r="DH20" s="173">
        <f t="shared" si="62"/>
        <v>0.54587688734030204</v>
      </c>
      <c r="DI20" s="545">
        <f t="shared" si="63"/>
        <v>412.18085106382978</v>
      </c>
      <c r="DJ20" s="528">
        <f t="shared" si="64"/>
        <v>0.31842818428184283</v>
      </c>
      <c r="DL20" s="173">
        <f t="shared" si="65"/>
        <v>3.7594864811332553</v>
      </c>
      <c r="DM20" s="173">
        <f t="shared" si="66"/>
        <v>3.7594864811332553</v>
      </c>
      <c r="DN20" s="173">
        <f t="shared" si="67"/>
        <v>1.5156689983703124</v>
      </c>
      <c r="DP20" s="545">
        <f t="shared" si="68"/>
        <v>375</v>
      </c>
      <c r="DQ20" s="460">
        <f t="shared" si="69"/>
        <v>350</v>
      </c>
      <c r="DS20">
        <f t="shared" si="116"/>
        <v>375</v>
      </c>
      <c r="DT20" s="460">
        <f t="shared" si="70"/>
        <v>350</v>
      </c>
      <c r="DU20" s="460"/>
      <c r="DV20" s="5">
        <f t="shared" si="117"/>
        <v>2.8571428571428572</v>
      </c>
      <c r="DW20" s="5">
        <f t="shared" si="71"/>
        <v>0.63105665933308219</v>
      </c>
      <c r="DX20" s="5">
        <f t="shared" si="118"/>
        <v>2.2260861978097752</v>
      </c>
      <c r="DY20" s="173">
        <f t="shared" si="119"/>
        <v>0.22086983076657876</v>
      </c>
      <c r="EA20" s="5">
        <f t="shared" si="72"/>
        <v>0.84516516874966374</v>
      </c>
      <c r="EB20" s="5">
        <f t="shared" si="73"/>
        <v>7.888208241663526E-2</v>
      </c>
      <c r="EC20" s="5">
        <f t="shared" si="74"/>
        <v>0.59627308869904683</v>
      </c>
      <c r="ED20" s="5"/>
      <c r="EE20" s="173">
        <f t="shared" si="120"/>
        <v>1.0200843842682599</v>
      </c>
      <c r="EF20" s="173">
        <f t="shared" si="75"/>
        <v>1.9159003234980541</v>
      </c>
      <c r="EG20" s="173">
        <f t="shared" si="76"/>
        <v>0.19316044245103331</v>
      </c>
      <c r="EH20" s="173"/>
      <c r="EI20" s="528">
        <f t="shared" si="77"/>
        <v>1.2486865812335459E-2</v>
      </c>
      <c r="EJ20" s="528">
        <f t="shared" si="78"/>
        <v>1.4175331751436999</v>
      </c>
      <c r="EK20" s="528">
        <f t="shared" si="79"/>
        <v>4.0250000000000001E-2</v>
      </c>
      <c r="EL20" s="528">
        <f t="shared" si="80"/>
        <v>0.55416666375000012</v>
      </c>
      <c r="EM20">
        <f t="shared" si="81"/>
        <v>1.26E-2</v>
      </c>
      <c r="EN20" s="460">
        <f t="shared" si="121"/>
        <v>52.85</v>
      </c>
      <c r="EO20">
        <f t="shared" si="82"/>
        <v>2.0464798171174521</v>
      </c>
      <c r="EP20" s="460">
        <f t="shared" si="122"/>
        <v>2046.4798171174521</v>
      </c>
      <c r="EQ20" s="173">
        <f t="shared" si="83"/>
        <v>0.25147499999999995</v>
      </c>
      <c r="ER20" s="173">
        <f t="shared" si="84"/>
        <v>1.7962499999999999E-2</v>
      </c>
      <c r="ES20" s="528"/>
      <c r="EU20" s="460">
        <f t="shared" si="123"/>
        <v>269.43749999999994</v>
      </c>
      <c r="EV20" s="528">
        <f t="shared" si="85"/>
        <v>1.4568010114391369E-2</v>
      </c>
      <c r="EW20" s="528">
        <f t="shared" si="124"/>
        <v>5.1389436694119273E-2</v>
      </c>
      <c r="EX20" s="528">
        <f t="shared" si="86"/>
        <v>1.8655478263939474E-4</v>
      </c>
      <c r="EY20" s="528">
        <f t="shared" si="87"/>
        <v>3.1402298235666453</v>
      </c>
      <c r="EZ20" s="528">
        <f t="shared" si="88"/>
        <v>3.2393896812380847</v>
      </c>
      <c r="FA20" s="625">
        <f t="shared" si="89"/>
        <v>0.49468085106382981</v>
      </c>
      <c r="FB20" s="460">
        <f t="shared" si="125"/>
        <v>3734.0705323019147</v>
      </c>
      <c r="FC20" s="173">
        <f t="shared" si="126"/>
        <v>6.0499878494193666</v>
      </c>
      <c r="FD20" s="5">
        <f t="shared" si="127"/>
        <v>11.625</v>
      </c>
      <c r="FE20" s="173">
        <f t="shared" si="128"/>
        <v>0.65770908014411378</v>
      </c>
      <c r="FF20" s="5">
        <f t="shared" si="129"/>
        <v>65.770908014411376</v>
      </c>
      <c r="FG20">
        <f t="shared" si="130"/>
        <v>15</v>
      </c>
      <c r="FI20" s="562">
        <f t="shared" si="90"/>
        <v>-50</v>
      </c>
      <c r="FJ20">
        <f t="shared" si="91"/>
        <v>-50</v>
      </c>
      <c r="FL20">
        <f t="shared" si="92"/>
        <v>0.20842720889665703</v>
      </c>
    </row>
    <row r="21" spans="5:168" s="76" customFormat="1">
      <c r="E21" s="189">
        <v>16</v>
      </c>
      <c r="F21" s="329">
        <f t="shared" si="131"/>
        <v>0.4</v>
      </c>
      <c r="G21" s="217">
        <f t="shared" si="93"/>
        <v>0.04</v>
      </c>
      <c r="H21" s="217">
        <f t="shared" si="0"/>
        <v>11.200000000000001</v>
      </c>
      <c r="I21" s="217">
        <f t="shared" si="132"/>
        <v>1.2</v>
      </c>
      <c r="J21" s="541">
        <f t="shared" si="1"/>
        <v>27.935854225748571</v>
      </c>
      <c r="K21" s="443">
        <f t="shared" si="2"/>
        <v>28.726014725780733</v>
      </c>
      <c r="L21" s="172">
        <f t="shared" si="3"/>
        <v>56.6618689515293</v>
      </c>
      <c r="M21" s="443"/>
      <c r="N21" s="217">
        <f t="shared" si="4"/>
        <v>0.50697259475069645</v>
      </c>
      <c r="O21" s="172">
        <f t="shared" si="94"/>
        <v>106.60106185358573</v>
      </c>
      <c r="P21" s="172">
        <f t="shared" si="5"/>
        <v>12.645279020897288</v>
      </c>
      <c r="Q21" s="329">
        <f t="shared" si="6"/>
        <v>3.8071807804852047</v>
      </c>
      <c r="R21" s="217">
        <f t="shared" si="7"/>
        <v>3.5533687284528579</v>
      </c>
      <c r="S21" s="443">
        <f t="shared" si="8"/>
        <v>28</v>
      </c>
      <c r="T21" s="217">
        <f t="shared" si="9"/>
        <v>1.7510769913628941</v>
      </c>
      <c r="U21" s="329">
        <f t="shared" si="10"/>
        <v>0.29460569893080008</v>
      </c>
      <c r="V21" s="217">
        <f t="shared" si="11"/>
        <v>0.28650204137155755</v>
      </c>
      <c r="W21" s="537">
        <f t="shared" si="12"/>
        <v>350</v>
      </c>
      <c r="X21" s="443">
        <f t="shared" si="95"/>
        <v>350</v>
      </c>
      <c r="Z21" s="329">
        <f t="shared" si="13"/>
        <v>8.6095516738024074</v>
      </c>
      <c r="AA21" s="173">
        <f t="shared" si="14"/>
        <v>1.4086497292837248</v>
      </c>
      <c r="AB21" s="173">
        <f t="shared" si="15"/>
        <v>2.1223724610472998</v>
      </c>
      <c r="AC21" s="538"/>
      <c r="AD21" s="173">
        <f t="shared" si="16"/>
        <v>0.54538253273978543</v>
      </c>
      <c r="AE21" s="545">
        <f t="shared" si="17"/>
        <v>440.05809792685375</v>
      </c>
      <c r="AF21" s="528">
        <f t="shared" si="18"/>
        <v>0.31813981076487485</v>
      </c>
      <c r="AG21"/>
      <c r="AH21" s="173">
        <f t="shared" si="19"/>
        <v>3.8827809417922725</v>
      </c>
      <c r="AI21" s="173">
        <f t="shared" si="20"/>
        <v>3.8827809417922725</v>
      </c>
      <c r="AJ21" s="173">
        <f t="shared" si="21"/>
        <v>1.606998228488103</v>
      </c>
      <c r="AL21" s="545">
        <f t="shared" si="22"/>
        <v>400</v>
      </c>
      <c r="AM21" s="460">
        <f t="shared" si="23"/>
        <v>350</v>
      </c>
      <c r="AO21">
        <f t="shared" si="96"/>
        <v>400</v>
      </c>
      <c r="AP21" s="460">
        <f t="shared" si="24"/>
        <v>350</v>
      </c>
      <c r="AQ21" s="460"/>
      <c r="AR21" s="5">
        <f t="shared" si="97"/>
        <v>2.8571428571428572</v>
      </c>
      <c r="AS21" s="5">
        <f t="shared" si="25"/>
        <v>0.65324905689132107</v>
      </c>
      <c r="AT21" s="5">
        <f t="shared" si="98"/>
        <v>2.203893800251536</v>
      </c>
      <c r="AU21" s="173">
        <f t="shared" si="99"/>
        <v>0.22863716991196237</v>
      </c>
      <c r="AW21" s="5">
        <f t="shared" si="26"/>
        <v>0.93321293841617314</v>
      </c>
      <c r="AX21" s="5">
        <f t="shared" si="27"/>
        <v>8.7099874252176149E-2</v>
      </c>
      <c r="AY21" s="5">
        <f t="shared" si="28"/>
        <v>0.63112981115721878</v>
      </c>
      <c r="AZ21" s="5"/>
      <c r="BA21" s="173">
        <f t="shared" si="100"/>
        <v>1.0719034772791693</v>
      </c>
      <c r="BB21" s="173">
        <f t="shared" si="29"/>
        <v>1.9688454017634942</v>
      </c>
      <c r="BC21" s="173">
        <f t="shared" si="30"/>
        <v>0.19849834788271295</v>
      </c>
      <c r="BD21" s="173"/>
      <c r="BE21" s="528">
        <f t="shared" si="31"/>
        <v>1.3787724775238097E-2</v>
      </c>
      <c r="BF21" s="528">
        <f t="shared" si="32"/>
        <v>1.4052859289933657</v>
      </c>
      <c r="BG21" s="528">
        <f t="shared" si="33"/>
        <v>4.0250000000000001E-2</v>
      </c>
      <c r="BH21" s="528">
        <f t="shared" si="34"/>
        <v>0.55342155438221319</v>
      </c>
      <c r="BI21">
        <f t="shared" si="35"/>
        <v>1.2571134401586857E-2</v>
      </c>
      <c r="BJ21" s="460">
        <f t="shared" si="101"/>
        <v>52.82113440158686</v>
      </c>
      <c r="BK21">
        <f t="shared" si="36"/>
        <v>1.9827131896953496</v>
      </c>
      <c r="BL21" s="460">
        <f t="shared" si="102"/>
        <v>1982.7131896953497</v>
      </c>
      <c r="BM21" s="173">
        <f t="shared" si="37"/>
        <v>0.26823999999999998</v>
      </c>
      <c r="BN21" s="173">
        <f t="shared" si="38"/>
        <v>1.916E-2</v>
      </c>
      <c r="BO21" s="528"/>
      <c r="BQ21" s="460">
        <f t="shared" si="103"/>
        <v>287.39999999999998</v>
      </c>
      <c r="BR21" s="528">
        <f t="shared" si="39"/>
        <v>1.6085678904444446E-2</v>
      </c>
      <c r="BS21" s="528">
        <f t="shared" si="104"/>
        <v>5.4268931024633565E-2</v>
      </c>
      <c r="BT21" s="528">
        <f t="shared" si="40"/>
        <v>1.9700797056083265E-4</v>
      </c>
      <c r="BU21" s="528">
        <f t="shared" si="41"/>
        <v>3.4040610348501339</v>
      </c>
      <c r="BV21" s="528">
        <f t="shared" si="42"/>
        <v>3.5113636318666575</v>
      </c>
      <c r="BW21" s="625">
        <f t="shared" si="43"/>
        <v>0.52765957446808509</v>
      </c>
      <c r="BX21" s="460">
        <f t="shared" si="105"/>
        <v>4039.0232063347426</v>
      </c>
      <c r="BY21" s="173">
        <f t="shared" si="106"/>
        <v>6.3091363960300928</v>
      </c>
      <c r="BZ21" s="5">
        <f t="shared" si="107"/>
        <v>12.4</v>
      </c>
      <c r="CA21" s="173">
        <f t="shared" si="108"/>
        <v>0.6627777860784192</v>
      </c>
      <c r="CB21" s="5">
        <f t="shared" si="109"/>
        <v>66.277778607841924</v>
      </c>
      <c r="CC21">
        <f t="shared" si="110"/>
        <v>16</v>
      </c>
      <c r="CE21" s="562">
        <f t="shared" si="44"/>
        <v>-50</v>
      </c>
      <c r="CF21">
        <f t="shared" si="45"/>
        <v>-50</v>
      </c>
      <c r="CG21" s="173">
        <f t="shared" si="46"/>
        <v>0.21526269572086587</v>
      </c>
      <c r="CH21" s="173">
        <f t="shared" si="47"/>
        <v>6.9806516707209471E-2</v>
      </c>
      <c r="CI21" s="189">
        <v>16</v>
      </c>
      <c r="CJ21" s="329">
        <f t="shared" si="133"/>
        <v>0.4</v>
      </c>
      <c r="CK21" s="217">
        <f t="shared" si="111"/>
        <v>0.04</v>
      </c>
      <c r="CL21" s="217">
        <f t="shared" si="48"/>
        <v>11.200000000000001</v>
      </c>
      <c r="CM21" s="217">
        <f t="shared" si="134"/>
        <v>1.2</v>
      </c>
      <c r="CN21" s="541">
        <f t="shared" si="112"/>
        <v>28</v>
      </c>
      <c r="CO21" s="443">
        <f t="shared" si="49"/>
        <v>28.7</v>
      </c>
      <c r="CP21" s="443">
        <f t="shared" si="50"/>
        <v>56.7</v>
      </c>
      <c r="CQ21" s="535"/>
      <c r="CR21" s="329">
        <f t="shared" si="113"/>
        <v>0.50354609929078009</v>
      </c>
      <c r="CS21" s="172">
        <f t="shared" si="114"/>
        <v>106.12369404407841</v>
      </c>
      <c r="CT21" s="172">
        <f t="shared" si="51"/>
        <v>12.588652482269502</v>
      </c>
      <c r="CU21" s="329">
        <f t="shared" si="52"/>
        <v>3.7901319301456575</v>
      </c>
      <c r="CV21" s="217">
        <f t="shared" si="53"/>
        <v>3.5374564681359471</v>
      </c>
      <c r="CW21" s="443">
        <f t="shared" si="54"/>
        <v>28</v>
      </c>
      <c r="CX21" s="217">
        <f t="shared" si="55"/>
        <v>1.7589537223340042</v>
      </c>
      <c r="CY21" s="329">
        <f t="shared" si="56"/>
        <v>0.29525294624892212</v>
      </c>
      <c r="CZ21" s="217">
        <f t="shared" si="57"/>
        <v>0.28805165487699724</v>
      </c>
      <c r="DA21" s="537">
        <f t="shared" si="58"/>
        <v>350</v>
      </c>
      <c r="DB21" s="535">
        <f t="shared" si="115"/>
        <v>350</v>
      </c>
      <c r="DD21" s="329">
        <f t="shared" si="59"/>
        <v>8.6157079064880477</v>
      </c>
      <c r="DE21" s="173">
        <f t="shared" si="60"/>
        <v>1.4109347442680775</v>
      </c>
      <c r="DF21" s="173">
        <f t="shared" si="61"/>
        <v>2.1273352855526046</v>
      </c>
      <c r="DG21" s="538"/>
      <c r="DH21" s="173">
        <f t="shared" si="62"/>
        <v>0.54587688734030204</v>
      </c>
      <c r="DI21" s="545">
        <f t="shared" si="63"/>
        <v>439.65957446808511</v>
      </c>
      <c r="DJ21" s="528">
        <f t="shared" si="64"/>
        <v>0.31842818428184283</v>
      </c>
      <c r="DK21"/>
      <c r="DL21" s="173">
        <f t="shared" si="65"/>
        <v>3.8827809417922725</v>
      </c>
      <c r="DM21" s="173">
        <f t="shared" si="66"/>
        <v>3.8827809417922725</v>
      </c>
      <c r="DN21" s="173">
        <f t="shared" si="67"/>
        <v>1.606998228488103</v>
      </c>
      <c r="DP21" s="545">
        <f t="shared" si="68"/>
        <v>400</v>
      </c>
      <c r="DQ21" s="460">
        <f t="shared" si="69"/>
        <v>350</v>
      </c>
      <c r="DS21">
        <f t="shared" si="116"/>
        <v>400</v>
      </c>
      <c r="DT21" s="460">
        <f t="shared" si="70"/>
        <v>350</v>
      </c>
      <c r="DU21" s="460"/>
      <c r="DV21" s="5">
        <f t="shared" si="117"/>
        <v>2.8571428571428572</v>
      </c>
      <c r="DW21" s="5">
        <f t="shared" si="71"/>
        <v>0.65175251522941713</v>
      </c>
      <c r="DX21" s="5">
        <f t="shared" si="118"/>
        <v>2.2053903419134402</v>
      </c>
      <c r="DY21" s="173">
        <f t="shared" si="119"/>
        <v>0.22811338033029599</v>
      </c>
      <c r="EA21" s="5">
        <f t="shared" si="72"/>
        <v>0.93107502175631029</v>
      </c>
      <c r="EB21" s="5">
        <f t="shared" si="73"/>
        <v>8.690033536392229E-2</v>
      </c>
      <c r="EC21" s="5">
        <f t="shared" si="74"/>
        <v>0.63011152626098288</v>
      </c>
      <c r="ED21" s="5"/>
      <c r="EE21" s="173">
        <f t="shared" si="120"/>
        <v>1.0706749504315152</v>
      </c>
      <c r="EF21" s="173">
        <f t="shared" si="75"/>
        <v>1.9695137550083017</v>
      </c>
      <c r="EG21" s="173">
        <f t="shared" si="76"/>
        <v>0.19856573103772224</v>
      </c>
      <c r="EH21" s="173"/>
      <c r="EI21" s="528">
        <f t="shared" si="77"/>
        <v>1.375613819377833E-2</v>
      </c>
      <c r="EJ21" s="528">
        <f t="shared" si="78"/>
        <v>1.4640219680074855</v>
      </c>
      <c r="EK21" s="528">
        <f t="shared" si="79"/>
        <v>4.0250000000000001E-2</v>
      </c>
      <c r="EL21" s="528">
        <f t="shared" si="80"/>
        <v>0.55416666375000012</v>
      </c>
      <c r="EM21">
        <f t="shared" si="81"/>
        <v>1.26E-2</v>
      </c>
      <c r="EN21" s="460">
        <f t="shared" si="121"/>
        <v>52.85</v>
      </c>
      <c r="EO21">
        <f t="shared" si="82"/>
        <v>2.0953575162114544</v>
      </c>
      <c r="EP21" s="460">
        <f t="shared" si="122"/>
        <v>2095.3575162114544</v>
      </c>
      <c r="EQ21" s="173">
        <f t="shared" si="83"/>
        <v>0.26823999999999998</v>
      </c>
      <c r="ER21" s="173">
        <f t="shared" si="84"/>
        <v>1.916E-2</v>
      </c>
      <c r="ES21" s="528"/>
      <c r="EU21" s="460">
        <f t="shared" si="123"/>
        <v>287.39999999999998</v>
      </c>
      <c r="EV21" s="528">
        <f t="shared" si="85"/>
        <v>1.6048827892741382E-2</v>
      </c>
      <c r="EW21" s="528">
        <f t="shared" si="124"/>
        <v>5.4305782036336611E-2</v>
      </c>
      <c r="EX21" s="528">
        <f t="shared" si="86"/>
        <v>1.9714174771272522E-4</v>
      </c>
      <c r="EY21" s="528">
        <f t="shared" si="87"/>
        <v>3.4040610348501339</v>
      </c>
      <c r="EZ21" s="528">
        <f t="shared" si="88"/>
        <v>3.5113638364844357</v>
      </c>
      <c r="FA21" s="625">
        <f t="shared" si="89"/>
        <v>0.52765957446808509</v>
      </c>
      <c r="FB21" s="460">
        <f t="shared" si="125"/>
        <v>4039.0234109525213</v>
      </c>
      <c r="FC21" s="173">
        <f t="shared" si="126"/>
        <v>6.4217809271639759</v>
      </c>
      <c r="FD21" s="5">
        <f t="shared" si="127"/>
        <v>12.4</v>
      </c>
      <c r="FE21" s="173">
        <f t="shared" si="128"/>
        <v>0.65881119581537939</v>
      </c>
      <c r="FF21" s="5">
        <f t="shared" si="129"/>
        <v>65.881119581537945</v>
      </c>
      <c r="FG21">
        <f t="shared" si="130"/>
        <v>16</v>
      </c>
      <c r="FI21" s="562">
        <f t="shared" si="90"/>
        <v>-50</v>
      </c>
      <c r="FJ21">
        <f t="shared" si="91"/>
        <v>-50</v>
      </c>
      <c r="FL21">
        <f t="shared" si="92"/>
        <v>0.21526269572086587</v>
      </c>
    </row>
    <row r="22" spans="5:168">
      <c r="E22" s="170">
        <v>17</v>
      </c>
      <c r="F22" s="217">
        <f t="shared" si="131"/>
        <v>0.42500000000000004</v>
      </c>
      <c r="G22" s="217">
        <f t="shared" si="93"/>
        <v>4.2500000000000003E-2</v>
      </c>
      <c r="H22" s="217">
        <f t="shared" si="0"/>
        <v>11.900000000000002</v>
      </c>
      <c r="I22" s="217">
        <f t="shared" si="132"/>
        <v>1.2750000000000001</v>
      </c>
      <c r="J22" s="541">
        <f t="shared" si="1"/>
        <v>27.93388004933108</v>
      </c>
      <c r="K22" s="443">
        <f t="shared" si="2"/>
        <v>28.726815365553861</v>
      </c>
      <c r="L22" s="172">
        <f t="shared" si="3"/>
        <v>56.660695414884941</v>
      </c>
      <c r="M22" s="443"/>
      <c r="N22" s="217">
        <f t="shared" si="4"/>
        <v>0.50699722541716696</v>
      </c>
      <c r="O22" s="172">
        <f t="shared" si="94"/>
        <v>106.59870726992226</v>
      </c>
      <c r="P22" s="172">
        <f t="shared" si="5"/>
        <v>12.644999714416796</v>
      </c>
      <c r="Q22" s="217">
        <f t="shared" si="6"/>
        <v>3.8070966882115092</v>
      </c>
      <c r="R22" s="217">
        <f t="shared" si="7"/>
        <v>3.5532902423307418</v>
      </c>
      <c r="S22" s="443">
        <f t="shared" si="8"/>
        <v>28</v>
      </c>
      <c r="T22" s="217">
        <f t="shared" si="9"/>
        <v>1.8605603990217887</v>
      </c>
      <c r="U22" s="217">
        <f t="shared" si="10"/>
        <v>0.31304759166859131</v>
      </c>
      <c r="V22" s="217">
        <f t="shared" si="11"/>
        <v>0.30440665852185067</v>
      </c>
      <c r="W22" s="197">
        <f t="shared" si="12"/>
        <v>350</v>
      </c>
      <c r="X22" s="443">
        <f t="shared" si="95"/>
        <v>350</v>
      </c>
      <c r="Z22" s="217">
        <f t="shared" si="13"/>
        <v>8.6093615076880319</v>
      </c>
      <c r="AA22" s="173">
        <f t="shared" si="14"/>
        <v>1.4085793559509514</v>
      </c>
      <c r="AB22" s="173">
        <f t="shared" si="15"/>
        <v>2.1222195553384209</v>
      </c>
      <c r="AC22" s="173"/>
      <c r="AD22" s="173">
        <f t="shared" si="16"/>
        <v>0.54536733248379721</v>
      </c>
      <c r="AE22" s="545">
        <f t="shared" si="17"/>
        <v>467.57476073720642</v>
      </c>
      <c r="AF22" s="528">
        <f t="shared" si="18"/>
        <v>0.31813094394888175</v>
      </c>
      <c r="AH22" s="173">
        <f t="shared" si="19"/>
        <v>4.00227898603619</v>
      </c>
      <c r="AI22" s="173">
        <f t="shared" si="20"/>
        <v>4.00227898603619</v>
      </c>
      <c r="AJ22" s="173">
        <f t="shared" si="21"/>
        <v>1.6955152982984123</v>
      </c>
      <c r="AL22" s="545">
        <f t="shared" si="22"/>
        <v>425.00000000000006</v>
      </c>
      <c r="AM22" s="460">
        <f t="shared" si="23"/>
        <v>350</v>
      </c>
      <c r="AO22">
        <f t="shared" si="96"/>
        <v>425.00000000000006</v>
      </c>
      <c r="AP22" s="460">
        <f t="shared" si="24"/>
        <v>350</v>
      </c>
      <c r="AQ22" s="460"/>
      <c r="AR22" s="5">
        <f t="shared" si="97"/>
        <v>2.8571428571428572</v>
      </c>
      <c r="AS22" s="5">
        <f t="shared" si="25"/>
        <v>0.67340130340469995</v>
      </c>
      <c r="AT22" s="5">
        <f t="shared" si="98"/>
        <v>2.183741553738157</v>
      </c>
      <c r="AU22" s="173">
        <f t="shared" si="99"/>
        <v>0.23569045619164497</v>
      </c>
      <c r="AW22" s="5">
        <f t="shared" si="26"/>
        <v>1.0221269783821338</v>
      </c>
      <c r="AX22" s="5">
        <f t="shared" si="27"/>
        <v>9.5398517982332509E-2</v>
      </c>
      <c r="AY22" s="5">
        <f t="shared" si="28"/>
        <v>0.66449068922735743</v>
      </c>
      <c r="AZ22" s="5"/>
      <c r="BA22" s="173">
        <f t="shared" si="100"/>
        <v>1.1218059257670592</v>
      </c>
      <c r="BB22" s="173">
        <f t="shared" si="29"/>
        <v>2.0201395559720297</v>
      </c>
      <c r="BC22" s="173">
        <f t="shared" si="30"/>
        <v>0.20366980769226201</v>
      </c>
      <c r="BD22" s="173"/>
      <c r="BE22" s="528">
        <f t="shared" si="31"/>
        <v>1.5101382421033066E-2</v>
      </c>
      <c r="BF22" s="528">
        <f t="shared" si="32"/>
        <v>1.4485055789140084</v>
      </c>
      <c r="BG22" s="528">
        <f t="shared" si="33"/>
        <v>4.0250000000000001E-2</v>
      </c>
      <c r="BH22" s="528">
        <f t="shared" si="34"/>
        <v>0.55339863054435545</v>
      </c>
      <c r="BI22">
        <f t="shared" si="35"/>
        <v>1.2570246022198986E-2</v>
      </c>
      <c r="BJ22" s="460">
        <f t="shared" si="101"/>
        <v>52.820246022198987</v>
      </c>
      <c r="BK22">
        <f t="shared" si="36"/>
        <v>2.0283609034901708</v>
      </c>
      <c r="BL22" s="460">
        <f t="shared" si="102"/>
        <v>2028.3609034901708</v>
      </c>
      <c r="BM22" s="173">
        <f t="shared" si="37"/>
        <v>0.28500499999999995</v>
      </c>
      <c r="BN22" s="173">
        <f t="shared" si="38"/>
        <v>2.0357500000000001E-2</v>
      </c>
      <c r="BO22" s="528"/>
      <c r="BQ22" s="460">
        <f t="shared" si="103"/>
        <v>305.36249999999995</v>
      </c>
      <c r="BR22" s="528">
        <f t="shared" si="39"/>
        <v>1.7618279491205244E-2</v>
      </c>
      <c r="BS22" s="528">
        <f t="shared" si="104"/>
        <v>5.713349355844017E-2</v>
      </c>
      <c r="BT22" s="528">
        <f t="shared" si="40"/>
        <v>2.0740695282701495E-4</v>
      </c>
      <c r="BU22" s="528">
        <f t="shared" si="41"/>
        <v>3.672049371821188</v>
      </c>
      <c r="BV22" s="528">
        <f t="shared" si="42"/>
        <v>3.7877126618415837</v>
      </c>
      <c r="BW22" s="625">
        <f t="shared" si="43"/>
        <v>0.56063829787234065</v>
      </c>
      <c r="BX22" s="460">
        <f t="shared" si="105"/>
        <v>4348.3509597139246</v>
      </c>
      <c r="BY22" s="173">
        <f t="shared" si="106"/>
        <v>6.6820743632040953</v>
      </c>
      <c r="BZ22" s="5">
        <f t="shared" si="107"/>
        <v>13.175000000000002</v>
      </c>
      <c r="CA22" s="173">
        <f t="shared" si="108"/>
        <v>0.6634914972375674</v>
      </c>
      <c r="CB22" s="5">
        <f t="shared" si="109"/>
        <v>66.349149723756739</v>
      </c>
      <c r="CC22">
        <f t="shared" si="110"/>
        <v>17</v>
      </c>
      <c r="CE22" s="562">
        <f t="shared" si="44"/>
        <v>-50</v>
      </c>
      <c r="CF22">
        <f t="shared" si="45"/>
        <v>-50</v>
      </c>
      <c r="CG22" s="173">
        <f t="shared" si="46"/>
        <v>0.22188770792808121</v>
      </c>
      <c r="CH22" s="173">
        <f t="shared" si="47"/>
        <v>7.1954910435067132E-2</v>
      </c>
      <c r="CI22" s="170">
        <v>17</v>
      </c>
      <c r="CJ22" s="217">
        <f t="shared" si="133"/>
        <v>0.42500000000000004</v>
      </c>
      <c r="CK22" s="217">
        <f t="shared" si="111"/>
        <v>4.2500000000000003E-2</v>
      </c>
      <c r="CL22" s="217">
        <f t="shared" si="48"/>
        <v>11.900000000000002</v>
      </c>
      <c r="CM22" s="217">
        <f t="shared" si="134"/>
        <v>1.2750000000000001</v>
      </c>
      <c r="CN22" s="541">
        <f t="shared" si="112"/>
        <v>28</v>
      </c>
      <c r="CO22" s="443">
        <f t="shared" si="49"/>
        <v>28.7</v>
      </c>
      <c r="CP22" s="443">
        <f t="shared" si="50"/>
        <v>56.7</v>
      </c>
      <c r="CQ22" s="443"/>
      <c r="CR22" s="217">
        <f t="shared" si="113"/>
        <v>0.50354609929078009</v>
      </c>
      <c r="CS22" s="172">
        <f t="shared" si="114"/>
        <v>106.12369404407841</v>
      </c>
      <c r="CT22" s="172">
        <f t="shared" si="51"/>
        <v>12.588652482269502</v>
      </c>
      <c r="CU22" s="217">
        <f t="shared" si="52"/>
        <v>3.7901319301456575</v>
      </c>
      <c r="CV22" s="217">
        <f t="shared" si="53"/>
        <v>3.5374564681359471</v>
      </c>
      <c r="CW22" s="443">
        <f t="shared" si="54"/>
        <v>28</v>
      </c>
      <c r="CX22" s="217">
        <f t="shared" si="55"/>
        <v>1.8688883299798797</v>
      </c>
      <c r="CY22" s="217">
        <f t="shared" si="56"/>
        <v>0.31370625538947983</v>
      </c>
      <c r="CZ22" s="217">
        <f t="shared" si="57"/>
        <v>0.30605488330680963</v>
      </c>
      <c r="DA22" s="197">
        <f t="shared" si="58"/>
        <v>350</v>
      </c>
      <c r="DB22" s="443">
        <f t="shared" si="115"/>
        <v>350</v>
      </c>
      <c r="DD22" s="217">
        <f t="shared" si="59"/>
        <v>8.6157079064880477</v>
      </c>
      <c r="DE22" s="173">
        <f t="shared" si="60"/>
        <v>1.4109347442680775</v>
      </c>
      <c r="DF22" s="173">
        <f t="shared" si="61"/>
        <v>2.1273352855526046</v>
      </c>
      <c r="DG22" s="173"/>
      <c r="DH22" s="173">
        <f t="shared" si="62"/>
        <v>0.54587688734030204</v>
      </c>
      <c r="DI22" s="545">
        <f t="shared" si="63"/>
        <v>467.1382978723405</v>
      </c>
      <c r="DJ22" s="528">
        <f t="shared" si="64"/>
        <v>0.31842818428184283</v>
      </c>
      <c r="DL22" s="173">
        <f t="shared" si="65"/>
        <v>4.00227898603619</v>
      </c>
      <c r="DM22" s="173">
        <f t="shared" si="66"/>
        <v>4.00227898603619</v>
      </c>
      <c r="DN22" s="173">
        <f t="shared" si="67"/>
        <v>1.6955152982984123</v>
      </c>
      <c r="DP22" s="545">
        <f t="shared" si="68"/>
        <v>425.00000000000006</v>
      </c>
      <c r="DQ22" s="460">
        <f t="shared" si="69"/>
        <v>350</v>
      </c>
      <c r="DS22">
        <f t="shared" si="116"/>
        <v>425.00000000000006</v>
      </c>
      <c r="DT22" s="460">
        <f t="shared" si="70"/>
        <v>350</v>
      </c>
      <c r="DU22" s="460"/>
      <c r="DV22" s="5">
        <f t="shared" si="117"/>
        <v>2.8571428571428572</v>
      </c>
      <c r="DW22" s="5">
        <f t="shared" si="71"/>
        <v>0.67181111551321759</v>
      </c>
      <c r="DX22" s="5">
        <f t="shared" si="118"/>
        <v>2.1853317416296396</v>
      </c>
      <c r="DY22" s="173">
        <f t="shared" si="119"/>
        <v>0.23513389042962615</v>
      </c>
      <c r="EA22" s="5">
        <f t="shared" si="72"/>
        <v>1.0197133003325625</v>
      </c>
      <c r="EB22" s="5">
        <f t="shared" si="73"/>
        <v>9.517324136437251E-2</v>
      </c>
      <c r="EC22" s="5">
        <f t="shared" si="74"/>
        <v>0.66340427870899787</v>
      </c>
      <c r="ED22" s="5"/>
      <c r="EE22" s="173">
        <f t="shared" si="120"/>
        <v>1.1204806116023733</v>
      </c>
      <c r="EF22" s="173">
        <f t="shared" si="75"/>
        <v>2.0208749490535354</v>
      </c>
      <c r="EG22" s="173">
        <f t="shared" si="76"/>
        <v>0.20374394978162691</v>
      </c>
      <c r="EH22" s="173"/>
      <c r="EI22" s="528">
        <f t="shared" si="77"/>
        <v>1.5065721611721945E-2</v>
      </c>
      <c r="EJ22" s="528">
        <f t="shared" si="78"/>
        <v>1.5090793030798759</v>
      </c>
      <c r="EK22" s="528">
        <f t="shared" si="79"/>
        <v>4.0250000000000001E-2</v>
      </c>
      <c r="EL22" s="528">
        <f t="shared" si="80"/>
        <v>0.55416666375000012</v>
      </c>
      <c r="EM22">
        <f t="shared" si="81"/>
        <v>1.26E-2</v>
      </c>
      <c r="EN22" s="460">
        <f t="shared" si="121"/>
        <v>52.85</v>
      </c>
      <c r="EO22">
        <f t="shared" si="82"/>
        <v>2.1429001919221724</v>
      </c>
      <c r="EP22" s="460">
        <f t="shared" si="122"/>
        <v>2142.9001919221723</v>
      </c>
      <c r="EQ22" s="173">
        <f t="shared" si="83"/>
        <v>0.28500499999999995</v>
      </c>
      <c r="ER22" s="173">
        <f t="shared" si="84"/>
        <v>2.0357500000000001E-2</v>
      </c>
      <c r="ES22" s="528"/>
      <c r="EU22" s="460">
        <f t="shared" si="123"/>
        <v>305.36249999999995</v>
      </c>
      <c r="EV22" s="528">
        <f t="shared" si="85"/>
        <v>1.7576675213675601E-2</v>
      </c>
      <c r="EW22" s="528">
        <f t="shared" si="124"/>
        <v>5.7175097835969815E-2</v>
      </c>
      <c r="EX22" s="528">
        <f t="shared" si="86"/>
        <v>2.0755798536309055E-4</v>
      </c>
      <c r="EY22" s="528">
        <f t="shared" si="87"/>
        <v>3.672049371821188</v>
      </c>
      <c r="EZ22" s="528">
        <f t="shared" si="88"/>
        <v>3.7877128962933044</v>
      </c>
      <c r="FA22" s="625">
        <f t="shared" si="89"/>
        <v>0.56063829787234065</v>
      </c>
      <c r="FB22" s="460">
        <f t="shared" si="125"/>
        <v>4348.3511941656452</v>
      </c>
      <c r="FC22" s="173">
        <f t="shared" si="126"/>
        <v>6.7966138860878171</v>
      </c>
      <c r="FD22" s="5">
        <f t="shared" si="127"/>
        <v>13.175000000000002</v>
      </c>
      <c r="FE22" s="173">
        <f t="shared" si="128"/>
        <v>0.65968629651796329</v>
      </c>
      <c r="FF22" s="5">
        <f t="shared" si="129"/>
        <v>65.968629651796334</v>
      </c>
      <c r="FG22">
        <f t="shared" si="130"/>
        <v>17</v>
      </c>
      <c r="FI22" s="562">
        <f t="shared" si="90"/>
        <v>-50</v>
      </c>
      <c r="FJ22">
        <f t="shared" si="91"/>
        <v>-50</v>
      </c>
      <c r="FL22">
        <f t="shared" si="92"/>
        <v>0.22188770792808121</v>
      </c>
    </row>
    <row r="23" spans="5:168">
      <c r="E23" s="170">
        <v>18</v>
      </c>
      <c r="F23" s="217">
        <f t="shared" si="131"/>
        <v>0.44999999999999996</v>
      </c>
      <c r="G23" s="217">
        <f t="shared" si="93"/>
        <v>4.4999999999999998E-2</v>
      </c>
      <c r="H23" s="217">
        <f t="shared" si="0"/>
        <v>12.599999999999998</v>
      </c>
      <c r="I23" s="217">
        <f t="shared" si="132"/>
        <v>1.3499999999999999</v>
      </c>
      <c r="J23" s="541">
        <f t="shared" si="1"/>
        <v>27.93196313206353</v>
      </c>
      <c r="K23" s="443">
        <f t="shared" si="2"/>
        <v>28.727592783515398</v>
      </c>
      <c r="L23" s="172">
        <f t="shared" si="3"/>
        <v>56.659555915578927</v>
      </c>
      <c r="M23" s="443"/>
      <c r="N23" s="217">
        <f t="shared" si="4"/>
        <v>0.50702114267042031</v>
      </c>
      <c r="O23" s="172">
        <f t="shared" si="94"/>
        <v>106.59642048357883</v>
      </c>
      <c r="P23" s="172">
        <f t="shared" si="5"/>
        <v>12.644728450220448</v>
      </c>
      <c r="Q23" s="217">
        <f t="shared" si="6"/>
        <v>3.8070150172706723</v>
      </c>
      <c r="R23" s="217">
        <f t="shared" si="7"/>
        <v>3.553214016119294</v>
      </c>
      <c r="S23" s="443">
        <f t="shared" si="8"/>
        <v>28</v>
      </c>
      <c r="T23" s="217">
        <f t="shared" si="9"/>
        <v>1.9700473904032305</v>
      </c>
      <c r="U23" s="217">
        <f t="shared" si="10"/>
        <v>0.33149201476162554</v>
      </c>
      <c r="V23" s="217">
        <f t="shared" si="11"/>
        <v>0.32231112452305277</v>
      </c>
      <c r="W23" s="197">
        <f t="shared" si="12"/>
        <v>350</v>
      </c>
      <c r="X23" s="443">
        <f t="shared" si="95"/>
        <v>350</v>
      </c>
      <c r="Z23" s="217">
        <f t="shared" si="13"/>
        <v>8.6091768171713667</v>
      </c>
      <c r="AA23" s="173">
        <f t="shared" si="14"/>
        <v>1.408511020941656</v>
      </c>
      <c r="AB23" s="173">
        <f t="shared" si="15"/>
        <v>2.1220710749387242</v>
      </c>
      <c r="AC23" s="173"/>
      <c r="AD23" s="173">
        <f t="shared" si="16"/>
        <v>0.54535257390784886</v>
      </c>
      <c r="AE23" s="545">
        <f t="shared" si="17"/>
        <v>495.09255648186104</v>
      </c>
      <c r="AF23" s="528">
        <f t="shared" si="18"/>
        <v>0.31812233477957852</v>
      </c>
      <c r="AH23" s="173">
        <f t="shared" si="19"/>
        <v>4.1183111007048083</v>
      </c>
      <c r="AI23" s="173">
        <f t="shared" si="20"/>
        <v>4.1183111007048083</v>
      </c>
      <c r="AJ23" s="173">
        <f t="shared" si="21"/>
        <v>1.7814650128677592</v>
      </c>
      <c r="AL23" s="545">
        <f t="shared" si="22"/>
        <v>449.99999999999994</v>
      </c>
      <c r="AM23" s="460">
        <f t="shared" si="23"/>
        <v>350</v>
      </c>
      <c r="AO23">
        <f t="shared" si="96"/>
        <v>449.99999999999994</v>
      </c>
      <c r="AP23" s="460">
        <f t="shared" si="24"/>
        <v>350</v>
      </c>
      <c r="AQ23" s="460"/>
      <c r="AR23" s="5">
        <f t="shared" si="97"/>
        <v>2.8571428571428572</v>
      </c>
      <c r="AS23" s="5">
        <f t="shared" si="25"/>
        <v>0.69297177866791171</v>
      </c>
      <c r="AT23" s="5">
        <f t="shared" si="98"/>
        <v>2.1641710784749453</v>
      </c>
      <c r="AU23" s="173">
        <f t="shared" si="99"/>
        <v>0.24254012253376908</v>
      </c>
      <c r="AW23" s="5">
        <f t="shared" si="26"/>
        <v>1.113704644287715</v>
      </c>
      <c r="AX23" s="5">
        <f t="shared" si="27"/>
        <v>0.10394576680018675</v>
      </c>
      <c r="AY23" s="5">
        <f t="shared" si="28"/>
        <v>0.69732082969549447</v>
      </c>
      <c r="AZ23" s="5"/>
      <c r="BA23" s="173">
        <f t="shared" si="100"/>
        <v>1.1709822701213857</v>
      </c>
      <c r="BB23" s="173">
        <f t="shared" si="29"/>
        <v>2.06937091015382</v>
      </c>
      <c r="BC23" s="173">
        <f t="shared" si="30"/>
        <v>0.20863329667944253</v>
      </c>
      <c r="BD23" s="173"/>
      <c r="BE23" s="528">
        <f t="shared" si="31"/>
        <v>1.6454393723263606E-2</v>
      </c>
      <c r="BF23" s="528">
        <f t="shared" si="32"/>
        <v>1.4904699687879526</v>
      </c>
      <c r="BG23" s="528">
        <f t="shared" si="33"/>
        <v>4.0250000000000001E-2</v>
      </c>
      <c r="BH23" s="528">
        <f t="shared" si="34"/>
        <v>0.55337637204541223</v>
      </c>
      <c r="BI23">
        <f t="shared" si="35"/>
        <v>1.2569383409428588E-2</v>
      </c>
      <c r="BJ23" s="460">
        <f t="shared" si="101"/>
        <v>52.819383409428589</v>
      </c>
      <c r="BK23">
        <f t="shared" si="36"/>
        <v>2.0728473501330393</v>
      </c>
      <c r="BL23" s="460">
        <f t="shared" si="102"/>
        <v>2072.8473501330395</v>
      </c>
      <c r="BM23" s="173">
        <f t="shared" si="37"/>
        <v>0.30176999999999993</v>
      </c>
      <c r="BN23" s="173">
        <f t="shared" si="38"/>
        <v>2.1554999999999998E-2</v>
      </c>
      <c r="BO23" s="528"/>
      <c r="BQ23" s="460">
        <f t="shared" si="103"/>
        <v>323.32499999999993</v>
      </c>
      <c r="BR23" s="528">
        <f t="shared" si="39"/>
        <v>1.9196792677140872E-2</v>
      </c>
      <c r="BS23" s="528">
        <f t="shared" si="104"/>
        <v>5.9952143493071888E-2</v>
      </c>
      <c r="BT23" s="528">
        <f t="shared" si="40"/>
        <v>2.1763926241666142E-4</v>
      </c>
      <c r="BU23" s="528">
        <f t="shared" si="41"/>
        <v>3.9440098549343094</v>
      </c>
      <c r="BV23" s="528">
        <f t="shared" si="42"/>
        <v>4.0682550864063254</v>
      </c>
      <c r="BW23" s="625">
        <f t="shared" si="43"/>
        <v>0.59361702127659588</v>
      </c>
      <c r="BX23" s="460">
        <f t="shared" si="105"/>
        <v>4661.8721076829206</v>
      </c>
      <c r="BY23" s="173">
        <f t="shared" si="106"/>
        <v>7.0580444578159609</v>
      </c>
      <c r="BZ23" s="5">
        <f t="shared" si="107"/>
        <v>13.949999999999998</v>
      </c>
      <c r="CA23" s="173">
        <f t="shared" si="108"/>
        <v>0.66403134418396359</v>
      </c>
      <c r="CB23" s="5">
        <f t="shared" si="109"/>
        <v>66.403134418396363</v>
      </c>
      <c r="CC23">
        <f t="shared" si="110"/>
        <v>18</v>
      </c>
      <c r="CE23" s="562">
        <f t="shared" si="44"/>
        <v>-50</v>
      </c>
      <c r="CF23">
        <f t="shared" si="45"/>
        <v>-50</v>
      </c>
      <c r="CG23" s="173">
        <f t="shared" si="46"/>
        <v>0.22832056782108098</v>
      </c>
      <c r="CH23" s="173">
        <f t="shared" si="47"/>
        <v>7.4040992002019759E-2</v>
      </c>
      <c r="CI23" s="170">
        <v>18</v>
      </c>
      <c r="CJ23" s="217">
        <f t="shared" si="133"/>
        <v>0.44999999999999996</v>
      </c>
      <c r="CK23" s="217">
        <f t="shared" si="111"/>
        <v>4.4999999999999998E-2</v>
      </c>
      <c r="CL23" s="217">
        <f t="shared" si="48"/>
        <v>12.599999999999998</v>
      </c>
      <c r="CM23" s="217">
        <f t="shared" si="134"/>
        <v>1.3499999999999999</v>
      </c>
      <c r="CN23" s="541">
        <f t="shared" si="112"/>
        <v>28</v>
      </c>
      <c r="CO23" s="443">
        <f t="shared" si="49"/>
        <v>28.7</v>
      </c>
      <c r="CP23" s="443">
        <f t="shared" si="50"/>
        <v>56.7</v>
      </c>
      <c r="CQ23" s="443"/>
      <c r="CR23" s="217">
        <f t="shared" si="113"/>
        <v>0.50354609929078009</v>
      </c>
      <c r="CS23" s="172">
        <f t="shared" si="114"/>
        <v>106.12369404407841</v>
      </c>
      <c r="CT23" s="172">
        <f t="shared" si="51"/>
        <v>12.588652482269502</v>
      </c>
      <c r="CU23" s="217">
        <f t="shared" si="52"/>
        <v>3.7901319301456575</v>
      </c>
      <c r="CV23" s="217">
        <f t="shared" si="53"/>
        <v>3.5374564681359471</v>
      </c>
      <c r="CW23" s="443">
        <f t="shared" si="54"/>
        <v>28</v>
      </c>
      <c r="CX23" s="217">
        <f t="shared" si="55"/>
        <v>1.9788229376257545</v>
      </c>
      <c r="CY23" s="217">
        <f t="shared" si="56"/>
        <v>0.33215956453003737</v>
      </c>
      <c r="CZ23" s="217">
        <f t="shared" si="57"/>
        <v>0.3240581117366218</v>
      </c>
      <c r="DA23" s="197">
        <f t="shared" si="58"/>
        <v>350</v>
      </c>
      <c r="DB23" s="443">
        <f t="shared" si="115"/>
        <v>350</v>
      </c>
      <c r="DD23" s="217">
        <f t="shared" si="59"/>
        <v>8.6157079064880477</v>
      </c>
      <c r="DE23" s="173">
        <f t="shared" si="60"/>
        <v>1.4109347442680775</v>
      </c>
      <c r="DF23" s="173">
        <f t="shared" si="61"/>
        <v>2.1273352855526046</v>
      </c>
      <c r="DG23" s="173"/>
      <c r="DH23" s="173">
        <f t="shared" si="62"/>
        <v>0.54587688734030204</v>
      </c>
      <c r="DI23" s="545">
        <f t="shared" si="63"/>
        <v>494.61702127659572</v>
      </c>
      <c r="DJ23" s="528">
        <f t="shared" si="64"/>
        <v>0.31842818428184283</v>
      </c>
      <c r="DL23" s="173">
        <f t="shared" si="65"/>
        <v>4.1183111007048083</v>
      </c>
      <c r="DM23" s="173">
        <f t="shared" si="66"/>
        <v>4.1183111007048083</v>
      </c>
      <c r="DN23" s="173">
        <f t="shared" si="67"/>
        <v>1.7814650128677592</v>
      </c>
      <c r="DP23" s="545">
        <f t="shared" si="68"/>
        <v>449.99999999999994</v>
      </c>
      <c r="DQ23" s="460">
        <f t="shared" si="69"/>
        <v>350</v>
      </c>
      <c r="DS23">
        <f t="shared" si="116"/>
        <v>449.99999999999994</v>
      </c>
      <c r="DT23" s="460">
        <f t="shared" si="70"/>
        <v>350</v>
      </c>
      <c r="DU23" s="460"/>
      <c r="DV23" s="5">
        <f t="shared" si="117"/>
        <v>2.8571428571428572</v>
      </c>
      <c r="DW23" s="5">
        <f t="shared" si="71"/>
        <v>0.69128793476116424</v>
      </c>
      <c r="DX23" s="5">
        <f t="shared" si="118"/>
        <v>2.1658549223816932</v>
      </c>
      <c r="DY23" s="173">
        <f t="shared" si="119"/>
        <v>0.24195077716640748</v>
      </c>
      <c r="EA23" s="5">
        <f t="shared" si="72"/>
        <v>1.1109984665804424</v>
      </c>
      <c r="EB23" s="5">
        <f t="shared" si="73"/>
        <v>0.10369319021417464</v>
      </c>
      <c r="EC23" s="5">
        <f t="shared" si="74"/>
        <v>0.69616765362268684</v>
      </c>
      <c r="ED23" s="5"/>
      <c r="EE23" s="173">
        <f t="shared" si="120"/>
        <v>1.1695587268672061</v>
      </c>
      <c r="EF23" s="173">
        <f t="shared" si="75"/>
        <v>2.0701757957087228</v>
      </c>
      <c r="EG23" s="173">
        <f t="shared" si="76"/>
        <v>0.20871444497719091</v>
      </c>
      <c r="EH23" s="173"/>
      <c r="EI23" s="528">
        <f t="shared" si="77"/>
        <v>1.6414411387094881E-2</v>
      </c>
      <c r="EJ23" s="528">
        <f t="shared" si="78"/>
        <v>1.5528297920762517</v>
      </c>
      <c r="EK23" s="528">
        <f t="shared" si="79"/>
        <v>4.0250000000000001E-2</v>
      </c>
      <c r="EL23" s="528">
        <f t="shared" si="80"/>
        <v>0.55416666375000012</v>
      </c>
      <c r="EM23">
        <f t="shared" si="81"/>
        <v>1.26E-2</v>
      </c>
      <c r="EN23" s="460">
        <f t="shared" si="121"/>
        <v>52.85</v>
      </c>
      <c r="EO23">
        <f t="shared" si="82"/>
        <v>2.1892308992243095</v>
      </c>
      <c r="EP23" s="460">
        <f t="shared" si="122"/>
        <v>2189.2308992243093</v>
      </c>
      <c r="EQ23" s="173">
        <f t="shared" si="83"/>
        <v>0.30176999999999993</v>
      </c>
      <c r="ER23" s="173">
        <f t="shared" si="84"/>
        <v>2.1554999999999998E-2</v>
      </c>
      <c r="ES23" s="528"/>
      <c r="EU23" s="460">
        <f t="shared" si="123"/>
        <v>323.32499999999993</v>
      </c>
      <c r="EV23" s="528">
        <f t="shared" si="85"/>
        <v>1.915014661827736E-2</v>
      </c>
      <c r="EW23" s="528">
        <f t="shared" si="124"/>
        <v>5.9998789551935418E-2</v>
      </c>
      <c r="EX23" s="528">
        <f t="shared" si="86"/>
        <v>2.1780859771068428E-4</v>
      </c>
      <c r="EY23" s="528">
        <f t="shared" si="87"/>
        <v>3.9440098549343094</v>
      </c>
      <c r="EZ23" s="528">
        <f t="shared" si="88"/>
        <v>4.0682553531879107</v>
      </c>
      <c r="FA23" s="625">
        <f t="shared" si="89"/>
        <v>0.59361702127659588</v>
      </c>
      <c r="FB23" s="460">
        <f t="shared" si="125"/>
        <v>4661.8723744645067</v>
      </c>
      <c r="FC23" s="173">
        <f t="shared" si="126"/>
        <v>7.1744282736888154</v>
      </c>
      <c r="FD23" s="5">
        <f t="shared" si="127"/>
        <v>13.949999999999998</v>
      </c>
      <c r="FE23" s="173">
        <f t="shared" si="128"/>
        <v>0.66037290189648312</v>
      </c>
      <c r="FF23" s="5">
        <f t="shared" si="129"/>
        <v>66.037290189648317</v>
      </c>
      <c r="FG23">
        <f t="shared" si="130"/>
        <v>18</v>
      </c>
      <c r="FI23" s="562">
        <f t="shared" si="90"/>
        <v>-50</v>
      </c>
      <c r="FJ23">
        <f t="shared" si="91"/>
        <v>-50</v>
      </c>
      <c r="FL23">
        <f t="shared" si="92"/>
        <v>0.22832056782108101</v>
      </c>
    </row>
    <row r="24" spans="5:168">
      <c r="E24" s="170">
        <v>19</v>
      </c>
      <c r="F24" s="217">
        <f t="shared" si="131"/>
        <v>0.47499999999999998</v>
      </c>
      <c r="G24" s="217">
        <f t="shared" si="93"/>
        <v>4.7500000000000001E-2</v>
      </c>
      <c r="H24" s="217">
        <f t="shared" si="0"/>
        <v>13.299999999999999</v>
      </c>
      <c r="I24" s="217">
        <f t="shared" si="132"/>
        <v>1.425</v>
      </c>
      <c r="J24" s="541">
        <f t="shared" si="1"/>
        <v>27.93009876309571</v>
      </c>
      <c r="K24" s="443">
        <f t="shared" si="2"/>
        <v>28.728348890180534</v>
      </c>
      <c r="L24" s="172">
        <f t="shared" si="3"/>
        <v>56.658447653276241</v>
      </c>
      <c r="M24" s="443"/>
      <c r="N24" s="217">
        <f t="shared" si="4"/>
        <v>0.50704440520476091</v>
      </c>
      <c r="O24" s="172">
        <f t="shared" si="94"/>
        <v>106.59419591667597</v>
      </c>
      <c r="P24" s="172">
        <f t="shared" si="5"/>
        <v>12.644464566646512</v>
      </c>
      <c r="Q24" s="217">
        <f t="shared" si="6"/>
        <v>3.8069355684527131</v>
      </c>
      <c r="R24" s="217">
        <f t="shared" si="7"/>
        <v>3.5531398638891991</v>
      </c>
      <c r="S24" s="443">
        <f t="shared" si="8"/>
        <v>28</v>
      </c>
      <c r="T24" s="217">
        <f t="shared" si="9"/>
        <v>2.0795378656445997</v>
      </c>
      <c r="U24" s="217">
        <f t="shared" si="10"/>
        <v>0.34993889751094848</v>
      </c>
      <c r="V24" s="217">
        <f t="shared" si="11"/>
        <v>0.34021544384231395</v>
      </c>
      <c r="W24" s="197">
        <f t="shared" si="12"/>
        <v>350</v>
      </c>
      <c r="X24" s="443">
        <f t="shared" si="95"/>
        <v>350</v>
      </c>
      <c r="Z24" s="217">
        <f t="shared" si="13"/>
        <v>8.6089971517593273</v>
      </c>
      <c r="AA24" s="173">
        <f t="shared" si="14"/>
        <v>1.4084445565578261</v>
      </c>
      <c r="AB24" s="173">
        <f t="shared" si="15"/>
        <v>2.1219266557680192</v>
      </c>
      <c r="AC24" s="173"/>
      <c r="AD24" s="173">
        <f t="shared" si="16"/>
        <v>0.54533822067378179</v>
      </c>
      <c r="AE24" s="545">
        <f t="shared" si="17"/>
        <v>522.61145321498623</v>
      </c>
      <c r="AF24" s="528">
        <f t="shared" si="18"/>
        <v>0.31811396205970605</v>
      </c>
      <c r="AH24" s="173">
        <f t="shared" si="19"/>
        <v>4.2311624362945501</v>
      </c>
      <c r="AI24" s="173">
        <f t="shared" si="20"/>
        <v>4.2311624362945501</v>
      </c>
      <c r="AJ24" s="173">
        <f t="shared" si="21"/>
        <v>1.8650585947860865</v>
      </c>
      <c r="AL24" s="545">
        <f t="shared" si="22"/>
        <v>475</v>
      </c>
      <c r="AM24" s="460">
        <f t="shared" si="23"/>
        <v>350</v>
      </c>
      <c r="AO24">
        <f t="shared" si="96"/>
        <v>475</v>
      </c>
      <c r="AP24" s="460">
        <f t="shared" si="24"/>
        <v>350</v>
      </c>
      <c r="AQ24" s="460"/>
      <c r="AR24" s="5">
        <f t="shared" si="97"/>
        <v>2.8571428571428572</v>
      </c>
      <c r="AS24" s="5">
        <f t="shared" si="25"/>
        <v>0.71200834695438131</v>
      </c>
      <c r="AT24" s="5">
        <f t="shared" si="98"/>
        <v>2.145134510188476</v>
      </c>
      <c r="AU24" s="173">
        <f t="shared" si="99"/>
        <v>0.24920292143403344</v>
      </c>
      <c r="AW24" s="5">
        <f t="shared" si="26"/>
        <v>1.2078713028690395</v>
      </c>
      <c r="AX24" s="5">
        <f t="shared" si="27"/>
        <v>0.11273465493444369</v>
      </c>
      <c r="AY24" s="5">
        <f t="shared" si="28"/>
        <v>0.72963500844175955</v>
      </c>
      <c r="AZ24" s="5"/>
      <c r="BA24" s="173">
        <f t="shared" si="100"/>
        <v>1.2194826777215306</v>
      </c>
      <c r="BB24" s="173">
        <f t="shared" si="29"/>
        <v>2.1167051092457672</v>
      </c>
      <c r="BC24" s="173">
        <f t="shared" si="30"/>
        <v>0.21340551511248312</v>
      </c>
      <c r="BD24" s="173"/>
      <c r="BE24" s="528">
        <f t="shared" si="31"/>
        <v>1.7845656015154494E-2</v>
      </c>
      <c r="BF24" s="528">
        <f t="shared" si="32"/>
        <v>1.5312823719269266</v>
      </c>
      <c r="BG24" s="528">
        <f t="shared" si="33"/>
        <v>4.0250000000000001E-2</v>
      </c>
      <c r="BH24" s="528">
        <f t="shared" si="34"/>
        <v>0.55335472414632525</v>
      </c>
      <c r="BI24">
        <f t="shared" si="35"/>
        <v>1.256854444339307E-2</v>
      </c>
      <c r="BJ24" s="460">
        <f t="shared" si="101"/>
        <v>52.818544443393066</v>
      </c>
      <c r="BK24">
        <f t="shared" si="36"/>
        <v>2.1162743530758497</v>
      </c>
      <c r="BL24" s="460">
        <f t="shared" si="102"/>
        <v>2116.2743530758498</v>
      </c>
      <c r="BM24" s="173">
        <f t="shared" si="37"/>
        <v>0.31853499999999996</v>
      </c>
      <c r="BN24" s="173">
        <f t="shared" si="38"/>
        <v>2.2752499999999998E-2</v>
      </c>
      <c r="BO24" s="528"/>
      <c r="BQ24" s="460">
        <f t="shared" si="103"/>
        <v>341.28749999999997</v>
      </c>
      <c r="BR24" s="528">
        <f t="shared" si="39"/>
        <v>2.0819932017680245E-2</v>
      </c>
      <c r="BS24" s="528">
        <f t="shared" si="104"/>
        <v>6.2726167273099889E-2</v>
      </c>
      <c r="BT24" s="528">
        <f t="shared" si="40"/>
        <v>2.2770956940212133E-4</v>
      </c>
      <c r="BU24" s="528">
        <f t="shared" si="41"/>
        <v>4.2197756454136321</v>
      </c>
      <c r="BV24" s="528">
        <f t="shared" si="42"/>
        <v>4.352827402868197</v>
      </c>
      <c r="BW24" s="625">
        <f t="shared" si="43"/>
        <v>0.62659574468085111</v>
      </c>
      <c r="BX24" s="460">
        <f t="shared" si="105"/>
        <v>4979.4231475490478</v>
      </c>
      <c r="BY24" s="173">
        <f t="shared" si="106"/>
        <v>7.4369850006248983</v>
      </c>
      <c r="BZ24" s="5">
        <f t="shared" si="107"/>
        <v>14.725</v>
      </c>
      <c r="CA24" s="173">
        <f t="shared" si="108"/>
        <v>0.66442604304554853</v>
      </c>
      <c r="CB24" s="5">
        <f t="shared" si="109"/>
        <v>66.442604304554848</v>
      </c>
      <c r="CC24">
        <f t="shared" si="110"/>
        <v>19</v>
      </c>
      <c r="CE24" s="562">
        <f t="shared" si="44"/>
        <v>-50</v>
      </c>
      <c r="CF24">
        <f t="shared" si="45"/>
        <v>-50</v>
      </c>
      <c r="CG24" s="173">
        <f t="shared" si="46"/>
        <v>0.23457708424034993</v>
      </c>
      <c r="CH24" s="173">
        <f t="shared" si="47"/>
        <v>7.6069887981827428E-2</v>
      </c>
      <c r="CI24" s="170">
        <v>19</v>
      </c>
      <c r="CJ24" s="217">
        <f t="shared" si="133"/>
        <v>0.47499999999999998</v>
      </c>
      <c r="CK24" s="217">
        <f t="shared" si="111"/>
        <v>4.7500000000000001E-2</v>
      </c>
      <c r="CL24" s="217">
        <f t="shared" si="48"/>
        <v>13.299999999999999</v>
      </c>
      <c r="CM24" s="217">
        <f t="shared" si="134"/>
        <v>1.425</v>
      </c>
      <c r="CN24" s="541">
        <f t="shared" si="112"/>
        <v>28</v>
      </c>
      <c r="CO24" s="443">
        <f t="shared" si="49"/>
        <v>28.7</v>
      </c>
      <c r="CP24" s="443">
        <f t="shared" si="50"/>
        <v>56.7</v>
      </c>
      <c r="CQ24" s="443"/>
      <c r="CR24" s="217">
        <f t="shared" si="113"/>
        <v>0.50354609929078009</v>
      </c>
      <c r="CS24" s="172">
        <f t="shared" si="114"/>
        <v>106.12369404407841</v>
      </c>
      <c r="CT24" s="172">
        <f t="shared" si="51"/>
        <v>12.588652482269502</v>
      </c>
      <c r="CU24" s="217">
        <f t="shared" si="52"/>
        <v>3.7901319301456575</v>
      </c>
      <c r="CV24" s="217">
        <f t="shared" si="53"/>
        <v>3.5374564681359471</v>
      </c>
      <c r="CW24" s="443">
        <f t="shared" si="54"/>
        <v>28</v>
      </c>
      <c r="CX24" s="217">
        <f t="shared" si="55"/>
        <v>2.0887575452716298</v>
      </c>
      <c r="CY24" s="217">
        <f t="shared" si="56"/>
        <v>0.35061287367059496</v>
      </c>
      <c r="CZ24" s="217">
        <f t="shared" si="57"/>
        <v>0.34206134016643414</v>
      </c>
      <c r="DA24" s="197">
        <f t="shared" si="58"/>
        <v>350</v>
      </c>
      <c r="DB24" s="443">
        <f t="shared" si="115"/>
        <v>350</v>
      </c>
      <c r="DD24" s="217">
        <f t="shared" si="59"/>
        <v>8.6157079064880477</v>
      </c>
      <c r="DE24" s="173">
        <f t="shared" si="60"/>
        <v>1.4109347442680775</v>
      </c>
      <c r="DF24" s="173">
        <f t="shared" si="61"/>
        <v>2.1273352855526046</v>
      </c>
      <c r="DG24" s="173"/>
      <c r="DH24" s="173">
        <f t="shared" si="62"/>
        <v>0.54587688734030204</v>
      </c>
      <c r="DI24" s="545">
        <f t="shared" si="63"/>
        <v>522.095744680851</v>
      </c>
      <c r="DJ24" s="528">
        <f t="shared" si="64"/>
        <v>0.31842818428184283</v>
      </c>
      <c r="DL24" s="173">
        <f t="shared" si="65"/>
        <v>4.2311624362945501</v>
      </c>
      <c r="DM24" s="173">
        <f t="shared" si="66"/>
        <v>4.2311624362945501</v>
      </c>
      <c r="DN24" s="173">
        <f t="shared" si="67"/>
        <v>1.8650585947860865</v>
      </c>
      <c r="DP24" s="545">
        <f t="shared" si="68"/>
        <v>475</v>
      </c>
      <c r="DQ24" s="460">
        <f t="shared" si="69"/>
        <v>350</v>
      </c>
      <c r="DS24">
        <f t="shared" si="116"/>
        <v>475</v>
      </c>
      <c r="DT24" s="460">
        <f t="shared" si="70"/>
        <v>350</v>
      </c>
      <c r="DU24" s="460"/>
      <c r="DV24" s="5">
        <f t="shared" si="117"/>
        <v>2.8571428571428572</v>
      </c>
      <c r="DW24" s="5">
        <f t="shared" si="71"/>
        <v>0.71023083752087091</v>
      </c>
      <c r="DX24" s="5">
        <f t="shared" si="118"/>
        <v>2.1469120196219862</v>
      </c>
      <c r="DY24" s="173">
        <f t="shared" si="119"/>
        <v>0.2485807931323048</v>
      </c>
      <c r="EA24" s="5">
        <f t="shared" si="72"/>
        <v>1.2048558850800488</v>
      </c>
      <c r="EB24" s="5">
        <f t="shared" si="73"/>
        <v>0.11245321594080455</v>
      </c>
      <c r="EC24" s="5">
        <f t="shared" si="74"/>
        <v>0.72841657808603089</v>
      </c>
      <c r="ED24" s="5"/>
      <c r="EE24" s="173">
        <f t="shared" si="120"/>
        <v>1.2179595238645313</v>
      </c>
      <c r="EF24" s="173">
        <f t="shared" si="75"/>
        <v>2.1175819037283294</v>
      </c>
      <c r="EG24" s="173">
        <f t="shared" si="76"/>
        <v>0.21349391324474143</v>
      </c>
      <c r="EH24" s="173"/>
      <c r="EI24" s="528">
        <f t="shared" si="77"/>
        <v>1.7801104821267792E-2</v>
      </c>
      <c r="EJ24" s="528">
        <f t="shared" si="78"/>
        <v>1.5953809524170419</v>
      </c>
      <c r="EK24" s="528">
        <f t="shared" si="79"/>
        <v>4.0250000000000001E-2</v>
      </c>
      <c r="EL24" s="528">
        <f t="shared" si="80"/>
        <v>0.55416666375000012</v>
      </c>
      <c r="EM24">
        <f t="shared" si="81"/>
        <v>1.26E-2</v>
      </c>
      <c r="EN24" s="460">
        <f t="shared" si="121"/>
        <v>52.85</v>
      </c>
      <c r="EO24">
        <f t="shared" si="82"/>
        <v>2.2344557448395834</v>
      </c>
      <c r="EP24" s="460">
        <f t="shared" si="122"/>
        <v>2234.4557448395835</v>
      </c>
      <c r="EQ24" s="173">
        <f t="shared" si="83"/>
        <v>0.31853499999999996</v>
      </c>
      <c r="ER24" s="173">
        <f t="shared" si="84"/>
        <v>2.2752499999999998E-2</v>
      </c>
      <c r="ES24" s="528"/>
      <c r="EU24" s="460">
        <f t="shared" si="123"/>
        <v>341.28749999999997</v>
      </c>
      <c r="EV24" s="528">
        <f t="shared" si="85"/>
        <v>2.0767955624812422E-2</v>
      </c>
      <c r="EW24" s="528">
        <f t="shared" si="124"/>
        <v>6.2778143665967748E-2</v>
      </c>
      <c r="EX24" s="528">
        <f t="shared" si="86"/>
        <v>2.2789825496276589E-4</v>
      </c>
      <c r="EY24" s="528">
        <f t="shared" si="87"/>
        <v>4.2197756454136321</v>
      </c>
      <c r="EZ24" s="528">
        <f t="shared" si="88"/>
        <v>4.3528277045654979</v>
      </c>
      <c r="FA24" s="625">
        <f t="shared" si="89"/>
        <v>0.62659574468085111</v>
      </c>
      <c r="FB24" s="460">
        <f t="shared" si="125"/>
        <v>4979.4234492463493</v>
      </c>
      <c r="FC24" s="173">
        <f t="shared" si="126"/>
        <v>7.5551666940859326</v>
      </c>
      <c r="FD24" s="5">
        <f t="shared" si="127"/>
        <v>14.725</v>
      </c>
      <c r="FE24" s="173">
        <f t="shared" si="128"/>
        <v>0.66090169800698206</v>
      </c>
      <c r="FF24" s="5">
        <f t="shared" si="129"/>
        <v>66.090169800698206</v>
      </c>
      <c r="FG24">
        <f t="shared" si="130"/>
        <v>19</v>
      </c>
      <c r="FI24" s="562">
        <f t="shared" si="90"/>
        <v>-50</v>
      </c>
      <c r="FJ24">
        <f t="shared" si="91"/>
        <v>-50</v>
      </c>
      <c r="FL24">
        <f t="shared" si="92"/>
        <v>0.23457708424034993</v>
      </c>
    </row>
    <row r="25" spans="5:168">
      <c r="E25" s="170">
        <v>20</v>
      </c>
      <c r="F25" s="217">
        <f t="shared" si="131"/>
        <v>0.5</v>
      </c>
      <c r="G25" s="217">
        <f t="shared" si="93"/>
        <v>0.05</v>
      </c>
      <c r="H25" s="217">
        <f t="shared" si="0"/>
        <v>14</v>
      </c>
      <c r="I25" s="217">
        <f t="shared" si="132"/>
        <v>1.5</v>
      </c>
      <c r="J25" s="541">
        <f t="shared" si="1"/>
        <v>27.928282844152221</v>
      </c>
      <c r="K25" s="443">
        <f t="shared" si="2"/>
        <v>28.729085347630868</v>
      </c>
      <c r="L25" s="172">
        <f t="shared" si="3"/>
        <v>56.657368191783092</v>
      </c>
      <c r="M25" s="443"/>
      <c r="N25" s="217">
        <f t="shared" si="4"/>
        <v>0.50706706408218571</v>
      </c>
      <c r="O25" s="172">
        <f t="shared" si="94"/>
        <v>106.59202871665376</v>
      </c>
      <c r="P25" s="172">
        <f t="shared" si="5"/>
        <v>12.64420748807245</v>
      </c>
      <c r="Q25" s="217">
        <f t="shared" si="6"/>
        <v>3.80685816845192</v>
      </c>
      <c r="R25" s="217">
        <f t="shared" si="7"/>
        <v>3.5530676238884586</v>
      </c>
      <c r="S25" s="443">
        <f t="shared" si="8"/>
        <v>28</v>
      </c>
      <c r="T25" s="217">
        <f t="shared" si="9"/>
        <v>2.1890317328848976</v>
      </c>
      <c r="U25" s="217">
        <f t="shared" si="10"/>
        <v>0.36838817488248371</v>
      </c>
      <c r="V25" s="217">
        <f t="shared" si="11"/>
        <v>0.35811962058887653</v>
      </c>
      <c r="W25" s="197">
        <f t="shared" si="12"/>
        <v>350</v>
      </c>
      <c r="X25" s="443">
        <f t="shared" si="95"/>
        <v>350</v>
      </c>
      <c r="Z25" s="217">
        <f t="shared" si="13"/>
        <v>8.6088221195386865</v>
      </c>
      <c r="AA25" s="173">
        <f t="shared" si="14"/>
        <v>1.4083798169080404</v>
      </c>
      <c r="AB25" s="173">
        <f t="shared" si="15"/>
        <v>2.1217859810892117</v>
      </c>
      <c r="AC25" s="173"/>
      <c r="AD25" s="173">
        <f t="shared" si="16"/>
        <v>0.54532424116866673</v>
      </c>
      <c r="AE25" s="545">
        <f t="shared" si="17"/>
        <v>550.13142155037826</v>
      </c>
      <c r="AF25" s="528">
        <f t="shared" si="18"/>
        <v>0.31810580734838895</v>
      </c>
      <c r="AH25" s="173">
        <f t="shared" si="19"/>
        <v>4.3410810637940882</v>
      </c>
      <c r="AI25" s="173">
        <f t="shared" si="20"/>
        <v>4.3410810637940882</v>
      </c>
      <c r="AJ25" s="173">
        <f t="shared" si="21"/>
        <v>1.9464798003412997</v>
      </c>
      <c r="AL25" s="545">
        <f t="shared" si="22"/>
        <v>500</v>
      </c>
      <c r="AM25" s="460">
        <f t="shared" si="23"/>
        <v>350</v>
      </c>
      <c r="AO25">
        <f t="shared" si="96"/>
        <v>500</v>
      </c>
      <c r="AP25" s="460">
        <f t="shared" si="24"/>
        <v>350</v>
      </c>
      <c r="AQ25" s="460"/>
      <c r="AR25" s="5">
        <f t="shared" si="97"/>
        <v>2.8571428571428572</v>
      </c>
      <c r="AS25" s="5">
        <f t="shared" si="25"/>
        <v>0.73055264849927315</v>
      </c>
      <c r="AT25" s="5">
        <f t="shared" si="98"/>
        <v>2.1265902086435839</v>
      </c>
      <c r="AU25" s="173">
        <f t="shared" si="99"/>
        <v>0.25569342697474562</v>
      </c>
      <c r="AW25" s="5">
        <f t="shared" si="26"/>
        <v>1.3045583008915591</v>
      </c>
      <c r="AX25" s="5">
        <f t="shared" si="27"/>
        <v>0.12175877474987885</v>
      </c>
      <c r="AY25" s="5">
        <f t="shared" si="28"/>
        <v>0.76144681737526188</v>
      </c>
      <c r="AZ25" s="5"/>
      <c r="BA25" s="173">
        <f t="shared" si="100"/>
        <v>1.2673514042312468</v>
      </c>
      <c r="BB25" s="173">
        <f t="shared" si="29"/>
        <v>2.1622862944123806</v>
      </c>
      <c r="BC25" s="173">
        <f t="shared" si="30"/>
        <v>0.21800099525633021</v>
      </c>
      <c r="BD25" s="173"/>
      <c r="BE25" s="528">
        <f t="shared" si="31"/>
        <v>1.9274154981682959E-2</v>
      </c>
      <c r="BF25" s="528">
        <f t="shared" si="32"/>
        <v>1.5710326325109862</v>
      </c>
      <c r="BG25" s="528">
        <f t="shared" si="33"/>
        <v>4.0250000000000001E-2</v>
      </c>
      <c r="BH25" s="528">
        <f t="shared" si="34"/>
        <v>0.55333363922602241</v>
      </c>
      <c r="BI25">
        <f t="shared" si="35"/>
        <v>1.2567727279868499E-2</v>
      </c>
      <c r="BJ25" s="460">
        <f t="shared" si="101"/>
        <v>52.8177272798685</v>
      </c>
      <c r="BK25">
        <f t="shared" si="36"/>
        <v>2.1587304392837283</v>
      </c>
      <c r="BL25" s="460">
        <f t="shared" si="102"/>
        <v>2158.7304392837282</v>
      </c>
      <c r="BM25" s="173">
        <f t="shared" si="37"/>
        <v>0.33529999999999999</v>
      </c>
      <c r="BN25" s="173">
        <f t="shared" si="38"/>
        <v>2.3949999999999999E-2</v>
      </c>
      <c r="BO25" s="528"/>
      <c r="BQ25" s="460">
        <f t="shared" si="103"/>
        <v>359.24999999999994</v>
      </c>
      <c r="BR25" s="528">
        <f t="shared" si="39"/>
        <v>2.2486514145296784E-2</v>
      </c>
      <c r="BS25" s="528">
        <f t="shared" si="104"/>
        <v>6.5456748266050746E-2</v>
      </c>
      <c r="BT25" s="528">
        <f t="shared" si="40"/>
        <v>2.3762216966375253E-4</v>
      </c>
      <c r="BU25" s="528">
        <f t="shared" si="41"/>
        <v>4.4991953965603537</v>
      </c>
      <c r="BV25" s="528">
        <f t="shared" si="42"/>
        <v>4.641281477945987</v>
      </c>
      <c r="BW25" s="625">
        <f t="shared" si="43"/>
        <v>0.65957446808510634</v>
      </c>
      <c r="BX25" s="460">
        <f t="shared" si="105"/>
        <v>5300.8559460310935</v>
      </c>
      <c r="BY25" s="173">
        <f t="shared" si="106"/>
        <v>7.8188363853148211</v>
      </c>
      <c r="BZ25" s="5">
        <f t="shared" si="107"/>
        <v>15.5</v>
      </c>
      <c r="CA25" s="173">
        <f t="shared" si="108"/>
        <v>0.66469869010107296</v>
      </c>
      <c r="CB25" s="5">
        <f t="shared" si="109"/>
        <v>66.469869010107303</v>
      </c>
      <c r="CC25">
        <f t="shared" si="110"/>
        <v>20</v>
      </c>
      <c r="CE25" s="562">
        <f t="shared" si="44"/>
        <v>-50</v>
      </c>
      <c r="CF25">
        <f t="shared" si="45"/>
        <v>-50</v>
      </c>
      <c r="CG25" s="173">
        <f t="shared" si="46"/>
        <v>0.24067101032585458</v>
      </c>
      <c r="CH25" s="173">
        <f t="shared" si="47"/>
        <v>7.8046058314897582E-2</v>
      </c>
      <c r="CI25" s="170">
        <v>20</v>
      </c>
      <c r="CJ25" s="217">
        <f t="shared" si="133"/>
        <v>0.5</v>
      </c>
      <c r="CK25" s="217">
        <f t="shared" si="111"/>
        <v>0.05</v>
      </c>
      <c r="CL25" s="217">
        <f t="shared" si="48"/>
        <v>14</v>
      </c>
      <c r="CM25" s="217">
        <f t="shared" si="134"/>
        <v>1.5</v>
      </c>
      <c r="CN25" s="541">
        <f t="shared" si="112"/>
        <v>28</v>
      </c>
      <c r="CO25" s="443">
        <f t="shared" si="49"/>
        <v>28.7</v>
      </c>
      <c r="CP25" s="443">
        <f t="shared" si="50"/>
        <v>56.7</v>
      </c>
      <c r="CQ25" s="443"/>
      <c r="CR25" s="217">
        <f t="shared" si="113"/>
        <v>0.50354609929078009</v>
      </c>
      <c r="CS25" s="172">
        <f t="shared" si="114"/>
        <v>106.12369404407841</v>
      </c>
      <c r="CT25" s="172">
        <f t="shared" si="51"/>
        <v>12.588652482269502</v>
      </c>
      <c r="CU25" s="217">
        <f t="shared" si="52"/>
        <v>3.7901319301456575</v>
      </c>
      <c r="CV25" s="217">
        <f t="shared" si="53"/>
        <v>3.5374564681359471</v>
      </c>
      <c r="CW25" s="443">
        <f t="shared" si="54"/>
        <v>28</v>
      </c>
      <c r="CX25" s="217">
        <f t="shared" si="55"/>
        <v>2.1986921529175052</v>
      </c>
      <c r="CY25" s="217">
        <f t="shared" si="56"/>
        <v>0.36906618281115267</v>
      </c>
      <c r="CZ25" s="217">
        <f t="shared" si="57"/>
        <v>0.36006456859624653</v>
      </c>
      <c r="DA25" s="197">
        <f t="shared" si="58"/>
        <v>350</v>
      </c>
      <c r="DB25" s="443">
        <f t="shared" si="115"/>
        <v>350</v>
      </c>
      <c r="DD25" s="217">
        <f t="shared" si="59"/>
        <v>8.6157079064880477</v>
      </c>
      <c r="DE25" s="173">
        <f t="shared" si="60"/>
        <v>1.4109347442680775</v>
      </c>
      <c r="DF25" s="173">
        <f t="shared" si="61"/>
        <v>2.1273352855526046</v>
      </c>
      <c r="DG25" s="173"/>
      <c r="DH25" s="173">
        <f t="shared" si="62"/>
        <v>0.54587688734030204</v>
      </c>
      <c r="DI25" s="545">
        <f t="shared" si="63"/>
        <v>549.57446808510633</v>
      </c>
      <c r="DJ25" s="528">
        <f t="shared" si="64"/>
        <v>0.31842818428184283</v>
      </c>
      <c r="DL25" s="173">
        <f t="shared" si="65"/>
        <v>4.3410810637940882</v>
      </c>
      <c r="DM25" s="173">
        <f t="shared" si="66"/>
        <v>4.3410810637940882</v>
      </c>
      <c r="DN25" s="173">
        <f t="shared" si="67"/>
        <v>1.9464798003412997</v>
      </c>
      <c r="DP25" s="545">
        <f t="shared" si="68"/>
        <v>500</v>
      </c>
      <c r="DQ25" s="460">
        <f t="shared" si="69"/>
        <v>350</v>
      </c>
      <c r="DS25">
        <f t="shared" si="116"/>
        <v>500</v>
      </c>
      <c r="DT25" s="460">
        <f t="shared" si="70"/>
        <v>350</v>
      </c>
      <c r="DU25" s="460"/>
      <c r="DV25" s="5">
        <f t="shared" si="117"/>
        <v>2.8571428571428572</v>
      </c>
      <c r="DW25" s="5">
        <f t="shared" si="71"/>
        <v>0.72868146427972191</v>
      </c>
      <c r="DX25" s="5">
        <f t="shared" si="118"/>
        <v>2.1284613928631355</v>
      </c>
      <c r="DY25" s="173">
        <f t="shared" si="119"/>
        <v>0.25503851249790266</v>
      </c>
      <c r="EA25" s="5">
        <f t="shared" si="72"/>
        <v>1.3012169004995033</v>
      </c>
      <c r="EB25" s="5">
        <f t="shared" si="73"/>
        <v>0.12144691071328699</v>
      </c>
      <c r="EC25" s="5">
        <f t="shared" si="74"/>
        <v>0.76016478316540548</v>
      </c>
      <c r="ED25" s="5"/>
      <c r="EE25" s="173">
        <f t="shared" si="120"/>
        <v>1.2657273129256212</v>
      </c>
      <c r="EF25" s="173">
        <f t="shared" si="75"/>
        <v>2.1632373818248944</v>
      </c>
      <c r="EG25" s="173">
        <f t="shared" si="76"/>
        <v>0.2180968835774279</v>
      </c>
      <c r="EH25" s="173"/>
      <c r="EI25" s="528">
        <f t="shared" si="77"/>
        <v>1.9224787568230962E-2</v>
      </c>
      <c r="EJ25" s="528">
        <f t="shared" si="78"/>
        <v>1.63682632050888</v>
      </c>
      <c r="EK25" s="528">
        <f t="shared" si="79"/>
        <v>4.0250000000000001E-2</v>
      </c>
      <c r="EL25" s="528">
        <f t="shared" si="80"/>
        <v>0.55416666375000012</v>
      </c>
      <c r="EM25">
        <f t="shared" si="81"/>
        <v>1.26E-2</v>
      </c>
      <c r="EN25" s="460">
        <f t="shared" si="121"/>
        <v>52.85</v>
      </c>
      <c r="EO25">
        <f t="shared" si="82"/>
        <v>2.2786669812143887</v>
      </c>
      <c r="EP25" s="460">
        <f t="shared" si="122"/>
        <v>2278.6669812143887</v>
      </c>
      <c r="EQ25" s="173">
        <f t="shared" si="83"/>
        <v>0.33529999999999999</v>
      </c>
      <c r="ER25" s="173">
        <f t="shared" si="84"/>
        <v>2.3949999999999999E-2</v>
      </c>
      <c r="ES25" s="528"/>
      <c r="EU25" s="460">
        <f t="shared" si="123"/>
        <v>359.24999999999994</v>
      </c>
      <c r="EV25" s="528">
        <f t="shared" si="85"/>
        <v>2.2428918829602792E-2</v>
      </c>
      <c r="EW25" s="528">
        <f t="shared" si="124"/>
        <v>6.5514343581744738E-2</v>
      </c>
      <c r="EX25" s="528">
        <f t="shared" si="86"/>
        <v>2.3783125313093072E-4</v>
      </c>
      <c r="EY25" s="528">
        <f t="shared" si="87"/>
        <v>4.4991953965603537</v>
      </c>
      <c r="EZ25" s="528">
        <f t="shared" si="88"/>
        <v>4.6412818172362229</v>
      </c>
      <c r="FA25" s="625">
        <f t="shared" si="89"/>
        <v>0.65957446808510634</v>
      </c>
      <c r="FB25" s="460">
        <f t="shared" si="125"/>
        <v>5300.8562853213289</v>
      </c>
      <c r="FC25" s="173">
        <f t="shared" si="126"/>
        <v>7.9387732665357174</v>
      </c>
      <c r="FD25" s="5">
        <f t="shared" si="127"/>
        <v>15.5</v>
      </c>
      <c r="FE25" s="173">
        <f t="shared" si="128"/>
        <v>0.66129740766466827</v>
      </c>
      <c r="FF25" s="5">
        <f t="shared" si="129"/>
        <v>66.129740766466824</v>
      </c>
      <c r="FG25">
        <f t="shared" si="130"/>
        <v>20</v>
      </c>
      <c r="FI25" s="562">
        <f t="shared" si="90"/>
        <v>-50</v>
      </c>
      <c r="FJ25">
        <f t="shared" si="91"/>
        <v>-50</v>
      </c>
      <c r="FL25">
        <f t="shared" si="92"/>
        <v>0.24067101032585458</v>
      </c>
    </row>
    <row r="26" spans="5:168">
      <c r="E26" s="170">
        <v>21</v>
      </c>
      <c r="F26" s="217">
        <f t="shared" si="131"/>
        <v>0.52500000000000002</v>
      </c>
      <c r="G26" s="217">
        <f t="shared" si="93"/>
        <v>5.2499999999999998E-2</v>
      </c>
      <c r="H26" s="217">
        <f t="shared" si="0"/>
        <v>14.700000000000001</v>
      </c>
      <c r="I26" s="217">
        <f t="shared" si="132"/>
        <v>1.575</v>
      </c>
      <c r="J26" s="541">
        <f t="shared" si="1"/>
        <v>27.926511783495318</v>
      </c>
      <c r="K26" s="443">
        <f t="shared" si="2"/>
        <v>28.729803612518435</v>
      </c>
      <c r="L26" s="172">
        <f t="shared" si="3"/>
        <v>56.656315396013753</v>
      </c>
      <c r="M26" s="443"/>
      <c r="N26" s="217">
        <f t="shared" si="4"/>
        <v>0.50708916405354199</v>
      </c>
      <c r="O26" s="172">
        <f t="shared" si="94"/>
        <v>106.58991463071851</v>
      </c>
      <c r="P26" s="172">
        <f t="shared" si="5"/>
        <v>12.643956710021456</v>
      </c>
      <c r="Q26" s="217">
        <f t="shared" si="6"/>
        <v>3.8067826653828041</v>
      </c>
      <c r="R26" s="217">
        <f t="shared" si="7"/>
        <v>3.5529971543572838</v>
      </c>
      <c r="S26" s="443">
        <f t="shared" si="8"/>
        <v>28</v>
      </c>
      <c r="T26" s="217">
        <f t="shared" si="9"/>
        <v>2.2985289072498483</v>
      </c>
      <c r="U26" s="217">
        <f t="shared" si="10"/>
        <v>0.38683978678851522</v>
      </c>
      <c r="V26" s="217">
        <f t="shared" si="11"/>
        <v>0.37602365855947095</v>
      </c>
      <c r="W26" s="197">
        <f t="shared" si="12"/>
        <v>350</v>
      </c>
      <c r="X26" s="443">
        <f t="shared" si="95"/>
        <v>350</v>
      </c>
      <c r="Z26" s="217">
        <f t="shared" si="13"/>
        <v>8.6086513770358835</v>
      </c>
      <c r="AA26" s="173">
        <f t="shared" si="14"/>
        <v>1.4083166741327369</v>
      </c>
      <c r="AB26" s="173">
        <f t="shared" si="15"/>
        <v>2.1216487733131917</v>
      </c>
      <c r="AC26" s="173"/>
      <c r="AD26" s="173">
        <f t="shared" si="16"/>
        <v>0.54531060768686324</v>
      </c>
      <c r="AE26" s="545">
        <f t="shared" si="17"/>
        <v>577.65243433680678</v>
      </c>
      <c r="AF26" s="528">
        <f t="shared" si="18"/>
        <v>0.31809785448400363</v>
      </c>
      <c r="AH26" s="173">
        <f t="shared" si="19"/>
        <v>4.4482843931737541</v>
      </c>
      <c r="AI26" s="173">
        <f t="shared" si="20"/>
        <v>4.4482843931737541</v>
      </c>
      <c r="AJ26" s="173">
        <f t="shared" si="21"/>
        <v>2.0258896739558669</v>
      </c>
      <c r="AL26" s="545">
        <f t="shared" si="22"/>
        <v>525</v>
      </c>
      <c r="AM26" s="460">
        <f t="shared" si="23"/>
        <v>350</v>
      </c>
      <c r="AO26">
        <f t="shared" si="96"/>
        <v>525</v>
      </c>
      <c r="AP26" s="460">
        <f t="shared" si="24"/>
        <v>350</v>
      </c>
      <c r="AQ26" s="460"/>
      <c r="AR26" s="5">
        <f t="shared" si="97"/>
        <v>2.8571428571428572</v>
      </c>
      <c r="AS26" s="5">
        <f t="shared" si="25"/>
        <v>0.74864117688599852</v>
      </c>
      <c r="AT26" s="5">
        <f t="shared" si="98"/>
        <v>2.1085016802568588</v>
      </c>
      <c r="AU26" s="173">
        <f t="shared" si="99"/>
        <v>0.26202441191009945</v>
      </c>
      <c r="AW26" s="5">
        <f t="shared" si="26"/>
        <v>1.4037022066612472</v>
      </c>
      <c r="AX26" s="5">
        <f t="shared" si="27"/>
        <v>0.13101220595504973</v>
      </c>
      <c r="AY26" s="5">
        <f t="shared" si="28"/>
        <v>0.79276881460653503</v>
      </c>
      <c r="AZ26" s="5"/>
      <c r="BA26" s="173">
        <f t="shared" si="100"/>
        <v>1.3146277500148729</v>
      </c>
      <c r="BB26" s="173">
        <f t="shared" si="29"/>
        <v>2.2062408208855846</v>
      </c>
      <c r="BC26" s="173">
        <f t="shared" si="30"/>
        <v>0.22243247620403844</v>
      </c>
      <c r="BD26" s="173"/>
      <c r="BE26" s="528">
        <f t="shared" si="31"/>
        <v>2.0738953453310005E-2</v>
      </c>
      <c r="BF26" s="528">
        <f t="shared" si="32"/>
        <v>1.609799490180849</v>
      </c>
      <c r="BG26" s="528">
        <f t="shared" si="33"/>
        <v>4.0250000000000001E-2</v>
      </c>
      <c r="BH26" s="528">
        <f t="shared" si="34"/>
        <v>0.55331307554928932</v>
      </c>
      <c r="BI26">
        <f t="shared" si="35"/>
        <v>1.2566930302572893E-2</v>
      </c>
      <c r="BJ26" s="460">
        <f t="shared" si="101"/>
        <v>52.816930302572892</v>
      </c>
      <c r="BK26">
        <f t="shared" si="36"/>
        <v>2.2002931468682352</v>
      </c>
      <c r="BL26" s="460">
        <f t="shared" si="102"/>
        <v>2200.293146868235</v>
      </c>
      <c r="BM26" s="173">
        <f t="shared" si="37"/>
        <v>0.35206499999999996</v>
      </c>
      <c r="BN26" s="173">
        <f t="shared" si="38"/>
        <v>2.51475E-2</v>
      </c>
      <c r="BO26" s="528"/>
      <c r="BQ26" s="460">
        <f t="shared" si="103"/>
        <v>377.21249999999998</v>
      </c>
      <c r="BR26" s="528">
        <f t="shared" si="39"/>
        <v>2.4195445695528339E-2</v>
      </c>
      <c r="BS26" s="528">
        <f t="shared" si="104"/>
        <v>6.8144979836386579E-2</v>
      </c>
      <c r="BT26" s="528">
        <f t="shared" si="40"/>
        <v>2.4738103235130064E-4</v>
      </c>
      <c r="BU26" s="528">
        <f t="shared" si="41"/>
        <v>4.7821311060694471</v>
      </c>
      <c r="BV26" s="528">
        <f t="shared" si="42"/>
        <v>4.9334824114249152</v>
      </c>
      <c r="BW26" s="625">
        <f t="shared" si="43"/>
        <v>0.6925531914893619</v>
      </c>
      <c r="BX26" s="460">
        <f t="shared" si="105"/>
        <v>5626.0356029142768</v>
      </c>
      <c r="BY26" s="173">
        <f t="shared" si="106"/>
        <v>8.2035412497825124</v>
      </c>
      <c r="BZ26" s="5">
        <f t="shared" si="107"/>
        <v>16.275000000000002</v>
      </c>
      <c r="CA26" s="173">
        <f t="shared" si="108"/>
        <v>0.66486805050707831</v>
      </c>
      <c r="CB26" s="5">
        <f t="shared" si="109"/>
        <v>66.486805050707829</v>
      </c>
      <c r="CC26">
        <f t="shared" si="110"/>
        <v>21.000000000000004</v>
      </c>
      <c r="CE26" s="562">
        <f t="shared" si="44"/>
        <v>-50</v>
      </c>
      <c r="CF26">
        <f t="shared" si="45"/>
        <v>-50</v>
      </c>
      <c r="CG26" s="173">
        <f t="shared" si="46"/>
        <v>0.24661439936027862</v>
      </c>
      <c r="CH26" s="173">
        <f t="shared" si="47"/>
        <v>7.9973411702996711E-2</v>
      </c>
      <c r="CI26" s="170">
        <v>21</v>
      </c>
      <c r="CJ26" s="217">
        <f t="shared" si="133"/>
        <v>0.52500000000000002</v>
      </c>
      <c r="CK26" s="217">
        <f t="shared" si="111"/>
        <v>5.2499999999999998E-2</v>
      </c>
      <c r="CL26" s="217">
        <f t="shared" si="48"/>
        <v>14.700000000000001</v>
      </c>
      <c r="CM26" s="217">
        <f t="shared" si="134"/>
        <v>1.575</v>
      </c>
      <c r="CN26" s="541">
        <f t="shared" si="112"/>
        <v>28</v>
      </c>
      <c r="CO26" s="443">
        <f t="shared" si="49"/>
        <v>28.7</v>
      </c>
      <c r="CP26" s="443">
        <f t="shared" si="50"/>
        <v>56.7</v>
      </c>
      <c r="CQ26" s="443"/>
      <c r="CR26" s="217">
        <f t="shared" si="113"/>
        <v>0.50354609929078009</v>
      </c>
      <c r="CS26" s="172">
        <f t="shared" si="114"/>
        <v>106.12369404407841</v>
      </c>
      <c r="CT26" s="172">
        <f t="shared" si="51"/>
        <v>12.588652482269502</v>
      </c>
      <c r="CU26" s="217">
        <f t="shared" si="52"/>
        <v>3.7901319301456575</v>
      </c>
      <c r="CV26" s="217">
        <f t="shared" si="53"/>
        <v>3.5374564681359471</v>
      </c>
      <c r="CW26" s="443">
        <f t="shared" si="54"/>
        <v>28</v>
      </c>
      <c r="CX26" s="217">
        <f t="shared" si="55"/>
        <v>2.308626760563381</v>
      </c>
      <c r="CY26" s="217">
        <f t="shared" si="56"/>
        <v>0.38751949195171037</v>
      </c>
      <c r="CZ26" s="217">
        <f t="shared" si="57"/>
        <v>0.37806779702605892</v>
      </c>
      <c r="DA26" s="197">
        <f t="shared" si="58"/>
        <v>350</v>
      </c>
      <c r="DB26" s="443">
        <f t="shared" si="115"/>
        <v>350</v>
      </c>
      <c r="DD26" s="217">
        <f t="shared" si="59"/>
        <v>8.6157079064880477</v>
      </c>
      <c r="DE26" s="173">
        <f t="shared" si="60"/>
        <v>1.4109347442680775</v>
      </c>
      <c r="DF26" s="173">
        <f t="shared" si="61"/>
        <v>2.1273352855526046</v>
      </c>
      <c r="DG26" s="173"/>
      <c r="DH26" s="173">
        <f t="shared" si="62"/>
        <v>0.54587688734030204</v>
      </c>
      <c r="DI26" s="545">
        <f t="shared" si="63"/>
        <v>577.05319148936167</v>
      </c>
      <c r="DJ26" s="528">
        <f t="shared" si="64"/>
        <v>0.31842818428184283</v>
      </c>
      <c r="DL26" s="173">
        <f t="shared" si="65"/>
        <v>4.4482843931737541</v>
      </c>
      <c r="DM26" s="173">
        <f t="shared" si="66"/>
        <v>4.4482843931737541</v>
      </c>
      <c r="DN26" s="173">
        <f t="shared" si="67"/>
        <v>2.0258896739558669</v>
      </c>
      <c r="DP26" s="545">
        <f t="shared" si="68"/>
        <v>525</v>
      </c>
      <c r="DQ26" s="460">
        <f t="shared" si="69"/>
        <v>350</v>
      </c>
      <c r="DS26">
        <f t="shared" si="116"/>
        <v>525</v>
      </c>
      <c r="DT26" s="460">
        <f t="shared" si="70"/>
        <v>350</v>
      </c>
      <c r="DU26" s="460"/>
      <c r="DV26" s="5">
        <f t="shared" si="117"/>
        <v>2.8571428571428572</v>
      </c>
      <c r="DW26" s="5">
        <f t="shared" si="71"/>
        <v>0.7466763088541658</v>
      </c>
      <c r="DX26" s="5">
        <f t="shared" si="118"/>
        <v>2.1104665482886915</v>
      </c>
      <c r="DY26" s="173">
        <f t="shared" si="119"/>
        <v>0.26133670809895804</v>
      </c>
      <c r="EA26" s="5">
        <f t="shared" si="72"/>
        <v>1.4000180791015608</v>
      </c>
      <c r="EB26" s="5">
        <f t="shared" si="73"/>
        <v>0.13066835404947902</v>
      </c>
      <c r="EC26" s="5">
        <f t="shared" si="74"/>
        <v>0.79142495560825921</v>
      </c>
      <c r="ED26" s="5"/>
      <c r="EE26" s="173">
        <f t="shared" si="120"/>
        <v>1.3129014442656499</v>
      </c>
      <c r="EF26" s="173">
        <f t="shared" si="75"/>
        <v>2.2072685560430192</v>
      </c>
      <c r="EG26" s="173">
        <f t="shared" si="76"/>
        <v>0.22253609212564865</v>
      </c>
      <c r="EH26" s="173"/>
      <c r="EI26" s="528">
        <f t="shared" si="77"/>
        <v>2.0684522428257954E-2</v>
      </c>
      <c r="EJ26" s="528">
        <f t="shared" si="78"/>
        <v>1.6772478718681301</v>
      </c>
      <c r="EK26" s="528">
        <f t="shared" si="79"/>
        <v>4.0250000000000001E-2</v>
      </c>
      <c r="EL26" s="528">
        <f t="shared" si="80"/>
        <v>0.55416666375000012</v>
      </c>
      <c r="EM26">
        <f t="shared" si="81"/>
        <v>1.26E-2</v>
      </c>
      <c r="EN26" s="460">
        <f t="shared" si="121"/>
        <v>52.85</v>
      </c>
      <c r="EO26">
        <f t="shared" si="82"/>
        <v>2.3219454107676865</v>
      </c>
      <c r="EP26" s="460">
        <f t="shared" si="122"/>
        <v>2321.9454107676866</v>
      </c>
      <c r="EQ26" s="173">
        <f t="shared" si="83"/>
        <v>0.35206499999999996</v>
      </c>
      <c r="ER26" s="173">
        <f t="shared" si="84"/>
        <v>2.51475E-2</v>
      </c>
      <c r="ES26" s="528"/>
      <c r="EU26" s="460">
        <f t="shared" si="123"/>
        <v>377.21249999999998</v>
      </c>
      <c r="EV26" s="528">
        <f t="shared" si="85"/>
        <v>2.4131942832967612E-2</v>
      </c>
      <c r="EW26" s="528">
        <f t="shared" si="124"/>
        <v>6.820848269894729E-2</v>
      </c>
      <c r="EX26" s="528">
        <f t="shared" si="86"/>
        <v>2.476115614927759E-4</v>
      </c>
      <c r="EY26" s="528">
        <f t="shared" si="87"/>
        <v>4.7821311060694471</v>
      </c>
      <c r="EZ26" s="528">
        <f t="shared" si="88"/>
        <v>4.9334827910780747</v>
      </c>
      <c r="FA26" s="625">
        <f t="shared" si="89"/>
        <v>0.6925531914893619</v>
      </c>
      <c r="FB26" s="460">
        <f t="shared" si="125"/>
        <v>5626.0359825674368</v>
      </c>
      <c r="FC26" s="173">
        <f t="shared" si="126"/>
        <v>8.3251938933351237</v>
      </c>
      <c r="FD26" s="5">
        <f t="shared" si="127"/>
        <v>16.275000000000002</v>
      </c>
      <c r="FE26" s="173">
        <f t="shared" si="128"/>
        <v>0.66158015138284543</v>
      </c>
      <c r="FF26" s="5">
        <f t="shared" si="129"/>
        <v>66.15801513828454</v>
      </c>
      <c r="FG26">
        <f t="shared" si="130"/>
        <v>21.000000000000004</v>
      </c>
      <c r="FI26" s="562">
        <f t="shared" si="90"/>
        <v>-50</v>
      </c>
      <c r="FJ26">
        <f t="shared" si="91"/>
        <v>-50</v>
      </c>
      <c r="FL26">
        <f t="shared" si="92"/>
        <v>0.24661439936027862</v>
      </c>
    </row>
    <row r="27" spans="5:168">
      <c r="E27" s="170">
        <v>22</v>
      </c>
      <c r="F27" s="217">
        <f t="shared" si="131"/>
        <v>0.55000000000000004</v>
      </c>
      <c r="G27" s="217">
        <f t="shared" si="93"/>
        <v>5.5E-2</v>
      </c>
      <c r="H27" s="217">
        <f t="shared" si="0"/>
        <v>15.400000000000002</v>
      </c>
      <c r="I27" s="217">
        <f t="shared" si="132"/>
        <v>1.65</v>
      </c>
      <c r="J27" s="541">
        <f t="shared" si="1"/>
        <v>27.924782412381255</v>
      </c>
      <c r="K27" s="443">
        <f t="shared" si="2"/>
        <v>28.730504969947361</v>
      </c>
      <c r="L27" s="172">
        <f t="shared" si="3"/>
        <v>56.655287382328616</v>
      </c>
      <c r="M27" s="443"/>
      <c r="N27" s="217">
        <f t="shared" si="4"/>
        <v>0.50711074459943006</v>
      </c>
      <c r="O27" s="172">
        <f t="shared" si="94"/>
        <v>106.5878499069227</v>
      </c>
      <c r="P27" s="172">
        <f t="shared" si="5"/>
        <v>12.643711787428328</v>
      </c>
      <c r="Q27" s="217">
        <f t="shared" si="6"/>
        <v>3.8067089252472393</v>
      </c>
      <c r="R27" s="217">
        <f t="shared" si="7"/>
        <v>3.5529283302307566</v>
      </c>
      <c r="S27" s="443">
        <f t="shared" si="8"/>
        <v>28</v>
      </c>
      <c r="T27" s="217">
        <f t="shared" si="9"/>
        <v>2.4080293100085948</v>
      </c>
      <c r="U27" s="217">
        <f t="shared" si="10"/>
        <v>0.40529367749065615</v>
      </c>
      <c r="V27" s="217">
        <f t="shared" si="11"/>
        <v>0.39392756127603601</v>
      </c>
      <c r="W27" s="197">
        <f t="shared" si="12"/>
        <v>350</v>
      </c>
      <c r="X27" s="443">
        <f t="shared" si="95"/>
        <v>350</v>
      </c>
      <c r="Z27" s="217">
        <f t="shared" si="13"/>
        <v>8.608484621227797</v>
      </c>
      <c r="AA27" s="173">
        <f t="shared" si="14"/>
        <v>1.4082550154301994</v>
      </c>
      <c r="AB27" s="173">
        <f t="shared" si="15"/>
        <v>2.1215147875421128</v>
      </c>
      <c r="AC27" s="173"/>
      <c r="AD27" s="173">
        <f t="shared" si="16"/>
        <v>0.54529729578558706</v>
      </c>
      <c r="AE27" s="545">
        <f t="shared" si="17"/>
        <v>605.17446638825299</v>
      </c>
      <c r="AF27" s="528">
        <f t="shared" si="18"/>
        <v>0.31809008920825915</v>
      </c>
      <c r="AH27" s="173">
        <f t="shared" si="19"/>
        <v>4.552964230331134</v>
      </c>
      <c r="AI27" s="173">
        <f t="shared" si="20"/>
        <v>4.552964230331134</v>
      </c>
      <c r="AJ27" s="173">
        <f t="shared" si="21"/>
        <v>2.103430294072445</v>
      </c>
      <c r="AL27" s="545">
        <f t="shared" si="22"/>
        <v>550</v>
      </c>
      <c r="AM27" s="460">
        <f t="shared" si="23"/>
        <v>350</v>
      </c>
      <c r="AO27">
        <f t="shared" si="96"/>
        <v>550</v>
      </c>
      <c r="AP27" s="460">
        <f t="shared" si="24"/>
        <v>350</v>
      </c>
      <c r="AQ27" s="460"/>
      <c r="AR27" s="5">
        <f t="shared" si="97"/>
        <v>2.8571428571428572</v>
      </c>
      <c r="AS27" s="5">
        <f t="shared" si="25"/>
        <v>0.76630612788834107</v>
      </c>
      <c r="AT27" s="5">
        <f t="shared" si="98"/>
        <v>2.0908367292545162</v>
      </c>
      <c r="AU27" s="173">
        <f t="shared" si="99"/>
        <v>0.26820714476091939</v>
      </c>
      <c r="AW27" s="5">
        <f t="shared" si="26"/>
        <v>1.5052441797806702</v>
      </c>
      <c r="AX27" s="5">
        <f t="shared" si="27"/>
        <v>0.1404894567795292</v>
      </c>
      <c r="AY27" s="5">
        <f t="shared" si="28"/>
        <v>0.82361264922881972</v>
      </c>
      <c r="AZ27" s="5"/>
      <c r="BA27" s="173">
        <f t="shared" si="100"/>
        <v>1.3613468237515636</v>
      </c>
      <c r="BB27" s="173">
        <f t="shared" si="29"/>
        <v>2.2486801876552214</v>
      </c>
      <c r="BC27" s="173">
        <f t="shared" si="30"/>
        <v>0.22671119924720676</v>
      </c>
      <c r="BD27" s="173"/>
      <c r="BE27" s="528">
        <f t="shared" si="31"/>
        <v>2.223918209446165E-2</v>
      </c>
      <c r="BF27" s="528">
        <f t="shared" si="32"/>
        <v>1.6476524115182012</v>
      </c>
      <c r="BG27" s="528">
        <f t="shared" si="33"/>
        <v>4.0250000000000001E-2</v>
      </c>
      <c r="BH27" s="528">
        <f t="shared" si="34"/>
        <v>0.55329299629601036</v>
      </c>
      <c r="BI27">
        <f t="shared" si="35"/>
        <v>1.2566152085571564E-2</v>
      </c>
      <c r="BJ27" s="460">
        <f t="shared" si="101"/>
        <v>52.816152085571566</v>
      </c>
      <c r="BK27">
        <f t="shared" si="36"/>
        <v>2.2410308425277181</v>
      </c>
      <c r="BL27" s="460">
        <f t="shared" si="102"/>
        <v>2241.0308425277181</v>
      </c>
      <c r="BM27" s="173">
        <f t="shared" si="37"/>
        <v>0.36882999999999999</v>
      </c>
      <c r="BN27" s="173">
        <f t="shared" si="38"/>
        <v>2.6345E-2</v>
      </c>
      <c r="BO27" s="528"/>
      <c r="BQ27" s="460">
        <f t="shared" si="103"/>
        <v>395.17500000000001</v>
      </c>
      <c r="BR27" s="528">
        <f t="shared" si="39"/>
        <v>2.5945712443538591E-2</v>
      </c>
      <c r="BS27" s="528">
        <f t="shared" si="104"/>
        <v>7.0791876208943713E-2</v>
      </c>
      <c r="BT27" s="528">
        <f t="shared" si="40"/>
        <v>2.5698983932053343E-4</v>
      </c>
      <c r="BU27" s="528">
        <f t="shared" si="41"/>
        <v>5.0684563550314925</v>
      </c>
      <c r="BV27" s="528">
        <f t="shared" si="42"/>
        <v>5.229306784954205</v>
      </c>
      <c r="BW27" s="625">
        <f t="shared" si="43"/>
        <v>0.72553191489361724</v>
      </c>
      <c r="BX27" s="460">
        <f t="shared" si="105"/>
        <v>5954.8386998478218</v>
      </c>
      <c r="BY27" s="173">
        <f t="shared" si="106"/>
        <v>8.5910445423755402</v>
      </c>
      <c r="BZ27" s="5">
        <f t="shared" si="107"/>
        <v>17.05</v>
      </c>
      <c r="CA27" s="173">
        <f t="shared" si="108"/>
        <v>0.66494950983070933</v>
      </c>
      <c r="CB27" s="5">
        <f t="shared" si="109"/>
        <v>66.494950983070936</v>
      </c>
      <c r="CC27">
        <f t="shared" si="110"/>
        <v>22.000000000000004</v>
      </c>
      <c r="CE27" s="562">
        <f t="shared" si="44"/>
        <v>-50</v>
      </c>
      <c r="CF27">
        <f t="shared" si="45"/>
        <v>-50</v>
      </c>
      <c r="CG27" s="173">
        <f t="shared" si="46"/>
        <v>0.25241788512780622</v>
      </c>
      <c r="CH27" s="173">
        <f t="shared" si="47"/>
        <v>8.1855396525468194E-2</v>
      </c>
      <c r="CI27" s="170">
        <v>22</v>
      </c>
      <c r="CJ27" s="217">
        <f t="shared" si="133"/>
        <v>0.55000000000000004</v>
      </c>
      <c r="CK27" s="217">
        <f t="shared" si="111"/>
        <v>5.5E-2</v>
      </c>
      <c r="CL27" s="217">
        <f t="shared" si="48"/>
        <v>15.400000000000002</v>
      </c>
      <c r="CM27" s="217">
        <f t="shared" si="134"/>
        <v>1.65</v>
      </c>
      <c r="CN27" s="541">
        <f t="shared" si="112"/>
        <v>28</v>
      </c>
      <c r="CO27" s="443">
        <f t="shared" si="49"/>
        <v>28.7</v>
      </c>
      <c r="CP27" s="443">
        <f t="shared" si="50"/>
        <v>56.7</v>
      </c>
      <c r="CQ27" s="443"/>
      <c r="CR27" s="217">
        <f t="shared" si="113"/>
        <v>0.50354609929078009</v>
      </c>
      <c r="CS27" s="172">
        <f t="shared" si="114"/>
        <v>106.12369404407841</v>
      </c>
      <c r="CT27" s="172">
        <f t="shared" si="51"/>
        <v>12.588652482269502</v>
      </c>
      <c r="CU27" s="217">
        <f t="shared" si="52"/>
        <v>3.7901319301456575</v>
      </c>
      <c r="CV27" s="217">
        <f t="shared" si="53"/>
        <v>3.5374564681359471</v>
      </c>
      <c r="CW27" s="443">
        <f t="shared" si="54"/>
        <v>28</v>
      </c>
      <c r="CX27" s="217">
        <f t="shared" si="55"/>
        <v>2.4185613682092559</v>
      </c>
      <c r="CY27" s="217">
        <f t="shared" si="56"/>
        <v>0.40597280109226797</v>
      </c>
      <c r="CZ27" s="217">
        <f t="shared" si="57"/>
        <v>0.39607102545587114</v>
      </c>
      <c r="DA27" s="197">
        <f t="shared" si="58"/>
        <v>350</v>
      </c>
      <c r="DB27" s="443">
        <f t="shared" si="115"/>
        <v>350</v>
      </c>
      <c r="DD27" s="217">
        <f t="shared" si="59"/>
        <v>8.6157079064880477</v>
      </c>
      <c r="DE27" s="173">
        <f t="shared" si="60"/>
        <v>1.4109347442680775</v>
      </c>
      <c r="DF27" s="173">
        <f t="shared" si="61"/>
        <v>2.1273352855526046</v>
      </c>
      <c r="DG27" s="173"/>
      <c r="DH27" s="173">
        <f t="shared" si="62"/>
        <v>0.54587688734030204</v>
      </c>
      <c r="DI27" s="545">
        <f t="shared" si="63"/>
        <v>604.531914893617</v>
      </c>
      <c r="DJ27" s="528">
        <f t="shared" si="64"/>
        <v>0.31842818428184283</v>
      </c>
      <c r="DL27" s="173">
        <f t="shared" si="65"/>
        <v>4.552964230331134</v>
      </c>
      <c r="DM27" s="173">
        <f t="shared" si="66"/>
        <v>4.552964230331134</v>
      </c>
      <c r="DN27" s="173">
        <f t="shared" si="67"/>
        <v>2.103430294072445</v>
      </c>
      <c r="DP27" s="545">
        <f t="shared" si="68"/>
        <v>550</v>
      </c>
      <c r="DQ27" s="460">
        <f t="shared" si="69"/>
        <v>350</v>
      </c>
      <c r="DS27">
        <f t="shared" si="116"/>
        <v>550</v>
      </c>
      <c r="DT27" s="460">
        <f t="shared" si="70"/>
        <v>350</v>
      </c>
      <c r="DU27" s="460"/>
      <c r="DV27" s="5">
        <f t="shared" si="117"/>
        <v>2.8571428571428572</v>
      </c>
      <c r="DW27" s="5">
        <f t="shared" si="71"/>
        <v>0.76424756723415455</v>
      </c>
      <c r="DX27" s="5">
        <f t="shared" si="118"/>
        <v>2.0928952899087028</v>
      </c>
      <c r="DY27" s="173">
        <f t="shared" si="119"/>
        <v>0.26748664853195409</v>
      </c>
      <c r="EA27" s="5">
        <f t="shared" si="72"/>
        <v>1.501200578495661</v>
      </c>
      <c r="EB27" s="5">
        <f t="shared" si="73"/>
        <v>0.14011205399292834</v>
      </c>
      <c r="EC27" s="5">
        <f t="shared" si="74"/>
        <v>0.82220886389270453</v>
      </c>
      <c r="ED27" s="5"/>
      <c r="EE27" s="173">
        <f t="shared" si="120"/>
        <v>1.3595170722333532</v>
      </c>
      <c r="EF27" s="173">
        <f t="shared" si="75"/>
        <v>2.2497868990634746</v>
      </c>
      <c r="EG27" s="173">
        <f t="shared" si="76"/>
        <v>0.22682277752853064</v>
      </c>
      <c r="EH27" s="173"/>
      <c r="EI27" s="528">
        <f t="shared" si="77"/>
        <v>2.217944003632738E-2</v>
      </c>
      <c r="EJ27" s="528">
        <f t="shared" si="78"/>
        <v>1.716717927867506</v>
      </c>
      <c r="EK27" s="528">
        <f t="shared" si="79"/>
        <v>4.0250000000000001E-2</v>
      </c>
      <c r="EL27" s="528">
        <f t="shared" si="80"/>
        <v>0.55416666375000012</v>
      </c>
      <c r="EM27">
        <f t="shared" si="81"/>
        <v>1.26E-2</v>
      </c>
      <c r="EN27" s="460">
        <f t="shared" si="121"/>
        <v>52.85</v>
      </c>
      <c r="EO27">
        <f t="shared" si="82"/>
        <v>2.3643622794445416</v>
      </c>
      <c r="EP27" s="460">
        <f t="shared" si="122"/>
        <v>2364.3622794445414</v>
      </c>
      <c r="EQ27" s="173">
        <f t="shared" si="83"/>
        <v>0.36882999999999999</v>
      </c>
      <c r="ER27" s="173">
        <f t="shared" si="84"/>
        <v>2.6345E-2</v>
      </c>
      <c r="ES27" s="528"/>
      <c r="EU27" s="460">
        <f t="shared" si="123"/>
        <v>395.17500000000001</v>
      </c>
      <c r="EV27" s="528">
        <f t="shared" si="85"/>
        <v>2.5876013375715278E-2</v>
      </c>
      <c r="EW27" s="528">
        <f t="shared" si="124"/>
        <v>7.0861575276767036E-2</v>
      </c>
      <c r="EX27" s="528">
        <f t="shared" si="86"/>
        <v>2.5724286202878649E-4</v>
      </c>
      <c r="EY27" s="528">
        <f t="shared" si="87"/>
        <v>5.0684563550314925</v>
      </c>
      <c r="EZ27" s="528">
        <f t="shared" si="88"/>
        <v>5.2293072078344078</v>
      </c>
      <c r="FA27" s="625">
        <f t="shared" si="89"/>
        <v>0.72553191489361724</v>
      </c>
      <c r="FB27" s="460">
        <f t="shared" si="125"/>
        <v>5954.8391227280244</v>
      </c>
      <c r="FC27" s="173">
        <f t="shared" si="126"/>
        <v>8.7143764021725669</v>
      </c>
      <c r="FD27" s="5">
        <f t="shared" si="127"/>
        <v>17.05</v>
      </c>
      <c r="FE27" s="173">
        <f t="shared" si="128"/>
        <v>0.66176645356579522</v>
      </c>
      <c r="FF27" s="5">
        <f t="shared" si="129"/>
        <v>66.176645356579527</v>
      </c>
      <c r="FG27">
        <f t="shared" si="130"/>
        <v>22.000000000000004</v>
      </c>
      <c r="FI27" s="562">
        <f t="shared" si="90"/>
        <v>-50</v>
      </c>
      <c r="FJ27">
        <f t="shared" si="91"/>
        <v>-50</v>
      </c>
      <c r="FL27">
        <f t="shared" si="92"/>
        <v>0.25241788512780622</v>
      </c>
    </row>
    <row r="28" spans="5:168">
      <c r="E28" s="170">
        <v>23</v>
      </c>
      <c r="F28" s="217">
        <f t="shared" si="131"/>
        <v>0.57500000000000007</v>
      </c>
      <c r="G28" s="217">
        <f t="shared" si="93"/>
        <v>5.7500000000000002E-2</v>
      </c>
      <c r="H28" s="217">
        <f t="shared" si="0"/>
        <v>16.100000000000001</v>
      </c>
      <c r="I28" s="217">
        <f t="shared" si="132"/>
        <v>1.7250000000000001</v>
      </c>
      <c r="J28" s="541">
        <f t="shared" si="1"/>
        <v>27.923091918439422</v>
      </c>
      <c r="K28" s="443">
        <f t="shared" si="2"/>
        <v>28.731190560492394</v>
      </c>
      <c r="L28" s="172">
        <f t="shared" si="3"/>
        <v>56.654282478931819</v>
      </c>
      <c r="M28" s="443"/>
      <c r="N28" s="217">
        <f t="shared" si="4"/>
        <v>0.50713184076025919</v>
      </c>
      <c r="O28" s="172">
        <f t="shared" si="94"/>
        <v>106.58583121528248</v>
      </c>
      <c r="P28" s="172">
        <f t="shared" si="5"/>
        <v>12.643472325282232</v>
      </c>
      <c r="Q28" s="217">
        <f t="shared" si="6"/>
        <v>3.8066368291172314</v>
      </c>
      <c r="R28" s="217">
        <f t="shared" si="7"/>
        <v>3.5528610405094159</v>
      </c>
      <c r="S28" s="443">
        <f t="shared" si="8"/>
        <v>28</v>
      </c>
      <c r="T28" s="217">
        <f t="shared" si="9"/>
        <v>2.5175328678663926</v>
      </c>
      <c r="U28" s="217">
        <f t="shared" si="10"/>
        <v>0.42374979509910021</v>
      </c>
      <c r="V28" s="217">
        <f t="shared" si="11"/>
        <v>0.41183133201735522</v>
      </c>
      <c r="W28" s="197">
        <f t="shared" si="12"/>
        <v>350</v>
      </c>
      <c r="X28" s="443">
        <f t="shared" si="95"/>
        <v>350</v>
      </c>
      <c r="Z28" s="217">
        <f t="shared" si="13"/>
        <v>8.6083215831708824</v>
      </c>
      <c r="AA28" s="173">
        <f t="shared" si="14"/>
        <v>1.4081947406849735</v>
      </c>
      <c r="AB28" s="173">
        <f t="shared" si="15"/>
        <v>2.1213838064205821</v>
      </c>
      <c r="AC28" s="173"/>
      <c r="AD28" s="173">
        <f t="shared" si="16"/>
        <v>0.5452842837710159</v>
      </c>
      <c r="AE28" s="545">
        <f t="shared" si="17"/>
        <v>632.69749425765167</v>
      </c>
      <c r="AF28" s="528">
        <f t="shared" si="18"/>
        <v>0.31808249886642598</v>
      </c>
      <c r="AH28" s="173">
        <f t="shared" si="19"/>
        <v>4.6552908096913077</v>
      </c>
      <c r="AI28" s="173">
        <f t="shared" si="20"/>
        <v>4.6552908096913077</v>
      </c>
      <c r="AJ28" s="173">
        <f t="shared" si="21"/>
        <v>2.179227760265166</v>
      </c>
      <c r="AL28" s="545">
        <f t="shared" si="22"/>
        <v>575.00000000000011</v>
      </c>
      <c r="AM28" s="460">
        <f t="shared" si="23"/>
        <v>350</v>
      </c>
      <c r="AO28">
        <f t="shared" si="96"/>
        <v>575.00000000000011</v>
      </c>
      <c r="AP28" s="460">
        <f t="shared" si="24"/>
        <v>350</v>
      </c>
      <c r="AQ28" s="460"/>
      <c r="AR28" s="5">
        <f t="shared" si="97"/>
        <v>2.8571428571428572</v>
      </c>
      <c r="AS28" s="5">
        <f t="shared" si="25"/>
        <v>0.78357607636926696</v>
      </c>
      <c r="AT28" s="5">
        <f t="shared" si="98"/>
        <v>2.0735667807735902</v>
      </c>
      <c r="AU28" s="173">
        <f t="shared" si="99"/>
        <v>0.27425162672924341</v>
      </c>
      <c r="AW28" s="5">
        <f t="shared" si="26"/>
        <v>1.6091294425440306</v>
      </c>
      <c r="AX28" s="5">
        <f t="shared" si="27"/>
        <v>0.15018541463744284</v>
      </c>
      <c r="AY28" s="5">
        <f t="shared" si="28"/>
        <v>0.85398916597589314</v>
      </c>
      <c r="AZ28" s="5"/>
      <c r="BA28" s="173">
        <f t="shared" si="100"/>
        <v>1.4075401590976542</v>
      </c>
      <c r="BB28" s="173">
        <f t="shared" si="29"/>
        <v>2.2897033741206454</v>
      </c>
      <c r="BC28" s="173">
        <f t="shared" si="30"/>
        <v>0.23084714345642568</v>
      </c>
      <c r="BD28" s="173"/>
      <c r="BE28" s="528">
        <f t="shared" si="31"/>
        <v>2.3774031593671793E-2</v>
      </c>
      <c r="BF28" s="528">
        <f t="shared" si="32"/>
        <v>1.6846530505375676</v>
      </c>
      <c r="BG28" s="528">
        <f t="shared" si="33"/>
        <v>4.0250000000000001E-2</v>
      </c>
      <c r="BH28" s="528">
        <f t="shared" si="34"/>
        <v>0.55327336878704825</v>
      </c>
      <c r="BI28">
        <f t="shared" si="35"/>
        <v>1.256539136329774E-2</v>
      </c>
      <c r="BJ28" s="460">
        <f t="shared" si="101"/>
        <v>52.815391363297742</v>
      </c>
      <c r="BK28">
        <f t="shared" si="36"/>
        <v>2.281004170302491</v>
      </c>
      <c r="BL28" s="460">
        <f t="shared" si="102"/>
        <v>2281.0041703024908</v>
      </c>
      <c r="BM28" s="173">
        <f t="shared" si="37"/>
        <v>0.38559500000000002</v>
      </c>
      <c r="BN28" s="173">
        <f t="shared" si="38"/>
        <v>2.7542500000000001E-2</v>
      </c>
      <c r="BO28" s="528"/>
      <c r="BQ28" s="460">
        <f t="shared" si="103"/>
        <v>413.13750000000005</v>
      </c>
      <c r="BR28" s="528">
        <f t="shared" si="39"/>
        <v>2.7736370192617096E-2</v>
      </c>
      <c r="BS28" s="528">
        <f t="shared" si="104"/>
        <v>7.3398381580432548E-2</v>
      </c>
      <c r="BT28" s="528">
        <f t="shared" si="40"/>
        <v>2.6645201820995788E-4</v>
      </c>
      <c r="BU28" s="528">
        <f t="shared" si="41"/>
        <v>5.3580548494391858</v>
      </c>
      <c r="BV28" s="528">
        <f t="shared" si="42"/>
        <v>5.5286412120791306</v>
      </c>
      <c r="BW28" s="625">
        <f t="shared" si="43"/>
        <v>0.75851063829787235</v>
      </c>
      <c r="BX28" s="460">
        <f t="shared" si="105"/>
        <v>6287.151850377003</v>
      </c>
      <c r="BY28" s="173">
        <f t="shared" si="106"/>
        <v>8.981293520679495</v>
      </c>
      <c r="BZ28" s="5">
        <f t="shared" si="107"/>
        <v>17.825000000000003</v>
      </c>
      <c r="CA28" s="173">
        <f t="shared" si="108"/>
        <v>0.66495578682853163</v>
      </c>
      <c r="CB28" s="5">
        <f t="shared" si="109"/>
        <v>66.495578682853164</v>
      </c>
      <c r="CC28">
        <f t="shared" si="110"/>
        <v>23.000000000000004</v>
      </c>
      <c r="CE28" s="562">
        <f t="shared" si="44"/>
        <v>-50</v>
      </c>
      <c r="CF28">
        <f t="shared" si="45"/>
        <v>-50</v>
      </c>
      <c r="CG28" s="173">
        <f t="shared" si="46"/>
        <v>0.25809090548285069</v>
      </c>
      <c r="CH28" s="173">
        <f t="shared" si="47"/>
        <v>8.3695073339272785E-2</v>
      </c>
      <c r="CI28" s="170">
        <v>23</v>
      </c>
      <c r="CJ28" s="217">
        <f t="shared" si="133"/>
        <v>0.57500000000000007</v>
      </c>
      <c r="CK28" s="217">
        <f t="shared" si="111"/>
        <v>5.7500000000000002E-2</v>
      </c>
      <c r="CL28" s="217">
        <f t="shared" si="48"/>
        <v>16.100000000000001</v>
      </c>
      <c r="CM28" s="217">
        <f t="shared" si="134"/>
        <v>1.7250000000000001</v>
      </c>
      <c r="CN28" s="541">
        <f t="shared" si="112"/>
        <v>28</v>
      </c>
      <c r="CO28" s="443">
        <f t="shared" si="49"/>
        <v>28.7</v>
      </c>
      <c r="CP28" s="443">
        <f t="shared" si="50"/>
        <v>56.7</v>
      </c>
      <c r="CQ28" s="443"/>
      <c r="CR28" s="217">
        <f t="shared" si="113"/>
        <v>0.50354609929078009</v>
      </c>
      <c r="CS28" s="172">
        <f t="shared" si="114"/>
        <v>106.12369404407841</v>
      </c>
      <c r="CT28" s="172">
        <f t="shared" si="51"/>
        <v>12.588652482269502</v>
      </c>
      <c r="CU28" s="217">
        <f t="shared" si="52"/>
        <v>3.7901319301456575</v>
      </c>
      <c r="CV28" s="217">
        <f t="shared" si="53"/>
        <v>3.5374564681359471</v>
      </c>
      <c r="CW28" s="443">
        <f t="shared" si="54"/>
        <v>28</v>
      </c>
      <c r="CX28" s="217">
        <f t="shared" si="55"/>
        <v>2.5284959758551313</v>
      </c>
      <c r="CY28" s="217">
        <f t="shared" si="56"/>
        <v>0.42442611023282556</v>
      </c>
      <c r="CZ28" s="217">
        <f t="shared" si="57"/>
        <v>0.41407425388568353</v>
      </c>
      <c r="DA28" s="197">
        <f t="shared" si="58"/>
        <v>350</v>
      </c>
      <c r="DB28" s="443">
        <f t="shared" si="115"/>
        <v>350</v>
      </c>
      <c r="DD28" s="217">
        <f t="shared" si="59"/>
        <v>8.6157079064880477</v>
      </c>
      <c r="DE28" s="173">
        <f t="shared" si="60"/>
        <v>1.4109347442680775</v>
      </c>
      <c r="DF28" s="173">
        <f t="shared" si="61"/>
        <v>2.1273352855526046</v>
      </c>
      <c r="DG28" s="173"/>
      <c r="DH28" s="173">
        <f t="shared" si="62"/>
        <v>0.54587688734030204</v>
      </c>
      <c r="DI28" s="545">
        <f t="shared" si="63"/>
        <v>632.01063829787233</v>
      </c>
      <c r="DJ28" s="528">
        <f t="shared" si="64"/>
        <v>0.31842818428184283</v>
      </c>
      <c r="DL28" s="173">
        <f t="shared" si="65"/>
        <v>4.6552908096913077</v>
      </c>
      <c r="DM28" s="173">
        <f t="shared" si="66"/>
        <v>4.6552908096913077</v>
      </c>
      <c r="DN28" s="173">
        <f t="shared" si="67"/>
        <v>2.179227760265166</v>
      </c>
      <c r="DP28" s="545">
        <f t="shared" si="68"/>
        <v>575.00000000000011</v>
      </c>
      <c r="DQ28" s="460">
        <f t="shared" si="69"/>
        <v>350</v>
      </c>
      <c r="DS28">
        <f t="shared" si="116"/>
        <v>575.00000000000011</v>
      </c>
      <c r="DT28" s="460">
        <f t="shared" si="70"/>
        <v>350</v>
      </c>
      <c r="DU28" s="460"/>
      <c r="DV28" s="5">
        <f t="shared" si="117"/>
        <v>2.8571428571428572</v>
      </c>
      <c r="DW28" s="5">
        <f t="shared" si="71"/>
        <v>0.78142381448389808</v>
      </c>
      <c r="DX28" s="5">
        <f t="shared" si="118"/>
        <v>2.0757190426589593</v>
      </c>
      <c r="DY28" s="173">
        <f t="shared" si="119"/>
        <v>0.27349833506936433</v>
      </c>
      <c r="EA28" s="5">
        <f t="shared" si="72"/>
        <v>1.6047096190294337</v>
      </c>
      <c r="EB28" s="5">
        <f t="shared" si="73"/>
        <v>0.14977289777608047</v>
      </c>
      <c r="EC28" s="5">
        <f t="shared" si="74"/>
        <v>0.85252746394921552</v>
      </c>
      <c r="ED28" s="5"/>
      <c r="EE28" s="173">
        <f t="shared" si="120"/>
        <v>1.4056057724996955</v>
      </c>
      <c r="EF28" s="173">
        <f t="shared" si="75"/>
        <v>2.2908913665313011</v>
      </c>
      <c r="EG28" s="173">
        <f t="shared" si="76"/>
        <v>0.23096691646176229</v>
      </c>
      <c r="EH28" s="173"/>
      <c r="EI28" s="528">
        <f t="shared" si="77"/>
        <v>2.3708731052213591E-2</v>
      </c>
      <c r="EJ28" s="528">
        <f t="shared" si="78"/>
        <v>1.7553006762481564</v>
      </c>
      <c r="EK28" s="528">
        <f t="shared" si="79"/>
        <v>4.0250000000000001E-2</v>
      </c>
      <c r="EL28" s="528">
        <f t="shared" si="80"/>
        <v>0.55416666375000012</v>
      </c>
      <c r="EM28">
        <f t="shared" si="81"/>
        <v>1.26E-2</v>
      </c>
      <c r="EN28" s="460">
        <f t="shared" si="121"/>
        <v>52.85</v>
      </c>
      <c r="EO28">
        <f t="shared" si="82"/>
        <v>2.40598078616138</v>
      </c>
      <c r="EP28" s="460">
        <f t="shared" si="122"/>
        <v>2405.9807861613799</v>
      </c>
      <c r="EQ28" s="173">
        <f t="shared" si="83"/>
        <v>0.38559500000000002</v>
      </c>
      <c r="ER28" s="173">
        <f t="shared" si="84"/>
        <v>2.7542500000000001E-2</v>
      </c>
      <c r="ES28" s="528"/>
      <c r="EU28" s="460">
        <f t="shared" si="123"/>
        <v>413.13750000000005</v>
      </c>
      <c r="EV28" s="528">
        <f t="shared" si="85"/>
        <v>2.7660186227582522E-2</v>
      </c>
      <c r="EW28" s="528">
        <f t="shared" si="124"/>
        <v>7.3474565545467135E-2</v>
      </c>
      <c r="EX28" s="528">
        <f t="shared" si="86"/>
        <v>2.6672858249927341E-4</v>
      </c>
      <c r="EY28" s="528">
        <f t="shared" si="87"/>
        <v>5.3580548494391858</v>
      </c>
      <c r="EZ28" s="528">
        <f t="shared" si="88"/>
        <v>5.5286416811459542</v>
      </c>
      <c r="FA28" s="625">
        <f t="shared" si="89"/>
        <v>0.75851063829787235</v>
      </c>
      <c r="FB28" s="460">
        <f t="shared" si="125"/>
        <v>6287.1523194438269</v>
      </c>
      <c r="FC28" s="173">
        <f t="shared" si="126"/>
        <v>9.1062706056052072</v>
      </c>
      <c r="FD28" s="5">
        <f t="shared" si="127"/>
        <v>17.825000000000003</v>
      </c>
      <c r="FE28" s="173">
        <f t="shared" si="128"/>
        <v>0.66186999718795603</v>
      </c>
      <c r="FF28" s="5">
        <f t="shared" si="129"/>
        <v>66.186999718795605</v>
      </c>
      <c r="FG28">
        <f t="shared" si="130"/>
        <v>23.000000000000004</v>
      </c>
      <c r="FI28" s="562">
        <f t="shared" si="90"/>
        <v>-50</v>
      </c>
      <c r="FJ28">
        <f t="shared" si="91"/>
        <v>-50</v>
      </c>
      <c r="FL28">
        <f t="shared" si="92"/>
        <v>0.25809090548285069</v>
      </c>
    </row>
    <row r="29" spans="5:168">
      <c r="E29" s="170">
        <v>24</v>
      </c>
      <c r="F29" s="217">
        <f t="shared" si="131"/>
        <v>0.6</v>
      </c>
      <c r="G29" s="217">
        <f t="shared" si="93"/>
        <v>0.06</v>
      </c>
      <c r="H29" s="217">
        <f t="shared" si="0"/>
        <v>16.8</v>
      </c>
      <c r="I29" s="217">
        <f t="shared" si="132"/>
        <v>1.7999999999999998</v>
      </c>
      <c r="J29" s="541">
        <f t="shared" si="1"/>
        <v>27.921437791964117</v>
      </c>
      <c r="K29" s="443">
        <f t="shared" si="2"/>
        <v>28.731861401980613</v>
      </c>
      <c r="L29" s="172">
        <f t="shared" si="3"/>
        <v>56.653299193944733</v>
      </c>
      <c r="M29" s="443"/>
      <c r="N29" s="217">
        <f t="shared" si="4"/>
        <v>0.507152483805419</v>
      </c>
      <c r="O29" s="172">
        <f t="shared" si="94"/>
        <v>106.5838555841846</v>
      </c>
      <c r="P29" s="172">
        <f t="shared" si="5"/>
        <v>12.643237971083122</v>
      </c>
      <c r="Q29" s="217">
        <f t="shared" si="6"/>
        <v>3.806566270863736</v>
      </c>
      <c r="R29" s="217">
        <f t="shared" si="7"/>
        <v>3.5527951861394866</v>
      </c>
      <c r="S29" s="443">
        <f t="shared" si="8"/>
        <v>28</v>
      </c>
      <c r="T29" s="217">
        <f t="shared" si="9"/>
        <v>2.6270395123663337</v>
      </c>
      <c r="U29" s="217">
        <f t="shared" si="10"/>
        <v>0.44220809114906329</v>
      </c>
      <c r="V29" s="217">
        <f t="shared" si="11"/>
        <v>0.42973497384581666</v>
      </c>
      <c r="W29" s="197">
        <f t="shared" si="12"/>
        <v>350</v>
      </c>
      <c r="X29" s="443">
        <f t="shared" si="95"/>
        <v>350</v>
      </c>
      <c r="Z29" s="217">
        <f t="shared" si="13"/>
        <v>8.6081620228651037</v>
      </c>
      <c r="AA29" s="173">
        <f t="shared" si="14"/>
        <v>1.4081357605559457</v>
      </c>
      <c r="AB29" s="173">
        <f t="shared" si="15"/>
        <v>2.1212556359847929</v>
      </c>
      <c r="AC29" s="173"/>
      <c r="AD29" s="173">
        <f t="shared" si="16"/>
        <v>0.54527155228399837</v>
      </c>
      <c r="AE29" s="545">
        <f t="shared" si="17"/>
        <v>660.2214960455118</v>
      </c>
      <c r="AF29" s="528">
        <f t="shared" si="18"/>
        <v>0.31807507216566577</v>
      </c>
      <c r="AH29" s="173">
        <f t="shared" si="19"/>
        <v>4.7554160451970899</v>
      </c>
      <c r="AI29" s="173">
        <f t="shared" si="20"/>
        <v>4.7554160451970899</v>
      </c>
      <c r="AJ29" s="173">
        <f t="shared" si="21"/>
        <v>2.2533946013805601</v>
      </c>
      <c r="AL29" s="545">
        <f t="shared" si="22"/>
        <v>600</v>
      </c>
      <c r="AM29" s="460">
        <f t="shared" si="23"/>
        <v>350</v>
      </c>
      <c r="AO29">
        <f t="shared" si="96"/>
        <v>600</v>
      </c>
      <c r="AP29" s="460">
        <f t="shared" si="24"/>
        <v>350</v>
      </c>
      <c r="AQ29" s="460"/>
      <c r="AR29" s="5">
        <f t="shared" si="97"/>
        <v>2.8571428571428572</v>
      </c>
      <c r="AS29" s="5">
        <f t="shared" si="25"/>
        <v>0.8004765219812161</v>
      </c>
      <c r="AT29" s="5">
        <f t="shared" si="98"/>
        <v>2.056666335161641</v>
      </c>
      <c r="AU29" s="173">
        <f t="shared" si="99"/>
        <v>0.28016678269342565</v>
      </c>
      <c r="AW29" s="5">
        <f t="shared" si="26"/>
        <v>1.7153068328168917</v>
      </c>
      <c r="AX29" s="5">
        <f t="shared" si="27"/>
        <v>0.16009530439624323</v>
      </c>
      <c r="AY29" s="5">
        <f t="shared" si="28"/>
        <v>0.88390849374678959</v>
      </c>
      <c r="AZ29" s="5"/>
      <c r="BA29" s="173">
        <f t="shared" si="100"/>
        <v>1.4532362178260994</v>
      </c>
      <c r="BB29" s="173">
        <f t="shared" si="29"/>
        <v>2.3293987241713552</v>
      </c>
      <c r="BC29" s="173">
        <f t="shared" si="30"/>
        <v>0.23484921563366945</v>
      </c>
      <c r="BD29" s="173"/>
      <c r="BE29" s="528">
        <f t="shared" si="31"/>
        <v>2.5342746057618073E-2</v>
      </c>
      <c r="BF29" s="528">
        <f t="shared" si="32"/>
        <v>1.7208564261015082</v>
      </c>
      <c r="BG29" s="528">
        <f t="shared" si="33"/>
        <v>4.0250000000000001E-2</v>
      </c>
      <c r="BH29" s="528">
        <f t="shared" si="34"/>
        <v>0.5532541638601669</v>
      </c>
      <c r="BI29">
        <f t="shared" si="35"/>
        <v>1.2564647006383852E-2</v>
      </c>
      <c r="BJ29" s="460">
        <f t="shared" si="101"/>
        <v>52.814647006383851</v>
      </c>
      <c r="BK29">
        <f t="shared" si="36"/>
        <v>2.3202672190924702</v>
      </c>
      <c r="BL29" s="460">
        <f t="shared" si="102"/>
        <v>2320.2672190924704</v>
      </c>
      <c r="BM29" s="173">
        <f t="shared" si="37"/>
        <v>0.40236</v>
      </c>
      <c r="BN29" s="173">
        <f t="shared" si="38"/>
        <v>2.8739999999999998E-2</v>
      </c>
      <c r="BO29" s="528"/>
      <c r="BQ29" s="460">
        <f t="shared" si="103"/>
        <v>431.09999999999997</v>
      </c>
      <c r="BR29" s="528">
        <f t="shared" si="39"/>
        <v>2.9566537067221083E-2</v>
      </c>
      <c r="BS29" s="528">
        <f t="shared" si="104"/>
        <v>7.5965377826395925E-2</v>
      </c>
      <c r="BT29" s="528">
        <f t="shared" si="40"/>
        <v>2.7577077041874887E-4</v>
      </c>
      <c r="BU29" s="528">
        <f t="shared" si="41"/>
        <v>5.6508192012375176</v>
      </c>
      <c r="BV29" s="528">
        <f t="shared" si="42"/>
        <v>5.8313811267607214</v>
      </c>
      <c r="BW29" s="625">
        <f t="shared" si="43"/>
        <v>0.79148936170212769</v>
      </c>
      <c r="BX29" s="460">
        <f t="shared" si="105"/>
        <v>6622.8704884628496</v>
      </c>
      <c r="BY29" s="173">
        <f t="shared" si="106"/>
        <v>9.37423770755532</v>
      </c>
      <c r="BZ29" s="5">
        <f t="shared" si="107"/>
        <v>18.600000000000001</v>
      </c>
      <c r="CA29" s="173">
        <f t="shared" si="108"/>
        <v>0.66489747439932878</v>
      </c>
      <c r="CB29" s="5">
        <f t="shared" si="109"/>
        <v>66.489747439932884</v>
      </c>
      <c r="CC29">
        <f t="shared" si="110"/>
        <v>24</v>
      </c>
      <c r="CE29" s="562">
        <f t="shared" si="44"/>
        <v>-50</v>
      </c>
      <c r="CF29">
        <f t="shared" si="45"/>
        <v>-50</v>
      </c>
      <c r="CG29" s="173">
        <f t="shared" si="46"/>
        <v>0.26364188258605864</v>
      </c>
      <c r="CH29" s="173">
        <f t="shared" si="47"/>
        <v>8.5495173326866056E-2</v>
      </c>
      <c r="CI29" s="170">
        <v>24</v>
      </c>
      <c r="CJ29" s="217">
        <f t="shared" si="133"/>
        <v>0.6</v>
      </c>
      <c r="CK29" s="217">
        <f t="shared" si="111"/>
        <v>0.06</v>
      </c>
      <c r="CL29" s="217">
        <f t="shared" si="48"/>
        <v>16.8</v>
      </c>
      <c r="CM29" s="217">
        <f t="shared" si="134"/>
        <v>1.7999999999999998</v>
      </c>
      <c r="CN29" s="541">
        <f t="shared" si="112"/>
        <v>28</v>
      </c>
      <c r="CO29" s="443">
        <f t="shared" si="49"/>
        <v>28.7</v>
      </c>
      <c r="CP29" s="443">
        <f t="shared" si="50"/>
        <v>56.7</v>
      </c>
      <c r="CQ29" s="443"/>
      <c r="CR29" s="217">
        <f t="shared" si="113"/>
        <v>0.50354609929078009</v>
      </c>
      <c r="CS29" s="172">
        <f t="shared" si="114"/>
        <v>106.12369404407841</v>
      </c>
      <c r="CT29" s="172">
        <f t="shared" si="51"/>
        <v>12.588652482269502</v>
      </c>
      <c r="CU29" s="217">
        <f t="shared" si="52"/>
        <v>3.7901319301456575</v>
      </c>
      <c r="CV29" s="217">
        <f t="shared" si="53"/>
        <v>3.5374564681359471</v>
      </c>
      <c r="CW29" s="443">
        <f t="shared" si="54"/>
        <v>28</v>
      </c>
      <c r="CX29" s="217">
        <f t="shared" si="55"/>
        <v>2.6384305835010067</v>
      </c>
      <c r="CY29" s="217">
        <f t="shared" si="56"/>
        <v>0.44287941937338327</v>
      </c>
      <c r="CZ29" s="217">
        <f t="shared" si="57"/>
        <v>0.43207748231549592</v>
      </c>
      <c r="DA29" s="197">
        <f t="shared" si="58"/>
        <v>350</v>
      </c>
      <c r="DB29" s="443">
        <f t="shared" si="115"/>
        <v>350</v>
      </c>
      <c r="DD29" s="217">
        <f t="shared" si="59"/>
        <v>8.6157079064880477</v>
      </c>
      <c r="DE29" s="173">
        <f t="shared" si="60"/>
        <v>1.4109347442680775</v>
      </c>
      <c r="DF29" s="173">
        <f t="shared" si="61"/>
        <v>2.1273352855526046</v>
      </c>
      <c r="DG29" s="173"/>
      <c r="DH29" s="173">
        <f t="shared" si="62"/>
        <v>0.54587688734030204</v>
      </c>
      <c r="DI29" s="545">
        <f t="shared" si="63"/>
        <v>659.48936170212767</v>
      </c>
      <c r="DJ29" s="528">
        <f t="shared" si="64"/>
        <v>0.31842818428184283</v>
      </c>
      <c r="DL29" s="173">
        <f t="shared" si="65"/>
        <v>4.7554160451970899</v>
      </c>
      <c r="DM29" s="173">
        <f t="shared" si="66"/>
        <v>4.7554160451970899</v>
      </c>
      <c r="DN29" s="173">
        <f t="shared" si="67"/>
        <v>2.2533946013805601</v>
      </c>
      <c r="DP29" s="545">
        <f t="shared" si="68"/>
        <v>600</v>
      </c>
      <c r="DQ29" s="460">
        <f t="shared" si="69"/>
        <v>350</v>
      </c>
      <c r="DS29">
        <f t="shared" si="116"/>
        <v>600</v>
      </c>
      <c r="DT29" s="460">
        <f t="shared" si="70"/>
        <v>350</v>
      </c>
      <c r="DU29" s="460"/>
      <c r="DV29" s="5">
        <f t="shared" si="117"/>
        <v>2.8571428571428572</v>
      </c>
      <c r="DW29" s="5">
        <f t="shared" si="71"/>
        <v>0.7982305504437972</v>
      </c>
      <c r="DX29" s="5">
        <f t="shared" si="118"/>
        <v>2.0589123066990602</v>
      </c>
      <c r="DY29" s="173">
        <f t="shared" si="119"/>
        <v>0.279380692655329</v>
      </c>
      <c r="EA29" s="5">
        <f t="shared" si="72"/>
        <v>1.7104940366652797</v>
      </c>
      <c r="EB29" s="5">
        <f t="shared" si="73"/>
        <v>0.15964611008875942</v>
      </c>
      <c r="EC29" s="5">
        <f t="shared" si="74"/>
        <v>0.8823909885853114</v>
      </c>
      <c r="ED29" s="5"/>
      <c r="EE29" s="173">
        <f t="shared" si="120"/>
        <v>1.4511960456371829</v>
      </c>
      <c r="EF29" s="173">
        <f t="shared" si="75"/>
        <v>2.3306702808633499</v>
      </c>
      <c r="EG29" s="173">
        <f t="shared" si="76"/>
        <v>0.23497741356245253</v>
      </c>
      <c r="EH29" s="173"/>
      <c r="EI29" s="528">
        <f t="shared" si="77"/>
        <v>2.5271639554475957E-2</v>
      </c>
      <c r="EJ29" s="528">
        <f t="shared" si="78"/>
        <v>1.7930533969217892</v>
      </c>
      <c r="EK29" s="528">
        <f t="shared" si="79"/>
        <v>4.0250000000000001E-2</v>
      </c>
      <c r="EL29" s="528">
        <f t="shared" si="80"/>
        <v>0.55416666375000012</v>
      </c>
      <c r="EM29">
        <f t="shared" si="81"/>
        <v>1.26E-2</v>
      </c>
      <c r="EN29" s="460">
        <f t="shared" si="121"/>
        <v>52.85</v>
      </c>
      <c r="EO29">
        <f t="shared" si="82"/>
        <v>2.4468572992461439</v>
      </c>
      <c r="EP29" s="460">
        <f t="shared" si="122"/>
        <v>2446.8572992461441</v>
      </c>
      <c r="EQ29" s="173">
        <f t="shared" si="83"/>
        <v>0.40236</v>
      </c>
      <c r="ER29" s="173">
        <f t="shared" si="84"/>
        <v>2.8739999999999998E-2</v>
      </c>
      <c r="ES29" s="528"/>
      <c r="EU29" s="460">
        <f t="shared" si="123"/>
        <v>431.09999999999997</v>
      </c>
      <c r="EV29" s="528">
        <f t="shared" si="85"/>
        <v>2.9483579480221952E-2</v>
      </c>
      <c r="EW29" s="528">
        <f t="shared" si="124"/>
        <v>7.6048335413395063E-2</v>
      </c>
      <c r="EX29" s="528">
        <f t="shared" si="86"/>
        <v>2.7607192442249924E-4</v>
      </c>
      <c r="EY29" s="528">
        <f t="shared" si="87"/>
        <v>5.6508192012375176</v>
      </c>
      <c r="EZ29" s="528">
        <f t="shared" si="88"/>
        <v>5.8313816450704925</v>
      </c>
      <c r="FA29" s="625">
        <f t="shared" si="89"/>
        <v>0.79148936170212769</v>
      </c>
      <c r="FB29" s="460">
        <f t="shared" si="125"/>
        <v>6622.8710067726197</v>
      </c>
      <c r="FC29" s="173">
        <f t="shared" si="126"/>
        <v>9.5008283060187644</v>
      </c>
      <c r="FD29" s="5">
        <f t="shared" si="127"/>
        <v>18.600000000000001</v>
      </c>
      <c r="FE29" s="173">
        <f t="shared" si="128"/>
        <v>0.66190219723936627</v>
      </c>
      <c r="FF29" s="5">
        <f t="shared" si="129"/>
        <v>66.190219723936622</v>
      </c>
      <c r="FG29">
        <f t="shared" si="130"/>
        <v>24</v>
      </c>
      <c r="FI29" s="562">
        <f t="shared" si="90"/>
        <v>-50</v>
      </c>
      <c r="FJ29">
        <f t="shared" si="91"/>
        <v>-50</v>
      </c>
      <c r="FL29">
        <f t="shared" si="92"/>
        <v>0.26364188258605864</v>
      </c>
    </row>
    <row r="30" spans="5:168">
      <c r="E30" s="170">
        <v>25</v>
      </c>
      <c r="F30" s="217">
        <f t="shared" si="131"/>
        <v>0.625</v>
      </c>
      <c r="G30" s="217">
        <f t="shared" si="93"/>
        <v>6.25E-2</v>
      </c>
      <c r="H30" s="217">
        <f t="shared" si="0"/>
        <v>17.5</v>
      </c>
      <c r="I30" s="217">
        <f t="shared" si="132"/>
        <v>1.875</v>
      </c>
      <c r="J30" s="541">
        <f t="shared" si="1"/>
        <v>27.91981778218571</v>
      </c>
      <c r="K30" s="443">
        <f t="shared" si="2"/>
        <v>28.732518407225918</v>
      </c>
      <c r="L30" s="172">
        <f t="shared" si="3"/>
        <v>56.652336189411628</v>
      </c>
      <c r="M30" s="443"/>
      <c r="N30" s="217">
        <f t="shared" si="4"/>
        <v>0.50717270177811402</v>
      </c>
      <c r="O30" s="172">
        <f t="shared" si="94"/>
        <v>106.58192034860895</v>
      </c>
      <c r="P30" s="172">
        <f t="shared" si="5"/>
        <v>12.643008408699783</v>
      </c>
      <c r="Q30" s="217">
        <f t="shared" si="6"/>
        <v>3.8064971553074622</v>
      </c>
      <c r="R30" s="217">
        <f t="shared" si="7"/>
        <v>3.5527306782869648</v>
      </c>
      <c r="S30" s="443">
        <f t="shared" si="8"/>
        <v>28</v>
      </c>
      <c r="T30" s="217">
        <f t="shared" si="9"/>
        <v>2.736549179379403</v>
      </c>
      <c r="U30" s="217">
        <f t="shared" si="10"/>
        <v>0.46066852023975868</v>
      </c>
      <c r="V30" s="217">
        <f t="shared" si="11"/>
        <v>0.44763848963022307</v>
      </c>
      <c r="W30" s="197">
        <f t="shared" si="12"/>
        <v>350</v>
      </c>
      <c r="X30" s="443">
        <f t="shared" si="95"/>
        <v>350</v>
      </c>
      <c r="Z30" s="217">
        <f t="shared" si="13"/>
        <v>8.6080057250721911</v>
      </c>
      <c r="AA30" s="173">
        <f t="shared" si="14"/>
        <v>1.408077994919674</v>
      </c>
      <c r="AB30" s="173">
        <f t="shared" si="15"/>
        <v>2.1211301022829265</v>
      </c>
      <c r="AC30" s="173"/>
      <c r="AD30" s="173">
        <f t="shared" si="16"/>
        <v>0.54525908396274336</v>
      </c>
      <c r="AE30" s="545">
        <f t="shared" si="17"/>
        <v>687.74645123679068</v>
      </c>
      <c r="AF30" s="528">
        <f t="shared" si="18"/>
        <v>0.31806779897826698</v>
      </c>
      <c r="AH30" s="173">
        <f t="shared" si="19"/>
        <v>4.8534761772403412</v>
      </c>
      <c r="AI30" s="173">
        <f t="shared" si="20"/>
        <v>4.8534761772403412</v>
      </c>
      <c r="AJ30" s="173">
        <f t="shared" si="21"/>
        <v>2.3260317362274132</v>
      </c>
      <c r="AL30" s="545">
        <f t="shared" si="22"/>
        <v>625</v>
      </c>
      <c r="AM30" s="460">
        <f t="shared" si="23"/>
        <v>350</v>
      </c>
      <c r="AO30">
        <f t="shared" si="96"/>
        <v>625</v>
      </c>
      <c r="AP30" s="460">
        <f t="shared" si="24"/>
        <v>350</v>
      </c>
      <c r="AQ30" s="460"/>
      <c r="AR30" s="5">
        <f t="shared" si="97"/>
        <v>2.8571428571428572</v>
      </c>
      <c r="AS30" s="5">
        <f t="shared" si="25"/>
        <v>0.81703033347103071</v>
      </c>
      <c r="AT30" s="5">
        <f t="shared" si="98"/>
        <v>2.0401125236718265</v>
      </c>
      <c r="AU30" s="173">
        <f t="shared" si="99"/>
        <v>0.28596061671486073</v>
      </c>
      <c r="AW30" s="5">
        <f t="shared" si="26"/>
        <v>1.8237284229264081</v>
      </c>
      <c r="AX30" s="5">
        <f t="shared" si="27"/>
        <v>0.17021465280646472</v>
      </c>
      <c r="AY30" s="5">
        <f t="shared" si="28"/>
        <v>0.91338012106114264</v>
      </c>
      <c r="AZ30" s="5"/>
      <c r="BA30" s="173">
        <f t="shared" si="100"/>
        <v>1.498460804192856</v>
      </c>
      <c r="BB30" s="173">
        <f t="shared" si="29"/>
        <v>2.3678454804549371</v>
      </c>
      <c r="BC30" s="173">
        <f t="shared" si="30"/>
        <v>0.23872540499668626</v>
      </c>
      <c r="BD30" s="173"/>
      <c r="BE30" s="528">
        <f t="shared" si="31"/>
        <v>2.694461738042761E-2</v>
      </c>
      <c r="BF30" s="528">
        <f t="shared" si="32"/>
        <v>1.7563118805630455</v>
      </c>
      <c r="BG30" s="528">
        <f t="shared" si="33"/>
        <v>4.0250000000000001E-2</v>
      </c>
      <c r="BH30" s="528">
        <f t="shared" si="34"/>
        <v>0.55323535536191071</v>
      </c>
      <c r="BI30">
        <f t="shared" si="35"/>
        <v>1.256391800198357E-2</v>
      </c>
      <c r="BJ30" s="460">
        <f t="shared" si="101"/>
        <v>52.813918001983566</v>
      </c>
      <c r="BK30">
        <f t="shared" si="36"/>
        <v>2.358868472886456</v>
      </c>
      <c r="BL30" s="460">
        <f t="shared" si="102"/>
        <v>2358.8684728864559</v>
      </c>
      <c r="BM30" s="173">
        <f t="shared" si="37"/>
        <v>0.41912499999999997</v>
      </c>
      <c r="BN30" s="173">
        <f t="shared" si="38"/>
        <v>2.9937499999999999E-2</v>
      </c>
      <c r="BO30" s="528"/>
      <c r="BQ30" s="460">
        <f t="shared" si="103"/>
        <v>449.0625</v>
      </c>
      <c r="BR30" s="528">
        <f t="shared" si="39"/>
        <v>3.1435386943832209E-2</v>
      </c>
      <c r="BS30" s="528">
        <f t="shared" si="104"/>
        <v>7.8493691070352214E-2</v>
      </c>
      <c r="BT30" s="528">
        <f t="shared" si="40"/>
        <v>2.8494909495415939E-4</v>
      </c>
      <c r="BU30" s="528">
        <f t="shared" si="41"/>
        <v>5.9466499011587368</v>
      </c>
      <c r="BV30" s="528">
        <f t="shared" si="42"/>
        <v>6.1374297627946355</v>
      </c>
      <c r="BW30" s="625">
        <f t="shared" si="43"/>
        <v>0.82446808510638325</v>
      </c>
      <c r="BX30" s="460">
        <f t="shared" si="105"/>
        <v>6961.8978479010193</v>
      </c>
      <c r="BY30" s="173">
        <f t="shared" si="106"/>
        <v>9.7698288207874757</v>
      </c>
      <c r="BZ30" s="5">
        <f t="shared" si="107"/>
        <v>19.375</v>
      </c>
      <c r="CA30" s="173">
        <f t="shared" si="108"/>
        <v>0.66478345503888603</v>
      </c>
      <c r="CB30" s="5">
        <f t="shared" si="109"/>
        <v>66.478345503888605</v>
      </c>
      <c r="CC30">
        <f t="shared" si="110"/>
        <v>25</v>
      </c>
      <c r="CE30" s="562">
        <f t="shared" si="44"/>
        <v>-50</v>
      </c>
      <c r="CF30">
        <f t="shared" si="45"/>
        <v>-50</v>
      </c>
      <c r="CG30" s="173">
        <f t="shared" si="46"/>
        <v>0.26907836965108234</v>
      </c>
      <c r="CH30" s="173">
        <f t="shared" si="47"/>
        <v>8.7258145884011831E-2</v>
      </c>
      <c r="CI30" s="170">
        <v>25</v>
      </c>
      <c r="CJ30" s="217">
        <f t="shared" si="133"/>
        <v>0.625</v>
      </c>
      <c r="CK30" s="217">
        <f t="shared" si="111"/>
        <v>6.25E-2</v>
      </c>
      <c r="CL30" s="217">
        <f t="shared" si="48"/>
        <v>17.5</v>
      </c>
      <c r="CM30" s="217">
        <f t="shared" si="134"/>
        <v>1.875</v>
      </c>
      <c r="CN30" s="541">
        <f t="shared" si="112"/>
        <v>28</v>
      </c>
      <c r="CO30" s="443">
        <f t="shared" si="49"/>
        <v>28.7</v>
      </c>
      <c r="CP30" s="443">
        <f t="shared" si="50"/>
        <v>56.7</v>
      </c>
      <c r="CQ30" s="443"/>
      <c r="CR30" s="217">
        <f t="shared" si="113"/>
        <v>0.50354609929078009</v>
      </c>
      <c r="CS30" s="172">
        <f t="shared" si="114"/>
        <v>106.12369404407841</v>
      </c>
      <c r="CT30" s="172">
        <f t="shared" si="51"/>
        <v>12.588652482269502</v>
      </c>
      <c r="CU30" s="217">
        <f t="shared" si="52"/>
        <v>3.7901319301456575</v>
      </c>
      <c r="CV30" s="217">
        <f t="shared" si="53"/>
        <v>3.5374564681359471</v>
      </c>
      <c r="CW30" s="443">
        <f t="shared" si="54"/>
        <v>28</v>
      </c>
      <c r="CX30" s="217">
        <f t="shared" si="55"/>
        <v>2.7483651911468816</v>
      </c>
      <c r="CY30" s="217">
        <f t="shared" si="56"/>
        <v>0.46133272851394086</v>
      </c>
      <c r="CZ30" s="217">
        <f t="shared" si="57"/>
        <v>0.45008071074530814</v>
      </c>
      <c r="DA30" s="197">
        <f t="shared" si="58"/>
        <v>350</v>
      </c>
      <c r="DB30" s="443">
        <f t="shared" si="115"/>
        <v>350</v>
      </c>
      <c r="DD30" s="217">
        <f t="shared" si="59"/>
        <v>8.6157079064880477</v>
      </c>
      <c r="DE30" s="173">
        <f t="shared" si="60"/>
        <v>1.4109347442680775</v>
      </c>
      <c r="DF30" s="173">
        <f t="shared" si="61"/>
        <v>2.1273352855526046</v>
      </c>
      <c r="DG30" s="173"/>
      <c r="DH30" s="173">
        <f t="shared" si="62"/>
        <v>0.54587688734030204</v>
      </c>
      <c r="DI30" s="545">
        <f t="shared" si="63"/>
        <v>686.968085106383</v>
      </c>
      <c r="DJ30" s="528">
        <f t="shared" si="64"/>
        <v>0.31842818428184283</v>
      </c>
      <c r="DL30" s="173">
        <f t="shared" si="65"/>
        <v>4.8534761772403412</v>
      </c>
      <c r="DM30" s="173">
        <f t="shared" si="66"/>
        <v>4.8534761772403412</v>
      </c>
      <c r="DN30" s="173">
        <f t="shared" si="67"/>
        <v>2.3260317362274132</v>
      </c>
      <c r="DP30" s="545">
        <f t="shared" si="68"/>
        <v>625</v>
      </c>
      <c r="DQ30" s="460">
        <f t="shared" si="69"/>
        <v>350</v>
      </c>
      <c r="DS30">
        <f t="shared" si="116"/>
        <v>625</v>
      </c>
      <c r="DT30" s="460">
        <f t="shared" si="70"/>
        <v>350</v>
      </c>
      <c r="DU30" s="460"/>
      <c r="DV30" s="5">
        <f t="shared" si="117"/>
        <v>2.8571428571428572</v>
      </c>
      <c r="DW30" s="5">
        <f t="shared" si="71"/>
        <v>0.81469064403677161</v>
      </c>
      <c r="DX30" s="5">
        <f t="shared" si="118"/>
        <v>2.0424522131060856</v>
      </c>
      <c r="DY30" s="173">
        <f t="shared" si="119"/>
        <v>0.28514172541287003</v>
      </c>
      <c r="EA30" s="5">
        <f t="shared" si="72"/>
        <v>1.8185059018677936</v>
      </c>
      <c r="EB30" s="5">
        <f t="shared" si="73"/>
        <v>0.16972721750766076</v>
      </c>
      <c r="EC30" s="5">
        <f t="shared" si="74"/>
        <v>0.91180902370807382</v>
      </c>
      <c r="ED30" s="5"/>
      <c r="EE30" s="173">
        <f t="shared" si="120"/>
        <v>1.4963137318569291</v>
      </c>
      <c r="EF30" s="173">
        <f t="shared" si="75"/>
        <v>2.3692028652839254</v>
      </c>
      <c r="EG30" s="173">
        <f t="shared" si="76"/>
        <v>0.2388622560901007</v>
      </c>
      <c r="EH30" s="173"/>
      <c r="EI30" s="528">
        <f t="shared" si="77"/>
        <v>2.6867457409723319E-2</v>
      </c>
      <c r="EJ30" s="528">
        <f t="shared" si="78"/>
        <v>1.8300274600093569</v>
      </c>
      <c r="EK30" s="528">
        <f t="shared" si="79"/>
        <v>4.0250000000000001E-2</v>
      </c>
      <c r="EL30" s="528">
        <f t="shared" si="80"/>
        <v>0.55416666375000012</v>
      </c>
      <c r="EM30">
        <f t="shared" si="81"/>
        <v>1.26E-2</v>
      </c>
      <c r="EN30" s="460">
        <f t="shared" si="121"/>
        <v>52.85</v>
      </c>
      <c r="EO30">
        <f t="shared" si="82"/>
        <v>2.4870423464962959</v>
      </c>
      <c r="EP30" s="460">
        <f t="shared" si="122"/>
        <v>2487.042346496296</v>
      </c>
      <c r="EQ30" s="173">
        <f t="shared" si="83"/>
        <v>0.41912499999999997</v>
      </c>
      <c r="ER30" s="173">
        <f t="shared" si="84"/>
        <v>2.9937499999999999E-2</v>
      </c>
      <c r="ES30" s="528"/>
      <c r="EU30" s="460">
        <f t="shared" si="123"/>
        <v>449.0625</v>
      </c>
      <c r="EV30" s="528">
        <f t="shared" si="85"/>
        <v>3.1345366978010533E-2</v>
      </c>
      <c r="EW30" s="528">
        <f t="shared" si="124"/>
        <v>7.858371103617387E-2</v>
      </c>
      <c r="EX30" s="528">
        <f t="shared" si="86"/>
        <v>2.8527588692226424E-4</v>
      </c>
      <c r="EY30" s="528">
        <f t="shared" si="87"/>
        <v>5.9466499011587368</v>
      </c>
      <c r="EZ30" s="528">
        <f t="shared" si="88"/>
        <v>6.1374303335017046</v>
      </c>
      <c r="FA30" s="625">
        <f t="shared" si="89"/>
        <v>0.82446808510638325</v>
      </c>
      <c r="FB30" s="460">
        <f t="shared" si="125"/>
        <v>6961.8984186080879</v>
      </c>
      <c r="FC30" s="173">
        <f t="shared" si="126"/>
        <v>9.8980032651043839</v>
      </c>
      <c r="FD30" s="5">
        <f t="shared" si="127"/>
        <v>19.375</v>
      </c>
      <c r="FE30" s="173">
        <f t="shared" si="128"/>
        <v>0.66187264164645698</v>
      </c>
      <c r="FF30" s="5">
        <f t="shared" si="129"/>
        <v>66.187264164645697</v>
      </c>
      <c r="FG30">
        <f t="shared" si="130"/>
        <v>25</v>
      </c>
      <c r="FI30" s="562">
        <f t="shared" si="90"/>
        <v>-50</v>
      </c>
      <c r="FJ30">
        <f t="shared" si="91"/>
        <v>-50</v>
      </c>
      <c r="FL30">
        <f t="shared" si="92"/>
        <v>0.26907836965108234</v>
      </c>
    </row>
    <row r="31" spans="5:168">
      <c r="E31" s="170">
        <v>26</v>
      </c>
      <c r="F31" s="217">
        <f t="shared" si="131"/>
        <v>0.65</v>
      </c>
      <c r="G31" s="217">
        <f t="shared" si="93"/>
        <v>6.5000000000000002E-2</v>
      </c>
      <c r="H31" s="217">
        <f t="shared" si="0"/>
        <v>18.2</v>
      </c>
      <c r="I31" s="217">
        <f t="shared" si="132"/>
        <v>1.9500000000000002</v>
      </c>
      <c r="J31" s="541">
        <f t="shared" si="1"/>
        <v>27.918229861344358</v>
      </c>
      <c r="K31" s="443">
        <f t="shared" si="2"/>
        <v>28.73316239859918</v>
      </c>
      <c r="L31" s="172">
        <f t="shared" si="3"/>
        <v>56.651392259943535</v>
      </c>
      <c r="M31" s="443"/>
      <c r="N31" s="217">
        <f t="shared" si="4"/>
        <v>0.50719251994298331</v>
      </c>
      <c r="O31" s="172">
        <f t="shared" si="94"/>
        <v>106.58002310759015</v>
      </c>
      <c r="P31" s="172">
        <f t="shared" si="5"/>
        <v>12.64278335332383</v>
      </c>
      <c r="Q31" s="217">
        <f t="shared" si="6"/>
        <v>3.8064293966996483</v>
      </c>
      <c r="R31" s="217">
        <f t="shared" si="7"/>
        <v>3.5526674369196716</v>
      </c>
      <c r="S31" s="443">
        <f t="shared" si="8"/>
        <v>28</v>
      </c>
      <c r="T31" s="217">
        <f t="shared" si="9"/>
        <v>2.8460618086667622</v>
      </c>
      <c r="U31" s="217">
        <f t="shared" si="10"/>
        <v>0.47913103972450988</v>
      </c>
      <c r="V31" s="217">
        <f t="shared" si="11"/>
        <v>0.46554188206536995</v>
      </c>
      <c r="W31" s="197">
        <f t="shared" si="12"/>
        <v>350</v>
      </c>
      <c r="X31" s="443">
        <f t="shared" si="95"/>
        <v>350</v>
      </c>
      <c r="Z31" s="217">
        <f t="shared" si="13"/>
        <v>8.6078524958800529</v>
      </c>
      <c r="AA31" s="173">
        <f t="shared" si="14"/>
        <v>1.4080213715914762</v>
      </c>
      <c r="AB31" s="173">
        <f t="shared" si="15"/>
        <v>2.121007048598575</v>
      </c>
      <c r="AC31" s="173"/>
      <c r="AD31" s="173">
        <f t="shared" si="16"/>
        <v>0.54524686316569393</v>
      </c>
      <c r="AE31" s="545">
        <f t="shared" si="17"/>
        <v>715.2723405608732</v>
      </c>
      <c r="AF31" s="528">
        <f t="shared" si="18"/>
        <v>0.31806067017998813</v>
      </c>
      <c r="AH31" s="173">
        <f t="shared" si="19"/>
        <v>4.949593947301242</v>
      </c>
      <c r="AI31" s="173">
        <f t="shared" si="20"/>
        <v>4.949593947301242</v>
      </c>
      <c r="AJ31" s="173">
        <f t="shared" si="21"/>
        <v>2.3972300844206731</v>
      </c>
      <c r="AL31" s="545">
        <f t="shared" si="22"/>
        <v>650</v>
      </c>
      <c r="AM31" s="460">
        <f t="shared" si="23"/>
        <v>350</v>
      </c>
      <c r="AO31">
        <f t="shared" si="96"/>
        <v>650</v>
      </c>
      <c r="AP31" s="460">
        <f t="shared" si="24"/>
        <v>350</v>
      </c>
      <c r="AQ31" s="460"/>
      <c r="AR31" s="5">
        <f t="shared" si="97"/>
        <v>2.8571428571428572</v>
      </c>
      <c r="AS31" s="5">
        <f t="shared" si="25"/>
        <v>0.83325811370748692</v>
      </c>
      <c r="AT31" s="5">
        <f t="shared" si="98"/>
        <v>2.0238847434353704</v>
      </c>
      <c r="AU31" s="173">
        <f t="shared" si="99"/>
        <v>0.29164033979762044</v>
      </c>
      <c r="AW31" s="5">
        <f t="shared" si="26"/>
        <v>1.9343491925352376</v>
      </c>
      <c r="AX31" s="5">
        <f t="shared" si="27"/>
        <v>0.18053925796995551</v>
      </c>
      <c r="AY31" s="5">
        <f t="shared" si="28"/>
        <v>0.94241296082633774</v>
      </c>
      <c r="AZ31" s="5"/>
      <c r="BA31" s="173">
        <f t="shared" si="100"/>
        <v>1.5432374091112049</v>
      </c>
      <c r="BB31" s="173">
        <f t="shared" si="29"/>
        <v>2.4051150451014673</v>
      </c>
      <c r="BC31" s="173">
        <f t="shared" si="30"/>
        <v>0.24248291028482008</v>
      </c>
      <c r="BD31" s="173"/>
      <c r="BE31" s="528">
        <f t="shared" si="31"/>
        <v>2.8578980410563171E-2</v>
      </c>
      <c r="BF31" s="528">
        <f t="shared" si="32"/>
        <v>1.7910638673574815</v>
      </c>
      <c r="BG31" s="528">
        <f t="shared" si="33"/>
        <v>4.0250000000000001E-2</v>
      </c>
      <c r="BH31" s="528">
        <f t="shared" si="34"/>
        <v>0.55321691973014964</v>
      </c>
      <c r="BI31">
        <f t="shared" si="35"/>
        <v>1.2563203437604961E-2</v>
      </c>
      <c r="BJ31" s="460">
        <f t="shared" si="101"/>
        <v>52.813203437604962</v>
      </c>
      <c r="BK31">
        <f t="shared" si="36"/>
        <v>2.3968515911507629</v>
      </c>
      <c r="BL31" s="460">
        <f t="shared" si="102"/>
        <v>2396.8515911507629</v>
      </c>
      <c r="BM31" s="173">
        <f t="shared" si="37"/>
        <v>0.43588999999999994</v>
      </c>
      <c r="BN31" s="173">
        <f t="shared" si="38"/>
        <v>3.1134999999999999E-2</v>
      </c>
      <c r="BO31" s="528"/>
      <c r="BQ31" s="460">
        <f t="shared" si="103"/>
        <v>467.02499999999998</v>
      </c>
      <c r="BR31" s="528">
        <f t="shared" si="39"/>
        <v>3.3342143812323699E-2</v>
      </c>
      <c r="BS31" s="528">
        <f t="shared" si="104"/>
        <v>8.0984097322428061E-2</v>
      </c>
      <c r="BT31" s="528">
        <f t="shared" si="40"/>
        <v>2.9398980890098052E-4</v>
      </c>
      <c r="BU31" s="528">
        <f t="shared" si="41"/>
        <v>6.2454544466488064</v>
      </c>
      <c r="BV31" s="528">
        <f t="shared" si="42"/>
        <v>6.4466972875729711</v>
      </c>
      <c r="BW31" s="625">
        <f t="shared" si="43"/>
        <v>0.85744680851063815</v>
      </c>
      <c r="BX31" s="460">
        <f t="shared" si="105"/>
        <v>7304.1440960836098</v>
      </c>
      <c r="BY31" s="173">
        <f t="shared" si="106"/>
        <v>10.168020687234371</v>
      </c>
      <c r="BZ31" s="5">
        <f t="shared" si="107"/>
        <v>20.149999999999999</v>
      </c>
      <c r="CA31" s="173">
        <f t="shared" si="108"/>
        <v>0.66462122339286833</v>
      </c>
      <c r="CB31" s="5">
        <f t="shared" si="109"/>
        <v>66.462122339286836</v>
      </c>
      <c r="CC31">
        <f t="shared" si="110"/>
        <v>26</v>
      </c>
      <c r="CE31" s="562">
        <f t="shared" si="44"/>
        <v>-50</v>
      </c>
      <c r="CF31">
        <f t="shared" si="45"/>
        <v>-50</v>
      </c>
      <c r="CG31" s="173">
        <f t="shared" si="46"/>
        <v>0.2744071715073203</v>
      </c>
      <c r="CH31" s="173">
        <f t="shared" si="47"/>
        <v>8.8986197716500459E-2</v>
      </c>
      <c r="CI31" s="170">
        <v>26</v>
      </c>
      <c r="CJ31" s="217">
        <f t="shared" si="133"/>
        <v>0.65</v>
      </c>
      <c r="CK31" s="217">
        <f t="shared" si="111"/>
        <v>6.5000000000000002E-2</v>
      </c>
      <c r="CL31" s="217">
        <f t="shared" si="48"/>
        <v>18.2</v>
      </c>
      <c r="CM31" s="217">
        <f t="shared" si="134"/>
        <v>1.9500000000000002</v>
      </c>
      <c r="CN31" s="541">
        <f t="shared" si="112"/>
        <v>28</v>
      </c>
      <c r="CO31" s="443">
        <f t="shared" si="49"/>
        <v>28.7</v>
      </c>
      <c r="CP31" s="443">
        <f t="shared" si="50"/>
        <v>56.7</v>
      </c>
      <c r="CQ31" s="443"/>
      <c r="CR31" s="217">
        <f t="shared" si="113"/>
        <v>0.50354609929078009</v>
      </c>
      <c r="CS31" s="172">
        <f t="shared" si="114"/>
        <v>106.12369404407841</v>
      </c>
      <c r="CT31" s="172">
        <f t="shared" si="51"/>
        <v>12.588652482269502</v>
      </c>
      <c r="CU31" s="217">
        <f t="shared" si="52"/>
        <v>3.7901319301456575</v>
      </c>
      <c r="CV31" s="217">
        <f t="shared" si="53"/>
        <v>3.5374564681359471</v>
      </c>
      <c r="CW31" s="443">
        <f t="shared" si="54"/>
        <v>28</v>
      </c>
      <c r="CX31" s="217">
        <f t="shared" si="55"/>
        <v>2.8582997987927565</v>
      </c>
      <c r="CY31" s="217">
        <f t="shared" si="56"/>
        <v>0.47978603765449845</v>
      </c>
      <c r="CZ31" s="217">
        <f t="shared" si="57"/>
        <v>0.46808393917512042</v>
      </c>
      <c r="DA31" s="197">
        <f t="shared" si="58"/>
        <v>350</v>
      </c>
      <c r="DB31" s="443">
        <f t="shared" si="115"/>
        <v>350</v>
      </c>
      <c r="DD31" s="217">
        <f t="shared" si="59"/>
        <v>8.6157079064880477</v>
      </c>
      <c r="DE31" s="173">
        <f t="shared" si="60"/>
        <v>1.4109347442680775</v>
      </c>
      <c r="DF31" s="173">
        <f t="shared" si="61"/>
        <v>2.1273352855526046</v>
      </c>
      <c r="DG31" s="173"/>
      <c r="DH31" s="173">
        <f t="shared" si="62"/>
        <v>0.54587688734030204</v>
      </c>
      <c r="DI31" s="545">
        <f t="shared" si="63"/>
        <v>714.44680851063833</v>
      </c>
      <c r="DJ31" s="528">
        <f t="shared" si="64"/>
        <v>0.31842818428184283</v>
      </c>
      <c r="DL31" s="173">
        <f t="shared" si="65"/>
        <v>4.949593947301242</v>
      </c>
      <c r="DM31" s="173">
        <f t="shared" si="66"/>
        <v>4.949593947301242</v>
      </c>
      <c r="DN31" s="173">
        <f t="shared" si="67"/>
        <v>2.3972300844206731</v>
      </c>
      <c r="DP31" s="545">
        <f t="shared" si="68"/>
        <v>650</v>
      </c>
      <c r="DQ31" s="460">
        <f t="shared" si="69"/>
        <v>350</v>
      </c>
      <c r="DS31">
        <f t="shared" si="116"/>
        <v>650</v>
      </c>
      <c r="DT31" s="460">
        <f t="shared" si="70"/>
        <v>350</v>
      </c>
      <c r="DU31" s="460"/>
      <c r="DV31" s="5">
        <f t="shared" si="117"/>
        <v>2.8571428571428572</v>
      </c>
      <c r="DW31" s="5">
        <f t="shared" si="71"/>
        <v>0.83082469829699412</v>
      </c>
      <c r="DX31" s="5">
        <f t="shared" si="118"/>
        <v>2.026318158845863</v>
      </c>
      <c r="DY31" s="173">
        <f t="shared" si="119"/>
        <v>0.29078864440394792</v>
      </c>
      <c r="EA31" s="5">
        <f t="shared" si="72"/>
        <v>1.9287001924751652</v>
      </c>
      <c r="EB31" s="5">
        <f t="shared" si="73"/>
        <v>0.18001201796434874</v>
      </c>
      <c r="EC31" s="5">
        <f t="shared" si="74"/>
        <v>0.94079057374986486</v>
      </c>
      <c r="ED31" s="5"/>
      <c r="EE31" s="173">
        <f t="shared" si="120"/>
        <v>1.5409823554976994</v>
      </c>
      <c r="EF31" s="173">
        <f t="shared" si="75"/>
        <v>2.4065605043502352</v>
      </c>
      <c r="EG31" s="173">
        <f t="shared" si="76"/>
        <v>0.24262864101235979</v>
      </c>
      <c r="EH31" s="173"/>
      <c r="EI31" s="528">
        <f t="shared" si="77"/>
        <v>2.8495519439462855E-2</v>
      </c>
      <c r="EJ31" s="528">
        <f t="shared" si="78"/>
        <v>1.8662691457996701</v>
      </c>
      <c r="EK31" s="528">
        <f t="shared" si="79"/>
        <v>4.0250000000000001E-2</v>
      </c>
      <c r="EL31" s="528">
        <f t="shared" si="80"/>
        <v>0.55416666375000012</v>
      </c>
      <c r="EM31">
        <f t="shared" si="81"/>
        <v>1.26E-2</v>
      </c>
      <c r="EN31" s="460">
        <f t="shared" si="121"/>
        <v>52.85</v>
      </c>
      <c r="EO31">
        <f t="shared" si="82"/>
        <v>2.5265814282865251</v>
      </c>
      <c r="EP31" s="460">
        <f t="shared" si="122"/>
        <v>2526.5814282865249</v>
      </c>
      <c r="EQ31" s="173">
        <f t="shared" si="83"/>
        <v>0.43588999999999994</v>
      </c>
      <c r="ER31" s="173">
        <f t="shared" si="84"/>
        <v>3.1134999999999999E-2</v>
      </c>
      <c r="ES31" s="528"/>
      <c r="EU31" s="460">
        <f t="shared" si="123"/>
        <v>467.02499999999998</v>
      </c>
      <c r="EV31" s="528">
        <f t="shared" si="85"/>
        <v>3.3244772679373334E-2</v>
      </c>
      <c r="EW31" s="528">
        <f t="shared" si="124"/>
        <v>8.1081468455378419E-2</v>
      </c>
      <c r="EX31" s="528">
        <f t="shared" si="86"/>
        <v>2.9434328719752279E-4</v>
      </c>
      <c r="EY31" s="528">
        <f t="shared" si="87"/>
        <v>6.2454544466488064</v>
      </c>
      <c r="EZ31" s="528">
        <f t="shared" si="88"/>
        <v>6.4466979139309464</v>
      </c>
      <c r="FA31" s="625">
        <f t="shared" si="89"/>
        <v>0.85744680851063815</v>
      </c>
      <c r="FB31" s="460">
        <f t="shared" si="125"/>
        <v>7304.1447224415851</v>
      </c>
      <c r="FC31" s="173">
        <f t="shared" si="126"/>
        <v>10.297751150728109</v>
      </c>
      <c r="FD31" s="5">
        <f t="shared" si="127"/>
        <v>20.149999999999999</v>
      </c>
      <c r="FE31" s="173">
        <f t="shared" si="128"/>
        <v>0.66178943397986045</v>
      </c>
      <c r="FF31" s="5">
        <f t="shared" si="129"/>
        <v>66.178943397986046</v>
      </c>
      <c r="FG31">
        <f t="shared" si="130"/>
        <v>26</v>
      </c>
      <c r="FI31" s="562">
        <f t="shared" si="90"/>
        <v>-50</v>
      </c>
      <c r="FJ31">
        <f t="shared" si="91"/>
        <v>-50</v>
      </c>
      <c r="FL31">
        <f t="shared" si="92"/>
        <v>0.27440717150732025</v>
      </c>
    </row>
    <row r="32" spans="5:168">
      <c r="E32" s="170">
        <v>27</v>
      </c>
      <c r="F32" s="217">
        <f t="shared" si="131"/>
        <v>0.67500000000000004</v>
      </c>
      <c r="G32" s="217">
        <f t="shared" si="93"/>
        <v>6.7500000000000004E-2</v>
      </c>
      <c r="H32" s="217">
        <f t="shared" si="0"/>
        <v>18.900000000000002</v>
      </c>
      <c r="I32" s="217">
        <f t="shared" si="132"/>
        <v>2.0250000000000004</v>
      </c>
      <c r="J32" s="541">
        <f t="shared" si="1"/>
        <v>27.916672194929259</v>
      </c>
      <c r="K32" s="443">
        <f t="shared" si="2"/>
        <v>28.733794120097901</v>
      </c>
      <c r="L32" s="172">
        <f t="shared" si="3"/>
        <v>56.65046631502716</v>
      </c>
      <c r="M32" s="443"/>
      <c r="N32" s="217">
        <f t="shared" si="4"/>
        <v>0.50721196115690126</v>
      </c>
      <c r="O32" s="172">
        <f t="shared" si="94"/>
        <v>106.57816168897939</v>
      </c>
      <c r="P32" s="172">
        <f t="shared" si="5"/>
        <v>12.642562547289646</v>
      </c>
      <c r="Q32" s="217">
        <f t="shared" si="6"/>
        <v>3.8063629174635496</v>
      </c>
      <c r="R32" s="217">
        <f t="shared" si="7"/>
        <v>3.5526053896326464</v>
      </c>
      <c r="S32" s="443">
        <f t="shared" si="8"/>
        <v>28</v>
      </c>
      <c r="T32" s="217">
        <f t="shared" si="9"/>
        <v>2.9555773435016222</v>
      </c>
      <c r="U32" s="217">
        <f t="shared" si="10"/>
        <v>0.49759560944304826</v>
      </c>
      <c r="V32" s="217">
        <f t="shared" si="11"/>
        <v>0.48344515368895857</v>
      </c>
      <c r="W32" s="197">
        <f t="shared" si="12"/>
        <v>350</v>
      </c>
      <c r="X32" s="443">
        <f t="shared" si="95"/>
        <v>350</v>
      </c>
      <c r="Z32" s="217">
        <f t="shared" si="13"/>
        <v>8.6077021598567818</v>
      </c>
      <c r="AA32" s="173">
        <f t="shared" si="14"/>
        <v>1.4079658252659963</v>
      </c>
      <c r="AB32" s="173">
        <f t="shared" si="15"/>
        <v>2.1208863331506644</v>
      </c>
      <c r="AC32" s="173"/>
      <c r="AD32" s="173">
        <f t="shared" si="16"/>
        <v>0.54523487574196094</v>
      </c>
      <c r="AE32" s="545">
        <f t="shared" si="17"/>
        <v>742.79914587061592</v>
      </c>
      <c r="AF32" s="528">
        <f t="shared" si="18"/>
        <v>0.31805367751614388</v>
      </c>
      <c r="AH32" s="173">
        <f t="shared" si="19"/>
        <v>5.0438803993832648</v>
      </c>
      <c r="AI32" s="173">
        <f t="shared" si="20"/>
        <v>5.0438803993832648</v>
      </c>
      <c r="AJ32" s="173">
        <f t="shared" si="21"/>
        <v>2.4670719007777269</v>
      </c>
      <c r="AL32" s="545">
        <f t="shared" si="22"/>
        <v>675</v>
      </c>
      <c r="AM32" s="460">
        <f t="shared" si="23"/>
        <v>350</v>
      </c>
      <c r="AO32">
        <f t="shared" si="96"/>
        <v>675</v>
      </c>
      <c r="AP32" s="460">
        <f t="shared" si="24"/>
        <v>350</v>
      </c>
      <c r="AQ32" s="460"/>
      <c r="AR32" s="5">
        <f t="shared" si="97"/>
        <v>2.8571428571428572</v>
      </c>
      <c r="AS32" s="5">
        <f t="shared" si="25"/>
        <v>0.8491785020639856</v>
      </c>
      <c r="AT32" s="5">
        <f t="shared" si="98"/>
        <v>2.0079643550788715</v>
      </c>
      <c r="AU32" s="173">
        <f t="shared" si="99"/>
        <v>0.29721247572239495</v>
      </c>
      <c r="AW32" s="5">
        <f t="shared" si="26"/>
        <v>2.0471267460471081</v>
      </c>
      <c r="AX32" s="5">
        <f t="shared" si="27"/>
        <v>0.19106516296439677</v>
      </c>
      <c r="AY32" s="5">
        <f t="shared" si="28"/>
        <v>0.97101540628787875</v>
      </c>
      <c r="AZ32" s="5"/>
      <c r="BA32" s="173">
        <f t="shared" si="100"/>
        <v>1.5875874982616625</v>
      </c>
      <c r="BB32" s="173">
        <f t="shared" si="29"/>
        <v>2.4412720242647077</v>
      </c>
      <c r="BC32" s="173">
        <f t="shared" si="30"/>
        <v>0.24612824506931072</v>
      </c>
      <c r="BD32" s="173"/>
      <c r="BE32" s="528">
        <f t="shared" si="31"/>
        <v>3.0245208775640693E-2</v>
      </c>
      <c r="BF32" s="528">
        <f t="shared" si="32"/>
        <v>1.8251526034303609</v>
      </c>
      <c r="BG32" s="528">
        <f t="shared" si="33"/>
        <v>4.0250000000000001E-2</v>
      </c>
      <c r="BH32" s="528">
        <f t="shared" si="34"/>
        <v>0.553198835648266</v>
      </c>
      <c r="BI32">
        <f t="shared" si="35"/>
        <v>1.2562502487718166E-2</v>
      </c>
      <c r="BJ32" s="460">
        <f t="shared" si="101"/>
        <v>52.81250248771817</v>
      </c>
      <c r="BK32">
        <f t="shared" si="36"/>
        <v>2.4342560550490533</v>
      </c>
      <c r="BL32" s="460">
        <f t="shared" si="102"/>
        <v>2434.2560550490534</v>
      </c>
      <c r="BM32" s="173">
        <f t="shared" si="37"/>
        <v>0.45265499999999997</v>
      </c>
      <c r="BN32" s="173">
        <f t="shared" si="38"/>
        <v>3.23325E-2</v>
      </c>
      <c r="BO32" s="528"/>
      <c r="BQ32" s="460">
        <f t="shared" si="103"/>
        <v>484.98749999999995</v>
      </c>
      <c r="BR32" s="528">
        <f t="shared" si="39"/>
        <v>3.5286076904914143E-2</v>
      </c>
      <c r="BS32" s="528">
        <f t="shared" si="104"/>
        <v>8.3437327350405044E-2</v>
      </c>
      <c r="BT32" s="528">
        <f t="shared" si="40"/>
        <v>3.0289556510449338E-4</v>
      </c>
      <c r="BU32" s="528">
        <f t="shared" si="41"/>
        <v>6.5471465963635351</v>
      </c>
      <c r="BV32" s="528">
        <f t="shared" si="42"/>
        <v>6.7591000617784189</v>
      </c>
      <c r="BW32" s="625">
        <f t="shared" si="43"/>
        <v>0.89042553191489404</v>
      </c>
      <c r="BX32" s="460">
        <f t="shared" si="105"/>
        <v>7649.5255936933127</v>
      </c>
      <c r="BY32" s="173">
        <f t="shared" si="106"/>
        <v>10.568769148742367</v>
      </c>
      <c r="BZ32" s="5">
        <f t="shared" si="107"/>
        <v>20.925000000000004</v>
      </c>
      <c r="CA32" s="173">
        <f t="shared" si="108"/>
        <v>0.66441713918626322</v>
      </c>
      <c r="CB32" s="5">
        <f t="shared" si="109"/>
        <v>66.44171391862632</v>
      </c>
      <c r="CC32">
        <f t="shared" si="110"/>
        <v>27</v>
      </c>
      <c r="CE32" s="562">
        <f t="shared" si="44"/>
        <v>-50</v>
      </c>
      <c r="CF32">
        <f t="shared" si="45"/>
        <v>-50</v>
      </c>
      <c r="CG32" s="173">
        <f t="shared" si="46"/>
        <v>0.27963444447208446</v>
      </c>
      <c r="CH32" s="173">
        <f t="shared" si="47"/>
        <v>9.0681325227219362E-2</v>
      </c>
      <c r="CI32" s="170">
        <v>27</v>
      </c>
      <c r="CJ32" s="217">
        <f t="shared" si="133"/>
        <v>0.67500000000000004</v>
      </c>
      <c r="CK32" s="217">
        <f t="shared" si="111"/>
        <v>6.7500000000000004E-2</v>
      </c>
      <c r="CL32" s="217">
        <f t="shared" si="48"/>
        <v>18.900000000000002</v>
      </c>
      <c r="CM32" s="217">
        <f t="shared" si="134"/>
        <v>2.0250000000000004</v>
      </c>
      <c r="CN32" s="541">
        <f t="shared" si="112"/>
        <v>28</v>
      </c>
      <c r="CO32" s="443">
        <f t="shared" si="49"/>
        <v>28.7</v>
      </c>
      <c r="CP32" s="443">
        <f t="shared" si="50"/>
        <v>56.7</v>
      </c>
      <c r="CQ32" s="443"/>
      <c r="CR32" s="217">
        <f t="shared" si="113"/>
        <v>0.50354609929078009</v>
      </c>
      <c r="CS32" s="172">
        <f t="shared" si="114"/>
        <v>106.12369404407841</v>
      </c>
      <c r="CT32" s="172">
        <f t="shared" si="51"/>
        <v>12.588652482269502</v>
      </c>
      <c r="CU32" s="217">
        <f t="shared" si="52"/>
        <v>3.7901319301456575</v>
      </c>
      <c r="CV32" s="217">
        <f t="shared" si="53"/>
        <v>3.5374564681359471</v>
      </c>
      <c r="CW32" s="443">
        <f t="shared" si="54"/>
        <v>28</v>
      </c>
      <c r="CX32" s="217">
        <f t="shared" si="55"/>
        <v>2.9682344064386328</v>
      </c>
      <c r="CY32" s="217">
        <f t="shared" si="56"/>
        <v>0.49823934679505621</v>
      </c>
      <c r="CZ32" s="217">
        <f t="shared" si="57"/>
        <v>0.48608716760493298</v>
      </c>
      <c r="DA32" s="197">
        <f t="shared" si="58"/>
        <v>350</v>
      </c>
      <c r="DB32" s="443">
        <f t="shared" si="115"/>
        <v>350</v>
      </c>
      <c r="DD32" s="217">
        <f t="shared" si="59"/>
        <v>8.6157079064880477</v>
      </c>
      <c r="DE32" s="173">
        <f t="shared" si="60"/>
        <v>1.4109347442680775</v>
      </c>
      <c r="DF32" s="173">
        <f t="shared" si="61"/>
        <v>2.1273352855526046</v>
      </c>
      <c r="DG32" s="173"/>
      <c r="DH32" s="173">
        <f t="shared" si="62"/>
        <v>0.54587688734030204</v>
      </c>
      <c r="DI32" s="545">
        <f t="shared" si="63"/>
        <v>741.92553191489367</v>
      </c>
      <c r="DJ32" s="528">
        <f t="shared" si="64"/>
        <v>0.31842818428184283</v>
      </c>
      <c r="DL32" s="173">
        <f t="shared" si="65"/>
        <v>5.0438803993832648</v>
      </c>
      <c r="DM32" s="173">
        <f t="shared" si="66"/>
        <v>5.0438803993832648</v>
      </c>
      <c r="DN32" s="173">
        <f t="shared" si="67"/>
        <v>2.4670719007777269</v>
      </c>
      <c r="DP32" s="545">
        <f t="shared" si="68"/>
        <v>675</v>
      </c>
      <c r="DQ32" s="460">
        <f t="shared" si="69"/>
        <v>350</v>
      </c>
      <c r="DS32">
        <f t="shared" si="116"/>
        <v>675</v>
      </c>
      <c r="DT32" s="460">
        <f t="shared" si="70"/>
        <v>350</v>
      </c>
      <c r="DU32" s="460"/>
      <c r="DV32" s="5">
        <f t="shared" si="117"/>
        <v>2.8571428571428572</v>
      </c>
      <c r="DW32" s="5">
        <f t="shared" si="71"/>
        <v>0.84665135275361936</v>
      </c>
      <c r="DX32" s="5">
        <f t="shared" si="118"/>
        <v>2.010491504389238</v>
      </c>
      <c r="DY32" s="173">
        <f t="shared" si="119"/>
        <v>0.29632797346376677</v>
      </c>
      <c r="EA32" s="5">
        <f t="shared" si="72"/>
        <v>2.0410345111024752</v>
      </c>
      <c r="EB32" s="5">
        <f t="shared" si="73"/>
        <v>0.19049655436956436</v>
      </c>
      <c r="EC32" s="5">
        <f t="shared" si="74"/>
        <v>0.96934411818766819</v>
      </c>
      <c r="ED32" s="5"/>
      <c r="EE32" s="173">
        <f t="shared" si="120"/>
        <v>1.5852234134048804</v>
      </c>
      <c r="EF32" s="173">
        <f t="shared" si="75"/>
        <v>2.4428077883221202</v>
      </c>
      <c r="EG32" s="173">
        <f t="shared" si="76"/>
        <v>0.24628308029804985</v>
      </c>
      <c r="EH32" s="173"/>
      <c r="EI32" s="528">
        <f t="shared" si="77"/>
        <v>3.0155199244884242E-2</v>
      </c>
      <c r="EJ32" s="528">
        <f t="shared" si="78"/>
        <v>1.9018203239894571</v>
      </c>
      <c r="EK32" s="528">
        <f t="shared" si="79"/>
        <v>4.0250000000000001E-2</v>
      </c>
      <c r="EL32" s="528">
        <f t="shared" si="80"/>
        <v>0.55416666375000012</v>
      </c>
      <c r="EM32">
        <f t="shared" si="81"/>
        <v>1.26E-2</v>
      </c>
      <c r="EN32" s="460">
        <f t="shared" si="121"/>
        <v>52.85</v>
      </c>
      <c r="EO32">
        <f t="shared" si="82"/>
        <v>2.5655156908900003</v>
      </c>
      <c r="EP32" s="460">
        <f t="shared" si="122"/>
        <v>2565.5156908900003</v>
      </c>
      <c r="EQ32" s="173">
        <f t="shared" si="83"/>
        <v>0.45265499999999997</v>
      </c>
      <c r="ER32" s="173">
        <f t="shared" si="84"/>
        <v>3.23325E-2</v>
      </c>
      <c r="ES32" s="528"/>
      <c r="EU32" s="460">
        <f t="shared" si="123"/>
        <v>484.98749999999995</v>
      </c>
      <c r="EV32" s="528">
        <f t="shared" si="85"/>
        <v>3.5181065785698282E-2</v>
      </c>
      <c r="EW32" s="528">
        <f t="shared" si="124"/>
        <v>8.3542338469620919E-2</v>
      </c>
      <c r="EX32" s="528">
        <f t="shared" si="86"/>
        <v>3.0327677820547836E-4</v>
      </c>
      <c r="EY32" s="528">
        <f t="shared" si="87"/>
        <v>6.5471465963635351</v>
      </c>
      <c r="EZ32" s="528">
        <f t="shared" si="88"/>
        <v>6.7591007471413826</v>
      </c>
      <c r="FA32" s="625">
        <f t="shared" si="89"/>
        <v>0.89042553191489404</v>
      </c>
      <c r="FB32" s="460">
        <f t="shared" si="125"/>
        <v>7649.5262790562765</v>
      </c>
      <c r="FC32" s="173">
        <f t="shared" si="126"/>
        <v>10.700029469946278</v>
      </c>
      <c r="FD32" s="5">
        <f t="shared" si="127"/>
        <v>20.925000000000004</v>
      </c>
      <c r="FE32" s="173">
        <f t="shared" si="128"/>
        <v>0.66165946248003749</v>
      </c>
      <c r="FF32" s="5">
        <f t="shared" si="129"/>
        <v>66.165946248003749</v>
      </c>
      <c r="FG32">
        <f t="shared" si="130"/>
        <v>27</v>
      </c>
      <c r="FI32" s="562">
        <f t="shared" si="90"/>
        <v>-50</v>
      </c>
      <c r="FJ32">
        <f t="shared" si="91"/>
        <v>-50</v>
      </c>
      <c r="FL32">
        <f t="shared" si="92"/>
        <v>0.27963444447208446</v>
      </c>
    </row>
    <row r="33" spans="5:168">
      <c r="E33" s="170">
        <v>28</v>
      </c>
      <c r="F33" s="217">
        <f t="shared" si="131"/>
        <v>0.70000000000000007</v>
      </c>
      <c r="G33" s="217">
        <f t="shared" si="93"/>
        <v>7.0000000000000007E-2</v>
      </c>
      <c r="H33" s="217">
        <f t="shared" si="0"/>
        <v>19.600000000000001</v>
      </c>
      <c r="I33" s="217">
        <f t="shared" si="132"/>
        <v>2.1</v>
      </c>
      <c r="J33" s="541">
        <f t="shared" si="1"/>
        <v>27.915143116837513</v>
      </c>
      <c r="K33" s="443">
        <f t="shared" si="2"/>
        <v>28.734414247420681</v>
      </c>
      <c r="L33" s="172">
        <f t="shared" si="3"/>
        <v>56.649557364258193</v>
      </c>
      <c r="M33" s="443"/>
      <c r="N33" s="217">
        <f t="shared" si="4"/>
        <v>0.50723104617848325</v>
      </c>
      <c r="O33" s="172">
        <f t="shared" si="94"/>
        <v>106.57633412003125</v>
      </c>
      <c r="P33" s="172">
        <f t="shared" si="5"/>
        <v>12.642345756585337</v>
      </c>
      <c r="Q33" s="217">
        <f t="shared" si="6"/>
        <v>3.8062976471439733</v>
      </c>
      <c r="R33" s="217">
        <f t="shared" si="7"/>
        <v>3.5525444706677081</v>
      </c>
      <c r="S33" s="443">
        <f t="shared" si="8"/>
        <v>28</v>
      </c>
      <c r="T33" s="217">
        <f t="shared" si="9"/>
        <v>3.0650957303406545</v>
      </c>
      <c r="U33" s="217">
        <f t="shared" si="10"/>
        <v>0.51606219148888666</v>
      </c>
      <c r="V33" s="217">
        <f t="shared" si="11"/>
        <v>0.50134830689629295</v>
      </c>
      <c r="W33" s="197">
        <f t="shared" si="12"/>
        <v>350</v>
      </c>
      <c r="X33" s="443">
        <f t="shared" si="95"/>
        <v>350</v>
      </c>
      <c r="Z33" s="217">
        <f t="shared" si="13"/>
        <v>8.6075545576751225</v>
      </c>
      <c r="AA33" s="173">
        <f t="shared" si="14"/>
        <v>1.4079112966329053</v>
      </c>
      <c r="AB33" s="173">
        <f t="shared" si="15"/>
        <v>2.1207678271735997</v>
      </c>
      <c r="AC33" s="173"/>
      <c r="AD33" s="173">
        <f t="shared" si="16"/>
        <v>0.54522310883970682</v>
      </c>
      <c r="AE33" s="545">
        <f t="shared" si="17"/>
        <v>770.32685003723532</v>
      </c>
      <c r="AF33" s="528">
        <f t="shared" si="18"/>
        <v>0.31804681348982899</v>
      </c>
      <c r="AH33" s="173">
        <f t="shared" si="19"/>
        <v>5.1364363836617555</v>
      </c>
      <c r="AI33" s="173">
        <f t="shared" si="20"/>
        <v>5.1364363836617555</v>
      </c>
      <c r="AJ33" s="173">
        <f t="shared" si="21"/>
        <v>2.5356318891321648</v>
      </c>
      <c r="AL33" s="545">
        <f t="shared" si="22"/>
        <v>700.00000000000011</v>
      </c>
      <c r="AM33" s="460">
        <f t="shared" si="23"/>
        <v>350</v>
      </c>
      <c r="AO33">
        <f t="shared" si="96"/>
        <v>700.00000000000011</v>
      </c>
      <c r="AP33" s="460">
        <f t="shared" si="24"/>
        <v>350</v>
      </c>
      <c r="AQ33" s="460"/>
      <c r="AR33" s="5">
        <f t="shared" si="97"/>
        <v>2.8571428571428572</v>
      </c>
      <c r="AS33" s="5">
        <f t="shared" si="25"/>
        <v>0.86480842681580328</v>
      </c>
      <c r="AT33" s="5">
        <f t="shared" si="98"/>
        <v>1.992334430327054</v>
      </c>
      <c r="AU33" s="173">
        <f t="shared" si="99"/>
        <v>0.30268294938553114</v>
      </c>
      <c r="AW33" s="5">
        <f t="shared" si="26"/>
        <v>2.1620210670395084</v>
      </c>
      <c r="AX33" s="5">
        <f t="shared" si="27"/>
        <v>0.20178863292368746</v>
      </c>
      <c r="AY33" s="5">
        <f t="shared" si="28"/>
        <v>0.99919537964878968</v>
      </c>
      <c r="AZ33" s="5"/>
      <c r="BA33" s="173">
        <f t="shared" si="100"/>
        <v>1.6315307550044031</v>
      </c>
      <c r="BB33" s="173">
        <f t="shared" si="29"/>
        <v>2.4763751001432541</v>
      </c>
      <c r="BC33" s="173">
        <f t="shared" si="30"/>
        <v>0.24966732567018057</v>
      </c>
      <c r="BD33" s="173"/>
      <c r="BE33" s="528">
        <f t="shared" si="31"/>
        <v>3.1942711254302855E-2</v>
      </c>
      <c r="BF33" s="528">
        <f t="shared" si="32"/>
        <v>1.8586146138157493</v>
      </c>
      <c r="BG33" s="528">
        <f t="shared" si="33"/>
        <v>4.0250000000000001E-2</v>
      </c>
      <c r="BH33" s="528">
        <f t="shared" si="34"/>
        <v>0.55318108375650465</v>
      </c>
      <c r="BI33">
        <f t="shared" si="35"/>
        <v>1.2561814402576881E-2</v>
      </c>
      <c r="BJ33" s="460">
        <f t="shared" si="101"/>
        <v>52.811814402576879</v>
      </c>
      <c r="BK33">
        <f t="shared" si="36"/>
        <v>2.4711177066375547</v>
      </c>
      <c r="BL33" s="460">
        <f t="shared" si="102"/>
        <v>2471.1177066375549</v>
      </c>
      <c r="BM33" s="173">
        <f t="shared" si="37"/>
        <v>0.46941999999999995</v>
      </c>
      <c r="BN33" s="173">
        <f t="shared" si="38"/>
        <v>3.3530000000000004E-2</v>
      </c>
      <c r="BO33" s="528"/>
      <c r="BQ33" s="460">
        <f t="shared" si="103"/>
        <v>502.95</v>
      </c>
      <c r="BR33" s="528">
        <f t="shared" si="39"/>
        <v>3.7266496463353331E-2</v>
      </c>
      <c r="BS33" s="528">
        <f t="shared" si="104"/>
        <v>8.5854070912533165E-2</v>
      </c>
      <c r="BT33" s="528">
        <f t="shared" si="40"/>
        <v>3.1166886753650007E-4</v>
      </c>
      <c r="BU33" s="528">
        <f t="shared" si="41"/>
        <v>6.8516457288270409</v>
      </c>
      <c r="BV33" s="528">
        <f t="shared" si="42"/>
        <v>7.0745600026945548</v>
      </c>
      <c r="BW33" s="625">
        <f t="shared" si="43"/>
        <v>0.92340425531914894</v>
      </c>
      <c r="BX33" s="460">
        <f t="shared" si="105"/>
        <v>7997.9642580137033</v>
      </c>
      <c r="BY33" s="173">
        <f t="shared" si="106"/>
        <v>10.972031964651258</v>
      </c>
      <c r="BZ33" s="5">
        <f t="shared" si="107"/>
        <v>21.700000000000003</v>
      </c>
      <c r="CA33" s="173">
        <f t="shared" si="108"/>
        <v>0.66417662738203154</v>
      </c>
      <c r="CB33" s="5">
        <f t="shared" si="109"/>
        <v>66.417662738203148</v>
      </c>
      <c r="CC33">
        <f t="shared" si="110"/>
        <v>28.000000000000004</v>
      </c>
      <c r="CE33" s="562">
        <f t="shared" si="44"/>
        <v>-50</v>
      </c>
      <c r="CF33">
        <f t="shared" si="45"/>
        <v>-50</v>
      </c>
      <c r="CG33" s="173">
        <f t="shared" si="46"/>
        <v>0.28476577971338951</v>
      </c>
      <c r="CH33" s="173">
        <f t="shared" si="47"/>
        <v>9.2345341549475837E-2</v>
      </c>
      <c r="CI33" s="170">
        <v>28</v>
      </c>
      <c r="CJ33" s="217">
        <f t="shared" si="133"/>
        <v>0.70000000000000007</v>
      </c>
      <c r="CK33" s="217">
        <f t="shared" si="111"/>
        <v>7.0000000000000007E-2</v>
      </c>
      <c r="CL33" s="217">
        <f t="shared" si="48"/>
        <v>19.600000000000001</v>
      </c>
      <c r="CM33" s="217">
        <f t="shared" si="134"/>
        <v>2.1</v>
      </c>
      <c r="CN33" s="541">
        <f t="shared" si="112"/>
        <v>28</v>
      </c>
      <c r="CO33" s="443">
        <f t="shared" si="49"/>
        <v>28.7</v>
      </c>
      <c r="CP33" s="443">
        <f t="shared" si="50"/>
        <v>56.7</v>
      </c>
      <c r="CQ33" s="443"/>
      <c r="CR33" s="217">
        <f t="shared" si="113"/>
        <v>0.50354609929078009</v>
      </c>
      <c r="CS33" s="172">
        <f t="shared" si="114"/>
        <v>106.12369404407841</v>
      </c>
      <c r="CT33" s="172">
        <f t="shared" si="51"/>
        <v>12.588652482269502</v>
      </c>
      <c r="CU33" s="217">
        <f t="shared" si="52"/>
        <v>3.7901319301456575</v>
      </c>
      <c r="CV33" s="217">
        <f t="shared" si="53"/>
        <v>3.5374564681359471</v>
      </c>
      <c r="CW33" s="443">
        <f t="shared" si="54"/>
        <v>28</v>
      </c>
      <c r="CX33" s="217">
        <f t="shared" si="55"/>
        <v>3.0781690140845077</v>
      </c>
      <c r="CY33" s="217">
        <f t="shared" si="56"/>
        <v>0.51669265593561386</v>
      </c>
      <c r="CZ33" s="217">
        <f t="shared" si="57"/>
        <v>0.50409039603474515</v>
      </c>
      <c r="DA33" s="197">
        <f t="shared" si="58"/>
        <v>350</v>
      </c>
      <c r="DB33" s="443">
        <f t="shared" si="115"/>
        <v>350</v>
      </c>
      <c r="DD33" s="217">
        <f t="shared" si="59"/>
        <v>8.6157079064880477</v>
      </c>
      <c r="DE33" s="173">
        <f t="shared" si="60"/>
        <v>1.4109347442680775</v>
      </c>
      <c r="DF33" s="173">
        <f t="shared" si="61"/>
        <v>2.1273352855526046</v>
      </c>
      <c r="DG33" s="173"/>
      <c r="DH33" s="173">
        <f t="shared" si="62"/>
        <v>0.54587688734030204</v>
      </c>
      <c r="DI33" s="545">
        <f t="shared" si="63"/>
        <v>769.404255319149</v>
      </c>
      <c r="DJ33" s="528">
        <f t="shared" si="64"/>
        <v>0.31842818428184283</v>
      </c>
      <c r="DL33" s="173">
        <f t="shared" si="65"/>
        <v>5.1364363836617555</v>
      </c>
      <c r="DM33" s="173">
        <f t="shared" si="66"/>
        <v>5.1364363836617555</v>
      </c>
      <c r="DN33" s="173">
        <f t="shared" si="67"/>
        <v>2.5356318891321648</v>
      </c>
      <c r="DP33" s="545">
        <f t="shared" si="68"/>
        <v>700.00000000000011</v>
      </c>
      <c r="DQ33" s="460">
        <f t="shared" si="69"/>
        <v>350</v>
      </c>
      <c r="DS33">
        <f t="shared" si="116"/>
        <v>700.00000000000011</v>
      </c>
      <c r="DT33" s="460">
        <f t="shared" si="70"/>
        <v>350</v>
      </c>
      <c r="DU33" s="460"/>
      <c r="DV33" s="5">
        <f t="shared" si="117"/>
        <v>2.8571428571428572</v>
      </c>
      <c r="DW33" s="5">
        <f t="shared" si="71"/>
        <v>0.86218753582893748</v>
      </c>
      <c r="DX33" s="5">
        <f t="shared" si="118"/>
        <v>1.9949553213139197</v>
      </c>
      <c r="DY33" s="173">
        <f t="shared" si="119"/>
        <v>0.30176563754012808</v>
      </c>
      <c r="EA33" s="5">
        <f t="shared" si="72"/>
        <v>2.1554688395723436</v>
      </c>
      <c r="EB33" s="5">
        <f t="shared" si="73"/>
        <v>0.20117709169341877</v>
      </c>
      <c r="EC33" s="5">
        <f t="shared" si="74"/>
        <v>0.99747766065695975</v>
      </c>
      <c r="ED33" s="5"/>
      <c r="EE33" s="173">
        <f t="shared" si="120"/>
        <v>1.6290566180743706</v>
      </c>
      <c r="EF33" s="173">
        <f t="shared" si="75"/>
        <v>2.4780033850345817</v>
      </c>
      <c r="EG33" s="173">
        <f t="shared" si="76"/>
        <v>0.24983148881906031</v>
      </c>
      <c r="EH33" s="173"/>
      <c r="EI33" s="528">
        <f t="shared" si="77"/>
        <v>3.1845905578702871E-2</v>
      </c>
      <c r="EJ33" s="528">
        <f t="shared" si="78"/>
        <v>1.9367190206415834</v>
      </c>
      <c r="EK33" s="528">
        <f t="shared" si="79"/>
        <v>4.0250000000000001E-2</v>
      </c>
      <c r="EL33" s="528">
        <f t="shared" si="80"/>
        <v>0.55416666375000012</v>
      </c>
      <c r="EM33">
        <f t="shared" si="81"/>
        <v>1.26E-2</v>
      </c>
      <c r="EN33" s="460">
        <f t="shared" si="121"/>
        <v>52.85</v>
      </c>
      <c r="EO33">
        <f t="shared" si="82"/>
        <v>2.603882488292923</v>
      </c>
      <c r="EP33" s="460">
        <f t="shared" si="122"/>
        <v>2603.882488292923</v>
      </c>
      <c r="EQ33" s="173">
        <f t="shared" si="83"/>
        <v>0.46941999999999995</v>
      </c>
      <c r="ER33" s="173">
        <f t="shared" si="84"/>
        <v>3.3530000000000004E-2</v>
      </c>
      <c r="ES33" s="528"/>
      <c r="EU33" s="460">
        <f t="shared" si="123"/>
        <v>502.95</v>
      </c>
      <c r="EV33" s="528">
        <f t="shared" si="85"/>
        <v>3.7153556508486681E-2</v>
      </c>
      <c r="EW33" s="528">
        <f t="shared" si="124"/>
        <v>8.5967010867399843E-2</v>
      </c>
      <c r="EX33" s="528">
        <f t="shared" si="86"/>
        <v>3.1207886402774126E-4</v>
      </c>
      <c r="EY33" s="528">
        <f t="shared" si="87"/>
        <v>6.8516457288270409</v>
      </c>
      <c r="EZ33" s="528">
        <f t="shared" si="88"/>
        <v>7.0745607505182546</v>
      </c>
      <c r="FA33" s="625">
        <f t="shared" si="89"/>
        <v>0.92340425531914894</v>
      </c>
      <c r="FB33" s="460">
        <f t="shared" si="125"/>
        <v>7997.9650058374036</v>
      </c>
      <c r="FC33" s="173">
        <f t="shared" si="126"/>
        <v>11.104797494130326</v>
      </c>
      <c r="FD33" s="5">
        <f t="shared" si="127"/>
        <v>21.700000000000003</v>
      </c>
      <c r="FE33" s="173">
        <f t="shared" si="128"/>
        <v>0.66148861317868901</v>
      </c>
      <c r="FF33" s="5">
        <f t="shared" si="129"/>
        <v>66.148861317868906</v>
      </c>
      <c r="FG33">
        <f t="shared" si="130"/>
        <v>28.000000000000004</v>
      </c>
      <c r="FI33" s="562">
        <f t="shared" si="90"/>
        <v>-50</v>
      </c>
      <c r="FJ33">
        <f t="shared" si="91"/>
        <v>-50</v>
      </c>
      <c r="FL33">
        <f t="shared" si="92"/>
        <v>0.28476577971338951</v>
      </c>
    </row>
    <row r="34" spans="5:168">
      <c r="E34" s="170">
        <v>29</v>
      </c>
      <c r="F34" s="217">
        <f t="shared" si="131"/>
        <v>0.72499999999999998</v>
      </c>
      <c r="G34" s="217">
        <f t="shared" si="93"/>
        <v>7.2499999999999995E-2</v>
      </c>
      <c r="H34" s="217">
        <f t="shared" si="0"/>
        <v>20.3</v>
      </c>
      <c r="I34" s="217">
        <f t="shared" si="132"/>
        <v>2.1749999999999998</v>
      </c>
      <c r="J34" s="541">
        <f t="shared" si="1"/>
        <v>27.9136411084937</v>
      </c>
      <c r="K34" s="443">
        <f t="shared" si="2"/>
        <v>28.735023396435416</v>
      </c>
      <c r="L34" s="172">
        <f t="shared" si="3"/>
        <v>56.648664504929116</v>
      </c>
      <c r="M34" s="443"/>
      <c r="N34" s="217">
        <f t="shared" si="4"/>
        <v>0.5072497939282421</v>
      </c>
      <c r="O34" s="172">
        <f t="shared" si="94"/>
        <v>106.57453860267997</v>
      </c>
      <c r="P34" s="172">
        <f t="shared" si="5"/>
        <v>12.642132767919943</v>
      </c>
      <c r="Q34" s="217">
        <f t="shared" si="6"/>
        <v>3.8062335215242844</v>
      </c>
      <c r="R34" s="217">
        <f t="shared" si="7"/>
        <v>3.5524846200893321</v>
      </c>
      <c r="S34" s="443">
        <f t="shared" si="8"/>
        <v>28</v>
      </c>
      <c r="T34" s="217">
        <f t="shared" si="9"/>
        <v>3.1746169185369153</v>
      </c>
      <c r="U34" s="217">
        <f t="shared" si="10"/>
        <v>0.53453075000607342</v>
      </c>
      <c r="V34" s="217">
        <f t="shared" si="11"/>
        <v>0.51925134395312222</v>
      </c>
      <c r="W34" s="197">
        <f t="shared" si="12"/>
        <v>350</v>
      </c>
      <c r="X34" s="443">
        <f t="shared" si="95"/>
        <v>350</v>
      </c>
      <c r="Z34" s="217">
        <f t="shared" si="13"/>
        <v>8.6074095441157077</v>
      </c>
      <c r="AA34" s="173">
        <f t="shared" si="14"/>
        <v>1.4078577316335943</v>
      </c>
      <c r="AB34" s="173">
        <f t="shared" si="15"/>
        <v>2.1206514133035159</v>
      </c>
      <c r="AC34" s="173"/>
      <c r="AD34" s="173">
        <f t="shared" si="16"/>
        <v>0.54521155074507854</v>
      </c>
      <c r="AE34" s="545">
        <f t="shared" si="17"/>
        <v>797.85543685847267</v>
      </c>
      <c r="AF34" s="528">
        <f t="shared" si="18"/>
        <v>0.31804007126796247</v>
      </c>
      <c r="AH34" s="173">
        <f t="shared" si="19"/>
        <v>5.2273538203880783</v>
      </c>
      <c r="AI34" s="173">
        <f t="shared" si="20"/>
        <v>5.2273538203880783</v>
      </c>
      <c r="AJ34" s="173">
        <f t="shared" si="21"/>
        <v>2.6029781385590702</v>
      </c>
      <c r="AL34" s="545">
        <f t="shared" si="22"/>
        <v>725</v>
      </c>
      <c r="AM34" s="460">
        <f t="shared" si="23"/>
        <v>350</v>
      </c>
      <c r="AO34">
        <f t="shared" si="96"/>
        <v>725</v>
      </c>
      <c r="AP34" s="460">
        <f t="shared" si="24"/>
        <v>350</v>
      </c>
      <c r="AQ34" s="460"/>
      <c r="AR34" s="5">
        <f t="shared" si="97"/>
        <v>2.8571428571428572</v>
      </c>
      <c r="AS34" s="5">
        <f t="shared" si="25"/>
        <v>0.88016331729464437</v>
      </c>
      <c r="AT34" s="5">
        <f t="shared" si="98"/>
        <v>1.9769795398482128</v>
      </c>
      <c r="AU34" s="173">
        <f t="shared" si="99"/>
        <v>0.30805716105312553</v>
      </c>
      <c r="AW34" s="5">
        <f t="shared" si="26"/>
        <v>2.278994303709347</v>
      </c>
      <c r="AX34" s="5">
        <f t="shared" si="27"/>
        <v>0.21270613501287236</v>
      </c>
      <c r="AY34" s="5">
        <f t="shared" si="28"/>
        <v>1.0269603745487861</v>
      </c>
      <c r="AZ34" s="5"/>
      <c r="BA34" s="173">
        <f t="shared" si="100"/>
        <v>1.6750852865424743</v>
      </c>
      <c r="BB34" s="173">
        <f t="shared" si="29"/>
        <v>2.5104777640887797</v>
      </c>
      <c r="BC34" s="173">
        <f t="shared" si="30"/>
        <v>0.25310554506796712</v>
      </c>
      <c r="BD34" s="173"/>
      <c r="BE34" s="528">
        <f t="shared" si="31"/>
        <v>3.3670928606292998E-2</v>
      </c>
      <c r="BF34" s="528">
        <f t="shared" si="32"/>
        <v>1.8914831893859856</v>
      </c>
      <c r="BG34" s="528">
        <f t="shared" si="33"/>
        <v>4.0250000000000001E-2</v>
      </c>
      <c r="BH34" s="528">
        <f t="shared" si="34"/>
        <v>0.55316364640934879</v>
      </c>
      <c r="BI34">
        <f t="shared" si="35"/>
        <v>1.2561138498822164E-2</v>
      </c>
      <c r="BJ34" s="460">
        <f t="shared" si="101"/>
        <v>52.811138498822167</v>
      </c>
      <c r="BK34">
        <f t="shared" si="36"/>
        <v>2.5074692019210607</v>
      </c>
      <c r="BL34" s="460">
        <f t="shared" si="102"/>
        <v>2507.4692019210606</v>
      </c>
      <c r="BM34" s="173">
        <f t="shared" si="37"/>
        <v>0.48618499999999992</v>
      </c>
      <c r="BN34" s="173">
        <f t="shared" si="38"/>
        <v>3.4727499999999994E-2</v>
      </c>
      <c r="BO34" s="528"/>
      <c r="BQ34" s="460">
        <f t="shared" si="103"/>
        <v>520.91249999999991</v>
      </c>
      <c r="BR34" s="528">
        <f t="shared" si="39"/>
        <v>3.928275004067517E-2</v>
      </c>
      <c r="BS34" s="528">
        <f t="shared" si="104"/>
        <v>8.823498045577878E-2</v>
      </c>
      <c r="BT34" s="528">
        <f t="shared" si="40"/>
        <v>3.2031208472076372E-4</v>
      </c>
      <c r="BU34" s="528">
        <f t="shared" si="41"/>
        <v>7.1588762874759642</v>
      </c>
      <c r="BV34" s="528">
        <f t="shared" si="42"/>
        <v>7.3930040334309037</v>
      </c>
      <c r="BW34" s="625">
        <f t="shared" si="43"/>
        <v>0.95638297872340439</v>
      </c>
      <c r="BX34" s="460">
        <f t="shared" si="105"/>
        <v>8349.3870121543077</v>
      </c>
      <c r="BY34" s="173">
        <f t="shared" si="106"/>
        <v>11.377768714075369</v>
      </c>
      <c r="BZ34" s="5">
        <f t="shared" si="107"/>
        <v>22.475000000000001</v>
      </c>
      <c r="CA34" s="173">
        <f t="shared" si="108"/>
        <v>0.66390433792363057</v>
      </c>
      <c r="CB34" s="5">
        <f t="shared" si="109"/>
        <v>66.390433792363055</v>
      </c>
      <c r="CC34">
        <f t="shared" si="110"/>
        <v>28.999999999999996</v>
      </c>
      <c r="CE34" s="562">
        <f t="shared" si="44"/>
        <v>-50</v>
      </c>
      <c r="CF34">
        <f t="shared" si="45"/>
        <v>-50</v>
      </c>
      <c r="CG34" s="173">
        <f t="shared" si="46"/>
        <v>0.28980627332122755</v>
      </c>
      <c r="CH34" s="173">
        <f t="shared" si="47"/>
        <v>9.3979899270077785E-2</v>
      </c>
      <c r="CI34" s="170">
        <v>29</v>
      </c>
      <c r="CJ34" s="217">
        <f t="shared" si="133"/>
        <v>0.72499999999999998</v>
      </c>
      <c r="CK34" s="217">
        <f t="shared" si="111"/>
        <v>7.2499999999999995E-2</v>
      </c>
      <c r="CL34" s="217">
        <f t="shared" si="48"/>
        <v>20.3</v>
      </c>
      <c r="CM34" s="217">
        <f t="shared" si="134"/>
        <v>2.1749999999999998</v>
      </c>
      <c r="CN34" s="541">
        <f t="shared" si="112"/>
        <v>28</v>
      </c>
      <c r="CO34" s="443">
        <f t="shared" si="49"/>
        <v>28.7</v>
      </c>
      <c r="CP34" s="443">
        <f t="shared" si="50"/>
        <v>56.7</v>
      </c>
      <c r="CQ34" s="443"/>
      <c r="CR34" s="217">
        <f t="shared" si="113"/>
        <v>0.50354609929078009</v>
      </c>
      <c r="CS34" s="172">
        <f t="shared" si="114"/>
        <v>106.12369404407841</v>
      </c>
      <c r="CT34" s="172">
        <f t="shared" si="51"/>
        <v>12.588652482269502</v>
      </c>
      <c r="CU34" s="217">
        <f t="shared" si="52"/>
        <v>3.7901319301456575</v>
      </c>
      <c r="CV34" s="217">
        <f t="shared" si="53"/>
        <v>3.5374564681359471</v>
      </c>
      <c r="CW34" s="443">
        <f t="shared" si="54"/>
        <v>28</v>
      </c>
      <c r="CX34" s="217">
        <f t="shared" si="55"/>
        <v>3.1881036217303826</v>
      </c>
      <c r="CY34" s="217">
        <f t="shared" si="56"/>
        <v>0.5351459650761714</v>
      </c>
      <c r="CZ34" s="217">
        <f t="shared" si="57"/>
        <v>0.52209362446455743</v>
      </c>
      <c r="DA34" s="197">
        <f t="shared" si="58"/>
        <v>350</v>
      </c>
      <c r="DB34" s="443">
        <f t="shared" si="115"/>
        <v>350</v>
      </c>
      <c r="DD34" s="217">
        <f t="shared" si="59"/>
        <v>8.6157079064880477</v>
      </c>
      <c r="DE34" s="173">
        <f t="shared" si="60"/>
        <v>1.4109347442680775</v>
      </c>
      <c r="DF34" s="173">
        <f t="shared" si="61"/>
        <v>2.1273352855526046</v>
      </c>
      <c r="DG34" s="173"/>
      <c r="DH34" s="173">
        <f t="shared" si="62"/>
        <v>0.54587688734030204</v>
      </c>
      <c r="DI34" s="545">
        <f t="shared" si="63"/>
        <v>796.88297872340422</v>
      </c>
      <c r="DJ34" s="528">
        <f t="shared" si="64"/>
        <v>0.31842818428184283</v>
      </c>
      <c r="DL34" s="173">
        <f t="shared" si="65"/>
        <v>5.2273538203880783</v>
      </c>
      <c r="DM34" s="173">
        <f t="shared" si="66"/>
        <v>5.2273538203880783</v>
      </c>
      <c r="DN34" s="173">
        <f t="shared" si="67"/>
        <v>2.6029781385590702</v>
      </c>
      <c r="DP34" s="545">
        <f t="shared" si="68"/>
        <v>725</v>
      </c>
      <c r="DQ34" s="460">
        <f t="shared" si="69"/>
        <v>350</v>
      </c>
      <c r="DS34">
        <f t="shared" si="116"/>
        <v>725</v>
      </c>
      <c r="DT34" s="460">
        <f t="shared" si="70"/>
        <v>350</v>
      </c>
      <c r="DU34" s="460"/>
      <c r="DV34" s="5">
        <f t="shared" si="117"/>
        <v>2.8571428571428572</v>
      </c>
      <c r="DW34" s="5">
        <f t="shared" si="71"/>
        <v>0.87744867699371309</v>
      </c>
      <c r="DX34" s="5">
        <f t="shared" si="118"/>
        <v>1.9796941801491441</v>
      </c>
      <c r="DY34" s="173">
        <f t="shared" si="119"/>
        <v>0.30710703694779956</v>
      </c>
      <c r="EA34" s="5">
        <f t="shared" si="72"/>
        <v>2.271965324358721</v>
      </c>
      <c r="EB34" s="5">
        <f t="shared" si="73"/>
        <v>0.21205009694014731</v>
      </c>
      <c r="EC34" s="5">
        <f t="shared" si="74"/>
        <v>1.0251987718629496</v>
      </c>
      <c r="ED34" s="5"/>
      <c r="EE34" s="173">
        <f t="shared" si="120"/>
        <v>1.6725001040160978</v>
      </c>
      <c r="EF34" s="173">
        <f t="shared" si="75"/>
        <v>2.5122007728765277</v>
      </c>
      <c r="EG34" s="173">
        <f t="shared" si="76"/>
        <v>0.25327925824902697</v>
      </c>
      <c r="EH34" s="173"/>
      <c r="EI34" s="528">
        <f t="shared" si="77"/>
        <v>3.3567079175206294E-2</v>
      </c>
      <c r="EJ34" s="528">
        <f t="shared" si="78"/>
        <v>1.9709998947464271</v>
      </c>
      <c r="EK34" s="528">
        <f t="shared" si="79"/>
        <v>4.0250000000000001E-2</v>
      </c>
      <c r="EL34" s="528">
        <f t="shared" si="80"/>
        <v>0.55416666375000012</v>
      </c>
      <c r="EM34">
        <f t="shared" si="81"/>
        <v>1.26E-2</v>
      </c>
      <c r="EN34" s="460">
        <f t="shared" si="121"/>
        <v>52.85</v>
      </c>
      <c r="EO34">
        <f t="shared" si="82"/>
        <v>2.641715854261582</v>
      </c>
      <c r="EP34" s="460">
        <f t="shared" si="122"/>
        <v>2641.7158542615821</v>
      </c>
      <c r="EQ34" s="173">
        <f t="shared" si="83"/>
        <v>0.48618499999999992</v>
      </c>
      <c r="ER34" s="173">
        <f t="shared" si="84"/>
        <v>3.4727499999999994E-2</v>
      </c>
      <c r="ES34" s="528"/>
      <c r="EU34" s="460">
        <f t="shared" si="123"/>
        <v>520.91249999999991</v>
      </c>
      <c r="EV34" s="528">
        <f t="shared" si="85"/>
        <v>3.9161592371074014E-2</v>
      </c>
      <c r="EW34" s="528">
        <f t="shared" si="124"/>
        <v>8.8356138125379929E-2</v>
      </c>
      <c r="EX34" s="528">
        <f t="shared" si="86"/>
        <v>3.2075191329588654E-4</v>
      </c>
      <c r="EY34" s="528">
        <f t="shared" si="87"/>
        <v>7.1588762874759642</v>
      </c>
      <c r="EZ34" s="528">
        <f t="shared" si="88"/>
        <v>7.3930048472739269</v>
      </c>
      <c r="FA34" s="625">
        <f t="shared" si="89"/>
        <v>0.95638297872340439</v>
      </c>
      <c r="FB34" s="460">
        <f t="shared" si="125"/>
        <v>8349.3878259973317</v>
      </c>
      <c r="FC34" s="173">
        <f t="shared" si="126"/>
        <v>11.512016180258913</v>
      </c>
      <c r="FD34" s="5">
        <f t="shared" si="127"/>
        <v>22.475000000000001</v>
      </c>
      <c r="FE34" s="173">
        <f t="shared" si="128"/>
        <v>0.66128194016203246</v>
      </c>
      <c r="FF34" s="5">
        <f t="shared" si="129"/>
        <v>66.128194016203253</v>
      </c>
      <c r="FG34">
        <f t="shared" si="130"/>
        <v>28.999999999999996</v>
      </c>
      <c r="FI34" s="562">
        <f t="shared" si="90"/>
        <v>-50</v>
      </c>
      <c r="FJ34">
        <f t="shared" si="91"/>
        <v>-50</v>
      </c>
      <c r="FL34">
        <f t="shared" si="92"/>
        <v>0.28980627332122755</v>
      </c>
    </row>
    <row r="35" spans="5:168">
      <c r="E35" s="170">
        <v>30</v>
      </c>
      <c r="F35" s="217">
        <f t="shared" si="131"/>
        <v>0.75</v>
      </c>
      <c r="G35" s="217">
        <f t="shared" si="93"/>
        <v>7.4999999999999997E-2</v>
      </c>
      <c r="H35" s="217">
        <f t="shared" si="0"/>
        <v>21</v>
      </c>
      <c r="I35" s="217">
        <f t="shared" si="132"/>
        <v>2.25</v>
      </c>
      <c r="J35" s="541">
        <f t="shared" si="1"/>
        <v>27.912164781184643</v>
      </c>
      <c r="K35" s="443">
        <f t="shared" si="2"/>
        <v>28.735622130343547</v>
      </c>
      <c r="L35" s="172">
        <f t="shared" si="3"/>
        <v>56.647786911528186</v>
      </c>
      <c r="M35" s="443"/>
      <c r="N35" s="217">
        <f t="shared" si="4"/>
        <v>0.50726822170868713</v>
      </c>
      <c r="O35" s="172">
        <f t="shared" si="94"/>
        <v>106.5727734926233</v>
      </c>
      <c r="P35" s="172">
        <f t="shared" si="5"/>
        <v>12.641923386242304</v>
      </c>
      <c r="Q35" s="217">
        <f t="shared" si="6"/>
        <v>3.8061704818794033</v>
      </c>
      <c r="R35" s="217">
        <f t="shared" si="7"/>
        <v>3.5524257830874433</v>
      </c>
      <c r="S35" s="443">
        <f t="shared" si="8"/>
        <v>28</v>
      </c>
      <c r="T35" s="217">
        <f t="shared" si="9"/>
        <v>3.2841408600877422</v>
      </c>
      <c r="U35" s="217">
        <f t="shared" si="10"/>
        <v>0.55300125101071707</v>
      </c>
      <c r="V35" s="217">
        <f t="shared" si="11"/>
        <v>0.53715426700691549</v>
      </c>
      <c r="W35" s="197">
        <f t="shared" si="12"/>
        <v>350</v>
      </c>
      <c r="X35" s="443">
        <f t="shared" si="95"/>
        <v>350</v>
      </c>
      <c r="Z35" s="217">
        <f t="shared" si="13"/>
        <v>8.6072669863777396</v>
      </c>
      <c r="AA35" s="173">
        <f t="shared" si="14"/>
        <v>1.4078050808323226</v>
      </c>
      <c r="AB35" s="173">
        <f t="shared" si="15"/>
        <v>2.1205369842130066</v>
      </c>
      <c r="AC35" s="173"/>
      <c r="AD35" s="173">
        <f t="shared" si="16"/>
        <v>0.54520019074594384</v>
      </c>
      <c r="AE35" s="545">
        <f t="shared" si="17"/>
        <v>825.38489097795298</v>
      </c>
      <c r="AF35" s="528">
        <f t="shared" si="18"/>
        <v>0.31803344460180061</v>
      </c>
      <c r="AH35" s="173">
        <f t="shared" si="19"/>
        <v>5.3167167691769528</v>
      </c>
      <c r="AI35" s="173">
        <f t="shared" si="20"/>
        <v>5.3167167691769528</v>
      </c>
      <c r="AJ35" s="173">
        <f t="shared" si="21"/>
        <v>2.6691729154397184</v>
      </c>
      <c r="AL35" s="545">
        <f t="shared" si="22"/>
        <v>750</v>
      </c>
      <c r="AM35" s="460">
        <f t="shared" si="23"/>
        <v>350</v>
      </c>
      <c r="AO35">
        <f t="shared" si="96"/>
        <v>750</v>
      </c>
      <c r="AP35" s="460">
        <f t="shared" si="24"/>
        <v>350</v>
      </c>
      <c r="AQ35" s="460"/>
      <c r="AR35" s="5">
        <f t="shared" si="97"/>
        <v>2.8571428571428572</v>
      </c>
      <c r="AS35" s="5">
        <f t="shared" si="25"/>
        <v>0.8952572833754644</v>
      </c>
      <c r="AT35" s="5">
        <f t="shared" si="98"/>
        <v>1.9618855737673928</v>
      </c>
      <c r="AU35" s="173">
        <f t="shared" si="99"/>
        <v>0.31334004918141251</v>
      </c>
      <c r="AW35" s="5">
        <f t="shared" si="26"/>
        <v>2.398010580469994</v>
      </c>
      <c r="AX35" s="5">
        <f t="shared" si="27"/>
        <v>0.22381432084386613</v>
      </c>
      <c r="AY35" s="5">
        <f t="shared" si="28"/>
        <v>1.0543174933657689</v>
      </c>
      <c r="AZ35" s="5"/>
      <c r="BA35" s="173">
        <f t="shared" si="100"/>
        <v>1.7182677999684584</v>
      </c>
      <c r="BB35" s="173">
        <f t="shared" si="29"/>
        <v>2.5436289369338758</v>
      </c>
      <c r="BC35" s="173">
        <f t="shared" si="30"/>
        <v>0.25644783544497274</v>
      </c>
      <c r="BD35" s="173"/>
      <c r="BE35" s="528">
        <f t="shared" si="31"/>
        <v>3.5429330788901356E-2</v>
      </c>
      <c r="BF35" s="528">
        <f t="shared" si="32"/>
        <v>1.9237887741168058</v>
      </c>
      <c r="BG35" s="528">
        <f t="shared" si="33"/>
        <v>4.0250000000000001E-2</v>
      </c>
      <c r="BH35" s="528">
        <f t="shared" si="34"/>
        <v>0.55314650747025174</v>
      </c>
      <c r="BI35">
        <f t="shared" si="35"/>
        <v>1.2560474151533088E-2</v>
      </c>
      <c r="BJ35" s="460">
        <f t="shared" si="101"/>
        <v>52.810474151533086</v>
      </c>
      <c r="BK35">
        <f t="shared" si="36"/>
        <v>2.5433403940041628</v>
      </c>
      <c r="BL35" s="460">
        <f t="shared" si="102"/>
        <v>2543.3403940041626</v>
      </c>
      <c r="BM35" s="173">
        <f t="shared" si="37"/>
        <v>0.5029499999999999</v>
      </c>
      <c r="BN35" s="173">
        <f t="shared" si="38"/>
        <v>3.5924999999999999E-2</v>
      </c>
      <c r="BO35" s="528"/>
      <c r="BQ35" s="460">
        <f t="shared" si="103"/>
        <v>538.87499999999989</v>
      </c>
      <c r="BR35" s="528">
        <f t="shared" si="39"/>
        <v>4.1334219253718246E-2</v>
      </c>
      <c r="BS35" s="528">
        <f t="shared" si="104"/>
        <v>9.058067436330304E-2</v>
      </c>
      <c r="BT35" s="528">
        <f t="shared" si="40"/>
        <v>3.2882746152205908E-4</v>
      </c>
      <c r="BU35" s="528">
        <f t="shared" si="41"/>
        <v>7.4687672978583883</v>
      </c>
      <c r="BV35" s="528">
        <f t="shared" si="42"/>
        <v>7.7143636038943315</v>
      </c>
      <c r="BW35" s="625">
        <f t="shared" si="43"/>
        <v>0.98936170212765961</v>
      </c>
      <c r="BX35" s="460">
        <f t="shared" si="105"/>
        <v>8703.72530602199</v>
      </c>
      <c r="BY35" s="173">
        <f t="shared" si="106"/>
        <v>11.785940700026154</v>
      </c>
      <c r="BZ35" s="5">
        <f t="shared" si="107"/>
        <v>23.25</v>
      </c>
      <c r="CA35" s="173">
        <f t="shared" si="108"/>
        <v>0.66360427422411539</v>
      </c>
      <c r="CB35" s="5">
        <f t="shared" si="109"/>
        <v>66.360427422411533</v>
      </c>
      <c r="CC35">
        <f t="shared" si="110"/>
        <v>30</v>
      </c>
      <c r="CE35" s="562">
        <f t="shared" si="44"/>
        <v>-50</v>
      </c>
      <c r="CF35">
        <f t="shared" si="45"/>
        <v>-50</v>
      </c>
      <c r="CG35" s="173">
        <f t="shared" si="46"/>
        <v>0.29476058558922263</v>
      </c>
      <c r="CH35" s="173">
        <f t="shared" si="47"/>
        <v>9.5586509653499699E-2</v>
      </c>
      <c r="CI35" s="170">
        <v>30</v>
      </c>
      <c r="CJ35" s="217">
        <f t="shared" si="133"/>
        <v>0.75</v>
      </c>
      <c r="CK35" s="217">
        <f t="shared" si="111"/>
        <v>7.4999999999999997E-2</v>
      </c>
      <c r="CL35" s="217">
        <f t="shared" si="48"/>
        <v>21</v>
      </c>
      <c r="CM35" s="217">
        <f t="shared" si="134"/>
        <v>2.25</v>
      </c>
      <c r="CN35" s="541">
        <f t="shared" si="112"/>
        <v>28</v>
      </c>
      <c r="CO35" s="443">
        <f t="shared" si="49"/>
        <v>28.7</v>
      </c>
      <c r="CP35" s="443">
        <f t="shared" si="50"/>
        <v>56.7</v>
      </c>
      <c r="CQ35" s="443"/>
      <c r="CR35" s="217">
        <f t="shared" si="113"/>
        <v>0.50354609929078009</v>
      </c>
      <c r="CS35" s="172">
        <f t="shared" si="114"/>
        <v>106.12369404407841</v>
      </c>
      <c r="CT35" s="172">
        <f t="shared" si="51"/>
        <v>12.588652482269502</v>
      </c>
      <c r="CU35" s="217">
        <f t="shared" si="52"/>
        <v>3.7901319301456575</v>
      </c>
      <c r="CV35" s="217">
        <f t="shared" si="53"/>
        <v>3.5374564681359471</v>
      </c>
      <c r="CW35" s="443">
        <f t="shared" si="54"/>
        <v>28</v>
      </c>
      <c r="CX35" s="217">
        <f t="shared" si="55"/>
        <v>3.298038229376258</v>
      </c>
      <c r="CY35" s="217">
        <f t="shared" si="56"/>
        <v>0.55359927421672905</v>
      </c>
      <c r="CZ35" s="217">
        <f t="shared" si="57"/>
        <v>0.54009685289436971</v>
      </c>
      <c r="DA35" s="197">
        <f t="shared" si="58"/>
        <v>350</v>
      </c>
      <c r="DB35" s="443">
        <f t="shared" si="115"/>
        <v>350</v>
      </c>
      <c r="DD35" s="217">
        <f t="shared" si="59"/>
        <v>8.6157079064880477</v>
      </c>
      <c r="DE35" s="173">
        <f t="shared" si="60"/>
        <v>1.4109347442680775</v>
      </c>
      <c r="DF35" s="173">
        <f t="shared" si="61"/>
        <v>2.1273352855526046</v>
      </c>
      <c r="DG35" s="173"/>
      <c r="DH35" s="173">
        <f t="shared" si="62"/>
        <v>0.54587688734030204</v>
      </c>
      <c r="DI35" s="545">
        <f t="shared" si="63"/>
        <v>824.36170212765956</v>
      </c>
      <c r="DJ35" s="528">
        <f t="shared" si="64"/>
        <v>0.31842818428184283</v>
      </c>
      <c r="DL35" s="173">
        <f t="shared" si="65"/>
        <v>5.3167167691769528</v>
      </c>
      <c r="DM35" s="173">
        <f t="shared" si="66"/>
        <v>5.3167167691769528</v>
      </c>
      <c r="DN35" s="173">
        <f t="shared" si="67"/>
        <v>2.6691729154397184</v>
      </c>
      <c r="DP35" s="545">
        <f t="shared" si="68"/>
        <v>750</v>
      </c>
      <c r="DQ35" s="460">
        <f t="shared" si="69"/>
        <v>350</v>
      </c>
      <c r="DS35">
        <f t="shared" si="116"/>
        <v>750</v>
      </c>
      <c r="DT35" s="460">
        <f t="shared" si="70"/>
        <v>350</v>
      </c>
      <c r="DU35" s="460"/>
      <c r="DV35" s="5">
        <f t="shared" si="117"/>
        <v>2.8571428571428572</v>
      </c>
      <c r="DW35" s="5">
        <f t="shared" si="71"/>
        <v>0.89244888625470276</v>
      </c>
      <c r="DX35" s="5">
        <f t="shared" si="118"/>
        <v>1.9646939708881543</v>
      </c>
      <c r="DY35" s="173">
        <f t="shared" si="119"/>
        <v>0.31235711018914597</v>
      </c>
      <c r="EA35" s="5">
        <f t="shared" si="72"/>
        <v>2.3904880881822392</v>
      </c>
      <c r="EB35" s="5">
        <f t="shared" si="73"/>
        <v>0.22311222156367569</v>
      </c>
      <c r="EC35" s="5">
        <f t="shared" si="74"/>
        <v>1.0525146272615111</v>
      </c>
      <c r="ED35" s="5"/>
      <c r="EE35" s="173">
        <f t="shared" si="120"/>
        <v>1.7155706039749445</v>
      </c>
      <c r="EF35" s="173">
        <f t="shared" si="75"/>
        <v>2.545448861005235</v>
      </c>
      <c r="EG35" s="173">
        <f t="shared" si="76"/>
        <v>0.25663131959315072</v>
      </c>
      <c r="EH35" s="173"/>
      <c r="EI35" s="528">
        <f t="shared" si="77"/>
        <v>3.5318189966675469E-2</v>
      </c>
      <c r="EJ35" s="528">
        <f t="shared" si="78"/>
        <v>2.0046946414020161</v>
      </c>
      <c r="EK35" s="528">
        <f t="shared" si="79"/>
        <v>4.0250000000000001E-2</v>
      </c>
      <c r="EL35" s="528">
        <f t="shared" si="80"/>
        <v>0.55416666375000012</v>
      </c>
      <c r="EM35">
        <f t="shared" si="81"/>
        <v>1.26E-2</v>
      </c>
      <c r="EN35" s="460">
        <f t="shared" si="121"/>
        <v>52.85</v>
      </c>
      <c r="EO35">
        <f t="shared" si="82"/>
        <v>2.6790469015758123</v>
      </c>
      <c r="EP35" s="460">
        <f t="shared" si="122"/>
        <v>2679.0469015758122</v>
      </c>
      <c r="EQ35" s="173">
        <f t="shared" si="83"/>
        <v>0.5029499999999999</v>
      </c>
      <c r="ER35" s="173">
        <f t="shared" si="84"/>
        <v>3.5924999999999999E-2</v>
      </c>
      <c r="ES35" s="528"/>
      <c r="EU35" s="460">
        <f t="shared" si="123"/>
        <v>538.87499999999989</v>
      </c>
      <c r="EV35" s="528">
        <f t="shared" si="85"/>
        <v>4.1204554961121381E-2</v>
      </c>
      <c r="EW35" s="528">
        <f t="shared" si="124"/>
        <v>9.0710338655899878E-2</v>
      </c>
      <c r="EX35" s="528">
        <f t="shared" si="86"/>
        <v>3.2929817098060934E-4</v>
      </c>
      <c r="EY35" s="528">
        <f t="shared" si="87"/>
        <v>7.4687672978583883</v>
      </c>
      <c r="EZ35" s="528">
        <f t="shared" si="88"/>
        <v>7.7143644874192567</v>
      </c>
      <c r="FA35" s="625">
        <f t="shared" si="89"/>
        <v>0.98936170212765961</v>
      </c>
      <c r="FB35" s="460">
        <f t="shared" si="125"/>
        <v>8703.7261895469164</v>
      </c>
      <c r="FC35" s="173">
        <f t="shared" si="126"/>
        <v>11.921648091122728</v>
      </c>
      <c r="FD35" s="5">
        <f t="shared" si="127"/>
        <v>23.25</v>
      </c>
      <c r="FE35" s="173">
        <f t="shared" si="128"/>
        <v>0.66104380266070806</v>
      </c>
      <c r="FF35" s="5">
        <f t="shared" si="129"/>
        <v>66.104380266070805</v>
      </c>
      <c r="FG35">
        <f t="shared" si="130"/>
        <v>30</v>
      </c>
      <c r="FI35" s="562">
        <f t="shared" si="90"/>
        <v>-50</v>
      </c>
      <c r="FJ35">
        <f t="shared" si="91"/>
        <v>-50</v>
      </c>
      <c r="FL35">
        <f t="shared" si="92"/>
        <v>0.29476058558922263</v>
      </c>
    </row>
    <row r="36" spans="5:168">
      <c r="E36" s="170">
        <v>31</v>
      </c>
      <c r="F36" s="217">
        <f t="shared" si="131"/>
        <v>0.77500000000000002</v>
      </c>
      <c r="G36" s="217">
        <f t="shared" si="93"/>
        <v>7.7499999999999999E-2</v>
      </c>
      <c r="H36" s="217">
        <f t="shared" si="0"/>
        <v>21.7</v>
      </c>
      <c r="I36" s="217">
        <f t="shared" si="132"/>
        <v>2.3250000000000002</v>
      </c>
      <c r="J36" s="541">
        <f t="shared" si="1"/>
        <v>27.910712861024187</v>
      </c>
      <c r="K36" s="443">
        <f t="shared" si="2"/>
        <v>28.736210965777691</v>
      </c>
      <c r="L36" s="172">
        <f t="shared" si="3"/>
        <v>56.646923826801881</v>
      </c>
      <c r="M36" s="443"/>
      <c r="N36" s="217">
        <f t="shared" si="4"/>
        <v>0.50728634539165329</v>
      </c>
      <c r="O36" s="172">
        <f t="shared" si="94"/>
        <v>106.57103728151982</v>
      </c>
      <c r="P36" s="172">
        <f t="shared" si="5"/>
        <v>12.641717432629264</v>
      </c>
      <c r="Q36" s="217">
        <f t="shared" si="6"/>
        <v>3.8061084743399936</v>
      </c>
      <c r="R36" s="217">
        <f t="shared" si="7"/>
        <v>3.5523679093839942</v>
      </c>
      <c r="S36" s="443">
        <f t="shared" si="8"/>
        <v>28</v>
      </c>
      <c r="T36" s="217">
        <f t="shared" si="9"/>
        <v>3.3936675094123556</v>
      </c>
      <c r="U36" s="217">
        <f t="shared" si="10"/>
        <v>0.57147366223353324</v>
      </c>
      <c r="V36" s="217">
        <f t="shared" si="11"/>
        <v>0.55505707809680971</v>
      </c>
      <c r="W36" s="197">
        <f t="shared" si="12"/>
        <v>350</v>
      </c>
      <c r="X36" s="443">
        <f t="shared" si="95"/>
        <v>350</v>
      </c>
      <c r="Z36" s="217">
        <f t="shared" si="13"/>
        <v>8.6071267626411991</v>
      </c>
      <c r="AA36" s="173">
        <f t="shared" si="14"/>
        <v>1.4077532988809904</v>
      </c>
      <c r="AB36" s="173">
        <f t="shared" si="15"/>
        <v>2.1204244414491265</v>
      </c>
      <c r="AC36" s="173"/>
      <c r="AD36" s="173">
        <f t="shared" si="16"/>
        <v>0.54518901901591321</v>
      </c>
      <c r="AE36" s="545">
        <f t="shared" si="17"/>
        <v>852.91519781403997</v>
      </c>
      <c r="AF36" s="528">
        <f t="shared" si="18"/>
        <v>0.31802692775928271</v>
      </c>
      <c r="AH36" s="173">
        <f t="shared" si="19"/>
        <v>5.4046023390966518</v>
      </c>
      <c r="AI36" s="173">
        <f t="shared" si="20"/>
        <v>5.4046023390966518</v>
      </c>
      <c r="AJ36" s="173">
        <f t="shared" si="21"/>
        <v>2.7342733376024579</v>
      </c>
      <c r="AL36" s="545">
        <f t="shared" si="22"/>
        <v>775</v>
      </c>
      <c r="AM36" s="460">
        <f t="shared" si="23"/>
        <v>350</v>
      </c>
      <c r="AO36">
        <f t="shared" si="96"/>
        <v>775</v>
      </c>
      <c r="AP36" s="460">
        <f t="shared" si="24"/>
        <v>350</v>
      </c>
      <c r="AQ36" s="460"/>
      <c r="AR36" s="5">
        <f t="shared" si="97"/>
        <v>2.8571428571428572</v>
      </c>
      <c r="AS36" s="5">
        <f t="shared" si="25"/>
        <v>0.91010326824100141</v>
      </c>
      <c r="AT36" s="5">
        <f t="shared" si="98"/>
        <v>1.9470395889018559</v>
      </c>
      <c r="AU36" s="173">
        <f t="shared" si="99"/>
        <v>0.31853614388435048</v>
      </c>
      <c r="AW36" s="5">
        <f t="shared" si="26"/>
        <v>2.5190358317384862</v>
      </c>
      <c r="AX36" s="5">
        <f t="shared" si="27"/>
        <v>0.23511001096225867</v>
      </c>
      <c r="AY36" s="5">
        <f t="shared" si="28"/>
        <v>1.0812734801239088</v>
      </c>
      <c r="AZ36" s="5"/>
      <c r="BA36" s="173">
        <f t="shared" si="100"/>
        <v>1.761093753449346</v>
      </c>
      <c r="BB36" s="173">
        <f t="shared" si="29"/>
        <v>2.5758734970526067</v>
      </c>
      <c r="BC36" s="173">
        <f t="shared" si="30"/>
        <v>0.25969872142415623</v>
      </c>
      <c r="BD36" s="173"/>
      <c r="BE36" s="528">
        <f t="shared" si="31"/>
        <v>3.7217414501259677E-2</v>
      </c>
      <c r="BF36" s="528">
        <f t="shared" si="32"/>
        <v>1.9555592946958533</v>
      </c>
      <c r="BG36" s="528">
        <f t="shared" si="33"/>
        <v>4.0250000000000001E-2</v>
      </c>
      <c r="BH36" s="528">
        <f t="shared" si="34"/>
        <v>0.55312965213693288</v>
      </c>
      <c r="BI36">
        <f t="shared" si="35"/>
        <v>1.2559820787460884E-2</v>
      </c>
      <c r="BJ36" s="460">
        <f t="shared" si="101"/>
        <v>52.809820787460879</v>
      </c>
      <c r="BK36">
        <f t="shared" si="36"/>
        <v>2.5787586590768519</v>
      </c>
      <c r="BL36" s="460">
        <f t="shared" si="102"/>
        <v>2578.7586590768519</v>
      </c>
      <c r="BM36" s="173">
        <f t="shared" si="37"/>
        <v>0.51971499999999993</v>
      </c>
      <c r="BN36" s="173">
        <f t="shared" si="38"/>
        <v>3.7122499999999996E-2</v>
      </c>
      <c r="BO36" s="528"/>
      <c r="BQ36" s="460">
        <f t="shared" si="103"/>
        <v>556.83749999999986</v>
      </c>
      <c r="BR36" s="528">
        <f t="shared" si="39"/>
        <v>4.342031691813629E-2</v>
      </c>
      <c r="BS36" s="528">
        <f t="shared" si="104"/>
        <v>9.2891739819452354E-2</v>
      </c>
      <c r="BT36" s="528">
        <f t="shared" si="40"/>
        <v>3.3721712954670752E-4</v>
      </c>
      <c r="BU36" s="528">
        <f t="shared" si="41"/>
        <v>7.7812519455003404</v>
      </c>
      <c r="BV36" s="528">
        <f t="shared" si="42"/>
        <v>8.0385742720720437</v>
      </c>
      <c r="BW36" s="625">
        <f t="shared" si="43"/>
        <v>1.0223404255319151</v>
      </c>
      <c r="BX36" s="460">
        <f t="shared" si="105"/>
        <v>9060.9146976039592</v>
      </c>
      <c r="BY36" s="173">
        <f t="shared" si="106"/>
        <v>12.196510856680812</v>
      </c>
      <c r="BZ36" s="5">
        <f t="shared" si="107"/>
        <v>24.024999999999999</v>
      </c>
      <c r="CA36" s="173">
        <f t="shared" si="108"/>
        <v>0.66327989727045722</v>
      </c>
      <c r="CB36" s="5">
        <f t="shared" si="109"/>
        <v>66.327989727045718</v>
      </c>
      <c r="CC36">
        <f t="shared" si="110"/>
        <v>31</v>
      </c>
      <c r="CE36" s="562">
        <f t="shared" si="44"/>
        <v>-50</v>
      </c>
      <c r="CF36">
        <f t="shared" si="45"/>
        <v>-50</v>
      </c>
      <c r="CG36" s="173">
        <f t="shared" si="46"/>
        <v>0.29963299147033995</v>
      </c>
      <c r="CH36" s="173">
        <f t="shared" si="47"/>
        <v>9.7166559003924846E-2</v>
      </c>
      <c r="CI36" s="170">
        <v>31</v>
      </c>
      <c r="CJ36" s="217">
        <f t="shared" si="133"/>
        <v>0.77500000000000002</v>
      </c>
      <c r="CK36" s="217">
        <f t="shared" si="111"/>
        <v>7.7499999999999999E-2</v>
      </c>
      <c r="CL36" s="217">
        <f t="shared" si="48"/>
        <v>21.7</v>
      </c>
      <c r="CM36" s="217">
        <f t="shared" si="134"/>
        <v>2.3250000000000002</v>
      </c>
      <c r="CN36" s="541">
        <f t="shared" si="112"/>
        <v>28</v>
      </c>
      <c r="CO36" s="443">
        <f t="shared" si="49"/>
        <v>28.7</v>
      </c>
      <c r="CP36" s="443">
        <f t="shared" si="50"/>
        <v>56.7</v>
      </c>
      <c r="CQ36" s="443"/>
      <c r="CR36" s="217">
        <f t="shared" si="113"/>
        <v>0.50354609929078009</v>
      </c>
      <c r="CS36" s="172">
        <f t="shared" si="114"/>
        <v>106.12369404407841</v>
      </c>
      <c r="CT36" s="172">
        <f t="shared" si="51"/>
        <v>12.588652482269502</v>
      </c>
      <c r="CU36" s="217">
        <f t="shared" si="52"/>
        <v>3.7901319301456575</v>
      </c>
      <c r="CV36" s="217">
        <f t="shared" si="53"/>
        <v>3.5374564681359471</v>
      </c>
      <c r="CW36" s="443">
        <f t="shared" si="54"/>
        <v>28</v>
      </c>
      <c r="CX36" s="217">
        <f t="shared" si="55"/>
        <v>3.4079728370221329</v>
      </c>
      <c r="CY36" s="217">
        <f t="shared" si="56"/>
        <v>0.57205258335728659</v>
      </c>
      <c r="CZ36" s="217">
        <f t="shared" si="57"/>
        <v>0.55810008132418198</v>
      </c>
      <c r="DA36" s="197">
        <f t="shared" si="58"/>
        <v>350</v>
      </c>
      <c r="DB36" s="443">
        <f t="shared" si="115"/>
        <v>350</v>
      </c>
      <c r="DD36" s="217">
        <f t="shared" si="59"/>
        <v>8.6157079064880477</v>
      </c>
      <c r="DE36" s="173">
        <f t="shared" si="60"/>
        <v>1.4109347442680775</v>
      </c>
      <c r="DF36" s="173">
        <f t="shared" si="61"/>
        <v>2.1273352855526046</v>
      </c>
      <c r="DG36" s="173"/>
      <c r="DH36" s="173">
        <f t="shared" si="62"/>
        <v>0.54587688734030204</v>
      </c>
      <c r="DI36" s="545">
        <f t="shared" si="63"/>
        <v>851.84042553191489</v>
      </c>
      <c r="DJ36" s="528">
        <f t="shared" si="64"/>
        <v>0.31842818428184283</v>
      </c>
      <c r="DL36" s="173">
        <f t="shared" si="65"/>
        <v>5.4046023390966518</v>
      </c>
      <c r="DM36" s="173">
        <f t="shared" si="66"/>
        <v>5.4046023390966518</v>
      </c>
      <c r="DN36" s="173">
        <f t="shared" si="67"/>
        <v>2.7342733376024579</v>
      </c>
      <c r="DP36" s="545">
        <f t="shared" si="68"/>
        <v>775</v>
      </c>
      <c r="DQ36" s="460">
        <f t="shared" si="69"/>
        <v>350</v>
      </c>
      <c r="DS36">
        <f t="shared" si="116"/>
        <v>775</v>
      </c>
      <c r="DT36" s="460">
        <f t="shared" si="70"/>
        <v>350</v>
      </c>
      <c r="DU36" s="460"/>
      <c r="DV36" s="5">
        <f t="shared" si="117"/>
        <v>2.8571428571428572</v>
      </c>
      <c r="DW36" s="5">
        <f t="shared" si="71"/>
        <v>0.90720110691979505</v>
      </c>
      <c r="DX36" s="5">
        <f t="shared" si="118"/>
        <v>1.9499417502230623</v>
      </c>
      <c r="DY36" s="173">
        <f t="shared" si="119"/>
        <v>0.31752038742192829</v>
      </c>
      <c r="EA36" s="5">
        <f t="shared" si="72"/>
        <v>2.5110030637958611</v>
      </c>
      <c r="EB36" s="5">
        <f t="shared" si="73"/>
        <v>0.23436028595428038</v>
      </c>
      <c r="EC36" s="5">
        <f t="shared" si="74"/>
        <v>1.0794320403020523</v>
      </c>
      <c r="ED36" s="5"/>
      <c r="EE36" s="173">
        <f t="shared" si="120"/>
        <v>1.7582836002679885</v>
      </c>
      <c r="EF36" s="173">
        <f t="shared" si="75"/>
        <v>2.5777925173071967</v>
      </c>
      <c r="EG36" s="173">
        <f t="shared" si="76"/>
        <v>0.25989219641703704</v>
      </c>
      <c r="EH36" s="173"/>
      <c r="EI36" s="528">
        <f t="shared" si="77"/>
        <v>3.709873462765631E-2</v>
      </c>
      <c r="EJ36" s="528">
        <f t="shared" si="78"/>
        <v>2.0378323349680882</v>
      </c>
      <c r="EK36" s="528">
        <f t="shared" si="79"/>
        <v>4.0250000000000001E-2</v>
      </c>
      <c r="EL36" s="528">
        <f t="shared" si="80"/>
        <v>0.55416666375000012</v>
      </c>
      <c r="EM36">
        <f t="shared" si="81"/>
        <v>1.26E-2</v>
      </c>
      <c r="EN36" s="460">
        <f t="shared" si="121"/>
        <v>52.85</v>
      </c>
      <c r="EO36">
        <f t="shared" si="82"/>
        <v>2.7159041617011495</v>
      </c>
      <c r="EP36" s="460">
        <f t="shared" si="122"/>
        <v>2715.9041617011494</v>
      </c>
      <c r="EQ36" s="173">
        <f t="shared" si="83"/>
        <v>0.51971499999999993</v>
      </c>
      <c r="ER36" s="173">
        <f t="shared" si="84"/>
        <v>3.7122499999999996E-2</v>
      </c>
      <c r="ES36" s="528"/>
      <c r="EU36" s="460">
        <f t="shared" si="123"/>
        <v>556.83749999999986</v>
      </c>
      <c r="EV36" s="528">
        <f t="shared" si="85"/>
        <v>4.3281857065599033E-2</v>
      </c>
      <c r="EW36" s="528">
        <f t="shared" si="124"/>
        <v>9.3030199671989638E-2</v>
      </c>
      <c r="EX36" s="528">
        <f t="shared" si="86"/>
        <v>3.3771976879235882E-4</v>
      </c>
      <c r="EY36" s="528">
        <f t="shared" si="87"/>
        <v>7.7812519455003404</v>
      </c>
      <c r="EZ36" s="528">
        <f t="shared" si="88"/>
        <v>8.0385752290465682</v>
      </c>
      <c r="FA36" s="625">
        <f t="shared" si="89"/>
        <v>1.0223404255319151</v>
      </c>
      <c r="FB36" s="460">
        <f t="shared" si="125"/>
        <v>9060.9156545784826</v>
      </c>
      <c r="FC36" s="173">
        <f t="shared" si="126"/>
        <v>12.333657316279632</v>
      </c>
      <c r="FD36" s="5">
        <f t="shared" si="127"/>
        <v>24.024999999999999</v>
      </c>
      <c r="FE36" s="173">
        <f t="shared" si="128"/>
        <v>0.66077797623298851</v>
      </c>
      <c r="FF36" s="5">
        <f t="shared" si="129"/>
        <v>66.077797623298849</v>
      </c>
      <c r="FG36">
        <f t="shared" si="130"/>
        <v>31</v>
      </c>
      <c r="FI36" s="562">
        <f t="shared" si="90"/>
        <v>-50</v>
      </c>
      <c r="FJ36">
        <f t="shared" si="91"/>
        <v>-50</v>
      </c>
      <c r="FL36">
        <f t="shared" si="92"/>
        <v>0.29963299147033995</v>
      </c>
    </row>
    <row r="37" spans="5:168">
      <c r="E37" s="170">
        <v>32</v>
      </c>
      <c r="F37" s="217">
        <f t="shared" si="131"/>
        <v>0.8</v>
      </c>
      <c r="G37" s="217">
        <f t="shared" si="93"/>
        <v>0.08</v>
      </c>
      <c r="H37" s="217">
        <f t="shared" ref="H37:H68" si="135">F37*Vout</f>
        <v>22.400000000000002</v>
      </c>
      <c r="I37" s="217">
        <f t="shared" si="132"/>
        <v>2.4</v>
      </c>
      <c r="J37" s="541">
        <f t="shared" ref="J37:J68" si="136">Vin-(F37/CG37/Nps+G37/CH37/(Nps/Nsec1sec2))*(Rdcr_pri+RON/1000)</f>
        <v>27.909284176084704</v>
      </c>
      <c r="K37" s="443">
        <f t="shared" ref="K37:K68" si="137">MAX((S37+Vfwd2+Rdcr_sec*F37/CG37)*Nps,(Vout2+Vfwd22+Rdcr_sec2*G37/CH37)*Nps/Nsec1sec2)</f>
        <v>28.73679037802053</v>
      </c>
      <c r="L37" s="172">
        <f t="shared" ref="L37:L68" si="138">MAX((Vout+Vfwd2+F37/CG37*Rdcr_sec)*Nps+J37, (Vout2+Vfwd22+G37/CH37*Rdcr_sec2)*Nps/Nsec1sec2+J37)</f>
        <v>56.646074554105233</v>
      </c>
      <c r="M37" s="443"/>
      <c r="N37" s="217">
        <f t="shared" ref="N37:N68" si="139">MAX((Vout+Vfwd2+F37/CG37*Rdcr_sec)*Nps/((Vout+Vfwd2+F37/CG37*Rdcr_sec)*Nps+J37), (Vout2+Vfwd22+G37/CH37*Rdcr_sec2)*Nps/Nsec1sec2/((Vout2+Vfwd22+G37/CH37*Rdcr_sec2)*Nps/Nsec1sec2+J37))</f>
        <v>0.50730417957863472</v>
      </c>
      <c r="O37" s="172">
        <f t="shared" si="94"/>
        <v>106.569328581752</v>
      </c>
      <c r="P37" s="172">
        <f t="shared" ref="P37:P68" si="140">N37*J37*Isw_max*0.5*Efficiency*(Pout2/Pout_total)</f>
        <v>12.641514742478234</v>
      </c>
      <c r="Q37" s="217">
        <f t="shared" si="6"/>
        <v>3.8060474493482856</v>
      </c>
      <c r="R37" s="217">
        <f t="shared" ref="R37:R68" si="141">O37/Vout2</f>
        <v>3.5523109527250667</v>
      </c>
      <c r="S37" s="443">
        <f t="shared" ref="S37:S68" si="142">MIN(Vout,O37/F37)</f>
        <v>28</v>
      </c>
      <c r="T37" s="217">
        <f t="shared" ref="T37:T68" si="143">MIN(2*(Vout*F37+Vout2*G37)/(Efficiency*J37*N37), Isw_max)</f>
        <v>3.5031968231547976</v>
      </c>
      <c r="U37" s="217">
        <f t="shared" si="10"/>
        <v>0.58994795298033231</v>
      </c>
      <c r="V37" s="217">
        <f t="shared" si="11"/>
        <v>0.57295977916242535</v>
      </c>
      <c r="W37" s="197">
        <f t="shared" si="12"/>
        <v>350</v>
      </c>
      <c r="X37" s="443">
        <f t="shared" si="95"/>
        <v>350</v>
      </c>
      <c r="Z37" s="217">
        <f t="shared" si="13"/>
        <v>8.606988760836245</v>
      </c>
      <c r="AA37" s="173">
        <f t="shared" si="14"/>
        <v>1.4077023440610439</v>
      </c>
      <c r="AB37" s="173">
        <f t="shared" ref="AB37:AB68" si="144">0.5*AA37*Z37*Nps*W37/1000*(Pout/Pout_total)</f>
        <v>2.1203136944388419</v>
      </c>
      <c r="AC37" s="173"/>
      <c r="AD37" s="173">
        <f t="shared" si="16"/>
        <v>0.5451780265150763</v>
      </c>
      <c r="AE37" s="545">
        <f t="shared" ref="AE37:AE68" si="145">MAX(10, F37/(0.5*AD37/1000000*Isw_min*Nps)/1000*Pout_total/Pout)</f>
        <v>880.44634349679927</v>
      </c>
      <c r="AF37" s="528">
        <f t="shared" ref="AF37:AF68" si="146">0.5*AD37/1000000*Isw_min*Nps*W37*1000*(Pout/Pout_total)</f>
        <v>0.3180205154671279</v>
      </c>
      <c r="AH37" s="173">
        <f t="shared" ref="AH37:AH68" si="147">SQRT((H37+I37)/(0.5*L*Fsw_DCM))</f>
        <v>5.4910814676064108</v>
      </c>
      <c r="AI37" s="173">
        <f t="shared" ref="AI37:AI68" si="148">MAX(IF(F37&gt;AB37,T37,AH37),Isw_min)</f>
        <v>5.4910814676064108</v>
      </c>
      <c r="AJ37" s="173">
        <f t="shared" ref="AJ37:AJ68" si="149">IF(F37&gt;AF37, (AI37-Isw_min)/1.08*0.8+1.2, AE37*0.2/350+1)</f>
        <v>2.7983319513133909</v>
      </c>
      <c r="AL37" s="545">
        <f t="shared" ref="AL37:AL68" si="150">F37*1000</f>
        <v>800</v>
      </c>
      <c r="AM37" s="460">
        <f t="shared" ref="AM37:AM68" si="151">IF(F37&gt;AF37, X37, AE37)</f>
        <v>350</v>
      </c>
      <c r="AO37">
        <f t="shared" si="96"/>
        <v>800</v>
      </c>
      <c r="AP37" s="460">
        <f t="shared" si="24"/>
        <v>350</v>
      </c>
      <c r="AQ37" s="460"/>
      <c r="AR37" s="5">
        <f t="shared" si="97"/>
        <v>2.8571428571428572</v>
      </c>
      <c r="AS37" s="5">
        <f t="shared" si="25"/>
        <v>0.92471317913144191</v>
      </c>
      <c r="AT37" s="5">
        <f t="shared" si="98"/>
        <v>1.9324296780114154</v>
      </c>
      <c r="AU37" s="173">
        <f t="shared" si="99"/>
        <v>0.32364961269600467</v>
      </c>
      <c r="AW37" s="5">
        <f t="shared" ref="AW37:AW68" si="152">F37*AS37/Vout_ripple*1000</f>
        <v>2.6420376546612627</v>
      </c>
      <c r="AX37" s="5">
        <f t="shared" ref="AX37:AX68" si="153">G37*AS37/Vout_ripple2*1000</f>
        <v>0.24659018110171785</v>
      </c>
      <c r="AY37" s="5">
        <f t="shared" si="28"/>
        <v>1.107834749652119</v>
      </c>
      <c r="AZ37" s="5"/>
      <c r="BA37" s="173">
        <f t="shared" si="100"/>
        <v>1.8035774867478003</v>
      </c>
      <c r="BB37" s="173">
        <f t="shared" ref="BB37:BB68" si="154">AI37*Npri_sec1*SQRT((1-AU37)/3)*(Pout/Pout_total)</f>
        <v>2.6072527323973302</v>
      </c>
      <c r="BC37" s="173">
        <f t="shared" ref="BC37:BC68" si="155">AI37*Npri_sec2*SQRT((1-AU37)/3)*(Pout2/Pout_total)</f>
        <v>0.26286236564333737</v>
      </c>
      <c r="BD37" s="173"/>
      <c r="BE37" s="528">
        <f t="shared" si="31"/>
        <v>3.9034701008442141E-2</v>
      </c>
      <c r="BF37" s="528">
        <f t="shared" ref="BF37:BF68" si="156">0.5*L37*AI37*AM37*1000*Tfall</f>
        <v>1.9868204426314107</v>
      </c>
      <c r="BG37" s="528">
        <f t="shared" si="33"/>
        <v>4.0250000000000001E-2</v>
      </c>
      <c r="BH37" s="528">
        <f t="shared" si="34"/>
        <v>0.55311306679184669</v>
      </c>
      <c r="BI37">
        <f t="shared" si="35"/>
        <v>1.2559177879238116E-2</v>
      </c>
      <c r="BJ37" s="460">
        <f t="shared" si="101"/>
        <v>52.809177879238121</v>
      </c>
      <c r="BK37">
        <f t="shared" ref="BK37:BK68" si="157">(BF37+BG37*0+BH37+BI37*0+BE37*(1+RdsonTC*(Ta-25)))/(1-BE37*RdsonTC*ThetaJA)</f>
        <v>2.6137491753185205</v>
      </c>
      <c r="BL37" s="460">
        <f t="shared" si="102"/>
        <v>2613.7491753185204</v>
      </c>
      <c r="BM37" s="173">
        <f t="shared" ref="BM37:BM68" si="158">Vfwd2*F37*(1+Diode_TC/1000*(Ta-25))</f>
        <v>0.53647999999999996</v>
      </c>
      <c r="BN37" s="173">
        <f t="shared" ref="BN37:BN68" si="159">Vfwd22*G37*(1+Diode_TC/1000*(Ta-25))</f>
        <v>3.832E-2</v>
      </c>
      <c r="BO37" s="528"/>
      <c r="BQ37" s="460">
        <f t="shared" si="103"/>
        <v>574.79999999999995</v>
      </c>
      <c r="BR37" s="528">
        <f t="shared" si="39"/>
        <v>4.5540484509849169E-2</v>
      </c>
      <c r="BS37" s="528">
        <f t="shared" si="104"/>
        <v>9.5168735348306832E-2</v>
      </c>
      <c r="BT37" s="528">
        <f t="shared" ref="BT37:BT68" si="160">Rdcr_sec2*BC37^2</f>
        <v>3.4548311635805795E-4</v>
      </c>
      <c r="BU37" s="528">
        <f t="shared" si="41"/>
        <v>8.0962672050946107</v>
      </c>
      <c r="BV37" s="528">
        <f t="shared" ref="BV37:BV68" si="161">(BU37+(BR37+BS37+BT37)*(1+Ltc*(Ta-25)))/(1-(BR37+BS37+BT37)*Ltc*ThetaCa)</f>
        <v>8.365575336325108</v>
      </c>
      <c r="BW37" s="625">
        <f t="shared" ref="BW37:BW68" si="162">0.5*Lleak*0.000000001*AI37^2*AM37*1000</f>
        <v>1.0553191489361702</v>
      </c>
      <c r="BX37" s="460">
        <f t="shared" si="105"/>
        <v>9420.8944852612785</v>
      </c>
      <c r="BY37" s="173">
        <f t="shared" si="106"/>
        <v>12.609443660579799</v>
      </c>
      <c r="BZ37" s="5">
        <f t="shared" si="107"/>
        <v>24.8</v>
      </c>
      <c r="CA37" s="173">
        <f t="shared" si="108"/>
        <v>0.66293421054355328</v>
      </c>
      <c r="CB37" s="5">
        <f t="shared" si="109"/>
        <v>66.293421054355335</v>
      </c>
      <c r="CC37">
        <f t="shared" si="110"/>
        <v>32</v>
      </c>
      <c r="CE37" s="562">
        <f t="shared" ref="CE37:CE68" si="163">IF(ABS(F37-Ioutmax_Vinnom)&lt;Iout/200, AM37, -50)</f>
        <v>-50</v>
      </c>
      <c r="CF37">
        <f t="shared" ref="CF37:CF68" si="164">IF(ABS(F37-Ioutmax_Vinnom)&lt;Iout/200, (O37+P37)*CA37, -50)</f>
        <v>-50</v>
      </c>
      <c r="CG37" s="173">
        <f t="shared" ref="CG37:CG68" si="165">MIN(SQRT(2*DT37*1000*Ls1_*(CL37+CJ37*Vfwd1))/(CW37+Vfwd1), 1-DY37)</f>
        <v>0.30442742376144138</v>
      </c>
      <c r="CH37" s="173">
        <f t="shared" ref="CH37:CH68" si="166">MIN(SQRT(2*DT37*1000*Ls2_*(CM37+CK37*Vfwd22))/(Vout2+Vfwd22), 1-DY37)</f>
        <v>9.8721322669359679E-2</v>
      </c>
      <c r="CI37" s="170">
        <v>32</v>
      </c>
      <c r="CJ37" s="217">
        <f t="shared" si="133"/>
        <v>0.8</v>
      </c>
      <c r="CK37" s="217">
        <f t="shared" si="111"/>
        <v>0.08</v>
      </c>
      <c r="CL37" s="217">
        <f t="shared" si="48"/>
        <v>22.400000000000002</v>
      </c>
      <c r="CM37" s="217">
        <f t="shared" si="134"/>
        <v>2.4</v>
      </c>
      <c r="CN37" s="541">
        <f t="shared" si="112"/>
        <v>28</v>
      </c>
      <c r="CO37" s="443">
        <f t="shared" ref="CO37:CO68" si="167">(CW37+Vfwd2)*Nps</f>
        <v>28.7</v>
      </c>
      <c r="CP37" s="443">
        <f t="shared" ref="CP37:CP68" si="168">(Vout+Vfwd2)*Nps+CN37</f>
        <v>56.7</v>
      </c>
      <c r="CQ37" s="443"/>
      <c r="CR37" s="217">
        <f t="shared" si="113"/>
        <v>0.50354609929078009</v>
      </c>
      <c r="CS37" s="172">
        <f t="shared" si="114"/>
        <v>106.12369404407841</v>
      </c>
      <c r="CT37" s="172">
        <f t="shared" si="51"/>
        <v>12.588652482269502</v>
      </c>
      <c r="CU37" s="217">
        <f t="shared" si="52"/>
        <v>3.7901319301456575</v>
      </c>
      <c r="CV37" s="217">
        <f t="shared" si="53"/>
        <v>3.5374564681359471</v>
      </c>
      <c r="CW37" s="443">
        <f t="shared" si="54"/>
        <v>28</v>
      </c>
      <c r="CX37" s="217">
        <f t="shared" si="55"/>
        <v>3.5179074446680083</v>
      </c>
      <c r="CY37" s="217">
        <f t="shared" si="56"/>
        <v>0.59050589249784424</v>
      </c>
      <c r="CZ37" s="217">
        <f t="shared" si="57"/>
        <v>0.57610330975399449</v>
      </c>
      <c r="DA37" s="197">
        <f t="shared" si="58"/>
        <v>350</v>
      </c>
      <c r="DB37" s="443">
        <f t="shared" si="115"/>
        <v>350</v>
      </c>
      <c r="DD37" s="217">
        <f t="shared" si="59"/>
        <v>8.6157079064880477</v>
      </c>
      <c r="DE37" s="173">
        <f t="shared" si="60"/>
        <v>1.4109347442680775</v>
      </c>
      <c r="DF37" s="173">
        <f t="shared" si="61"/>
        <v>2.1273352855526046</v>
      </c>
      <c r="DG37" s="173"/>
      <c r="DH37" s="173">
        <f t="shared" si="62"/>
        <v>0.54587688734030204</v>
      </c>
      <c r="DI37" s="545">
        <f t="shared" si="63"/>
        <v>879.31914893617022</v>
      </c>
      <c r="DJ37" s="528">
        <f t="shared" si="64"/>
        <v>0.31842818428184283</v>
      </c>
      <c r="DL37" s="173">
        <f t="shared" si="65"/>
        <v>5.4910814676064108</v>
      </c>
      <c r="DM37" s="173">
        <f t="shared" si="66"/>
        <v>5.4910814676064108</v>
      </c>
      <c r="DN37" s="173">
        <f t="shared" si="67"/>
        <v>2.7983319513133909</v>
      </c>
      <c r="DP37" s="545">
        <f t="shared" si="68"/>
        <v>800</v>
      </c>
      <c r="DQ37" s="460">
        <f t="shared" si="69"/>
        <v>350</v>
      </c>
      <c r="DS37">
        <f t="shared" si="116"/>
        <v>800</v>
      </c>
      <c r="DT37" s="460">
        <f t="shared" si="70"/>
        <v>350</v>
      </c>
      <c r="DU37" s="460"/>
      <c r="DV37" s="5">
        <f t="shared" si="117"/>
        <v>2.8571428571428572</v>
      </c>
      <c r="DW37" s="5">
        <f t="shared" si="71"/>
        <v>0.92171724634821894</v>
      </c>
      <c r="DX37" s="5">
        <f t="shared" si="118"/>
        <v>1.9354256107946384</v>
      </c>
      <c r="DY37" s="173">
        <f t="shared" si="119"/>
        <v>0.32260103622187664</v>
      </c>
      <c r="EA37" s="5">
        <f t="shared" si="72"/>
        <v>2.633477846709197</v>
      </c>
      <c r="EB37" s="5">
        <f t="shared" si="73"/>
        <v>0.24579126569285836</v>
      </c>
      <c r="EC37" s="5">
        <f t="shared" si="74"/>
        <v>1.1059574918826505</v>
      </c>
      <c r="ED37" s="5"/>
      <c r="EE37" s="173">
        <f t="shared" si="120"/>
        <v>1.8006534554396196</v>
      </c>
      <c r="EF37" s="173">
        <f t="shared" si="75"/>
        <v>2.6092730203468966</v>
      </c>
      <c r="EG37" s="173">
        <f t="shared" si="76"/>
        <v>0.26306605041202319</v>
      </c>
      <c r="EH37" s="173"/>
      <c r="EI37" s="528">
        <f t="shared" si="77"/>
        <v>3.8908234399039711E-2</v>
      </c>
      <c r="EJ37" s="528">
        <f t="shared" si="78"/>
        <v>2.0704397227683353</v>
      </c>
      <c r="EK37" s="528">
        <f t="shared" si="79"/>
        <v>4.0250000000000001E-2</v>
      </c>
      <c r="EL37" s="528">
        <f t="shared" si="80"/>
        <v>0.55416666375000012</v>
      </c>
      <c r="EM37">
        <f t="shared" si="81"/>
        <v>1.26E-2</v>
      </c>
      <c r="EN37" s="460">
        <f t="shared" si="121"/>
        <v>52.85</v>
      </c>
      <c r="EO37">
        <f t="shared" si="82"/>
        <v>2.7523138754059118</v>
      </c>
      <c r="EP37" s="460">
        <f t="shared" si="122"/>
        <v>2752.3138754059119</v>
      </c>
      <c r="EQ37" s="173">
        <f t="shared" si="83"/>
        <v>0.53647999999999996</v>
      </c>
      <c r="ER37" s="173">
        <f t="shared" ref="ER37:ER68" si="169">Vfwd22*CK37*(1+Diode_TC/1000*(Ta-25))</f>
        <v>3.832E-2</v>
      </c>
      <c r="ES37" s="528"/>
      <c r="EU37" s="460">
        <f t="shared" si="123"/>
        <v>574.79999999999995</v>
      </c>
      <c r="EV37" s="528">
        <f t="shared" si="85"/>
        <v>4.5392940132212997E-2</v>
      </c>
      <c r="EW37" s="528">
        <f t="shared" si="124"/>
        <v>9.5316279725943032E-2</v>
      </c>
      <c r="EX37" s="528">
        <f t="shared" si="86"/>
        <v>3.4601873439690561E-4</v>
      </c>
      <c r="EY37" s="528">
        <f t="shared" si="87"/>
        <v>8.0962672050946107</v>
      </c>
      <c r="EZ37" s="528">
        <f t="shared" si="88"/>
        <v>8.3655763706231738</v>
      </c>
      <c r="FA37" s="625">
        <f t="shared" si="89"/>
        <v>1.0553191489361702</v>
      </c>
      <c r="FB37" s="460">
        <f t="shared" si="125"/>
        <v>9420.8955195593444</v>
      </c>
      <c r="FC37" s="173">
        <f t="shared" si="126"/>
        <v>12.748009394965257</v>
      </c>
      <c r="FD37" s="5">
        <f t="shared" si="127"/>
        <v>24.8</v>
      </c>
      <c r="FE37" s="173">
        <f t="shared" si="128"/>
        <v>0.66048774354800788</v>
      </c>
      <c r="FF37" s="5">
        <f t="shared" si="129"/>
        <v>66.048774354800784</v>
      </c>
      <c r="FG37">
        <f t="shared" si="130"/>
        <v>32</v>
      </c>
      <c r="FI37" s="562">
        <f t="shared" si="90"/>
        <v>-50</v>
      </c>
      <c r="FJ37">
        <f t="shared" si="91"/>
        <v>-50</v>
      </c>
      <c r="FL37">
        <f t="shared" si="92"/>
        <v>0.30442742376144138</v>
      </c>
    </row>
    <row r="38" spans="5:168">
      <c r="E38" s="170">
        <v>33</v>
      </c>
      <c r="F38" s="217">
        <f t="shared" si="131"/>
        <v>0.82500000000000007</v>
      </c>
      <c r="G38" s="217">
        <f t="shared" ref="G38:G69" si="170">IF(PLOT_TYPE=1, E38/100*Iout2, min_I*EXP(Q38*rr/100))</f>
        <v>8.2500000000000004E-2</v>
      </c>
      <c r="H38" s="217">
        <f t="shared" si="135"/>
        <v>23.1</v>
      </c>
      <c r="I38" s="217">
        <f t="shared" si="132"/>
        <v>2.4750000000000001</v>
      </c>
      <c r="J38" s="541">
        <f t="shared" si="136"/>
        <v>27.907877645325492</v>
      </c>
      <c r="K38" s="443">
        <f t="shared" si="137"/>
        <v>28.737360805494983</v>
      </c>
      <c r="L38" s="172">
        <f t="shared" si="138"/>
        <v>56.645238450820472</v>
      </c>
      <c r="M38" s="443"/>
      <c r="N38" s="217">
        <f t="shared" si="139"/>
        <v>0.50732173773873024</v>
      </c>
      <c r="O38" s="172">
        <f t="shared" ref="O38:O69" si="171">N38*J38*Isw_max*0.5*Efficiency*Pout/(Pout+Pout2)</f>
        <v>106.56764611331693</v>
      </c>
      <c r="P38" s="172">
        <f t="shared" si="140"/>
        <v>12.641315163952136</v>
      </c>
      <c r="Q38" s="217">
        <f t="shared" si="6"/>
        <v>3.80598736118989</v>
      </c>
      <c r="R38" s="217">
        <f t="shared" si="141"/>
        <v>3.5522548704438974</v>
      </c>
      <c r="S38" s="443">
        <f t="shared" si="142"/>
        <v>28</v>
      </c>
      <c r="T38" s="217">
        <f t="shared" si="143"/>
        <v>3.6127287600086122</v>
      </c>
      <c r="U38" s="217">
        <f t="shared" si="10"/>
        <v>0.60842409400789965</v>
      </c>
      <c r="V38" s="217">
        <f t="shared" si="11"/>
        <v>0.59086237205170555</v>
      </c>
      <c r="W38" s="197">
        <f t="shared" si="12"/>
        <v>350</v>
      </c>
      <c r="X38" s="443">
        <f t="shared" si="95"/>
        <v>350</v>
      </c>
      <c r="Z38" s="217">
        <f t="shared" si="13"/>
        <v>8.6068528775844335</v>
      </c>
      <c r="AA38" s="173">
        <f t="shared" si="14"/>
        <v>1.4076521778893423</v>
      </c>
      <c r="AB38" s="173">
        <f t="shared" si="144"/>
        <v>2.1202046596333539</v>
      </c>
      <c r="AC38" s="173"/>
      <c r="AD38" s="173">
        <f t="shared" si="16"/>
        <v>0.54516720490459869</v>
      </c>
      <c r="AE38" s="545">
        <f t="shared" si="145"/>
        <v>907.97831481191599</v>
      </c>
      <c r="AF38" s="528">
        <f t="shared" si="146"/>
        <v>0.31801420286101595</v>
      </c>
      <c r="AH38" s="173">
        <f t="shared" si="147"/>
        <v>5.5762195907274092</v>
      </c>
      <c r="AI38" s="173">
        <f t="shared" si="148"/>
        <v>5.5762195907274092</v>
      </c>
      <c r="AJ38" s="173">
        <f t="shared" si="149"/>
        <v>2.8613972276993156</v>
      </c>
      <c r="AL38" s="545">
        <f t="shared" si="150"/>
        <v>825.00000000000011</v>
      </c>
      <c r="AM38" s="460">
        <f t="shared" si="151"/>
        <v>350</v>
      </c>
      <c r="AO38">
        <f t="shared" si="96"/>
        <v>825.00000000000011</v>
      </c>
      <c r="AP38" s="460">
        <f t="shared" si="24"/>
        <v>350</v>
      </c>
      <c r="AQ38" s="460"/>
      <c r="AR38" s="5">
        <f t="shared" si="97"/>
        <v>2.8571428571428572</v>
      </c>
      <c r="AS38" s="5">
        <f t="shared" si="25"/>
        <v>0.93909799983692577</v>
      </c>
      <c r="AT38" s="5">
        <f t="shared" si="98"/>
        <v>1.9180448573059314</v>
      </c>
      <c r="AU38" s="173">
        <f t="shared" si="99"/>
        <v>0.32868429994292403</v>
      </c>
      <c r="AW38" s="5">
        <f t="shared" si="152"/>
        <v>2.766985178090942</v>
      </c>
      <c r="AX38" s="5">
        <f t="shared" si="153"/>
        <v>0.2582519499551546</v>
      </c>
      <c r="AY38" s="5">
        <f t="shared" si="28"/>
        <v>1.1340074135250049</v>
      </c>
      <c r="AZ38" s="5"/>
      <c r="BA38" s="173">
        <f t="shared" si="100"/>
        <v>1.8457323344602954</v>
      </c>
      <c r="BB38" s="173">
        <f t="shared" si="154"/>
        <v>2.6378047294796354</v>
      </c>
      <c r="BC38" s="173">
        <f t="shared" si="155"/>
        <v>0.26594260797212721</v>
      </c>
      <c r="BD38" s="173"/>
      <c r="BE38" s="528">
        <f t="shared" si="31"/>
        <v>4.088073420566702E-2</v>
      </c>
      <c r="BF38" s="528">
        <f t="shared" si="156"/>
        <v>2.0175959169690638</v>
      </c>
      <c r="BG38" s="528">
        <f t="shared" si="33"/>
        <v>4.0250000000000001E-2</v>
      </c>
      <c r="BH38" s="528">
        <f t="shared" si="34"/>
        <v>0.55309673887353472</v>
      </c>
      <c r="BI38">
        <f t="shared" si="35"/>
        <v>1.255854494039647E-2</v>
      </c>
      <c r="BJ38" s="460">
        <f t="shared" si="101"/>
        <v>52.808544940396466</v>
      </c>
      <c r="BK38">
        <f t="shared" si="157"/>
        <v>2.648335162768086</v>
      </c>
      <c r="BL38" s="460">
        <f t="shared" si="102"/>
        <v>2648.3351627680859</v>
      </c>
      <c r="BM38" s="173">
        <f t="shared" si="158"/>
        <v>0.55324499999999999</v>
      </c>
      <c r="BN38" s="173">
        <f t="shared" si="159"/>
        <v>3.9517499999999997E-2</v>
      </c>
      <c r="BO38" s="528"/>
      <c r="BQ38" s="460">
        <f t="shared" si="103"/>
        <v>592.76249999999993</v>
      </c>
      <c r="BR38" s="528">
        <f t="shared" si="39"/>
        <v>4.7694189906611527E-2</v>
      </c>
      <c r="BS38" s="528">
        <f t="shared" si="104"/>
        <v>9.7412193072111866E-2</v>
      </c>
      <c r="BT38" s="528">
        <f t="shared" si="160"/>
        <v>3.5362735367508268E-4</v>
      </c>
      <c r="BU38" s="528">
        <f t="shared" si="41"/>
        <v>8.4137535133553207</v>
      </c>
      <c r="BV38" s="528">
        <f t="shared" si="161"/>
        <v>8.6953095110734253</v>
      </c>
      <c r="BW38" s="625">
        <f t="shared" si="162"/>
        <v>1.0882978723404255</v>
      </c>
      <c r="BX38" s="460">
        <f t="shared" si="105"/>
        <v>9783.6073834138515</v>
      </c>
      <c r="BY38" s="173">
        <f t="shared" si="106"/>
        <v>13.024705046181936</v>
      </c>
      <c r="BZ38" s="5">
        <f t="shared" si="107"/>
        <v>25.575000000000003</v>
      </c>
      <c r="CA38" s="173">
        <f t="shared" si="108"/>
        <v>0.66256982972800549</v>
      </c>
      <c r="CB38" s="5">
        <f t="shared" si="109"/>
        <v>66.256982972800543</v>
      </c>
      <c r="CC38">
        <f t="shared" ref="CC38:CC69" si="172">F38/Iout*100</f>
        <v>33</v>
      </c>
      <c r="CE38" s="562">
        <f t="shared" si="163"/>
        <v>-50</v>
      </c>
      <c r="CF38">
        <f t="shared" si="164"/>
        <v>-50</v>
      </c>
      <c r="CG38" s="173">
        <f t="shared" si="165"/>
        <v>0.30914751025779191</v>
      </c>
      <c r="CH38" s="173">
        <f t="shared" si="166"/>
        <v>0.10025197709029207</v>
      </c>
      <c r="CI38" s="170">
        <v>33</v>
      </c>
      <c r="CJ38" s="217">
        <f t="shared" si="133"/>
        <v>0.82500000000000007</v>
      </c>
      <c r="CK38" s="217">
        <f t="shared" si="111"/>
        <v>8.2500000000000004E-2</v>
      </c>
      <c r="CL38" s="217">
        <f t="shared" si="48"/>
        <v>23.1</v>
      </c>
      <c r="CM38" s="217">
        <f t="shared" si="134"/>
        <v>2.4750000000000001</v>
      </c>
      <c r="CN38" s="541">
        <f t="shared" si="112"/>
        <v>28</v>
      </c>
      <c r="CO38" s="443">
        <f t="shared" si="167"/>
        <v>28.7</v>
      </c>
      <c r="CP38" s="443">
        <f t="shared" si="168"/>
        <v>56.7</v>
      </c>
      <c r="CQ38" s="443"/>
      <c r="CR38" s="217">
        <f t="shared" si="113"/>
        <v>0.50354609929078009</v>
      </c>
      <c r="CS38" s="172">
        <f t="shared" si="114"/>
        <v>106.12369404407841</v>
      </c>
      <c r="CT38" s="172">
        <f t="shared" si="51"/>
        <v>12.588652482269502</v>
      </c>
      <c r="CU38" s="217">
        <f t="shared" si="52"/>
        <v>3.7901319301456575</v>
      </c>
      <c r="CV38" s="217">
        <f t="shared" si="53"/>
        <v>3.5374564681359471</v>
      </c>
      <c r="CW38" s="443">
        <f t="shared" si="54"/>
        <v>28</v>
      </c>
      <c r="CX38" s="217">
        <f t="shared" si="55"/>
        <v>3.6278420523138841</v>
      </c>
      <c r="CY38" s="217">
        <f t="shared" si="56"/>
        <v>0.608959201638402</v>
      </c>
      <c r="CZ38" s="217">
        <f t="shared" si="57"/>
        <v>0.59410653818380688</v>
      </c>
      <c r="DA38" s="197">
        <f t="shared" si="58"/>
        <v>350</v>
      </c>
      <c r="DB38" s="443">
        <f t="shared" si="115"/>
        <v>350</v>
      </c>
      <c r="DD38" s="217">
        <f t="shared" si="59"/>
        <v>8.6157079064880477</v>
      </c>
      <c r="DE38" s="173">
        <f t="shared" si="60"/>
        <v>1.4109347442680775</v>
      </c>
      <c r="DF38" s="173">
        <f t="shared" si="61"/>
        <v>2.1273352855526046</v>
      </c>
      <c r="DG38" s="173"/>
      <c r="DH38" s="173">
        <f t="shared" si="62"/>
        <v>0.54587688734030204</v>
      </c>
      <c r="DI38" s="545">
        <f t="shared" si="63"/>
        <v>906.79787234042567</v>
      </c>
      <c r="DJ38" s="528">
        <f t="shared" si="64"/>
        <v>0.31842818428184283</v>
      </c>
      <c r="DL38" s="173">
        <f t="shared" si="65"/>
        <v>5.5762195907274092</v>
      </c>
      <c r="DM38" s="173">
        <f t="shared" si="66"/>
        <v>5.5762195907274092</v>
      </c>
      <c r="DN38" s="173">
        <f t="shared" si="67"/>
        <v>2.8613972276993156</v>
      </c>
      <c r="DP38" s="545">
        <f t="shared" si="68"/>
        <v>825.00000000000011</v>
      </c>
      <c r="DQ38" s="460">
        <f t="shared" si="69"/>
        <v>350</v>
      </c>
      <c r="DS38">
        <f t="shared" si="116"/>
        <v>825.00000000000011</v>
      </c>
      <c r="DT38" s="460">
        <f t="shared" si="70"/>
        <v>350</v>
      </c>
      <c r="DU38" s="460"/>
      <c r="DV38" s="5">
        <f t="shared" si="117"/>
        <v>2.8571428571428572</v>
      </c>
      <c r="DW38" s="5">
        <f t="shared" si="71"/>
        <v>0.93600828844352946</v>
      </c>
      <c r="DX38" s="5">
        <f t="shared" si="118"/>
        <v>1.9211345686993277</v>
      </c>
      <c r="DY38" s="173">
        <f t="shared" si="119"/>
        <v>0.32760290095523531</v>
      </c>
      <c r="EA38" s="5">
        <f t="shared" si="72"/>
        <v>2.7578815641639709</v>
      </c>
      <c r="EB38" s="5">
        <f t="shared" si="73"/>
        <v>0.25740227932197063</v>
      </c>
      <c r="EC38" s="5">
        <f t="shared" si="74"/>
        <v>1.1320971565549609</v>
      </c>
      <c r="ED38" s="5"/>
      <c r="EE38" s="173">
        <f t="shared" si="120"/>
        <v>1.8426935256177719</v>
      </c>
      <c r="EF38" s="173">
        <f t="shared" si="75"/>
        <v>2.6399284482697123</v>
      </c>
      <c r="EG38" s="173">
        <f t="shared" si="76"/>
        <v>0.2661567206042415</v>
      </c>
      <c r="EH38" s="173"/>
      <c r="EI38" s="528">
        <f t="shared" si="77"/>
        <v>4.0746233152243849E-2</v>
      </c>
      <c r="EJ38" s="528">
        <f t="shared" si="78"/>
        <v>2.1025414777817235</v>
      </c>
      <c r="EK38" s="528">
        <f t="shared" si="79"/>
        <v>4.0250000000000001E-2</v>
      </c>
      <c r="EL38" s="528">
        <f t="shared" si="80"/>
        <v>0.55416666375000012</v>
      </c>
      <c r="EM38">
        <f t="shared" si="81"/>
        <v>1.26E-2</v>
      </c>
      <c r="EN38" s="460">
        <f t="shared" si="121"/>
        <v>52.85</v>
      </c>
      <c r="EO38">
        <f t="shared" si="82"/>
        <v>2.7883002427078623</v>
      </c>
      <c r="EP38" s="460">
        <f t="shared" si="122"/>
        <v>2788.3002427078623</v>
      </c>
      <c r="EQ38" s="173">
        <f t="shared" si="83"/>
        <v>0.55324499999999999</v>
      </c>
      <c r="ER38" s="173">
        <f t="shared" si="169"/>
        <v>3.9517499999999997E-2</v>
      </c>
      <c r="ES38" s="528"/>
      <c r="EU38" s="460">
        <f t="shared" si="123"/>
        <v>592.76249999999993</v>
      </c>
      <c r="EV38" s="528">
        <f t="shared" si="85"/>
        <v>4.7537272010951162E-2</v>
      </c>
      <c r="EW38" s="528">
        <f t="shared" si="124"/>
        <v>9.7569110967772238E-2</v>
      </c>
      <c r="EX38" s="528">
        <f t="shared" si="86"/>
        <v>3.5419699961402137E-4</v>
      </c>
      <c r="EY38" s="528">
        <f t="shared" si="87"/>
        <v>8.4137535133553207</v>
      </c>
      <c r="EZ38" s="528">
        <f t="shared" si="88"/>
        <v>8.6953106266763101</v>
      </c>
      <c r="FA38" s="625">
        <f t="shared" si="89"/>
        <v>1.0882978723404255</v>
      </c>
      <c r="FB38" s="460">
        <f t="shared" si="125"/>
        <v>9783.6084990167365</v>
      </c>
      <c r="FC38" s="173">
        <f t="shared" si="126"/>
        <v>13.164671241724598</v>
      </c>
      <c r="FD38" s="5">
        <f t="shared" si="127"/>
        <v>25.575000000000003</v>
      </c>
      <c r="FE38" s="173">
        <f t="shared" si="128"/>
        <v>0.66017596898071829</v>
      </c>
      <c r="FF38" s="5">
        <f t="shared" si="129"/>
        <v>66.01759689807183</v>
      </c>
      <c r="FG38">
        <f t="shared" si="130"/>
        <v>33</v>
      </c>
      <c r="FI38" s="562">
        <f t="shared" si="90"/>
        <v>-50</v>
      </c>
      <c r="FJ38">
        <f t="shared" si="91"/>
        <v>-50</v>
      </c>
      <c r="FL38">
        <f t="shared" si="92"/>
        <v>0.30914751025779191</v>
      </c>
    </row>
    <row r="39" spans="5:168">
      <c r="E39" s="170">
        <v>34</v>
      </c>
      <c r="F39" s="217">
        <f t="shared" si="131"/>
        <v>0.85000000000000009</v>
      </c>
      <c r="G39" s="217">
        <f t="shared" si="170"/>
        <v>8.5000000000000006E-2</v>
      </c>
      <c r="H39" s="217">
        <f t="shared" si="135"/>
        <v>23.800000000000004</v>
      </c>
      <c r="I39" s="217">
        <f t="shared" si="132"/>
        <v>2.5500000000000003</v>
      </c>
      <c r="J39" s="541">
        <f t="shared" si="136"/>
        <v>27.906492269020575</v>
      </c>
      <c r="K39" s="443">
        <f t="shared" si="137"/>
        <v>28.737922653646262</v>
      </c>
      <c r="L39" s="172">
        <f t="shared" si="138"/>
        <v>56.64441492266684</v>
      </c>
      <c r="M39" s="443"/>
      <c r="N39" s="217">
        <f t="shared" si="139"/>
        <v>0.50733903232790722</v>
      </c>
      <c r="O39" s="172">
        <f t="shared" si="171"/>
        <v>106.56598869249234</v>
      </c>
      <c r="P39" s="172">
        <f t="shared" si="140"/>
        <v>12.641118556634931</v>
      </c>
      <c r="Q39" s="217">
        <f t="shared" si="6"/>
        <v>3.8059281675890122</v>
      </c>
      <c r="R39" s="217">
        <f t="shared" si="141"/>
        <v>3.5521996230830779</v>
      </c>
      <c r="S39" s="443">
        <f t="shared" si="142"/>
        <v>28</v>
      </c>
      <c r="T39" s="217">
        <f t="shared" si="143"/>
        <v>3.7222632805602855</v>
      </c>
      <c r="U39" s="217">
        <f t="shared" si="10"/>
        <v>0.6269020574131563</v>
      </c>
      <c r="V39" s="217">
        <f t="shared" si="11"/>
        <v>0.60876485852792228</v>
      </c>
      <c r="W39" s="197">
        <f t="shared" si="12"/>
        <v>350</v>
      </c>
      <c r="X39" s="443">
        <f t="shared" si="95"/>
        <v>350</v>
      </c>
      <c r="Z39" s="217">
        <f t="shared" si="13"/>
        <v>8.6067190172833588</v>
      </c>
      <c r="AA39" s="173">
        <f t="shared" si="14"/>
        <v>1.4076027647774081</v>
      </c>
      <c r="AB39" s="173">
        <f t="shared" si="144"/>
        <v>2.1200972597683116</v>
      </c>
      <c r="AC39" s="173"/>
      <c r="AD39" s="173">
        <f t="shared" si="16"/>
        <v>0.54515654647288447</v>
      </c>
      <c r="AE39" s="545">
        <f t="shared" si="145"/>
        <v>935.51109915061238</v>
      </c>
      <c r="AF39" s="528">
        <f t="shared" si="146"/>
        <v>0.31800798544251591</v>
      </c>
      <c r="AH39" s="173">
        <f t="shared" si="147"/>
        <v>5.6600772224532188</v>
      </c>
      <c r="AI39" s="173">
        <f t="shared" si="148"/>
        <v>5.6600772224532188</v>
      </c>
      <c r="AJ39" s="173">
        <f t="shared" si="149"/>
        <v>2.9235139919406556</v>
      </c>
      <c r="AL39" s="545">
        <f t="shared" si="150"/>
        <v>850.00000000000011</v>
      </c>
      <c r="AM39" s="460">
        <f t="shared" si="151"/>
        <v>350</v>
      </c>
      <c r="AO39">
        <f t="shared" si="96"/>
        <v>850.00000000000011</v>
      </c>
      <c r="AP39" s="460">
        <f t="shared" si="24"/>
        <v>350</v>
      </c>
      <c r="AQ39" s="460"/>
      <c r="AR39" s="5">
        <f t="shared" si="97"/>
        <v>2.8571428571428572</v>
      </c>
      <c r="AS39" s="5">
        <f t="shared" si="25"/>
        <v>0.95326788795529915</v>
      </c>
      <c r="AT39" s="5">
        <f t="shared" si="98"/>
        <v>1.9038749691875581</v>
      </c>
      <c r="AU39" s="173">
        <f t="shared" si="99"/>
        <v>0.3336437607843547</v>
      </c>
      <c r="AW39" s="5">
        <f t="shared" si="152"/>
        <v>2.8938489455785867</v>
      </c>
      <c r="AX39" s="5">
        <f t="shared" si="153"/>
        <v>0.27009256825400146</v>
      </c>
      <c r="AY39" s="5">
        <f t="shared" si="28"/>
        <v>1.1597973032289099</v>
      </c>
      <c r="AZ39" s="5"/>
      <c r="BA39" s="173">
        <f t="shared" si="100"/>
        <v>1.887570724714035</v>
      </c>
      <c r="BB39" s="173">
        <f t="shared" si="154"/>
        <v>2.6675647097269164</v>
      </c>
      <c r="BC39" s="173">
        <f t="shared" si="155"/>
        <v>0.26894299942328748</v>
      </c>
      <c r="BD39" s="173"/>
      <c r="BE39" s="528">
        <f t="shared" si="31"/>
        <v>4.2755078889569607E-2</v>
      </c>
      <c r="BF39" s="528">
        <f t="shared" si="156"/>
        <v>2.0479076341375078</v>
      </c>
      <c r="BG39" s="528">
        <f t="shared" si="33"/>
        <v>4.0250000000000001E-2</v>
      </c>
      <c r="BH39" s="528">
        <f t="shared" si="34"/>
        <v>0.55308065676539786</v>
      </c>
      <c r="BI39">
        <f t="shared" si="35"/>
        <v>1.2557921521059258E-2</v>
      </c>
      <c r="BJ39" s="460">
        <f t="shared" si="101"/>
        <v>52.807921521059257</v>
      </c>
      <c r="BK39">
        <f t="shared" si="157"/>
        <v>2.6825380906316196</v>
      </c>
      <c r="BL39" s="460">
        <f t="shared" si="102"/>
        <v>2682.5380906316195</v>
      </c>
      <c r="BM39" s="173">
        <f t="shared" si="158"/>
        <v>0.57000999999999991</v>
      </c>
      <c r="BN39" s="173">
        <f t="shared" si="159"/>
        <v>4.0715000000000001E-2</v>
      </c>
      <c r="BO39" s="528"/>
      <c r="BQ39" s="460">
        <f t="shared" si="103"/>
        <v>610.72499999999991</v>
      </c>
      <c r="BR39" s="528">
        <f t="shared" si="39"/>
        <v>4.9880925371164543E-2</v>
      </c>
      <c r="BS39" s="528">
        <f t="shared" si="104"/>
        <v>9.9622620728126263E-2</v>
      </c>
      <c r="BT39" s="528">
        <f t="shared" si="160"/>
        <v>3.6165168469397209E-4</v>
      </c>
      <c r="BU39" s="528">
        <f t="shared" si="41"/>
        <v>8.7336544792220554</v>
      </c>
      <c r="BV39" s="528">
        <f t="shared" si="161"/>
        <v>9.0277226395878607</v>
      </c>
      <c r="BW39" s="625">
        <f t="shared" si="162"/>
        <v>1.1212765957446811</v>
      </c>
      <c r="BX39" s="460">
        <f t="shared" si="105"/>
        <v>10148.999235332543</v>
      </c>
      <c r="BY39" s="173">
        <f t="shared" si="106"/>
        <v>13.442262325964162</v>
      </c>
      <c r="BZ39" s="5">
        <f t="shared" si="107"/>
        <v>26.350000000000005</v>
      </c>
      <c r="CA39" s="173">
        <f t="shared" si="108"/>
        <v>0.66218904027496872</v>
      </c>
      <c r="CB39" s="5">
        <f t="shared" si="109"/>
        <v>66.218904027496876</v>
      </c>
      <c r="CC39">
        <f t="shared" si="172"/>
        <v>34</v>
      </c>
      <c r="CE39" s="562">
        <f t="shared" si="163"/>
        <v>-50</v>
      </c>
      <c r="CF39">
        <f t="shared" si="164"/>
        <v>-50</v>
      </c>
      <c r="CG39" s="173">
        <f t="shared" si="165"/>
        <v>0.31379660587577257</v>
      </c>
      <c r="CH39" s="173">
        <f t="shared" si="166"/>
        <v>0.10175961021661328</v>
      </c>
      <c r="CI39" s="170">
        <v>34</v>
      </c>
      <c r="CJ39" s="217">
        <f t="shared" si="133"/>
        <v>0.85000000000000009</v>
      </c>
      <c r="CK39" s="217">
        <f t="shared" si="111"/>
        <v>8.5000000000000006E-2</v>
      </c>
      <c r="CL39" s="217">
        <f t="shared" si="48"/>
        <v>23.800000000000004</v>
      </c>
      <c r="CM39" s="217">
        <f t="shared" si="134"/>
        <v>2.5500000000000003</v>
      </c>
      <c r="CN39" s="541">
        <f t="shared" si="112"/>
        <v>28</v>
      </c>
      <c r="CO39" s="443">
        <f t="shared" si="167"/>
        <v>28.7</v>
      </c>
      <c r="CP39" s="443">
        <f t="shared" si="168"/>
        <v>56.7</v>
      </c>
      <c r="CQ39" s="443"/>
      <c r="CR39" s="217">
        <f t="shared" si="113"/>
        <v>0.50354609929078009</v>
      </c>
      <c r="CS39" s="172">
        <f t="shared" si="114"/>
        <v>106.12369404407841</v>
      </c>
      <c r="CT39" s="172">
        <f t="shared" si="51"/>
        <v>12.588652482269502</v>
      </c>
      <c r="CU39" s="217">
        <f t="shared" si="52"/>
        <v>3.7901319301456575</v>
      </c>
      <c r="CV39" s="217">
        <f t="shared" si="53"/>
        <v>3.5374564681359471</v>
      </c>
      <c r="CW39" s="443">
        <f t="shared" si="54"/>
        <v>28</v>
      </c>
      <c r="CX39" s="217">
        <f t="shared" si="55"/>
        <v>3.7377766599597595</v>
      </c>
      <c r="CY39" s="217">
        <f t="shared" si="56"/>
        <v>0.62741251077895965</v>
      </c>
      <c r="CZ39" s="217">
        <f t="shared" si="57"/>
        <v>0.61210976661361927</v>
      </c>
      <c r="DA39" s="197">
        <f t="shared" si="58"/>
        <v>350</v>
      </c>
      <c r="DB39" s="443">
        <f t="shared" si="115"/>
        <v>350</v>
      </c>
      <c r="DD39" s="217">
        <f t="shared" si="59"/>
        <v>8.6157079064880477</v>
      </c>
      <c r="DE39" s="173">
        <f t="shared" si="60"/>
        <v>1.4109347442680775</v>
      </c>
      <c r="DF39" s="173">
        <f t="shared" si="61"/>
        <v>2.1273352855526046</v>
      </c>
      <c r="DG39" s="173"/>
      <c r="DH39" s="173">
        <f t="shared" si="62"/>
        <v>0.54587688734030204</v>
      </c>
      <c r="DI39" s="545">
        <f t="shared" si="63"/>
        <v>934.276595744681</v>
      </c>
      <c r="DJ39" s="528">
        <f t="shared" si="64"/>
        <v>0.31842818428184283</v>
      </c>
      <c r="DL39" s="173">
        <f t="shared" si="65"/>
        <v>5.6600772224532188</v>
      </c>
      <c r="DM39" s="173">
        <f t="shared" si="66"/>
        <v>5.6600772224532188</v>
      </c>
      <c r="DN39" s="173">
        <f t="shared" si="67"/>
        <v>2.9235139919406556</v>
      </c>
      <c r="DP39" s="545">
        <f t="shared" si="68"/>
        <v>850.00000000000011</v>
      </c>
      <c r="DQ39" s="460">
        <f t="shared" si="69"/>
        <v>350</v>
      </c>
      <c r="DS39">
        <f t="shared" si="116"/>
        <v>850.00000000000011</v>
      </c>
      <c r="DT39" s="460">
        <f t="shared" si="70"/>
        <v>350</v>
      </c>
      <c r="DU39" s="460"/>
      <c r="DV39" s="5">
        <f t="shared" si="117"/>
        <v>2.8571428571428572</v>
      </c>
      <c r="DW39" s="5">
        <f t="shared" si="71"/>
        <v>0.9500843909117902</v>
      </c>
      <c r="DX39" s="5">
        <f t="shared" si="118"/>
        <v>1.907058466231067</v>
      </c>
      <c r="DY39" s="173">
        <f t="shared" si="119"/>
        <v>0.33252953681912656</v>
      </c>
      <c r="EA39" s="5">
        <f t="shared" si="72"/>
        <v>2.8841847581250777</v>
      </c>
      <c r="EB39" s="5">
        <f t="shared" si="73"/>
        <v>0.26919057742500724</v>
      </c>
      <c r="EC39" s="5">
        <f t="shared" si="74"/>
        <v>1.1578569259260052</v>
      </c>
      <c r="ED39" s="5"/>
      <c r="EE39" s="173">
        <f t="shared" si="120"/>
        <v>1.8844162593154508</v>
      </c>
      <c r="EF39" s="173">
        <f t="shared" si="75"/>
        <v>2.6697940150890815</v>
      </c>
      <c r="EG39" s="173">
        <f t="shared" si="76"/>
        <v>0.26916775725898118</v>
      </c>
      <c r="EH39" s="173"/>
      <c r="EI39" s="528">
        <f t="shared" si="77"/>
        <v>4.2612295660469236E-2</v>
      </c>
      <c r="EJ39" s="528">
        <f t="shared" si="78"/>
        <v>2.1341604171120987</v>
      </c>
      <c r="EK39" s="528">
        <f t="shared" si="79"/>
        <v>4.0250000000000001E-2</v>
      </c>
      <c r="EL39" s="528">
        <f t="shared" si="80"/>
        <v>0.55416666375000012</v>
      </c>
      <c r="EM39">
        <f t="shared" si="81"/>
        <v>1.26E-2</v>
      </c>
      <c r="EN39" s="460">
        <f t="shared" si="121"/>
        <v>52.85</v>
      </c>
      <c r="EO39">
        <f t="shared" si="82"/>
        <v>2.8238856388928864</v>
      </c>
      <c r="EP39" s="460">
        <f t="shared" si="122"/>
        <v>2823.8856388928862</v>
      </c>
      <c r="EQ39" s="173">
        <f t="shared" si="83"/>
        <v>0.57000999999999991</v>
      </c>
      <c r="ER39" s="173">
        <f t="shared" si="169"/>
        <v>4.0715000000000001E-2</v>
      </c>
      <c r="ES39" s="528"/>
      <c r="EU39" s="460">
        <f t="shared" si="123"/>
        <v>610.72499999999991</v>
      </c>
      <c r="EV39" s="528">
        <f t="shared" si="85"/>
        <v>4.9714344937214106E-2</v>
      </c>
      <c r="EW39" s="528">
        <f t="shared" si="124"/>
        <v>9.9789201162076707E-2</v>
      </c>
      <c r="EX39" s="528">
        <f t="shared" si="86"/>
        <v>3.6225640773914907E-4</v>
      </c>
      <c r="EY39" s="528">
        <f t="shared" si="87"/>
        <v>8.7336544792220554</v>
      </c>
      <c r="EZ39" s="528">
        <f t="shared" si="88"/>
        <v>9.0277238405852636</v>
      </c>
      <c r="FA39" s="625">
        <f t="shared" si="89"/>
        <v>1.1212765957446811</v>
      </c>
      <c r="FB39" s="460">
        <f t="shared" si="125"/>
        <v>10149.000436329945</v>
      </c>
      <c r="FC39" s="173">
        <f t="shared" si="126"/>
        <v>13.58361107522283</v>
      </c>
      <c r="FD39" s="5">
        <f t="shared" si="127"/>
        <v>26.350000000000005</v>
      </c>
      <c r="FE39" s="173">
        <f t="shared" si="128"/>
        <v>0.65984516026773987</v>
      </c>
      <c r="FF39" s="5">
        <f t="shared" si="129"/>
        <v>65.984516026773989</v>
      </c>
      <c r="FG39">
        <f t="shared" si="130"/>
        <v>34</v>
      </c>
      <c r="FI39" s="562">
        <f t="shared" si="90"/>
        <v>-50</v>
      </c>
      <c r="FJ39">
        <f t="shared" si="91"/>
        <v>-50</v>
      </c>
      <c r="FL39">
        <f t="shared" si="92"/>
        <v>0.31379660587577257</v>
      </c>
    </row>
    <row r="40" spans="5:168">
      <c r="E40" s="170">
        <v>35</v>
      </c>
      <c r="F40" s="217">
        <f t="shared" ref="F40:F71" si="173">IF(PLOT_TYPE=1, E40/100*Iout_max, min_I*EXP(O40*rr/100))</f>
        <v>0.875</v>
      </c>
      <c r="G40" s="217">
        <f t="shared" si="170"/>
        <v>8.7499999999999994E-2</v>
      </c>
      <c r="H40" s="217">
        <f t="shared" si="135"/>
        <v>24.5</v>
      </c>
      <c r="I40" s="217">
        <f t="shared" ref="I40:I71" si="174">Vout2*G40</f>
        <v>2.625</v>
      </c>
      <c r="J40" s="541">
        <f t="shared" si="136"/>
        <v>27.905127120444959</v>
      </c>
      <c r="K40" s="443">
        <f t="shared" si="137"/>
        <v>28.738476298313572</v>
      </c>
      <c r="L40" s="172">
        <f t="shared" si="138"/>
        <v>56.643603418758531</v>
      </c>
      <c r="M40" s="443"/>
      <c r="N40" s="217">
        <f t="shared" si="139"/>
        <v>0.50735607489258561</v>
      </c>
      <c r="O40" s="172">
        <f t="shared" si="171"/>
        <v>106.56435522199266</v>
      </c>
      <c r="P40" s="172">
        <f t="shared" si="140"/>
        <v>12.640924790363924</v>
      </c>
      <c r="Q40" s="217">
        <f t="shared" si="6"/>
        <v>3.8058698293568805</v>
      </c>
      <c r="R40" s="217">
        <f t="shared" si="141"/>
        <v>3.5521451740664221</v>
      </c>
      <c r="S40" s="443">
        <f t="shared" si="142"/>
        <v>28</v>
      </c>
      <c r="T40" s="217">
        <f t="shared" si="143"/>
        <v>3.8318003471489304</v>
      </c>
      <c r="U40" s="217">
        <f t="shared" si="10"/>
        <v>0.64538181653382132</v>
      </c>
      <c r="V40" s="217">
        <f t="shared" si="11"/>
        <v>0.62666724027595022</v>
      </c>
      <c r="W40" s="197">
        <f t="shared" si="12"/>
        <v>350</v>
      </c>
      <c r="X40" s="443">
        <f t="shared" si="95"/>
        <v>350</v>
      </c>
      <c r="Z40" s="217">
        <f t="shared" si="13"/>
        <v>8.6065870913116083</v>
      </c>
      <c r="AA40" s="173">
        <f t="shared" si="14"/>
        <v>1.4075540717354695</v>
      </c>
      <c r="AB40" s="173">
        <f t="shared" si="144"/>
        <v>2.1199914232212778</v>
      </c>
      <c r="AC40" s="173"/>
      <c r="AD40" s="173">
        <f t="shared" si="16"/>
        <v>0.54514604407144629</v>
      </c>
      <c r="AE40" s="545">
        <f t="shared" si="145"/>
        <v>963.04468446476324</v>
      </c>
      <c r="AF40" s="528">
        <f t="shared" si="146"/>
        <v>0.31800185904167705</v>
      </c>
      <c r="AH40" s="173">
        <f t="shared" si="147"/>
        <v>5.7427104579854378</v>
      </c>
      <c r="AI40" s="173">
        <f t="shared" si="148"/>
        <v>5.7427104579854378</v>
      </c>
      <c r="AJ40" s="173">
        <f t="shared" si="149"/>
        <v>2.9847237960385957</v>
      </c>
      <c r="AL40" s="545">
        <f t="shared" si="150"/>
        <v>875</v>
      </c>
      <c r="AM40" s="460">
        <f t="shared" si="151"/>
        <v>350</v>
      </c>
      <c r="AO40">
        <f t="shared" si="96"/>
        <v>875</v>
      </c>
      <c r="AP40" s="460">
        <f t="shared" si="24"/>
        <v>350</v>
      </c>
      <c r="AQ40" s="460"/>
      <c r="AR40" s="5">
        <f t="shared" si="97"/>
        <v>2.8571428571428572</v>
      </c>
      <c r="AS40" s="5">
        <f t="shared" si="25"/>
        <v>0.96723225936342483</v>
      </c>
      <c r="AT40" s="5">
        <f t="shared" si="98"/>
        <v>1.8899105977794324</v>
      </c>
      <c r="AU40" s="173">
        <f t="shared" si="99"/>
        <v>0.33853129077719868</v>
      </c>
      <c r="AW40" s="5">
        <f t="shared" si="152"/>
        <v>3.0226008105107027</v>
      </c>
      <c r="AX40" s="5">
        <f t="shared" si="153"/>
        <v>0.2821094089809989</v>
      </c>
      <c r="AY40" s="5">
        <f t="shared" si="28"/>
        <v>1.1852099909234419</v>
      </c>
      <c r="AZ40" s="5"/>
      <c r="BA40" s="173">
        <f t="shared" si="100"/>
        <v>1.9291042655618491</v>
      </c>
      <c r="BB40" s="173">
        <f t="shared" si="154"/>
        <v>2.6965653216656031</v>
      </c>
      <c r="BC40" s="173">
        <f t="shared" si="155"/>
        <v>0.27186683161054848</v>
      </c>
      <c r="BD40" s="173"/>
      <c r="BE40" s="528">
        <f t="shared" si="31"/>
        <v>4.4657319208907052E-2</v>
      </c>
      <c r="BF40" s="528">
        <f t="shared" si="156"/>
        <v>2.0777759102060238</v>
      </c>
      <c r="BG40" s="528">
        <f t="shared" si="33"/>
        <v>4.0250000000000001E-2</v>
      </c>
      <c r="BH40" s="528">
        <f t="shared" si="34"/>
        <v>0.55306480969909211</v>
      </c>
      <c r="BI40">
        <f t="shared" si="35"/>
        <v>1.2557307204200232E-2</v>
      </c>
      <c r="BJ40" s="460">
        <f t="shared" si="101"/>
        <v>52.807307204200228</v>
      </c>
      <c r="BK40">
        <f t="shared" si="157"/>
        <v>2.7163778572684447</v>
      </c>
      <c r="BL40" s="460">
        <f t="shared" si="102"/>
        <v>2716.3778572684446</v>
      </c>
      <c r="BM40" s="173">
        <f t="shared" si="158"/>
        <v>0.58677499999999994</v>
      </c>
      <c r="BN40" s="173">
        <f t="shared" si="159"/>
        <v>4.1912499999999998E-2</v>
      </c>
      <c r="BO40" s="528"/>
      <c r="BQ40" s="460">
        <f t="shared" si="103"/>
        <v>628.6875</v>
      </c>
      <c r="BR40" s="528">
        <f t="shared" si="39"/>
        <v>5.2100205743724898E-2</v>
      </c>
      <c r="BS40" s="528">
        <f t="shared" si="104"/>
        <v>0.10180050347613324</v>
      </c>
      <c r="BT40" s="528">
        <f t="shared" si="160"/>
        <v>3.6955787064979159E-4</v>
      </c>
      <c r="BU40" s="528">
        <f t="shared" si="41"/>
        <v>9.055916626171248</v>
      </c>
      <c r="BV40" s="528">
        <f t="shared" si="161"/>
        <v>9.3627634386746443</v>
      </c>
      <c r="BW40" s="625">
        <f t="shared" si="162"/>
        <v>1.1542553191489362</v>
      </c>
      <c r="BX40" s="460">
        <f t="shared" si="105"/>
        <v>10517.01875782358</v>
      </c>
      <c r="BY40" s="173">
        <f t="shared" si="106"/>
        <v>13.862084115092024</v>
      </c>
      <c r="BZ40" s="5">
        <f t="shared" si="107"/>
        <v>27.125</v>
      </c>
      <c r="CA40" s="173">
        <f t="shared" si="108"/>
        <v>0.66179384519847295</v>
      </c>
      <c r="CB40" s="5">
        <f t="shared" si="109"/>
        <v>66.179384519847289</v>
      </c>
      <c r="CC40">
        <f t="shared" si="172"/>
        <v>35</v>
      </c>
      <c r="CE40" s="562">
        <f t="shared" si="163"/>
        <v>-50</v>
      </c>
      <c r="CF40">
        <f t="shared" si="164"/>
        <v>-50</v>
      </c>
      <c r="CG40" s="173">
        <f t="shared" si="165"/>
        <v>0.31837782055243469</v>
      </c>
      <c r="CH40" s="173">
        <f t="shared" si="166"/>
        <v>0.10324523055503187</v>
      </c>
      <c r="CI40" s="170">
        <v>35</v>
      </c>
      <c r="CJ40" s="217">
        <f t="shared" si="133"/>
        <v>0.875</v>
      </c>
      <c r="CK40" s="217">
        <f t="shared" si="111"/>
        <v>8.7499999999999994E-2</v>
      </c>
      <c r="CL40" s="217">
        <f t="shared" si="48"/>
        <v>24.5</v>
      </c>
      <c r="CM40" s="217">
        <f t="shared" si="134"/>
        <v>2.625</v>
      </c>
      <c r="CN40" s="541">
        <f t="shared" si="112"/>
        <v>28</v>
      </c>
      <c r="CO40" s="443">
        <f t="shared" si="167"/>
        <v>28.7</v>
      </c>
      <c r="CP40" s="443">
        <f t="shared" si="168"/>
        <v>56.7</v>
      </c>
      <c r="CQ40" s="443"/>
      <c r="CR40" s="217">
        <f t="shared" si="113"/>
        <v>0.50354609929078009</v>
      </c>
      <c r="CS40" s="172">
        <f t="shared" si="114"/>
        <v>106.12369404407841</v>
      </c>
      <c r="CT40" s="172">
        <f t="shared" si="51"/>
        <v>12.588652482269502</v>
      </c>
      <c r="CU40" s="217">
        <f t="shared" si="52"/>
        <v>3.7901319301456575</v>
      </c>
      <c r="CV40" s="217">
        <f t="shared" si="53"/>
        <v>3.5374564681359471</v>
      </c>
      <c r="CW40" s="443">
        <f t="shared" si="54"/>
        <v>28</v>
      </c>
      <c r="CX40" s="217">
        <f t="shared" si="55"/>
        <v>3.847711267605634</v>
      </c>
      <c r="CY40" s="217">
        <f t="shared" si="56"/>
        <v>0.64586581991951708</v>
      </c>
      <c r="CZ40" s="217">
        <f t="shared" si="57"/>
        <v>0.63011299504343132</v>
      </c>
      <c r="DA40" s="197">
        <f t="shared" si="58"/>
        <v>350</v>
      </c>
      <c r="DB40" s="443">
        <f t="shared" si="115"/>
        <v>350</v>
      </c>
      <c r="DD40" s="217">
        <f t="shared" si="59"/>
        <v>8.6157079064880477</v>
      </c>
      <c r="DE40" s="173">
        <f t="shared" si="60"/>
        <v>1.4109347442680775</v>
      </c>
      <c r="DF40" s="173">
        <f t="shared" si="61"/>
        <v>2.1273352855526046</v>
      </c>
      <c r="DG40" s="173"/>
      <c r="DH40" s="173">
        <f t="shared" si="62"/>
        <v>0.54587688734030204</v>
      </c>
      <c r="DI40" s="545">
        <f t="shared" si="63"/>
        <v>961.75531914893611</v>
      </c>
      <c r="DJ40" s="528">
        <f t="shared" si="64"/>
        <v>0.31842818428184283</v>
      </c>
      <c r="DL40" s="173">
        <f t="shared" si="65"/>
        <v>5.7427104579854378</v>
      </c>
      <c r="DM40" s="173">
        <f t="shared" si="66"/>
        <v>5.7427104579854378</v>
      </c>
      <c r="DN40" s="173">
        <f t="shared" si="67"/>
        <v>2.9847237960385957</v>
      </c>
      <c r="DP40" s="545">
        <f t="shared" si="68"/>
        <v>875</v>
      </c>
      <c r="DQ40" s="460">
        <f t="shared" si="69"/>
        <v>350</v>
      </c>
      <c r="DS40">
        <f t="shared" si="116"/>
        <v>875</v>
      </c>
      <c r="DT40" s="460">
        <f t="shared" si="70"/>
        <v>350</v>
      </c>
      <c r="DU40" s="460"/>
      <c r="DV40" s="5">
        <f t="shared" si="117"/>
        <v>2.8571428571428572</v>
      </c>
      <c r="DW40" s="5">
        <f t="shared" si="71"/>
        <v>0.96395496973326988</v>
      </c>
      <c r="DX40" s="5">
        <f t="shared" si="118"/>
        <v>1.8931878874095873</v>
      </c>
      <c r="DY40" s="173">
        <f t="shared" si="119"/>
        <v>0.33738423940664447</v>
      </c>
      <c r="EA40" s="5">
        <f t="shared" si="72"/>
        <v>3.0123592804164683</v>
      </c>
      <c r="EB40" s="5">
        <f t="shared" si="73"/>
        <v>0.28115353283887035</v>
      </c>
      <c r="EC40" s="5">
        <f t="shared" si="74"/>
        <v>1.183242429630992</v>
      </c>
      <c r="ED40" s="5"/>
      <c r="EE40" s="173">
        <f t="shared" si="120"/>
        <v>1.9258332839186594</v>
      </c>
      <c r="EF40" s="173">
        <f t="shared" si="75"/>
        <v>2.6989023628077975</v>
      </c>
      <c r="EG40" s="173">
        <f t="shared" si="76"/>
        <v>0.27210245133226157</v>
      </c>
      <c r="EH40" s="173"/>
      <c r="EI40" s="528">
        <f t="shared" si="77"/>
        <v>4.4506006049387134E-2</v>
      </c>
      <c r="EJ40" s="528">
        <f t="shared" si="78"/>
        <v>2.1653176917356998</v>
      </c>
      <c r="EK40" s="528">
        <f t="shared" si="79"/>
        <v>4.0250000000000001E-2</v>
      </c>
      <c r="EL40" s="528">
        <f t="shared" si="80"/>
        <v>0.55416666375000012</v>
      </c>
      <c r="EM40">
        <f t="shared" si="81"/>
        <v>1.26E-2</v>
      </c>
      <c r="EN40" s="460">
        <f t="shared" si="121"/>
        <v>52.85</v>
      </c>
      <c r="EO40">
        <f t="shared" si="82"/>
        <v>2.8590908020661439</v>
      </c>
      <c r="EP40" s="460">
        <f t="shared" si="122"/>
        <v>2859.0908020661441</v>
      </c>
      <c r="EQ40" s="173">
        <f t="shared" si="83"/>
        <v>0.58677499999999994</v>
      </c>
      <c r="ER40" s="173">
        <f t="shared" si="169"/>
        <v>4.1912499999999998E-2</v>
      </c>
      <c r="ES40" s="528"/>
      <c r="EU40" s="460">
        <f t="shared" si="123"/>
        <v>628.6875</v>
      </c>
      <c r="EV40" s="528">
        <f t="shared" si="85"/>
        <v>5.192367372428499E-2</v>
      </c>
      <c r="EW40" s="528">
        <f t="shared" si="124"/>
        <v>0.10197703549557317</v>
      </c>
      <c r="EX40" s="528">
        <f t="shared" si="86"/>
        <v>3.7019872010512892E-4</v>
      </c>
      <c r="EY40" s="528">
        <f t="shared" si="87"/>
        <v>9.055916626171248</v>
      </c>
      <c r="EZ40" s="528">
        <f t="shared" si="88"/>
        <v>9.3627647292657699</v>
      </c>
      <c r="FA40" s="625">
        <f t="shared" si="89"/>
        <v>1.1542553191489362</v>
      </c>
      <c r="FB40" s="460">
        <f t="shared" si="125"/>
        <v>10517.020048414706</v>
      </c>
      <c r="FC40" s="173">
        <f t="shared" si="126"/>
        <v>14.004798350480849</v>
      </c>
      <c r="FD40" s="5">
        <f t="shared" si="127"/>
        <v>27.125</v>
      </c>
      <c r="FE40" s="173">
        <f t="shared" si="128"/>
        <v>0.65949751975097837</v>
      </c>
      <c r="FF40" s="5">
        <f t="shared" si="129"/>
        <v>65.94975197509784</v>
      </c>
      <c r="FG40">
        <f t="shared" si="130"/>
        <v>35</v>
      </c>
      <c r="FI40" s="562">
        <f t="shared" si="90"/>
        <v>-50</v>
      </c>
      <c r="FJ40">
        <f t="shared" si="91"/>
        <v>-50</v>
      </c>
      <c r="FL40">
        <f t="shared" si="92"/>
        <v>0.31837782055243469</v>
      </c>
    </row>
    <row r="41" spans="5:168">
      <c r="E41" s="170">
        <v>36</v>
      </c>
      <c r="F41" s="217">
        <f t="shared" si="173"/>
        <v>0.89999999999999991</v>
      </c>
      <c r="G41" s="217">
        <f t="shared" si="170"/>
        <v>0.09</v>
      </c>
      <c r="H41" s="217">
        <f t="shared" si="135"/>
        <v>25.199999999999996</v>
      </c>
      <c r="I41" s="217">
        <f t="shared" si="174"/>
        <v>2.6999999999999997</v>
      </c>
      <c r="J41" s="541">
        <f t="shared" si="136"/>
        <v>27.903781338622853</v>
      </c>
      <c r="K41" s="443">
        <f t="shared" si="137"/>
        <v>28.739022088671099</v>
      </c>
      <c r="L41" s="172">
        <f t="shared" si="138"/>
        <v>56.642803427293956</v>
      </c>
      <c r="M41" s="443"/>
      <c r="N41" s="217">
        <f t="shared" si="139"/>
        <v>0.50737287615999049</v>
      </c>
      <c r="O41" s="172">
        <f t="shared" si="171"/>
        <v>106.56274468238261</v>
      </c>
      <c r="P41" s="172">
        <f t="shared" si="140"/>
        <v>12.640733744211202</v>
      </c>
      <c r="Q41" s="217">
        <f t="shared" si="6"/>
        <v>3.8058123100850936</v>
      </c>
      <c r="R41" s="217">
        <f t="shared" si="141"/>
        <v>3.5520914894127538</v>
      </c>
      <c r="S41" s="443">
        <f t="shared" si="142"/>
        <v>28</v>
      </c>
      <c r="T41" s="217">
        <f t="shared" si="143"/>
        <v>3.9413399237401219</v>
      </c>
      <c r="U41" s="217">
        <f t="shared" si="10"/>
        <v>0.6638633458590889</v>
      </c>
      <c r="V41" s="217">
        <f t="shared" si="11"/>
        <v>0.64456951890791159</v>
      </c>
      <c r="W41" s="197">
        <f t="shared" si="12"/>
        <v>350</v>
      </c>
      <c r="X41" s="443">
        <f t="shared" si="95"/>
        <v>350</v>
      </c>
      <c r="Z41" s="217">
        <f t="shared" si="13"/>
        <v>8.6064570173352877</v>
      </c>
      <c r="AA41" s="173">
        <f t="shared" si="14"/>
        <v>1.4075060681143128</v>
      </c>
      <c r="AB41" s="173">
        <f t="shared" si="144"/>
        <v>2.1198870834512751</v>
      </c>
      <c r="AC41" s="173"/>
      <c r="AD41" s="173">
        <f t="shared" si="16"/>
        <v>0.54513569105896809</v>
      </c>
      <c r="AE41" s="545">
        <f t="shared" si="145"/>
        <v>990.57905922653572</v>
      </c>
      <c r="AF41" s="528">
        <f t="shared" si="146"/>
        <v>0.31799581978439806</v>
      </c>
      <c r="AH41" s="173">
        <f t="shared" si="147"/>
        <v>5.8241714126884085</v>
      </c>
      <c r="AI41" s="173">
        <f t="shared" si="148"/>
        <v>5.8241714126884085</v>
      </c>
      <c r="AJ41" s="173">
        <f t="shared" si="149"/>
        <v>3.0450652439667221</v>
      </c>
      <c r="AL41" s="545">
        <f t="shared" si="150"/>
        <v>899.99999999999989</v>
      </c>
      <c r="AM41" s="460">
        <f t="shared" si="151"/>
        <v>350</v>
      </c>
      <c r="AO41">
        <f t="shared" si="96"/>
        <v>899.99999999999989</v>
      </c>
      <c r="AP41" s="460">
        <f t="shared" si="24"/>
        <v>350</v>
      </c>
      <c r="AQ41" s="460"/>
      <c r="AR41" s="5">
        <f t="shared" si="97"/>
        <v>2.8571428571428572</v>
      </c>
      <c r="AS41" s="5">
        <f t="shared" si="25"/>
        <v>0.98099986189852006</v>
      </c>
      <c r="AT41" s="5">
        <f t="shared" si="98"/>
        <v>1.8761429952443371</v>
      </c>
      <c r="AU41" s="173">
        <f t="shared" si="99"/>
        <v>0.34334995166448201</v>
      </c>
      <c r="AW41" s="5">
        <f t="shared" si="152"/>
        <v>3.1532138418166715</v>
      </c>
      <c r="AX41" s="5">
        <f t="shared" si="153"/>
        <v>0.29429995856955604</v>
      </c>
      <c r="AY41" s="5">
        <f t="shared" si="28"/>
        <v>1.2102508081101797</v>
      </c>
      <c r="AZ41" s="5"/>
      <c r="BA41" s="173">
        <f t="shared" si="100"/>
        <v>1.9703438209154447</v>
      </c>
      <c r="BB41" s="173">
        <f t="shared" si="154"/>
        <v>2.7248368958231772</v>
      </c>
      <c r="BC41" s="173">
        <f t="shared" si="155"/>
        <v>0.27471716244774658</v>
      </c>
      <c r="BD41" s="173"/>
      <c r="BE41" s="528">
        <f t="shared" si="31"/>
        <v>4.658705727143609E-2</v>
      </c>
      <c r="BF41" s="528">
        <f t="shared" si="156"/>
        <v>2.1072196198612598</v>
      </c>
      <c r="BG41" s="528">
        <f t="shared" si="33"/>
        <v>4.0250000000000001E-2</v>
      </c>
      <c r="BH41" s="528">
        <f t="shared" si="34"/>
        <v>0.55304918767026578</v>
      </c>
      <c r="BI41">
        <f t="shared" si="35"/>
        <v>1.2556701602380283E-2</v>
      </c>
      <c r="BJ41" s="460">
        <f t="shared" si="101"/>
        <v>52.806701602380279</v>
      </c>
      <c r="BK41">
        <f t="shared" si="157"/>
        <v>2.7498729471283947</v>
      </c>
      <c r="BL41" s="460">
        <f t="shared" si="102"/>
        <v>2749.8729471283946</v>
      </c>
      <c r="BM41" s="173">
        <f t="shared" si="158"/>
        <v>0.60353999999999985</v>
      </c>
      <c r="BN41" s="173">
        <f t="shared" si="159"/>
        <v>4.3109999999999996E-2</v>
      </c>
      <c r="BO41" s="528"/>
      <c r="BQ41" s="460">
        <f t="shared" si="103"/>
        <v>646.64999999999986</v>
      </c>
      <c r="BR41" s="528">
        <f t="shared" si="39"/>
        <v>5.435156681667544E-2</v>
      </c>
      <c r="BS41" s="528">
        <f t="shared" si="104"/>
        <v>0.10394630552375003</v>
      </c>
      <c r="BT41" s="528">
        <f t="shared" si="160"/>
        <v>3.7734759671670788E-4</v>
      </c>
      <c r="BU41" s="528">
        <f t="shared" si="41"/>
        <v>9.3804891622574527</v>
      </c>
      <c r="BV41" s="528">
        <f t="shared" si="161"/>
        <v>9.7003832708982571</v>
      </c>
      <c r="BW41" s="625">
        <f t="shared" si="162"/>
        <v>1.1872340425531913</v>
      </c>
      <c r="BX41" s="460">
        <f t="shared" si="105"/>
        <v>10887.617313451448</v>
      </c>
      <c r="BY41" s="173">
        <f t="shared" si="106"/>
        <v>14.284140260579843</v>
      </c>
      <c r="BZ41" s="5">
        <f t="shared" si="107"/>
        <v>27.899999999999995</v>
      </c>
      <c r="CA41" s="173">
        <f t="shared" si="108"/>
        <v>0.66138600496907451</v>
      </c>
      <c r="CB41" s="5">
        <f t="shared" si="109"/>
        <v>66.138600496907458</v>
      </c>
      <c r="CC41">
        <f t="shared" si="172"/>
        <v>36</v>
      </c>
      <c r="CE41" s="562">
        <f t="shared" si="163"/>
        <v>-50</v>
      </c>
      <c r="CF41">
        <f t="shared" si="164"/>
        <v>-50</v>
      </c>
      <c r="CG41" s="173">
        <f t="shared" si="165"/>
        <v>0.32289404358129881</v>
      </c>
      <c r="CH41" s="173">
        <f t="shared" si="166"/>
        <v>0.10470977506081418</v>
      </c>
      <c r="CI41" s="170">
        <v>36</v>
      </c>
      <c r="CJ41" s="217">
        <f t="shared" si="133"/>
        <v>0.89999999999999991</v>
      </c>
      <c r="CK41" s="217">
        <f t="shared" si="111"/>
        <v>0.09</v>
      </c>
      <c r="CL41" s="217">
        <f t="shared" si="48"/>
        <v>25.199999999999996</v>
      </c>
      <c r="CM41" s="217">
        <f t="shared" si="134"/>
        <v>2.6999999999999997</v>
      </c>
      <c r="CN41" s="541">
        <f t="shared" si="112"/>
        <v>28</v>
      </c>
      <c r="CO41" s="443">
        <f t="shared" si="167"/>
        <v>28.7</v>
      </c>
      <c r="CP41" s="443">
        <f t="shared" si="168"/>
        <v>56.7</v>
      </c>
      <c r="CQ41" s="443"/>
      <c r="CR41" s="217">
        <f t="shared" si="113"/>
        <v>0.50354609929078009</v>
      </c>
      <c r="CS41" s="172">
        <f t="shared" si="114"/>
        <v>106.12369404407841</v>
      </c>
      <c r="CT41" s="172">
        <f t="shared" si="51"/>
        <v>12.588652482269502</v>
      </c>
      <c r="CU41" s="217">
        <f t="shared" si="52"/>
        <v>3.7901319301456575</v>
      </c>
      <c r="CV41" s="217">
        <f t="shared" si="53"/>
        <v>3.5374564681359471</v>
      </c>
      <c r="CW41" s="443">
        <f t="shared" si="54"/>
        <v>28</v>
      </c>
      <c r="CX41" s="217">
        <f t="shared" si="55"/>
        <v>3.9576458752515089</v>
      </c>
      <c r="CY41" s="217">
        <f t="shared" si="56"/>
        <v>0.66431912906007473</v>
      </c>
      <c r="CZ41" s="217">
        <f t="shared" si="57"/>
        <v>0.6481162234732436</v>
      </c>
      <c r="DA41" s="197">
        <f t="shared" si="58"/>
        <v>350</v>
      </c>
      <c r="DB41" s="443">
        <f t="shared" si="115"/>
        <v>350</v>
      </c>
      <c r="DD41" s="217">
        <f t="shared" si="59"/>
        <v>8.6157079064880477</v>
      </c>
      <c r="DE41" s="173">
        <f t="shared" si="60"/>
        <v>1.4109347442680775</v>
      </c>
      <c r="DF41" s="173">
        <f t="shared" si="61"/>
        <v>2.1273352855526046</v>
      </c>
      <c r="DG41" s="173"/>
      <c r="DH41" s="173">
        <f t="shared" si="62"/>
        <v>0.54587688734030204</v>
      </c>
      <c r="DI41" s="545">
        <f t="shared" si="63"/>
        <v>989.23404255319144</v>
      </c>
      <c r="DJ41" s="528">
        <f t="shared" si="64"/>
        <v>0.31842818428184283</v>
      </c>
      <c r="DL41" s="173">
        <f t="shared" si="65"/>
        <v>5.8241714126884085</v>
      </c>
      <c r="DM41" s="173">
        <f t="shared" si="66"/>
        <v>5.8241714126884085</v>
      </c>
      <c r="DN41" s="173">
        <f t="shared" si="67"/>
        <v>3.0450652439667221</v>
      </c>
      <c r="DP41" s="545">
        <f t="shared" si="68"/>
        <v>899.99999999999989</v>
      </c>
      <c r="DQ41" s="460">
        <f t="shared" si="69"/>
        <v>350</v>
      </c>
      <c r="DS41">
        <f t="shared" si="116"/>
        <v>899.99999999999989</v>
      </c>
      <c r="DT41" s="460">
        <f t="shared" si="70"/>
        <v>350</v>
      </c>
      <c r="DU41" s="460"/>
      <c r="DV41" s="5">
        <f t="shared" si="117"/>
        <v>2.8571428571428572</v>
      </c>
      <c r="DW41" s="5">
        <f t="shared" si="71"/>
        <v>0.97762877284412564</v>
      </c>
      <c r="DX41" s="5">
        <f t="shared" si="118"/>
        <v>1.8795140842987315</v>
      </c>
      <c r="DY41" s="173">
        <f t="shared" si="119"/>
        <v>0.34217007049544396</v>
      </c>
      <c r="EA41" s="5">
        <f t="shared" si="72"/>
        <v>3.1423781984275463</v>
      </c>
      <c r="EB41" s="5">
        <f t="shared" si="73"/>
        <v>0.29328863185323767</v>
      </c>
      <c r="EC41" s="5">
        <f t="shared" si="74"/>
        <v>1.2082590541920413</v>
      </c>
      <c r="ED41" s="5"/>
      <c r="EE41" s="173">
        <f t="shared" si="120"/>
        <v>1.9669554817026633</v>
      </c>
      <c r="EF41" s="173">
        <f t="shared" si="75"/>
        <v>2.7272838162646011</v>
      </c>
      <c r="EG41" s="173">
        <f t="shared" si="76"/>
        <v>0.27496386016438196</v>
      </c>
      <c r="EH41" s="173"/>
      <c r="EI41" s="528">
        <f t="shared" si="77"/>
        <v>4.6426966404001874E-2</v>
      </c>
      <c r="EJ41" s="528">
        <f t="shared" si="78"/>
        <v>2.1960329520112283</v>
      </c>
      <c r="EK41" s="528">
        <f t="shared" si="79"/>
        <v>4.0250000000000001E-2</v>
      </c>
      <c r="EL41" s="528">
        <f t="shared" si="80"/>
        <v>0.55416666375000012</v>
      </c>
      <c r="EM41">
        <f t="shared" si="81"/>
        <v>1.26E-2</v>
      </c>
      <c r="EN41" s="460">
        <f t="shared" si="121"/>
        <v>52.85</v>
      </c>
      <c r="EO41">
        <f t="shared" si="82"/>
        <v>2.8939349966874079</v>
      </c>
      <c r="EP41" s="460">
        <f t="shared" si="122"/>
        <v>2893.9349966874079</v>
      </c>
      <c r="EQ41" s="173">
        <f t="shared" si="83"/>
        <v>0.60353999999999985</v>
      </c>
      <c r="ER41" s="173">
        <f t="shared" si="169"/>
        <v>4.3109999999999996E-2</v>
      </c>
      <c r="ES41" s="528"/>
      <c r="EU41" s="460">
        <f t="shared" si="123"/>
        <v>646.64999999999986</v>
      </c>
      <c r="EV41" s="528">
        <f t="shared" si="85"/>
        <v>5.4164794138002188E-2</v>
      </c>
      <c r="EW41" s="528">
        <f t="shared" si="124"/>
        <v>0.10413307820242329</v>
      </c>
      <c r="EX41" s="528">
        <f t="shared" si="86"/>
        <v>3.7802562198248894E-4</v>
      </c>
      <c r="EY41" s="528">
        <f t="shared" si="87"/>
        <v>9.3804891622574527</v>
      </c>
      <c r="EZ41" s="528">
        <f t="shared" si="88"/>
        <v>9.7003846553928579</v>
      </c>
      <c r="FA41" s="625">
        <f t="shared" si="89"/>
        <v>1.1872340425531913</v>
      </c>
      <c r="FB41" s="460">
        <f t="shared" si="125"/>
        <v>10887.618697946049</v>
      </c>
      <c r="FC41" s="173">
        <f t="shared" si="126"/>
        <v>14.428203694633456</v>
      </c>
      <c r="FD41" s="5">
        <f t="shared" si="127"/>
        <v>27.899999999999995</v>
      </c>
      <c r="FE41" s="173">
        <f t="shared" si="128"/>
        <v>0.65913498718910379</v>
      </c>
      <c r="FF41" s="5">
        <f t="shared" si="129"/>
        <v>65.913498718910375</v>
      </c>
      <c r="FG41">
        <f t="shared" si="130"/>
        <v>36</v>
      </c>
      <c r="FI41" s="562">
        <f t="shared" si="90"/>
        <v>-50</v>
      </c>
      <c r="FJ41">
        <f t="shared" si="91"/>
        <v>-50</v>
      </c>
      <c r="FL41">
        <f t="shared" si="92"/>
        <v>0.32289404358129881</v>
      </c>
    </row>
    <row r="42" spans="5:168">
      <c r="E42" s="170">
        <v>37</v>
      </c>
      <c r="F42" s="217">
        <f t="shared" si="173"/>
        <v>0.92500000000000004</v>
      </c>
      <c r="G42" s="217">
        <f t="shared" si="170"/>
        <v>9.2499999999999999E-2</v>
      </c>
      <c r="H42" s="217">
        <f t="shared" si="135"/>
        <v>25.900000000000002</v>
      </c>
      <c r="I42" s="217">
        <f t="shared" si="174"/>
        <v>2.7749999999999999</v>
      </c>
      <c r="J42" s="541">
        <f t="shared" si="136"/>
        <v>27.902454121976607</v>
      </c>
      <c r="K42" s="443">
        <f t="shared" si="137"/>
        <v>28.739560349803757</v>
      </c>
      <c r="L42" s="172">
        <f t="shared" si="138"/>
        <v>56.642014471780364</v>
      </c>
      <c r="M42" s="443"/>
      <c r="N42" s="217">
        <f t="shared" si="139"/>
        <v>0.50738944611728287</v>
      </c>
      <c r="O42" s="172">
        <f t="shared" si="171"/>
        <v>106.56115612455727</v>
      </c>
      <c r="P42" s="172">
        <f t="shared" si="140"/>
        <v>12.640545305591614</v>
      </c>
      <c r="Q42" s="217">
        <f t="shared" si="6"/>
        <v>3.8057555758770456</v>
      </c>
      <c r="R42" s="217">
        <f t="shared" si="141"/>
        <v>3.5520385374852426</v>
      </c>
      <c r="S42" s="443">
        <f t="shared" si="142"/>
        <v>28</v>
      </c>
      <c r="T42" s="217">
        <f t="shared" si="143"/>
        <v>4.0508819758120858</v>
      </c>
      <c r="U42" s="217">
        <f t="shared" si="10"/>
        <v>0.68234662094905618</v>
      </c>
      <c r="V42" s="217">
        <f t="shared" si="11"/>
        <v>0.66247169596826516</v>
      </c>
      <c r="W42" s="197">
        <f t="shared" si="12"/>
        <v>350</v>
      </c>
      <c r="X42" s="443">
        <f t="shared" si="95"/>
        <v>350</v>
      </c>
      <c r="Z42" s="217">
        <f t="shared" si="13"/>
        <v>8.6063287187006718</v>
      </c>
      <c r="AA42" s="173">
        <f t="shared" si="14"/>
        <v>1.4074587253791919</v>
      </c>
      <c r="AB42" s="173">
        <f t="shared" si="144"/>
        <v>2.1197841785079365</v>
      </c>
      <c r="AC42" s="173"/>
      <c r="AD42" s="173">
        <f t="shared" si="16"/>
        <v>0.54512548125231297</v>
      </c>
      <c r="AE42" s="545">
        <f t="shared" si="145"/>
        <v>1018.1142123919843</v>
      </c>
      <c r="AF42" s="528">
        <f t="shared" si="146"/>
        <v>0.31798986406384927</v>
      </c>
      <c r="AH42" s="173">
        <f t="shared" si="147"/>
        <v>5.9045086065225174</v>
      </c>
      <c r="AI42" s="173">
        <f t="shared" si="148"/>
        <v>5.9045086065225174</v>
      </c>
      <c r="AJ42" s="173">
        <f t="shared" si="149"/>
        <v>3.1045742764364324</v>
      </c>
      <c r="AL42" s="545">
        <f t="shared" si="150"/>
        <v>925</v>
      </c>
      <c r="AM42" s="460">
        <f t="shared" si="151"/>
        <v>350</v>
      </c>
      <c r="AO42">
        <f t="shared" si="96"/>
        <v>925</v>
      </c>
      <c r="AP42" s="460">
        <f t="shared" si="24"/>
        <v>350</v>
      </c>
      <c r="AQ42" s="460"/>
      <c r="AR42" s="5">
        <f t="shared" si="97"/>
        <v>2.8571428571428572</v>
      </c>
      <c r="AS42" s="5">
        <f t="shared" si="25"/>
        <v>0.99457883988772011</v>
      </c>
      <c r="AT42" s="5">
        <f t="shared" si="98"/>
        <v>1.8625640172551372</v>
      </c>
      <c r="AU42" s="173">
        <f t="shared" si="99"/>
        <v>0.34810259396070203</v>
      </c>
      <c r="AW42" s="5">
        <f t="shared" si="152"/>
        <v>3.28566223891479</v>
      </c>
      <c r="AX42" s="5">
        <f t="shared" si="153"/>
        <v>0.30666180896538037</v>
      </c>
      <c r="AY42" s="5">
        <f t="shared" si="28"/>
        <v>1.2349248624722433</v>
      </c>
      <c r="AZ42" s="5"/>
      <c r="BA42" s="173">
        <f t="shared" si="100"/>
        <v>2.0112995775386486</v>
      </c>
      <c r="BB42" s="173">
        <f t="shared" si="154"/>
        <v>2.7524076680049316</v>
      </c>
      <c r="BC42" s="173">
        <f t="shared" si="155"/>
        <v>0.27749683865951363</v>
      </c>
      <c r="BD42" s="173"/>
      <c r="BE42" s="528">
        <f t="shared" si="31"/>
        <v>4.8543911887285761E-2</v>
      </c>
      <c r="BF42" s="528">
        <f t="shared" si="156"/>
        <v>2.1362563356379187</v>
      </c>
      <c r="BG42" s="528">
        <f t="shared" si="33"/>
        <v>4.0250000000000001E-2</v>
      </c>
      <c r="BH42" s="528">
        <f t="shared" si="34"/>
        <v>0.55303378136475978</v>
      </c>
      <c r="BI42">
        <f t="shared" si="35"/>
        <v>1.2556104354889472E-2</v>
      </c>
      <c r="BJ42" s="460">
        <f t="shared" si="101"/>
        <v>52.80610435488947</v>
      </c>
      <c r="BK42">
        <f t="shared" si="157"/>
        <v>2.7830405681453558</v>
      </c>
      <c r="BL42" s="460">
        <f t="shared" si="102"/>
        <v>2783.0405681453558</v>
      </c>
      <c r="BM42" s="173">
        <f t="shared" si="158"/>
        <v>0.620305</v>
      </c>
      <c r="BN42" s="173">
        <f t="shared" si="159"/>
        <v>4.43075E-2</v>
      </c>
      <c r="BO42" s="528"/>
      <c r="BQ42" s="460">
        <f t="shared" si="103"/>
        <v>664.61250000000007</v>
      </c>
      <c r="BR42" s="528">
        <f t="shared" si="39"/>
        <v>5.6634563868500055E-2</v>
      </c>
      <c r="BS42" s="528">
        <f t="shared" si="104"/>
        <v>0.10606047159249285</v>
      </c>
      <c r="BT42" s="528">
        <f t="shared" si="160"/>
        <v>3.8502247733012074E-4</v>
      </c>
      <c r="BU42" s="528">
        <f t="shared" si="41"/>
        <v>9.7073237742098115</v>
      </c>
      <c r="BV42" s="528">
        <f t="shared" si="161"/>
        <v>10.040535940688475</v>
      </c>
      <c r="BW42" s="625">
        <f t="shared" si="162"/>
        <v>1.2202127659574469</v>
      </c>
      <c r="BX42" s="460">
        <f t="shared" si="105"/>
        <v>11260.748706645922</v>
      </c>
      <c r="BY42" s="173">
        <f t="shared" si="106"/>
        <v>14.708401774791279</v>
      </c>
      <c r="BZ42" s="5">
        <f t="shared" si="107"/>
        <v>28.675000000000001</v>
      </c>
      <c r="CA42" s="173">
        <f t="shared" si="108"/>
        <v>0.6609670709746448</v>
      </c>
      <c r="CB42" s="5">
        <f t="shared" si="109"/>
        <v>66.096707097464474</v>
      </c>
      <c r="CC42">
        <f t="shared" si="172"/>
        <v>37</v>
      </c>
      <c r="CE42" s="562">
        <f t="shared" si="163"/>
        <v>-50</v>
      </c>
      <c r="CF42">
        <f t="shared" si="164"/>
        <v>-50</v>
      </c>
      <c r="CG42" s="173">
        <f t="shared" si="165"/>
        <v>0.32734796492546747</v>
      </c>
      <c r="CH42" s="173">
        <f t="shared" si="166"/>
        <v>0.10615411604931259</v>
      </c>
      <c r="CI42" s="170">
        <v>37</v>
      </c>
      <c r="CJ42" s="217">
        <f t="shared" si="133"/>
        <v>0.92500000000000004</v>
      </c>
      <c r="CK42" s="217">
        <f t="shared" si="111"/>
        <v>9.2499999999999999E-2</v>
      </c>
      <c r="CL42" s="217">
        <f t="shared" si="48"/>
        <v>25.900000000000002</v>
      </c>
      <c r="CM42" s="217">
        <f t="shared" si="134"/>
        <v>2.7749999999999999</v>
      </c>
      <c r="CN42" s="541">
        <f t="shared" si="112"/>
        <v>28</v>
      </c>
      <c r="CO42" s="443">
        <f t="shared" si="167"/>
        <v>28.7</v>
      </c>
      <c r="CP42" s="443">
        <f t="shared" si="168"/>
        <v>56.7</v>
      </c>
      <c r="CQ42" s="443"/>
      <c r="CR42" s="217">
        <f t="shared" si="113"/>
        <v>0.50354609929078009</v>
      </c>
      <c r="CS42" s="172">
        <f t="shared" si="114"/>
        <v>106.12369404407841</v>
      </c>
      <c r="CT42" s="172">
        <f t="shared" si="51"/>
        <v>12.588652482269502</v>
      </c>
      <c r="CU42" s="217">
        <f t="shared" si="52"/>
        <v>3.7901319301456575</v>
      </c>
      <c r="CV42" s="217">
        <f t="shared" si="53"/>
        <v>3.5374564681359471</v>
      </c>
      <c r="CW42" s="443">
        <f t="shared" si="54"/>
        <v>28</v>
      </c>
      <c r="CX42" s="217">
        <f t="shared" si="55"/>
        <v>4.0675804828973847</v>
      </c>
      <c r="CY42" s="217">
        <f t="shared" si="56"/>
        <v>0.68277243820063238</v>
      </c>
      <c r="CZ42" s="217">
        <f t="shared" si="57"/>
        <v>0.66611945190305599</v>
      </c>
      <c r="DA42" s="197">
        <f t="shared" si="58"/>
        <v>350</v>
      </c>
      <c r="DB42" s="443">
        <f t="shared" si="115"/>
        <v>350</v>
      </c>
      <c r="DD42" s="217">
        <f t="shared" si="59"/>
        <v>8.6157079064880477</v>
      </c>
      <c r="DE42" s="173">
        <f t="shared" si="60"/>
        <v>1.4109347442680775</v>
      </c>
      <c r="DF42" s="173">
        <f t="shared" si="61"/>
        <v>2.1273352855526046</v>
      </c>
      <c r="DG42" s="173"/>
      <c r="DH42" s="173">
        <f t="shared" si="62"/>
        <v>0.54587688734030204</v>
      </c>
      <c r="DI42" s="545">
        <f t="shared" si="63"/>
        <v>1016.7127659574467</v>
      </c>
      <c r="DJ42" s="528">
        <f t="shared" si="64"/>
        <v>0.31842818428184283</v>
      </c>
      <c r="DL42" s="173">
        <f t="shared" si="65"/>
        <v>5.9045086065225174</v>
      </c>
      <c r="DM42" s="173">
        <f t="shared" si="66"/>
        <v>5.9045086065225174</v>
      </c>
      <c r="DN42" s="173">
        <f t="shared" si="67"/>
        <v>3.1045742764364324</v>
      </c>
      <c r="DP42" s="545">
        <f t="shared" si="68"/>
        <v>925</v>
      </c>
      <c r="DQ42" s="460">
        <f t="shared" si="69"/>
        <v>350</v>
      </c>
      <c r="DS42">
        <f t="shared" si="116"/>
        <v>925</v>
      </c>
      <c r="DT42" s="460">
        <f t="shared" si="70"/>
        <v>350</v>
      </c>
      <c r="DU42" s="460"/>
      <c r="DV42" s="5">
        <f t="shared" si="117"/>
        <v>2.8571428571428572</v>
      </c>
      <c r="DW42" s="5">
        <f t="shared" si="71"/>
        <v>0.99111394466627956</v>
      </c>
      <c r="DX42" s="5">
        <f t="shared" si="118"/>
        <v>1.8660289124765777</v>
      </c>
      <c r="DY42" s="173">
        <f t="shared" si="119"/>
        <v>0.34688988063319781</v>
      </c>
      <c r="EA42" s="5">
        <f t="shared" si="72"/>
        <v>3.2742157100582454</v>
      </c>
      <c r="EB42" s="5">
        <f t="shared" si="73"/>
        <v>0.30559346627210288</v>
      </c>
      <c r="EC42" s="5">
        <f t="shared" si="74"/>
        <v>1.2329119600291674</v>
      </c>
      <c r="ED42" s="5"/>
      <c r="EE42" s="173">
        <f t="shared" si="120"/>
        <v>2.0077930568995708</v>
      </c>
      <c r="EF42" s="173">
        <f t="shared" si="75"/>
        <v>2.7549666063612044</v>
      </c>
      <c r="EG42" s="173">
        <f t="shared" si="76"/>
        <v>0.27775482998559686</v>
      </c>
      <c r="EH42" s="173"/>
      <c r="EI42" s="528">
        <f t="shared" si="77"/>
        <v>4.8374795512009482E-2</v>
      </c>
      <c r="EJ42" s="528">
        <f t="shared" si="78"/>
        <v>2.2263244926323482</v>
      </c>
      <c r="EK42" s="528">
        <f t="shared" si="79"/>
        <v>4.0250000000000001E-2</v>
      </c>
      <c r="EL42" s="528">
        <f t="shared" si="80"/>
        <v>0.55416666375000012</v>
      </c>
      <c r="EM42">
        <f t="shared" si="81"/>
        <v>1.26E-2</v>
      </c>
      <c r="EN42" s="460">
        <f t="shared" si="121"/>
        <v>52.85</v>
      </c>
      <c r="EO42">
        <f t="shared" si="82"/>
        <v>2.9284361567425696</v>
      </c>
      <c r="EP42" s="460">
        <f t="shared" si="122"/>
        <v>2928.4361567425694</v>
      </c>
      <c r="EQ42" s="173">
        <f t="shared" si="83"/>
        <v>0.620305</v>
      </c>
      <c r="ER42" s="173">
        <f t="shared" si="169"/>
        <v>4.43075E-2</v>
      </c>
      <c r="ES42" s="528"/>
      <c r="EU42" s="460">
        <f t="shared" si="123"/>
        <v>664.61250000000007</v>
      </c>
      <c r="EV42" s="528">
        <f t="shared" si="85"/>
        <v>5.6437261430677732E-2</v>
      </c>
      <c r="EW42" s="528">
        <f t="shared" si="124"/>
        <v>0.10625777403031519</v>
      </c>
      <c r="EX42" s="528">
        <f t="shared" si="86"/>
        <v>3.8573872790163908E-4</v>
      </c>
      <c r="EY42" s="528">
        <f t="shared" si="87"/>
        <v>9.7073237742098115</v>
      </c>
      <c r="EZ42" s="528">
        <f t="shared" si="88"/>
        <v>10.040537423507901</v>
      </c>
      <c r="FA42" s="625">
        <f t="shared" si="89"/>
        <v>1.2202127659574469</v>
      </c>
      <c r="FB42" s="460">
        <f t="shared" si="125"/>
        <v>11260.750189465349</v>
      </c>
      <c r="FC42" s="173">
        <f t="shared" si="126"/>
        <v>14.853798846207917</v>
      </c>
      <c r="FD42" s="5">
        <f t="shared" si="127"/>
        <v>28.675000000000001</v>
      </c>
      <c r="FE42" s="173">
        <f t="shared" si="128"/>
        <v>0.65875927569956527</v>
      </c>
      <c r="FF42" s="5">
        <f t="shared" si="129"/>
        <v>65.875927569956531</v>
      </c>
      <c r="FG42">
        <f t="shared" si="130"/>
        <v>37</v>
      </c>
      <c r="FI42" s="562">
        <f t="shared" si="90"/>
        <v>-50</v>
      </c>
      <c r="FJ42">
        <f t="shared" si="91"/>
        <v>-50</v>
      </c>
      <c r="FL42">
        <f t="shared" si="92"/>
        <v>0.32734796492546747</v>
      </c>
    </row>
    <row r="43" spans="5:168">
      <c r="E43" s="170">
        <v>38</v>
      </c>
      <c r="F43" s="217">
        <f t="shared" si="173"/>
        <v>0.95</v>
      </c>
      <c r="G43" s="217">
        <f t="shared" si="170"/>
        <v>9.5000000000000001E-2</v>
      </c>
      <c r="H43" s="217">
        <f t="shared" si="135"/>
        <v>26.599999999999998</v>
      </c>
      <c r="I43" s="217">
        <f t="shared" si="174"/>
        <v>2.85</v>
      </c>
      <c r="J43" s="541">
        <f t="shared" si="136"/>
        <v>27.901144722743297</v>
      </c>
      <c r="K43" s="443">
        <f t="shared" si="137"/>
        <v>28.740091384971539</v>
      </c>
      <c r="L43" s="172">
        <f t="shared" si="138"/>
        <v>56.641236107714832</v>
      </c>
      <c r="M43" s="443"/>
      <c r="N43" s="217">
        <f t="shared" si="139"/>
        <v>0.50740579408112507</v>
      </c>
      <c r="O43" s="172">
        <f t="shared" si="171"/>
        <v>106.55958866313085</v>
      </c>
      <c r="P43" s="172">
        <f t="shared" si="140"/>
        <v>12.640359369478531</v>
      </c>
      <c r="Q43" s="217">
        <f t="shared" si="6"/>
        <v>3.805699595111816</v>
      </c>
      <c r="R43" s="217">
        <f t="shared" si="141"/>
        <v>3.5519862887710283</v>
      </c>
      <c r="S43" s="443">
        <f t="shared" si="142"/>
        <v>28</v>
      </c>
      <c r="T43" s="217">
        <f t="shared" si="143"/>
        <v>4.16042647025274</v>
      </c>
      <c r="U43" s="217">
        <f t="shared" si="10"/>
        <v>0.70083161836183216</v>
      </c>
      <c r="V43" s="217">
        <f t="shared" si="11"/>
        <v>0.68037377293841339</v>
      </c>
      <c r="W43" s="197">
        <f t="shared" si="12"/>
        <v>350</v>
      </c>
      <c r="X43" s="443">
        <f t="shared" si="95"/>
        <v>350</v>
      </c>
      <c r="Z43" s="217">
        <f t="shared" si="13"/>
        <v>8.6062021239002764</v>
      </c>
      <c r="AA43" s="173">
        <f t="shared" si="14"/>
        <v>1.4074120169110713</v>
      </c>
      <c r="AB43" s="173">
        <f t="shared" si="144"/>
        <v>2.1196826505999962</v>
      </c>
      <c r="AC43" s="173"/>
      <c r="AD43" s="173">
        <f t="shared" si="16"/>
        <v>0.54511540888345644</v>
      </c>
      <c r="AE43" s="545">
        <f t="shared" si="145"/>
        <v>1045.6501333681135</v>
      </c>
      <c r="AF43" s="528">
        <f t="shared" si="146"/>
        <v>0.31798398851534965</v>
      </c>
      <c r="AH43" s="173">
        <f t="shared" si="147"/>
        <v>5.9837673020113389</v>
      </c>
      <c r="AI43" s="173">
        <f t="shared" si="148"/>
        <v>5.9837673020113389</v>
      </c>
      <c r="AJ43" s="173">
        <f t="shared" si="149"/>
        <v>3.1632844212429667</v>
      </c>
      <c r="AL43" s="545">
        <f t="shared" si="150"/>
        <v>950</v>
      </c>
      <c r="AM43" s="460">
        <f t="shared" si="151"/>
        <v>350</v>
      </c>
      <c r="AO43">
        <f t="shared" si="96"/>
        <v>950</v>
      </c>
      <c r="AP43" s="460">
        <f t="shared" si="24"/>
        <v>350</v>
      </c>
      <c r="AQ43" s="460"/>
      <c r="AR43" s="5">
        <f t="shared" si="97"/>
        <v>2.8571428571428572</v>
      </c>
      <c r="AS43" s="5">
        <f t="shared" si="25"/>
        <v>1.0079767908779951</v>
      </c>
      <c r="AT43" s="5">
        <f t="shared" si="98"/>
        <v>1.8491660662648621</v>
      </c>
      <c r="AU43" s="173">
        <f t="shared" si="99"/>
        <v>0.35279187680729829</v>
      </c>
      <c r="AW43" s="5">
        <f t="shared" si="152"/>
        <v>3.4199212547646258</v>
      </c>
      <c r="AX43" s="5">
        <f t="shared" si="153"/>
        <v>0.31919265044469847</v>
      </c>
      <c r="AY43" s="5">
        <f t="shared" si="28"/>
        <v>1.2592370531089061</v>
      </c>
      <c r="AZ43" s="5"/>
      <c r="BA43" s="173">
        <f t="shared" si="100"/>
        <v>2.0519811043659115</v>
      </c>
      <c r="BB43" s="173">
        <f t="shared" si="154"/>
        <v>2.7793039756142677</v>
      </c>
      <c r="BC43" s="173">
        <f t="shared" si="155"/>
        <v>0.28020851557422533</v>
      </c>
      <c r="BD43" s="173"/>
      <c r="BE43" s="528">
        <f t="shared" si="31"/>
        <v>5.0527517432096956E-2</v>
      </c>
      <c r="BF43" s="528">
        <f t="shared" si="156"/>
        <v>2.1649024503207421</v>
      </c>
      <c r="BG43" s="528">
        <f t="shared" si="33"/>
        <v>4.0250000000000001E-2</v>
      </c>
      <c r="BH43" s="528">
        <f t="shared" si="34"/>
        <v>0.55301858209373123</v>
      </c>
      <c r="BI43">
        <f t="shared" si="35"/>
        <v>1.2555515125234484E-2</v>
      </c>
      <c r="BJ43" s="460">
        <f t="shared" si="101"/>
        <v>52.805515125234486</v>
      </c>
      <c r="BK43">
        <f t="shared" si="157"/>
        <v>2.8158967724794417</v>
      </c>
      <c r="BL43" s="460">
        <f t="shared" si="102"/>
        <v>2815.8967724794416</v>
      </c>
      <c r="BM43" s="173">
        <f t="shared" si="158"/>
        <v>0.63706999999999991</v>
      </c>
      <c r="BN43" s="173">
        <f t="shared" si="159"/>
        <v>4.5504999999999997E-2</v>
      </c>
      <c r="BO43" s="528"/>
      <c r="BQ43" s="460">
        <f t="shared" si="103"/>
        <v>682.57499999999993</v>
      </c>
      <c r="BR43" s="528">
        <f t="shared" si="39"/>
        <v>5.8948770337446443E-2</v>
      </c>
      <c r="BS43" s="528">
        <f t="shared" si="104"/>
        <v>0.10814342824411383</v>
      </c>
      <c r="BT43" s="528">
        <f t="shared" si="160"/>
        <v>3.9258406100155436E-4</v>
      </c>
      <c r="BU43" s="528">
        <f t="shared" si="41"/>
        <v>10.036374442482177</v>
      </c>
      <c r="BV43" s="528">
        <f t="shared" si="161"/>
        <v>10.383177511247792</v>
      </c>
      <c r="BW43" s="625">
        <f t="shared" si="162"/>
        <v>1.253191489361702</v>
      </c>
      <c r="BX43" s="460">
        <f t="shared" si="105"/>
        <v>11636.369000609495</v>
      </c>
      <c r="BY43" s="173">
        <f t="shared" si="106"/>
        <v>15.134840773088937</v>
      </c>
      <c r="BZ43" s="5">
        <f t="shared" si="107"/>
        <v>29.45</v>
      </c>
      <c r="CA43" s="173">
        <f t="shared" si="108"/>
        <v>0.66053841371517896</v>
      </c>
      <c r="CB43" s="5">
        <f t="shared" si="109"/>
        <v>66.05384137151789</v>
      </c>
      <c r="CC43">
        <f t="shared" si="172"/>
        <v>38</v>
      </c>
      <c r="CE43" s="562">
        <f t="shared" si="163"/>
        <v>-50</v>
      </c>
      <c r="CF43">
        <f t="shared" si="164"/>
        <v>-50</v>
      </c>
      <c r="CG43" s="173">
        <f t="shared" si="165"/>
        <v>0.33174209395463888</v>
      </c>
      <c r="CH43" s="173">
        <f t="shared" si="166"/>
        <v>0.10757906727210245</v>
      </c>
      <c r="CI43" s="170">
        <v>38</v>
      </c>
      <c r="CJ43" s="217">
        <f t="shared" si="133"/>
        <v>0.95</v>
      </c>
      <c r="CK43" s="217">
        <f t="shared" si="111"/>
        <v>9.5000000000000001E-2</v>
      </c>
      <c r="CL43" s="217">
        <f t="shared" si="48"/>
        <v>26.599999999999998</v>
      </c>
      <c r="CM43" s="217">
        <f t="shared" si="134"/>
        <v>2.85</v>
      </c>
      <c r="CN43" s="541">
        <f t="shared" si="112"/>
        <v>28</v>
      </c>
      <c r="CO43" s="443">
        <f t="shared" si="167"/>
        <v>28.7</v>
      </c>
      <c r="CP43" s="443">
        <f t="shared" si="168"/>
        <v>56.7</v>
      </c>
      <c r="CQ43" s="443"/>
      <c r="CR43" s="217">
        <f t="shared" si="113"/>
        <v>0.50354609929078009</v>
      </c>
      <c r="CS43" s="172">
        <f t="shared" si="114"/>
        <v>106.12369404407841</v>
      </c>
      <c r="CT43" s="172">
        <f t="shared" si="51"/>
        <v>12.588652482269502</v>
      </c>
      <c r="CU43" s="217">
        <f t="shared" si="52"/>
        <v>3.7901319301456575</v>
      </c>
      <c r="CV43" s="217">
        <f t="shared" si="53"/>
        <v>3.5374564681359471</v>
      </c>
      <c r="CW43" s="443">
        <f t="shared" si="54"/>
        <v>28</v>
      </c>
      <c r="CX43" s="217">
        <f t="shared" si="55"/>
        <v>4.1775150905432596</v>
      </c>
      <c r="CY43" s="217">
        <f t="shared" si="56"/>
        <v>0.70122574734118992</v>
      </c>
      <c r="CZ43" s="217">
        <f t="shared" si="57"/>
        <v>0.68412268033286827</v>
      </c>
      <c r="DA43" s="197">
        <f t="shared" si="58"/>
        <v>350</v>
      </c>
      <c r="DB43" s="443">
        <f t="shared" si="115"/>
        <v>350</v>
      </c>
      <c r="DD43" s="217">
        <f t="shared" si="59"/>
        <v>8.6157079064880477</v>
      </c>
      <c r="DE43" s="173">
        <f t="shared" si="60"/>
        <v>1.4109347442680775</v>
      </c>
      <c r="DF43" s="173">
        <f t="shared" si="61"/>
        <v>2.1273352855526046</v>
      </c>
      <c r="DG43" s="173"/>
      <c r="DH43" s="173">
        <f t="shared" si="62"/>
        <v>0.54587688734030204</v>
      </c>
      <c r="DI43" s="545">
        <f t="shared" si="63"/>
        <v>1044.191489361702</v>
      </c>
      <c r="DJ43" s="528">
        <f t="shared" si="64"/>
        <v>0.31842818428184283</v>
      </c>
      <c r="DL43" s="173">
        <f t="shared" si="65"/>
        <v>5.9837673020113389</v>
      </c>
      <c r="DM43" s="173">
        <f t="shared" si="66"/>
        <v>5.9837673020113389</v>
      </c>
      <c r="DN43" s="173">
        <f t="shared" si="67"/>
        <v>3.1632844212429667</v>
      </c>
      <c r="DP43" s="545">
        <f t="shared" si="68"/>
        <v>950</v>
      </c>
      <c r="DQ43" s="460">
        <f t="shared" si="69"/>
        <v>350</v>
      </c>
      <c r="DS43">
        <f t="shared" si="116"/>
        <v>950</v>
      </c>
      <c r="DT43" s="460">
        <f t="shared" si="70"/>
        <v>350</v>
      </c>
      <c r="DU43" s="460"/>
      <c r="DV43" s="5">
        <f t="shared" si="117"/>
        <v>2.8571428571428572</v>
      </c>
      <c r="DW43" s="5">
        <f t="shared" si="71"/>
        <v>1.0044180828376175</v>
      </c>
      <c r="DX43" s="5">
        <f t="shared" si="118"/>
        <v>1.8527247743052397</v>
      </c>
      <c r="DY43" s="173">
        <f t="shared" si="119"/>
        <v>0.35154632899316612</v>
      </c>
      <c r="EA43" s="5">
        <f t="shared" si="72"/>
        <v>3.4078470667704877</v>
      </c>
      <c r="EB43" s="5">
        <f t="shared" si="73"/>
        <v>0.3180657262319122</v>
      </c>
      <c r="EC43" s="5">
        <f t="shared" si="74"/>
        <v>1.2572060968499839</v>
      </c>
      <c r="ED43" s="5"/>
      <c r="EE43" s="173">
        <f t="shared" si="120"/>
        <v>2.0483555950836103</v>
      </c>
      <c r="EF43" s="173">
        <f t="shared" si="75"/>
        <v>2.7819770663378387</v>
      </c>
      <c r="EG43" s="173">
        <f t="shared" si="76"/>
        <v>0.28047801570455261</v>
      </c>
      <c r="EH43" s="173"/>
      <c r="EI43" s="528">
        <f t="shared" si="77"/>
        <v>5.0349127726923973E-2</v>
      </c>
      <c r="EJ43" s="528">
        <f t="shared" si="78"/>
        <v>2.2562093800598859</v>
      </c>
      <c r="EK43" s="528">
        <f t="shared" si="79"/>
        <v>4.0250000000000001E-2</v>
      </c>
      <c r="EL43" s="528">
        <f t="shared" si="80"/>
        <v>0.55416666375000012</v>
      </c>
      <c r="EM43">
        <f t="shared" si="81"/>
        <v>1.26E-2</v>
      </c>
      <c r="EN43" s="460">
        <f t="shared" si="121"/>
        <v>52.85</v>
      </c>
      <c r="EO43">
        <f t="shared" si="82"/>
        <v>2.9626110115648894</v>
      </c>
      <c r="EP43" s="460">
        <f t="shared" si="122"/>
        <v>2962.6110115648894</v>
      </c>
      <c r="EQ43" s="173">
        <f t="shared" si="83"/>
        <v>0.63706999999999991</v>
      </c>
      <c r="ER43" s="173">
        <f t="shared" si="169"/>
        <v>4.5504999999999997E-2</v>
      </c>
      <c r="ES43" s="528"/>
      <c r="EU43" s="460">
        <f t="shared" si="123"/>
        <v>682.57499999999993</v>
      </c>
      <c r="EV43" s="528">
        <f t="shared" si="85"/>
        <v>5.8740649014744635E-2</v>
      </c>
      <c r="EW43" s="528">
        <f t="shared" si="124"/>
        <v>0.10835154956681563</v>
      </c>
      <c r="EX43" s="528">
        <f t="shared" si="86"/>
        <v>3.933395864678163E-4</v>
      </c>
      <c r="EY43" s="528">
        <f t="shared" si="87"/>
        <v>10.036374442482177</v>
      </c>
      <c r="EZ43" s="528">
        <f t="shared" si="88"/>
        <v>10.383179096926026</v>
      </c>
      <c r="FA43" s="625">
        <f t="shared" si="89"/>
        <v>1.253191489361702</v>
      </c>
      <c r="FB43" s="460">
        <f t="shared" si="125"/>
        <v>11636.370586287729</v>
      </c>
      <c r="FC43" s="173">
        <f t="shared" si="126"/>
        <v>15.281556597852619</v>
      </c>
      <c r="FD43" s="5">
        <f t="shared" si="127"/>
        <v>29.45</v>
      </c>
      <c r="FE43" s="173">
        <f t="shared" si="128"/>
        <v>0.6583719020726807</v>
      </c>
      <c r="FF43" s="5">
        <f t="shared" si="129"/>
        <v>65.837190207268065</v>
      </c>
      <c r="FG43">
        <f t="shared" si="130"/>
        <v>38</v>
      </c>
      <c r="FI43" s="562">
        <f t="shared" si="90"/>
        <v>-50</v>
      </c>
      <c r="FJ43">
        <f t="shared" si="91"/>
        <v>-50</v>
      </c>
      <c r="FL43">
        <f t="shared" si="92"/>
        <v>0.33174209395463888</v>
      </c>
    </row>
    <row r="44" spans="5:168">
      <c r="E44" s="170">
        <v>39</v>
      </c>
      <c r="F44" s="217">
        <f t="shared" si="173"/>
        <v>0.97500000000000009</v>
      </c>
      <c r="G44" s="217">
        <f t="shared" si="170"/>
        <v>9.7500000000000003E-2</v>
      </c>
      <c r="H44" s="217">
        <f t="shared" si="135"/>
        <v>27.300000000000004</v>
      </c>
      <c r="I44" s="217">
        <f t="shared" si="174"/>
        <v>2.9250000000000003</v>
      </c>
      <c r="J44" s="541">
        <f t="shared" si="136"/>
        <v>27.899852442048523</v>
      </c>
      <c r="K44" s="443">
        <f t="shared" si="137"/>
        <v>28.740615477607392</v>
      </c>
      <c r="L44" s="172">
        <f t="shared" si="138"/>
        <v>56.640467919655919</v>
      </c>
      <c r="M44" s="443"/>
      <c r="N44" s="217">
        <f t="shared" si="139"/>
        <v>0.50742192875905867</v>
      </c>
      <c r="O44" s="172">
        <f t="shared" si="171"/>
        <v>106.55804147060405</v>
      </c>
      <c r="P44" s="172">
        <f t="shared" si="140"/>
        <v>12.64017583771196</v>
      </c>
      <c r="Q44" s="217">
        <f t="shared" si="6"/>
        <v>3.8056443382358589</v>
      </c>
      <c r="R44" s="217">
        <f t="shared" si="141"/>
        <v>3.551934715686802</v>
      </c>
      <c r="S44" s="443">
        <f t="shared" si="142"/>
        <v>28</v>
      </c>
      <c r="T44" s="217">
        <f t="shared" si="143"/>
        <v>4.2699733752662867</v>
      </c>
      <c r="U44" s="217">
        <f t="shared" si="10"/>
        <v>0.719318315587407</v>
      </c>
      <c r="V44" s="217">
        <f t="shared" si="11"/>
        <v>0.69827575124087937</v>
      </c>
      <c r="W44" s="197">
        <f t="shared" si="12"/>
        <v>350</v>
      </c>
      <c r="X44" s="443">
        <f t="shared" si="95"/>
        <v>350</v>
      </c>
      <c r="Z44" s="217">
        <f t="shared" si="13"/>
        <v>8.606077166101759</v>
      </c>
      <c r="AA44" s="173">
        <f t="shared" si="14"/>
        <v>1.4073659178312607</v>
      </c>
      <c r="AB44" s="173">
        <f t="shared" si="144"/>
        <v>2.1195824457145549</v>
      </c>
      <c r="AC44" s="173"/>
      <c r="AD44" s="173">
        <f t="shared" si="16"/>
        <v>0.54510546856148578</v>
      </c>
      <c r="AE44" s="545">
        <f t="shared" si="145"/>
        <v>1073.1868119829994</v>
      </c>
      <c r="AF44" s="528">
        <f t="shared" si="146"/>
        <v>0.31797818999420008</v>
      </c>
      <c r="AH44" s="173">
        <f t="shared" si="147"/>
        <v>6.0619898024280481</v>
      </c>
      <c r="AI44" s="173">
        <f t="shared" si="148"/>
        <v>6.0619898024280481</v>
      </c>
      <c r="AJ44" s="173">
        <f t="shared" si="149"/>
        <v>3.2212270141442332</v>
      </c>
      <c r="AL44" s="545">
        <f t="shared" si="150"/>
        <v>975.00000000000011</v>
      </c>
      <c r="AM44" s="460">
        <f t="shared" si="151"/>
        <v>350</v>
      </c>
      <c r="AO44">
        <f t="shared" si="96"/>
        <v>975.00000000000011</v>
      </c>
      <c r="AP44" s="460">
        <f t="shared" si="24"/>
        <v>350</v>
      </c>
      <c r="AQ44" s="460"/>
      <c r="AR44" s="5">
        <f t="shared" si="97"/>
        <v>2.8571428571428572</v>
      </c>
      <c r="AS44" s="5">
        <f t="shared" si="25"/>
        <v>1.0212008156886105</v>
      </c>
      <c r="AT44" s="5">
        <f t="shared" si="98"/>
        <v>1.8359420414542467</v>
      </c>
      <c r="AU44" s="173">
        <f t="shared" si="99"/>
        <v>0.35742028549101368</v>
      </c>
      <c r="AW44" s="5">
        <f t="shared" si="152"/>
        <v>3.555967126058555</v>
      </c>
      <c r="AX44" s="5">
        <f t="shared" si="153"/>
        <v>0.33189026509879843</v>
      </c>
      <c r="AY44" s="5">
        <f t="shared" si="28"/>
        <v>1.283192084356743</v>
      </c>
      <c r="AZ44" s="5"/>
      <c r="BA44" s="173">
        <f t="shared" si="100"/>
        <v>2.0923974052037293</v>
      </c>
      <c r="BB44" s="173">
        <f t="shared" si="154"/>
        <v>2.8055504308918149</v>
      </c>
      <c r="BC44" s="173">
        <f t="shared" si="155"/>
        <v>0.28285467458991254</v>
      </c>
      <c r="BD44" s="173"/>
      <c r="BE44" s="528">
        <f t="shared" si="31"/>
        <v>5.2537522815639594E-2</v>
      </c>
      <c r="BF44" s="528">
        <f t="shared" si="156"/>
        <v>2.1931732849390548</v>
      </c>
      <c r="BG44" s="528">
        <f t="shared" si="33"/>
        <v>4.0250000000000001E-2</v>
      </c>
      <c r="BH44" s="528">
        <f t="shared" si="34"/>
        <v>0.5530035817364114</v>
      </c>
      <c r="BI44">
        <f t="shared" si="35"/>
        <v>1.2554933598921835E-2</v>
      </c>
      <c r="BJ44" s="460">
        <f t="shared" si="101"/>
        <v>52.804933598921835</v>
      </c>
      <c r="BK44">
        <f t="shared" si="157"/>
        <v>2.8484565630077352</v>
      </c>
      <c r="BL44" s="460">
        <f t="shared" si="102"/>
        <v>2848.456563007735</v>
      </c>
      <c r="BM44" s="173">
        <f t="shared" si="158"/>
        <v>0.65383499999999994</v>
      </c>
      <c r="BN44" s="173">
        <f t="shared" si="159"/>
        <v>4.6702500000000001E-2</v>
      </c>
      <c r="BO44" s="528"/>
      <c r="BQ44" s="460">
        <f t="shared" si="103"/>
        <v>700.53749999999991</v>
      </c>
      <c r="BR44" s="528">
        <f t="shared" si="39"/>
        <v>6.1293776618246192E-2</v>
      </c>
      <c r="BS44" s="528">
        <f t="shared" si="104"/>
        <v>0.11019558508388148</v>
      </c>
      <c r="BT44" s="528">
        <f t="shared" si="160"/>
        <v>4.000338346868266E-4</v>
      </c>
      <c r="BU44" s="528">
        <f t="shared" si="41"/>
        <v>10.367597274627316</v>
      </c>
      <c r="BV44" s="528">
        <f t="shared" si="161"/>
        <v>10.728266139645099</v>
      </c>
      <c r="BW44" s="625">
        <f t="shared" si="162"/>
        <v>1.2861702127659578</v>
      </c>
      <c r="BX44" s="460">
        <f t="shared" si="105"/>
        <v>12014.436352411056</v>
      </c>
      <c r="BY44" s="173">
        <f t="shared" si="106"/>
        <v>15.563430415418791</v>
      </c>
      <c r="BZ44" s="5">
        <f t="shared" si="107"/>
        <v>30.225000000000005</v>
      </c>
      <c r="CA44" s="173">
        <f t="shared" si="108"/>
        <v>0.66010124666387426</v>
      </c>
      <c r="CB44" s="5">
        <f t="shared" si="109"/>
        <v>66.010124666387426</v>
      </c>
      <c r="CC44">
        <f t="shared" si="172"/>
        <v>39</v>
      </c>
      <c r="CE44" s="562">
        <f t="shared" si="163"/>
        <v>-50</v>
      </c>
      <c r="CF44">
        <f t="shared" si="164"/>
        <v>-50</v>
      </c>
      <c r="CG44" s="173">
        <f t="shared" si="165"/>
        <v>0.33607877597666275</v>
      </c>
      <c r="CH44" s="173">
        <f t="shared" si="166"/>
        <v>0.10898538927792187</v>
      </c>
      <c r="CI44" s="170">
        <v>39</v>
      </c>
      <c r="CJ44" s="217">
        <f t="shared" si="133"/>
        <v>0.97500000000000009</v>
      </c>
      <c r="CK44" s="217">
        <f t="shared" si="111"/>
        <v>9.7500000000000003E-2</v>
      </c>
      <c r="CL44" s="217">
        <f t="shared" si="48"/>
        <v>27.300000000000004</v>
      </c>
      <c r="CM44" s="217">
        <f t="shared" si="134"/>
        <v>2.9250000000000003</v>
      </c>
      <c r="CN44" s="541">
        <f t="shared" si="112"/>
        <v>28</v>
      </c>
      <c r="CO44" s="443">
        <f t="shared" si="167"/>
        <v>28.7</v>
      </c>
      <c r="CP44" s="443">
        <f t="shared" si="168"/>
        <v>56.7</v>
      </c>
      <c r="CQ44" s="443"/>
      <c r="CR44" s="217">
        <f t="shared" si="113"/>
        <v>0.50354609929078009</v>
      </c>
      <c r="CS44" s="172">
        <f t="shared" si="114"/>
        <v>106.12369404407841</v>
      </c>
      <c r="CT44" s="172">
        <f t="shared" si="51"/>
        <v>12.588652482269502</v>
      </c>
      <c r="CU44" s="217">
        <f t="shared" si="52"/>
        <v>3.7901319301456575</v>
      </c>
      <c r="CV44" s="217">
        <f t="shared" si="53"/>
        <v>3.5374564681359471</v>
      </c>
      <c r="CW44" s="443">
        <f t="shared" si="54"/>
        <v>28</v>
      </c>
      <c r="CX44" s="217">
        <f t="shared" si="55"/>
        <v>4.2874496981891363</v>
      </c>
      <c r="CY44" s="217">
        <f t="shared" si="56"/>
        <v>0.7196790564817479</v>
      </c>
      <c r="CZ44" s="217">
        <f t="shared" si="57"/>
        <v>0.70212590876268099</v>
      </c>
      <c r="DA44" s="197">
        <f t="shared" si="58"/>
        <v>350</v>
      </c>
      <c r="DB44" s="443">
        <f t="shared" si="115"/>
        <v>350</v>
      </c>
      <c r="DD44" s="217">
        <f t="shared" si="59"/>
        <v>8.6157079064880477</v>
      </c>
      <c r="DE44" s="173">
        <f t="shared" si="60"/>
        <v>1.4109347442680775</v>
      </c>
      <c r="DF44" s="173">
        <f t="shared" si="61"/>
        <v>2.1273352855526046</v>
      </c>
      <c r="DG44" s="173"/>
      <c r="DH44" s="173">
        <f t="shared" si="62"/>
        <v>0.54587688734030204</v>
      </c>
      <c r="DI44" s="545">
        <f t="shared" si="63"/>
        <v>1071.6702127659576</v>
      </c>
      <c r="DJ44" s="528">
        <f t="shared" si="64"/>
        <v>0.31842818428184283</v>
      </c>
      <c r="DL44" s="173">
        <f t="shared" si="65"/>
        <v>6.0619898024280481</v>
      </c>
      <c r="DM44" s="173">
        <f t="shared" si="66"/>
        <v>6.0619898024280481</v>
      </c>
      <c r="DN44" s="173">
        <f t="shared" si="67"/>
        <v>3.2212270141442332</v>
      </c>
      <c r="DP44" s="545">
        <f t="shared" si="68"/>
        <v>975.00000000000011</v>
      </c>
      <c r="DQ44" s="460">
        <f t="shared" si="69"/>
        <v>350</v>
      </c>
      <c r="DS44">
        <f t="shared" si="116"/>
        <v>975.00000000000011</v>
      </c>
      <c r="DT44" s="460">
        <f t="shared" si="70"/>
        <v>350</v>
      </c>
      <c r="DU44" s="460"/>
      <c r="DV44" s="5">
        <f t="shared" si="117"/>
        <v>2.8571428571428572</v>
      </c>
      <c r="DW44" s="5">
        <f t="shared" si="71"/>
        <v>1.017548288264708</v>
      </c>
      <c r="DX44" s="5">
        <f t="shared" si="118"/>
        <v>1.8395945688781492</v>
      </c>
      <c r="DY44" s="173">
        <f t="shared" si="119"/>
        <v>0.3561419008926478</v>
      </c>
      <c r="EA44" s="5">
        <f t="shared" si="72"/>
        <v>3.5432485037788948</v>
      </c>
      <c r="EB44" s="5">
        <f t="shared" si="73"/>
        <v>0.33070319368603013</v>
      </c>
      <c r="EC44" s="5">
        <f t="shared" si="74"/>
        <v>1.2811462176115682</v>
      </c>
      <c r="ED44" s="5"/>
      <c r="EE44" s="173">
        <f t="shared" si="120"/>
        <v>2.0886521159327094</v>
      </c>
      <c r="EF44" s="173">
        <f t="shared" si="75"/>
        <v>2.8083398049720345</v>
      </c>
      <c r="EG44" s="173">
        <f t="shared" si="76"/>
        <v>0.28313589837013137</v>
      </c>
      <c r="EH44" s="173"/>
      <c r="EI44" s="528">
        <f t="shared" si="77"/>
        <v>5.2349611936682208E-2</v>
      </c>
      <c r="EJ44" s="528">
        <f t="shared" si="78"/>
        <v>2.2857035649545083</v>
      </c>
      <c r="EK44" s="528">
        <f t="shared" si="79"/>
        <v>4.0250000000000001E-2</v>
      </c>
      <c r="EL44" s="528">
        <f t="shared" si="80"/>
        <v>0.55416666375000012</v>
      </c>
      <c r="EM44">
        <f t="shared" si="81"/>
        <v>1.26E-2</v>
      </c>
      <c r="EN44" s="460">
        <f t="shared" si="121"/>
        <v>52.85</v>
      </c>
      <c r="EO44">
        <f t="shared" si="82"/>
        <v>2.9964751968065122</v>
      </c>
      <c r="EP44" s="460">
        <f t="shared" si="122"/>
        <v>2996.475196806512</v>
      </c>
      <c r="EQ44" s="173">
        <f t="shared" si="83"/>
        <v>0.65383499999999994</v>
      </c>
      <c r="ER44" s="173">
        <f t="shared" si="169"/>
        <v>4.6702500000000001E-2</v>
      </c>
      <c r="ES44" s="528"/>
      <c r="EU44" s="460">
        <f t="shared" si="123"/>
        <v>700.53749999999991</v>
      </c>
      <c r="EV44" s="528">
        <f t="shared" si="85"/>
        <v>6.1074547259462576E-2</v>
      </c>
      <c r="EW44" s="528">
        <f t="shared" si="124"/>
        <v>0.11041481444266511</v>
      </c>
      <c r="EX44" s="528">
        <f t="shared" si="86"/>
        <v>4.0082968472930679E-4</v>
      </c>
      <c r="EY44" s="528">
        <f t="shared" si="87"/>
        <v>10.367597274627316</v>
      </c>
      <c r="EZ44" s="528">
        <f t="shared" si="88"/>
        <v>10.728267832829784</v>
      </c>
      <c r="FA44" s="625">
        <f t="shared" si="89"/>
        <v>1.2861702127659578</v>
      </c>
      <c r="FB44" s="460">
        <f t="shared" si="125"/>
        <v>12014.438045595742</v>
      </c>
      <c r="FC44" s="173">
        <f t="shared" si="126"/>
        <v>15.711450742402254</v>
      </c>
      <c r="FD44" s="5">
        <f t="shared" si="127"/>
        <v>30.225000000000005</v>
      </c>
      <c r="FE44" s="173">
        <f t="shared" si="128"/>
        <v>0.65797421245042798</v>
      </c>
      <c r="FF44" s="5">
        <f t="shared" si="129"/>
        <v>65.797421245042798</v>
      </c>
      <c r="FG44">
        <f t="shared" si="130"/>
        <v>39</v>
      </c>
      <c r="FI44" s="562">
        <f t="shared" si="90"/>
        <v>-50</v>
      </c>
      <c r="FJ44">
        <f t="shared" si="91"/>
        <v>-50</v>
      </c>
      <c r="FL44">
        <f t="shared" si="92"/>
        <v>0.33607877597666269</v>
      </c>
    </row>
    <row r="45" spans="5:168">
      <c r="E45" s="170">
        <v>40</v>
      </c>
      <c r="F45" s="217">
        <f t="shared" si="173"/>
        <v>1</v>
      </c>
      <c r="G45" s="217">
        <f t="shared" si="170"/>
        <v>0.1</v>
      </c>
      <c r="H45" s="217">
        <f t="shared" si="135"/>
        <v>28</v>
      </c>
      <c r="I45" s="217">
        <f t="shared" si="174"/>
        <v>3</v>
      </c>
      <c r="J45" s="541">
        <f t="shared" si="136"/>
        <v>27.89857662554525</v>
      </c>
      <c r="K45" s="443">
        <f t="shared" si="137"/>
        <v>28.741132893085911</v>
      </c>
      <c r="L45" s="172">
        <f t="shared" si="138"/>
        <v>56.639709518631165</v>
      </c>
      <c r="M45" s="443"/>
      <c r="N45" s="217">
        <f t="shared" si="139"/>
        <v>0.50743785830384169</v>
      </c>
      <c r="O45" s="172">
        <f t="shared" si="171"/>
        <v>106.55651377220012</v>
      </c>
      <c r="P45" s="172">
        <f t="shared" si="140"/>
        <v>12.639994618385982</v>
      </c>
      <c r="Q45" s="217">
        <f t="shared" si="6"/>
        <v>3.8055897775785756</v>
      </c>
      <c r="R45" s="217">
        <f t="shared" si="141"/>
        <v>3.5518837924066706</v>
      </c>
      <c r="S45" s="443">
        <f t="shared" si="142"/>
        <v>28</v>
      </c>
      <c r="T45" s="217">
        <f t="shared" si="143"/>
        <v>4.3795226602882433</v>
      </c>
      <c r="U45" s="217">
        <f t="shared" si="10"/>
        <v>0.73780669098749951</v>
      </c>
      <c r="V45" s="217">
        <f t="shared" si="11"/>
        <v>0.71617763224310693</v>
      </c>
      <c r="W45" s="197">
        <f t="shared" si="12"/>
        <v>350</v>
      </c>
      <c r="X45" s="443">
        <f t="shared" si="95"/>
        <v>350</v>
      </c>
      <c r="Z45" s="217">
        <f t="shared" si="13"/>
        <v>8.6059537827308805</v>
      </c>
      <c r="AA45" s="173">
        <f t="shared" si="14"/>
        <v>1.4073204048461665</v>
      </c>
      <c r="AB45" s="173">
        <f t="shared" si="144"/>
        <v>2.1194835132800387</v>
      </c>
      <c r="AC45" s="173"/>
      <c r="AD45" s="173">
        <f t="shared" si="16"/>
        <v>0.5450956552389592</v>
      </c>
      <c r="AE45" s="545">
        <f t="shared" si="145"/>
        <v>1100.7242384586093</v>
      </c>
      <c r="AF45" s="528">
        <f t="shared" si="146"/>
        <v>0.31797246555605957</v>
      </c>
      <c r="AH45" s="173">
        <f t="shared" si="147"/>
        <v>6.1392157157786222</v>
      </c>
      <c r="AI45" s="173">
        <f t="shared" si="148"/>
        <v>6.1392157157786222</v>
      </c>
      <c r="AJ45" s="173">
        <f t="shared" si="149"/>
        <v>3.278431394403917</v>
      </c>
      <c r="AL45" s="545">
        <f t="shared" si="150"/>
        <v>1000</v>
      </c>
      <c r="AM45" s="460">
        <f t="shared" si="151"/>
        <v>350</v>
      </c>
      <c r="AO45">
        <f t="shared" si="96"/>
        <v>1000</v>
      </c>
      <c r="AP45" s="460">
        <f t="shared" si="24"/>
        <v>350</v>
      </c>
      <c r="AQ45" s="460"/>
      <c r="AR45" s="5">
        <f t="shared" si="97"/>
        <v>2.8571428571428572</v>
      </c>
      <c r="AS45" s="5">
        <f t="shared" si="25"/>
        <v>1.0342575627223634</v>
      </c>
      <c r="AT45" s="5">
        <f t="shared" si="98"/>
        <v>1.8228852944204939</v>
      </c>
      <c r="AU45" s="173">
        <f t="shared" si="99"/>
        <v>0.36199014695282716</v>
      </c>
      <c r="AW45" s="5">
        <f t="shared" si="152"/>
        <v>3.693777009722726</v>
      </c>
      <c r="AX45" s="5">
        <f t="shared" si="153"/>
        <v>0.34475252090745445</v>
      </c>
      <c r="AY45" s="5">
        <f t="shared" si="28"/>
        <v>1.3067944783615766</v>
      </c>
      <c r="AZ45" s="5"/>
      <c r="BA45" s="173">
        <f t="shared" si="100"/>
        <v>2.1325569657035368</v>
      </c>
      <c r="BB45" s="173">
        <f t="shared" si="154"/>
        <v>2.8311700743068049</v>
      </c>
      <c r="BC45" s="173">
        <f t="shared" si="155"/>
        <v>0.28543763863912869</v>
      </c>
      <c r="BD45" s="173"/>
      <c r="BE45" s="528">
        <f t="shared" si="31"/>
        <v>5.4573590543648111E-2</v>
      </c>
      <c r="BF45" s="528">
        <f t="shared" si="156"/>
        <v>2.2210831843738914</v>
      </c>
      <c r="BG45" s="528">
        <f t="shared" si="33"/>
        <v>4.0250000000000001E-2</v>
      </c>
      <c r="BH45" s="528">
        <f t="shared" si="34"/>
        <v>0.55298877268942892</v>
      </c>
      <c r="BI45">
        <f t="shared" si="35"/>
        <v>1.2554359481495362E-2</v>
      </c>
      <c r="BJ45" s="460">
        <f t="shared" si="101"/>
        <v>52.804359481495368</v>
      </c>
      <c r="BK45">
        <f t="shared" si="157"/>
        <v>2.8807339875653217</v>
      </c>
      <c r="BL45" s="460">
        <f t="shared" si="102"/>
        <v>2880.7339875653215</v>
      </c>
      <c r="BM45" s="173">
        <f t="shared" si="158"/>
        <v>0.67059999999999997</v>
      </c>
      <c r="BN45" s="173">
        <f t="shared" si="159"/>
        <v>4.7899999999999998E-2</v>
      </c>
      <c r="BO45" s="528"/>
      <c r="BQ45" s="460">
        <f t="shared" si="103"/>
        <v>718.49999999999989</v>
      </c>
      <c r="BR45" s="528">
        <f t="shared" si="39"/>
        <v>6.3669188967589468E-2</v>
      </c>
      <c r="BS45" s="528">
        <f t="shared" si="104"/>
        <v>0.11221733585510558</v>
      </c>
      <c r="BT45" s="528">
        <f t="shared" si="160"/>
        <v>4.0737322775940909E-4</v>
      </c>
      <c r="BU45" s="528">
        <f t="shared" si="41"/>
        <v>10.700950354754124</v>
      </c>
      <c r="BV45" s="528">
        <f t="shared" si="161"/>
        <v>11.075761927868101</v>
      </c>
      <c r="BW45" s="625">
        <f t="shared" si="162"/>
        <v>1.3191489361702127</v>
      </c>
      <c r="BX45" s="460">
        <f t="shared" si="105"/>
        <v>12394.910864038313</v>
      </c>
      <c r="BY45" s="173">
        <f t="shared" si="106"/>
        <v>15.994144851603636</v>
      </c>
      <c r="BZ45" s="5">
        <f t="shared" si="107"/>
        <v>31</v>
      </c>
      <c r="CA45" s="173">
        <f t="shared" si="108"/>
        <v>0.65965664654374812</v>
      </c>
      <c r="CB45" s="5">
        <f t="shared" si="109"/>
        <v>65.965664654374805</v>
      </c>
      <c r="CC45">
        <f t="shared" si="172"/>
        <v>40</v>
      </c>
      <c r="CE45" s="562">
        <f t="shared" si="163"/>
        <v>-50</v>
      </c>
      <c r="CF45">
        <f t="shared" si="164"/>
        <v>-50</v>
      </c>
      <c r="CG45" s="173">
        <f t="shared" si="165"/>
        <v>0.34036020687285878</v>
      </c>
      <c r="CH45" s="173">
        <f t="shared" si="166"/>
        <v>0.11037379415868961</v>
      </c>
      <c r="CI45" s="170">
        <v>40</v>
      </c>
      <c r="CJ45" s="217">
        <f t="shared" si="133"/>
        <v>1</v>
      </c>
      <c r="CK45" s="217">
        <f t="shared" si="111"/>
        <v>0.1</v>
      </c>
      <c r="CL45" s="217">
        <f t="shared" si="48"/>
        <v>28</v>
      </c>
      <c r="CM45" s="217">
        <f t="shared" si="134"/>
        <v>3</v>
      </c>
      <c r="CN45" s="541">
        <f t="shared" si="112"/>
        <v>28</v>
      </c>
      <c r="CO45" s="443">
        <f t="shared" si="167"/>
        <v>28.7</v>
      </c>
      <c r="CP45" s="443">
        <f t="shared" si="168"/>
        <v>56.7</v>
      </c>
      <c r="CQ45" s="443"/>
      <c r="CR45" s="217">
        <f t="shared" si="113"/>
        <v>0.50354609929078009</v>
      </c>
      <c r="CS45" s="172">
        <f t="shared" si="114"/>
        <v>106.12369404407841</v>
      </c>
      <c r="CT45" s="172">
        <f t="shared" si="51"/>
        <v>12.588652482269502</v>
      </c>
      <c r="CU45" s="217">
        <f t="shared" si="52"/>
        <v>3.7901319301456575</v>
      </c>
      <c r="CV45" s="217">
        <f t="shared" si="53"/>
        <v>3.5374564681359471</v>
      </c>
      <c r="CW45" s="443">
        <f t="shared" si="54"/>
        <v>28</v>
      </c>
      <c r="CX45" s="217">
        <f t="shared" si="55"/>
        <v>4.3973843058350104</v>
      </c>
      <c r="CY45" s="217">
        <f t="shared" si="56"/>
        <v>0.73813236562230533</v>
      </c>
      <c r="CZ45" s="217">
        <f t="shared" si="57"/>
        <v>0.72012913719249305</v>
      </c>
      <c r="DA45" s="197">
        <f t="shared" si="58"/>
        <v>350</v>
      </c>
      <c r="DB45" s="443">
        <f t="shared" si="115"/>
        <v>350</v>
      </c>
      <c r="DD45" s="217">
        <f t="shared" si="59"/>
        <v>8.6157079064880477</v>
      </c>
      <c r="DE45" s="173">
        <f t="shared" si="60"/>
        <v>1.4109347442680775</v>
      </c>
      <c r="DF45" s="173">
        <f t="shared" si="61"/>
        <v>2.1273352855526046</v>
      </c>
      <c r="DG45" s="173"/>
      <c r="DH45" s="173">
        <f t="shared" si="62"/>
        <v>0.54587688734030204</v>
      </c>
      <c r="DI45" s="545">
        <f t="shared" si="63"/>
        <v>1099.1489361702127</v>
      </c>
      <c r="DJ45" s="528">
        <f t="shared" si="64"/>
        <v>0.31842818428184283</v>
      </c>
      <c r="DL45" s="173">
        <f t="shared" si="65"/>
        <v>6.1392157157786222</v>
      </c>
      <c r="DM45" s="173">
        <f t="shared" si="66"/>
        <v>6.1392157157786222</v>
      </c>
      <c r="DN45" s="173">
        <f t="shared" si="67"/>
        <v>3.278431394403917</v>
      </c>
      <c r="DP45" s="545">
        <f t="shared" si="68"/>
        <v>1000</v>
      </c>
      <c r="DQ45" s="460">
        <f t="shared" si="69"/>
        <v>350</v>
      </c>
      <c r="DS45">
        <f t="shared" si="116"/>
        <v>1000</v>
      </c>
      <c r="DT45" s="460">
        <f t="shared" si="70"/>
        <v>350</v>
      </c>
      <c r="DU45" s="460"/>
      <c r="DV45" s="5">
        <f t="shared" si="117"/>
        <v>2.8571428571428572</v>
      </c>
      <c r="DW45" s="5">
        <f t="shared" si="71"/>
        <v>1.0305112094342688</v>
      </c>
      <c r="DX45" s="5">
        <f t="shared" si="118"/>
        <v>1.8266316477085884</v>
      </c>
      <c r="DY45" s="173">
        <f t="shared" si="119"/>
        <v>0.36067892330199408</v>
      </c>
      <c r="EA45" s="5">
        <f t="shared" si="72"/>
        <v>3.6803971765509598</v>
      </c>
      <c r="EB45" s="5">
        <f t="shared" si="73"/>
        <v>0.34350373647808963</v>
      </c>
      <c r="EC45" s="5">
        <f t="shared" si="74"/>
        <v>1.3047368912204202</v>
      </c>
      <c r="ED45" s="5"/>
      <c r="EE45" s="173">
        <f t="shared" si="120"/>
        <v>2.128691120255743</v>
      </c>
      <c r="EF45" s="173">
        <f t="shared" si="75"/>
        <v>2.8340778599335312</v>
      </c>
      <c r="EG45" s="173">
        <f t="shared" si="76"/>
        <v>0.28573080063264295</v>
      </c>
      <c r="EH45" s="173"/>
      <c r="EI45" s="528">
        <f t="shared" si="77"/>
        <v>5.4375910625467802E-2</v>
      </c>
      <c r="EJ45" s="528">
        <f t="shared" si="78"/>
        <v>2.3148219817129085</v>
      </c>
      <c r="EK45" s="528">
        <f t="shared" si="79"/>
        <v>4.0250000000000001E-2</v>
      </c>
      <c r="EL45" s="528">
        <f t="shared" si="80"/>
        <v>0.55416666375000012</v>
      </c>
      <c r="EM45">
        <f t="shared" si="81"/>
        <v>1.26E-2</v>
      </c>
      <c r="EN45" s="460">
        <f t="shared" si="121"/>
        <v>52.85</v>
      </c>
      <c r="EO45">
        <f t="shared" si="82"/>
        <v>3.0300433526459138</v>
      </c>
      <c r="EP45" s="460">
        <f t="shared" si="122"/>
        <v>3030.0433526459137</v>
      </c>
      <c r="EQ45" s="173">
        <f t="shared" si="83"/>
        <v>0.67059999999999997</v>
      </c>
      <c r="ER45" s="173">
        <f t="shared" si="169"/>
        <v>4.7899999999999998E-2</v>
      </c>
      <c r="ES45" s="528"/>
      <c r="EU45" s="460">
        <f t="shared" si="123"/>
        <v>718.49999999999989</v>
      </c>
      <c r="EV45" s="528">
        <f t="shared" si="85"/>
        <v>6.34385623963791E-2</v>
      </c>
      <c r="EW45" s="528">
        <f t="shared" si="124"/>
        <v>0.11244796242631595</v>
      </c>
      <c r="EX45" s="528">
        <f t="shared" si="86"/>
        <v>4.0821045215085576E-4</v>
      </c>
      <c r="EY45" s="528">
        <f t="shared" si="87"/>
        <v>10.700950354754124</v>
      </c>
      <c r="EZ45" s="528">
        <f t="shared" si="88"/>
        <v>11.075763733321544</v>
      </c>
      <c r="FA45" s="625">
        <f t="shared" si="89"/>
        <v>1.3191489361702127</v>
      </c>
      <c r="FB45" s="460">
        <f t="shared" si="125"/>
        <v>12394.912669491756</v>
      </c>
      <c r="FC45" s="173">
        <f t="shared" si="126"/>
        <v>16.14345602213767</v>
      </c>
      <c r="FD45" s="5">
        <f t="shared" si="127"/>
        <v>31</v>
      </c>
      <c r="FE45" s="173">
        <f t="shared" si="128"/>
        <v>0.65756740416831105</v>
      </c>
      <c r="FF45" s="5">
        <f t="shared" si="129"/>
        <v>65.756740416831107</v>
      </c>
      <c r="FG45">
        <f t="shared" si="130"/>
        <v>40</v>
      </c>
      <c r="FI45" s="562">
        <f t="shared" si="90"/>
        <v>-50</v>
      </c>
      <c r="FJ45">
        <f t="shared" si="91"/>
        <v>-50</v>
      </c>
      <c r="FL45">
        <f t="shared" si="92"/>
        <v>0.34036020687285878</v>
      </c>
    </row>
    <row r="46" spans="5:168">
      <c r="E46" s="170">
        <v>41</v>
      </c>
      <c r="F46" s="217">
        <f t="shared" si="173"/>
        <v>1.0249999999999999</v>
      </c>
      <c r="G46" s="217">
        <f t="shared" si="170"/>
        <v>0.10249999999999999</v>
      </c>
      <c r="H46" s="217">
        <f t="shared" si="135"/>
        <v>28.699999999999996</v>
      </c>
      <c r="I46" s="217">
        <f t="shared" si="174"/>
        <v>3.0749999999999997</v>
      </c>
      <c r="J46" s="541">
        <f t="shared" si="136"/>
        <v>27.897316659540444</v>
      </c>
      <c r="K46" s="443">
        <f t="shared" si="137"/>
        <v>28.741643880294198</v>
      </c>
      <c r="L46" s="172">
        <f t="shared" si="138"/>
        <v>56.638960539834642</v>
      </c>
      <c r="M46" s="443"/>
      <c r="N46" s="217">
        <f t="shared" si="139"/>
        <v>0.50745359036170812</v>
      </c>
      <c r="O46" s="172">
        <f t="shared" si="171"/>
        <v>106.55500484127855</v>
      </c>
      <c r="P46" s="172">
        <f t="shared" si="140"/>
        <v>12.639815625304724</v>
      </c>
      <c r="Q46" s="217">
        <f t="shared" si="6"/>
        <v>3.8055358871885194</v>
      </c>
      <c r="R46" s="217">
        <f t="shared" si="141"/>
        <v>3.5518334947092849</v>
      </c>
      <c r="S46" s="443">
        <f t="shared" si="142"/>
        <v>28</v>
      </c>
      <c r="T46" s="217">
        <f t="shared" si="143"/>
        <v>4.4890742959079741</v>
      </c>
      <c r="U46" s="217">
        <f t="shared" si="10"/>
        <v>0.75629672374070689</v>
      </c>
      <c r="V46" s="217">
        <f t="shared" si="11"/>
        <v>0.73407941726092785</v>
      </c>
      <c r="W46" s="197">
        <f t="shared" si="12"/>
        <v>350</v>
      </c>
      <c r="X46" s="443">
        <f t="shared" si="95"/>
        <v>350</v>
      </c>
      <c r="Z46" s="217">
        <f t="shared" si="13"/>
        <v>8.6058319151010885</v>
      </c>
      <c r="AA46" s="173">
        <f t="shared" si="14"/>
        <v>1.4072754561094052</v>
      </c>
      <c r="AB46" s="173">
        <f t="shared" si="144"/>
        <v>2.1193858058668331</v>
      </c>
      <c r="AC46" s="173"/>
      <c r="AD46" s="173">
        <f t="shared" si="16"/>
        <v>0.54508596418202859</v>
      </c>
      <c r="AE46" s="545">
        <f t="shared" si="145"/>
        <v>1128.2624033860168</v>
      </c>
      <c r="AF46" s="528">
        <f t="shared" si="146"/>
        <v>0.31796681243951674</v>
      </c>
      <c r="AH46" s="173">
        <f t="shared" si="147"/>
        <v>6.2154821892581111</v>
      </c>
      <c r="AI46" s="173">
        <f t="shared" si="148"/>
        <v>6.2154821892581111</v>
      </c>
      <c r="AJ46" s="173">
        <f t="shared" si="149"/>
        <v>3.3349250784627982</v>
      </c>
      <c r="AL46" s="545">
        <f t="shared" si="150"/>
        <v>1025</v>
      </c>
      <c r="AM46" s="460">
        <f t="shared" si="151"/>
        <v>350</v>
      </c>
      <c r="AO46">
        <f t="shared" si="96"/>
        <v>1025</v>
      </c>
      <c r="AP46" s="460">
        <f t="shared" si="24"/>
        <v>350</v>
      </c>
      <c r="AQ46" s="460"/>
      <c r="AR46" s="5">
        <f t="shared" si="97"/>
        <v>2.8571428571428572</v>
      </c>
      <c r="AS46" s="5">
        <f t="shared" si="25"/>
        <v>1.0471532673205262</v>
      </c>
      <c r="AT46" s="5">
        <f t="shared" si="98"/>
        <v>1.809989589822331</v>
      </c>
      <c r="AU46" s="173">
        <f t="shared" si="99"/>
        <v>0.36650364356218412</v>
      </c>
      <c r="AW46" s="5">
        <f t="shared" si="152"/>
        <v>3.8333289250126401</v>
      </c>
      <c r="AX46" s="5">
        <f t="shared" si="153"/>
        <v>0.35777736633451312</v>
      </c>
      <c r="AY46" s="5">
        <f t="shared" si="28"/>
        <v>1.330048586542768</v>
      </c>
      <c r="AZ46" s="5"/>
      <c r="BA46" s="173">
        <f t="shared" si="100"/>
        <v>2.1724677953561322</v>
      </c>
      <c r="BB46" s="173">
        <f t="shared" si="154"/>
        <v>2.8561845108119446</v>
      </c>
      <c r="BC46" s="173">
        <f t="shared" si="155"/>
        <v>0.28795958592612225</v>
      </c>
      <c r="BD46" s="173"/>
      <c r="BE46" s="528">
        <f t="shared" si="31"/>
        <v>5.6635395862314405E-2</v>
      </c>
      <c r="BF46" s="528">
        <f t="shared" si="156"/>
        <v>2.2486456022713175</v>
      </c>
      <c r="BG46" s="528">
        <f t="shared" si="33"/>
        <v>4.0250000000000001E-2</v>
      </c>
      <c r="BH46" s="528">
        <f t="shared" si="34"/>
        <v>0.55297414782180399</v>
      </c>
      <c r="BI46">
        <f t="shared" si="35"/>
        <v>1.25537924967932E-2</v>
      </c>
      <c r="BJ46" s="460">
        <f t="shared" si="101"/>
        <v>52.8037924967932</v>
      </c>
      <c r="BK46">
        <f t="shared" si="157"/>
        <v>2.9127422226145225</v>
      </c>
      <c r="BL46" s="460">
        <f t="shared" si="102"/>
        <v>2912.7422226145227</v>
      </c>
      <c r="BM46" s="173">
        <f t="shared" si="158"/>
        <v>0.68736499999999989</v>
      </c>
      <c r="BN46" s="173">
        <f t="shared" si="159"/>
        <v>4.9097499999999995E-2</v>
      </c>
      <c r="BO46" s="528"/>
      <c r="BQ46" s="460">
        <f t="shared" si="103"/>
        <v>736.46249999999986</v>
      </c>
      <c r="BR46" s="528">
        <f t="shared" si="39"/>
        <v>6.6074628506033475E-2</v>
      </c>
      <c r="BS46" s="528">
        <f t="shared" si="104"/>
        <v>0.11420905943722894</v>
      </c>
      <c r="BT46" s="528">
        <f t="shared" si="160"/>
        <v>4.146036156337189E-4</v>
      </c>
      <c r="BU46" s="528">
        <f t="shared" si="41"/>
        <v>11.03639360715089</v>
      </c>
      <c r="BV46" s="528">
        <f t="shared" si="161"/>
        <v>11.425626787929392</v>
      </c>
      <c r="BW46" s="625">
        <f t="shared" si="162"/>
        <v>1.3521276595744682</v>
      </c>
      <c r="BX46" s="460">
        <f t="shared" si="105"/>
        <v>12777.754447503859</v>
      </c>
      <c r="BY46" s="173">
        <f t="shared" si="106"/>
        <v>16.426959170118383</v>
      </c>
      <c r="BZ46" s="5">
        <f t="shared" si="107"/>
        <v>31.774999999999995</v>
      </c>
      <c r="CA46" s="173">
        <f t="shared" si="108"/>
        <v>0.65920557062539742</v>
      </c>
      <c r="CB46" s="5">
        <f t="shared" si="109"/>
        <v>65.920557062539743</v>
      </c>
      <c r="CC46">
        <f t="shared" si="172"/>
        <v>41</v>
      </c>
      <c r="CE46" s="562">
        <f t="shared" si="163"/>
        <v>-50</v>
      </c>
      <c r="CF46">
        <f t="shared" si="164"/>
        <v>-50</v>
      </c>
      <c r="CG46" s="173">
        <f t="shared" si="165"/>
        <v>0.34458844609635214</v>
      </c>
      <c r="CH46" s="173">
        <f t="shared" si="166"/>
        <v>0.1117449497646735</v>
      </c>
      <c r="CI46" s="170">
        <v>41</v>
      </c>
      <c r="CJ46" s="217">
        <f t="shared" si="133"/>
        <v>1.0249999999999999</v>
      </c>
      <c r="CK46" s="217">
        <f t="shared" si="111"/>
        <v>0.10249999999999999</v>
      </c>
      <c r="CL46" s="217">
        <f t="shared" si="48"/>
        <v>28.699999999999996</v>
      </c>
      <c r="CM46" s="217">
        <f t="shared" si="134"/>
        <v>3.0749999999999997</v>
      </c>
      <c r="CN46" s="541">
        <f t="shared" si="112"/>
        <v>28</v>
      </c>
      <c r="CO46" s="443">
        <f t="shared" si="167"/>
        <v>28.7</v>
      </c>
      <c r="CP46" s="443">
        <f t="shared" si="168"/>
        <v>56.7</v>
      </c>
      <c r="CQ46" s="443"/>
      <c r="CR46" s="217">
        <f t="shared" si="113"/>
        <v>0.50354609929078009</v>
      </c>
      <c r="CS46" s="172">
        <f t="shared" si="114"/>
        <v>106.12369404407841</v>
      </c>
      <c r="CT46" s="172">
        <f t="shared" si="51"/>
        <v>12.588652482269502</v>
      </c>
      <c r="CU46" s="217">
        <f t="shared" si="52"/>
        <v>3.7901319301456575</v>
      </c>
      <c r="CV46" s="217">
        <f t="shared" si="53"/>
        <v>3.5374564681359471</v>
      </c>
      <c r="CW46" s="443">
        <f t="shared" si="54"/>
        <v>28</v>
      </c>
      <c r="CX46" s="217">
        <f t="shared" si="55"/>
        <v>4.5073189134808853</v>
      </c>
      <c r="CY46" s="217">
        <f t="shared" si="56"/>
        <v>0.75658567476286298</v>
      </c>
      <c r="CZ46" s="217">
        <f t="shared" si="57"/>
        <v>0.73813236562230533</v>
      </c>
      <c r="DA46" s="197">
        <f t="shared" si="58"/>
        <v>350</v>
      </c>
      <c r="DB46" s="443">
        <f t="shared" si="115"/>
        <v>350</v>
      </c>
      <c r="DD46" s="217">
        <f t="shared" si="59"/>
        <v>8.6157079064880477</v>
      </c>
      <c r="DE46" s="173">
        <f t="shared" si="60"/>
        <v>1.4109347442680775</v>
      </c>
      <c r="DF46" s="173">
        <f t="shared" si="61"/>
        <v>2.1273352855526046</v>
      </c>
      <c r="DG46" s="173"/>
      <c r="DH46" s="173">
        <f t="shared" si="62"/>
        <v>0.54587688734030204</v>
      </c>
      <c r="DI46" s="545">
        <f t="shared" si="63"/>
        <v>1126.627659574468</v>
      </c>
      <c r="DJ46" s="528">
        <f t="shared" si="64"/>
        <v>0.31842818428184283</v>
      </c>
      <c r="DL46" s="173">
        <f t="shared" si="65"/>
        <v>6.2154821892581111</v>
      </c>
      <c r="DM46" s="173">
        <f t="shared" si="66"/>
        <v>6.2154821892581111</v>
      </c>
      <c r="DN46" s="173">
        <f t="shared" si="67"/>
        <v>3.3349250784627982</v>
      </c>
      <c r="DP46" s="545">
        <f t="shared" si="68"/>
        <v>1025</v>
      </c>
      <c r="DQ46" s="460">
        <f t="shared" si="69"/>
        <v>350</v>
      </c>
      <c r="DS46">
        <f t="shared" si="116"/>
        <v>1025</v>
      </c>
      <c r="DT46" s="460">
        <f t="shared" si="70"/>
        <v>350</v>
      </c>
      <c r="DU46" s="460"/>
      <c r="DV46" s="5">
        <f t="shared" si="117"/>
        <v>2.8571428571428572</v>
      </c>
      <c r="DW46" s="5">
        <f t="shared" si="71"/>
        <v>1.0433130817683258</v>
      </c>
      <c r="DX46" s="5">
        <f t="shared" si="118"/>
        <v>1.8138297753745314</v>
      </c>
      <c r="DY46" s="173">
        <f t="shared" si="119"/>
        <v>0.36515957861891402</v>
      </c>
      <c r="EA46" s="5">
        <f t="shared" si="72"/>
        <v>3.8192711029019062</v>
      </c>
      <c r="EB46" s="5">
        <f t="shared" si="73"/>
        <v>0.35646530293751133</v>
      </c>
      <c r="EC46" s="5">
        <f t="shared" si="74"/>
        <v>1.327982514113496</v>
      </c>
      <c r="ED46" s="5"/>
      <c r="EE46" s="173">
        <f t="shared" si="120"/>
        <v>2.1684806320361973</v>
      </c>
      <c r="EF46" s="173">
        <f t="shared" si="75"/>
        <v>2.8592128340061524</v>
      </c>
      <c r="EG46" s="173">
        <f t="shared" si="76"/>
        <v>0.28826490047766951</v>
      </c>
      <c r="EH46" s="173"/>
      <c r="EI46" s="528">
        <f t="shared" si="77"/>
        <v>5.6427699018193271E-2</v>
      </c>
      <c r="EJ46" s="528">
        <f t="shared" si="78"/>
        <v>2.3435786368707174</v>
      </c>
      <c r="EK46" s="528">
        <f t="shared" si="79"/>
        <v>4.0250000000000001E-2</v>
      </c>
      <c r="EL46" s="528">
        <f t="shared" si="80"/>
        <v>0.55416666375000012</v>
      </c>
      <c r="EM46">
        <f t="shared" si="81"/>
        <v>1.26E-2</v>
      </c>
      <c r="EN46" s="460">
        <f t="shared" si="121"/>
        <v>52.85</v>
      </c>
      <c r="EO46">
        <f t="shared" si="82"/>
        <v>3.0633292109795067</v>
      </c>
      <c r="EP46" s="460">
        <f t="shared" si="122"/>
        <v>3063.3292109795066</v>
      </c>
      <c r="EQ46" s="173">
        <f t="shared" si="83"/>
        <v>0.68736499999999989</v>
      </c>
      <c r="ER46" s="173">
        <f t="shared" si="169"/>
        <v>4.9097499999999995E-2</v>
      </c>
      <c r="ES46" s="528"/>
      <c r="EU46" s="460">
        <f t="shared" si="123"/>
        <v>736.46249999999986</v>
      </c>
      <c r="EV46" s="528">
        <f t="shared" si="85"/>
        <v>6.5832315521225482E-2</v>
      </c>
      <c r="EW46" s="528">
        <f t="shared" si="124"/>
        <v>0.11445137242203691</v>
      </c>
      <c r="EX46" s="528">
        <f t="shared" si="86"/>
        <v>4.154832642370035E-4</v>
      </c>
      <c r="EY46" s="528">
        <f t="shared" si="87"/>
        <v>11.03639360715089</v>
      </c>
      <c r="EZ46" s="528">
        <f t="shared" si="88"/>
        <v>11.425628710529573</v>
      </c>
      <c r="FA46" s="625">
        <f t="shared" si="89"/>
        <v>1.3521276595744682</v>
      </c>
      <c r="FB46" s="460">
        <f t="shared" si="125"/>
        <v>12777.75637010404</v>
      </c>
      <c r="FC46" s="173">
        <f t="shared" si="126"/>
        <v>16.577548081083545</v>
      </c>
      <c r="FD46" s="5">
        <f t="shared" si="127"/>
        <v>31.774999999999995</v>
      </c>
      <c r="FE46" s="173">
        <f t="shared" si="128"/>
        <v>0.65715254440605153</v>
      </c>
      <c r="FF46" s="5">
        <f t="shared" si="129"/>
        <v>65.71525444060515</v>
      </c>
      <c r="FG46">
        <f t="shared" si="130"/>
        <v>41</v>
      </c>
      <c r="FI46" s="562">
        <f t="shared" si="90"/>
        <v>-50</v>
      </c>
      <c r="FJ46">
        <f t="shared" si="91"/>
        <v>-50</v>
      </c>
      <c r="FL46">
        <f t="shared" si="92"/>
        <v>0.34458844609635214</v>
      </c>
    </row>
    <row r="47" spans="5:168">
      <c r="E47" s="170">
        <v>42</v>
      </c>
      <c r="F47" s="217">
        <f t="shared" si="173"/>
        <v>1.05</v>
      </c>
      <c r="G47" s="217">
        <f t="shared" si="170"/>
        <v>0.105</v>
      </c>
      <c r="H47" s="217">
        <f t="shared" si="135"/>
        <v>29.400000000000002</v>
      </c>
      <c r="I47" s="217">
        <f t="shared" si="174"/>
        <v>3.15</v>
      </c>
      <c r="J47" s="541">
        <f t="shared" si="136"/>
        <v>27.896071967544469</v>
      </c>
      <c r="K47" s="443">
        <f t="shared" si="137"/>
        <v>28.742148673031281</v>
      </c>
      <c r="L47" s="172">
        <f t="shared" si="138"/>
        <v>56.638220640575753</v>
      </c>
      <c r="M47" s="443"/>
      <c r="N47" s="217">
        <f t="shared" si="139"/>
        <v>0.5074691321153606</v>
      </c>
      <c r="O47" s="172">
        <f t="shared" si="171"/>
        <v>106.5535139952495</v>
      </c>
      <c r="P47" s="172">
        <f t="shared" si="140"/>
        <v>12.639638777497707</v>
      </c>
      <c r="Q47" s="217">
        <f t="shared" si="6"/>
        <v>3.8054826426874824</v>
      </c>
      <c r="R47" s="217">
        <f t="shared" si="141"/>
        <v>3.5517837998416502</v>
      </c>
      <c r="S47" s="443">
        <f t="shared" si="142"/>
        <v>28</v>
      </c>
      <c r="T47" s="217">
        <f t="shared" si="143"/>
        <v>4.5986282537978607</v>
      </c>
      <c r="U47" s="217">
        <f t="shared" si="10"/>
        <v>0.77478839379236308</v>
      </c>
      <c r="V47" s="217">
        <f t="shared" si="11"/>
        <v>0.75198110756172909</v>
      </c>
      <c r="W47" s="197">
        <f t="shared" si="12"/>
        <v>350</v>
      </c>
      <c r="X47" s="443">
        <f t="shared" si="95"/>
        <v>350</v>
      </c>
      <c r="Z47" s="217">
        <f t="shared" si="13"/>
        <v>8.6057115080835462</v>
      </c>
      <c r="AA47" s="173">
        <f t="shared" si="14"/>
        <v>1.4072310510989696</v>
      </c>
      <c r="AB47" s="173">
        <f t="shared" si="144"/>
        <v>2.119289278920609</v>
      </c>
      <c r="AC47" s="173"/>
      <c r="AD47" s="173">
        <f t="shared" si="16"/>
        <v>0.54507639094382243</v>
      </c>
      <c r="AE47" s="545">
        <f t="shared" si="145"/>
        <v>1155.8012977027474</v>
      </c>
      <c r="AF47" s="528">
        <f t="shared" si="146"/>
        <v>0.31796122805056309</v>
      </c>
      <c r="AH47" s="173">
        <f t="shared" si="147"/>
        <v>6.2908241181188966</v>
      </c>
      <c r="AI47" s="173">
        <f t="shared" si="148"/>
        <v>6.2908241181188966</v>
      </c>
      <c r="AJ47" s="173">
        <f t="shared" si="149"/>
        <v>3.3907339146559723</v>
      </c>
      <c r="AL47" s="545">
        <f t="shared" si="150"/>
        <v>1050</v>
      </c>
      <c r="AM47" s="460">
        <f t="shared" si="151"/>
        <v>350</v>
      </c>
      <c r="AO47">
        <f t="shared" si="96"/>
        <v>1050</v>
      </c>
      <c r="AP47" s="460">
        <f t="shared" si="24"/>
        <v>350</v>
      </c>
      <c r="AQ47" s="460"/>
      <c r="AR47" s="5">
        <f t="shared" si="97"/>
        <v>2.8571428571428572</v>
      </c>
      <c r="AS47" s="5">
        <f t="shared" si="25"/>
        <v>1.0598937868226834</v>
      </c>
      <c r="AT47" s="5">
        <f t="shared" si="98"/>
        <v>1.7972490703201738</v>
      </c>
      <c r="AU47" s="173">
        <f t="shared" si="99"/>
        <v>0.37096282538793918</v>
      </c>
      <c r="AW47" s="5">
        <f t="shared" si="152"/>
        <v>3.9746017005850627</v>
      </c>
      <c r="AX47" s="5">
        <f t="shared" si="153"/>
        <v>0.37096282538793923</v>
      </c>
      <c r="AY47" s="5">
        <f t="shared" si="28"/>
        <v>1.3529586000722482</v>
      </c>
      <c r="AZ47" s="5"/>
      <c r="BA47" s="173">
        <f t="shared" si="100"/>
        <v>2.212137465143603</v>
      </c>
      <c r="BB47" s="173">
        <f t="shared" si="154"/>
        <v>2.880614031245798</v>
      </c>
      <c r="BC47" s="173">
        <f t="shared" si="155"/>
        <v>0.29042256216658452</v>
      </c>
      <c r="BD47" s="173"/>
      <c r="BE47" s="528">
        <f t="shared" si="31"/>
        <v>5.8722625976303587E-2</v>
      </c>
      <c r="BF47" s="528">
        <f t="shared" si="156"/>
        <v>2.2758731766885067</v>
      </c>
      <c r="BG47" s="528">
        <f t="shared" si="33"/>
        <v>4.0250000000000001E-2</v>
      </c>
      <c r="BH47" s="528">
        <f t="shared" si="34"/>
        <v>0.5529597004348521</v>
      </c>
      <c r="BI47">
        <f t="shared" si="35"/>
        <v>1.255323238539501E-2</v>
      </c>
      <c r="BJ47" s="460">
        <f t="shared" si="101"/>
        <v>52.803232385395013</v>
      </c>
      <c r="BK47">
        <f t="shared" si="157"/>
        <v>2.9444936477552806</v>
      </c>
      <c r="BL47" s="460">
        <f t="shared" si="102"/>
        <v>2944.4936477552806</v>
      </c>
      <c r="BM47" s="173">
        <f t="shared" si="158"/>
        <v>0.70412999999999992</v>
      </c>
      <c r="BN47" s="173">
        <f t="shared" si="159"/>
        <v>5.0294999999999999E-2</v>
      </c>
      <c r="BO47" s="528"/>
      <c r="BQ47" s="460">
        <f t="shared" si="103"/>
        <v>754.42499999999995</v>
      </c>
      <c r="BR47" s="528">
        <f t="shared" si="39"/>
        <v>6.8509730305687522E-2</v>
      </c>
      <c r="BS47" s="528">
        <f t="shared" si="104"/>
        <v>0.11617112075814234</v>
      </c>
      <c r="BT47" s="528">
        <f t="shared" si="160"/>
        <v>4.2172632307701824E-4</v>
      </c>
      <c r="BU47" s="528">
        <f t="shared" si="41"/>
        <v>11.37388867242724</v>
      </c>
      <c r="BV47" s="528">
        <f t="shared" si="161"/>
        <v>11.777824319389339</v>
      </c>
      <c r="BW47" s="625">
        <f t="shared" si="162"/>
        <v>1.385106382978724</v>
      </c>
      <c r="BX47" s="460">
        <f t="shared" si="105"/>
        <v>13162.930702368063</v>
      </c>
      <c r="BY47" s="173">
        <f t="shared" si="106"/>
        <v>16.861849350123343</v>
      </c>
      <c r="BZ47" s="5">
        <f t="shared" si="107"/>
        <v>32.550000000000004</v>
      </c>
      <c r="CA47" s="173">
        <f t="shared" si="108"/>
        <v>0.65874887153801198</v>
      </c>
      <c r="CB47" s="5">
        <f t="shared" si="109"/>
        <v>65.874887153801197</v>
      </c>
      <c r="CC47">
        <f t="shared" si="172"/>
        <v>42.000000000000007</v>
      </c>
      <c r="CE47" s="562">
        <f t="shared" si="163"/>
        <v>-50</v>
      </c>
      <c r="CF47">
        <f t="shared" si="164"/>
        <v>-50</v>
      </c>
      <c r="CG47" s="173">
        <f t="shared" si="165"/>
        <v>0.34876542825180079</v>
      </c>
      <c r="CH47" s="173">
        <f t="shared" si="166"/>
        <v>0.11309948345962517</v>
      </c>
      <c r="CI47" s="170">
        <v>42</v>
      </c>
      <c r="CJ47" s="217">
        <f t="shared" si="133"/>
        <v>1.05</v>
      </c>
      <c r="CK47" s="217">
        <f t="shared" si="111"/>
        <v>0.105</v>
      </c>
      <c r="CL47" s="217">
        <f t="shared" si="48"/>
        <v>29.400000000000002</v>
      </c>
      <c r="CM47" s="217">
        <f t="shared" si="134"/>
        <v>3.15</v>
      </c>
      <c r="CN47" s="541">
        <f t="shared" si="112"/>
        <v>28</v>
      </c>
      <c r="CO47" s="443">
        <f t="shared" si="167"/>
        <v>28.7</v>
      </c>
      <c r="CP47" s="443">
        <f t="shared" si="168"/>
        <v>56.7</v>
      </c>
      <c r="CQ47" s="443"/>
      <c r="CR47" s="217">
        <f t="shared" si="113"/>
        <v>0.50354609929078009</v>
      </c>
      <c r="CS47" s="172">
        <f t="shared" si="114"/>
        <v>106.12369404407841</v>
      </c>
      <c r="CT47" s="172">
        <f t="shared" si="51"/>
        <v>12.588652482269502</v>
      </c>
      <c r="CU47" s="217">
        <f t="shared" si="52"/>
        <v>3.7901319301456575</v>
      </c>
      <c r="CV47" s="217">
        <f t="shared" si="53"/>
        <v>3.5374564681359471</v>
      </c>
      <c r="CW47" s="443">
        <f t="shared" si="54"/>
        <v>28</v>
      </c>
      <c r="CX47" s="217">
        <f t="shared" si="55"/>
        <v>4.617253521126762</v>
      </c>
      <c r="CY47" s="217">
        <f t="shared" si="56"/>
        <v>0.77503898390342074</v>
      </c>
      <c r="CZ47" s="217">
        <f t="shared" si="57"/>
        <v>0.75613559405211783</v>
      </c>
      <c r="DA47" s="197">
        <f t="shared" si="58"/>
        <v>350</v>
      </c>
      <c r="DB47" s="443">
        <f t="shared" si="115"/>
        <v>350</v>
      </c>
      <c r="DD47" s="217">
        <f t="shared" si="59"/>
        <v>8.6157079064880477</v>
      </c>
      <c r="DE47" s="173">
        <f t="shared" si="60"/>
        <v>1.4109347442680775</v>
      </c>
      <c r="DF47" s="173">
        <f t="shared" si="61"/>
        <v>2.1273352855526046</v>
      </c>
      <c r="DG47" s="173"/>
      <c r="DH47" s="173">
        <f t="shared" si="62"/>
        <v>0.54587688734030204</v>
      </c>
      <c r="DI47" s="545">
        <f t="shared" si="63"/>
        <v>1154.1063829787233</v>
      </c>
      <c r="DJ47" s="528">
        <f t="shared" si="64"/>
        <v>0.31842818428184283</v>
      </c>
      <c r="DL47" s="173">
        <f t="shared" si="65"/>
        <v>6.2908241181188966</v>
      </c>
      <c r="DM47" s="173">
        <f t="shared" si="66"/>
        <v>6.2908241181188966</v>
      </c>
      <c r="DN47" s="173">
        <f t="shared" si="67"/>
        <v>3.3907339146559723</v>
      </c>
      <c r="DP47" s="545">
        <f t="shared" si="68"/>
        <v>1050</v>
      </c>
      <c r="DQ47" s="460">
        <f t="shared" si="69"/>
        <v>350</v>
      </c>
      <c r="DS47">
        <f t="shared" si="116"/>
        <v>1050</v>
      </c>
      <c r="DT47" s="460">
        <f t="shared" si="70"/>
        <v>350</v>
      </c>
      <c r="DU47" s="460"/>
      <c r="DV47" s="5">
        <f t="shared" si="117"/>
        <v>2.8571428571428572</v>
      </c>
      <c r="DW47" s="5">
        <f t="shared" si="71"/>
        <v>1.0559597626842432</v>
      </c>
      <c r="DX47" s="5">
        <f t="shared" si="118"/>
        <v>1.801183094458614</v>
      </c>
      <c r="DY47" s="173">
        <f t="shared" si="119"/>
        <v>0.36958591693948512</v>
      </c>
      <c r="EA47" s="5">
        <f t="shared" si="72"/>
        <v>3.9598491100659117</v>
      </c>
      <c r="EB47" s="5">
        <f t="shared" si="73"/>
        <v>0.36958591693948506</v>
      </c>
      <c r="EC47" s="5">
        <f t="shared" si="74"/>
        <v>1.3508873208439605</v>
      </c>
      <c r="ED47" s="5"/>
      <c r="EE47" s="173">
        <f t="shared" si="120"/>
        <v>2.2080282361288197</v>
      </c>
      <c r="EF47" s="173">
        <f t="shared" si="75"/>
        <v>2.8837650164602504</v>
      </c>
      <c r="EG47" s="173">
        <f t="shared" si="76"/>
        <v>0.29074024346279576</v>
      </c>
      <c r="EH47" s="173"/>
      <c r="EI47" s="528">
        <f t="shared" si="77"/>
        <v>5.8504664298505767E-2</v>
      </c>
      <c r="EJ47" s="528">
        <f t="shared" si="78"/>
        <v>2.3719866878573206</v>
      </c>
      <c r="EK47" s="528">
        <f t="shared" si="79"/>
        <v>4.0250000000000001E-2</v>
      </c>
      <c r="EL47" s="528">
        <f t="shared" si="80"/>
        <v>0.55416666375000012</v>
      </c>
      <c r="EM47">
        <f t="shared" si="81"/>
        <v>1.26E-2</v>
      </c>
      <c r="EN47" s="460">
        <f t="shared" si="121"/>
        <v>52.85</v>
      </c>
      <c r="EO47">
        <f t="shared" si="82"/>
        <v>3.0963456730696679</v>
      </c>
      <c r="EP47" s="460">
        <f t="shared" si="122"/>
        <v>3096.345673069668</v>
      </c>
      <c r="EQ47" s="173">
        <f t="shared" si="83"/>
        <v>0.70412999999999992</v>
      </c>
      <c r="ER47" s="173">
        <f t="shared" si="169"/>
        <v>5.0294999999999999E-2</v>
      </c>
      <c r="ES47" s="528"/>
      <c r="EU47" s="460">
        <f t="shared" si="123"/>
        <v>754.42499999999995</v>
      </c>
      <c r="EV47" s="528">
        <f t="shared" si="85"/>
        <v>6.8255441681590062E-2</v>
      </c>
      <c r="EW47" s="528">
        <f t="shared" si="124"/>
        <v>0.11642540938223984</v>
      </c>
      <c r="EX47" s="528">
        <f t="shared" si="86"/>
        <v>4.2264944584402873E-4</v>
      </c>
      <c r="EY47" s="528">
        <f t="shared" si="87"/>
        <v>11.37388867242724</v>
      </c>
      <c r="EZ47" s="528">
        <f t="shared" si="88"/>
        <v>11.777826364130897</v>
      </c>
      <c r="FA47" s="625">
        <f t="shared" si="89"/>
        <v>1.385106382978724</v>
      </c>
      <c r="FB47" s="460">
        <f t="shared" si="125"/>
        <v>13162.932747109622</v>
      </c>
      <c r="FC47" s="173">
        <f t="shared" si="126"/>
        <v>17.01370342017929</v>
      </c>
      <c r="FD47" s="5">
        <f t="shared" si="127"/>
        <v>32.550000000000004</v>
      </c>
      <c r="FE47" s="173">
        <f t="shared" si="128"/>
        <v>0.65673058617221169</v>
      </c>
      <c r="FF47" s="5">
        <f t="shared" si="129"/>
        <v>65.673058617221173</v>
      </c>
      <c r="FG47">
        <f t="shared" si="130"/>
        <v>42.000000000000007</v>
      </c>
      <c r="FI47" s="562">
        <f t="shared" si="90"/>
        <v>-50</v>
      </c>
      <c r="FJ47">
        <f t="shared" si="91"/>
        <v>-50</v>
      </c>
      <c r="FL47">
        <f t="shared" si="92"/>
        <v>0.34876542825180079</v>
      </c>
    </row>
    <row r="48" spans="5:168">
      <c r="E48" s="170">
        <v>43</v>
      </c>
      <c r="F48" s="217">
        <f t="shared" si="173"/>
        <v>1.075</v>
      </c>
      <c r="G48" s="217">
        <f t="shared" si="170"/>
        <v>0.1075</v>
      </c>
      <c r="H48" s="217">
        <f t="shared" si="135"/>
        <v>30.099999999999998</v>
      </c>
      <c r="I48" s="217">
        <f t="shared" si="174"/>
        <v>3.2250000000000001</v>
      </c>
      <c r="J48" s="541">
        <f t="shared" si="136"/>
        <v>27.894842007188121</v>
      </c>
      <c r="K48" s="443">
        <f t="shared" si="137"/>
        <v>28.742647491258435</v>
      </c>
      <c r="L48" s="172">
        <f t="shared" si="138"/>
        <v>56.637489498446556</v>
      </c>
      <c r="M48" s="443"/>
      <c r="N48" s="217">
        <f t="shared" si="139"/>
        <v>0.50748449032238241</v>
      </c>
      <c r="O48" s="172">
        <f t="shared" si="171"/>
        <v>106.55204059192336</v>
      </c>
      <c r="P48" s="172">
        <f t="shared" si="140"/>
        <v>12.639463998786827</v>
      </c>
      <c r="Q48" s="217">
        <f t="shared" si="6"/>
        <v>3.8054300211401197</v>
      </c>
      <c r="R48" s="217">
        <f t="shared" si="141"/>
        <v>3.5517346863974453</v>
      </c>
      <c r="S48" s="443">
        <f t="shared" si="142"/>
        <v>28</v>
      </c>
      <c r="T48" s="217">
        <f t="shared" si="143"/>
        <v>4.7081845066484158</v>
      </c>
      <c r="U48" s="217">
        <f t="shared" si="10"/>
        <v>0.79328168180860636</v>
      </c>
      <c r="V48" s="217">
        <f t="shared" si="11"/>
        <v>0.76988270436735284</v>
      </c>
      <c r="W48" s="197">
        <f t="shared" si="12"/>
        <v>350</v>
      </c>
      <c r="X48" s="443">
        <f t="shared" si="95"/>
        <v>350</v>
      </c>
      <c r="Z48" s="217">
        <f t="shared" si="13"/>
        <v>8.6055925098123076</v>
      </c>
      <c r="AA48" s="173">
        <f t="shared" si="14"/>
        <v>1.407187170507479</v>
      </c>
      <c r="AB48" s="173">
        <f t="shared" si="144"/>
        <v>2.1191938905240484</v>
      </c>
      <c r="AC48" s="173"/>
      <c r="AD48" s="173">
        <f t="shared" si="16"/>
        <v>0.54506693134066397</v>
      </c>
      <c r="AE48" s="545">
        <f t="shared" si="145"/>
        <v>1183.3409126720226</v>
      </c>
      <c r="AF48" s="528">
        <f t="shared" si="146"/>
        <v>0.31795570994872063</v>
      </c>
      <c r="AH48" s="173">
        <f t="shared" si="147"/>
        <v>6.3652743322835628</v>
      </c>
      <c r="AI48" s="173">
        <f t="shared" si="148"/>
        <v>6.3652743322835628</v>
      </c>
      <c r="AJ48" s="173">
        <f t="shared" si="149"/>
        <v>3.4458822214446139</v>
      </c>
      <c r="AL48" s="545">
        <f t="shared" si="150"/>
        <v>1075</v>
      </c>
      <c r="AM48" s="460">
        <f t="shared" si="151"/>
        <v>350</v>
      </c>
      <c r="AO48">
        <f t="shared" si="96"/>
        <v>1075</v>
      </c>
      <c r="AP48" s="460">
        <f t="shared" si="24"/>
        <v>350</v>
      </c>
      <c r="AQ48" s="460"/>
      <c r="AR48" s="5">
        <f t="shared" si="97"/>
        <v>2.8571428571428572</v>
      </c>
      <c r="AS48" s="5">
        <f t="shared" si="25"/>
        <v>1.0724846318908563</v>
      </c>
      <c r="AT48" s="5">
        <f t="shared" si="98"/>
        <v>1.7846582252520009</v>
      </c>
      <c r="AU48" s="173">
        <f t="shared" si="99"/>
        <v>0.37536962116179967</v>
      </c>
      <c r="AW48" s="5">
        <f t="shared" si="152"/>
        <v>4.1175749260095369</v>
      </c>
      <c r="AX48" s="5">
        <f t="shared" si="153"/>
        <v>0.3843069930942235</v>
      </c>
      <c r="AY48" s="5">
        <f t="shared" si="28"/>
        <v>1.3755285594745634</v>
      </c>
      <c r="AZ48" s="5"/>
      <c r="BA48" s="173">
        <f t="shared" si="100"/>
        <v>2.2515731413902995</v>
      </c>
      <c r="BB48" s="173">
        <f t="shared" si="154"/>
        <v>2.9044777208153056</v>
      </c>
      <c r="BC48" s="173">
        <f t="shared" si="155"/>
        <v>0.29282849152482182</v>
      </c>
      <c r="BD48" s="173"/>
      <c r="BE48" s="528">
        <f t="shared" si="31"/>
        <v>6.0834979332362177E-2</v>
      </c>
      <c r="BF48" s="528">
        <f t="shared" si="156"/>
        <v>2.3027777976795591</v>
      </c>
      <c r="BG48" s="528">
        <f t="shared" si="33"/>
        <v>4.0250000000000001E-2</v>
      </c>
      <c r="BH48" s="528">
        <f t="shared" si="34"/>
        <v>0.55294542422636017</v>
      </c>
      <c r="BI48">
        <f t="shared" si="35"/>
        <v>1.2552678903234655E-2</v>
      </c>
      <c r="BJ48" s="460">
        <f t="shared" si="101"/>
        <v>52.802678903234657</v>
      </c>
      <c r="BK48">
        <f t="shared" si="157"/>
        <v>2.9759999122719263</v>
      </c>
      <c r="BL48" s="460">
        <f t="shared" si="102"/>
        <v>2975.9999122719264</v>
      </c>
      <c r="BM48" s="173">
        <f t="shared" si="158"/>
        <v>0.72089499999999995</v>
      </c>
      <c r="BN48" s="173">
        <f t="shared" si="159"/>
        <v>5.1492499999999997E-2</v>
      </c>
      <c r="BO48" s="528"/>
      <c r="BQ48" s="460">
        <f t="shared" si="103"/>
        <v>772.38750000000005</v>
      </c>
      <c r="BR48" s="528">
        <f t="shared" si="39"/>
        <v>7.097414255442254E-2</v>
      </c>
      <c r="BS48" s="528">
        <f t="shared" si="104"/>
        <v>0.11810387162997463</v>
      </c>
      <c r="BT48" s="528">
        <f t="shared" si="160"/>
        <v>4.2874262724351328E-4</v>
      </c>
      <c r="BU48" s="528">
        <f t="shared" si="41"/>
        <v>11.713398794753626</v>
      </c>
      <c r="BV48" s="528">
        <f t="shared" si="161"/>
        <v>12.132319697883897</v>
      </c>
      <c r="BW48" s="625">
        <f t="shared" si="162"/>
        <v>1.4180851063829787</v>
      </c>
      <c r="BX48" s="460">
        <f t="shared" si="105"/>
        <v>13550.404804266876</v>
      </c>
      <c r="BY48" s="173">
        <f t="shared" si="106"/>
        <v>17.298792216538804</v>
      </c>
      <c r="BZ48" s="5">
        <f t="shared" si="107"/>
        <v>33.324999999999996</v>
      </c>
      <c r="CA48" s="173">
        <f t="shared" si="108"/>
        <v>0.65828730999556984</v>
      </c>
      <c r="CB48" s="5">
        <f t="shared" si="109"/>
        <v>65.828730999556981</v>
      </c>
      <c r="CC48">
        <f t="shared" si="172"/>
        <v>43</v>
      </c>
      <c r="CE48" s="562">
        <f t="shared" si="163"/>
        <v>-50</v>
      </c>
      <c r="CF48">
        <f t="shared" si="164"/>
        <v>-50</v>
      </c>
      <c r="CG48" s="173">
        <f t="shared" si="165"/>
        <v>0.35289297344127635</v>
      </c>
      <c r="CH48" s="173">
        <f t="shared" si="166"/>
        <v>0.11443798547579664</v>
      </c>
      <c r="CI48" s="170">
        <v>43</v>
      </c>
      <c r="CJ48" s="217">
        <f t="shared" si="133"/>
        <v>1.075</v>
      </c>
      <c r="CK48" s="217">
        <f t="shared" si="111"/>
        <v>0.1075</v>
      </c>
      <c r="CL48" s="217">
        <f t="shared" si="48"/>
        <v>30.099999999999998</v>
      </c>
      <c r="CM48" s="217">
        <f t="shared" si="134"/>
        <v>3.2250000000000001</v>
      </c>
      <c r="CN48" s="541">
        <f t="shared" si="112"/>
        <v>28</v>
      </c>
      <c r="CO48" s="443">
        <f t="shared" si="167"/>
        <v>28.7</v>
      </c>
      <c r="CP48" s="443">
        <f t="shared" si="168"/>
        <v>56.7</v>
      </c>
      <c r="CQ48" s="443"/>
      <c r="CR48" s="217">
        <f t="shared" si="113"/>
        <v>0.50354609929078009</v>
      </c>
      <c r="CS48" s="172">
        <f t="shared" si="114"/>
        <v>106.12369404407841</v>
      </c>
      <c r="CT48" s="172">
        <f t="shared" si="51"/>
        <v>12.588652482269502</v>
      </c>
      <c r="CU48" s="217">
        <f t="shared" si="52"/>
        <v>3.7901319301456575</v>
      </c>
      <c r="CV48" s="217">
        <f t="shared" si="53"/>
        <v>3.5374564681359471</v>
      </c>
      <c r="CW48" s="443">
        <f t="shared" si="54"/>
        <v>28</v>
      </c>
      <c r="CX48" s="217">
        <f t="shared" si="55"/>
        <v>4.7271881287726361</v>
      </c>
      <c r="CY48" s="217">
        <f t="shared" si="56"/>
        <v>0.79349229304397817</v>
      </c>
      <c r="CZ48" s="217">
        <f t="shared" si="57"/>
        <v>0.77413882248192989</v>
      </c>
      <c r="DA48" s="197">
        <f t="shared" si="58"/>
        <v>350</v>
      </c>
      <c r="DB48" s="443">
        <f t="shared" si="115"/>
        <v>350</v>
      </c>
      <c r="DD48" s="217">
        <f t="shared" si="59"/>
        <v>8.6157079064880477</v>
      </c>
      <c r="DE48" s="173">
        <f t="shared" si="60"/>
        <v>1.4109347442680775</v>
      </c>
      <c r="DF48" s="173">
        <f t="shared" si="61"/>
        <v>2.1273352855526046</v>
      </c>
      <c r="DG48" s="173"/>
      <c r="DH48" s="173">
        <f t="shared" si="62"/>
        <v>0.54587688734030204</v>
      </c>
      <c r="DI48" s="545">
        <f t="shared" si="63"/>
        <v>1181.5851063829787</v>
      </c>
      <c r="DJ48" s="528">
        <f t="shared" si="64"/>
        <v>0.31842818428184283</v>
      </c>
      <c r="DL48" s="173">
        <f t="shared" si="65"/>
        <v>6.3652743322835628</v>
      </c>
      <c r="DM48" s="173">
        <f t="shared" si="66"/>
        <v>6.3652743322835628</v>
      </c>
      <c r="DN48" s="173">
        <f t="shared" si="67"/>
        <v>3.4458822214446139</v>
      </c>
      <c r="DP48" s="545">
        <f t="shared" si="68"/>
        <v>1075</v>
      </c>
      <c r="DQ48" s="460">
        <f t="shared" si="69"/>
        <v>350</v>
      </c>
      <c r="DS48">
        <f t="shared" si="116"/>
        <v>1075</v>
      </c>
      <c r="DT48" s="460">
        <f t="shared" si="70"/>
        <v>350</v>
      </c>
      <c r="DU48" s="460"/>
      <c r="DV48" s="5">
        <f t="shared" si="117"/>
        <v>2.8571428571428572</v>
      </c>
      <c r="DW48" s="5">
        <f t="shared" si="71"/>
        <v>1.0684567629190267</v>
      </c>
      <c r="DX48" s="5">
        <f t="shared" si="118"/>
        <v>1.7886860942238305</v>
      </c>
      <c r="DY48" s="173">
        <f t="shared" si="119"/>
        <v>0.37395986702165934</v>
      </c>
      <c r="EA48" s="5">
        <f t="shared" si="72"/>
        <v>4.1021107862069774</v>
      </c>
      <c r="EB48" s="5">
        <f t="shared" si="73"/>
        <v>0.38286367337931793</v>
      </c>
      <c r="EC48" s="5">
        <f t="shared" si="74"/>
        <v>1.3734553937790126</v>
      </c>
      <c r="ED48" s="5"/>
      <c r="EE48" s="173">
        <f t="shared" si="120"/>
        <v>2.2473411121513061</v>
      </c>
      <c r="EF48" s="173">
        <f t="shared" si="75"/>
        <v>2.9077534915080379</v>
      </c>
      <c r="EG48" s="173">
        <f t="shared" si="76"/>
        <v>0.29315875365203986</v>
      </c>
      <c r="EH48" s="173"/>
      <c r="EI48" s="528">
        <f t="shared" si="77"/>
        <v>6.0606504892385636E-2</v>
      </c>
      <c r="EJ48" s="528">
        <f t="shared" si="78"/>
        <v>2.4000585133591792</v>
      </c>
      <c r="EK48" s="528">
        <f t="shared" si="79"/>
        <v>4.0250000000000001E-2</v>
      </c>
      <c r="EL48" s="528">
        <f t="shared" si="80"/>
        <v>0.55416666375000012</v>
      </c>
      <c r="EM48">
        <f t="shared" si="81"/>
        <v>1.26E-2</v>
      </c>
      <c r="EN48" s="460">
        <f t="shared" si="121"/>
        <v>52.85</v>
      </c>
      <c r="EO48">
        <f t="shared" si="82"/>
        <v>3.1291048788945073</v>
      </c>
      <c r="EP48" s="460">
        <f t="shared" si="122"/>
        <v>3129.1048788945072</v>
      </c>
      <c r="EQ48" s="173">
        <f t="shared" si="83"/>
        <v>0.72089499999999995</v>
      </c>
      <c r="ER48" s="173">
        <f t="shared" si="169"/>
        <v>5.1492499999999997E-2</v>
      </c>
      <c r="ES48" s="528"/>
      <c r="EU48" s="460">
        <f t="shared" si="123"/>
        <v>772.38750000000005</v>
      </c>
      <c r="EV48" s="528">
        <f t="shared" si="85"/>
        <v>7.070758904111657E-2</v>
      </c>
      <c r="EW48" s="528">
        <f t="shared" si="124"/>
        <v>0.1183704251432806</v>
      </c>
      <c r="EX48" s="528">
        <f t="shared" si="86"/>
        <v>4.2971027421408696E-4</v>
      </c>
      <c r="EY48" s="528">
        <f t="shared" si="87"/>
        <v>11.713398794753626</v>
      </c>
      <c r="EZ48" s="528">
        <f t="shared" si="88"/>
        <v>12.132321869879123</v>
      </c>
      <c r="FA48" s="625">
        <f t="shared" si="89"/>
        <v>1.4180851063829787</v>
      </c>
      <c r="FB48" s="460">
        <f t="shared" si="125"/>
        <v>13550.4069762621</v>
      </c>
      <c r="FC48" s="173">
        <f t="shared" si="126"/>
        <v>17.451899355156609</v>
      </c>
      <c r="FD48" s="5">
        <f t="shared" si="127"/>
        <v>33.324999999999996</v>
      </c>
      <c r="FE48" s="173">
        <f t="shared" si="128"/>
        <v>0.65630238205192237</v>
      </c>
      <c r="FF48" s="5">
        <f t="shared" si="129"/>
        <v>65.630238205192242</v>
      </c>
      <c r="FG48">
        <f t="shared" si="130"/>
        <v>43</v>
      </c>
      <c r="FI48" s="562">
        <f t="shared" si="90"/>
        <v>-50</v>
      </c>
      <c r="FJ48">
        <f t="shared" si="91"/>
        <v>-50</v>
      </c>
      <c r="FL48">
        <f t="shared" si="92"/>
        <v>0.35289297344127635</v>
      </c>
    </row>
    <row r="49" spans="5:168">
      <c r="E49" s="170">
        <v>44</v>
      </c>
      <c r="F49" s="217">
        <f t="shared" si="173"/>
        <v>1.1000000000000001</v>
      </c>
      <c r="G49" s="217">
        <f t="shared" si="170"/>
        <v>0.11</v>
      </c>
      <c r="H49" s="217">
        <f t="shared" si="135"/>
        <v>30.800000000000004</v>
      </c>
      <c r="I49" s="217">
        <f t="shared" si="174"/>
        <v>3.3</v>
      </c>
      <c r="J49" s="541">
        <f t="shared" si="136"/>
        <v>27.893626267460583</v>
      </c>
      <c r="K49" s="443">
        <f t="shared" si="137"/>
        <v>28.74314054221934</v>
      </c>
      <c r="L49" s="172">
        <f t="shared" si="138"/>
        <v>56.636766809679926</v>
      </c>
      <c r="M49" s="443"/>
      <c r="N49" s="217">
        <f t="shared" si="139"/>
        <v>0.50749967134965024</v>
      </c>
      <c r="O49" s="172">
        <f t="shared" si="171"/>
        <v>106.55058402624033</v>
      </c>
      <c r="P49" s="172">
        <f t="shared" si="140"/>
        <v>12.639291217398407</v>
      </c>
      <c r="Q49" s="217">
        <f t="shared" si="6"/>
        <v>3.8053780009371545</v>
      </c>
      <c r="R49" s="217">
        <f t="shared" si="141"/>
        <v>3.551686134208011</v>
      </c>
      <c r="S49" s="443">
        <f t="shared" si="142"/>
        <v>28</v>
      </c>
      <c r="T49" s="217">
        <f t="shared" si="143"/>
        <v>4.817743028108735</v>
      </c>
      <c r="U49" s="217">
        <f t="shared" si="10"/>
        <v>0.81177656913421081</v>
      </c>
      <c r="V49" s="217">
        <f t="shared" si="11"/>
        <v>0.78778420885676448</v>
      </c>
      <c r="W49" s="197">
        <f t="shared" si="12"/>
        <v>350</v>
      </c>
      <c r="X49" s="443">
        <f t="shared" si="95"/>
        <v>350</v>
      </c>
      <c r="Z49" s="217">
        <f t="shared" si="13"/>
        <v>8.6054748714201938</v>
      </c>
      <c r="AA49" s="173">
        <f t="shared" si="14"/>
        <v>1.4071437961438567</v>
      </c>
      <c r="AB49" s="173">
        <f t="shared" si="144"/>
        <v>2.1190996011833865</v>
      </c>
      <c r="AC49" s="173"/>
      <c r="AD49" s="173">
        <f t="shared" si="16"/>
        <v>0.54505758143076588</v>
      </c>
      <c r="AE49" s="545">
        <f t="shared" si="145"/>
        <v>1210.8812398637085</v>
      </c>
      <c r="AF49" s="528">
        <f t="shared" si="146"/>
        <v>0.31795025583461345</v>
      </c>
      <c r="AH49" s="173">
        <f t="shared" si="147"/>
        <v>6.4388637635338695</v>
      </c>
      <c r="AI49" s="173">
        <f t="shared" si="148"/>
        <v>6.4388637635338695</v>
      </c>
      <c r="AJ49" s="173">
        <f t="shared" si="149"/>
        <v>3.5003929112596559</v>
      </c>
      <c r="AL49" s="545">
        <f t="shared" si="150"/>
        <v>1100</v>
      </c>
      <c r="AM49" s="460">
        <f t="shared" si="151"/>
        <v>350</v>
      </c>
      <c r="AO49">
        <f t="shared" si="96"/>
        <v>1100</v>
      </c>
      <c r="AP49" s="460">
        <f t="shared" si="24"/>
        <v>350</v>
      </c>
      <c r="AQ49" s="460"/>
      <c r="AR49" s="5">
        <f t="shared" si="97"/>
        <v>2.8571428571428572</v>
      </c>
      <c r="AS49" s="5">
        <f t="shared" si="25"/>
        <v>1.0849309945732013</v>
      </c>
      <c r="AT49" s="5">
        <f t="shared" si="98"/>
        <v>1.7722118625696559</v>
      </c>
      <c r="AU49" s="173">
        <f t="shared" si="99"/>
        <v>0.37972584810062043</v>
      </c>
      <c r="AW49" s="5">
        <f t="shared" si="152"/>
        <v>4.2622289072518633</v>
      </c>
      <c r="AX49" s="5">
        <f t="shared" si="153"/>
        <v>0.39780803134350717</v>
      </c>
      <c r="AY49" s="5">
        <f t="shared" si="28"/>
        <v>1.3977623634405258</v>
      </c>
      <c r="AZ49" s="5"/>
      <c r="BA49" s="173">
        <f t="shared" si="100"/>
        <v>2.2907816162758818</v>
      </c>
      <c r="BB49" s="173">
        <f t="shared" si="154"/>
        <v>2.9277935563006556</v>
      </c>
      <c r="BC49" s="173">
        <f t="shared" si="155"/>
        <v>0.29517918641391855</v>
      </c>
      <c r="BD49" s="173"/>
      <c r="BE49" s="528">
        <f t="shared" si="31"/>
        <v>6.2972164961610511E-2</v>
      </c>
      <c r="BF49" s="528">
        <f t="shared" si="156"/>
        <v>2.3293706678465393</v>
      </c>
      <c r="BG49" s="528">
        <f t="shared" si="33"/>
        <v>4.0250000000000001E-2</v>
      </c>
      <c r="BH49" s="528">
        <f t="shared" si="34"/>
        <v>0.55293131325849376</v>
      </c>
      <c r="BI49">
        <f t="shared" si="35"/>
        <v>1.2552131820357262E-2</v>
      </c>
      <c r="BJ49" s="460">
        <f t="shared" si="101"/>
        <v>52.80213182035726</v>
      </c>
      <c r="BK49">
        <f t="shared" si="157"/>
        <v>3.0072719947315507</v>
      </c>
      <c r="BL49" s="460">
        <f t="shared" si="102"/>
        <v>3007.2719947315509</v>
      </c>
      <c r="BM49" s="173">
        <f t="shared" si="158"/>
        <v>0.73765999999999998</v>
      </c>
      <c r="BN49" s="173">
        <f t="shared" si="159"/>
        <v>5.2690000000000001E-2</v>
      </c>
      <c r="BO49" s="528"/>
      <c r="BQ49" s="460">
        <f t="shared" si="103"/>
        <v>790.35</v>
      </c>
      <c r="BR49" s="528">
        <f t="shared" si="39"/>
        <v>7.3467525788545582E-2</v>
      </c>
      <c r="BS49" s="528">
        <f t="shared" si="104"/>
        <v>0.12000765151641897</v>
      </c>
      <c r="BT49" s="528">
        <f t="shared" si="160"/>
        <v>4.3565376045991437E-4</v>
      </c>
      <c r="BU49" s="528">
        <f t="shared" si="41"/>
        <v>12.054888718968424</v>
      </c>
      <c r="BV49" s="528">
        <f t="shared" si="161"/>
        <v>12.489079573435722</v>
      </c>
      <c r="BW49" s="625">
        <f t="shared" si="162"/>
        <v>1.4510638297872345</v>
      </c>
      <c r="BX49" s="460">
        <f t="shared" si="105"/>
        <v>13940.143403222957</v>
      </c>
      <c r="BY49" s="173">
        <f t="shared" si="106"/>
        <v>17.737765397954508</v>
      </c>
      <c r="BZ49" s="5">
        <f t="shared" si="107"/>
        <v>34.1</v>
      </c>
      <c r="CA49" s="173">
        <f t="shared" si="108"/>
        <v>0.65782156576806394</v>
      </c>
      <c r="CB49" s="5">
        <f t="shared" si="109"/>
        <v>65.7821565768064</v>
      </c>
      <c r="CC49">
        <f t="shared" si="172"/>
        <v>44.000000000000007</v>
      </c>
      <c r="CE49" s="562">
        <f t="shared" si="163"/>
        <v>-50</v>
      </c>
      <c r="CF49">
        <f t="shared" si="164"/>
        <v>-50</v>
      </c>
      <c r="CG49" s="173">
        <f t="shared" si="165"/>
        <v>0.35697279653327757</v>
      </c>
      <c r="CH49" s="173">
        <f t="shared" si="166"/>
        <v>0.11576101191974464</v>
      </c>
      <c r="CI49" s="170">
        <v>44</v>
      </c>
      <c r="CJ49" s="217">
        <f t="shared" si="133"/>
        <v>1.1000000000000001</v>
      </c>
      <c r="CK49" s="217">
        <f t="shared" si="111"/>
        <v>0.11</v>
      </c>
      <c r="CL49" s="217">
        <f t="shared" si="48"/>
        <v>30.800000000000004</v>
      </c>
      <c r="CM49" s="217">
        <f t="shared" si="134"/>
        <v>3.3</v>
      </c>
      <c r="CN49" s="541">
        <f t="shared" si="112"/>
        <v>28</v>
      </c>
      <c r="CO49" s="443">
        <f t="shared" si="167"/>
        <v>28.7</v>
      </c>
      <c r="CP49" s="443">
        <f t="shared" si="168"/>
        <v>56.7</v>
      </c>
      <c r="CQ49" s="443"/>
      <c r="CR49" s="217">
        <f t="shared" si="113"/>
        <v>0.50354609929078009</v>
      </c>
      <c r="CS49" s="172">
        <f t="shared" si="114"/>
        <v>106.12369404407841</v>
      </c>
      <c r="CT49" s="172">
        <f t="shared" si="51"/>
        <v>12.588652482269502</v>
      </c>
      <c r="CU49" s="217">
        <f t="shared" si="52"/>
        <v>3.7901319301456575</v>
      </c>
      <c r="CV49" s="217">
        <f t="shared" si="53"/>
        <v>3.5374564681359471</v>
      </c>
      <c r="CW49" s="443">
        <f t="shared" si="54"/>
        <v>28</v>
      </c>
      <c r="CX49" s="217">
        <f t="shared" si="55"/>
        <v>4.8371227364185119</v>
      </c>
      <c r="CY49" s="217">
        <f t="shared" si="56"/>
        <v>0.81194560218453593</v>
      </c>
      <c r="CZ49" s="217">
        <f t="shared" si="57"/>
        <v>0.79214205091174228</v>
      </c>
      <c r="DA49" s="197">
        <f t="shared" si="58"/>
        <v>350</v>
      </c>
      <c r="DB49" s="443">
        <f t="shared" si="115"/>
        <v>350</v>
      </c>
      <c r="DD49" s="217">
        <f t="shared" si="59"/>
        <v>8.6157079064880477</v>
      </c>
      <c r="DE49" s="173">
        <f t="shared" si="60"/>
        <v>1.4109347442680775</v>
      </c>
      <c r="DF49" s="173">
        <f t="shared" si="61"/>
        <v>2.1273352855526046</v>
      </c>
      <c r="DG49" s="173"/>
      <c r="DH49" s="173">
        <f t="shared" si="62"/>
        <v>0.54587688734030204</v>
      </c>
      <c r="DI49" s="545">
        <f t="shared" si="63"/>
        <v>1209.063829787234</v>
      </c>
      <c r="DJ49" s="528">
        <f t="shared" si="64"/>
        <v>0.31842818428184283</v>
      </c>
      <c r="DL49" s="173">
        <f t="shared" si="65"/>
        <v>6.4388637635338695</v>
      </c>
      <c r="DM49" s="173">
        <f t="shared" si="66"/>
        <v>6.4388637635338695</v>
      </c>
      <c r="DN49" s="173">
        <f t="shared" si="67"/>
        <v>3.5003929112596559</v>
      </c>
      <c r="DP49" s="545">
        <f t="shared" si="68"/>
        <v>1100</v>
      </c>
      <c r="DQ49" s="460">
        <f t="shared" si="69"/>
        <v>350</v>
      </c>
      <c r="DS49">
        <f t="shared" si="116"/>
        <v>1100</v>
      </c>
      <c r="DT49" s="460">
        <f t="shared" si="70"/>
        <v>350</v>
      </c>
      <c r="DU49" s="460"/>
      <c r="DV49" s="5">
        <f t="shared" si="117"/>
        <v>2.8571428571428572</v>
      </c>
      <c r="DW49" s="5">
        <f t="shared" si="71"/>
        <v>1.0808092745931852</v>
      </c>
      <c r="DX49" s="5">
        <f t="shared" si="118"/>
        <v>1.776333582549672</v>
      </c>
      <c r="DY49" s="173">
        <f t="shared" si="119"/>
        <v>0.37828324610761482</v>
      </c>
      <c r="EA49" s="5">
        <f t="shared" si="72"/>
        <v>4.2460364359018001</v>
      </c>
      <c r="EB49" s="5">
        <f t="shared" si="73"/>
        <v>0.39629673401750121</v>
      </c>
      <c r="EC49" s="5">
        <f t="shared" si="74"/>
        <v>1.3956906720033138</v>
      </c>
      <c r="ED49" s="5"/>
      <c r="EE49" s="173">
        <f t="shared" si="120"/>
        <v>2.2864260650345036</v>
      </c>
      <c r="EF49" s="173">
        <f t="shared" si="75"/>
        <v>2.9311962354837342</v>
      </c>
      <c r="EG49" s="173">
        <f t="shared" si="76"/>
        <v>0.29552224341352407</v>
      </c>
      <c r="EH49" s="173"/>
      <c r="EI49" s="528">
        <f t="shared" si="77"/>
        <v>6.273292981042998E-2</v>
      </c>
      <c r="EJ49" s="528">
        <f t="shared" si="78"/>
        <v>2.4278057763592633</v>
      </c>
      <c r="EK49" s="528">
        <f t="shared" si="79"/>
        <v>4.0250000000000001E-2</v>
      </c>
      <c r="EL49" s="528">
        <f t="shared" si="80"/>
        <v>0.55416666375000012</v>
      </c>
      <c r="EM49">
        <f t="shared" si="81"/>
        <v>1.26E-2</v>
      </c>
      <c r="EN49" s="460">
        <f t="shared" si="121"/>
        <v>52.85</v>
      </c>
      <c r="EO49">
        <f t="shared" si="82"/>
        <v>3.1616182692572199</v>
      </c>
      <c r="EP49" s="460">
        <f t="shared" si="122"/>
        <v>3161.6182692572197</v>
      </c>
      <c r="EQ49" s="173">
        <f t="shared" si="83"/>
        <v>0.73765999999999998</v>
      </c>
      <c r="ER49" s="173">
        <f t="shared" si="169"/>
        <v>5.2690000000000001E-2</v>
      </c>
      <c r="ES49" s="528"/>
      <c r="EU49" s="460">
        <f t="shared" si="123"/>
        <v>790.35</v>
      </c>
      <c r="EV49" s="528">
        <f t="shared" si="85"/>
        <v>7.3188418112168308E-2</v>
      </c>
      <c r="EW49" s="528">
        <f t="shared" si="124"/>
        <v>0.12028675919279622</v>
      </c>
      <c r="EX49" s="528">
        <f t="shared" si="86"/>
        <v>4.3666698176081083E-4</v>
      </c>
      <c r="EY49" s="528">
        <f t="shared" si="87"/>
        <v>12.054888718968424</v>
      </c>
      <c r="EZ49" s="528">
        <f t="shared" si="88"/>
        <v>12.489081877915526</v>
      </c>
      <c r="FA49" s="625">
        <f t="shared" si="89"/>
        <v>1.4510638297872345</v>
      </c>
      <c r="FB49" s="460">
        <f t="shared" si="125"/>
        <v>13940.145707702759</v>
      </c>
      <c r="FC49" s="173">
        <f t="shared" si="126"/>
        <v>17.89211397695998</v>
      </c>
      <c r="FD49" s="5">
        <f t="shared" si="127"/>
        <v>34.1</v>
      </c>
      <c r="FE49" s="173">
        <f t="shared" si="128"/>
        <v>0.65586869607016218</v>
      </c>
      <c r="FF49" s="5">
        <f t="shared" si="129"/>
        <v>65.586869607016212</v>
      </c>
      <c r="FG49">
        <f t="shared" si="130"/>
        <v>44.000000000000007</v>
      </c>
      <c r="FI49" s="562">
        <f t="shared" si="90"/>
        <v>-50</v>
      </c>
      <c r="FJ49">
        <f t="shared" si="91"/>
        <v>-50</v>
      </c>
      <c r="FL49">
        <f t="shared" si="92"/>
        <v>0.35697279653327751</v>
      </c>
    </row>
    <row r="50" spans="5:168">
      <c r="E50" s="170">
        <v>45</v>
      </c>
      <c r="F50" s="217">
        <f t="shared" si="173"/>
        <v>1.125</v>
      </c>
      <c r="G50" s="217">
        <f t="shared" si="170"/>
        <v>0.1125</v>
      </c>
      <c r="H50" s="217">
        <f t="shared" si="135"/>
        <v>31.5</v>
      </c>
      <c r="I50" s="217">
        <f t="shared" si="174"/>
        <v>3.375</v>
      </c>
      <c r="J50" s="541">
        <f t="shared" si="136"/>
        <v>27.892424266228335</v>
      </c>
      <c r="K50" s="443">
        <f t="shared" si="137"/>
        <v>28.743628021446302</v>
      </c>
      <c r="L50" s="172">
        <f t="shared" si="138"/>
        <v>56.636052287674637</v>
      </c>
      <c r="M50" s="443"/>
      <c r="N50" s="217">
        <f t="shared" si="139"/>
        <v>0.50751468120424781</v>
      </c>
      <c r="O50" s="172">
        <f t="shared" si="171"/>
        <v>106.54914372733279</v>
      </c>
      <c r="P50" s="172">
        <f t="shared" si="140"/>
        <v>12.639120365614732</v>
      </c>
      <c r="Q50" s="217">
        <f t="shared" si="6"/>
        <v>3.8053265616904568</v>
      </c>
      <c r="R50" s="217">
        <f t="shared" si="141"/>
        <v>3.5516381242444264</v>
      </c>
      <c r="S50" s="443">
        <f t="shared" si="142"/>
        <v>28</v>
      </c>
      <c r="T50" s="217">
        <f t="shared" si="143"/>
        <v>4.9273037927316823</v>
      </c>
      <c r="U50" s="217">
        <f t="shared" si="10"/>
        <v>0.83027303775378924</v>
      </c>
      <c r="V50" s="217">
        <f t="shared" si="11"/>
        <v>0.80568562216850048</v>
      </c>
      <c r="W50" s="197">
        <f t="shared" si="12"/>
        <v>350</v>
      </c>
      <c r="X50" s="443">
        <f t="shared" si="95"/>
        <v>350</v>
      </c>
      <c r="Z50" s="217">
        <f t="shared" si="13"/>
        <v>8.6053585468015186</v>
      </c>
      <c r="AA50" s="173">
        <f t="shared" si="14"/>
        <v>1.4071009108450063</v>
      </c>
      <c r="AB50" s="173">
        <f t="shared" si="144"/>
        <v>2.1190063736366485</v>
      </c>
      <c r="AC50" s="173"/>
      <c r="AD50" s="173">
        <f t="shared" si="16"/>
        <v>0.54504833749509263</v>
      </c>
      <c r="AE50" s="545">
        <f t="shared" si="145"/>
        <v>1238.4222711367822</v>
      </c>
      <c r="AF50" s="528">
        <f t="shared" si="146"/>
        <v>0.31794486353880408</v>
      </c>
      <c r="AH50" s="173">
        <f t="shared" si="147"/>
        <v>6.5116215956911319</v>
      </c>
      <c r="AI50" s="173">
        <f t="shared" si="148"/>
        <v>6.5116215956911319</v>
      </c>
      <c r="AJ50" s="173">
        <f t="shared" si="149"/>
        <v>3.554287601746517</v>
      </c>
      <c r="AL50" s="545">
        <f t="shared" si="150"/>
        <v>1125</v>
      </c>
      <c r="AM50" s="460">
        <f t="shared" si="151"/>
        <v>350</v>
      </c>
      <c r="AO50">
        <f t="shared" si="96"/>
        <v>1125</v>
      </c>
      <c r="AP50" s="460">
        <f t="shared" si="24"/>
        <v>350</v>
      </c>
      <c r="AQ50" s="460"/>
      <c r="AR50" s="5">
        <f t="shared" si="97"/>
        <v>2.8571428571428572</v>
      </c>
      <c r="AS50" s="5">
        <f t="shared" si="25"/>
        <v>1.0972377735127119</v>
      </c>
      <c r="AT50" s="5">
        <f t="shared" si="98"/>
        <v>1.7599050836301453</v>
      </c>
      <c r="AU50" s="173">
        <f t="shared" si="99"/>
        <v>0.38403322072944918</v>
      </c>
      <c r="AW50" s="5">
        <f t="shared" si="152"/>
        <v>4.408544625720717</v>
      </c>
      <c r="AX50" s="5">
        <f t="shared" si="153"/>
        <v>0.41146416506726696</v>
      </c>
      <c r="AY50" s="5">
        <f t="shared" si="28"/>
        <v>1.4196637769353981</v>
      </c>
      <c r="AZ50" s="5"/>
      <c r="BA50" s="173">
        <f t="shared" si="100"/>
        <v>2.3297693354077995</v>
      </c>
      <c r="BB50" s="173">
        <f t="shared" si="154"/>
        <v>2.9505784933834933</v>
      </c>
      <c r="BC50" s="173">
        <f t="shared" si="155"/>
        <v>0.29747635630013913</v>
      </c>
      <c r="BD50" s="173"/>
      <c r="BE50" s="528">
        <f t="shared" si="31"/>
        <v>6.5133901874477998E-2</v>
      </c>
      <c r="BF50" s="528">
        <f t="shared" si="156"/>
        <v>2.3556623567304928</v>
      </c>
      <c r="BG50" s="528">
        <f t="shared" si="33"/>
        <v>4.0250000000000001E-2</v>
      </c>
      <c r="BH50" s="528">
        <f t="shared" si="34"/>
        <v>0.55291736192896568</v>
      </c>
      <c r="BI50">
        <f t="shared" si="35"/>
        <v>1.2551590919802751E-2</v>
      </c>
      <c r="BJ50" s="460">
        <f t="shared" si="101"/>
        <v>52.801590919802749</v>
      </c>
      <c r="BK50">
        <f t="shared" si="157"/>
        <v>3.0383202564997882</v>
      </c>
      <c r="BL50" s="460">
        <f t="shared" si="102"/>
        <v>3038.3202564997882</v>
      </c>
      <c r="BM50" s="173">
        <f t="shared" si="158"/>
        <v>0.7544249999999999</v>
      </c>
      <c r="BN50" s="173">
        <f t="shared" si="159"/>
        <v>5.3887499999999998E-2</v>
      </c>
      <c r="BO50" s="528"/>
      <c r="BQ50" s="460">
        <f t="shared" si="103"/>
        <v>808.31249999999989</v>
      </c>
      <c r="BR50" s="528">
        <f t="shared" si="39"/>
        <v>7.5989552186890991E-2</v>
      </c>
      <c r="BS50" s="528">
        <f t="shared" si="104"/>
        <v>0.12188278823864089</v>
      </c>
      <c r="BT50" s="528">
        <f t="shared" si="160"/>
        <v>4.424609127880366E-4</v>
      </c>
      <c r="BU50" s="528">
        <f t="shared" si="41"/>
        <v>12.398324596483359</v>
      </c>
      <c r="BV50" s="528">
        <f t="shared" si="161"/>
        <v>12.84807197748653</v>
      </c>
      <c r="BW50" s="625">
        <f t="shared" si="162"/>
        <v>1.4840425531914896</v>
      </c>
      <c r="BX50" s="460">
        <f t="shared" si="105"/>
        <v>14332.11453067802</v>
      </c>
      <c r="BY50" s="173">
        <f t="shared" si="106"/>
        <v>18.178747287177806</v>
      </c>
      <c r="BZ50" s="5">
        <f t="shared" si="107"/>
        <v>34.875</v>
      </c>
      <c r="CA50" s="173">
        <f t="shared" si="108"/>
        <v>0.65735224716970553</v>
      </c>
      <c r="CB50" s="5">
        <f t="shared" si="109"/>
        <v>65.735224716970549</v>
      </c>
      <c r="CC50">
        <f t="shared" si="172"/>
        <v>45</v>
      </c>
      <c r="CE50" s="562">
        <f t="shared" si="163"/>
        <v>-50</v>
      </c>
      <c r="CF50">
        <f t="shared" si="164"/>
        <v>-50</v>
      </c>
      <c r="CG50" s="173">
        <f t="shared" si="165"/>
        <v>0.36100651548878188</v>
      </c>
      <c r="CH50" s="173">
        <f t="shared" si="166"/>
        <v>0.11706908747234634</v>
      </c>
      <c r="CI50" s="170">
        <v>45</v>
      </c>
      <c r="CJ50" s="217">
        <f t="shared" si="133"/>
        <v>1.125</v>
      </c>
      <c r="CK50" s="217">
        <f t="shared" si="111"/>
        <v>0.1125</v>
      </c>
      <c r="CL50" s="217">
        <f t="shared" si="48"/>
        <v>31.5</v>
      </c>
      <c r="CM50" s="217">
        <f t="shared" si="134"/>
        <v>3.375</v>
      </c>
      <c r="CN50" s="541">
        <f t="shared" si="112"/>
        <v>28</v>
      </c>
      <c r="CO50" s="443">
        <f t="shared" si="167"/>
        <v>28.7</v>
      </c>
      <c r="CP50" s="443">
        <f t="shared" si="168"/>
        <v>56.7</v>
      </c>
      <c r="CQ50" s="443"/>
      <c r="CR50" s="217">
        <f t="shared" si="113"/>
        <v>0.50354609929078009</v>
      </c>
      <c r="CS50" s="172">
        <f t="shared" si="114"/>
        <v>106.12369404407841</v>
      </c>
      <c r="CT50" s="172">
        <f t="shared" si="51"/>
        <v>12.588652482269502</v>
      </c>
      <c r="CU50" s="217">
        <f t="shared" si="52"/>
        <v>3.7901319301456575</v>
      </c>
      <c r="CV50" s="217">
        <f t="shared" si="53"/>
        <v>3.5374564681359471</v>
      </c>
      <c r="CW50" s="443">
        <f t="shared" si="54"/>
        <v>28</v>
      </c>
      <c r="CX50" s="217">
        <f t="shared" si="55"/>
        <v>4.9470573440643868</v>
      </c>
      <c r="CY50" s="217">
        <f t="shared" si="56"/>
        <v>0.83039891132509347</v>
      </c>
      <c r="CZ50" s="217">
        <f t="shared" si="57"/>
        <v>0.81014527934155456</v>
      </c>
      <c r="DA50" s="197">
        <f t="shared" si="58"/>
        <v>350</v>
      </c>
      <c r="DB50" s="443">
        <f t="shared" si="115"/>
        <v>350</v>
      </c>
      <c r="DD50" s="217">
        <f t="shared" si="59"/>
        <v>8.6157079064880477</v>
      </c>
      <c r="DE50" s="173">
        <f t="shared" si="60"/>
        <v>1.4109347442680775</v>
      </c>
      <c r="DF50" s="173">
        <f t="shared" si="61"/>
        <v>2.1273352855526046</v>
      </c>
      <c r="DG50" s="173"/>
      <c r="DH50" s="173">
        <f t="shared" si="62"/>
        <v>0.54587688734030204</v>
      </c>
      <c r="DI50" s="545">
        <f t="shared" si="63"/>
        <v>1236.5425531914893</v>
      </c>
      <c r="DJ50" s="528">
        <f t="shared" si="64"/>
        <v>0.31842818428184283</v>
      </c>
      <c r="DL50" s="173">
        <f t="shared" si="65"/>
        <v>6.5116215956911319</v>
      </c>
      <c r="DM50" s="173">
        <f t="shared" si="66"/>
        <v>6.5116215956911319</v>
      </c>
      <c r="DN50" s="173">
        <f t="shared" si="67"/>
        <v>3.554287601746517</v>
      </c>
      <c r="DP50" s="545">
        <f t="shared" si="68"/>
        <v>1125</v>
      </c>
      <c r="DQ50" s="460">
        <f t="shared" si="69"/>
        <v>350</v>
      </c>
      <c r="DS50">
        <f t="shared" si="116"/>
        <v>1125</v>
      </c>
      <c r="DT50" s="460">
        <f t="shared" si="70"/>
        <v>350</v>
      </c>
      <c r="DU50" s="460"/>
      <c r="DV50" s="5">
        <f t="shared" si="117"/>
        <v>2.8571428571428572</v>
      </c>
      <c r="DW50" s="5">
        <f t="shared" si="71"/>
        <v>1.0930221964195828</v>
      </c>
      <c r="DX50" s="5">
        <f t="shared" si="118"/>
        <v>1.7641206607232744</v>
      </c>
      <c r="DY50" s="173">
        <f t="shared" si="119"/>
        <v>0.38255776874685393</v>
      </c>
      <c r="EA50" s="5">
        <f t="shared" si="72"/>
        <v>4.3916070391858231</v>
      </c>
      <c r="EB50" s="5">
        <f t="shared" si="73"/>
        <v>0.40988332365734353</v>
      </c>
      <c r="EC50" s="5">
        <f t="shared" si="74"/>
        <v>1.4175969595097742</v>
      </c>
      <c r="ED50" s="5"/>
      <c r="EE50" s="173">
        <f t="shared" si="120"/>
        <v>2.3252895526288668</v>
      </c>
      <c r="EF50" s="173">
        <f t="shared" si="75"/>
        <v>2.9541102041492544</v>
      </c>
      <c r="EG50" s="173">
        <f t="shared" si="76"/>
        <v>0.29783242222160516</v>
      </c>
      <c r="EH50" s="173"/>
      <c r="EI50" s="528">
        <f t="shared" si="77"/>
        <v>6.4883658042779471E-2</v>
      </c>
      <c r="EJ50" s="528">
        <f t="shared" si="78"/>
        <v>2.45523948076332</v>
      </c>
      <c r="EK50" s="528">
        <f t="shared" si="79"/>
        <v>4.0250000000000001E-2</v>
      </c>
      <c r="EL50" s="528">
        <f t="shared" si="80"/>
        <v>0.55416666375000012</v>
      </c>
      <c r="EM50">
        <f t="shared" si="81"/>
        <v>1.26E-2</v>
      </c>
      <c r="EN50" s="460">
        <f t="shared" si="121"/>
        <v>52.85</v>
      </c>
      <c r="EO50">
        <f t="shared" si="82"/>
        <v>3.1938966415571608</v>
      </c>
      <c r="EP50" s="460">
        <f t="shared" si="122"/>
        <v>3193.8966415571608</v>
      </c>
      <c r="EQ50" s="173">
        <f t="shared" si="83"/>
        <v>0.7544249999999999</v>
      </c>
      <c r="ER50" s="173">
        <f t="shared" si="169"/>
        <v>5.3887499999999998E-2</v>
      </c>
      <c r="ES50" s="528"/>
      <c r="EU50" s="460">
        <f t="shared" si="123"/>
        <v>808.31249999999989</v>
      </c>
      <c r="EV50" s="528">
        <f t="shared" si="85"/>
        <v>7.5697601049909372E-2</v>
      </c>
      <c r="EW50" s="528">
        <f t="shared" si="124"/>
        <v>0.1221747393756225</v>
      </c>
      <c r="EX50" s="528">
        <f t="shared" si="86"/>
        <v>4.4352075863194246E-4</v>
      </c>
      <c r="EY50" s="528">
        <f t="shared" si="87"/>
        <v>12.398324596483359</v>
      </c>
      <c r="EZ50" s="528">
        <f t="shared" si="88"/>
        <v>12.848074419801414</v>
      </c>
      <c r="FA50" s="625">
        <f t="shared" si="89"/>
        <v>1.4840425531914896</v>
      </c>
      <c r="FB50" s="460">
        <f t="shared" si="125"/>
        <v>14332.116972992902</v>
      </c>
      <c r="FC50" s="173">
        <f t="shared" si="126"/>
        <v>18.334326114550063</v>
      </c>
      <c r="FD50" s="5">
        <f t="shared" si="127"/>
        <v>34.875</v>
      </c>
      <c r="FE50" s="173">
        <f t="shared" si="128"/>
        <v>0.65543021396137258</v>
      </c>
      <c r="FF50" s="5">
        <f t="shared" si="129"/>
        <v>65.543021396137263</v>
      </c>
      <c r="FG50">
        <f t="shared" si="130"/>
        <v>45</v>
      </c>
      <c r="FI50" s="562">
        <f t="shared" si="90"/>
        <v>-50</v>
      </c>
      <c r="FJ50">
        <f t="shared" si="91"/>
        <v>-50</v>
      </c>
      <c r="FL50">
        <f t="shared" si="92"/>
        <v>0.36100651548878188</v>
      </c>
    </row>
    <row r="51" spans="5:168">
      <c r="E51" s="170">
        <v>46</v>
      </c>
      <c r="F51" s="217">
        <f t="shared" si="173"/>
        <v>1.1500000000000001</v>
      </c>
      <c r="G51" s="217">
        <f t="shared" si="170"/>
        <v>0.115</v>
      </c>
      <c r="H51" s="217">
        <f t="shared" si="135"/>
        <v>32.200000000000003</v>
      </c>
      <c r="I51" s="217">
        <f t="shared" si="174"/>
        <v>3.45</v>
      </c>
      <c r="J51" s="541">
        <f t="shared" si="136"/>
        <v>27.891235548000935</v>
      </c>
      <c r="K51" s="443">
        <f t="shared" si="137"/>
        <v>28.744110113666363</v>
      </c>
      <c r="L51" s="172">
        <f t="shared" si="138"/>
        <v>56.635345661667301</v>
      </c>
      <c r="M51" s="443"/>
      <c r="N51" s="217">
        <f t="shared" si="139"/>
        <v>0.50752952556130226</v>
      </c>
      <c r="O51" s="172">
        <f t="shared" si="171"/>
        <v>106.54771915587969</v>
      </c>
      <c r="P51" s="172">
        <f t="shared" si="140"/>
        <v>12.638951379460217</v>
      </c>
      <c r="Q51" s="217">
        <f t="shared" si="6"/>
        <v>3.8052756841385604</v>
      </c>
      <c r="R51" s="217">
        <f t="shared" si="141"/>
        <v>3.5515906385293232</v>
      </c>
      <c r="S51" s="443">
        <f t="shared" si="142"/>
        <v>28</v>
      </c>
      <c r="T51" s="217">
        <f t="shared" si="143"/>
        <v>5.036866775923392</v>
      </c>
      <c r="U51" s="217">
        <f t="shared" si="10"/>
        <v>0.8487710702560356</v>
      </c>
      <c r="V51" s="217">
        <f t="shared" si="11"/>
        <v>0.82358694540292976</v>
      </c>
      <c r="W51" s="197">
        <f t="shared" si="12"/>
        <v>350</v>
      </c>
      <c r="X51" s="443">
        <f t="shared" si="95"/>
        <v>350</v>
      </c>
      <c r="Z51" s="217">
        <f t="shared" si="13"/>
        <v>8.6052434923984453</v>
      </c>
      <c r="AA51" s="173">
        <f t="shared" si="14"/>
        <v>1.4070584983962791</v>
      </c>
      <c r="AB51" s="173">
        <f t="shared" si="144"/>
        <v>2.1189141726809888</v>
      </c>
      <c r="AC51" s="173"/>
      <c r="AD51" s="173">
        <f t="shared" si="16"/>
        <v>0.5450391960201254</v>
      </c>
      <c r="AE51" s="545">
        <f t="shared" si="145"/>
        <v>1265.9639986231782</v>
      </c>
      <c r="AF51" s="528">
        <f t="shared" si="146"/>
        <v>0.31793953101173977</v>
      </c>
      <c r="AH51" s="173">
        <f t="shared" si="147"/>
        <v>6.5835753998562749</v>
      </c>
      <c r="AI51" s="173">
        <f t="shared" si="148"/>
        <v>6.5835753998562749</v>
      </c>
      <c r="AJ51" s="173">
        <f t="shared" si="149"/>
        <v>3.6075867159429196</v>
      </c>
      <c r="AL51" s="545">
        <f t="shared" si="150"/>
        <v>1150.0000000000002</v>
      </c>
      <c r="AM51" s="460">
        <f t="shared" si="151"/>
        <v>350</v>
      </c>
      <c r="AO51">
        <f t="shared" si="96"/>
        <v>1150.0000000000002</v>
      </c>
      <c r="AP51" s="460">
        <f t="shared" si="24"/>
        <v>350</v>
      </c>
      <c r="AQ51" s="460"/>
      <c r="AR51" s="5">
        <f t="shared" si="97"/>
        <v>2.8571428571428572</v>
      </c>
      <c r="AS51" s="5">
        <f t="shared" si="25"/>
        <v>1.1094095966480866</v>
      </c>
      <c r="AT51" s="5">
        <f t="shared" si="98"/>
        <v>1.7477332604947706</v>
      </c>
      <c r="AU51" s="173">
        <f t="shared" si="99"/>
        <v>0.3882933588268303</v>
      </c>
      <c r="AW51" s="5">
        <f t="shared" si="152"/>
        <v>4.5565037005189275</v>
      </c>
      <c r="AX51" s="5">
        <f t="shared" si="153"/>
        <v>0.42527367871509986</v>
      </c>
      <c r="AY51" s="5">
        <f t="shared" si="28"/>
        <v>1.4412364386726086</v>
      </c>
      <c r="AZ51" s="5"/>
      <c r="BA51" s="173">
        <f t="shared" si="100"/>
        <v>2.3685424227955405</v>
      </c>
      <c r="BB51" s="173">
        <f t="shared" si="154"/>
        <v>2.9728485452982745</v>
      </c>
      <c r="BC51" s="173">
        <f t="shared" si="155"/>
        <v>0.29972161563253097</v>
      </c>
      <c r="BD51" s="173"/>
      <c r="BE51" s="528">
        <f t="shared" si="31"/>
        <v>6.731991850298602E-2</v>
      </c>
      <c r="BF51" s="528">
        <f t="shared" si="156"/>
        <v>2.3816628497915051</v>
      </c>
      <c r="BG51" s="528">
        <f t="shared" si="33"/>
        <v>4.0250000000000001E-2</v>
      </c>
      <c r="BH51" s="528">
        <f t="shared" si="34"/>
        <v>0.55290356494507564</v>
      </c>
      <c r="BI51">
        <f t="shared" si="35"/>
        <v>1.255105599660042E-2</v>
      </c>
      <c r="BJ51" s="460">
        <f t="shared" si="101"/>
        <v>52.801055996600418</v>
      </c>
      <c r="BK51">
        <f t="shared" si="157"/>
        <v>3.0691544899152512</v>
      </c>
      <c r="BL51" s="460">
        <f t="shared" si="102"/>
        <v>3069.1544899152514</v>
      </c>
      <c r="BM51" s="173">
        <f t="shared" si="158"/>
        <v>0.77119000000000004</v>
      </c>
      <c r="BN51" s="173">
        <f t="shared" si="159"/>
        <v>5.5085000000000002E-2</v>
      </c>
      <c r="BO51" s="528"/>
      <c r="BQ51" s="460">
        <f t="shared" si="103"/>
        <v>826.27500000000009</v>
      </c>
      <c r="BR51" s="528">
        <f t="shared" si="39"/>
        <v>7.8539904920150366E-2</v>
      </c>
      <c r="BS51" s="528">
        <f t="shared" si="104"/>
        <v>0.12372959862594893</v>
      </c>
      <c r="BT51" s="528">
        <f t="shared" si="160"/>
        <v>4.4916523438687315E-4</v>
      </c>
      <c r="BU51" s="528">
        <f t="shared" si="41"/>
        <v>12.743673899055834</v>
      </c>
      <c r="BV51" s="528">
        <f t="shared" si="161"/>
        <v>13.209266237725942</v>
      </c>
      <c r="BW51" s="625">
        <f t="shared" si="162"/>
        <v>1.5170212765957451</v>
      </c>
      <c r="BX51" s="460">
        <f t="shared" si="105"/>
        <v>14726.287514321686</v>
      </c>
      <c r="BY51" s="173">
        <f t="shared" si="106"/>
        <v>18.621717004236938</v>
      </c>
      <c r="BZ51" s="5">
        <f t="shared" si="107"/>
        <v>35.650000000000006</v>
      </c>
      <c r="CA51" s="173">
        <f t="shared" si="108"/>
        <v>0.6568798992892898</v>
      </c>
      <c r="CB51" s="5">
        <f t="shared" si="109"/>
        <v>65.687989928928985</v>
      </c>
      <c r="CC51">
        <f t="shared" si="172"/>
        <v>46.000000000000007</v>
      </c>
      <c r="CE51" s="562">
        <f t="shared" si="163"/>
        <v>-50</v>
      </c>
      <c r="CF51">
        <f t="shared" si="164"/>
        <v>-50</v>
      </c>
      <c r="CG51" s="173">
        <f t="shared" si="165"/>
        <v>0.36499565885900004</v>
      </c>
      <c r="CH51" s="173">
        <f t="shared" si="166"/>
        <v>0.11836270782021042</v>
      </c>
      <c r="CI51" s="170">
        <v>46</v>
      </c>
      <c r="CJ51" s="217">
        <f t="shared" si="133"/>
        <v>1.1500000000000001</v>
      </c>
      <c r="CK51" s="217">
        <f t="shared" si="111"/>
        <v>0.115</v>
      </c>
      <c r="CL51" s="217">
        <f t="shared" si="48"/>
        <v>32.200000000000003</v>
      </c>
      <c r="CM51" s="217">
        <f t="shared" si="134"/>
        <v>3.45</v>
      </c>
      <c r="CN51" s="541">
        <f t="shared" si="112"/>
        <v>28</v>
      </c>
      <c r="CO51" s="443">
        <f t="shared" si="167"/>
        <v>28.7</v>
      </c>
      <c r="CP51" s="443">
        <f t="shared" si="168"/>
        <v>56.7</v>
      </c>
      <c r="CQ51" s="443"/>
      <c r="CR51" s="217">
        <f t="shared" si="113"/>
        <v>0.50354609929078009</v>
      </c>
      <c r="CS51" s="172">
        <f t="shared" si="114"/>
        <v>106.12369404407841</v>
      </c>
      <c r="CT51" s="172">
        <f t="shared" si="51"/>
        <v>12.588652482269502</v>
      </c>
      <c r="CU51" s="217">
        <f t="shared" si="52"/>
        <v>3.7901319301456575</v>
      </c>
      <c r="CV51" s="217">
        <f t="shared" si="53"/>
        <v>3.5374564681359471</v>
      </c>
      <c r="CW51" s="443">
        <f t="shared" si="54"/>
        <v>28</v>
      </c>
      <c r="CX51" s="217">
        <f t="shared" si="55"/>
        <v>5.0569919517102626</v>
      </c>
      <c r="CY51" s="217">
        <f t="shared" si="56"/>
        <v>0.84885222046565112</v>
      </c>
      <c r="CZ51" s="217">
        <f t="shared" si="57"/>
        <v>0.82814850777136706</v>
      </c>
      <c r="DA51" s="197">
        <f t="shared" si="58"/>
        <v>350</v>
      </c>
      <c r="DB51" s="443">
        <f t="shared" si="115"/>
        <v>350</v>
      </c>
      <c r="DD51" s="217">
        <f t="shared" si="59"/>
        <v>8.6157079064880477</v>
      </c>
      <c r="DE51" s="173">
        <f t="shared" si="60"/>
        <v>1.4109347442680775</v>
      </c>
      <c r="DF51" s="173">
        <f t="shared" si="61"/>
        <v>2.1273352855526046</v>
      </c>
      <c r="DG51" s="173"/>
      <c r="DH51" s="173">
        <f t="shared" si="62"/>
        <v>0.54587688734030204</v>
      </c>
      <c r="DI51" s="545">
        <f t="shared" si="63"/>
        <v>1264.0212765957447</v>
      </c>
      <c r="DJ51" s="528">
        <f t="shared" si="64"/>
        <v>0.31842818428184283</v>
      </c>
      <c r="DL51" s="173">
        <f t="shared" si="65"/>
        <v>6.5835753998562749</v>
      </c>
      <c r="DM51" s="173">
        <f t="shared" si="66"/>
        <v>6.5835753998562749</v>
      </c>
      <c r="DN51" s="173">
        <f t="shared" si="67"/>
        <v>3.6075867159429196</v>
      </c>
      <c r="DP51" s="545">
        <f t="shared" si="68"/>
        <v>1150.0000000000002</v>
      </c>
      <c r="DQ51" s="460">
        <f t="shared" si="69"/>
        <v>350</v>
      </c>
      <c r="DS51">
        <f t="shared" si="116"/>
        <v>1150.0000000000002</v>
      </c>
      <c r="DT51" s="460">
        <f t="shared" si="70"/>
        <v>350</v>
      </c>
      <c r="DU51" s="460"/>
      <c r="DV51" s="5">
        <f t="shared" si="117"/>
        <v>2.8571428571428572</v>
      </c>
      <c r="DW51" s="5">
        <f t="shared" si="71"/>
        <v>1.105100156404446</v>
      </c>
      <c r="DX51" s="5">
        <f t="shared" si="118"/>
        <v>1.7520427007384112</v>
      </c>
      <c r="DY51" s="173">
        <f t="shared" si="119"/>
        <v>0.38678505474155611</v>
      </c>
      <c r="EA51" s="5">
        <f t="shared" si="72"/>
        <v>4.5388042138039761</v>
      </c>
      <c r="EB51" s="5">
        <f t="shared" si="73"/>
        <v>0.42362172662170433</v>
      </c>
      <c r="EC51" s="5">
        <f t="shared" si="74"/>
        <v>1.439177932749409</v>
      </c>
      <c r="ED51" s="5"/>
      <c r="EE51" s="173">
        <f t="shared" si="120"/>
        <v>2.3639377107098443</v>
      </c>
      <c r="EF51" s="173">
        <f t="shared" si="75"/>
        <v>2.9765114113250326</v>
      </c>
      <c r="EG51" s="173">
        <f t="shared" si="76"/>
        <v>0.30009090458440901</v>
      </c>
      <c r="EH51" s="173"/>
      <c r="EI51" s="528">
        <f t="shared" si="77"/>
        <v>6.70584180013932E-2</v>
      </c>
      <c r="EJ51" s="528">
        <f t="shared" si="78"/>
        <v>2.482370022392808</v>
      </c>
      <c r="EK51" s="528">
        <f t="shared" si="79"/>
        <v>4.0250000000000001E-2</v>
      </c>
      <c r="EL51" s="528">
        <f t="shared" si="80"/>
        <v>0.55416666375000012</v>
      </c>
      <c r="EM51">
        <f t="shared" si="81"/>
        <v>1.26E-2</v>
      </c>
      <c r="EN51" s="460">
        <f t="shared" si="121"/>
        <v>52.85</v>
      </c>
      <c r="EO51">
        <f t="shared" si="82"/>
        <v>3.2259501999949722</v>
      </c>
      <c r="EP51" s="460">
        <f t="shared" si="122"/>
        <v>3225.9501999949721</v>
      </c>
      <c r="EQ51" s="173">
        <f t="shared" si="83"/>
        <v>0.77119000000000004</v>
      </c>
      <c r="ER51" s="173">
        <f t="shared" si="169"/>
        <v>5.5085000000000002E-2</v>
      </c>
      <c r="ES51" s="528"/>
      <c r="EU51" s="460">
        <f t="shared" si="123"/>
        <v>826.27500000000009</v>
      </c>
      <c r="EV51" s="528">
        <f t="shared" si="85"/>
        <v>7.823482100162539E-2</v>
      </c>
      <c r="EW51" s="528">
        <f t="shared" si="124"/>
        <v>0.12403468254447393</v>
      </c>
      <c r="EX51" s="528">
        <f t="shared" si="86"/>
        <v>4.5027275507144438E-4</v>
      </c>
      <c r="EY51" s="528">
        <f t="shared" si="87"/>
        <v>12.743673899055834</v>
      </c>
      <c r="EZ51" s="528">
        <f t="shared" si="88"/>
        <v>13.209268823346958</v>
      </c>
      <c r="FA51" s="625">
        <f t="shared" si="89"/>
        <v>1.5170212765957451</v>
      </c>
      <c r="FB51" s="460">
        <f t="shared" si="125"/>
        <v>14726.290099942704</v>
      </c>
      <c r="FC51" s="173">
        <f t="shared" si="126"/>
        <v>18.778515299937677</v>
      </c>
      <c r="FD51" s="5">
        <f t="shared" si="127"/>
        <v>35.650000000000006</v>
      </c>
      <c r="FE51" s="173">
        <f t="shared" si="128"/>
        <v>0.65498755208633852</v>
      </c>
      <c r="FF51" s="5">
        <f t="shared" si="129"/>
        <v>65.498755208633852</v>
      </c>
      <c r="FG51">
        <f t="shared" si="130"/>
        <v>46.000000000000007</v>
      </c>
      <c r="FI51" s="562">
        <f t="shared" si="90"/>
        <v>-50</v>
      </c>
      <c r="FJ51">
        <f t="shared" si="91"/>
        <v>-50</v>
      </c>
      <c r="FL51">
        <f t="shared" si="92"/>
        <v>0.36499565885900004</v>
      </c>
    </row>
    <row r="52" spans="5:168">
      <c r="E52" s="170">
        <v>47</v>
      </c>
      <c r="F52" s="217">
        <f t="shared" si="173"/>
        <v>1.1749999999999998</v>
      </c>
      <c r="G52" s="217">
        <f t="shared" si="170"/>
        <v>0.11749999999999999</v>
      </c>
      <c r="H52" s="217">
        <f t="shared" si="135"/>
        <v>32.899999999999991</v>
      </c>
      <c r="I52" s="217">
        <f t="shared" si="174"/>
        <v>3.5249999999999999</v>
      </c>
      <c r="J52" s="541">
        <f t="shared" si="136"/>
        <v>27.890059681914224</v>
      </c>
      <c r="K52" s="443">
        <f t="shared" si="137"/>
        <v>28.744586993619215</v>
      </c>
      <c r="L52" s="172">
        <f t="shared" si="138"/>
        <v>56.634646675533439</v>
      </c>
      <c r="M52" s="443"/>
      <c r="N52" s="217">
        <f t="shared" si="139"/>
        <v>0.50754420978911263</v>
      </c>
      <c r="O52" s="172">
        <f t="shared" si="171"/>
        <v>106.54630980171873</v>
      </c>
      <c r="P52" s="172">
        <f t="shared" si="140"/>
        <v>12.638784198418165</v>
      </c>
      <c r="Q52" s="217">
        <f t="shared" si="6"/>
        <v>3.8052253500613835</v>
      </c>
      <c r="R52" s="217">
        <f t="shared" si="141"/>
        <v>3.5515436600572912</v>
      </c>
      <c r="S52" s="443">
        <f t="shared" si="142"/>
        <v>28</v>
      </c>
      <c r="T52" s="217">
        <f t="shared" si="143"/>
        <v>5.1464319538966139</v>
      </c>
      <c r="U52" s="217">
        <f t="shared" si="10"/>
        <v>0.86727064980070123</v>
      </c>
      <c r="V52" s="217">
        <f t="shared" si="11"/>
        <v>0.84148817962433908</v>
      </c>
      <c r="W52" s="197">
        <f t="shared" si="12"/>
        <v>350</v>
      </c>
      <c r="X52" s="443">
        <f t="shared" si="95"/>
        <v>350</v>
      </c>
      <c r="Z52" s="217">
        <f t="shared" si="13"/>
        <v>8.6051296670081125</v>
      </c>
      <c r="AA52" s="173">
        <f t="shared" si="14"/>
        <v>1.4070165434596782</v>
      </c>
      <c r="AB52" s="173">
        <f t="shared" si="144"/>
        <v>2.1188229650168151</v>
      </c>
      <c r="AC52" s="173"/>
      <c r="AD52" s="173">
        <f t="shared" si="16"/>
        <v>0.54503015368230501</v>
      </c>
      <c r="AE52" s="545">
        <f t="shared" si="145"/>
        <v>1293.5064147128644</v>
      </c>
      <c r="AF52" s="528">
        <f t="shared" si="146"/>
        <v>0.31793425631467792</v>
      </c>
      <c r="AH52" s="173">
        <f t="shared" si="147"/>
        <v>6.6547512564869225</v>
      </c>
      <c r="AI52" s="173">
        <f t="shared" si="148"/>
        <v>6.6547512564869225</v>
      </c>
      <c r="AJ52" s="173">
        <f t="shared" si="149"/>
        <v>3.6603095727063621</v>
      </c>
      <c r="AL52" s="545">
        <f t="shared" si="150"/>
        <v>1174.9999999999998</v>
      </c>
      <c r="AM52" s="460">
        <f t="shared" si="151"/>
        <v>350</v>
      </c>
      <c r="AO52">
        <f t="shared" si="96"/>
        <v>1174.9999999999998</v>
      </c>
      <c r="AP52" s="460">
        <f t="shared" si="24"/>
        <v>350</v>
      </c>
      <c r="AQ52" s="460"/>
      <c r="AR52" s="5">
        <f t="shared" si="97"/>
        <v>2.8571428571428572</v>
      </c>
      <c r="AS52" s="5">
        <f t="shared" si="25"/>
        <v>1.1214508417051128</v>
      </c>
      <c r="AT52" s="5">
        <f t="shared" si="98"/>
        <v>1.7356920154377444</v>
      </c>
      <c r="AU52" s="173">
        <f t="shared" si="99"/>
        <v>0.39250779459678947</v>
      </c>
      <c r="AW52" s="5">
        <f t="shared" si="152"/>
        <v>4.7060883535839544</v>
      </c>
      <c r="AX52" s="5">
        <f t="shared" si="153"/>
        <v>0.43923491300116912</v>
      </c>
      <c r="AY52" s="5">
        <f t="shared" si="28"/>
        <v>1.4624838680154255</v>
      </c>
      <c r="AZ52" s="5"/>
      <c r="BA52" s="173">
        <f t="shared" si="100"/>
        <v>2.4071067035225258</v>
      </c>
      <c r="BB52" s="173">
        <f t="shared" si="154"/>
        <v>2.9946188538379435</v>
      </c>
      <c r="BC52" s="173">
        <f t="shared" si="155"/>
        <v>0.30191649100169432</v>
      </c>
      <c r="BD52" s="173"/>
      <c r="BE52" s="528">
        <f t="shared" si="31"/>
        <v>6.9529952185716976E-2</v>
      </c>
      <c r="BF52" s="528">
        <f t="shared" si="156"/>
        <v>2.4073815926215154</v>
      </c>
      <c r="BG52" s="528">
        <f t="shared" si="33"/>
        <v>4.0250000000000001E-2</v>
      </c>
      <c r="BH52" s="528">
        <f t="shared" si="34"/>
        <v>0.55288991730027526</v>
      </c>
      <c r="BI52">
        <f t="shared" si="35"/>
        <v>1.2550526856861401E-2</v>
      </c>
      <c r="BJ52" s="460">
        <f t="shared" si="101"/>
        <v>52.800526856861403</v>
      </c>
      <c r="BK52">
        <f t="shared" si="157"/>
        <v>3.0997839617594227</v>
      </c>
      <c r="BL52" s="460">
        <f t="shared" si="102"/>
        <v>3099.7839617594227</v>
      </c>
      <c r="BM52" s="173">
        <f t="shared" si="158"/>
        <v>0.78795499999999974</v>
      </c>
      <c r="BN52" s="173">
        <f t="shared" si="159"/>
        <v>5.6282499999999992E-2</v>
      </c>
      <c r="BO52" s="528"/>
      <c r="BQ52" s="460">
        <f t="shared" si="103"/>
        <v>844.23749999999973</v>
      </c>
      <c r="BR52" s="528">
        <f t="shared" si="39"/>
        <v>8.1118277550003129E-2</v>
      </c>
      <c r="BS52" s="528">
        <f t="shared" si="104"/>
        <v>0.12554838911666349</v>
      </c>
      <c r="BT52" s="528">
        <f t="shared" si="160"/>
        <v>4.5576783769388083E-4</v>
      </c>
      <c r="BU52" s="528">
        <f t="shared" si="41"/>
        <v>13.09090533961275</v>
      </c>
      <c r="BV52" s="528">
        <f t="shared" si="161"/>
        <v>13.572632899907177</v>
      </c>
      <c r="BW52" s="625">
        <f t="shared" si="162"/>
        <v>1.5499999999999996</v>
      </c>
      <c r="BX52" s="460">
        <f t="shared" si="105"/>
        <v>15122.632899907176</v>
      </c>
      <c r="BY52" s="173">
        <f t="shared" si="106"/>
        <v>19.0666543616666</v>
      </c>
      <c r="BZ52" s="5">
        <f t="shared" si="107"/>
        <v>36.42499999999999</v>
      </c>
      <c r="CA52" s="173">
        <f t="shared" si="108"/>
        <v>0.65640501114996908</v>
      </c>
      <c r="CB52" s="5">
        <f t="shared" si="109"/>
        <v>65.640501114996908</v>
      </c>
      <c r="CC52">
        <f t="shared" si="172"/>
        <v>46.999999999999993</v>
      </c>
      <c r="CE52" s="562">
        <f t="shared" si="163"/>
        <v>-50</v>
      </c>
      <c r="CF52">
        <f t="shared" si="164"/>
        <v>-50</v>
      </c>
      <c r="CG52" s="173">
        <f t="shared" si="165"/>
        <v>0.36894167255337107</v>
      </c>
      <c r="CH52" s="173">
        <f t="shared" si="166"/>
        <v>0.11964234185043822</v>
      </c>
      <c r="CI52" s="170">
        <v>47</v>
      </c>
      <c r="CJ52" s="217">
        <f t="shared" si="133"/>
        <v>1.1749999999999998</v>
      </c>
      <c r="CK52" s="217">
        <f t="shared" si="111"/>
        <v>0.11749999999999999</v>
      </c>
      <c r="CL52" s="217">
        <f t="shared" si="48"/>
        <v>32.899999999999991</v>
      </c>
      <c r="CM52" s="217">
        <f t="shared" si="134"/>
        <v>3.5249999999999999</v>
      </c>
      <c r="CN52" s="541">
        <f t="shared" si="112"/>
        <v>28</v>
      </c>
      <c r="CO52" s="443">
        <f t="shared" si="167"/>
        <v>28.7</v>
      </c>
      <c r="CP52" s="443">
        <f t="shared" si="168"/>
        <v>56.7</v>
      </c>
      <c r="CQ52" s="443"/>
      <c r="CR52" s="217">
        <f t="shared" si="113"/>
        <v>0.50354609929078009</v>
      </c>
      <c r="CS52" s="172">
        <f t="shared" si="114"/>
        <v>106.12369404407841</v>
      </c>
      <c r="CT52" s="172">
        <f t="shared" si="51"/>
        <v>12.588652482269502</v>
      </c>
      <c r="CU52" s="217">
        <f t="shared" si="52"/>
        <v>3.7901319301456575</v>
      </c>
      <c r="CV52" s="217">
        <f t="shared" si="53"/>
        <v>3.5374564681359471</v>
      </c>
      <c r="CW52" s="443">
        <f t="shared" si="54"/>
        <v>28</v>
      </c>
      <c r="CX52" s="217">
        <f t="shared" si="55"/>
        <v>5.1669265593561358</v>
      </c>
      <c r="CY52" s="217">
        <f t="shared" si="56"/>
        <v>0.86730552960620844</v>
      </c>
      <c r="CZ52" s="217">
        <f t="shared" si="57"/>
        <v>0.84615173620117901</v>
      </c>
      <c r="DA52" s="197">
        <f t="shared" si="58"/>
        <v>350</v>
      </c>
      <c r="DB52" s="443">
        <f t="shared" si="115"/>
        <v>350</v>
      </c>
      <c r="DD52" s="217">
        <f t="shared" si="59"/>
        <v>8.6157079064880477</v>
      </c>
      <c r="DE52" s="173">
        <f t="shared" si="60"/>
        <v>1.4109347442680775</v>
      </c>
      <c r="DF52" s="173">
        <f t="shared" si="61"/>
        <v>2.1273352855526046</v>
      </c>
      <c r="DG52" s="173"/>
      <c r="DH52" s="173">
        <f t="shared" si="62"/>
        <v>0.54587688734030204</v>
      </c>
      <c r="DI52" s="545">
        <f t="shared" si="63"/>
        <v>1291.4999999999998</v>
      </c>
      <c r="DJ52" s="528">
        <f t="shared" si="64"/>
        <v>0.31842818428184283</v>
      </c>
      <c r="DL52" s="173">
        <f t="shared" si="65"/>
        <v>6.6547512564869225</v>
      </c>
      <c r="DM52" s="173">
        <f t="shared" si="66"/>
        <v>6.6547512564869225</v>
      </c>
      <c r="DN52" s="173">
        <f t="shared" si="67"/>
        <v>3.6603095727063621</v>
      </c>
      <c r="DP52" s="545">
        <f t="shared" si="68"/>
        <v>1174.9999999999998</v>
      </c>
      <c r="DQ52" s="460">
        <f t="shared" si="69"/>
        <v>350</v>
      </c>
      <c r="DS52">
        <f t="shared" si="116"/>
        <v>1174.9999999999998</v>
      </c>
      <c r="DT52" s="460">
        <f t="shared" si="70"/>
        <v>350</v>
      </c>
      <c r="DU52" s="460"/>
      <c r="DV52" s="5">
        <f t="shared" si="117"/>
        <v>2.8571428571428572</v>
      </c>
      <c r="DW52" s="5">
        <f t="shared" si="71"/>
        <v>1.1170475323388762</v>
      </c>
      <c r="DX52" s="5">
        <f t="shared" si="118"/>
        <v>1.740095324803981</v>
      </c>
      <c r="DY52" s="173">
        <f t="shared" si="119"/>
        <v>0.39096663631860668</v>
      </c>
      <c r="EA52" s="5">
        <f t="shared" si="72"/>
        <v>4.6876101803506405</v>
      </c>
      <c r="EB52" s="5">
        <f t="shared" si="73"/>
        <v>0.43751028349939319</v>
      </c>
      <c r="EC52" s="5">
        <f t="shared" si="74"/>
        <v>1.4604371476033406</v>
      </c>
      <c r="ED52" s="5"/>
      <c r="EE52" s="173">
        <f t="shared" si="120"/>
        <v>2.4023763756783669</v>
      </c>
      <c r="EF52" s="173">
        <f t="shared" si="75"/>
        <v>2.998414999876974</v>
      </c>
      <c r="EG52" s="173">
        <f t="shared" si="76"/>
        <v>0.30229921720071135</v>
      </c>
      <c r="EH52" s="173"/>
      <c r="EI52" s="528">
        <f t="shared" si="77"/>
        <v>6.9256947005010311E-2</v>
      </c>
      <c r="EJ52" s="528">
        <f t="shared" si="78"/>
        <v>2.509207235014677</v>
      </c>
      <c r="EK52" s="528">
        <f t="shared" si="79"/>
        <v>4.0250000000000001E-2</v>
      </c>
      <c r="EL52" s="528">
        <f t="shared" si="80"/>
        <v>0.55416666375000012</v>
      </c>
      <c r="EM52">
        <f t="shared" si="81"/>
        <v>1.26E-2</v>
      </c>
      <c r="EN52" s="460">
        <f t="shared" si="121"/>
        <v>52.85</v>
      </c>
      <c r="EO52">
        <f t="shared" si="82"/>
        <v>3.2577886008753216</v>
      </c>
      <c r="EP52" s="460">
        <f t="shared" si="122"/>
        <v>3257.7886008753217</v>
      </c>
      <c r="EQ52" s="173">
        <f t="shared" si="83"/>
        <v>0.78795499999999974</v>
      </c>
      <c r="ER52" s="173">
        <f t="shared" si="169"/>
        <v>5.6282499999999992E-2</v>
      </c>
      <c r="ES52" s="528"/>
      <c r="EU52" s="460">
        <f t="shared" si="123"/>
        <v>844.23749999999973</v>
      </c>
      <c r="EV52" s="528">
        <f t="shared" si="85"/>
        <v>8.0799771505845358E-2</v>
      </c>
      <c r="EW52" s="528">
        <f t="shared" si="124"/>
        <v>0.12586689516082128</v>
      </c>
      <c r="EX52" s="528">
        <f t="shared" si="86"/>
        <v>4.5692408360081425E-4</v>
      </c>
      <c r="EY52" s="528">
        <f t="shared" si="87"/>
        <v>13.09090533961275</v>
      </c>
      <c r="EZ52" s="528">
        <f t="shared" si="88"/>
        <v>13.572635634426883</v>
      </c>
      <c r="FA52" s="625">
        <f t="shared" si="89"/>
        <v>1.5499999999999996</v>
      </c>
      <c r="FB52" s="460">
        <f t="shared" si="125"/>
        <v>15122.635634426881</v>
      </c>
      <c r="FC52" s="173">
        <f t="shared" si="126"/>
        <v>19.224661735302202</v>
      </c>
      <c r="FD52" s="5">
        <f t="shared" si="127"/>
        <v>36.42499999999999</v>
      </c>
      <c r="FE52" s="173">
        <f t="shared" si="128"/>
        <v>0.65454126519682421</v>
      </c>
      <c r="FF52" s="5">
        <f t="shared" si="129"/>
        <v>65.454126519682418</v>
      </c>
      <c r="FG52">
        <f t="shared" si="130"/>
        <v>46.999999999999993</v>
      </c>
      <c r="FI52" s="562">
        <f t="shared" si="90"/>
        <v>-50</v>
      </c>
      <c r="FJ52">
        <f t="shared" si="91"/>
        <v>-50</v>
      </c>
      <c r="FL52">
        <f t="shared" si="92"/>
        <v>0.36894167255337107</v>
      </c>
    </row>
    <row r="53" spans="5:168">
      <c r="E53" s="170">
        <v>48</v>
      </c>
      <c r="F53" s="217">
        <f t="shared" si="173"/>
        <v>1.2</v>
      </c>
      <c r="G53" s="217">
        <f t="shared" si="170"/>
        <v>0.12</v>
      </c>
      <c r="H53" s="217">
        <f t="shared" si="135"/>
        <v>33.6</v>
      </c>
      <c r="I53" s="217">
        <f t="shared" si="174"/>
        <v>3.5999999999999996</v>
      </c>
      <c r="J53" s="541">
        <f t="shared" si="136"/>
        <v>27.888896259905678</v>
      </c>
      <c r="K53" s="443">
        <f t="shared" si="137"/>
        <v>28.745058826797202</v>
      </c>
      <c r="L53" s="172">
        <f t="shared" si="138"/>
        <v>56.633955086702883</v>
      </c>
      <c r="M53" s="443"/>
      <c r="N53" s="217">
        <f t="shared" si="139"/>
        <v>0.50755873897188353</v>
      </c>
      <c r="O53" s="172">
        <f t="shared" si="171"/>
        <v>106.54491518168584</v>
      </c>
      <c r="P53" s="172">
        <f t="shared" si="140"/>
        <v>12.638618765174469</v>
      </c>
      <c r="Q53" s="217">
        <f t="shared" si="6"/>
        <v>3.8051755422030658</v>
      </c>
      <c r="R53" s="217">
        <f t="shared" si="141"/>
        <v>3.5514971727228613</v>
      </c>
      <c r="S53" s="443">
        <f t="shared" si="142"/>
        <v>28</v>
      </c>
      <c r="T53" s="217">
        <f t="shared" si="143"/>
        <v>5.2559993036275774</v>
      </c>
      <c r="U53" s="217">
        <f t="shared" si="10"/>
        <v>0.88577176008804726</v>
      </c>
      <c r="V53" s="217">
        <f t="shared" si="11"/>
        <v>0.85938932586286387</v>
      </c>
      <c r="W53" s="197">
        <f t="shared" si="12"/>
        <v>350</v>
      </c>
      <c r="X53" s="443">
        <f t="shared" si="95"/>
        <v>350</v>
      </c>
      <c r="Z53" s="217">
        <f t="shared" si="13"/>
        <v>8.6050170316081491</v>
      </c>
      <c r="AA53" s="173">
        <f t="shared" si="14"/>
        <v>1.4069750315089042</v>
      </c>
      <c r="AB53" s="173">
        <f t="shared" si="144"/>
        <v>2.1187327191067684</v>
      </c>
      <c r="AC53" s="173"/>
      <c r="AD53" s="173">
        <f t="shared" si="16"/>
        <v>0.54502120733395831</v>
      </c>
      <c r="AE53" s="545">
        <f t="shared" si="145"/>
        <v>1321.0495120400417</v>
      </c>
      <c r="AF53" s="528">
        <f t="shared" si="146"/>
        <v>0.31792903761147567</v>
      </c>
      <c r="AH53" s="173">
        <f t="shared" si="147"/>
        <v>6.7251738658443525</v>
      </c>
      <c r="AI53" s="173">
        <f t="shared" si="148"/>
        <v>6.7251738658443525</v>
      </c>
      <c r="AJ53" s="173">
        <f t="shared" si="149"/>
        <v>3.7124744685266808</v>
      </c>
      <c r="AL53" s="545">
        <f t="shared" si="150"/>
        <v>1200</v>
      </c>
      <c r="AM53" s="460">
        <f t="shared" si="151"/>
        <v>350</v>
      </c>
      <c r="AO53">
        <f t="shared" si="96"/>
        <v>1200</v>
      </c>
      <c r="AP53" s="460">
        <f t="shared" si="24"/>
        <v>350</v>
      </c>
      <c r="AQ53" s="460"/>
      <c r="AR53" s="5">
        <f t="shared" si="97"/>
        <v>2.8571428571428572</v>
      </c>
      <c r="AS53" s="5">
        <f t="shared" si="25"/>
        <v>1.1333656547358595</v>
      </c>
      <c r="AT53" s="5">
        <f t="shared" si="98"/>
        <v>1.7237772024069977</v>
      </c>
      <c r="AU53" s="173">
        <f t="shared" si="99"/>
        <v>0.39667797915755082</v>
      </c>
      <c r="AW53" s="5">
        <f t="shared" si="152"/>
        <v>4.8572813774393984</v>
      </c>
      <c r="AX53" s="5">
        <f t="shared" si="153"/>
        <v>0.45334626189434374</v>
      </c>
      <c r="AY53" s="5">
        <f t="shared" si="28"/>
        <v>1.483409471361699</v>
      </c>
      <c r="AZ53" s="5"/>
      <c r="BA53" s="173">
        <f t="shared" si="100"/>
        <v>2.445467724372306</v>
      </c>
      <c r="BB53" s="173">
        <f t="shared" si="154"/>
        <v>3.0159037536033253</v>
      </c>
      <c r="BC53" s="173">
        <f t="shared" si="155"/>
        <v>0.30406242761738445</v>
      </c>
      <c r="BD53" s="173"/>
      <c r="BE53" s="528">
        <f t="shared" si="31"/>
        <v>7.1763748691359985E-2</v>
      </c>
      <c r="BF53" s="528">
        <f t="shared" si="156"/>
        <v>2.4328275309450254</v>
      </c>
      <c r="BG53" s="528">
        <f t="shared" si="33"/>
        <v>4.0250000000000001E-2</v>
      </c>
      <c r="BH53" s="528">
        <f t="shared" si="34"/>
        <v>0.55287641425296685</v>
      </c>
      <c r="BI53">
        <f t="shared" si="35"/>
        <v>1.2550003316957555E-2</v>
      </c>
      <c r="BJ53" s="460">
        <f t="shared" si="101"/>
        <v>52.800003316957557</v>
      </c>
      <c r="BK53">
        <f t="shared" si="157"/>
        <v>3.1302174525710909</v>
      </c>
      <c r="BL53" s="460">
        <f t="shared" si="102"/>
        <v>3130.2174525710907</v>
      </c>
      <c r="BM53" s="173">
        <f t="shared" si="158"/>
        <v>0.80471999999999999</v>
      </c>
      <c r="BN53" s="173">
        <f t="shared" si="159"/>
        <v>5.7479999999999996E-2</v>
      </c>
      <c r="BO53" s="528"/>
      <c r="BQ53" s="460">
        <f t="shared" si="103"/>
        <v>862.19999999999993</v>
      </c>
      <c r="BR53" s="528">
        <f t="shared" si="39"/>
        <v>8.3724373473253316E-2</v>
      </c>
      <c r="BS53" s="528">
        <f t="shared" si="104"/>
        <v>0.12733945631398078</v>
      </c>
      <c r="BT53" s="528">
        <f t="shared" si="160"/>
        <v>4.6226979944288582E-4</v>
      </c>
      <c r="BU53" s="528">
        <f t="shared" si="41"/>
        <v>13.439988799411294</v>
      </c>
      <c r="BV53" s="528">
        <f t="shared" si="161"/>
        <v>13.938143655940362</v>
      </c>
      <c r="BW53" s="625">
        <f t="shared" si="162"/>
        <v>1.5829787234042556</v>
      </c>
      <c r="BX53" s="460">
        <f t="shared" si="105"/>
        <v>15521.122379344619</v>
      </c>
      <c r="BY53" s="173">
        <f t="shared" si="106"/>
        <v>19.513539831915708</v>
      </c>
      <c r="BZ53" s="5">
        <f t="shared" si="107"/>
        <v>37.200000000000003</v>
      </c>
      <c r="CA53" s="173">
        <f t="shared" si="108"/>
        <v>0.65592802195474309</v>
      </c>
      <c r="CB53" s="5">
        <f t="shared" si="109"/>
        <v>65.592802195474306</v>
      </c>
      <c r="CC53">
        <f t="shared" si="172"/>
        <v>48</v>
      </c>
      <c r="CE53" s="562">
        <f t="shared" si="163"/>
        <v>-50</v>
      </c>
      <c r="CF53">
        <f t="shared" si="164"/>
        <v>-50</v>
      </c>
      <c r="CG53" s="173">
        <f t="shared" si="165"/>
        <v>0.37284592596277921</v>
      </c>
      <c r="CH53" s="173">
        <f t="shared" si="166"/>
        <v>0.12090843363629247</v>
      </c>
      <c r="CI53" s="170">
        <v>48</v>
      </c>
      <c r="CJ53" s="217">
        <f t="shared" si="133"/>
        <v>1.2</v>
      </c>
      <c r="CK53" s="217">
        <f t="shared" si="111"/>
        <v>0.12</v>
      </c>
      <c r="CL53" s="217">
        <f t="shared" si="48"/>
        <v>33.6</v>
      </c>
      <c r="CM53" s="217">
        <f t="shared" si="134"/>
        <v>3.5999999999999996</v>
      </c>
      <c r="CN53" s="541">
        <f t="shared" si="112"/>
        <v>28</v>
      </c>
      <c r="CO53" s="443">
        <f t="shared" si="167"/>
        <v>28.7</v>
      </c>
      <c r="CP53" s="443">
        <f t="shared" si="168"/>
        <v>56.7</v>
      </c>
      <c r="CQ53" s="443"/>
      <c r="CR53" s="217">
        <f t="shared" si="113"/>
        <v>0.50354609929078009</v>
      </c>
      <c r="CS53" s="172">
        <f t="shared" si="114"/>
        <v>106.12369404407841</v>
      </c>
      <c r="CT53" s="172">
        <f t="shared" si="51"/>
        <v>12.588652482269502</v>
      </c>
      <c r="CU53" s="217">
        <f t="shared" si="52"/>
        <v>3.7901319301456575</v>
      </c>
      <c r="CV53" s="217">
        <f t="shared" si="53"/>
        <v>3.5374564681359471</v>
      </c>
      <c r="CW53" s="443">
        <f t="shared" si="54"/>
        <v>28</v>
      </c>
      <c r="CX53" s="217">
        <f t="shared" si="55"/>
        <v>5.2768611670020134</v>
      </c>
      <c r="CY53" s="217">
        <f t="shared" si="56"/>
        <v>0.88575883874676653</v>
      </c>
      <c r="CZ53" s="217">
        <f t="shared" si="57"/>
        <v>0.86415496463099184</v>
      </c>
      <c r="DA53" s="197">
        <f t="shared" si="58"/>
        <v>350</v>
      </c>
      <c r="DB53" s="443">
        <f t="shared" si="115"/>
        <v>350</v>
      </c>
      <c r="DD53" s="217">
        <f t="shared" si="59"/>
        <v>8.6157079064880477</v>
      </c>
      <c r="DE53" s="173">
        <f t="shared" si="60"/>
        <v>1.4109347442680775</v>
      </c>
      <c r="DF53" s="173">
        <f t="shared" si="61"/>
        <v>2.1273352855526046</v>
      </c>
      <c r="DG53" s="173"/>
      <c r="DH53" s="173">
        <f t="shared" si="62"/>
        <v>0.54587688734030204</v>
      </c>
      <c r="DI53" s="545">
        <f t="shared" si="63"/>
        <v>1318.9787234042553</v>
      </c>
      <c r="DJ53" s="528">
        <f t="shared" si="64"/>
        <v>0.31842818428184283</v>
      </c>
      <c r="DL53" s="173">
        <f t="shared" si="65"/>
        <v>6.7251738658443525</v>
      </c>
      <c r="DM53" s="173">
        <f t="shared" si="66"/>
        <v>6.7251738658443525</v>
      </c>
      <c r="DN53" s="173">
        <f t="shared" si="67"/>
        <v>3.7124744685266808</v>
      </c>
      <c r="DP53" s="545">
        <f t="shared" si="68"/>
        <v>1200</v>
      </c>
      <c r="DQ53" s="460">
        <f t="shared" si="69"/>
        <v>350</v>
      </c>
      <c r="DS53">
        <f t="shared" si="116"/>
        <v>1200</v>
      </c>
      <c r="DT53" s="460">
        <f t="shared" si="70"/>
        <v>350</v>
      </c>
      <c r="DU53" s="460"/>
      <c r="DV53" s="5">
        <f t="shared" si="117"/>
        <v>2.8571428571428572</v>
      </c>
      <c r="DW53" s="5">
        <f t="shared" si="71"/>
        <v>1.1288684703381591</v>
      </c>
      <c r="DX53" s="5">
        <f t="shared" si="118"/>
        <v>1.7282743868046981</v>
      </c>
      <c r="DY53" s="173">
        <f t="shared" si="119"/>
        <v>0.39510396461835567</v>
      </c>
      <c r="EA53" s="5">
        <f t="shared" si="72"/>
        <v>4.8380077300206823</v>
      </c>
      <c r="EB53" s="5">
        <f t="shared" si="73"/>
        <v>0.45154738813526357</v>
      </c>
      <c r="EC53" s="5">
        <f t="shared" si="74"/>
        <v>1.481378045832598</v>
      </c>
      <c r="ED53" s="5"/>
      <c r="EE53" s="173">
        <f t="shared" si="120"/>
        <v>2.4406111052133466</v>
      </c>
      <c r="EF53" s="173">
        <f t="shared" si="75"/>
        <v>3.0198353059487499</v>
      </c>
      <c r="EG53" s="173">
        <f t="shared" si="76"/>
        <v>0.3044588054358166</v>
      </c>
      <c r="EH53" s="173"/>
      <c r="EI53" s="528">
        <f t="shared" si="77"/>
        <v>7.1478990802688561E-2</v>
      </c>
      <c r="EJ53" s="528">
        <f t="shared" si="78"/>
        <v>2.5357604319859428</v>
      </c>
      <c r="EK53" s="528">
        <f t="shared" si="79"/>
        <v>4.0250000000000001E-2</v>
      </c>
      <c r="EL53" s="528">
        <f t="shared" si="80"/>
        <v>0.55416666375000012</v>
      </c>
      <c r="EM53">
        <f t="shared" si="81"/>
        <v>1.26E-2</v>
      </c>
      <c r="EN53" s="460">
        <f t="shared" si="121"/>
        <v>52.85</v>
      </c>
      <c r="EO53">
        <f t="shared" si="82"/>
        <v>3.2894209935793821</v>
      </c>
      <c r="EP53" s="460">
        <f t="shared" si="122"/>
        <v>3289.420993579382</v>
      </c>
      <c r="EQ53" s="173">
        <f t="shared" si="83"/>
        <v>0.80471999999999999</v>
      </c>
      <c r="ER53" s="173">
        <f t="shared" si="169"/>
        <v>5.7479999999999996E-2</v>
      </c>
      <c r="ES53" s="528"/>
      <c r="EU53" s="460">
        <f t="shared" si="123"/>
        <v>862.19999999999993</v>
      </c>
      <c r="EV53" s="528">
        <f t="shared" si="85"/>
        <v>8.339215593646998E-2</v>
      </c>
      <c r="EW53" s="528">
        <f t="shared" si="124"/>
        <v>0.12767167385076414</v>
      </c>
      <c r="EX53" s="528">
        <f t="shared" si="86"/>
        <v>4.6347582103702215E-4</v>
      </c>
      <c r="EY53" s="528">
        <f t="shared" si="87"/>
        <v>13.439988799411294</v>
      </c>
      <c r="EZ53" s="528">
        <f t="shared" si="88"/>
        <v>13.938146545073765</v>
      </c>
      <c r="FA53" s="625">
        <f t="shared" si="89"/>
        <v>1.5829787234042556</v>
      </c>
      <c r="FB53" s="460">
        <f t="shared" si="125"/>
        <v>15521.125268478021</v>
      </c>
      <c r="FC53" s="173">
        <f t="shared" si="126"/>
        <v>19.672746262057405</v>
      </c>
      <c r="FD53" s="5">
        <f t="shared" si="127"/>
        <v>37.200000000000003</v>
      </c>
      <c r="FE53" s="173">
        <f t="shared" si="128"/>
        <v>0.65409185321542918</v>
      </c>
      <c r="FF53" s="5">
        <f t="shared" si="129"/>
        <v>65.409185321542921</v>
      </c>
      <c r="FG53">
        <f t="shared" si="130"/>
        <v>48</v>
      </c>
      <c r="FI53" s="562">
        <f t="shared" si="90"/>
        <v>-50</v>
      </c>
      <c r="FJ53">
        <f t="shared" si="91"/>
        <v>-50</v>
      </c>
      <c r="FL53">
        <f t="shared" si="92"/>
        <v>0.37284592596277921</v>
      </c>
    </row>
    <row r="54" spans="5:168">
      <c r="E54" s="170">
        <v>49</v>
      </c>
      <c r="F54" s="217">
        <f t="shared" si="173"/>
        <v>1.2250000000000001</v>
      </c>
      <c r="G54" s="217">
        <f t="shared" si="170"/>
        <v>0.1225</v>
      </c>
      <c r="H54" s="217">
        <f t="shared" si="135"/>
        <v>34.300000000000004</v>
      </c>
      <c r="I54" s="217">
        <f t="shared" si="174"/>
        <v>3.6749999999999998</v>
      </c>
      <c r="J54" s="541">
        <f t="shared" si="136"/>
        <v>27.887744895059996</v>
      </c>
      <c r="K54" s="443">
        <f t="shared" si="137"/>
        <v>28.745525770116284</v>
      </c>
      <c r="L54" s="172">
        <f t="shared" si="138"/>
        <v>56.633270665176283</v>
      </c>
      <c r="M54" s="443"/>
      <c r="N54" s="217">
        <f t="shared" si="139"/>
        <v>0.50757311793033821</v>
      </c>
      <c r="O54" s="172">
        <f t="shared" si="171"/>
        <v>106.54353483765627</v>
      </c>
      <c r="P54" s="172">
        <f t="shared" si="140"/>
        <v>12.638455025385245</v>
      </c>
      <c r="Q54" s="217">
        <f t="shared" si="6"/>
        <v>3.8051262442020097</v>
      </c>
      <c r="R54" s="217">
        <f t="shared" si="141"/>
        <v>3.5514511612552089</v>
      </c>
      <c r="S54" s="443">
        <f t="shared" si="142"/>
        <v>28</v>
      </c>
      <c r="T54" s="217">
        <f t="shared" si="143"/>
        <v>5.3655688028159867</v>
      </c>
      <c r="U54" s="217">
        <f t="shared" si="10"/>
        <v>0.90427438533053472</v>
      </c>
      <c r="V54" s="217">
        <f t="shared" si="11"/>
        <v>0.87729038511627555</v>
      </c>
      <c r="W54" s="197">
        <f t="shared" si="12"/>
        <v>350</v>
      </c>
      <c r="X54" s="443">
        <f t="shared" si="95"/>
        <v>350</v>
      </c>
      <c r="Z54" s="217">
        <f t="shared" si="13"/>
        <v>8.604905549198465</v>
      </c>
      <c r="AA54" s="173">
        <f t="shared" si="14"/>
        <v>1.4069339487704622</v>
      </c>
      <c r="AB54" s="173">
        <f t="shared" si="144"/>
        <v>2.1186434050478651</v>
      </c>
      <c r="AC54" s="173"/>
      <c r="AD54" s="173">
        <f t="shared" si="16"/>
        <v>0.54501235399053516</v>
      </c>
      <c r="AE54" s="545">
        <f t="shared" si="145"/>
        <v>1348.5932834703492</v>
      </c>
      <c r="AF54" s="528">
        <f t="shared" si="146"/>
        <v>0.31792387316114551</v>
      </c>
      <c r="AH54" s="173">
        <f t="shared" si="147"/>
        <v>6.7948666481364777</v>
      </c>
      <c r="AI54" s="173">
        <f t="shared" si="148"/>
        <v>6.7948666481364777</v>
      </c>
      <c r="AJ54" s="173">
        <f t="shared" si="149"/>
        <v>3.7640987517060323</v>
      </c>
      <c r="AL54" s="545">
        <f t="shared" si="150"/>
        <v>1225</v>
      </c>
      <c r="AM54" s="460">
        <f t="shared" si="151"/>
        <v>350</v>
      </c>
      <c r="AO54">
        <f t="shared" si="96"/>
        <v>1225</v>
      </c>
      <c r="AP54" s="460">
        <f t="shared" si="24"/>
        <v>350</v>
      </c>
      <c r="AQ54" s="460"/>
      <c r="AR54" s="5">
        <f t="shared" si="97"/>
        <v>2.8571428571428572</v>
      </c>
      <c r="AS54" s="5">
        <f t="shared" si="25"/>
        <v>1.1451579669282805</v>
      </c>
      <c r="AT54" s="5">
        <f t="shared" si="98"/>
        <v>1.7119848902145767</v>
      </c>
      <c r="AU54" s="173">
        <f t="shared" si="99"/>
        <v>0.40080528842489815</v>
      </c>
      <c r="AW54" s="5">
        <f t="shared" si="152"/>
        <v>5.0100661053112274</v>
      </c>
      <c r="AX54" s="5">
        <f t="shared" si="153"/>
        <v>0.4676061698290479</v>
      </c>
      <c r="AY54" s="5">
        <f t="shared" si="28"/>
        <v>1.5040165480603982</v>
      </c>
      <c r="AZ54" s="5"/>
      <c r="BA54" s="173">
        <f t="shared" si="100"/>
        <v>2.4836307726323099</v>
      </c>
      <c r="BB54" s="173">
        <f t="shared" si="154"/>
        <v>3.0367168302658141</v>
      </c>
      <c r="BC54" s="173">
        <f t="shared" si="155"/>
        <v>0.30616079518253703</v>
      </c>
      <c r="BD54" s="173"/>
      <c r="BE54" s="528">
        <f t="shared" si="31"/>
        <v>7.4021061777193989E-2</v>
      </c>
      <c r="BF54" s="528">
        <f t="shared" si="156"/>
        <v>2.4580091468880099</v>
      </c>
      <c r="BG54" s="528">
        <f t="shared" si="33"/>
        <v>4.0250000000000001E-2</v>
      </c>
      <c r="BH54" s="528">
        <f t="shared" si="34"/>
        <v>0.55286305130727831</v>
      </c>
      <c r="BI54">
        <f t="shared" si="35"/>
        <v>1.2549485202776997E-2</v>
      </c>
      <c r="BJ54" s="460">
        <f t="shared" si="101"/>
        <v>52.799485202776999</v>
      </c>
      <c r="BK54">
        <f t="shared" si="157"/>
        <v>3.1604632922802622</v>
      </c>
      <c r="BL54" s="460">
        <f t="shared" si="102"/>
        <v>3160.4632922802621</v>
      </c>
      <c r="BM54" s="173">
        <f t="shared" si="158"/>
        <v>0.82148500000000002</v>
      </c>
      <c r="BN54" s="173">
        <f t="shared" si="159"/>
        <v>5.8677499999999994E-2</v>
      </c>
      <c r="BO54" s="528"/>
      <c r="BQ54" s="460">
        <f t="shared" si="103"/>
        <v>880.16249999999991</v>
      </c>
      <c r="BR54" s="528">
        <f t="shared" si="39"/>
        <v>8.6357905406726318E-2</v>
      </c>
      <c r="BS54" s="528">
        <f t="shared" si="104"/>
        <v>0.12910308750107513</v>
      </c>
      <c r="BT54" s="528">
        <f t="shared" si="160"/>
        <v>4.686721625340169E-4</v>
      </c>
      <c r="BU54" s="528">
        <f t="shared" si="41"/>
        <v>13.790895260907281</v>
      </c>
      <c r="BV54" s="528">
        <f t="shared" si="161"/>
        <v>14.305771277638767</v>
      </c>
      <c r="BW54" s="625">
        <f t="shared" si="162"/>
        <v>1.6159574468085112</v>
      </c>
      <c r="BX54" s="460">
        <f t="shared" si="105"/>
        <v>15921.728724447279</v>
      </c>
      <c r="BY54" s="173">
        <f t="shared" si="106"/>
        <v>19.96235451672754</v>
      </c>
      <c r="BZ54" s="5">
        <f t="shared" si="107"/>
        <v>37.975000000000001</v>
      </c>
      <c r="CA54" s="173">
        <f t="shared" si="108"/>
        <v>0.65544932654865951</v>
      </c>
      <c r="CB54" s="5">
        <f t="shared" si="109"/>
        <v>65.544932654865946</v>
      </c>
      <c r="CC54">
        <f t="shared" si="172"/>
        <v>49.000000000000007</v>
      </c>
      <c r="CE54" s="562">
        <f t="shared" si="163"/>
        <v>-50</v>
      </c>
      <c r="CF54">
        <f t="shared" si="164"/>
        <v>-50</v>
      </c>
      <c r="CG54" s="173">
        <f t="shared" si="165"/>
        <v>0.37670971751151533</v>
      </c>
      <c r="CH54" s="173">
        <f t="shared" si="166"/>
        <v>0.12216140423761655</v>
      </c>
      <c r="CI54" s="170">
        <v>49</v>
      </c>
      <c r="CJ54" s="217">
        <f t="shared" si="133"/>
        <v>1.2250000000000001</v>
      </c>
      <c r="CK54" s="217">
        <f t="shared" si="111"/>
        <v>0.1225</v>
      </c>
      <c r="CL54" s="217">
        <f t="shared" si="48"/>
        <v>34.300000000000004</v>
      </c>
      <c r="CM54" s="217">
        <f t="shared" si="134"/>
        <v>3.6749999999999998</v>
      </c>
      <c r="CN54" s="541">
        <f t="shared" si="112"/>
        <v>28</v>
      </c>
      <c r="CO54" s="443">
        <f t="shared" si="167"/>
        <v>28.7</v>
      </c>
      <c r="CP54" s="443">
        <f t="shared" si="168"/>
        <v>56.7</v>
      </c>
      <c r="CQ54" s="443"/>
      <c r="CR54" s="217">
        <f t="shared" si="113"/>
        <v>0.50354609929078009</v>
      </c>
      <c r="CS54" s="172">
        <f t="shared" si="114"/>
        <v>106.12369404407841</v>
      </c>
      <c r="CT54" s="172">
        <f t="shared" si="51"/>
        <v>12.588652482269502</v>
      </c>
      <c r="CU54" s="217">
        <f t="shared" si="52"/>
        <v>3.7901319301456575</v>
      </c>
      <c r="CV54" s="217">
        <f t="shared" si="53"/>
        <v>3.5374564681359471</v>
      </c>
      <c r="CW54" s="443">
        <f t="shared" si="54"/>
        <v>28</v>
      </c>
      <c r="CX54" s="217">
        <f t="shared" si="55"/>
        <v>5.3867957746478883</v>
      </c>
      <c r="CY54" s="217">
        <f t="shared" si="56"/>
        <v>0.90421214788732418</v>
      </c>
      <c r="CZ54" s="217">
        <f t="shared" si="57"/>
        <v>0.88215819306080401</v>
      </c>
      <c r="DA54" s="197">
        <f t="shared" si="58"/>
        <v>350</v>
      </c>
      <c r="DB54" s="443">
        <f t="shared" si="115"/>
        <v>350</v>
      </c>
      <c r="DD54" s="217">
        <f t="shared" si="59"/>
        <v>8.6157079064880477</v>
      </c>
      <c r="DE54" s="173">
        <f t="shared" si="60"/>
        <v>1.4109347442680775</v>
      </c>
      <c r="DF54" s="173">
        <f t="shared" si="61"/>
        <v>2.1273352855526046</v>
      </c>
      <c r="DG54" s="173"/>
      <c r="DH54" s="173">
        <f t="shared" si="62"/>
        <v>0.54587688734030204</v>
      </c>
      <c r="DI54" s="545">
        <f t="shared" si="63"/>
        <v>1346.4574468085107</v>
      </c>
      <c r="DJ54" s="528">
        <f t="shared" si="64"/>
        <v>0.31842818428184283</v>
      </c>
      <c r="DL54" s="173">
        <f t="shared" si="65"/>
        <v>6.7948666481364777</v>
      </c>
      <c r="DM54" s="173">
        <f t="shared" si="66"/>
        <v>6.7948666481364777</v>
      </c>
      <c r="DN54" s="173">
        <f t="shared" si="67"/>
        <v>3.7640987517060323</v>
      </c>
      <c r="DP54" s="545">
        <f t="shared" si="68"/>
        <v>1225</v>
      </c>
      <c r="DQ54" s="460">
        <f t="shared" si="69"/>
        <v>350</v>
      </c>
      <c r="DS54">
        <f t="shared" si="116"/>
        <v>1225</v>
      </c>
      <c r="DT54" s="460">
        <f t="shared" si="70"/>
        <v>350</v>
      </c>
      <c r="DU54" s="460"/>
      <c r="DV54" s="5">
        <f t="shared" si="117"/>
        <v>2.8571428571428572</v>
      </c>
      <c r="DW54" s="5">
        <f t="shared" si="71"/>
        <v>1.1405669016514801</v>
      </c>
      <c r="DX54" s="5">
        <f t="shared" si="118"/>
        <v>1.7165759554913771</v>
      </c>
      <c r="DY54" s="173">
        <f t="shared" si="119"/>
        <v>0.39919841557801805</v>
      </c>
      <c r="EA54" s="5">
        <f t="shared" si="72"/>
        <v>4.9899801947252262</v>
      </c>
      <c r="EB54" s="5">
        <f t="shared" si="73"/>
        <v>0.465731484841021</v>
      </c>
      <c r="EC54" s="5">
        <f t="shared" si="74"/>
        <v>1.5020039610549549</v>
      </c>
      <c r="ED54" s="5"/>
      <c r="EE54" s="173">
        <f t="shared" si="120"/>
        <v>2.4786471970996731</v>
      </c>
      <c r="EF54" s="173">
        <f t="shared" si="75"/>
        <v>3.040785917208864</v>
      </c>
      <c r="EG54" s="173">
        <f t="shared" si="76"/>
        <v>0.30657103919400841</v>
      </c>
      <c r="EH54" s="173"/>
      <c r="EI54" s="528">
        <f t="shared" si="77"/>
        <v>7.3724303132280788E-2</v>
      </c>
      <c r="EJ54" s="528">
        <f t="shared" si="78"/>
        <v>2.5620384440130999</v>
      </c>
      <c r="EK54" s="528">
        <f t="shared" si="79"/>
        <v>4.0250000000000001E-2</v>
      </c>
      <c r="EL54" s="528">
        <f t="shared" si="80"/>
        <v>0.55416666375000012</v>
      </c>
      <c r="EM54">
        <f t="shared" si="81"/>
        <v>1.26E-2</v>
      </c>
      <c r="EN54" s="460">
        <f t="shared" si="121"/>
        <v>52.85</v>
      </c>
      <c r="EO54">
        <f t="shared" si="82"/>
        <v>3.3208560577019255</v>
      </c>
      <c r="EP54" s="460">
        <f t="shared" si="122"/>
        <v>3320.8560577019257</v>
      </c>
      <c r="EQ54" s="173">
        <f t="shared" si="83"/>
        <v>0.82148500000000002</v>
      </c>
      <c r="ER54" s="173">
        <f t="shared" si="169"/>
        <v>5.8677499999999994E-2</v>
      </c>
      <c r="ES54" s="528"/>
      <c r="EU54" s="460">
        <f t="shared" si="123"/>
        <v>880.16249999999991</v>
      </c>
      <c r="EV54" s="528">
        <f t="shared" si="85"/>
        <v>8.6011686987660915E-2</v>
      </c>
      <c r="EW54" s="528">
        <f t="shared" si="124"/>
        <v>0.12944930592014056</v>
      </c>
      <c r="EX54" s="528">
        <f t="shared" si="86"/>
        <v>4.699290103624712E-4</v>
      </c>
      <c r="EY54" s="528">
        <f t="shared" si="87"/>
        <v>13.790895260907281</v>
      </c>
      <c r="EZ54" s="528">
        <f t="shared" si="88"/>
        <v>14.305774327224263</v>
      </c>
      <c r="FA54" s="625">
        <f t="shared" si="89"/>
        <v>1.6159574468085112</v>
      </c>
      <c r="FB54" s="460">
        <f t="shared" si="125"/>
        <v>15921.731774032774</v>
      </c>
      <c r="FC54" s="173">
        <f t="shared" si="126"/>
        <v>20.1227503317347</v>
      </c>
      <c r="FD54" s="5">
        <f t="shared" si="127"/>
        <v>37.975000000000001</v>
      </c>
      <c r="FE54" s="173">
        <f t="shared" si="128"/>
        <v>0.65363976717110406</v>
      </c>
      <c r="FF54" s="5">
        <f t="shared" si="129"/>
        <v>65.363976717110404</v>
      </c>
      <c r="FG54">
        <f t="shared" si="130"/>
        <v>49.000000000000007</v>
      </c>
      <c r="FI54" s="562">
        <f t="shared" si="90"/>
        <v>-50</v>
      </c>
      <c r="FJ54">
        <f t="shared" si="91"/>
        <v>-50</v>
      </c>
      <c r="FL54">
        <f t="shared" si="92"/>
        <v>0.37670971751151533</v>
      </c>
    </row>
    <row r="55" spans="5:168">
      <c r="E55" s="170">
        <v>50</v>
      </c>
      <c r="F55" s="217">
        <f t="shared" si="173"/>
        <v>1.25</v>
      </c>
      <c r="G55" s="217">
        <f t="shared" si="170"/>
        <v>0.125</v>
      </c>
      <c r="H55" s="217">
        <f t="shared" si="135"/>
        <v>35</v>
      </c>
      <c r="I55" s="217">
        <f t="shared" si="174"/>
        <v>3.75</v>
      </c>
      <c r="J55" s="541">
        <f t="shared" si="136"/>
        <v>27.886605220105881</v>
      </c>
      <c r="K55" s="443">
        <f t="shared" si="137"/>
        <v>28.745987972525665</v>
      </c>
      <c r="L55" s="172">
        <f t="shared" si="138"/>
        <v>56.632593192631546</v>
      </c>
      <c r="M55" s="443"/>
      <c r="N55" s="217">
        <f t="shared" si="139"/>
        <v>0.50758735124044785</v>
      </c>
      <c r="O55" s="172">
        <f t="shared" si="171"/>
        <v>106.54216833476467</v>
      </c>
      <c r="P55" s="172">
        <f t="shared" si="140"/>
        <v>12.638292927465706</v>
      </c>
      <c r="Q55" s="217">
        <f t="shared" si="6"/>
        <v>3.8050774405273096</v>
      </c>
      <c r="R55" s="217">
        <f t="shared" si="141"/>
        <v>3.5514056111588221</v>
      </c>
      <c r="S55" s="443">
        <f t="shared" si="142"/>
        <v>28</v>
      </c>
      <c r="T55" s="217">
        <f t="shared" si="143"/>
        <v>5.4751404298479249</v>
      </c>
      <c r="U55" s="217">
        <f t="shared" si="10"/>
        <v>0.92277851022655033</v>
      </c>
      <c r="V55" s="217">
        <f t="shared" si="11"/>
        <v>0.89519135835164321</v>
      </c>
      <c r="W55" s="197">
        <f t="shared" si="12"/>
        <v>350</v>
      </c>
      <c r="X55" s="443">
        <f t="shared" si="95"/>
        <v>350</v>
      </c>
      <c r="Z55" s="217">
        <f t="shared" si="13"/>
        <v>8.6047951846575028</v>
      </c>
      <c r="AA55" s="173">
        <f t="shared" si="14"/>
        <v>1.406893282170149</v>
      </c>
      <c r="AB55" s="173">
        <f t="shared" si="144"/>
        <v>2.1185549944553199</v>
      </c>
      <c r="AC55" s="173"/>
      <c r="AD55" s="173">
        <f t="shared" si="16"/>
        <v>0.54500359081901373</v>
      </c>
      <c r="AE55" s="545">
        <f t="shared" si="145"/>
        <v>1376.1377220889945</v>
      </c>
      <c r="AF55" s="528">
        <f t="shared" si="146"/>
        <v>0.31791876131109137</v>
      </c>
      <c r="AH55" s="173">
        <f t="shared" si="147"/>
        <v>6.8638518345080142</v>
      </c>
      <c r="AI55" s="173">
        <f t="shared" si="148"/>
        <v>6.8638518345080142</v>
      </c>
      <c r="AJ55" s="173">
        <f t="shared" si="149"/>
        <v>3.8151988897590225</v>
      </c>
      <c r="AL55" s="545">
        <f t="shared" si="150"/>
        <v>1250</v>
      </c>
      <c r="AM55" s="460">
        <f t="shared" si="151"/>
        <v>350</v>
      </c>
      <c r="AO55">
        <f t="shared" si="96"/>
        <v>1250</v>
      </c>
      <c r="AP55" s="460">
        <f t="shared" si="24"/>
        <v>350</v>
      </c>
      <c r="AQ55" s="460"/>
      <c r="AR55" s="5">
        <f t="shared" si="97"/>
        <v>2.8571428571428572</v>
      </c>
      <c r="AS55" s="5">
        <f t="shared" si="25"/>
        <v>1.1568315098794653</v>
      </c>
      <c r="AT55" s="5">
        <f t="shared" si="98"/>
        <v>1.7003113472633919</v>
      </c>
      <c r="AU55" s="173">
        <f t="shared" si="99"/>
        <v>0.40489102845781283</v>
      </c>
      <c r="AW55" s="5">
        <f t="shared" si="152"/>
        <v>5.1644263833904702</v>
      </c>
      <c r="AX55" s="5">
        <f t="shared" si="153"/>
        <v>0.48201312911644389</v>
      </c>
      <c r="AY55" s="5">
        <f t="shared" si="28"/>
        <v>1.5243082959031971</v>
      </c>
      <c r="AZ55" s="5"/>
      <c r="BA55" s="173">
        <f t="shared" si="100"/>
        <v>2.5216008932700515</v>
      </c>
      <c r="BB55" s="173">
        <f t="shared" si="154"/>
        <v>3.0570709735114132</v>
      </c>
      <c r="BC55" s="173">
        <f t="shared" si="155"/>
        <v>0.30821289323106876</v>
      </c>
      <c r="BD55" s="173"/>
      <c r="BE55" s="528">
        <f t="shared" si="31"/>
        <v>7.6301652779283871E-2</v>
      </c>
      <c r="BF55" s="528">
        <f t="shared" si="156"/>
        <v>2.4829344919319394</v>
      </c>
      <c r="BG55" s="528">
        <f t="shared" si="33"/>
        <v>4.0250000000000001E-2</v>
      </c>
      <c r="BH55" s="528">
        <f t="shared" si="34"/>
        <v>0.55284982419559658</v>
      </c>
      <c r="BI55">
        <f t="shared" si="35"/>
        <v>1.2548972349047647E-2</v>
      </c>
      <c r="BJ55" s="460">
        <f t="shared" si="101"/>
        <v>52.798972349047652</v>
      </c>
      <c r="BK55">
        <f t="shared" si="157"/>
        <v>3.1905293925737022</v>
      </c>
      <c r="BL55" s="460">
        <f t="shared" si="102"/>
        <v>3190.5293925737024</v>
      </c>
      <c r="BM55" s="173">
        <f t="shared" si="158"/>
        <v>0.83824999999999994</v>
      </c>
      <c r="BN55" s="173">
        <f t="shared" si="159"/>
        <v>5.9874999999999998E-2</v>
      </c>
      <c r="BO55" s="528"/>
      <c r="BQ55" s="460">
        <f t="shared" si="103"/>
        <v>898.125</v>
      </c>
      <c r="BR55" s="528">
        <f t="shared" si="39"/>
        <v>8.9018594909164514E-2</v>
      </c>
      <c r="BS55" s="528">
        <f t="shared" si="104"/>
        <v>0.13083956111920428</v>
      </c>
      <c r="BT55" s="528">
        <f t="shared" si="160"/>
        <v>4.7497593776933098E-4</v>
      </c>
      <c r="BU55" s="528">
        <f t="shared" si="41"/>
        <v>14.143596745776396</v>
      </c>
      <c r="BV55" s="528">
        <f t="shared" si="161"/>
        <v>14.675489555567571</v>
      </c>
      <c r="BW55" s="625">
        <f t="shared" si="162"/>
        <v>1.6489361702127665</v>
      </c>
      <c r="BX55" s="460">
        <f t="shared" si="105"/>
        <v>16324.425725780337</v>
      </c>
      <c r="BY55" s="173">
        <f t="shared" si="106"/>
        <v>20.413080118354042</v>
      </c>
      <c r="BZ55" s="5">
        <f t="shared" si="107"/>
        <v>38.75</v>
      </c>
      <c r="CA55" s="173">
        <f t="shared" si="108"/>
        <v>0.65496928020788869</v>
      </c>
      <c r="CB55" s="5">
        <f t="shared" si="109"/>
        <v>65.496928020788872</v>
      </c>
      <c r="CC55">
        <f t="shared" si="172"/>
        <v>50</v>
      </c>
      <c r="CE55" s="562">
        <f t="shared" si="163"/>
        <v>-50</v>
      </c>
      <c r="CF55">
        <f t="shared" si="164"/>
        <v>-50</v>
      </c>
      <c r="CG55" s="173">
        <f t="shared" si="165"/>
        <v>0.3805342797018017</v>
      </c>
      <c r="CH55" s="173">
        <f t="shared" si="166"/>
        <v>0.1234016533366996</v>
      </c>
      <c r="CI55" s="170">
        <v>50</v>
      </c>
      <c r="CJ55" s="217">
        <f t="shared" si="133"/>
        <v>1.25</v>
      </c>
      <c r="CK55" s="217">
        <f t="shared" si="111"/>
        <v>0.125</v>
      </c>
      <c r="CL55" s="217">
        <f t="shared" si="48"/>
        <v>35</v>
      </c>
      <c r="CM55" s="217">
        <f t="shared" si="134"/>
        <v>3.75</v>
      </c>
      <c r="CN55" s="541">
        <f t="shared" si="112"/>
        <v>28</v>
      </c>
      <c r="CO55" s="443">
        <f t="shared" si="167"/>
        <v>28.7</v>
      </c>
      <c r="CP55" s="443">
        <f t="shared" si="168"/>
        <v>56.7</v>
      </c>
      <c r="CQ55" s="443"/>
      <c r="CR55" s="217">
        <f t="shared" si="113"/>
        <v>0.50354609929078009</v>
      </c>
      <c r="CS55" s="172">
        <f t="shared" si="114"/>
        <v>106.12369404407841</v>
      </c>
      <c r="CT55" s="172">
        <f t="shared" si="51"/>
        <v>12.588652482269502</v>
      </c>
      <c r="CU55" s="217">
        <f t="shared" si="52"/>
        <v>3.7901319301456575</v>
      </c>
      <c r="CV55" s="217">
        <f t="shared" si="53"/>
        <v>3.5374564681359471</v>
      </c>
      <c r="CW55" s="443">
        <f t="shared" si="54"/>
        <v>28</v>
      </c>
      <c r="CX55" s="217">
        <f t="shared" si="55"/>
        <v>5.4967303822937632</v>
      </c>
      <c r="CY55" s="217">
        <f t="shared" si="56"/>
        <v>0.92266545702788172</v>
      </c>
      <c r="CZ55" s="217">
        <f t="shared" si="57"/>
        <v>0.90016142149061629</v>
      </c>
      <c r="DA55" s="197">
        <f t="shared" si="58"/>
        <v>350</v>
      </c>
      <c r="DB55" s="443">
        <f t="shared" si="115"/>
        <v>350</v>
      </c>
      <c r="DD55" s="217">
        <f t="shared" si="59"/>
        <v>8.6157079064880477</v>
      </c>
      <c r="DE55" s="173">
        <f t="shared" si="60"/>
        <v>1.4109347442680775</v>
      </c>
      <c r="DF55" s="173">
        <f t="shared" si="61"/>
        <v>2.1273352855526046</v>
      </c>
      <c r="DG55" s="173"/>
      <c r="DH55" s="173">
        <f t="shared" si="62"/>
        <v>0.54587688734030204</v>
      </c>
      <c r="DI55" s="545">
        <f t="shared" si="63"/>
        <v>1373.936170212766</v>
      </c>
      <c r="DJ55" s="528">
        <f t="shared" si="64"/>
        <v>0.31842818428184283</v>
      </c>
      <c r="DL55" s="173">
        <f t="shared" si="65"/>
        <v>6.8638518345080142</v>
      </c>
      <c r="DM55" s="173">
        <f t="shared" si="66"/>
        <v>6.8638518345080142</v>
      </c>
      <c r="DN55" s="173">
        <f t="shared" si="67"/>
        <v>3.8151988897590225</v>
      </c>
      <c r="DP55" s="545">
        <f t="shared" si="68"/>
        <v>1250</v>
      </c>
      <c r="DQ55" s="460">
        <f t="shared" si="69"/>
        <v>350</v>
      </c>
      <c r="DS55">
        <f t="shared" si="116"/>
        <v>1250</v>
      </c>
      <c r="DT55" s="460">
        <f t="shared" si="70"/>
        <v>350</v>
      </c>
      <c r="DU55" s="460"/>
      <c r="DV55" s="5">
        <f t="shared" si="117"/>
        <v>2.8571428571428572</v>
      </c>
      <c r="DW55" s="5">
        <f t="shared" si="71"/>
        <v>1.1521465579352739</v>
      </c>
      <c r="DX55" s="5">
        <f t="shared" si="118"/>
        <v>1.7049962992075833</v>
      </c>
      <c r="DY55" s="173">
        <f t="shared" si="119"/>
        <v>0.40325129527734582</v>
      </c>
      <c r="EA55" s="5">
        <f t="shared" si="72"/>
        <v>5.1435114193539011</v>
      </c>
      <c r="EB55" s="5">
        <f t="shared" si="73"/>
        <v>0.4800610658063641</v>
      </c>
      <c r="EC55" s="5">
        <f t="shared" si="74"/>
        <v>1.522318124292485</v>
      </c>
      <c r="ED55" s="5"/>
      <c r="EE55" s="173">
        <f t="shared" si="120"/>
        <v>2.5164897064267993</v>
      </c>
      <c r="EF55" s="173">
        <f t="shared" si="75"/>
        <v>3.0612797257804303</v>
      </c>
      <c r="EG55" s="173">
        <f t="shared" si="76"/>
        <v>0.30863721825491225</v>
      </c>
      <c r="EH55" s="173"/>
      <c r="EI55" s="528">
        <f t="shared" si="77"/>
        <v>7.5992645310624468E-2</v>
      </c>
      <c r="EJ55" s="528">
        <f t="shared" si="78"/>
        <v>2.5880496534604203</v>
      </c>
      <c r="EK55" s="528">
        <f t="shared" si="79"/>
        <v>4.0250000000000001E-2</v>
      </c>
      <c r="EL55" s="528">
        <f t="shared" si="80"/>
        <v>0.55416666375000012</v>
      </c>
      <c r="EM55">
        <f t="shared" si="81"/>
        <v>1.26E-2</v>
      </c>
      <c r="EN55" s="460">
        <f t="shared" si="121"/>
        <v>52.85</v>
      </c>
      <c r="EO55">
        <f t="shared" si="82"/>
        <v>3.3521020367825067</v>
      </c>
      <c r="EP55" s="460">
        <f t="shared" si="122"/>
        <v>3352.1020367825067</v>
      </c>
      <c r="EQ55" s="173">
        <f t="shared" si="83"/>
        <v>0.83824999999999994</v>
      </c>
      <c r="ER55" s="173">
        <f t="shared" si="169"/>
        <v>5.9874999999999998E-2</v>
      </c>
      <c r="ES55" s="528"/>
      <c r="EU55" s="460">
        <f t="shared" si="123"/>
        <v>898.125</v>
      </c>
      <c r="EV55" s="528">
        <f t="shared" si="85"/>
        <v>8.8658086195728542E-2</v>
      </c>
      <c r="EW55" s="528">
        <f t="shared" si="124"/>
        <v>0.13120006983264029</v>
      </c>
      <c r="EX55" s="528">
        <f t="shared" si="86"/>
        <v>4.7628466246065171E-4</v>
      </c>
      <c r="EY55" s="528">
        <f t="shared" si="87"/>
        <v>14.143596745776396</v>
      </c>
      <c r="EZ55" s="528">
        <f t="shared" si="88"/>
        <v>14.675492771567882</v>
      </c>
      <c r="FA55" s="625">
        <f t="shared" si="89"/>
        <v>1.6489361702127665</v>
      </c>
      <c r="FB55" s="460">
        <f t="shared" si="125"/>
        <v>16324.428941780649</v>
      </c>
      <c r="FC55" s="173">
        <f t="shared" si="126"/>
        <v>20.574655978563154</v>
      </c>
      <c r="FD55" s="5">
        <f t="shared" si="127"/>
        <v>38.75</v>
      </c>
      <c r="FE55" s="173">
        <f t="shared" si="128"/>
        <v>0.65318541440850886</v>
      </c>
      <c r="FF55" s="5">
        <f t="shared" si="129"/>
        <v>65.318541440850879</v>
      </c>
      <c r="FG55">
        <f t="shared" si="130"/>
        <v>50</v>
      </c>
      <c r="FI55" s="562">
        <f t="shared" si="90"/>
        <v>-50</v>
      </c>
      <c r="FJ55">
        <f t="shared" si="91"/>
        <v>-50</v>
      </c>
      <c r="FL55">
        <f t="shared" si="92"/>
        <v>0.38053427970180165</v>
      </c>
    </row>
    <row r="56" spans="5:168">
      <c r="E56" s="170">
        <v>51</v>
      </c>
      <c r="F56" s="217">
        <f t="shared" si="173"/>
        <v>1.2749999999999999</v>
      </c>
      <c r="G56" s="217">
        <f t="shared" si="170"/>
        <v>0.1275</v>
      </c>
      <c r="H56" s="217">
        <f t="shared" si="135"/>
        <v>35.699999999999996</v>
      </c>
      <c r="I56" s="217">
        <f t="shared" si="174"/>
        <v>3.8250000000000002</v>
      </c>
      <c r="J56" s="541">
        <f t="shared" si="136"/>
        <v>27.885476886047485</v>
      </c>
      <c r="K56" s="443">
        <f t="shared" si="137"/>
        <v>28.74644557556282</v>
      </c>
      <c r="L56" s="172">
        <f t="shared" si="138"/>
        <v>56.631922461610301</v>
      </c>
      <c r="M56" s="443"/>
      <c r="N56" s="217">
        <f t="shared" si="139"/>
        <v>0.50760144325048273</v>
      </c>
      <c r="O56" s="172">
        <f t="shared" si="171"/>
        <v>106.54081525978469</v>
      </c>
      <c r="P56" s="172">
        <f t="shared" si="140"/>
        <v>12.638132422397929</v>
      </c>
      <c r="Q56" s="217">
        <f t="shared" si="6"/>
        <v>3.805029116420882</v>
      </c>
      <c r="R56" s="217">
        <f t="shared" si="141"/>
        <v>3.5513605086594899</v>
      </c>
      <c r="S56" s="443">
        <f t="shared" si="142"/>
        <v>28</v>
      </c>
      <c r="T56" s="217">
        <f t="shared" si="143"/>
        <v>5.5847141637613413</v>
      </c>
      <c r="U56" s="217">
        <f t="shared" si="10"/>
        <v>0.94128411993597938</v>
      </c>
      <c r="V56" s="217">
        <f t="shared" si="11"/>
        <v>0.91309224650687604</v>
      </c>
      <c r="W56" s="197">
        <f t="shared" si="12"/>
        <v>350</v>
      </c>
      <c r="X56" s="443">
        <f t="shared" si="95"/>
        <v>350</v>
      </c>
      <c r="Z56" s="217">
        <f t="shared" si="13"/>
        <v>8.6046859046113546</v>
      </c>
      <c r="AA56" s="173">
        <f t="shared" si="14"/>
        <v>1.4068530192843349</v>
      </c>
      <c r="AB56" s="173">
        <f t="shared" si="144"/>
        <v>2.1184674603567721</v>
      </c>
      <c r="AC56" s="173"/>
      <c r="AD56" s="173">
        <f t="shared" si="16"/>
        <v>0.54499491512734388</v>
      </c>
      <c r="AE56" s="545">
        <f t="shared" si="145"/>
        <v>1403.6828211897162</v>
      </c>
      <c r="AF56" s="528">
        <f t="shared" si="146"/>
        <v>0.31791370049095058</v>
      </c>
      <c r="AH56" s="173">
        <f t="shared" si="147"/>
        <v>6.9321505498799292</v>
      </c>
      <c r="AI56" s="173">
        <f t="shared" si="148"/>
        <v>6.9321505498799292</v>
      </c>
      <c r="AJ56" s="173">
        <f t="shared" si="149"/>
        <v>3.8657905307752563</v>
      </c>
      <c r="AL56" s="545">
        <f t="shared" si="150"/>
        <v>1275</v>
      </c>
      <c r="AM56" s="460">
        <f t="shared" si="151"/>
        <v>350</v>
      </c>
      <c r="AO56">
        <f t="shared" si="96"/>
        <v>1275</v>
      </c>
      <c r="AP56" s="460">
        <f t="shared" si="24"/>
        <v>350</v>
      </c>
      <c r="AQ56" s="460"/>
      <c r="AR56" s="5">
        <f t="shared" si="97"/>
        <v>2.8571428571428572</v>
      </c>
      <c r="AS56" s="5">
        <f t="shared" si="25"/>
        <v>1.1683898295007336</v>
      </c>
      <c r="AT56" s="5">
        <f t="shared" si="98"/>
        <v>1.6887530276421236</v>
      </c>
      <c r="AU56" s="173">
        <f t="shared" si="99"/>
        <v>0.40893644032525672</v>
      </c>
      <c r="AW56" s="5">
        <f t="shared" si="152"/>
        <v>5.3203465450479825</v>
      </c>
      <c r="AX56" s="5">
        <f t="shared" si="153"/>
        <v>0.49656567753781178</v>
      </c>
      <c r="AY56" s="5">
        <f t="shared" si="28"/>
        <v>1.5442878162295604</v>
      </c>
      <c r="AZ56" s="5"/>
      <c r="BA56" s="173">
        <f t="shared" si="100"/>
        <v>2.5593829046523018</v>
      </c>
      <c r="BB56" s="173">
        <f t="shared" si="154"/>
        <v>3.0769784252477974</v>
      </c>
      <c r="BC56" s="173">
        <f t="shared" si="155"/>
        <v>0.31021995598809765</v>
      </c>
      <c r="BD56" s="173"/>
      <c r="BE56" s="528">
        <f t="shared" si="31"/>
        <v>7.8605290231517438E-2</v>
      </c>
      <c r="BF56" s="528">
        <f t="shared" si="156"/>
        <v>2.5076112169158478</v>
      </c>
      <c r="BG56" s="528">
        <f t="shared" si="33"/>
        <v>4.0250000000000001E-2</v>
      </c>
      <c r="BH56" s="528">
        <f t="shared" si="34"/>
        <v>0.55283672886266544</v>
      </c>
      <c r="BI56">
        <f t="shared" si="35"/>
        <v>1.2548464598721368E-2</v>
      </c>
      <c r="BJ56" s="460">
        <f t="shared" si="101"/>
        <v>52.798464598721367</v>
      </c>
      <c r="BK56">
        <f t="shared" si="157"/>
        <v>3.2204232763508198</v>
      </c>
      <c r="BL56" s="460">
        <f t="shared" si="102"/>
        <v>3220.4232763508198</v>
      </c>
      <c r="BM56" s="173">
        <f t="shared" si="158"/>
        <v>0.85501499999999986</v>
      </c>
      <c r="BN56" s="173">
        <f t="shared" si="159"/>
        <v>6.1072500000000002E-2</v>
      </c>
      <c r="BO56" s="528"/>
      <c r="BQ56" s="460">
        <f t="shared" si="103"/>
        <v>916.08749999999986</v>
      </c>
      <c r="BR56" s="528">
        <f t="shared" si="39"/>
        <v>9.1706171936770345E-2</v>
      </c>
      <c r="BS56" s="528">
        <f t="shared" si="104"/>
        <v>0.13254914721216582</v>
      </c>
      <c r="BT56" s="528">
        <f t="shared" si="160"/>
        <v>4.8118210546628618E-4</v>
      </c>
      <c r="BU56" s="528">
        <f t="shared" si="41"/>
        <v>14.498066257597166</v>
      </c>
      <c r="BV56" s="528">
        <f t="shared" si="161"/>
        <v>15.047273242507842</v>
      </c>
      <c r="BW56" s="625">
        <f t="shared" si="162"/>
        <v>1.6819148936170214</v>
      </c>
      <c r="BX56" s="460">
        <f t="shared" si="105"/>
        <v>16729.188136124863</v>
      </c>
      <c r="BY56" s="173">
        <f t="shared" si="106"/>
        <v>20.865698912475683</v>
      </c>
      <c r="BZ56" s="5">
        <f t="shared" si="107"/>
        <v>39.524999999999999</v>
      </c>
      <c r="CA56" s="173">
        <f t="shared" si="108"/>
        <v>0.65448820284864773</v>
      </c>
      <c r="CB56" s="5">
        <f t="shared" si="109"/>
        <v>65.448820284864766</v>
      </c>
      <c r="CC56">
        <f t="shared" si="172"/>
        <v>51</v>
      </c>
      <c r="CE56" s="562">
        <f t="shared" si="163"/>
        <v>-50</v>
      </c>
      <c r="CF56">
        <f t="shared" si="164"/>
        <v>-50</v>
      </c>
      <c r="CG56" s="173">
        <f t="shared" si="165"/>
        <v>0.38432078370644018</v>
      </c>
      <c r="CH56" s="173">
        <f t="shared" si="166"/>
        <v>0.12462956072760427</v>
      </c>
      <c r="CI56" s="170">
        <v>51</v>
      </c>
      <c r="CJ56" s="217">
        <f t="shared" si="133"/>
        <v>1.2749999999999999</v>
      </c>
      <c r="CK56" s="217">
        <f t="shared" si="111"/>
        <v>0.1275</v>
      </c>
      <c r="CL56" s="217">
        <f t="shared" si="48"/>
        <v>35.699999999999996</v>
      </c>
      <c r="CM56" s="217">
        <f t="shared" si="134"/>
        <v>3.8250000000000002</v>
      </c>
      <c r="CN56" s="541">
        <f t="shared" si="112"/>
        <v>28</v>
      </c>
      <c r="CO56" s="443">
        <f t="shared" si="167"/>
        <v>28.7</v>
      </c>
      <c r="CP56" s="443">
        <f t="shared" si="168"/>
        <v>56.7</v>
      </c>
      <c r="CQ56" s="443"/>
      <c r="CR56" s="217">
        <f t="shared" si="113"/>
        <v>0.50354609929078009</v>
      </c>
      <c r="CS56" s="172">
        <f t="shared" si="114"/>
        <v>106.12369404407841</v>
      </c>
      <c r="CT56" s="172">
        <f t="shared" si="51"/>
        <v>12.588652482269502</v>
      </c>
      <c r="CU56" s="217">
        <f t="shared" si="52"/>
        <v>3.7901319301456575</v>
      </c>
      <c r="CV56" s="217">
        <f t="shared" si="53"/>
        <v>3.5374564681359471</v>
      </c>
      <c r="CW56" s="443">
        <f t="shared" si="54"/>
        <v>28</v>
      </c>
      <c r="CX56" s="217">
        <f t="shared" si="55"/>
        <v>5.6066649899396381</v>
      </c>
      <c r="CY56" s="217">
        <f t="shared" si="56"/>
        <v>0.94111876616843926</v>
      </c>
      <c r="CZ56" s="217">
        <f t="shared" si="57"/>
        <v>0.91816464992042857</v>
      </c>
      <c r="DA56" s="197">
        <f t="shared" si="58"/>
        <v>350</v>
      </c>
      <c r="DB56" s="443">
        <f t="shared" si="115"/>
        <v>350</v>
      </c>
      <c r="DD56" s="217">
        <f t="shared" si="59"/>
        <v>8.6157079064880477</v>
      </c>
      <c r="DE56" s="173">
        <f t="shared" si="60"/>
        <v>1.4109347442680775</v>
      </c>
      <c r="DF56" s="173">
        <f t="shared" si="61"/>
        <v>2.1273352855526046</v>
      </c>
      <c r="DG56" s="173"/>
      <c r="DH56" s="173">
        <f t="shared" si="62"/>
        <v>0.54587688734030204</v>
      </c>
      <c r="DI56" s="545">
        <f t="shared" si="63"/>
        <v>1401.4148936170211</v>
      </c>
      <c r="DJ56" s="528">
        <f t="shared" si="64"/>
        <v>0.31842818428184283</v>
      </c>
      <c r="DL56" s="173">
        <f t="shared" si="65"/>
        <v>6.9321505498799292</v>
      </c>
      <c r="DM56" s="173">
        <f t="shared" si="66"/>
        <v>6.9321505498799292</v>
      </c>
      <c r="DN56" s="173">
        <f t="shared" si="67"/>
        <v>3.8657905307752563</v>
      </c>
      <c r="DP56" s="545">
        <f t="shared" si="68"/>
        <v>1275</v>
      </c>
      <c r="DQ56" s="460">
        <f t="shared" si="69"/>
        <v>350</v>
      </c>
      <c r="DS56">
        <f t="shared" si="116"/>
        <v>1275</v>
      </c>
      <c r="DT56" s="460">
        <f t="shared" si="70"/>
        <v>350</v>
      </c>
      <c r="DU56" s="460"/>
      <c r="DV56" s="5">
        <f t="shared" si="117"/>
        <v>2.8571428571428572</v>
      </c>
      <c r="DW56" s="5">
        <f t="shared" si="71"/>
        <v>1.1636109851584167</v>
      </c>
      <c r="DX56" s="5">
        <f t="shared" si="118"/>
        <v>1.6935318719844406</v>
      </c>
      <c r="DY56" s="173">
        <f t="shared" si="119"/>
        <v>0.40726384480544581</v>
      </c>
      <c r="EA56" s="5">
        <f t="shared" si="72"/>
        <v>5.2985857359892181</v>
      </c>
      <c r="EB56" s="5">
        <f t="shared" si="73"/>
        <v>0.49453466869232704</v>
      </c>
      <c r="EC56" s="5">
        <f t="shared" si="74"/>
        <v>1.5423236691286866</v>
      </c>
      <c r="ED56" s="5"/>
      <c r="EE56" s="173">
        <f t="shared" si="120"/>
        <v>2.5541434613286151</v>
      </c>
      <c r="EF56" s="173">
        <f t="shared" si="75"/>
        <v>3.0813289764351923</v>
      </c>
      <c r="EG56" s="173">
        <f t="shared" si="76"/>
        <v>0.31065857713240058</v>
      </c>
      <c r="EH56" s="173"/>
      <c r="EI56" s="528">
        <f t="shared" si="77"/>
        <v>7.8283785852572632E-2</v>
      </c>
      <c r="EJ56" s="528">
        <f t="shared" si="78"/>
        <v>2.6138020255849774</v>
      </c>
      <c r="EK56" s="528">
        <f t="shared" si="79"/>
        <v>4.0250000000000001E-2</v>
      </c>
      <c r="EL56" s="528">
        <f t="shared" si="80"/>
        <v>0.55416666375000012</v>
      </c>
      <c r="EM56">
        <f t="shared" si="81"/>
        <v>1.26E-2</v>
      </c>
      <c r="EN56" s="460">
        <f t="shared" si="121"/>
        <v>52.85</v>
      </c>
      <c r="EO56">
        <f t="shared" si="82"/>
        <v>3.3831667690044984</v>
      </c>
      <c r="EP56" s="460">
        <f t="shared" si="122"/>
        <v>3383.1667690044983</v>
      </c>
      <c r="EQ56" s="173">
        <f t="shared" si="83"/>
        <v>0.85501499999999986</v>
      </c>
      <c r="ER56" s="173">
        <f t="shared" si="169"/>
        <v>6.1072500000000002E-2</v>
      </c>
      <c r="ES56" s="528"/>
      <c r="EU56" s="460">
        <f t="shared" si="123"/>
        <v>916.08749999999986</v>
      </c>
      <c r="EV56" s="528">
        <f t="shared" si="85"/>
        <v>9.1331083494668078E-2</v>
      </c>
      <c r="EW56" s="528">
        <f t="shared" si="124"/>
        <v>0.13292423565426809</v>
      </c>
      <c r="EX56" s="528">
        <f t="shared" si="86"/>
        <v>4.8254375772963841E-4</v>
      </c>
      <c r="EY56" s="528">
        <f t="shared" si="87"/>
        <v>14.498066257597166</v>
      </c>
      <c r="EZ56" s="528">
        <f t="shared" si="88"/>
        <v>15.047276631010936</v>
      </c>
      <c r="FA56" s="625">
        <f t="shared" si="89"/>
        <v>1.6819148936170214</v>
      </c>
      <c r="FB56" s="460">
        <f t="shared" si="125"/>
        <v>16729.191524627957</v>
      </c>
      <c r="FC56" s="173">
        <f t="shared" si="126"/>
        <v>21.028445793632457</v>
      </c>
      <c r="FD56" s="5">
        <f t="shared" si="127"/>
        <v>39.524999999999999</v>
      </c>
      <c r="FE56" s="173">
        <f t="shared" si="128"/>
        <v>0.65272916317102936</v>
      </c>
      <c r="FF56" s="5">
        <f t="shared" si="129"/>
        <v>65.27291631710294</v>
      </c>
      <c r="FG56">
        <f t="shared" si="130"/>
        <v>51</v>
      </c>
      <c r="FI56" s="562">
        <f t="shared" si="90"/>
        <v>-50</v>
      </c>
      <c r="FJ56">
        <f t="shared" si="91"/>
        <v>-50</v>
      </c>
      <c r="FL56">
        <f t="shared" si="92"/>
        <v>0.38432078370644024</v>
      </c>
    </row>
    <row r="57" spans="5:168">
      <c r="E57" s="170">
        <v>52</v>
      </c>
      <c r="F57" s="217">
        <f t="shared" si="173"/>
        <v>1.3</v>
      </c>
      <c r="G57" s="217">
        <f t="shared" si="170"/>
        <v>0.13</v>
      </c>
      <c r="H57" s="217">
        <f t="shared" si="135"/>
        <v>36.4</v>
      </c>
      <c r="I57" s="217">
        <f t="shared" si="174"/>
        <v>3.9000000000000004</v>
      </c>
      <c r="J57" s="541">
        <f t="shared" si="136"/>
        <v>27.884359560916064</v>
      </c>
      <c r="K57" s="443">
        <f t="shared" si="137"/>
        <v>28.746898713859785</v>
      </c>
      <c r="L57" s="172">
        <f t="shared" si="138"/>
        <v>56.631258274775846</v>
      </c>
      <c r="M57" s="443"/>
      <c r="N57" s="217">
        <f t="shared" si="139"/>
        <v>0.50761539809656597</v>
      </c>
      <c r="O57" s="172">
        <f t="shared" si="171"/>
        <v>106.53947521965092</v>
      </c>
      <c r="P57" s="172">
        <f t="shared" si="140"/>
        <v>12.637973463555531</v>
      </c>
      <c r="Q57" s="217">
        <f t="shared" si="6"/>
        <v>3.804981257844676</v>
      </c>
      <c r="R57" s="217">
        <f t="shared" si="141"/>
        <v>3.5513158406550307</v>
      </c>
      <c r="S57" s="443">
        <f t="shared" si="142"/>
        <v>28</v>
      </c>
      <c r="T57" s="217">
        <f t="shared" si="143"/>
        <v>5.6942899842139321</v>
      </c>
      <c r="U57" s="217">
        <f t="shared" si="10"/>
        <v>0.95979120005746521</v>
      </c>
      <c r="V57" s="217">
        <f t="shared" si="11"/>
        <v>0.9309930504921603</v>
      </c>
      <c r="W57" s="197">
        <f t="shared" si="12"/>
        <v>350</v>
      </c>
      <c r="X57" s="443">
        <f t="shared" si="95"/>
        <v>350</v>
      </c>
      <c r="Z57" s="217">
        <f t="shared" si="13"/>
        <v>8.6045776773144027</v>
      </c>
      <c r="AA57" s="173">
        <f t="shared" si="14"/>
        <v>1.406813148295526</v>
      </c>
      <c r="AB57" s="173">
        <f t="shared" si="144"/>
        <v>2.1183807770958136</v>
      </c>
      <c r="AC57" s="173"/>
      <c r="AD57" s="173">
        <f t="shared" si="16"/>
        <v>0.5449863243548172</v>
      </c>
      <c r="AE57" s="545">
        <f t="shared" si="145"/>
        <v>1431.2285742645081</v>
      </c>
      <c r="AF57" s="528">
        <f t="shared" si="146"/>
        <v>0.31790868920697674</v>
      </c>
      <c r="AH57" s="173">
        <f t="shared" si="147"/>
        <v>6.9997828885131996</v>
      </c>
      <c r="AI57" s="173">
        <f t="shared" si="148"/>
        <v>6.9997828885131996</v>
      </c>
      <c r="AJ57" s="173">
        <f t="shared" si="149"/>
        <v>3.915888559392493</v>
      </c>
      <c r="AL57" s="545">
        <f t="shared" si="150"/>
        <v>1300</v>
      </c>
      <c r="AM57" s="460">
        <f t="shared" si="151"/>
        <v>350</v>
      </c>
      <c r="AO57">
        <f t="shared" si="96"/>
        <v>1300</v>
      </c>
      <c r="AP57" s="460">
        <f t="shared" si="24"/>
        <v>350</v>
      </c>
      <c r="AQ57" s="460"/>
      <c r="AR57" s="5">
        <f t="shared" si="97"/>
        <v>2.8571428571428572</v>
      </c>
      <c r="AS57" s="5">
        <f t="shared" si="25"/>
        <v>1.1798362987014657</v>
      </c>
      <c r="AT57" s="5">
        <f t="shared" si="98"/>
        <v>1.6773065584413915</v>
      </c>
      <c r="AU57" s="173">
        <f t="shared" si="99"/>
        <v>0.41294270454551296</v>
      </c>
      <c r="AW57" s="5">
        <f t="shared" si="152"/>
        <v>5.4778113868282334</v>
      </c>
      <c r="AX57" s="5">
        <f t="shared" si="153"/>
        <v>0.51126239610396851</v>
      </c>
      <c r="AY57" s="5">
        <f t="shared" si="28"/>
        <v>1.5639581186796132</v>
      </c>
      <c r="AZ57" s="5"/>
      <c r="BA57" s="173">
        <f t="shared" si="100"/>
        <v>2.5969814129569428</v>
      </c>
      <c r="BB57" s="173">
        <f t="shared" si="154"/>
        <v>3.0964508235823085</v>
      </c>
      <c r="BC57" s="173">
        <f t="shared" si="155"/>
        <v>0.31218315680379016</v>
      </c>
      <c r="BD57" s="173"/>
      <c r="BE57" s="528">
        <f t="shared" si="31"/>
        <v>8.0931749510926076E-2</v>
      </c>
      <c r="BF57" s="528">
        <f t="shared" si="156"/>
        <v>2.5320465994033499</v>
      </c>
      <c r="BG57" s="528">
        <f t="shared" si="33"/>
        <v>4.0250000000000001E-2</v>
      </c>
      <c r="BH57" s="528">
        <f t="shared" si="34"/>
        <v>0.55282376145108036</v>
      </c>
      <c r="BI57">
        <f t="shared" si="35"/>
        <v>1.2547961802412229E-2</v>
      </c>
      <c r="BJ57" s="460">
        <f t="shared" si="101"/>
        <v>52.797961802412232</v>
      </c>
      <c r="BK57">
        <f t="shared" si="157"/>
        <v>3.2501521045830306</v>
      </c>
      <c r="BL57" s="460">
        <f t="shared" si="102"/>
        <v>3250.1521045830305</v>
      </c>
      <c r="BM57" s="173">
        <f t="shared" si="158"/>
        <v>0.87177999999999989</v>
      </c>
      <c r="BN57" s="173">
        <f t="shared" si="159"/>
        <v>6.2269999999999999E-2</v>
      </c>
      <c r="BO57" s="528"/>
      <c r="BQ57" s="460">
        <f t="shared" si="103"/>
        <v>934.05</v>
      </c>
      <c r="BR57" s="528">
        <f t="shared" si="39"/>
        <v>9.4420374429413756E-2</v>
      </c>
      <c r="BS57" s="528">
        <f t="shared" si="104"/>
        <v>0.13423210784008979</v>
      </c>
      <c r="BT57" s="528">
        <f t="shared" si="160"/>
        <v>4.8729161695989918E-4</v>
      </c>
      <c r="BU57" s="528">
        <f t="shared" si="41"/>
        <v>14.854277728760296</v>
      </c>
      <c r="BV57" s="528">
        <f t="shared" si="161"/>
        <v>15.421098001103825</v>
      </c>
      <c r="BW57" s="625">
        <f t="shared" si="162"/>
        <v>1.714893617021277</v>
      </c>
      <c r="BX57" s="460">
        <f t="shared" si="105"/>
        <v>17135.991618125103</v>
      </c>
      <c r="BY57" s="173">
        <f t="shared" si="106"/>
        <v>21.320193722708133</v>
      </c>
      <c r="BZ57" s="5">
        <f t="shared" si="107"/>
        <v>40.299999999999997</v>
      </c>
      <c r="CA57" s="173">
        <f t="shared" si="108"/>
        <v>0.65400638273470302</v>
      </c>
      <c r="CB57" s="5">
        <f t="shared" si="109"/>
        <v>65.400638273470307</v>
      </c>
      <c r="CC57">
        <f t="shared" si="172"/>
        <v>52</v>
      </c>
      <c r="CE57" s="562">
        <f t="shared" si="163"/>
        <v>-50</v>
      </c>
      <c r="CF57">
        <f t="shared" si="164"/>
        <v>-50</v>
      </c>
      <c r="CG57" s="173">
        <f t="shared" si="165"/>
        <v>0.38807034355809233</v>
      </c>
      <c r="CH57" s="173">
        <f t="shared" si="166"/>
        <v>0.12584548767468867</v>
      </c>
      <c r="CI57" s="170">
        <v>52</v>
      </c>
      <c r="CJ57" s="217">
        <f t="shared" si="133"/>
        <v>1.3</v>
      </c>
      <c r="CK57" s="217">
        <f t="shared" si="111"/>
        <v>0.13</v>
      </c>
      <c r="CL57" s="217">
        <f t="shared" si="48"/>
        <v>36.4</v>
      </c>
      <c r="CM57" s="217">
        <f t="shared" si="134"/>
        <v>3.9000000000000004</v>
      </c>
      <c r="CN57" s="541">
        <f t="shared" si="112"/>
        <v>28</v>
      </c>
      <c r="CO57" s="443">
        <f t="shared" si="167"/>
        <v>28.7</v>
      </c>
      <c r="CP57" s="443">
        <f t="shared" si="168"/>
        <v>56.7</v>
      </c>
      <c r="CQ57" s="443"/>
      <c r="CR57" s="217">
        <f t="shared" si="113"/>
        <v>0.50354609929078009</v>
      </c>
      <c r="CS57" s="172">
        <f t="shared" si="114"/>
        <v>106.12369404407841</v>
      </c>
      <c r="CT57" s="172">
        <f t="shared" si="51"/>
        <v>12.588652482269502</v>
      </c>
      <c r="CU57" s="217">
        <f t="shared" si="52"/>
        <v>3.7901319301456575</v>
      </c>
      <c r="CV57" s="217">
        <f t="shared" si="53"/>
        <v>3.5374564681359471</v>
      </c>
      <c r="CW57" s="443">
        <f t="shared" si="54"/>
        <v>28</v>
      </c>
      <c r="CX57" s="217">
        <f t="shared" si="55"/>
        <v>5.7165995975855131</v>
      </c>
      <c r="CY57" s="217">
        <f t="shared" si="56"/>
        <v>0.95957207530899691</v>
      </c>
      <c r="CZ57" s="217">
        <f t="shared" si="57"/>
        <v>0.93616787835024085</v>
      </c>
      <c r="DA57" s="197">
        <f t="shared" si="58"/>
        <v>350</v>
      </c>
      <c r="DB57" s="443">
        <f t="shared" si="115"/>
        <v>350</v>
      </c>
      <c r="DD57" s="217">
        <f t="shared" si="59"/>
        <v>8.6157079064880477</v>
      </c>
      <c r="DE57" s="173">
        <f t="shared" si="60"/>
        <v>1.4109347442680775</v>
      </c>
      <c r="DF57" s="173">
        <f t="shared" si="61"/>
        <v>2.1273352855526046</v>
      </c>
      <c r="DG57" s="173"/>
      <c r="DH57" s="173">
        <f t="shared" si="62"/>
        <v>0.54587688734030204</v>
      </c>
      <c r="DI57" s="545">
        <f t="shared" si="63"/>
        <v>1428.8936170212767</v>
      </c>
      <c r="DJ57" s="528">
        <f t="shared" si="64"/>
        <v>0.31842818428184283</v>
      </c>
      <c r="DL57" s="173">
        <f t="shared" si="65"/>
        <v>6.9997828885131996</v>
      </c>
      <c r="DM57" s="173">
        <f t="shared" si="66"/>
        <v>6.9997828885131996</v>
      </c>
      <c r="DN57" s="173">
        <f t="shared" si="67"/>
        <v>3.915888559392493</v>
      </c>
      <c r="DP57" s="545">
        <f t="shared" si="68"/>
        <v>1300</v>
      </c>
      <c r="DQ57" s="460">
        <f t="shared" si="69"/>
        <v>350</v>
      </c>
      <c r="DS57">
        <f t="shared" si="116"/>
        <v>1300</v>
      </c>
      <c r="DT57" s="460">
        <f t="shared" si="70"/>
        <v>350</v>
      </c>
      <c r="DU57" s="460"/>
      <c r="DV57" s="5">
        <f t="shared" si="117"/>
        <v>2.8571428571428572</v>
      </c>
      <c r="DW57" s="5">
        <f t="shared" si="71"/>
        <v>1.1749635562861442</v>
      </c>
      <c r="DX57" s="5">
        <f t="shared" si="118"/>
        <v>1.682179300856713</v>
      </c>
      <c r="DY57" s="173">
        <f t="shared" si="119"/>
        <v>0.41123724470015049</v>
      </c>
      <c r="EA57" s="5">
        <f t="shared" si="72"/>
        <v>5.4551879398999557</v>
      </c>
      <c r="EB57" s="5">
        <f t="shared" si="73"/>
        <v>0.50915087439066253</v>
      </c>
      <c r="EC57" s="5">
        <f t="shared" si="74"/>
        <v>1.5620236365098048</v>
      </c>
      <c r="ED57" s="5"/>
      <c r="EE57" s="173">
        <f t="shared" si="120"/>
        <v>2.5916130774144821</v>
      </c>
      <c r="EF57" s="173">
        <f t="shared" si="75"/>
        <v>3.1009453105596103</v>
      </c>
      <c r="EG57" s="173">
        <f t="shared" si="76"/>
        <v>0.31263628950723943</v>
      </c>
      <c r="EH57" s="173"/>
      <c r="EI57" s="528">
        <f t="shared" si="77"/>
        <v>8.0597500116309159E-2</v>
      </c>
      <c r="EJ57" s="528">
        <f t="shared" si="78"/>
        <v>2.6393031370283446</v>
      </c>
      <c r="EK57" s="528">
        <f t="shared" si="79"/>
        <v>4.0250000000000001E-2</v>
      </c>
      <c r="EL57" s="528">
        <f t="shared" si="80"/>
        <v>0.55416666375000012</v>
      </c>
      <c r="EM57">
        <f t="shared" si="81"/>
        <v>1.26E-2</v>
      </c>
      <c r="EN57" s="460">
        <f t="shared" si="121"/>
        <v>52.85</v>
      </c>
      <c r="EO57">
        <f t="shared" si="82"/>
        <v>3.4140577151882985</v>
      </c>
      <c r="EP57" s="460">
        <f t="shared" si="122"/>
        <v>3414.0577151882985</v>
      </c>
      <c r="EQ57" s="173">
        <f t="shared" si="83"/>
        <v>0.87177999999999989</v>
      </c>
      <c r="ER57" s="173">
        <f t="shared" si="169"/>
        <v>6.2269999999999999E-2</v>
      </c>
      <c r="ES57" s="528"/>
      <c r="EU57" s="460">
        <f t="shared" si="123"/>
        <v>934.05</v>
      </c>
      <c r="EV57" s="528">
        <f t="shared" si="85"/>
        <v>9.4030416802360683E-2</v>
      </c>
      <c r="EW57" s="528">
        <f t="shared" si="124"/>
        <v>0.13462206546714295</v>
      </c>
      <c r="EX57" s="528">
        <f t="shared" si="86"/>
        <v>4.887072475842721E-4</v>
      </c>
      <c r="EY57" s="528">
        <f t="shared" si="87"/>
        <v>14.854277728760296</v>
      </c>
      <c r="EZ57" s="528">
        <f t="shared" si="88"/>
        <v>15.421101568323849</v>
      </c>
      <c r="FA57" s="625">
        <f t="shared" si="89"/>
        <v>1.714893617021277</v>
      </c>
      <c r="FB57" s="460">
        <f t="shared" si="125"/>
        <v>17135.995185345128</v>
      </c>
      <c r="FC57" s="173">
        <f t="shared" si="126"/>
        <v>21.484102900533426</v>
      </c>
      <c r="FD57" s="5">
        <f t="shared" si="127"/>
        <v>40.299999999999997</v>
      </c>
      <c r="FE57" s="173">
        <f t="shared" si="128"/>
        <v>0.6522713466420188</v>
      </c>
      <c r="FF57" s="5">
        <f t="shared" si="129"/>
        <v>65.227134664201884</v>
      </c>
      <c r="FG57">
        <f t="shared" si="130"/>
        <v>52</v>
      </c>
      <c r="FI57" s="562">
        <f t="shared" si="90"/>
        <v>-50</v>
      </c>
      <c r="FJ57">
        <f t="shared" si="91"/>
        <v>-50</v>
      </c>
      <c r="FL57">
        <f t="shared" si="92"/>
        <v>0.38807034355809233</v>
      </c>
    </row>
    <row r="58" spans="5:168">
      <c r="E58" s="170">
        <v>53</v>
      </c>
      <c r="F58" s="217">
        <f t="shared" si="173"/>
        <v>1.3250000000000002</v>
      </c>
      <c r="G58" s="217">
        <f t="shared" si="170"/>
        <v>0.13250000000000001</v>
      </c>
      <c r="H58" s="217">
        <f t="shared" si="135"/>
        <v>37.100000000000009</v>
      </c>
      <c r="I58" s="217">
        <f t="shared" si="174"/>
        <v>3.9750000000000001</v>
      </c>
      <c r="J58" s="541">
        <f t="shared" si="136"/>
        <v>27.883252928629151</v>
      </c>
      <c r="K58" s="443">
        <f t="shared" si="137"/>
        <v>28.74734751560581</v>
      </c>
      <c r="L58" s="172">
        <f t="shared" si="138"/>
        <v>56.630600444234958</v>
      </c>
      <c r="M58" s="443"/>
      <c r="N58" s="217">
        <f t="shared" si="139"/>
        <v>0.50762921971688746</v>
      </c>
      <c r="O58" s="172">
        <f t="shared" si="171"/>
        <v>106.53814784010801</v>
      </c>
      <c r="P58" s="172">
        <f t="shared" si="140"/>
        <v>12.637816006543424</v>
      </c>
      <c r="Q58" s="217">
        <f t="shared" si="6"/>
        <v>3.8049338514324291</v>
      </c>
      <c r="R58" s="217">
        <f t="shared" si="141"/>
        <v>3.5512715946702671</v>
      </c>
      <c r="S58" s="443">
        <f t="shared" si="142"/>
        <v>28</v>
      </c>
      <c r="T58" s="217">
        <f t="shared" si="143"/>
        <v>5.8038678714531962</v>
      </c>
      <c r="U58" s="217">
        <f t="shared" si="10"/>
        <v>0.9782997366072067</v>
      </c>
      <c r="V58" s="217">
        <f t="shared" si="11"/>
        <v>0.94889377119129914</v>
      </c>
      <c r="W58" s="197">
        <f t="shared" si="12"/>
        <v>350</v>
      </c>
      <c r="X58" s="443">
        <f t="shared" si="95"/>
        <v>350</v>
      </c>
      <c r="Z58" s="217">
        <f t="shared" si="13"/>
        <v>8.6044704725402017</v>
      </c>
      <c r="AA58" s="173">
        <f t="shared" si="14"/>
        <v>1.4067736579517502</v>
      </c>
      <c r="AB58" s="173">
        <f t="shared" si="144"/>
        <v>2.1182949202438106</v>
      </c>
      <c r="AC58" s="173"/>
      <c r="AD58" s="173">
        <f t="shared" si="16"/>
        <v>0.54497781606326789</v>
      </c>
      <c r="AE58" s="545">
        <f t="shared" si="145"/>
        <v>1458.7749749940399</v>
      </c>
      <c r="AF58" s="528">
        <f t="shared" si="146"/>
        <v>0.31790372603690631</v>
      </c>
      <c r="AH58" s="173">
        <f t="shared" si="147"/>
        <v>7.0667679830629631</v>
      </c>
      <c r="AI58" s="173">
        <f t="shared" si="148"/>
        <v>7.0667679830629631</v>
      </c>
      <c r="AJ58" s="173">
        <f t="shared" si="149"/>
        <v>3.9655071479478741</v>
      </c>
      <c r="AL58" s="545">
        <f t="shared" si="150"/>
        <v>1325.0000000000002</v>
      </c>
      <c r="AM58" s="460">
        <f t="shared" si="151"/>
        <v>350</v>
      </c>
      <c r="AO58">
        <f t="shared" si="96"/>
        <v>1325.0000000000002</v>
      </c>
      <c r="AP58" s="460">
        <f t="shared" si="24"/>
        <v>350</v>
      </c>
      <c r="AQ58" s="460"/>
      <c r="AR58" s="5">
        <f t="shared" si="97"/>
        <v>2.8571428571428572</v>
      </c>
      <c r="AS58" s="5">
        <f t="shared" si="25"/>
        <v>1.1911741289802531</v>
      </c>
      <c r="AT58" s="5">
        <f t="shared" si="98"/>
        <v>1.6659687281626041</v>
      </c>
      <c r="AU58" s="173">
        <f t="shared" si="99"/>
        <v>0.41691094514308857</v>
      </c>
      <c r="AW58" s="5">
        <f t="shared" si="152"/>
        <v>5.6368061460672694</v>
      </c>
      <c r="AX58" s="5">
        <f t="shared" si="153"/>
        <v>0.52610190696627857</v>
      </c>
      <c r="AY58" s="5">
        <f t="shared" si="28"/>
        <v>1.5833221256254448</v>
      </c>
      <c r="AZ58" s="5"/>
      <c r="BA58" s="173">
        <f t="shared" si="100"/>
        <v>2.6344008254092364</v>
      </c>
      <c r="BB58" s="173">
        <f t="shared" si="154"/>
        <v>3.1154992430156456</v>
      </c>
      <c r="BC58" s="173">
        <f t="shared" si="155"/>
        <v>0.31410361220567573</v>
      </c>
      <c r="BD58" s="173"/>
      <c r="BE58" s="528">
        <f t="shared" si="31"/>
        <v>8.3280812507002394E-2</v>
      </c>
      <c r="BF58" s="528">
        <f t="shared" si="156"/>
        <v>2.5562475686920738</v>
      </c>
      <c r="BG58" s="528">
        <f t="shared" si="33"/>
        <v>4.0250000000000001E-2</v>
      </c>
      <c r="BH58" s="528">
        <f t="shared" si="34"/>
        <v>0.55281091828803164</v>
      </c>
      <c r="BI58">
        <f t="shared" si="35"/>
        <v>1.2547463817883117E-2</v>
      </c>
      <c r="BJ58" s="460">
        <f t="shared" si="101"/>
        <v>52.79746381788312</v>
      </c>
      <c r="BK58">
        <f t="shared" si="157"/>
        <v>3.2797227008507015</v>
      </c>
      <c r="BL58" s="460">
        <f t="shared" si="102"/>
        <v>3279.7227008507016</v>
      </c>
      <c r="BM58" s="173">
        <f t="shared" si="158"/>
        <v>0.88854500000000003</v>
      </c>
      <c r="BN58" s="173">
        <f t="shared" si="159"/>
        <v>6.3467499999999996E-2</v>
      </c>
      <c r="BO58" s="528"/>
      <c r="BQ58" s="460">
        <f t="shared" si="103"/>
        <v>952.01250000000005</v>
      </c>
      <c r="BR58" s="528">
        <f t="shared" si="39"/>
        <v>9.7160947924836122E-2</v>
      </c>
      <c r="BS58" s="528">
        <f t="shared" si="104"/>
        <v>0.13588869746523485</v>
      </c>
      <c r="BT58" s="528">
        <f t="shared" si="160"/>
        <v>4.9330539600326759E-4</v>
      </c>
      <c r="BU58" s="528">
        <f t="shared" si="41"/>
        <v>15.212205971217209</v>
      </c>
      <c r="BV58" s="528">
        <f t="shared" si="161"/>
        <v>15.796940355309589</v>
      </c>
      <c r="BW58" s="625">
        <f t="shared" si="162"/>
        <v>1.7478723404255325</v>
      </c>
      <c r="BX58" s="460">
        <f t="shared" si="105"/>
        <v>17544.81269573512</v>
      </c>
      <c r="BY58" s="173">
        <f t="shared" si="106"/>
        <v>21.776547896585825</v>
      </c>
      <c r="BZ58" s="5">
        <f t="shared" si="107"/>
        <v>41.07500000000001</v>
      </c>
      <c r="CA58" s="173">
        <f t="shared" si="108"/>
        <v>0.65352407975032945</v>
      </c>
      <c r="CB58" s="5">
        <f t="shared" si="109"/>
        <v>65.352407975032946</v>
      </c>
      <c r="CC58">
        <f t="shared" si="172"/>
        <v>53</v>
      </c>
      <c r="CE58" s="562">
        <f t="shared" si="163"/>
        <v>-50</v>
      </c>
      <c r="CF58">
        <f t="shared" si="164"/>
        <v>-50</v>
      </c>
      <c r="CG58" s="173">
        <f t="shared" si="165"/>
        <v>0.39178401997766477</v>
      </c>
      <c r="CH58" s="173">
        <f t="shared" si="166"/>
        <v>0.12704977815409532</v>
      </c>
      <c r="CI58" s="170">
        <v>53</v>
      </c>
      <c r="CJ58" s="217">
        <f t="shared" si="133"/>
        <v>1.3250000000000002</v>
      </c>
      <c r="CK58" s="217">
        <f t="shared" si="111"/>
        <v>0.13250000000000001</v>
      </c>
      <c r="CL58" s="217">
        <f t="shared" si="48"/>
        <v>37.100000000000009</v>
      </c>
      <c r="CM58" s="217">
        <f t="shared" si="134"/>
        <v>3.9750000000000001</v>
      </c>
      <c r="CN58" s="541">
        <f t="shared" si="112"/>
        <v>28</v>
      </c>
      <c r="CO58" s="443">
        <f t="shared" si="167"/>
        <v>28.7</v>
      </c>
      <c r="CP58" s="443">
        <f t="shared" si="168"/>
        <v>56.7</v>
      </c>
      <c r="CQ58" s="443"/>
      <c r="CR58" s="217">
        <f t="shared" si="113"/>
        <v>0.50354609929078009</v>
      </c>
      <c r="CS58" s="172">
        <f t="shared" si="114"/>
        <v>106.12369404407841</v>
      </c>
      <c r="CT58" s="172">
        <f t="shared" si="51"/>
        <v>12.588652482269502</v>
      </c>
      <c r="CU58" s="217">
        <f t="shared" si="52"/>
        <v>3.7901319301456575</v>
      </c>
      <c r="CV58" s="217">
        <f t="shared" si="53"/>
        <v>3.5374564681359471</v>
      </c>
      <c r="CW58" s="443">
        <f t="shared" si="54"/>
        <v>28</v>
      </c>
      <c r="CX58" s="217">
        <f t="shared" si="55"/>
        <v>5.8265342052313907</v>
      </c>
      <c r="CY58" s="217">
        <f t="shared" si="56"/>
        <v>0.97802538444955489</v>
      </c>
      <c r="CZ58" s="217">
        <f t="shared" si="57"/>
        <v>0.95417110678005357</v>
      </c>
      <c r="DA58" s="197">
        <f t="shared" si="58"/>
        <v>350</v>
      </c>
      <c r="DB58" s="443">
        <f t="shared" si="115"/>
        <v>350</v>
      </c>
      <c r="DD58" s="217">
        <f t="shared" si="59"/>
        <v>8.6157079064880477</v>
      </c>
      <c r="DE58" s="173">
        <f t="shared" si="60"/>
        <v>1.4109347442680775</v>
      </c>
      <c r="DF58" s="173">
        <f t="shared" si="61"/>
        <v>2.1273352855526046</v>
      </c>
      <c r="DG58" s="173"/>
      <c r="DH58" s="173">
        <f t="shared" si="62"/>
        <v>0.54587688734030204</v>
      </c>
      <c r="DI58" s="545">
        <f t="shared" si="63"/>
        <v>1456.372340425532</v>
      </c>
      <c r="DJ58" s="528">
        <f t="shared" si="64"/>
        <v>0.31842818428184283</v>
      </c>
      <c r="DL58" s="173">
        <f t="shared" si="65"/>
        <v>7.0667679830629631</v>
      </c>
      <c r="DM58" s="173">
        <f t="shared" si="66"/>
        <v>7.0667679830629631</v>
      </c>
      <c r="DN58" s="173">
        <f t="shared" si="67"/>
        <v>3.9655071479478741</v>
      </c>
      <c r="DP58" s="545">
        <f t="shared" si="68"/>
        <v>1325.0000000000002</v>
      </c>
      <c r="DQ58" s="460">
        <f t="shared" si="69"/>
        <v>350</v>
      </c>
      <c r="DS58">
        <f t="shared" si="116"/>
        <v>1325.0000000000002</v>
      </c>
      <c r="DT58" s="460">
        <f t="shared" si="70"/>
        <v>350</v>
      </c>
      <c r="DU58" s="460"/>
      <c r="DV58" s="5">
        <f t="shared" si="117"/>
        <v>2.8571428571428572</v>
      </c>
      <c r="DW58" s="5">
        <f t="shared" si="71"/>
        <v>1.186207482871283</v>
      </c>
      <c r="DX58" s="5">
        <f t="shared" si="118"/>
        <v>1.6709353742715742</v>
      </c>
      <c r="DY58" s="173">
        <f t="shared" si="119"/>
        <v>0.41517261900494901</v>
      </c>
      <c r="EA58" s="5">
        <f t="shared" si="72"/>
        <v>5.6133032671587504</v>
      </c>
      <c r="EB58" s="5">
        <f t="shared" si="73"/>
        <v>0.52390830493481666</v>
      </c>
      <c r="EC58" s="5">
        <f t="shared" si="74"/>
        <v>1.5814209792213116</v>
      </c>
      <c r="ED58" s="5"/>
      <c r="EE58" s="173">
        <f t="shared" si="120"/>
        <v>2.6289029710232801</v>
      </c>
      <c r="EF58" s="173">
        <f t="shared" si="75"/>
        <v>3.120139806337674</v>
      </c>
      <c r="EG58" s="173">
        <f t="shared" si="76"/>
        <v>0.31457147227830651</v>
      </c>
      <c r="EH58" s="173"/>
      <c r="EI58" s="528">
        <f t="shared" si="77"/>
        <v>8.2933569972660354E-2</v>
      </c>
      <c r="EJ58" s="528">
        <f t="shared" si="78"/>
        <v>2.6645602018538055</v>
      </c>
      <c r="EK58" s="528">
        <f t="shared" si="79"/>
        <v>4.0250000000000001E-2</v>
      </c>
      <c r="EL58" s="528">
        <f t="shared" si="80"/>
        <v>0.55416666375000012</v>
      </c>
      <c r="EM58">
        <f t="shared" si="81"/>
        <v>1.26E-2</v>
      </c>
      <c r="EN58" s="460">
        <f t="shared" si="121"/>
        <v>52.85</v>
      </c>
      <c r="EO58">
        <f t="shared" si="82"/>
        <v>3.4447819843643073</v>
      </c>
      <c r="EP58" s="460">
        <f t="shared" si="122"/>
        <v>3444.7819843643074</v>
      </c>
      <c r="EQ58" s="173">
        <f t="shared" si="83"/>
        <v>0.88854500000000003</v>
      </c>
      <c r="ER58" s="173">
        <f t="shared" si="169"/>
        <v>6.3467499999999996E-2</v>
      </c>
      <c r="ES58" s="528"/>
      <c r="EU58" s="460">
        <f t="shared" si="123"/>
        <v>952.01250000000005</v>
      </c>
      <c r="EV58" s="528">
        <f t="shared" si="85"/>
        <v>9.6755831634770417E-2</v>
      </c>
      <c r="EW58" s="528">
        <f t="shared" si="124"/>
        <v>0.13629381375530056</v>
      </c>
      <c r="EX58" s="528">
        <f t="shared" si="86"/>
        <v>4.9477605585670679E-4</v>
      </c>
      <c r="EY58" s="528">
        <f t="shared" si="87"/>
        <v>15.212205971217209</v>
      </c>
      <c r="EZ58" s="528">
        <f t="shared" si="88"/>
        <v>15.796944107587779</v>
      </c>
      <c r="FA58" s="625">
        <f t="shared" si="89"/>
        <v>1.7478723404255325</v>
      </c>
      <c r="FB58" s="460">
        <f t="shared" si="125"/>
        <v>17544.816448013309</v>
      </c>
      <c r="FC58" s="173">
        <f t="shared" si="126"/>
        <v>21.941610932377618</v>
      </c>
      <c r="FD58" s="5">
        <f t="shared" si="127"/>
        <v>41.07500000000001</v>
      </c>
      <c r="FE58" s="173">
        <f t="shared" si="128"/>
        <v>0.65181226651615876</v>
      </c>
      <c r="FF58" s="5">
        <f t="shared" si="129"/>
        <v>65.181226651615873</v>
      </c>
      <c r="FG58">
        <f t="shared" si="130"/>
        <v>53</v>
      </c>
      <c r="FI58" s="562">
        <f t="shared" si="90"/>
        <v>-50</v>
      </c>
      <c r="FJ58">
        <f t="shared" si="91"/>
        <v>-50</v>
      </c>
      <c r="FL58">
        <f t="shared" si="92"/>
        <v>0.39178401997766471</v>
      </c>
    </row>
    <row r="59" spans="5:168">
      <c r="E59" s="170">
        <v>54</v>
      </c>
      <c r="F59" s="217">
        <f t="shared" si="173"/>
        <v>1.35</v>
      </c>
      <c r="G59" s="217">
        <f t="shared" si="170"/>
        <v>0.13500000000000001</v>
      </c>
      <c r="H59" s="217">
        <f t="shared" si="135"/>
        <v>37.800000000000004</v>
      </c>
      <c r="I59" s="217">
        <f t="shared" si="174"/>
        <v>4.0500000000000007</v>
      </c>
      <c r="J59" s="541">
        <f t="shared" si="136"/>
        <v>27.882156687946175</v>
      </c>
      <c r="K59" s="443">
        <f t="shared" si="137"/>
        <v>28.747792102970919</v>
      </c>
      <c r="L59" s="172">
        <f t="shared" si="138"/>
        <v>56.629948790917098</v>
      </c>
      <c r="M59" s="443"/>
      <c r="N59" s="217">
        <f t="shared" si="139"/>
        <v>0.50764291186471622</v>
      </c>
      <c r="O59" s="172">
        <f t="shared" si="171"/>
        <v>106.53683276447407</v>
      </c>
      <c r="P59" s="172">
        <f t="shared" si="140"/>
        <v>12.637660009051134</v>
      </c>
      <c r="Q59" s="217">
        <f t="shared" si="6"/>
        <v>3.8048868844455024</v>
      </c>
      <c r="R59" s="217">
        <f t="shared" si="141"/>
        <v>3.5512277588158025</v>
      </c>
      <c r="S59" s="443">
        <f t="shared" si="142"/>
        <v>28</v>
      </c>
      <c r="T59" s="217">
        <f t="shared" si="143"/>
        <v>5.9134478062884641</v>
      </c>
      <c r="U59" s="217">
        <f t="shared" si="10"/>
        <v>0.99680971599916268</v>
      </c>
      <c r="V59" s="217">
        <f t="shared" si="11"/>
        <v>0.96679440946296236</v>
      </c>
      <c r="W59" s="197">
        <f t="shared" si="12"/>
        <v>350</v>
      </c>
      <c r="X59" s="443">
        <f t="shared" si="95"/>
        <v>350</v>
      </c>
      <c r="Z59" s="217">
        <f t="shared" si="13"/>
        <v>8.6043642614816225</v>
      </c>
      <c r="AA59" s="173">
        <f t="shared" si="14"/>
        <v>1.4067345375293823</v>
      </c>
      <c r="AB59" s="173">
        <f t="shared" si="144"/>
        <v>2.1182098665191966</v>
      </c>
      <c r="AC59" s="173"/>
      <c r="AD59" s="173">
        <f t="shared" si="16"/>
        <v>0.54496938792901617</v>
      </c>
      <c r="AE59" s="545">
        <f t="shared" si="145"/>
        <v>1486.3220172387093</v>
      </c>
      <c r="AF59" s="528">
        <f t="shared" si="146"/>
        <v>0.31789880962525946</v>
      </c>
      <c r="AH59" s="173">
        <f t="shared" si="147"/>
        <v>7.1331240677956362</v>
      </c>
      <c r="AI59" s="173">
        <f t="shared" si="148"/>
        <v>7.1331240677956362</v>
      </c>
      <c r="AJ59" s="173">
        <f t="shared" si="149"/>
        <v>4.0146598033054097</v>
      </c>
      <c r="AL59" s="545">
        <f t="shared" si="150"/>
        <v>1350</v>
      </c>
      <c r="AM59" s="460">
        <f t="shared" si="151"/>
        <v>350</v>
      </c>
      <c r="AO59">
        <f t="shared" si="96"/>
        <v>1350</v>
      </c>
      <c r="AP59" s="460">
        <f t="shared" si="24"/>
        <v>350</v>
      </c>
      <c r="AQ59" s="460"/>
      <c r="AR59" s="5">
        <f t="shared" si="97"/>
        <v>2.8571428571428572</v>
      </c>
      <c r="AS59" s="5">
        <f t="shared" si="25"/>
        <v>1.2024063810362664</v>
      </c>
      <c r="AT59" s="5">
        <f t="shared" si="98"/>
        <v>1.6547364761065908</v>
      </c>
      <c r="AU59" s="173">
        <f t="shared" si="99"/>
        <v>0.42084223336269322</v>
      </c>
      <c r="AW59" s="5">
        <f t="shared" si="152"/>
        <v>5.7973164799962849</v>
      </c>
      <c r="AX59" s="5">
        <f t="shared" si="153"/>
        <v>0.54108287146631995</v>
      </c>
      <c r="AY59" s="5">
        <f t="shared" si="28"/>
        <v>1.602382676308278</v>
      </c>
      <c r="AZ59" s="5"/>
      <c r="BA59" s="173">
        <f t="shared" si="100"/>
        <v>2.6716453624587229</v>
      </c>
      <c r="BB59" s="173">
        <f t="shared" si="154"/>
        <v>3.1341342312417404</v>
      </c>
      <c r="BC59" s="173">
        <f t="shared" si="155"/>
        <v>0.31598238560879838</v>
      </c>
      <c r="BD59" s="173"/>
      <c r="BE59" s="528">
        <f t="shared" si="31"/>
        <v>8.5652267312966407E-2</v>
      </c>
      <c r="BF59" s="528">
        <f t="shared" si="156"/>
        <v>2.5802207287090795</v>
      </c>
      <c r="BG59" s="528">
        <f t="shared" si="33"/>
        <v>4.0250000000000001E-2</v>
      </c>
      <c r="BH59" s="528">
        <f t="shared" si="34"/>
        <v>0.55279819587316881</v>
      </c>
      <c r="BI59">
        <f t="shared" si="35"/>
        <v>1.2546970509575778E-2</v>
      </c>
      <c r="BJ59" s="460">
        <f t="shared" si="101"/>
        <v>52.796970509575786</v>
      </c>
      <c r="BK59">
        <f t="shared" si="157"/>
        <v>3.309141573798243</v>
      </c>
      <c r="BL59" s="460">
        <f t="shared" si="102"/>
        <v>3309.1415737982429</v>
      </c>
      <c r="BM59" s="173">
        <f t="shared" si="158"/>
        <v>0.90530999999999995</v>
      </c>
      <c r="BN59" s="173">
        <f t="shared" si="159"/>
        <v>6.4665E-2</v>
      </c>
      <c r="BO59" s="528"/>
      <c r="BQ59" s="460">
        <f t="shared" si="103"/>
        <v>969.97499999999991</v>
      </c>
      <c r="BR59" s="528">
        <f t="shared" si="39"/>
        <v>9.9927645198460813E-2</v>
      </c>
      <c r="BS59" s="528">
        <f t="shared" si="104"/>
        <v>0.13751916331217756</v>
      </c>
      <c r="BT59" s="528">
        <f t="shared" si="160"/>
        <v>4.9922434007513682E-4</v>
      </c>
      <c r="BU59" s="528">
        <f t="shared" si="41"/>
        <v>15.571826630722725</v>
      </c>
      <c r="BV59" s="528">
        <f t="shared" si="161"/>
        <v>16.174777645292796</v>
      </c>
      <c r="BW59" s="625">
        <f t="shared" si="162"/>
        <v>1.7808510638297876</v>
      </c>
      <c r="BX59" s="460">
        <f t="shared" si="105"/>
        <v>17955.628709122582</v>
      </c>
      <c r="BY59" s="173">
        <f t="shared" si="106"/>
        <v>22.234745282920827</v>
      </c>
      <c r="BZ59" s="5">
        <f t="shared" si="107"/>
        <v>41.850000000000009</v>
      </c>
      <c r="CA59" s="173">
        <f t="shared" si="108"/>
        <v>0.65304152829571149</v>
      </c>
      <c r="CB59" s="5">
        <f t="shared" si="109"/>
        <v>65.304152829571152</v>
      </c>
      <c r="CC59">
        <f t="shared" si="172"/>
        <v>54</v>
      </c>
      <c r="CE59" s="562">
        <f t="shared" si="163"/>
        <v>-50</v>
      </c>
      <c r="CF59">
        <f t="shared" si="164"/>
        <v>-50</v>
      </c>
      <c r="CG59" s="173">
        <f t="shared" si="165"/>
        <v>0.39546282387908804</v>
      </c>
      <c r="CH59" s="173">
        <f t="shared" si="166"/>
        <v>0.1282427599902991</v>
      </c>
      <c r="CI59" s="170">
        <v>54</v>
      </c>
      <c r="CJ59" s="217">
        <f t="shared" si="133"/>
        <v>1.35</v>
      </c>
      <c r="CK59" s="217">
        <f t="shared" si="111"/>
        <v>0.13500000000000001</v>
      </c>
      <c r="CL59" s="217">
        <f t="shared" si="48"/>
        <v>37.800000000000004</v>
      </c>
      <c r="CM59" s="217">
        <f t="shared" si="134"/>
        <v>4.0500000000000007</v>
      </c>
      <c r="CN59" s="541">
        <f t="shared" si="112"/>
        <v>28</v>
      </c>
      <c r="CO59" s="443">
        <f t="shared" si="167"/>
        <v>28.7</v>
      </c>
      <c r="CP59" s="443">
        <f t="shared" si="168"/>
        <v>56.7</v>
      </c>
      <c r="CQ59" s="443"/>
      <c r="CR59" s="217">
        <f t="shared" si="113"/>
        <v>0.50354609929078009</v>
      </c>
      <c r="CS59" s="172">
        <f t="shared" si="114"/>
        <v>106.12369404407841</v>
      </c>
      <c r="CT59" s="172">
        <f t="shared" si="51"/>
        <v>12.588652482269502</v>
      </c>
      <c r="CU59" s="217">
        <f t="shared" si="52"/>
        <v>3.7901319301456575</v>
      </c>
      <c r="CV59" s="217">
        <f t="shared" si="53"/>
        <v>3.5374564681359471</v>
      </c>
      <c r="CW59" s="443">
        <f t="shared" si="54"/>
        <v>28</v>
      </c>
      <c r="CX59" s="217">
        <f t="shared" si="55"/>
        <v>5.9364688128772656</v>
      </c>
      <c r="CY59" s="217">
        <f t="shared" si="56"/>
        <v>0.99647869359011243</v>
      </c>
      <c r="CZ59" s="217">
        <f t="shared" si="57"/>
        <v>0.97217433520986596</v>
      </c>
      <c r="DA59" s="197">
        <f t="shared" si="58"/>
        <v>350</v>
      </c>
      <c r="DB59" s="443">
        <f t="shared" si="115"/>
        <v>350</v>
      </c>
      <c r="DD59" s="217">
        <f t="shared" si="59"/>
        <v>8.6157079064880477</v>
      </c>
      <c r="DE59" s="173">
        <f t="shared" si="60"/>
        <v>1.4109347442680775</v>
      </c>
      <c r="DF59" s="173">
        <f t="shared" si="61"/>
        <v>2.1273352855526046</v>
      </c>
      <c r="DG59" s="173"/>
      <c r="DH59" s="173">
        <f t="shared" si="62"/>
        <v>0.54587688734030204</v>
      </c>
      <c r="DI59" s="545">
        <f t="shared" si="63"/>
        <v>1483.8510638297873</v>
      </c>
      <c r="DJ59" s="528">
        <f t="shared" si="64"/>
        <v>0.31842818428184283</v>
      </c>
      <c r="DL59" s="173">
        <f t="shared" si="65"/>
        <v>7.1331240677956362</v>
      </c>
      <c r="DM59" s="173">
        <f t="shared" si="66"/>
        <v>7.1331240677956362</v>
      </c>
      <c r="DN59" s="173">
        <f t="shared" si="67"/>
        <v>4.0146598033054097</v>
      </c>
      <c r="DP59" s="545">
        <f t="shared" si="68"/>
        <v>1350</v>
      </c>
      <c r="DQ59" s="460">
        <f t="shared" si="69"/>
        <v>350</v>
      </c>
      <c r="DS59">
        <f t="shared" si="116"/>
        <v>1350</v>
      </c>
      <c r="DT59" s="460">
        <f t="shared" si="70"/>
        <v>350</v>
      </c>
      <c r="DU59" s="460"/>
      <c r="DV59" s="5">
        <f t="shared" si="117"/>
        <v>2.8571428571428572</v>
      </c>
      <c r="DW59" s="5">
        <f t="shared" si="71"/>
        <v>1.1973458256656961</v>
      </c>
      <c r="DX59" s="5">
        <f t="shared" si="118"/>
        <v>1.6597970314771611</v>
      </c>
      <c r="DY59" s="173">
        <f t="shared" si="119"/>
        <v>0.41907103898299364</v>
      </c>
      <c r="EA59" s="5">
        <f t="shared" si="72"/>
        <v>5.7729173737453205</v>
      </c>
      <c r="EB59" s="5">
        <f t="shared" si="73"/>
        <v>0.53880562154956324</v>
      </c>
      <c r="EC59" s="5">
        <f t="shared" si="74"/>
        <v>1.6005185660672625</v>
      </c>
      <c r="ED59" s="5"/>
      <c r="EE59" s="173">
        <f t="shared" si="120"/>
        <v>2.6660173714168423</v>
      </c>
      <c r="EF59" s="173">
        <f t="shared" si="75"/>
        <v>3.1389230155408536</v>
      </c>
      <c r="EG59" s="173">
        <f t="shared" si="76"/>
        <v>0.31646518927174183</v>
      </c>
      <c r="EH59" s="173"/>
      <c r="EI59" s="528">
        <f t="shared" si="77"/>
        <v>8.5291783496356424E-2</v>
      </c>
      <c r="EJ59" s="528">
        <f t="shared" si="78"/>
        <v>2.6895800953826843</v>
      </c>
      <c r="EK59" s="528">
        <f t="shared" si="79"/>
        <v>4.0250000000000001E-2</v>
      </c>
      <c r="EL59" s="528">
        <f t="shared" si="80"/>
        <v>0.55416666375000012</v>
      </c>
      <c r="EM59">
        <f t="shared" si="81"/>
        <v>1.26E-2</v>
      </c>
      <c r="EN59" s="460">
        <f t="shared" si="121"/>
        <v>52.85</v>
      </c>
      <c r="EO59">
        <f t="shared" si="82"/>
        <v>3.4753463571763592</v>
      </c>
      <c r="EP59" s="460">
        <f t="shared" si="122"/>
        <v>3475.3463571763591</v>
      </c>
      <c r="EQ59" s="173">
        <f t="shared" si="83"/>
        <v>0.90530999999999995</v>
      </c>
      <c r="ER59" s="173">
        <f t="shared" si="169"/>
        <v>6.4665E-2</v>
      </c>
      <c r="ES59" s="528"/>
      <c r="EU59" s="460">
        <f t="shared" si="123"/>
        <v>969.97499999999991</v>
      </c>
      <c r="EV59" s="528">
        <f t="shared" si="85"/>
        <v>9.9507080745749169E-2</v>
      </c>
      <c r="EW59" s="528">
        <f t="shared" si="124"/>
        <v>0.13793972776488922</v>
      </c>
      <c r="EX59" s="528">
        <f t="shared" si="86"/>
        <v>5.0075108010399691E-4</v>
      </c>
      <c r="EY59" s="528">
        <f t="shared" si="87"/>
        <v>15.571826630722725</v>
      </c>
      <c r="EZ59" s="528">
        <f t="shared" si="88"/>
        <v>16.174781589098384</v>
      </c>
      <c r="FA59" s="625">
        <f t="shared" si="89"/>
        <v>1.7808510638297876</v>
      </c>
      <c r="FB59" s="460">
        <f t="shared" si="125"/>
        <v>17955.632652928169</v>
      </c>
      <c r="FC59" s="173">
        <f t="shared" si="126"/>
        <v>22.400954010104527</v>
      </c>
      <c r="FD59" s="5">
        <f t="shared" si="127"/>
        <v>41.850000000000009</v>
      </c>
      <c r="FE59" s="173">
        <f t="shared" si="128"/>
        <v>0.65135219616222972</v>
      </c>
      <c r="FF59" s="5">
        <f t="shared" si="129"/>
        <v>65.135219616222969</v>
      </c>
      <c r="FG59">
        <f t="shared" si="130"/>
        <v>54</v>
      </c>
      <c r="FI59" s="562">
        <f t="shared" si="90"/>
        <v>-50</v>
      </c>
      <c r="FJ59">
        <f t="shared" si="91"/>
        <v>-50</v>
      </c>
      <c r="FL59">
        <f t="shared" si="92"/>
        <v>0.39546282387908804</v>
      </c>
    </row>
    <row r="60" spans="5:168">
      <c r="E60" s="170">
        <v>55</v>
      </c>
      <c r="F60" s="217">
        <f t="shared" si="173"/>
        <v>1.375</v>
      </c>
      <c r="G60" s="217">
        <f t="shared" si="170"/>
        <v>0.13750000000000001</v>
      </c>
      <c r="H60" s="217">
        <f t="shared" si="135"/>
        <v>38.5</v>
      </c>
      <c r="I60" s="217">
        <f t="shared" si="174"/>
        <v>4.125</v>
      </c>
      <c r="J60" s="541">
        <f t="shared" si="136"/>
        <v>27.881070551510739</v>
      </c>
      <c r="K60" s="443">
        <f t="shared" si="137"/>
        <v>28.748232592494322</v>
      </c>
      <c r="L60" s="172">
        <f t="shared" si="138"/>
        <v>56.629303144005064</v>
      </c>
      <c r="M60" s="443"/>
      <c r="N60" s="217">
        <f t="shared" si="139"/>
        <v>0.50765647812033321</v>
      </c>
      <c r="O60" s="172">
        <f t="shared" si="171"/>
        <v>106.53552965250684</v>
      </c>
      <c r="P60" s="172">
        <f t="shared" si="140"/>
        <v>12.637505430718285</v>
      </c>
      <c r="Q60" s="217">
        <f t="shared" si="6"/>
        <v>3.8048403447323871</v>
      </c>
      <c r="R60" s="217">
        <f t="shared" si="141"/>
        <v>3.5511843217502279</v>
      </c>
      <c r="S60" s="443">
        <f t="shared" si="142"/>
        <v>28</v>
      </c>
      <c r="T60" s="217">
        <f t="shared" si="143"/>
        <v>6.0230297700647695</v>
      </c>
      <c r="U60" s="217">
        <f t="shared" si="10"/>
        <v>1.0153211250265473</v>
      </c>
      <c r="V60" s="217">
        <f t="shared" si="11"/>
        <v>0.9846949661418567</v>
      </c>
      <c r="W60" s="197">
        <f t="shared" si="12"/>
        <v>350</v>
      </c>
      <c r="X60" s="443">
        <f t="shared" si="95"/>
        <v>350</v>
      </c>
      <c r="Z60" s="217">
        <f t="shared" si="13"/>
        <v>8.6042590166592561</v>
      </c>
      <c r="AA60" s="173">
        <f t="shared" si="14"/>
        <v>1.4066957767990476</v>
      </c>
      <c r="AB60" s="173">
        <f t="shared" si="144"/>
        <v>2.1181255937134478</v>
      </c>
      <c r="AC60" s="173"/>
      <c r="AD60" s="173">
        <f t="shared" si="16"/>
        <v>0.54496103773548044</v>
      </c>
      <c r="AE60" s="545">
        <f t="shared" si="145"/>
        <v>1513.869695030286</v>
      </c>
      <c r="AF60" s="528">
        <f t="shared" si="146"/>
        <v>0.31789393867903032</v>
      </c>
      <c r="AH60" s="173">
        <f t="shared" si="147"/>
        <v>7.1988685365609317</v>
      </c>
      <c r="AI60" s="173">
        <f t="shared" si="148"/>
        <v>7.1988685365609317</v>
      </c>
      <c r="AJ60" s="173">
        <f t="shared" si="149"/>
        <v>4.0633594097982213</v>
      </c>
      <c r="AL60" s="545">
        <f t="shared" si="150"/>
        <v>1375</v>
      </c>
      <c r="AM60" s="460">
        <f t="shared" si="151"/>
        <v>350</v>
      </c>
      <c r="AO60">
        <f t="shared" si="96"/>
        <v>1375</v>
      </c>
      <c r="AP60">
        <f t="shared" si="24"/>
        <v>350</v>
      </c>
      <c r="AR60" s="5">
        <f t="shared" si="97"/>
        <v>2.8571428571428572</v>
      </c>
      <c r="AS60" s="5">
        <f t="shared" si="25"/>
        <v>1.2135359745001988</v>
      </c>
      <c r="AT60" s="5">
        <f t="shared" si="98"/>
        <v>1.6436068826426584</v>
      </c>
      <c r="AU60" s="173">
        <f t="shared" si="99"/>
        <v>0.42473759107506959</v>
      </c>
      <c r="AW60" s="5">
        <f t="shared" si="152"/>
        <v>5.9593284462063334</v>
      </c>
      <c r="AX60" s="5">
        <f t="shared" si="153"/>
        <v>0.55620398831259121</v>
      </c>
      <c r="AY60" s="5">
        <f t="shared" si="28"/>
        <v>1.6211425307061598</v>
      </c>
      <c r="AZ60" s="5"/>
      <c r="BA60" s="173">
        <f t="shared" si="100"/>
        <v>2.7087190689995597</v>
      </c>
      <c r="BB60" s="173">
        <f t="shared" si="154"/>
        <v>3.1523658428975434</v>
      </c>
      <c r="BC60" s="173">
        <f t="shared" si="155"/>
        <v>0.31782049071835888</v>
      </c>
      <c r="BD60" s="173"/>
      <c r="BE60" s="528">
        <f t="shared" si="31"/>
        <v>8.8045907937142093E-2</v>
      </c>
      <c r="BF60" s="528">
        <f t="shared" si="156"/>
        <v>2.60397237900666</v>
      </c>
      <c r="BG60" s="528">
        <f t="shared" si="33"/>
        <v>4.0250000000000001E-2</v>
      </c>
      <c r="BH60" s="528">
        <f t="shared" si="34"/>
        <v>0.55278559086747292</v>
      </c>
      <c r="BI60">
        <f t="shared" si="35"/>
        <v>1.2546481748179832E-2</v>
      </c>
      <c r="BJ60" s="460">
        <f t="shared" si="101"/>
        <v>52.796481748179829</v>
      </c>
      <c r="BK60">
        <f t="shared" si="157"/>
        <v>3.3384149377190471</v>
      </c>
      <c r="BL60" s="460">
        <f t="shared" si="102"/>
        <v>3338.414937719047</v>
      </c>
      <c r="BM60" s="173">
        <f t="shared" si="158"/>
        <v>0.92207499999999987</v>
      </c>
      <c r="BN60" s="173">
        <f t="shared" si="159"/>
        <v>6.5862500000000004E-2</v>
      </c>
      <c r="BO60" s="528"/>
      <c r="BQ60" s="460">
        <f t="shared" si="103"/>
        <v>987.93749999999989</v>
      </c>
      <c r="BR60" s="528">
        <f t="shared" si="39"/>
        <v>0.10272022592666578</v>
      </c>
      <c r="BS60" s="528">
        <f t="shared" si="104"/>
        <v>0.13912374570453995</v>
      </c>
      <c r="BT60" s="528">
        <f t="shared" si="160"/>
        <v>5.0504932160229225E-4</v>
      </c>
      <c r="BU60" s="528">
        <f t="shared" si="41"/>
        <v>15.933116144263801</v>
      </c>
      <c r="BV60" s="528">
        <f t="shared" si="161"/>
        <v>16.554587985490134</v>
      </c>
      <c r="BW60" s="625">
        <f t="shared" si="162"/>
        <v>1.8138297872340428</v>
      </c>
      <c r="BX60" s="460">
        <f t="shared" si="105"/>
        <v>18368.417772724177</v>
      </c>
      <c r="BY60" s="173">
        <f t="shared" si="106"/>
        <v>22.694770210443224</v>
      </c>
      <c r="BZ60" s="5">
        <f t="shared" si="107"/>
        <v>42.625</v>
      </c>
      <c r="CA60" s="173">
        <f t="shared" si="108"/>
        <v>0.65255893985348379</v>
      </c>
      <c r="CB60" s="5">
        <f t="shared" si="109"/>
        <v>65.255893985348379</v>
      </c>
      <c r="CC60">
        <f t="shared" si="172"/>
        <v>55.000000000000007</v>
      </c>
      <c r="CE60" s="562">
        <f t="shared" si="163"/>
        <v>-50</v>
      </c>
      <c r="CF60">
        <f t="shared" si="164"/>
        <v>-50</v>
      </c>
      <c r="CG60" s="173">
        <f t="shared" si="165"/>
        <v>0.39910771958330488</v>
      </c>
      <c r="CH60" s="173">
        <f t="shared" si="166"/>
        <v>0.12942474589835623</v>
      </c>
      <c r="CI60" s="170">
        <v>55</v>
      </c>
      <c r="CJ60" s="217">
        <f t="shared" si="133"/>
        <v>1.375</v>
      </c>
      <c r="CK60" s="217">
        <f t="shared" si="111"/>
        <v>0.13750000000000001</v>
      </c>
      <c r="CL60" s="217">
        <f t="shared" si="48"/>
        <v>38.5</v>
      </c>
      <c r="CM60" s="217">
        <f t="shared" si="134"/>
        <v>4.125</v>
      </c>
      <c r="CN60" s="541">
        <f t="shared" si="112"/>
        <v>28</v>
      </c>
      <c r="CO60" s="443">
        <f t="shared" si="167"/>
        <v>28.7</v>
      </c>
      <c r="CP60" s="443">
        <f t="shared" si="168"/>
        <v>56.7</v>
      </c>
      <c r="CQ60" s="443"/>
      <c r="CR60" s="217">
        <f t="shared" si="113"/>
        <v>0.50354609929078009</v>
      </c>
      <c r="CS60" s="172">
        <f t="shared" si="114"/>
        <v>106.12369404407841</v>
      </c>
      <c r="CT60" s="172">
        <f t="shared" si="51"/>
        <v>12.588652482269502</v>
      </c>
      <c r="CU60" s="217">
        <f t="shared" si="52"/>
        <v>3.7901319301456575</v>
      </c>
      <c r="CV60" s="217">
        <f t="shared" si="53"/>
        <v>3.5374564681359471</v>
      </c>
      <c r="CW60" s="443">
        <f t="shared" si="54"/>
        <v>28</v>
      </c>
      <c r="CX60" s="217">
        <f t="shared" si="55"/>
        <v>6.0464034205231396</v>
      </c>
      <c r="CY60" s="217">
        <f t="shared" si="56"/>
        <v>1.0149320027306696</v>
      </c>
      <c r="CZ60" s="217">
        <f t="shared" si="57"/>
        <v>0.9901775636396779</v>
      </c>
      <c r="DA60" s="197">
        <f t="shared" si="58"/>
        <v>350</v>
      </c>
      <c r="DB60" s="443">
        <f t="shared" si="115"/>
        <v>350</v>
      </c>
      <c r="DD60" s="217">
        <f t="shared" si="59"/>
        <v>8.6157079064880477</v>
      </c>
      <c r="DE60" s="173">
        <f t="shared" si="60"/>
        <v>1.4109347442680775</v>
      </c>
      <c r="DF60" s="173">
        <f t="shared" si="61"/>
        <v>2.1273352855526046</v>
      </c>
      <c r="DG60" s="173"/>
      <c r="DH60" s="173">
        <f t="shared" si="62"/>
        <v>0.54587688734030204</v>
      </c>
      <c r="DI60" s="545">
        <f t="shared" si="63"/>
        <v>1511.3297872340424</v>
      </c>
      <c r="DJ60" s="528">
        <f t="shared" si="64"/>
        <v>0.31842818428184283</v>
      </c>
      <c r="DL60" s="173">
        <f t="shared" si="65"/>
        <v>7.1988685365609317</v>
      </c>
      <c r="DM60" s="173">
        <f t="shared" si="66"/>
        <v>7.1988685365609317</v>
      </c>
      <c r="DN60" s="173">
        <f t="shared" si="67"/>
        <v>4.0633594097982213</v>
      </c>
      <c r="DP60" s="545">
        <f t="shared" si="68"/>
        <v>1375</v>
      </c>
      <c r="DQ60" s="460">
        <f t="shared" si="69"/>
        <v>350</v>
      </c>
      <c r="DS60">
        <f t="shared" si="116"/>
        <v>1375</v>
      </c>
      <c r="DT60">
        <f t="shared" si="70"/>
        <v>350</v>
      </c>
      <c r="DV60" s="5">
        <f t="shared" si="117"/>
        <v>2.8571428571428572</v>
      </c>
      <c r="DW60" s="5">
        <f t="shared" si="71"/>
        <v>1.2083815043512993</v>
      </c>
      <c r="DX60" s="5">
        <f t="shared" si="118"/>
        <v>1.6487613527915579</v>
      </c>
      <c r="DY60" s="173">
        <f t="shared" si="119"/>
        <v>0.42293352652295474</v>
      </c>
      <c r="EA60" s="5">
        <f t="shared" si="72"/>
        <v>5.9340163160108457</v>
      </c>
      <c r="EB60" s="5">
        <f t="shared" si="73"/>
        <v>0.55384152282767896</v>
      </c>
      <c r="EC60" s="5">
        <f t="shared" si="74"/>
        <v>1.6193191857774227</v>
      </c>
      <c r="ED60" s="5"/>
      <c r="EE60" s="173">
        <f t="shared" si="120"/>
        <v>2.7029603320156643</v>
      </c>
      <c r="EF60" s="173">
        <f t="shared" si="75"/>
        <v>3.1573049972688327</v>
      </c>
      <c r="EG60" s="173">
        <f t="shared" si="76"/>
        <v>0.31831845464267738</v>
      </c>
      <c r="EH60" s="173"/>
      <c r="EI60" s="528">
        <f t="shared" si="77"/>
        <v>8.7671934677402766E-2</v>
      </c>
      <c r="EJ60" s="528">
        <f t="shared" si="78"/>
        <v>2.7143693760529821</v>
      </c>
      <c r="EK60" s="528">
        <f t="shared" si="79"/>
        <v>4.0250000000000001E-2</v>
      </c>
      <c r="EL60" s="528">
        <f t="shared" si="80"/>
        <v>0.55416666375000012</v>
      </c>
      <c r="EM60">
        <f t="shared" si="81"/>
        <v>1.26E-2</v>
      </c>
      <c r="EN60" s="460">
        <f t="shared" si="121"/>
        <v>52.85</v>
      </c>
      <c r="EO60">
        <f t="shared" si="82"/>
        <v>3.5057573073362049</v>
      </c>
      <c r="EP60" s="460">
        <f t="shared" si="122"/>
        <v>3505.757307336205</v>
      </c>
      <c r="EQ60" s="173">
        <f t="shared" si="83"/>
        <v>0.92207499999999987</v>
      </c>
      <c r="ER60" s="173">
        <f t="shared" si="169"/>
        <v>6.5862500000000004E-2</v>
      </c>
      <c r="ES60" s="528"/>
      <c r="EU60" s="460">
        <f t="shared" si="123"/>
        <v>987.93749999999989</v>
      </c>
      <c r="EV60" s="528">
        <f t="shared" si="85"/>
        <v>0.10228392379030322</v>
      </c>
      <c r="EW60" s="528">
        <f t="shared" si="124"/>
        <v>0.1395600478409024</v>
      </c>
      <c r="EX60" s="528">
        <f t="shared" si="86"/>
        <v>5.0663319283051126E-4</v>
      </c>
      <c r="EY60" s="528">
        <f t="shared" si="87"/>
        <v>15.933116144263801</v>
      </c>
      <c r="EZ60" s="528">
        <f t="shared" si="88"/>
        <v>16.55459212742127</v>
      </c>
      <c r="FA60" s="625">
        <f t="shared" si="89"/>
        <v>1.8138297872340428</v>
      </c>
      <c r="FB60" s="460">
        <f t="shared" si="125"/>
        <v>18368.421914655311</v>
      </c>
      <c r="FC60" s="173">
        <f t="shared" si="126"/>
        <v>22.862116721991516</v>
      </c>
      <c r="FD60" s="5">
        <f t="shared" si="127"/>
        <v>42.625</v>
      </c>
      <c r="FE60" s="173">
        <f t="shared" si="128"/>
        <v>0.65089138342971076</v>
      </c>
      <c r="FF60" s="5">
        <f t="shared" si="129"/>
        <v>65.089138342971069</v>
      </c>
      <c r="FG60">
        <f t="shared" si="130"/>
        <v>55.000000000000007</v>
      </c>
      <c r="FI60" s="562">
        <f t="shared" si="90"/>
        <v>-50</v>
      </c>
      <c r="FJ60">
        <f t="shared" si="91"/>
        <v>-50</v>
      </c>
      <c r="FL60">
        <f t="shared" si="92"/>
        <v>0.39910771958330482</v>
      </c>
    </row>
    <row r="61" spans="5:168">
      <c r="E61" s="170">
        <v>56</v>
      </c>
      <c r="F61" s="217">
        <f t="shared" si="173"/>
        <v>1.4000000000000001</v>
      </c>
      <c r="G61" s="217">
        <f t="shared" si="170"/>
        <v>0.14000000000000001</v>
      </c>
      <c r="H61" s="217">
        <f t="shared" si="135"/>
        <v>39.200000000000003</v>
      </c>
      <c r="I61" s="217">
        <f t="shared" si="174"/>
        <v>4.2</v>
      </c>
      <c r="J61" s="541">
        <f t="shared" si="136"/>
        <v>27.879994244970899</v>
      </c>
      <c r="K61" s="443">
        <f t="shared" si="137"/>
        <v>28.748669095441191</v>
      </c>
      <c r="L61" s="172">
        <f t="shared" si="138"/>
        <v>56.628663340412089</v>
      </c>
      <c r="M61" s="443"/>
      <c r="N61" s="217">
        <f t="shared" si="139"/>
        <v>0.50766992190199178</v>
      </c>
      <c r="O61" s="172">
        <f t="shared" si="171"/>
        <v>106.53423817936184</v>
      </c>
      <c r="P61" s="172">
        <f t="shared" si="140"/>
        <v>12.637352233011033</v>
      </c>
      <c r="Q61" s="217">
        <f t="shared" si="6"/>
        <v>3.8047942206914942</v>
      </c>
      <c r="R61" s="217">
        <f t="shared" si="141"/>
        <v>3.5511412726453946</v>
      </c>
      <c r="S61" s="443">
        <f t="shared" si="142"/>
        <v>28</v>
      </c>
      <c r="T61" s="217">
        <f t="shared" si="143"/>
        <v>6.1326137446383822</v>
      </c>
      <c r="U61" s="217">
        <f t="shared" si="10"/>
        <v>1.0338339508445076</v>
      </c>
      <c r="V61" s="217">
        <f t="shared" si="11"/>
        <v>1.0025954420398209</v>
      </c>
      <c r="W61" s="197">
        <f t="shared" si="12"/>
        <v>350</v>
      </c>
      <c r="X61" s="443">
        <f t="shared" si="95"/>
        <v>350</v>
      </c>
      <c r="Z61" s="217">
        <f t="shared" si="13"/>
        <v>8.6041547118372996</v>
      </c>
      <c r="AA61" s="173">
        <f t="shared" si="14"/>
        <v>1.4066573659943091</v>
      </c>
      <c r="AB61" s="173">
        <f t="shared" si="144"/>
        <v>2.1180420806231015</v>
      </c>
      <c r="AC61" s="173"/>
      <c r="AD61" s="173">
        <f t="shared" si="16"/>
        <v>0.54495276336639187</v>
      </c>
      <c r="AE61" s="545">
        <f t="shared" si="145"/>
        <v>1541.418002564081</v>
      </c>
      <c r="AF61" s="528">
        <f t="shared" si="146"/>
        <v>0.3178891119637286</v>
      </c>
      <c r="AH61" s="173">
        <f t="shared" si="147"/>
        <v>7.2640179960410691</v>
      </c>
      <c r="AI61" s="173">
        <f t="shared" si="148"/>
        <v>7.2640179960410691</v>
      </c>
      <c r="AJ61" s="173">
        <f t="shared" si="149"/>
        <v>4.1116182686723972</v>
      </c>
      <c r="AL61" s="545">
        <f t="shared" si="150"/>
        <v>1400.0000000000002</v>
      </c>
      <c r="AM61" s="460">
        <f t="shared" si="151"/>
        <v>350</v>
      </c>
      <c r="AO61">
        <f t="shared" si="96"/>
        <v>1400.0000000000002</v>
      </c>
      <c r="AP61">
        <f t="shared" si="24"/>
        <v>350</v>
      </c>
      <c r="AR61" s="5">
        <f t="shared" si="97"/>
        <v>2.8571428571428572</v>
      </c>
      <c r="AS61" s="5">
        <f t="shared" si="25"/>
        <v>1.2245656968724623</v>
      </c>
      <c r="AT61" s="5">
        <f t="shared" si="98"/>
        <v>1.6325771602703949</v>
      </c>
      <c r="AU61" s="173">
        <f t="shared" si="99"/>
        <v>0.4285979939053618</v>
      </c>
      <c r="AW61" s="5">
        <f t="shared" si="152"/>
        <v>6.1228284843623122</v>
      </c>
      <c r="AX61" s="5">
        <f t="shared" si="153"/>
        <v>0.5714639918738158</v>
      </c>
      <c r="AY61" s="5">
        <f t="shared" si="28"/>
        <v>1.6396043731543017</v>
      </c>
      <c r="AZ61" s="5"/>
      <c r="BA61" s="173">
        <f t="shared" si="100"/>
        <v>2.745625824725443</v>
      </c>
      <c r="BB61" s="173">
        <f t="shared" si="154"/>
        <v>3.1702036705660146</v>
      </c>
      <c r="BC61" s="173">
        <f t="shared" si="155"/>
        <v>0.31961889465542609</v>
      </c>
      <c r="BD61" s="173"/>
      <c r="BE61" s="528">
        <f t="shared" si="31"/>
        <v>9.0461534032791238E-2</v>
      </c>
      <c r="BF61" s="528">
        <f t="shared" si="156"/>
        <v>2.6275085340476729</v>
      </c>
      <c r="BG61" s="528">
        <f t="shared" si="33"/>
        <v>4.0250000000000001E-2</v>
      </c>
      <c r="BH61" s="528">
        <f t="shared" si="34"/>
        <v>0.5527731000830336</v>
      </c>
      <c r="BI61">
        <f t="shared" si="35"/>
        <v>1.2545997410236903E-2</v>
      </c>
      <c r="BJ61" s="460">
        <f t="shared" si="101"/>
        <v>52.795997410236907</v>
      </c>
      <c r="BK61">
        <f t="shared" si="157"/>
        <v>3.3675487314569921</v>
      </c>
      <c r="BL61" s="460">
        <f t="shared" si="102"/>
        <v>3367.5487314569918</v>
      </c>
      <c r="BM61" s="173">
        <f t="shared" si="158"/>
        <v>0.9388399999999999</v>
      </c>
      <c r="BN61" s="173">
        <f t="shared" si="159"/>
        <v>6.7060000000000008E-2</v>
      </c>
      <c r="BO61" s="528"/>
      <c r="BQ61" s="460">
        <f t="shared" si="103"/>
        <v>1005.9</v>
      </c>
      <c r="BR61" s="528">
        <f t="shared" si="39"/>
        <v>0.10553845637158978</v>
      </c>
      <c r="BS61" s="528">
        <f t="shared" si="104"/>
        <v>0.14070267838018327</v>
      </c>
      <c r="BT61" s="528">
        <f t="shared" si="160"/>
        <v>5.1078118910378187E-4</v>
      </c>
      <c r="BU61" s="528">
        <f t="shared" si="41"/>
        <v>16.296051700398252</v>
      </c>
      <c r="BV61" s="528">
        <f t="shared" si="161"/>
        <v>16.936350225540767</v>
      </c>
      <c r="BW61" s="625">
        <f t="shared" si="162"/>
        <v>1.8468085106382979</v>
      </c>
      <c r="BX61" s="460">
        <f t="shared" si="105"/>
        <v>18783.158736179066</v>
      </c>
      <c r="BY61" s="173">
        <f t="shared" si="106"/>
        <v>23.156607467636057</v>
      </c>
      <c r="BZ61" s="5">
        <f t="shared" si="107"/>
        <v>43.400000000000006</v>
      </c>
      <c r="CA61" s="173">
        <f t="shared" si="108"/>
        <v>0.65207650526814731</v>
      </c>
      <c r="CB61" s="5">
        <f t="shared" si="109"/>
        <v>65.207650526814732</v>
      </c>
      <c r="CC61">
        <f t="shared" si="172"/>
        <v>56.000000000000007</v>
      </c>
      <c r="CE61" s="562">
        <f t="shared" si="163"/>
        <v>-50</v>
      </c>
      <c r="CF61">
        <f t="shared" si="164"/>
        <v>-50</v>
      </c>
      <c r="CG61" s="173">
        <f t="shared" si="165"/>
        <v>0.40271962777042458</v>
      </c>
      <c r="CH61" s="173">
        <f t="shared" si="166"/>
        <v>0.13059603444124443</v>
      </c>
      <c r="CI61" s="170">
        <v>56</v>
      </c>
      <c r="CJ61" s="217">
        <f t="shared" si="133"/>
        <v>1.4000000000000001</v>
      </c>
      <c r="CK61" s="217">
        <f t="shared" si="111"/>
        <v>0.14000000000000001</v>
      </c>
      <c r="CL61" s="217">
        <f t="shared" si="48"/>
        <v>39.200000000000003</v>
      </c>
      <c r="CM61" s="217">
        <f t="shared" si="134"/>
        <v>4.2</v>
      </c>
      <c r="CN61" s="541">
        <f t="shared" si="112"/>
        <v>28</v>
      </c>
      <c r="CO61" s="443">
        <f t="shared" si="167"/>
        <v>28.7</v>
      </c>
      <c r="CP61" s="443">
        <f t="shared" si="168"/>
        <v>56.7</v>
      </c>
      <c r="CQ61" s="443"/>
      <c r="CR61" s="217">
        <f t="shared" si="113"/>
        <v>0.50354609929078009</v>
      </c>
      <c r="CS61" s="172">
        <f t="shared" si="114"/>
        <v>106.12369404407841</v>
      </c>
      <c r="CT61" s="172">
        <f t="shared" si="51"/>
        <v>12.588652482269502</v>
      </c>
      <c r="CU61" s="217">
        <f t="shared" si="52"/>
        <v>3.7901319301456575</v>
      </c>
      <c r="CV61" s="217">
        <f t="shared" si="53"/>
        <v>3.5374564681359471</v>
      </c>
      <c r="CW61" s="443">
        <f t="shared" si="54"/>
        <v>28</v>
      </c>
      <c r="CX61" s="217">
        <f t="shared" si="55"/>
        <v>6.1563380281690154</v>
      </c>
      <c r="CY61" s="217">
        <f t="shared" si="56"/>
        <v>1.0333853118712277</v>
      </c>
      <c r="CZ61" s="217">
        <f t="shared" si="57"/>
        <v>1.0081807920694903</v>
      </c>
      <c r="DA61" s="197">
        <f t="shared" si="58"/>
        <v>350</v>
      </c>
      <c r="DB61" s="443">
        <f t="shared" si="115"/>
        <v>350</v>
      </c>
      <c r="DD61" s="217">
        <f t="shared" si="59"/>
        <v>8.6157079064880477</v>
      </c>
      <c r="DE61" s="173">
        <f t="shared" si="60"/>
        <v>1.4109347442680775</v>
      </c>
      <c r="DF61" s="173">
        <f t="shared" si="61"/>
        <v>2.1273352855526046</v>
      </c>
      <c r="DG61" s="173"/>
      <c r="DH61" s="173">
        <f t="shared" si="62"/>
        <v>0.54587688734030204</v>
      </c>
      <c r="DI61" s="545">
        <f t="shared" si="63"/>
        <v>1538.808510638298</v>
      </c>
      <c r="DJ61" s="528">
        <f t="shared" si="64"/>
        <v>0.31842818428184283</v>
      </c>
      <c r="DL61" s="173">
        <f t="shared" si="65"/>
        <v>7.2640179960410691</v>
      </c>
      <c r="DM61" s="173">
        <f t="shared" si="66"/>
        <v>7.2640179960410691</v>
      </c>
      <c r="DN61" s="173">
        <f t="shared" si="67"/>
        <v>4.1116182686723972</v>
      </c>
      <c r="DP61" s="545">
        <f t="shared" si="68"/>
        <v>1400.0000000000002</v>
      </c>
      <c r="DQ61" s="460">
        <f t="shared" si="69"/>
        <v>350</v>
      </c>
      <c r="DS61">
        <f t="shared" si="116"/>
        <v>1400.0000000000002</v>
      </c>
      <c r="DT61">
        <f t="shared" si="70"/>
        <v>350</v>
      </c>
      <c r="DV61" s="5">
        <f t="shared" si="117"/>
        <v>2.8571428571428572</v>
      </c>
      <c r="DW61" s="5">
        <f t="shared" si="71"/>
        <v>1.2193173064783225</v>
      </c>
      <c r="DX61" s="5">
        <f t="shared" si="118"/>
        <v>1.6378255506645347</v>
      </c>
      <c r="DY61" s="173">
        <f t="shared" si="119"/>
        <v>0.42676105726741287</v>
      </c>
      <c r="EA61" s="5">
        <f t="shared" si="72"/>
        <v>6.0965865323916137</v>
      </c>
      <c r="EB61" s="5">
        <f t="shared" si="73"/>
        <v>0.5690147430232172</v>
      </c>
      <c r="EC61" s="5">
        <f t="shared" si="74"/>
        <v>1.6378255506645347</v>
      </c>
      <c r="ED61" s="5"/>
      <c r="EE61" s="173">
        <f t="shared" si="120"/>
        <v>2.7397357407681566</v>
      </c>
      <c r="EF61" s="173">
        <f t="shared" si="75"/>
        <v>3.1752953489442621</v>
      </c>
      <c r="EG61" s="173">
        <f t="shared" si="76"/>
        <v>0.32013223600011825</v>
      </c>
      <c r="EH61" s="173"/>
      <c r="EI61" s="528">
        <f t="shared" si="77"/>
        <v>9.0073823150909282E-2</v>
      </c>
      <c r="EJ61" s="528">
        <f t="shared" si="78"/>
        <v>2.7389343054972657</v>
      </c>
      <c r="EK61" s="528">
        <f t="shared" si="79"/>
        <v>4.0250000000000001E-2</v>
      </c>
      <c r="EL61" s="528">
        <f t="shared" si="80"/>
        <v>0.55416666375000012</v>
      </c>
      <c r="EM61">
        <f t="shared" si="81"/>
        <v>1.26E-2</v>
      </c>
      <c r="EN61" s="460">
        <f t="shared" si="121"/>
        <v>52.85</v>
      </c>
      <c r="EO61">
        <f t="shared" si="82"/>
        <v>3.5360210213236267</v>
      </c>
      <c r="EP61" s="460">
        <f t="shared" si="122"/>
        <v>3536.0210213236269</v>
      </c>
      <c r="EQ61" s="173">
        <f t="shared" si="83"/>
        <v>0.9388399999999999</v>
      </c>
      <c r="ER61" s="173">
        <f t="shared" si="169"/>
        <v>6.7060000000000008E-2</v>
      </c>
      <c r="ES61" s="528"/>
      <c r="EU61" s="460">
        <f t="shared" si="123"/>
        <v>1005.9</v>
      </c>
      <c r="EV61" s="528">
        <f t="shared" si="85"/>
        <v>0.10508612700939417</v>
      </c>
      <c r="EW61" s="528">
        <f t="shared" si="124"/>
        <v>0.14115500774237891</v>
      </c>
      <c r="EX61" s="528">
        <f t="shared" si="86"/>
        <v>5.1242324263217707E-4</v>
      </c>
      <c r="EY61" s="528">
        <f t="shared" si="87"/>
        <v>16.296051700398252</v>
      </c>
      <c r="EZ61" s="528">
        <f t="shared" si="88"/>
        <v>16.936354572325403</v>
      </c>
      <c r="FA61" s="625">
        <f t="shared" si="89"/>
        <v>1.8468085106382979</v>
      </c>
      <c r="FB61" s="460">
        <f t="shared" si="125"/>
        <v>18783.1630829637</v>
      </c>
      <c r="FC61" s="173">
        <f t="shared" si="126"/>
        <v>23.325084104287328</v>
      </c>
      <c r="FD61" s="5">
        <f t="shared" si="127"/>
        <v>43.400000000000006</v>
      </c>
      <c r="FE61" s="173">
        <f t="shared" si="128"/>
        <v>0.6504300531441578</v>
      </c>
      <c r="FF61" s="5">
        <f t="shared" si="129"/>
        <v>65.04300531441578</v>
      </c>
      <c r="FG61">
        <f t="shared" si="130"/>
        <v>56.000000000000007</v>
      </c>
      <c r="FI61" s="562">
        <f t="shared" si="90"/>
        <v>-50</v>
      </c>
      <c r="FJ61">
        <f t="shared" si="91"/>
        <v>-50</v>
      </c>
      <c r="FL61">
        <f t="shared" si="92"/>
        <v>0.40271962777042458</v>
      </c>
    </row>
    <row r="62" spans="5:168">
      <c r="E62" s="170">
        <v>57</v>
      </c>
      <c r="F62" s="217">
        <f t="shared" si="173"/>
        <v>1.4249999999999998</v>
      </c>
      <c r="G62" s="217">
        <f t="shared" si="170"/>
        <v>0.14249999999999999</v>
      </c>
      <c r="H62" s="217">
        <f t="shared" si="135"/>
        <v>39.899999999999991</v>
      </c>
      <c r="I62" s="217">
        <f t="shared" si="174"/>
        <v>4.2749999999999995</v>
      </c>
      <c r="J62" s="541">
        <f t="shared" si="136"/>
        <v>27.878927506169862</v>
      </c>
      <c r="K62" s="443">
        <f t="shared" si="137"/>
        <v>28.749101718130877</v>
      </c>
      <c r="L62" s="172">
        <f t="shared" si="138"/>
        <v>56.628029224300739</v>
      </c>
      <c r="M62" s="443"/>
      <c r="N62" s="217">
        <f t="shared" si="139"/>
        <v>0.50768324647600127</v>
      </c>
      <c r="O62" s="172">
        <f t="shared" si="171"/>
        <v>106.53295803463423</v>
      </c>
      <c r="P62" s="172">
        <f t="shared" si="140"/>
        <v>12.637200379108398</v>
      </c>
      <c r="Q62" s="217">
        <f t="shared" si="6"/>
        <v>3.8047485012369369</v>
      </c>
      <c r="R62" s="217">
        <f t="shared" si="141"/>
        <v>3.5510986011544743</v>
      </c>
      <c r="S62" s="443">
        <f t="shared" si="142"/>
        <v>28</v>
      </c>
      <c r="T62" s="217">
        <f t="shared" si="143"/>
        <v>6.2421997123538615</v>
      </c>
      <c r="U62" s="217">
        <f t="shared" si="10"/>
        <v>1.0523481809538873</v>
      </c>
      <c r="V62" s="217">
        <f t="shared" si="11"/>
        <v>1.0204958379468485</v>
      </c>
      <c r="W62" s="197">
        <f t="shared" si="12"/>
        <v>350</v>
      </c>
      <c r="X62" s="443">
        <f t="shared" si="95"/>
        <v>350</v>
      </c>
      <c r="Z62" s="217">
        <f t="shared" si="13"/>
        <v>8.6040513219461445</v>
      </c>
      <c r="AA62" s="173">
        <f t="shared" si="14"/>
        <v>1.4066192957828534</v>
      </c>
      <c r="AB62" s="173">
        <f t="shared" si="144"/>
        <v>2.1179593069871974</v>
      </c>
      <c r="AC62" s="173"/>
      <c r="AD62" s="173">
        <f t="shared" si="16"/>
        <v>0.5449445627995515</v>
      </c>
      <c r="AE62" s="545">
        <f t="shared" si="145"/>
        <v>1568.9669341916106</v>
      </c>
      <c r="AF62" s="528">
        <f t="shared" si="146"/>
        <v>0.31788432829973834</v>
      </c>
      <c r="AH62" s="173">
        <f t="shared" si="147"/>
        <v>7.328588314739072</v>
      </c>
      <c r="AI62" s="173">
        <f t="shared" si="148"/>
        <v>7.328588314739072</v>
      </c>
      <c r="AJ62" s="173">
        <f t="shared" si="149"/>
        <v>4.159448134374621</v>
      </c>
      <c r="AL62" s="545">
        <f t="shared" si="150"/>
        <v>1424.9999999999998</v>
      </c>
      <c r="AM62" s="460">
        <f t="shared" si="151"/>
        <v>350</v>
      </c>
      <c r="AO62">
        <f t="shared" si="96"/>
        <v>1424.9999999999998</v>
      </c>
      <c r="AP62">
        <f t="shared" si="24"/>
        <v>350</v>
      </c>
      <c r="AR62" s="5">
        <f t="shared" si="97"/>
        <v>2.8571428571428572</v>
      </c>
      <c r="AS62" s="5">
        <f t="shared" si="25"/>
        <v>1.2354982117461579</v>
      </c>
      <c r="AT62" s="5">
        <f t="shared" si="98"/>
        <v>1.6216446453966993</v>
      </c>
      <c r="AU62" s="173">
        <f t="shared" si="99"/>
        <v>0.43242437411115525</v>
      </c>
      <c r="AW62" s="5">
        <f t="shared" si="152"/>
        <v>6.2878033990652664</v>
      </c>
      <c r="AX62" s="5">
        <f t="shared" si="153"/>
        <v>0.58686165057942496</v>
      </c>
      <c r="AY62" s="5">
        <f t="shared" si="28"/>
        <v>1.6577708157380766</v>
      </c>
      <c r="AZ62" s="5"/>
      <c r="BA62" s="173">
        <f t="shared" si="100"/>
        <v>2.7823693537000858</v>
      </c>
      <c r="BB62" s="173">
        <f t="shared" si="154"/>
        <v>3.1876568733006052</v>
      </c>
      <c r="BC62" s="173">
        <f t="shared" si="155"/>
        <v>0.32137852083276591</v>
      </c>
      <c r="BD62" s="173"/>
      <c r="BE62" s="528">
        <f t="shared" si="31"/>
        <v>9.28989506449132E-2</v>
      </c>
      <c r="BF62" s="528">
        <f t="shared" si="156"/>
        <v>2.650834940947695</v>
      </c>
      <c r="BG62" s="528">
        <f t="shared" si="33"/>
        <v>4.0250000000000001E-2</v>
      </c>
      <c r="BH62" s="528">
        <f t="shared" si="34"/>
        <v>0.55276072047364611</v>
      </c>
      <c r="BI62">
        <f t="shared" si="35"/>
        <v>1.2545517377776438E-2</v>
      </c>
      <c r="BJ62" s="460">
        <f t="shared" si="101"/>
        <v>52.795517377776434</v>
      </c>
      <c r="BK62">
        <f t="shared" si="157"/>
        <v>3.3965486357896149</v>
      </c>
      <c r="BL62" s="460">
        <f t="shared" si="102"/>
        <v>3396.5486357896148</v>
      </c>
      <c r="BM62" s="173">
        <f t="shared" si="158"/>
        <v>0.95560499999999982</v>
      </c>
      <c r="BN62" s="173">
        <f t="shared" si="159"/>
        <v>6.8257499999999985E-2</v>
      </c>
      <c r="BO62" s="528"/>
      <c r="BQ62" s="460">
        <f t="shared" si="103"/>
        <v>1023.8625</v>
      </c>
      <c r="BR62" s="528">
        <f t="shared" si="39"/>
        <v>0.10838210908573206</v>
      </c>
      <c r="BS62" s="528">
        <f t="shared" si="104"/>
        <v>0.14225618878660828</v>
      </c>
      <c r="BT62" s="528">
        <f t="shared" si="160"/>
        <v>5.1642076826328282E-4</v>
      </c>
      <c r="BU62" s="528">
        <f t="shared" si="41"/>
        <v>16.660611202256135</v>
      </c>
      <c r="BV62" s="528">
        <f t="shared" si="161"/>
        <v>17.320043913852608</v>
      </c>
      <c r="BW62" s="625">
        <f t="shared" si="162"/>
        <v>1.8797872340425523</v>
      </c>
      <c r="BX62" s="460">
        <f t="shared" si="105"/>
        <v>19199.831147895162</v>
      </c>
      <c r="BY62" s="173">
        <f t="shared" si="106"/>
        <v>23.620242283684775</v>
      </c>
      <c r="BZ62" s="5">
        <f t="shared" si="107"/>
        <v>44.17499999999999</v>
      </c>
      <c r="CA62" s="173">
        <f t="shared" si="108"/>
        <v>0.65159439677422482</v>
      </c>
      <c r="CB62" s="5">
        <f t="shared" si="109"/>
        <v>65.159439677422483</v>
      </c>
      <c r="CC62">
        <f t="shared" si="172"/>
        <v>56.999999999999993</v>
      </c>
      <c r="CE62" s="562">
        <f t="shared" si="163"/>
        <v>-50</v>
      </c>
      <c r="CF62">
        <f t="shared" si="164"/>
        <v>-50</v>
      </c>
      <c r="CG62" s="173">
        <f t="shared" si="165"/>
        <v>0.40629942819565062</v>
      </c>
      <c r="CH62" s="173">
        <f t="shared" si="166"/>
        <v>0.13175691091059824</v>
      </c>
      <c r="CI62" s="170">
        <v>57</v>
      </c>
      <c r="CJ62" s="217">
        <f t="shared" si="133"/>
        <v>1.4249999999999998</v>
      </c>
      <c r="CK62" s="217">
        <f t="shared" si="111"/>
        <v>0.14249999999999999</v>
      </c>
      <c r="CL62" s="217">
        <f t="shared" si="48"/>
        <v>39.899999999999991</v>
      </c>
      <c r="CM62" s="217">
        <f t="shared" si="134"/>
        <v>4.2749999999999995</v>
      </c>
      <c r="CN62" s="541">
        <f t="shared" si="112"/>
        <v>28</v>
      </c>
      <c r="CO62" s="443">
        <f t="shared" si="167"/>
        <v>28.7</v>
      </c>
      <c r="CP62" s="443">
        <f t="shared" si="168"/>
        <v>56.7</v>
      </c>
      <c r="CQ62" s="443"/>
      <c r="CR62" s="217">
        <f t="shared" si="113"/>
        <v>0.50354609929078009</v>
      </c>
      <c r="CS62" s="172">
        <f t="shared" si="114"/>
        <v>106.12369404407841</v>
      </c>
      <c r="CT62" s="172">
        <f t="shared" si="51"/>
        <v>12.588652482269502</v>
      </c>
      <c r="CU62" s="217">
        <f t="shared" si="52"/>
        <v>3.7901319301456575</v>
      </c>
      <c r="CV62" s="217">
        <f t="shared" si="53"/>
        <v>3.5374564681359471</v>
      </c>
      <c r="CW62" s="443">
        <f t="shared" si="54"/>
        <v>28</v>
      </c>
      <c r="CX62" s="217">
        <f t="shared" si="55"/>
        <v>6.2662726358148886</v>
      </c>
      <c r="CY62" s="217">
        <f t="shared" si="56"/>
        <v>1.0518386210117847</v>
      </c>
      <c r="CZ62" s="217">
        <f t="shared" si="57"/>
        <v>1.0261840204993022</v>
      </c>
      <c r="DA62" s="197">
        <f t="shared" si="58"/>
        <v>350</v>
      </c>
      <c r="DB62" s="443">
        <f t="shared" si="115"/>
        <v>350</v>
      </c>
      <c r="DD62" s="217">
        <f t="shared" si="59"/>
        <v>8.6157079064880477</v>
      </c>
      <c r="DE62" s="173">
        <f t="shared" si="60"/>
        <v>1.4109347442680775</v>
      </c>
      <c r="DF62" s="173">
        <f t="shared" si="61"/>
        <v>2.1273352855526046</v>
      </c>
      <c r="DG62" s="173"/>
      <c r="DH62" s="173">
        <f t="shared" si="62"/>
        <v>0.54587688734030204</v>
      </c>
      <c r="DI62" s="545">
        <f t="shared" si="63"/>
        <v>1566.2872340425531</v>
      </c>
      <c r="DJ62" s="528">
        <f t="shared" si="64"/>
        <v>0.31842818428184283</v>
      </c>
      <c r="DL62" s="173">
        <f t="shared" si="65"/>
        <v>7.328588314739072</v>
      </c>
      <c r="DM62" s="173">
        <f t="shared" si="66"/>
        <v>7.328588314739072</v>
      </c>
      <c r="DN62" s="173">
        <f t="shared" si="67"/>
        <v>4.159448134374621</v>
      </c>
      <c r="DP62" s="545">
        <f t="shared" si="68"/>
        <v>1424.9999999999998</v>
      </c>
      <c r="DQ62" s="460">
        <f t="shared" si="69"/>
        <v>350</v>
      </c>
      <c r="DS62">
        <f t="shared" si="116"/>
        <v>1424.9999999999998</v>
      </c>
      <c r="DT62">
        <f t="shared" si="70"/>
        <v>350</v>
      </c>
      <c r="DV62" s="5">
        <f t="shared" si="117"/>
        <v>2.8571428571428572</v>
      </c>
      <c r="DW62" s="5">
        <f t="shared" si="71"/>
        <v>1.2301558956883443</v>
      </c>
      <c r="DX62" s="5">
        <f t="shared" si="118"/>
        <v>1.6269869614545129</v>
      </c>
      <c r="DY62" s="173">
        <f t="shared" si="119"/>
        <v>0.43055456349092047</v>
      </c>
      <c r="EA62" s="5">
        <f t="shared" si="72"/>
        <v>6.2606148262710368</v>
      </c>
      <c r="EB62" s="5">
        <f t="shared" si="73"/>
        <v>0.58432405045196345</v>
      </c>
      <c r="EC62" s="5">
        <f t="shared" si="74"/>
        <v>1.6560403000519144</v>
      </c>
      <c r="ED62" s="5"/>
      <c r="EE62" s="173">
        <f t="shared" si="120"/>
        <v>2.7763473297344787</v>
      </c>
      <c r="EF62" s="173">
        <f t="shared" si="75"/>
        <v>3.1929032348297453</v>
      </c>
      <c r="EG62" s="173">
        <f t="shared" si="76"/>
        <v>0.32190745728201531</v>
      </c>
      <c r="EH62" s="173"/>
      <c r="EI62" s="528">
        <f t="shared" si="77"/>
        <v>9.2497253943885249E-2</v>
      </c>
      <c r="EJ62" s="528">
        <f t="shared" si="78"/>
        <v>2.763280867013941</v>
      </c>
      <c r="EK62" s="528">
        <f t="shared" si="79"/>
        <v>4.0250000000000001E-2</v>
      </c>
      <c r="EL62" s="528">
        <f t="shared" si="80"/>
        <v>0.55416666375000012</v>
      </c>
      <c r="EM62">
        <f t="shared" si="81"/>
        <v>1.26E-2</v>
      </c>
      <c r="EN62" s="460">
        <f t="shared" si="121"/>
        <v>52.85</v>
      </c>
      <c r="EO62">
        <f t="shared" si="82"/>
        <v>3.5661434165042123</v>
      </c>
      <c r="EP62" s="460">
        <f t="shared" si="122"/>
        <v>3566.1434165042124</v>
      </c>
      <c r="EQ62" s="173">
        <f t="shared" si="83"/>
        <v>0.95560499999999982</v>
      </c>
      <c r="ER62" s="173">
        <f t="shared" si="169"/>
        <v>6.8257499999999985E-2</v>
      </c>
      <c r="ES62" s="528"/>
      <c r="EU62" s="460">
        <f t="shared" si="123"/>
        <v>1023.8625</v>
      </c>
      <c r="EV62" s="528">
        <f t="shared" si="85"/>
        <v>0.10791346293453279</v>
      </c>
      <c r="EW62" s="528">
        <f t="shared" si="124"/>
        <v>0.14272483493780752</v>
      </c>
      <c r="EX62" s="528">
        <f t="shared" si="86"/>
        <v>5.181220552688626E-4</v>
      </c>
      <c r="EY62" s="528">
        <f t="shared" si="87"/>
        <v>16.660611202256135</v>
      </c>
      <c r="EZ62" s="528">
        <f t="shared" si="88"/>
        <v>17.320048472349406</v>
      </c>
      <c r="FA62" s="625">
        <f t="shared" si="89"/>
        <v>1.8797872340425523</v>
      </c>
      <c r="FB62" s="460">
        <f t="shared" si="125"/>
        <v>19199.835706391958</v>
      </c>
      <c r="FC62" s="173">
        <f t="shared" si="126"/>
        <v>23.789841622896169</v>
      </c>
      <c r="FD62" s="5">
        <f t="shared" si="127"/>
        <v>44.17499999999999</v>
      </c>
      <c r="FE62" s="173">
        <f t="shared" si="128"/>
        <v>0.64996840933001176</v>
      </c>
      <c r="FF62" s="5">
        <f t="shared" si="129"/>
        <v>64.996840933001181</v>
      </c>
      <c r="FG62">
        <f t="shared" si="130"/>
        <v>56.999999999999993</v>
      </c>
      <c r="FI62" s="562">
        <f t="shared" si="90"/>
        <v>-50</v>
      </c>
      <c r="FJ62">
        <f t="shared" si="91"/>
        <v>-50</v>
      </c>
      <c r="FL62">
        <f t="shared" si="92"/>
        <v>0.40629942819565062</v>
      </c>
    </row>
    <row r="63" spans="5:168">
      <c r="E63" s="170">
        <v>58</v>
      </c>
      <c r="F63" s="217">
        <f t="shared" si="173"/>
        <v>1.45</v>
      </c>
      <c r="G63" s="217">
        <f t="shared" si="170"/>
        <v>0.14499999999999999</v>
      </c>
      <c r="H63" s="217">
        <f t="shared" si="135"/>
        <v>40.6</v>
      </c>
      <c r="I63" s="217">
        <f t="shared" si="174"/>
        <v>4.3499999999999996</v>
      </c>
      <c r="J63" s="541">
        <f t="shared" si="136"/>
        <v>27.877870084400286</v>
      </c>
      <c r="K63" s="443">
        <f t="shared" si="137"/>
        <v>28.749530562239336</v>
      </c>
      <c r="L63" s="172">
        <f t="shared" si="138"/>
        <v>56.627400646639622</v>
      </c>
      <c r="M63" s="443"/>
      <c r="N63" s="217">
        <f t="shared" si="139"/>
        <v>0.50769645496601812</v>
      </c>
      <c r="O63" s="172">
        <f t="shared" si="171"/>
        <v>106.53168892147596</v>
      </c>
      <c r="P63" s="172">
        <f t="shared" si="140"/>
        <v>12.63704983379753</v>
      </c>
      <c r="Q63" s="217">
        <f t="shared" si="6"/>
        <v>3.8047031757669987</v>
      </c>
      <c r="R63" s="217">
        <f t="shared" si="141"/>
        <v>3.5510562973825319</v>
      </c>
      <c r="S63" s="443">
        <f t="shared" si="142"/>
        <v>28</v>
      </c>
      <c r="T63" s="217">
        <f t="shared" si="143"/>
        <v>6.3517876560225641</v>
      </c>
      <c r="U63" s="217">
        <f t="shared" si="10"/>
        <v>1.0708638031859981</v>
      </c>
      <c r="V63" s="217">
        <f t="shared" si="11"/>
        <v>1.0383961546320544</v>
      </c>
      <c r="W63" s="197">
        <f t="shared" si="12"/>
        <v>350</v>
      </c>
      <c r="X63" s="443">
        <f t="shared" si="95"/>
        <v>350</v>
      </c>
      <c r="Z63" s="217">
        <f t="shared" si="13"/>
        <v>8.6039488230110841</v>
      </c>
      <c r="AA63" s="173">
        <f t="shared" si="14"/>
        <v>1.4065815572399483</v>
      </c>
      <c r="AB63" s="173">
        <f t="shared" si="144"/>
        <v>2.1178772534296564</v>
      </c>
      <c r="AC63" s="173"/>
      <c r="AD63" s="173">
        <f t="shared" si="16"/>
        <v>0.54493643410107817</v>
      </c>
      <c r="AE63" s="545">
        <f t="shared" si="145"/>
        <v>1596.5164844137159</v>
      </c>
      <c r="AF63" s="528">
        <f t="shared" si="146"/>
        <v>0.31787958655896231</v>
      </c>
      <c r="AH63" s="173">
        <f t="shared" si="147"/>
        <v>7.392594668115632</v>
      </c>
      <c r="AI63" s="173">
        <f t="shared" si="148"/>
        <v>7.392594668115632</v>
      </c>
      <c r="AJ63" s="173">
        <f t="shared" si="149"/>
        <v>4.2068602479868877</v>
      </c>
      <c r="AL63" s="545">
        <f t="shared" si="150"/>
        <v>1450</v>
      </c>
      <c r="AM63" s="460">
        <f t="shared" si="151"/>
        <v>350</v>
      </c>
      <c r="AO63">
        <f t="shared" si="96"/>
        <v>1450</v>
      </c>
      <c r="AP63">
        <f t="shared" si="24"/>
        <v>350</v>
      </c>
      <c r="AR63" s="5">
        <f t="shared" si="97"/>
        <v>2.8571428571428572</v>
      </c>
      <c r="AS63" s="5">
        <f t="shared" si="25"/>
        <v>1.2463360663835634</v>
      </c>
      <c r="AT63" s="5">
        <f t="shared" si="98"/>
        <v>1.6108067907592938</v>
      </c>
      <c r="AU63" s="173">
        <f t="shared" si="99"/>
        <v>0.43621762323424718</v>
      </c>
      <c r="AW63" s="5">
        <f t="shared" si="152"/>
        <v>6.4542403437720246</v>
      </c>
      <c r="AX63" s="5">
        <f t="shared" si="153"/>
        <v>0.60239576541872231</v>
      </c>
      <c r="AY63" s="5">
        <f t="shared" si="28"/>
        <v>1.6756444014766787</v>
      </c>
      <c r="AZ63" s="5"/>
      <c r="BA63" s="173">
        <f t="shared" si="100"/>
        <v>2.8189532332153875</v>
      </c>
      <c r="BB63" s="173">
        <f t="shared" si="154"/>
        <v>3.2047342029090449</v>
      </c>
      <c r="BC63" s="173">
        <f t="shared" si="155"/>
        <v>0.32310025160476441</v>
      </c>
      <c r="BD63" s="173"/>
      <c r="BE63" s="528">
        <f t="shared" si="31"/>
        <v>9.5357967972665839E-2</v>
      </c>
      <c r="BF63" s="528">
        <f t="shared" si="156"/>
        <v>2.6739570958222929</v>
      </c>
      <c r="BG63" s="528">
        <f t="shared" si="33"/>
        <v>4.0250000000000001E-2</v>
      </c>
      <c r="BH63" s="528">
        <f t="shared" si="34"/>
        <v>0.55274844912614529</v>
      </c>
      <c r="BI63">
        <f t="shared" si="35"/>
        <v>1.2545041537980129E-2</v>
      </c>
      <c r="BJ63" s="460">
        <f t="shared" si="101"/>
        <v>52.795041537980133</v>
      </c>
      <c r="BK63">
        <f t="shared" si="157"/>
        <v>3.4254200894392905</v>
      </c>
      <c r="BL63" s="460">
        <f t="shared" si="102"/>
        <v>3425.4200894392907</v>
      </c>
      <c r="BM63" s="173">
        <f t="shared" si="158"/>
        <v>0.97236999999999985</v>
      </c>
      <c r="BN63" s="173">
        <f t="shared" si="159"/>
        <v>6.9454999999999989E-2</v>
      </c>
      <c r="BO63" s="528"/>
      <c r="BQ63" s="460">
        <f t="shared" si="103"/>
        <v>1041.8249999999998</v>
      </c>
      <c r="BR63" s="528">
        <f t="shared" si="39"/>
        <v>0.11125096263477682</v>
      </c>
      <c r="BS63" s="528">
        <f t="shared" si="104"/>
        <v>0.14378449835813098</v>
      </c>
      <c r="BT63" s="528">
        <f t="shared" si="160"/>
        <v>5.2196886293531027E-4</v>
      </c>
      <c r="BU63" s="528">
        <f t="shared" si="41"/>
        <v>17.026773232981359</v>
      </c>
      <c r="BV63" s="528">
        <f t="shared" si="161"/>
        <v>17.705649263580987</v>
      </c>
      <c r="BW63" s="625">
        <f t="shared" si="162"/>
        <v>1.9127659574468088</v>
      </c>
      <c r="BX63" s="460">
        <f t="shared" si="105"/>
        <v>19618.415221027797</v>
      </c>
      <c r="BY63" s="173">
        <f t="shared" si="106"/>
        <v>24.085660310467084</v>
      </c>
      <c r="BZ63" s="5">
        <f t="shared" si="107"/>
        <v>44.95</v>
      </c>
      <c r="CA63" s="173">
        <f t="shared" si="108"/>
        <v>0.65111276980405375</v>
      </c>
      <c r="CB63" s="5">
        <f t="shared" si="109"/>
        <v>65.111276980405378</v>
      </c>
      <c r="CC63">
        <f t="shared" si="172"/>
        <v>57.999999999999993</v>
      </c>
      <c r="CE63" s="562">
        <f t="shared" si="163"/>
        <v>-50</v>
      </c>
      <c r="CF63">
        <f t="shared" si="164"/>
        <v>-50</v>
      </c>
      <c r="CG63" s="173">
        <f t="shared" si="165"/>
        <v>0.40984796219168407</v>
      </c>
      <c r="CH63" s="173">
        <f t="shared" si="166"/>
        <v>0.13290764813820136</v>
      </c>
      <c r="CI63" s="170">
        <v>58</v>
      </c>
      <c r="CJ63" s="217">
        <f t="shared" si="133"/>
        <v>1.45</v>
      </c>
      <c r="CK63" s="217">
        <f t="shared" si="111"/>
        <v>0.14499999999999999</v>
      </c>
      <c r="CL63" s="217">
        <f t="shared" si="48"/>
        <v>40.6</v>
      </c>
      <c r="CM63" s="217">
        <f t="shared" si="134"/>
        <v>4.3499999999999996</v>
      </c>
      <c r="CN63" s="541">
        <f t="shared" si="112"/>
        <v>28</v>
      </c>
      <c r="CO63" s="443">
        <f t="shared" si="167"/>
        <v>28.7</v>
      </c>
      <c r="CP63" s="443">
        <f t="shared" si="168"/>
        <v>56.7</v>
      </c>
      <c r="CQ63" s="443"/>
      <c r="CR63" s="217">
        <f t="shared" si="113"/>
        <v>0.50354609929078009</v>
      </c>
      <c r="CS63" s="172">
        <f t="shared" si="114"/>
        <v>106.12369404407841</v>
      </c>
      <c r="CT63" s="172">
        <f t="shared" si="51"/>
        <v>12.588652482269502</v>
      </c>
      <c r="CU63" s="217">
        <f t="shared" si="52"/>
        <v>3.7901319301456575</v>
      </c>
      <c r="CV63" s="217">
        <f t="shared" si="53"/>
        <v>3.5374564681359471</v>
      </c>
      <c r="CW63" s="443">
        <f t="shared" si="54"/>
        <v>28</v>
      </c>
      <c r="CX63" s="217">
        <f t="shared" si="55"/>
        <v>6.3762072434607653</v>
      </c>
      <c r="CY63" s="217">
        <f t="shared" si="56"/>
        <v>1.0702919301523428</v>
      </c>
      <c r="CZ63" s="217">
        <f t="shared" si="57"/>
        <v>1.0441872489291149</v>
      </c>
      <c r="DA63" s="197">
        <f t="shared" si="58"/>
        <v>350</v>
      </c>
      <c r="DB63" s="443">
        <f t="shared" si="115"/>
        <v>350</v>
      </c>
      <c r="DD63" s="217">
        <f t="shared" si="59"/>
        <v>8.6157079064880477</v>
      </c>
      <c r="DE63" s="173">
        <f t="shared" si="60"/>
        <v>1.4109347442680775</v>
      </c>
      <c r="DF63" s="173">
        <f t="shared" si="61"/>
        <v>2.1273352855526046</v>
      </c>
      <c r="DG63" s="173"/>
      <c r="DH63" s="173">
        <f t="shared" si="62"/>
        <v>0.54587688734030204</v>
      </c>
      <c r="DI63" s="545">
        <f t="shared" si="63"/>
        <v>1593.7659574468084</v>
      </c>
      <c r="DJ63" s="528">
        <f t="shared" si="64"/>
        <v>0.31842818428184283</v>
      </c>
      <c r="DL63" s="173">
        <f t="shared" si="65"/>
        <v>7.392594668115632</v>
      </c>
      <c r="DM63" s="173">
        <f t="shared" si="66"/>
        <v>7.392594668115632</v>
      </c>
      <c r="DN63" s="173">
        <f t="shared" si="67"/>
        <v>4.2068602479868877</v>
      </c>
      <c r="DP63" s="545">
        <f t="shared" si="68"/>
        <v>1450</v>
      </c>
      <c r="DQ63" s="460">
        <f t="shared" si="69"/>
        <v>350</v>
      </c>
      <c r="DS63">
        <f t="shared" si="116"/>
        <v>1450</v>
      </c>
      <c r="DT63">
        <f t="shared" si="70"/>
        <v>350</v>
      </c>
      <c r="DV63" s="5">
        <f t="shared" si="117"/>
        <v>2.8571428571428572</v>
      </c>
      <c r="DW63" s="5">
        <f t="shared" si="71"/>
        <v>1.2408998192908383</v>
      </c>
      <c r="DX63" s="5">
        <f t="shared" si="118"/>
        <v>1.6162430378520189</v>
      </c>
      <c r="DY63" s="173">
        <f t="shared" si="119"/>
        <v>0.43431493675179339</v>
      </c>
      <c r="EA63" s="5">
        <f t="shared" si="72"/>
        <v>6.4260883498989836</v>
      </c>
      <c r="EB63" s="5">
        <f t="shared" si="73"/>
        <v>0.59976824599057177</v>
      </c>
      <c r="EC63" s="5">
        <f t="shared" si="74"/>
        <v>1.6739660034895907</v>
      </c>
      <c r="ED63" s="5"/>
      <c r="EE63" s="173">
        <f t="shared" si="120"/>
        <v>2.8127986839572028</v>
      </c>
      <c r="EF63" s="173">
        <f t="shared" si="75"/>
        <v>3.2101374123048356</v>
      </c>
      <c r="EG63" s="173">
        <f t="shared" si="76"/>
        <v>0.32364500140450392</v>
      </c>
      <c r="EH63" s="173"/>
      <c r="EI63" s="528">
        <f t="shared" si="77"/>
        <v>9.4942037237656471E-2</v>
      </c>
      <c r="EJ63" s="528">
        <f t="shared" si="78"/>
        <v>2.7874147825863402</v>
      </c>
      <c r="EK63" s="528">
        <f t="shared" si="79"/>
        <v>4.0250000000000001E-2</v>
      </c>
      <c r="EL63" s="528">
        <f t="shared" si="80"/>
        <v>0.55416666375000012</v>
      </c>
      <c r="EM63">
        <f t="shared" si="81"/>
        <v>1.26E-2</v>
      </c>
      <c r="EN63" s="460">
        <f t="shared" si="121"/>
        <v>52.85</v>
      </c>
      <c r="EO63">
        <f t="shared" si="82"/>
        <v>3.5961301578173002</v>
      </c>
      <c r="EP63" s="460">
        <f t="shared" si="122"/>
        <v>3596.1301578173002</v>
      </c>
      <c r="EQ63" s="173">
        <f t="shared" si="83"/>
        <v>0.97236999999999985</v>
      </c>
      <c r="ER63" s="173">
        <f t="shared" si="169"/>
        <v>6.9454999999999989E-2</v>
      </c>
      <c r="ES63" s="528"/>
      <c r="EU63" s="460">
        <f t="shared" si="123"/>
        <v>1041.8249999999998</v>
      </c>
      <c r="EV63" s="528">
        <f t="shared" si="85"/>
        <v>0.11076571011059921</v>
      </c>
      <c r="EW63" s="528">
        <f t="shared" si="124"/>
        <v>0.14426975088230862</v>
      </c>
      <c r="EX63" s="528">
        <f t="shared" si="86"/>
        <v>5.2373043467060672E-4</v>
      </c>
      <c r="EY63" s="528">
        <f t="shared" si="87"/>
        <v>17.026773232981359</v>
      </c>
      <c r="EZ63" s="528">
        <f t="shared" si="88"/>
        <v>17.705654040780214</v>
      </c>
      <c r="FA63" s="625">
        <f t="shared" si="89"/>
        <v>1.9127659574468088</v>
      </c>
      <c r="FB63" s="460">
        <f t="shared" si="125"/>
        <v>19618.419998227022</v>
      </c>
      <c r="FC63" s="173">
        <f t="shared" si="126"/>
        <v>24.256375156044321</v>
      </c>
      <c r="FD63" s="5">
        <f t="shared" si="127"/>
        <v>44.95</v>
      </c>
      <c r="FE63" s="173">
        <f t="shared" si="128"/>
        <v>0.64950663719416291</v>
      </c>
      <c r="FF63" s="5">
        <f t="shared" si="129"/>
        <v>64.950663719416298</v>
      </c>
      <c r="FG63">
        <f t="shared" si="130"/>
        <v>57.999999999999993</v>
      </c>
      <c r="FI63" s="562">
        <f t="shared" si="90"/>
        <v>-50</v>
      </c>
      <c r="FJ63">
        <f t="shared" si="91"/>
        <v>-50</v>
      </c>
      <c r="FL63">
        <f t="shared" si="92"/>
        <v>0.40984796219168407</v>
      </c>
    </row>
    <row r="64" spans="5:168">
      <c r="E64" s="170">
        <v>59</v>
      </c>
      <c r="F64" s="217">
        <f t="shared" si="173"/>
        <v>1.4749999999999999</v>
      </c>
      <c r="G64" s="217">
        <f t="shared" si="170"/>
        <v>0.14749999999999999</v>
      </c>
      <c r="H64" s="217">
        <f t="shared" si="135"/>
        <v>41.3</v>
      </c>
      <c r="I64" s="217">
        <f t="shared" si="174"/>
        <v>4.4249999999999998</v>
      </c>
      <c r="J64" s="541">
        <f t="shared" si="136"/>
        <v>27.87682173971622</v>
      </c>
      <c r="K64" s="443">
        <f t="shared" si="137"/>
        <v>28.749955725078163</v>
      </c>
      <c r="L64" s="172">
        <f t="shared" si="138"/>
        <v>56.626777464794387</v>
      </c>
      <c r="M64" s="443"/>
      <c r="N64" s="217">
        <f t="shared" si="139"/>
        <v>0.50770955036161802</v>
      </c>
      <c r="O64" s="172">
        <f t="shared" si="171"/>
        <v>106.53043055578077</v>
      </c>
      <c r="P64" s="172">
        <f t="shared" si="140"/>
        <v>12.636900563377054</v>
      </c>
      <c r="Q64" s="217">
        <f t="shared" si="6"/>
        <v>3.8046582341350272</v>
      </c>
      <c r="R64" s="217">
        <f t="shared" si="141"/>
        <v>3.5510143518593589</v>
      </c>
      <c r="S64" s="443">
        <f t="shared" si="142"/>
        <v>28</v>
      </c>
      <c r="T64" s="217">
        <f t="shared" si="143"/>
        <v>6.4613775589024085</v>
      </c>
      <c r="U64" s="217">
        <f t="shared" si="10"/>
        <v>1.0893808056883052</v>
      </c>
      <c r="V64" s="217">
        <f t="shared" si="11"/>
        <v>1.0562963928445754</v>
      </c>
      <c r="W64" s="197">
        <f t="shared" si="12"/>
        <v>350</v>
      </c>
      <c r="X64" s="443">
        <f t="shared" si="95"/>
        <v>350</v>
      </c>
      <c r="Z64" s="217">
        <f t="shared" si="13"/>
        <v>8.6038471920865049</v>
      </c>
      <c r="AA64" s="173">
        <f t="shared" si="14"/>
        <v>1.4065441418239482</v>
      </c>
      <c r="AB64" s="173">
        <f t="shared" si="144"/>
        <v>2.1177959014060974</v>
      </c>
      <c r="AC64" s="173"/>
      <c r="AD64" s="173">
        <f t="shared" si="16"/>
        <v>0.54492837542010064</v>
      </c>
      <c r="AE64" s="545">
        <f t="shared" si="145"/>
        <v>1624.0666478740961</v>
      </c>
      <c r="AF64" s="528">
        <f t="shared" si="146"/>
        <v>0.31787488566172545</v>
      </c>
      <c r="AH64" s="173">
        <f t="shared" si="147"/>
        <v>7.4560515802382454</v>
      </c>
      <c r="AI64" s="173">
        <f t="shared" si="148"/>
        <v>7.4560515802382454</v>
      </c>
      <c r="AJ64" s="173">
        <f t="shared" si="149"/>
        <v>4.2538653680777125</v>
      </c>
      <c r="AL64" s="545">
        <f t="shared" si="150"/>
        <v>1474.9999999999998</v>
      </c>
      <c r="AM64" s="460">
        <f t="shared" si="151"/>
        <v>350</v>
      </c>
      <c r="AO64">
        <f t="shared" si="96"/>
        <v>1474.9999999999998</v>
      </c>
      <c r="AP64">
        <f t="shared" si="24"/>
        <v>350</v>
      </c>
      <c r="AR64" s="5">
        <f t="shared" si="97"/>
        <v>2.8571428571428572</v>
      </c>
      <c r="AS64" s="5">
        <f t="shared" si="25"/>
        <v>1.2570816987071813</v>
      </c>
      <c r="AT64" s="5">
        <f t="shared" si="98"/>
        <v>1.6000611584356759</v>
      </c>
      <c r="AU64" s="173">
        <f t="shared" si="99"/>
        <v>0.43997859454751348</v>
      </c>
      <c r="AW64" s="5">
        <f t="shared" si="152"/>
        <v>6.6221268056896152</v>
      </c>
      <c r="AX64" s="5">
        <f t="shared" si="153"/>
        <v>0.61806516853103066</v>
      </c>
      <c r="AY64" s="5">
        <f t="shared" si="28"/>
        <v>1.6932276073137789</v>
      </c>
      <c r="AZ64" s="5"/>
      <c r="BA64" s="173">
        <f t="shared" si="100"/>
        <v>2.8553809020016443</v>
      </c>
      <c r="BB64" s="173">
        <f t="shared" si="154"/>
        <v>3.2214440282077468</v>
      </c>
      <c r="BC64" s="173">
        <f t="shared" si="155"/>
        <v>0.32478493071274822</v>
      </c>
      <c r="BD64" s="173"/>
      <c r="BE64" s="528">
        <f t="shared" si="31"/>
        <v>9.7838401146188678E-2</v>
      </c>
      <c r="BF64" s="528">
        <f t="shared" si="156"/>
        <v>2.6968802588711478</v>
      </c>
      <c r="BG64" s="528">
        <f t="shared" si="33"/>
        <v>4.0250000000000001E-2</v>
      </c>
      <c r="BH64" s="528">
        <f t="shared" si="34"/>
        <v>0.5527362832524112</v>
      </c>
      <c r="BI64">
        <f t="shared" si="35"/>
        <v>1.2544569782872298E-2</v>
      </c>
      <c r="BJ64" s="460">
        <f t="shared" si="101"/>
        <v>52.794569782872301</v>
      </c>
      <c r="BK64">
        <f t="shared" si="157"/>
        <v>3.454168303842355</v>
      </c>
      <c r="BL64" s="460">
        <f t="shared" si="102"/>
        <v>3454.1683038423548</v>
      </c>
      <c r="BM64" s="173">
        <f t="shared" si="158"/>
        <v>0.98913499999999976</v>
      </c>
      <c r="BN64" s="173">
        <f t="shared" si="159"/>
        <v>7.0652499999999993E-2</v>
      </c>
      <c r="BO64" s="528"/>
      <c r="BQ64" s="460">
        <f t="shared" si="103"/>
        <v>1059.7874999999997</v>
      </c>
      <c r="BR64" s="528">
        <f t="shared" si="39"/>
        <v>0.11414480133722013</v>
      </c>
      <c r="BS64" s="528">
        <f t="shared" si="104"/>
        <v>0.14528782277625496</v>
      </c>
      <c r="BT64" s="528">
        <f t="shared" si="160"/>
        <v>5.2742625609042328E-4</v>
      </c>
      <c r="BU64" s="528">
        <f t="shared" si="41"/>
        <v>17.394517023412973</v>
      </c>
      <c r="BV64" s="528">
        <f t="shared" si="161"/>
        <v>18.093147120821044</v>
      </c>
      <c r="BW64" s="625">
        <f t="shared" si="162"/>
        <v>1.9457446808510634</v>
      </c>
      <c r="BX64" s="460">
        <f t="shared" si="105"/>
        <v>20038.891801672107</v>
      </c>
      <c r="BY64" s="173">
        <f t="shared" si="106"/>
        <v>24.552847605514462</v>
      </c>
      <c r="BZ64" s="5">
        <f t="shared" si="107"/>
        <v>45.724999999999994</v>
      </c>
      <c r="CA64" s="173">
        <f t="shared" si="108"/>
        <v>0.65063176460191019</v>
      </c>
      <c r="CB64" s="5">
        <f t="shared" si="109"/>
        <v>65.063176460191016</v>
      </c>
      <c r="CC64">
        <f t="shared" si="172"/>
        <v>59</v>
      </c>
      <c r="CE64" s="562">
        <f t="shared" si="163"/>
        <v>-50</v>
      </c>
      <c r="CF64">
        <f t="shared" si="164"/>
        <v>-50</v>
      </c>
      <c r="CG64" s="173">
        <f t="shared" si="165"/>
        <v>0.41336603497776581</v>
      </c>
      <c r="CH64" s="173">
        <f t="shared" si="166"/>
        <v>0.13404850724477524</v>
      </c>
      <c r="CI64" s="170">
        <v>59</v>
      </c>
      <c r="CJ64" s="217">
        <f t="shared" si="133"/>
        <v>1.4749999999999999</v>
      </c>
      <c r="CK64" s="217">
        <f t="shared" si="111"/>
        <v>0.14749999999999999</v>
      </c>
      <c r="CL64" s="217">
        <f t="shared" si="48"/>
        <v>41.3</v>
      </c>
      <c r="CM64" s="217">
        <f t="shared" si="134"/>
        <v>4.4249999999999998</v>
      </c>
      <c r="CN64" s="541">
        <f t="shared" si="112"/>
        <v>28</v>
      </c>
      <c r="CO64" s="443">
        <f t="shared" si="167"/>
        <v>28.7</v>
      </c>
      <c r="CP64" s="443">
        <f t="shared" si="168"/>
        <v>56.7</v>
      </c>
      <c r="CQ64" s="443"/>
      <c r="CR64" s="217">
        <f t="shared" si="113"/>
        <v>0.50354609929078009</v>
      </c>
      <c r="CS64" s="172">
        <f t="shared" si="114"/>
        <v>106.12369404407841</v>
      </c>
      <c r="CT64" s="172">
        <f t="shared" si="51"/>
        <v>12.588652482269502</v>
      </c>
      <c r="CU64" s="217">
        <f t="shared" si="52"/>
        <v>3.7901319301456575</v>
      </c>
      <c r="CV64" s="217">
        <f t="shared" si="53"/>
        <v>3.5374564681359471</v>
      </c>
      <c r="CW64" s="443">
        <f t="shared" si="54"/>
        <v>28</v>
      </c>
      <c r="CX64" s="217">
        <f t="shared" si="55"/>
        <v>6.4861418511066393</v>
      </c>
      <c r="CY64" s="217">
        <f t="shared" si="56"/>
        <v>1.0887452392929</v>
      </c>
      <c r="CZ64" s="217">
        <f t="shared" si="57"/>
        <v>1.0621904773589268</v>
      </c>
      <c r="DA64" s="197">
        <f t="shared" si="58"/>
        <v>350</v>
      </c>
      <c r="DB64" s="443">
        <f t="shared" si="115"/>
        <v>350</v>
      </c>
      <c r="DD64" s="217">
        <f t="shared" si="59"/>
        <v>8.6157079064880477</v>
      </c>
      <c r="DE64" s="173">
        <f t="shared" si="60"/>
        <v>1.4109347442680775</v>
      </c>
      <c r="DF64" s="173">
        <f t="shared" si="61"/>
        <v>2.1273352855526046</v>
      </c>
      <c r="DG64" s="173"/>
      <c r="DH64" s="173">
        <f t="shared" si="62"/>
        <v>0.54587688734030204</v>
      </c>
      <c r="DI64" s="545">
        <f t="shared" si="63"/>
        <v>1621.2446808510638</v>
      </c>
      <c r="DJ64" s="528">
        <f t="shared" si="64"/>
        <v>0.31842818428184283</v>
      </c>
      <c r="DL64" s="173">
        <f t="shared" si="65"/>
        <v>7.4560515802382454</v>
      </c>
      <c r="DM64" s="173">
        <f t="shared" si="66"/>
        <v>7.4560515802382454</v>
      </c>
      <c r="DN64" s="173">
        <f t="shared" si="67"/>
        <v>4.2538653680777125</v>
      </c>
      <c r="DP64" s="545">
        <f t="shared" si="68"/>
        <v>1474.9999999999998</v>
      </c>
      <c r="DQ64" s="460">
        <f t="shared" si="69"/>
        <v>350</v>
      </c>
      <c r="DS64">
        <f t="shared" si="116"/>
        <v>1474.9999999999998</v>
      </c>
      <c r="DT64">
        <f t="shared" si="70"/>
        <v>350</v>
      </c>
      <c r="DV64" s="5">
        <f t="shared" si="117"/>
        <v>2.8571428571428572</v>
      </c>
      <c r="DW64" s="5">
        <f t="shared" si="71"/>
        <v>1.2515515152542767</v>
      </c>
      <c r="DX64" s="5">
        <f t="shared" si="118"/>
        <v>1.6055913418885805</v>
      </c>
      <c r="DY64" s="173">
        <f t="shared" si="119"/>
        <v>0.43804303033899683</v>
      </c>
      <c r="EA64" s="5">
        <f t="shared" si="72"/>
        <v>6.5929945892859205</v>
      </c>
      <c r="EB64" s="5">
        <f t="shared" si="73"/>
        <v>0.61534616166668599</v>
      </c>
      <c r="EC64" s="5">
        <f t="shared" si="74"/>
        <v>1.6916051637754683</v>
      </c>
      <c r="ED64" s="5"/>
      <c r="EE64" s="173">
        <f t="shared" si="120"/>
        <v>2.8490932496831909</v>
      </c>
      <c r="EF64" s="173">
        <f t="shared" si="75"/>
        <v>3.2270062561142878</v>
      </c>
      <c r="EG64" s="173">
        <f t="shared" si="76"/>
        <v>0.32534571270660445</v>
      </c>
      <c r="EH64" s="173"/>
      <c r="EI64" s="528">
        <f t="shared" si="77"/>
        <v>9.7407988144683905E-2</v>
      </c>
      <c r="EJ64" s="528">
        <f t="shared" si="78"/>
        <v>2.8113415285867323</v>
      </c>
      <c r="EK64" s="528">
        <f t="shared" si="79"/>
        <v>4.0250000000000001E-2</v>
      </c>
      <c r="EL64" s="528">
        <f t="shared" si="80"/>
        <v>0.55416666375000012</v>
      </c>
      <c r="EM64">
        <f t="shared" si="81"/>
        <v>1.26E-2</v>
      </c>
      <c r="EN64" s="460">
        <f t="shared" si="121"/>
        <v>52.85</v>
      </c>
      <c r="EO64">
        <f t="shared" si="82"/>
        <v>3.6259866731694759</v>
      </c>
      <c r="EP64" s="460">
        <f t="shared" si="122"/>
        <v>3625.986673169476</v>
      </c>
      <c r="EQ64" s="173">
        <f t="shared" si="83"/>
        <v>0.98913499999999976</v>
      </c>
      <c r="ER64" s="173">
        <f t="shared" si="169"/>
        <v>7.0652499999999993E-2</v>
      </c>
      <c r="ES64" s="528"/>
      <c r="EU64" s="460">
        <f t="shared" si="123"/>
        <v>1059.7874999999997</v>
      </c>
      <c r="EV64" s="528">
        <f t="shared" si="85"/>
        <v>0.11364265283546456</v>
      </c>
      <c r="EW64" s="528">
        <f t="shared" si="124"/>
        <v>0.14578997127801055</v>
      </c>
      <c r="EX64" s="528">
        <f t="shared" si="86"/>
        <v>5.2924916388284195E-4</v>
      </c>
      <c r="EY64" s="528">
        <f t="shared" si="87"/>
        <v>17.394517023412973</v>
      </c>
      <c r="EZ64" s="528">
        <f t="shared" si="88"/>
        <v>18.093152123845464</v>
      </c>
      <c r="FA64" s="625">
        <f t="shared" si="89"/>
        <v>1.9457446808510634</v>
      </c>
      <c r="FB64" s="460">
        <f t="shared" si="125"/>
        <v>20038.896804696527</v>
      </c>
      <c r="FC64" s="173">
        <f t="shared" si="126"/>
        <v>24.724670977866005</v>
      </c>
      <c r="FD64" s="5">
        <f t="shared" si="127"/>
        <v>45.724999999999994</v>
      </c>
      <c r="FE64" s="173">
        <f t="shared" si="128"/>
        <v>0.64904490489907274</v>
      </c>
      <c r="FF64" s="5">
        <f t="shared" si="129"/>
        <v>64.904490489907275</v>
      </c>
      <c r="FG64">
        <f t="shared" si="130"/>
        <v>59</v>
      </c>
      <c r="FI64" s="562">
        <f t="shared" si="90"/>
        <v>-50</v>
      </c>
      <c r="FJ64">
        <f t="shared" si="91"/>
        <v>-50</v>
      </c>
      <c r="FL64">
        <f t="shared" si="92"/>
        <v>0.41336603497776575</v>
      </c>
    </row>
    <row r="65" spans="5:168">
      <c r="E65" s="170">
        <v>60</v>
      </c>
      <c r="F65" s="217">
        <f t="shared" si="173"/>
        <v>1.5</v>
      </c>
      <c r="G65" s="217">
        <f t="shared" si="170"/>
        <v>0.15</v>
      </c>
      <c r="H65" s="217">
        <f t="shared" si="135"/>
        <v>42</v>
      </c>
      <c r="I65" s="217">
        <f t="shared" si="174"/>
        <v>4.5</v>
      </c>
      <c r="J65" s="541">
        <f t="shared" si="136"/>
        <v>27.875782242297316</v>
      </c>
      <c r="K65" s="443">
        <f t="shared" si="137"/>
        <v>28.750377299852467</v>
      </c>
      <c r="L65" s="172">
        <f t="shared" si="138"/>
        <v>56.626159542149779</v>
      </c>
      <c r="M65" s="443"/>
      <c r="N65" s="217">
        <f t="shared" si="139"/>
        <v>0.50772253552621871</v>
      </c>
      <c r="O65" s="172">
        <f t="shared" si="171"/>
        <v>106.52918266543178</v>
      </c>
      <c r="P65" s="172">
        <f t="shared" si="140"/>
        <v>12.636752535567801</v>
      </c>
      <c r="Q65" s="217">
        <f t="shared" si="6"/>
        <v>3.8046136666225636</v>
      </c>
      <c r="R65" s="217">
        <f t="shared" si="141"/>
        <v>3.5509727555143926</v>
      </c>
      <c r="S65" s="443">
        <f t="shared" si="142"/>
        <v>28</v>
      </c>
      <c r="T65" s="217">
        <f t="shared" si="143"/>
        <v>6.5709694046788814</v>
      </c>
      <c r="U65" s="217">
        <f t="shared" si="10"/>
        <v>1.1078991769109743</v>
      </c>
      <c r="V65" s="217">
        <f t="shared" si="11"/>
        <v>1.0741965533144229</v>
      </c>
      <c r="W65" s="197">
        <f t="shared" si="12"/>
        <v>350</v>
      </c>
      <c r="X65" s="443">
        <f t="shared" si="95"/>
        <v>350</v>
      </c>
      <c r="Z65" s="217">
        <f t="shared" si="13"/>
        <v>8.6037464071950964</v>
      </c>
      <c r="AA65" s="173">
        <f t="shared" si="14"/>
        <v>1.4065070413536611</v>
      </c>
      <c r="AB65" s="173">
        <f t="shared" si="144"/>
        <v>2.1177152331547044</v>
      </c>
      <c r="AC65" s="173"/>
      <c r="AD65" s="173">
        <f t="shared" si="16"/>
        <v>0.5449203849838542</v>
      </c>
      <c r="AE65" s="545">
        <f t="shared" si="145"/>
        <v>1651.6174193532265</v>
      </c>
      <c r="AF65" s="528">
        <f t="shared" si="146"/>
        <v>0.31787022457391495</v>
      </c>
      <c r="AH65" s="173">
        <f t="shared" si="147"/>
        <v>7.5189729622665107</v>
      </c>
      <c r="AI65" s="173">
        <f t="shared" si="148"/>
        <v>7.5189729622665107</v>
      </c>
      <c r="AJ65" s="173">
        <f t="shared" si="149"/>
        <v>4.3004737992097608</v>
      </c>
      <c r="AL65" s="545">
        <f t="shared" si="150"/>
        <v>1500</v>
      </c>
      <c r="AM65" s="460">
        <f t="shared" si="151"/>
        <v>350</v>
      </c>
      <c r="AO65">
        <f t="shared" si="96"/>
        <v>1500</v>
      </c>
      <c r="AP65">
        <f t="shared" si="24"/>
        <v>350</v>
      </c>
      <c r="AR65" s="5">
        <f t="shared" si="97"/>
        <v>2.8571428571428572</v>
      </c>
      <c r="AS65" s="5">
        <f t="shared" si="25"/>
        <v>1.2677374437597202</v>
      </c>
      <c r="AT65" s="5">
        <f t="shared" si="98"/>
        <v>1.589405413383137</v>
      </c>
      <c r="AU65" s="173">
        <f t="shared" si="99"/>
        <v>0.44370810531590205</v>
      </c>
      <c r="AW65" s="5">
        <f t="shared" si="152"/>
        <v>6.7914505915699301</v>
      </c>
      <c r="AX65" s="5">
        <f t="shared" si="153"/>
        <v>0.63386872187985999</v>
      </c>
      <c r="AY65" s="5">
        <f t="shared" si="28"/>
        <v>1.7105228469299629</v>
      </c>
      <c r="AZ65" s="5"/>
      <c r="BA65" s="173">
        <f t="shared" si="100"/>
        <v>2.8916556678473837</v>
      </c>
      <c r="BB65" s="173">
        <f t="shared" si="154"/>
        <v>3.237794357434967</v>
      </c>
      <c r="BC65" s="173">
        <f t="shared" si="155"/>
        <v>0.32643336554467289</v>
      </c>
      <c r="BD65" s="173"/>
      <c r="BE65" s="528">
        <f t="shared" si="31"/>
        <v>0.10034007001672679</v>
      </c>
      <c r="BF65" s="528">
        <f t="shared" si="156"/>
        <v>2.7196094683163197</v>
      </c>
      <c r="BG65" s="528">
        <f t="shared" si="33"/>
        <v>4.0250000000000001E-2</v>
      </c>
      <c r="BH65" s="528">
        <f t="shared" si="34"/>
        <v>0.55272422018198097</v>
      </c>
      <c r="BI65">
        <f t="shared" si="35"/>
        <v>1.2544102009033792E-2</v>
      </c>
      <c r="BJ65" s="460">
        <f t="shared" si="101"/>
        <v>52.7941020090338</v>
      </c>
      <c r="BK65">
        <f t="shared" si="157"/>
        <v>3.4827982767918528</v>
      </c>
      <c r="BL65" s="460">
        <f t="shared" si="102"/>
        <v>3482.7982767918529</v>
      </c>
      <c r="BM65" s="173">
        <f t="shared" si="158"/>
        <v>1.0058999999999998</v>
      </c>
      <c r="BN65" s="173">
        <f t="shared" si="159"/>
        <v>7.1849999999999997E-2</v>
      </c>
      <c r="BO65" s="528"/>
      <c r="BQ65" s="460">
        <f t="shared" si="103"/>
        <v>1077.7499999999998</v>
      </c>
      <c r="BR65" s="528">
        <f t="shared" si="39"/>
        <v>0.11706341501951459</v>
      </c>
      <c r="BS65" s="528">
        <f t="shared" si="104"/>
        <v>0.14676637221452796</v>
      </c>
      <c r="BT65" s="528">
        <f t="shared" si="160"/>
        <v>5.3279371070411019E-4</v>
      </c>
      <c r="BU65" s="528">
        <f t="shared" si="41"/>
        <v>17.763822421825683</v>
      </c>
      <c r="BV65" s="528">
        <f t="shared" si="161"/>
        <v>18.482518934835017</v>
      </c>
      <c r="BW65" s="625">
        <f t="shared" si="162"/>
        <v>1.9787234042553192</v>
      </c>
      <c r="BX65" s="460">
        <f t="shared" si="105"/>
        <v>20461.242339090335</v>
      </c>
      <c r="BY65" s="173">
        <f t="shared" si="106"/>
        <v>25.021790615882189</v>
      </c>
      <c r="BZ65" s="5">
        <f t="shared" si="107"/>
        <v>46.5</v>
      </c>
      <c r="CA65" s="173">
        <f t="shared" si="108"/>
        <v>0.65015150766756902</v>
      </c>
      <c r="CB65" s="5">
        <f t="shared" si="109"/>
        <v>65.015150766756904</v>
      </c>
      <c r="CC65">
        <f t="shared" si="172"/>
        <v>60</v>
      </c>
      <c r="CE65" s="562">
        <f t="shared" si="163"/>
        <v>-50</v>
      </c>
      <c r="CF65">
        <f t="shared" si="164"/>
        <v>-50</v>
      </c>
      <c r="CG65" s="173">
        <f t="shared" si="165"/>
        <v>0.41685441779331406</v>
      </c>
      <c r="CH65" s="173">
        <f t="shared" si="166"/>
        <v>0.13517973833188604</v>
      </c>
      <c r="CI65" s="170">
        <v>60</v>
      </c>
      <c r="CJ65" s="217">
        <f t="shared" si="133"/>
        <v>1.5</v>
      </c>
      <c r="CK65" s="217">
        <f t="shared" si="111"/>
        <v>0.15</v>
      </c>
      <c r="CL65" s="217">
        <f t="shared" si="48"/>
        <v>42</v>
      </c>
      <c r="CM65" s="217">
        <f t="shared" si="134"/>
        <v>4.5</v>
      </c>
      <c r="CN65" s="541">
        <f t="shared" si="112"/>
        <v>28</v>
      </c>
      <c r="CO65" s="443">
        <f t="shared" si="167"/>
        <v>28.7</v>
      </c>
      <c r="CP65" s="443">
        <f t="shared" si="168"/>
        <v>56.7</v>
      </c>
      <c r="CQ65" s="443"/>
      <c r="CR65" s="217">
        <f t="shared" si="113"/>
        <v>0.50354609929078009</v>
      </c>
      <c r="CS65" s="172">
        <f t="shared" si="114"/>
        <v>106.12369404407841</v>
      </c>
      <c r="CT65" s="172">
        <f t="shared" si="51"/>
        <v>12.588652482269502</v>
      </c>
      <c r="CU65" s="217">
        <f t="shared" si="52"/>
        <v>3.7901319301456575</v>
      </c>
      <c r="CV65" s="217">
        <f t="shared" si="53"/>
        <v>3.5374564681359471</v>
      </c>
      <c r="CW65" s="443">
        <f t="shared" si="54"/>
        <v>28</v>
      </c>
      <c r="CX65" s="217">
        <f t="shared" si="55"/>
        <v>6.596076458752516</v>
      </c>
      <c r="CY65" s="217">
        <f t="shared" si="56"/>
        <v>1.1071985484334581</v>
      </c>
      <c r="CZ65" s="217">
        <f t="shared" si="57"/>
        <v>1.0801937057887394</v>
      </c>
      <c r="DA65" s="197">
        <f t="shared" si="58"/>
        <v>350</v>
      </c>
      <c r="DB65" s="443">
        <f t="shared" si="115"/>
        <v>350</v>
      </c>
      <c r="DD65" s="217">
        <f t="shared" si="59"/>
        <v>8.6157079064880477</v>
      </c>
      <c r="DE65" s="173">
        <f t="shared" si="60"/>
        <v>1.4109347442680775</v>
      </c>
      <c r="DF65" s="173">
        <f t="shared" si="61"/>
        <v>2.1273352855526046</v>
      </c>
      <c r="DG65" s="173"/>
      <c r="DH65" s="173">
        <f t="shared" si="62"/>
        <v>0.54587688734030204</v>
      </c>
      <c r="DI65" s="545">
        <f t="shared" si="63"/>
        <v>1648.7234042553191</v>
      </c>
      <c r="DJ65" s="528">
        <f t="shared" si="64"/>
        <v>0.31842818428184283</v>
      </c>
      <c r="DL65" s="173">
        <f t="shared" si="65"/>
        <v>7.5189729622665107</v>
      </c>
      <c r="DM65" s="173">
        <f t="shared" si="66"/>
        <v>7.5189729622665107</v>
      </c>
      <c r="DN65" s="173">
        <f t="shared" si="67"/>
        <v>4.3004737992097608</v>
      </c>
      <c r="DP65" s="545">
        <f t="shared" si="68"/>
        <v>1500</v>
      </c>
      <c r="DQ65" s="460">
        <f t="shared" si="69"/>
        <v>350</v>
      </c>
      <c r="DS65">
        <f t="shared" si="116"/>
        <v>1500</v>
      </c>
      <c r="DT65">
        <f t="shared" si="70"/>
        <v>350</v>
      </c>
      <c r="DV65" s="5">
        <f t="shared" si="117"/>
        <v>2.8571428571428572</v>
      </c>
      <c r="DW65" s="5">
        <f t="shared" si="71"/>
        <v>1.2621133186661644</v>
      </c>
      <c r="DX65" s="5">
        <f t="shared" si="118"/>
        <v>1.5950295384766928</v>
      </c>
      <c r="DY65" s="173">
        <f t="shared" si="119"/>
        <v>0.44173966153315752</v>
      </c>
      <c r="EA65" s="5">
        <f t="shared" si="72"/>
        <v>6.7613213499973099</v>
      </c>
      <c r="EB65" s="5">
        <f t="shared" si="73"/>
        <v>0.63105665933308208</v>
      </c>
      <c r="EC65" s="5">
        <f t="shared" si="74"/>
        <v>1.7089602197964564</v>
      </c>
      <c r="ED65" s="5"/>
      <c r="EE65" s="173">
        <f t="shared" si="120"/>
        <v>2.8852343419943618</v>
      </c>
      <c r="EF65" s="173">
        <f t="shared" si="75"/>
        <v>3.2435177807756772</v>
      </c>
      <c r="EG65" s="173">
        <f t="shared" si="76"/>
        <v>0.32701039920935104</v>
      </c>
      <c r="EH65" s="173"/>
      <c r="EI65" s="528">
        <f t="shared" si="77"/>
        <v>9.9894926498683645E-2</v>
      </c>
      <c r="EJ65" s="528">
        <f t="shared" si="78"/>
        <v>2.8350663502873998</v>
      </c>
      <c r="EK65" s="528">
        <f t="shared" si="79"/>
        <v>4.0250000000000001E-2</v>
      </c>
      <c r="EL65" s="528">
        <f t="shared" si="80"/>
        <v>0.55416666375000012</v>
      </c>
      <c r="EM65">
        <f t="shared" si="81"/>
        <v>1.26E-2</v>
      </c>
      <c r="EN65" s="460">
        <f t="shared" si="121"/>
        <v>52.85</v>
      </c>
      <c r="EO65">
        <f t="shared" si="82"/>
        <v>3.6557181676542028</v>
      </c>
      <c r="EP65" s="460">
        <f t="shared" si="122"/>
        <v>3655.7181676542027</v>
      </c>
      <c r="EQ65" s="173">
        <f t="shared" si="83"/>
        <v>1.0058999999999998</v>
      </c>
      <c r="ER65" s="173">
        <f t="shared" si="169"/>
        <v>7.1849999999999997E-2</v>
      </c>
      <c r="ES65" s="528"/>
      <c r="EU65" s="460">
        <f t="shared" si="123"/>
        <v>1077.7499999999998</v>
      </c>
      <c r="EV65" s="528">
        <f t="shared" si="85"/>
        <v>0.11654408091513092</v>
      </c>
      <c r="EW65" s="528">
        <f t="shared" si="124"/>
        <v>0.14728570631891164</v>
      </c>
      <c r="EX65" s="528">
        <f t="shared" si="86"/>
        <v>5.3467900595529575E-4</v>
      </c>
      <c r="EY65" s="528">
        <f t="shared" si="87"/>
        <v>17.763822421825683</v>
      </c>
      <c r="EZ65" s="528">
        <f t="shared" si="88"/>
        <v>18.482524170940771</v>
      </c>
      <c r="FA65" s="625">
        <f t="shared" si="89"/>
        <v>1.9787234042553192</v>
      </c>
      <c r="FB65" s="460">
        <f t="shared" si="125"/>
        <v>20461.247575196088</v>
      </c>
      <c r="FC65" s="173">
        <f t="shared" si="126"/>
        <v>25.194715742850292</v>
      </c>
      <c r="FD65" s="5">
        <f t="shared" si="127"/>
        <v>46.5</v>
      </c>
      <c r="FE65" s="173">
        <f t="shared" si="128"/>
        <v>0.64858336515041115</v>
      </c>
      <c r="FF65" s="5">
        <f t="shared" si="129"/>
        <v>64.858336515041117</v>
      </c>
      <c r="FG65">
        <f t="shared" si="130"/>
        <v>60</v>
      </c>
      <c r="FI65" s="562">
        <f t="shared" si="90"/>
        <v>-50</v>
      </c>
      <c r="FJ65">
        <f t="shared" si="91"/>
        <v>-50</v>
      </c>
      <c r="FL65">
        <f t="shared" si="92"/>
        <v>0.41685441779331406</v>
      </c>
    </row>
    <row r="66" spans="5:168">
      <c r="E66" s="170">
        <v>61</v>
      </c>
      <c r="F66" s="217">
        <f t="shared" si="173"/>
        <v>1.5249999999999999</v>
      </c>
      <c r="G66" s="217">
        <f t="shared" si="170"/>
        <v>0.1525</v>
      </c>
      <c r="H66" s="217">
        <f t="shared" si="135"/>
        <v>42.699999999999996</v>
      </c>
      <c r="I66" s="217">
        <f t="shared" si="174"/>
        <v>4.5750000000000002</v>
      </c>
      <c r="J66" s="541">
        <f t="shared" si="136"/>
        <v>27.874751371860494</v>
      </c>
      <c r="K66" s="443">
        <f t="shared" si="137"/>
        <v>28.750795375899443</v>
      </c>
      <c r="L66" s="172">
        <f t="shared" si="138"/>
        <v>56.625546747759941</v>
      </c>
      <c r="M66" s="443"/>
      <c r="N66" s="217">
        <f t="shared" si="139"/>
        <v>0.50773541320440851</v>
      </c>
      <c r="O66" s="172">
        <f t="shared" si="171"/>
        <v>106.52794498960451</v>
      </c>
      <c r="P66" s="172">
        <f t="shared" si="140"/>
        <v>12.636605719430126</v>
      </c>
      <c r="Q66" s="217">
        <f t="shared" si="6"/>
        <v>3.8045694639144467</v>
      </c>
      <c r="R66" s="217">
        <f t="shared" si="141"/>
        <v>3.5509314996534838</v>
      </c>
      <c r="S66" s="443">
        <f t="shared" si="142"/>
        <v>28</v>
      </c>
      <c r="T66" s="217">
        <f t="shared" si="143"/>
        <v>6.6805631774471426</v>
      </c>
      <c r="U66" s="217">
        <f t="shared" si="10"/>
        <v>1.1264189055942015</v>
      </c>
      <c r="V66" s="217">
        <f t="shared" si="11"/>
        <v>1.0920966367532809</v>
      </c>
      <c r="W66" s="197">
        <f t="shared" si="12"/>
        <v>350</v>
      </c>
      <c r="X66" s="443">
        <f t="shared" si="95"/>
        <v>350</v>
      </c>
      <c r="Z66" s="217">
        <f t="shared" si="13"/>
        <v>8.6036464472715775</v>
      </c>
      <c r="AA66" s="173">
        <f t="shared" si="14"/>
        <v>1.4064702479874045</v>
      </c>
      <c r="AB66" s="173">
        <f t="shared" si="144"/>
        <v>2.1176352316507514</v>
      </c>
      <c r="AC66" s="173"/>
      <c r="AD66" s="173">
        <f t="shared" si="16"/>
        <v>0.54491246109314107</v>
      </c>
      <c r="AE66" s="545">
        <f t="shared" si="145"/>
        <v>1679.1687937626375</v>
      </c>
      <c r="AF66" s="528">
        <f t="shared" si="146"/>
        <v>0.31786560230433231</v>
      </c>
      <c r="AH66" s="173">
        <f t="shared" si="147"/>
        <v>7.5813721480624077</v>
      </c>
      <c r="AI66" s="173">
        <f t="shared" si="148"/>
        <v>7.5813721480624077</v>
      </c>
      <c r="AJ66" s="173">
        <f t="shared" si="149"/>
        <v>4.3466954183178332</v>
      </c>
      <c r="AL66" s="545">
        <f t="shared" si="150"/>
        <v>1525</v>
      </c>
      <c r="AM66" s="460">
        <f t="shared" si="151"/>
        <v>350</v>
      </c>
      <c r="AO66">
        <f t="shared" si="96"/>
        <v>1525</v>
      </c>
      <c r="AP66">
        <f t="shared" si="24"/>
        <v>350</v>
      </c>
      <c r="AR66" s="5">
        <f t="shared" si="97"/>
        <v>2.8571428571428572</v>
      </c>
      <c r="AS66" s="5">
        <f t="shared" si="25"/>
        <v>1.278305539681484</v>
      </c>
      <c r="AT66" s="5">
        <f t="shared" si="98"/>
        <v>1.5788373174613732</v>
      </c>
      <c r="AU66" s="173">
        <f t="shared" si="99"/>
        <v>0.4474069388885194</v>
      </c>
      <c r="AW66" s="5">
        <f t="shared" si="152"/>
        <v>6.9621998143366532</v>
      </c>
      <c r="AX66" s="5">
        <f t="shared" si="153"/>
        <v>0.64980531600475444</v>
      </c>
      <c r="AY66" s="5">
        <f t="shared" si="28"/>
        <v>1.7275324733903739</v>
      </c>
      <c r="AZ66" s="5"/>
      <c r="BA66" s="173">
        <f t="shared" si="100"/>
        <v>2.9277807146803538</v>
      </c>
      <c r="BB66" s="173">
        <f t="shared" si="154"/>
        <v>3.2537928589905549</v>
      </c>
      <c r="BC66" s="173">
        <f t="shared" si="155"/>
        <v>0.32804632922609694</v>
      </c>
      <c r="BD66" s="173"/>
      <c r="BE66" s="528">
        <f t="shared" si="31"/>
        <v>0.10286279895905044</v>
      </c>
      <c r="BF66" s="528">
        <f t="shared" si="156"/>
        <v>2.7421495532992695</v>
      </c>
      <c r="BG66" s="528">
        <f t="shared" si="33"/>
        <v>4.0250000000000001E-2</v>
      </c>
      <c r="BH66" s="528">
        <f t="shared" si="34"/>
        <v>0.55271225735521345</v>
      </c>
      <c r="BI66">
        <f t="shared" si="35"/>
        <v>1.2543638117337223E-2</v>
      </c>
      <c r="BJ66" s="460">
        <f t="shared" si="101"/>
        <v>52.793638117337224</v>
      </c>
      <c r="BK66">
        <f t="shared" si="157"/>
        <v>3.5113148050570637</v>
      </c>
      <c r="BL66" s="460">
        <f t="shared" si="102"/>
        <v>3511.3148050570639</v>
      </c>
      <c r="BM66" s="173">
        <f t="shared" si="158"/>
        <v>1.0226649999999999</v>
      </c>
      <c r="BN66" s="173">
        <f t="shared" si="159"/>
        <v>7.3047500000000001E-2</v>
      </c>
      <c r="BO66" s="528"/>
      <c r="BQ66" s="460">
        <f t="shared" si="103"/>
        <v>1095.7124999999999</v>
      </c>
      <c r="BR66" s="528">
        <f t="shared" si="39"/>
        <v>0.12000659878555885</v>
      </c>
      <c r="BS66" s="528">
        <f t="shared" si="104"/>
        <v>0.14822035156905103</v>
      </c>
      <c r="BT66" s="528">
        <f t="shared" si="160"/>
        <v>5.380719705935839E-4</v>
      </c>
      <c r="BU66" s="528">
        <f t="shared" si="41"/>
        <v>18.134669865565897</v>
      </c>
      <c r="BV66" s="528">
        <f t="shared" si="161"/>
        <v>18.87374673015232</v>
      </c>
      <c r="BW66" s="625">
        <f t="shared" si="162"/>
        <v>2.0117021276595741</v>
      </c>
      <c r="BX66" s="460">
        <f t="shared" si="105"/>
        <v>20885.448857811894</v>
      </c>
      <c r="BY66" s="173">
        <f t="shared" si="106"/>
        <v>25.492476162868957</v>
      </c>
      <c r="BZ66" s="5">
        <f t="shared" si="107"/>
        <v>47.274999999999999</v>
      </c>
      <c r="CA66" s="173">
        <f t="shared" si="108"/>
        <v>0.64967211304935979</v>
      </c>
      <c r="CB66" s="5">
        <f t="shared" si="109"/>
        <v>64.967211304935972</v>
      </c>
      <c r="CC66">
        <f t="shared" si="172"/>
        <v>61</v>
      </c>
      <c r="CE66" s="562">
        <f t="shared" si="163"/>
        <v>-50</v>
      </c>
      <c r="CF66">
        <f t="shared" si="164"/>
        <v>-50</v>
      </c>
      <c r="CG66" s="173">
        <f t="shared" si="165"/>
        <v>0.42031384987217135</v>
      </c>
      <c r="CH66" s="173">
        <f t="shared" si="166"/>
        <v>0.13630158112216378</v>
      </c>
      <c r="CI66" s="170">
        <v>61</v>
      </c>
      <c r="CJ66" s="217">
        <f t="shared" si="133"/>
        <v>1.5249999999999999</v>
      </c>
      <c r="CK66" s="217">
        <f t="shared" si="111"/>
        <v>0.1525</v>
      </c>
      <c r="CL66" s="217">
        <f t="shared" si="48"/>
        <v>42.699999999999996</v>
      </c>
      <c r="CM66" s="217">
        <f t="shared" si="134"/>
        <v>4.5750000000000002</v>
      </c>
      <c r="CN66" s="541">
        <f t="shared" si="112"/>
        <v>28</v>
      </c>
      <c r="CO66" s="443">
        <f t="shared" si="167"/>
        <v>28.7</v>
      </c>
      <c r="CP66" s="443">
        <f t="shared" si="168"/>
        <v>56.7</v>
      </c>
      <c r="CQ66" s="443"/>
      <c r="CR66" s="217">
        <f t="shared" si="113"/>
        <v>0.50354609929078009</v>
      </c>
      <c r="CS66" s="172">
        <f t="shared" si="114"/>
        <v>106.12369404407841</v>
      </c>
      <c r="CT66" s="172">
        <f t="shared" si="51"/>
        <v>12.588652482269502</v>
      </c>
      <c r="CU66" s="217">
        <f t="shared" si="52"/>
        <v>3.7901319301456575</v>
      </c>
      <c r="CV66" s="217">
        <f t="shared" si="53"/>
        <v>3.5374564681359471</v>
      </c>
      <c r="CW66" s="443">
        <f t="shared" si="54"/>
        <v>28</v>
      </c>
      <c r="CX66" s="217">
        <f t="shared" si="55"/>
        <v>6.706011066398391</v>
      </c>
      <c r="CY66" s="217">
        <f t="shared" si="56"/>
        <v>1.1256518575740155</v>
      </c>
      <c r="CZ66" s="217">
        <f t="shared" si="57"/>
        <v>1.0981969342185518</v>
      </c>
      <c r="DA66" s="197">
        <f t="shared" si="58"/>
        <v>350</v>
      </c>
      <c r="DB66" s="443">
        <f t="shared" si="115"/>
        <v>350</v>
      </c>
      <c r="DD66" s="217">
        <f t="shared" si="59"/>
        <v>8.6157079064880477</v>
      </c>
      <c r="DE66" s="173">
        <f t="shared" si="60"/>
        <v>1.4109347442680775</v>
      </c>
      <c r="DF66" s="173">
        <f t="shared" si="61"/>
        <v>2.1273352855526046</v>
      </c>
      <c r="DG66" s="173"/>
      <c r="DH66" s="173">
        <f t="shared" si="62"/>
        <v>0.54587688734030204</v>
      </c>
      <c r="DI66" s="545">
        <f t="shared" si="63"/>
        <v>1676.2021276595744</v>
      </c>
      <c r="DJ66" s="528">
        <f t="shared" si="64"/>
        <v>0.31842818428184283</v>
      </c>
      <c r="DL66" s="173">
        <f t="shared" si="65"/>
        <v>7.5813721480624077</v>
      </c>
      <c r="DM66" s="173">
        <f t="shared" si="66"/>
        <v>7.5813721480624077</v>
      </c>
      <c r="DN66" s="173">
        <f t="shared" si="67"/>
        <v>4.3466954183178332</v>
      </c>
      <c r="DP66" s="545">
        <f t="shared" si="68"/>
        <v>1525</v>
      </c>
      <c r="DQ66" s="460">
        <f t="shared" si="69"/>
        <v>350</v>
      </c>
      <c r="DS66">
        <f t="shared" si="116"/>
        <v>1525</v>
      </c>
      <c r="DT66">
        <f t="shared" si="70"/>
        <v>350</v>
      </c>
      <c r="DV66" s="5">
        <f t="shared" si="117"/>
        <v>2.8571428571428572</v>
      </c>
      <c r="DW66" s="5">
        <f t="shared" si="71"/>
        <v>1.2725874677104754</v>
      </c>
      <c r="DX66" s="5">
        <f t="shared" si="118"/>
        <v>1.5845553894323818</v>
      </c>
      <c r="DY66" s="173">
        <f t="shared" si="119"/>
        <v>0.44540561369866638</v>
      </c>
      <c r="EA66" s="5">
        <f t="shared" si="72"/>
        <v>6.9310567437802675</v>
      </c>
      <c r="EB66" s="5">
        <f t="shared" si="73"/>
        <v>0.64689862941949161</v>
      </c>
      <c r="EC66" s="5">
        <f t="shared" si="74"/>
        <v>1.72603354920313</v>
      </c>
      <c r="ED66" s="5"/>
      <c r="EE66" s="173">
        <f t="shared" si="120"/>
        <v>2.921225151898927</v>
      </c>
      <c r="EF66" s="173">
        <f t="shared" si="75"/>
        <v>3.2596796613141641</v>
      </c>
      <c r="EG66" s="173">
        <f t="shared" si="76"/>
        <v>0.32863983470626412</v>
      </c>
      <c r="EH66" s="173"/>
      <c r="EI66" s="528">
        <f t="shared" si="77"/>
        <v>0.10240267665704292</v>
      </c>
      <c r="EJ66" s="528">
        <f t="shared" si="78"/>
        <v>2.8585942752876718</v>
      </c>
      <c r="EK66" s="528">
        <f t="shared" si="79"/>
        <v>4.0250000000000001E-2</v>
      </c>
      <c r="EL66" s="528">
        <f t="shared" si="80"/>
        <v>0.55416666375000012</v>
      </c>
      <c r="EM66">
        <f t="shared" si="81"/>
        <v>1.26E-2</v>
      </c>
      <c r="EN66" s="460">
        <f t="shared" si="121"/>
        <v>52.85</v>
      </c>
      <c r="EO66">
        <f t="shared" si="82"/>
        <v>3.685329636705037</v>
      </c>
      <c r="EP66" s="460">
        <f t="shared" si="122"/>
        <v>3685.329636705037</v>
      </c>
      <c r="EQ66" s="173">
        <f t="shared" si="83"/>
        <v>1.0226649999999999</v>
      </c>
      <c r="ER66" s="173">
        <f t="shared" si="169"/>
        <v>7.3047500000000001E-2</v>
      </c>
      <c r="ES66" s="528"/>
      <c r="EU66" s="460">
        <f t="shared" si="123"/>
        <v>1095.7124999999999</v>
      </c>
      <c r="EV66" s="528">
        <f t="shared" si="85"/>
        <v>0.11946978943321673</v>
      </c>
      <c r="EW66" s="528">
        <f t="shared" si="124"/>
        <v>0.14875716092139313</v>
      </c>
      <c r="EX66" s="528">
        <f t="shared" si="86"/>
        <v>5.4002070477880302E-4</v>
      </c>
      <c r="EY66" s="528">
        <f t="shared" si="87"/>
        <v>18.134669865565897</v>
      </c>
      <c r="EZ66" s="528">
        <f t="shared" si="88"/>
        <v>18.873752206729797</v>
      </c>
      <c r="FA66" s="625">
        <f t="shared" si="89"/>
        <v>2.0117021276595741</v>
      </c>
      <c r="FB66" s="460">
        <f t="shared" si="125"/>
        <v>20885.454334389371</v>
      </c>
      <c r="FC66" s="173">
        <f t="shared" si="126"/>
        <v>25.666496471094408</v>
      </c>
      <c r="FD66" s="5">
        <f t="shared" si="127"/>
        <v>47.274999999999999</v>
      </c>
      <c r="FE66" s="173">
        <f t="shared" si="128"/>
        <v>0.6481221566208798</v>
      </c>
      <c r="FF66" s="5">
        <f t="shared" si="129"/>
        <v>64.812215662087979</v>
      </c>
      <c r="FG66">
        <f t="shared" si="130"/>
        <v>61</v>
      </c>
      <c r="FI66" s="562">
        <f t="shared" si="90"/>
        <v>-50</v>
      </c>
      <c r="FJ66">
        <f t="shared" si="91"/>
        <v>-50</v>
      </c>
      <c r="FL66">
        <f t="shared" si="92"/>
        <v>0.42031384987217135</v>
      </c>
    </row>
    <row r="67" spans="5:168">
      <c r="E67" s="170">
        <v>62</v>
      </c>
      <c r="F67" s="217">
        <f t="shared" si="173"/>
        <v>1.55</v>
      </c>
      <c r="G67" s="217">
        <f t="shared" si="170"/>
        <v>0.155</v>
      </c>
      <c r="H67" s="217">
        <f t="shared" si="135"/>
        <v>43.4</v>
      </c>
      <c r="I67" s="217">
        <f t="shared" si="174"/>
        <v>4.6500000000000004</v>
      </c>
      <c r="J67" s="541">
        <f t="shared" si="136"/>
        <v>27.873728917114914</v>
      </c>
      <c r="K67" s="443">
        <f t="shared" si="137"/>
        <v>28.751210038909438</v>
      </c>
      <c r="L67" s="172">
        <f t="shared" si="138"/>
        <v>56.624938956024351</v>
      </c>
      <c r="M67" s="443"/>
      <c r="N67" s="217">
        <f t="shared" si="139"/>
        <v>0.50774818602873895</v>
      </c>
      <c r="O67" s="172">
        <f t="shared" si="171"/>
        <v>106.52671727812185</v>
      </c>
      <c r="P67" s="172">
        <f t="shared" si="140"/>
        <v>12.636460085287414</v>
      </c>
      <c r="Q67" s="217">
        <f t="shared" si="6"/>
        <v>3.8045256170757802</v>
      </c>
      <c r="R67" s="217">
        <f t="shared" si="141"/>
        <v>3.550890575937395</v>
      </c>
      <c r="S67" s="443">
        <f t="shared" si="142"/>
        <v>28</v>
      </c>
      <c r="T67" s="217">
        <f t="shared" si="143"/>
        <v>6.7901588616951534</v>
      </c>
      <c r="U67" s="217">
        <f t="shared" si="10"/>
        <v>1.1449399807562766</v>
      </c>
      <c r="V67" s="217">
        <f t="shared" si="11"/>
        <v>1.1099966438552629</v>
      </c>
      <c r="W67" s="197">
        <f t="shared" si="12"/>
        <v>350</v>
      </c>
      <c r="X67" s="443">
        <f t="shared" si="95"/>
        <v>350</v>
      </c>
      <c r="Z67" s="217">
        <f t="shared" si="13"/>
        <v>8.6035472921105782</v>
      </c>
      <c r="AA67" s="173">
        <f t="shared" si="14"/>
        <v>1.4064337542036027</v>
      </c>
      <c r="AB67" s="173">
        <f t="shared" si="144"/>
        <v>2.1175558805644816</v>
      </c>
      <c r="AC67" s="173"/>
      <c r="AD67" s="173">
        <f t="shared" si="16"/>
        <v>0.54490460211812775</v>
      </c>
      <c r="AE67" s="545">
        <f t="shared" si="145"/>
        <v>1706.7207661395175</v>
      </c>
      <c r="AF67" s="528">
        <f t="shared" si="146"/>
        <v>0.31786101790224125</v>
      </c>
      <c r="AH67" s="173">
        <f t="shared" si="147"/>
        <v>7.643261927183838</v>
      </c>
      <c r="AI67" s="173">
        <f t="shared" si="148"/>
        <v>7.643261927183838</v>
      </c>
      <c r="AJ67" s="173">
        <f t="shared" si="149"/>
        <v>4.3925396991485215</v>
      </c>
      <c r="AL67" s="545">
        <f t="shared" si="150"/>
        <v>1550</v>
      </c>
      <c r="AM67" s="460">
        <f t="shared" si="151"/>
        <v>350</v>
      </c>
      <c r="AO67">
        <f t="shared" si="96"/>
        <v>1550</v>
      </c>
      <c r="AP67">
        <f t="shared" si="24"/>
        <v>350</v>
      </c>
      <c r="AR67" s="5">
        <f t="shared" si="97"/>
        <v>2.8571428571428572</v>
      </c>
      <c r="AS67" s="5">
        <f t="shared" si="25"/>
        <v>1.2887881332485276</v>
      </c>
      <c r="AT67" s="5">
        <f t="shared" si="98"/>
        <v>1.5683547238943296</v>
      </c>
      <c r="AU67" s="173">
        <f t="shared" si="99"/>
        <v>0.45107584663698463</v>
      </c>
      <c r="AW67" s="5">
        <f t="shared" si="152"/>
        <v>7.1343628804829207</v>
      </c>
      <c r="AX67" s="5">
        <f t="shared" si="153"/>
        <v>0.6658738688450726</v>
      </c>
      <c r="AY67" s="5">
        <f t="shared" si="28"/>
        <v>1.7442587816397745</v>
      </c>
      <c r="AZ67" s="5"/>
      <c r="BA67" s="173">
        <f t="shared" si="100"/>
        <v>2.9637591091560078</v>
      </c>
      <c r="BB67" s="173">
        <f t="shared" si="154"/>
        <v>3.2694468806523611</v>
      </c>
      <c r="BC67" s="173">
        <f t="shared" si="155"/>
        <v>0.32962456255757411</v>
      </c>
      <c r="BD67" s="173"/>
      <c r="BE67" s="528">
        <f t="shared" si="31"/>
        <v>0.10540641668526256</v>
      </c>
      <c r="BF67" s="528">
        <f t="shared" si="156"/>
        <v>2.7645051458301695</v>
      </c>
      <c r="BG67" s="528">
        <f t="shared" si="33"/>
        <v>4.0250000000000001E-2</v>
      </c>
      <c r="BH67" s="528">
        <f t="shared" si="34"/>
        <v>0.55270039231695434</v>
      </c>
      <c r="BI67">
        <f t="shared" si="35"/>
        <v>1.2543178012701712E-2</v>
      </c>
      <c r="BJ67" s="460">
        <f t="shared" si="101"/>
        <v>52.793178012701709</v>
      </c>
      <c r="BK67">
        <f t="shared" si="157"/>
        <v>3.5397224960719953</v>
      </c>
      <c r="BL67" s="460">
        <f t="shared" si="102"/>
        <v>3539.7224960719955</v>
      </c>
      <c r="BM67" s="173">
        <f t="shared" si="158"/>
        <v>1.0394299999999999</v>
      </c>
      <c r="BN67" s="173">
        <f t="shared" si="159"/>
        <v>7.4244999999999992E-2</v>
      </c>
      <c r="BO67" s="528"/>
      <c r="BQ67" s="460">
        <f t="shared" si="103"/>
        <v>1113.6749999999997</v>
      </c>
      <c r="BR67" s="528">
        <f t="shared" si="39"/>
        <v>0.12297415279947299</v>
      </c>
      <c r="BS67" s="528">
        <f t="shared" si="104"/>
        <v>0.14964996067570435</v>
      </c>
      <c r="BT67" s="528">
        <f t="shared" si="160"/>
        <v>5.4326176120636049E-4</v>
      </c>
      <c r="BU67" s="528">
        <f t="shared" si="41"/>
        <v>18.507040354435535</v>
      </c>
      <c r="BV67" s="528">
        <f t="shared" si="161"/>
        <v>19.266813080395995</v>
      </c>
      <c r="BW67" s="625">
        <f t="shared" si="162"/>
        <v>2.0446808510638301</v>
      </c>
      <c r="BX67" s="460">
        <f t="shared" si="105"/>
        <v>21311.493931459827</v>
      </c>
      <c r="BY67" s="173">
        <f t="shared" si="106"/>
        <v>25.964891427531821</v>
      </c>
      <c r="BZ67" s="5">
        <f t="shared" si="107"/>
        <v>48.05</v>
      </c>
      <c r="CA67" s="173">
        <f t="shared" si="108"/>
        <v>0.64919368350416184</v>
      </c>
      <c r="CB67" s="5">
        <f t="shared" si="109"/>
        <v>64.919368350416178</v>
      </c>
      <c r="CC67">
        <f t="shared" si="172"/>
        <v>62</v>
      </c>
      <c r="CE67" s="562">
        <f t="shared" si="163"/>
        <v>-50</v>
      </c>
      <c r="CF67">
        <f t="shared" si="164"/>
        <v>-50</v>
      </c>
      <c r="CG67" s="173">
        <f t="shared" si="165"/>
        <v>0.42374504027177656</v>
      </c>
      <c r="CH67" s="173">
        <f t="shared" si="166"/>
        <v>0.1374142655524761</v>
      </c>
      <c r="CI67" s="170">
        <v>62</v>
      </c>
      <c r="CJ67" s="217">
        <f t="shared" si="133"/>
        <v>1.55</v>
      </c>
      <c r="CK67" s="217">
        <f t="shared" si="111"/>
        <v>0.155</v>
      </c>
      <c r="CL67" s="217">
        <f t="shared" si="48"/>
        <v>43.4</v>
      </c>
      <c r="CM67" s="217">
        <f t="shared" si="134"/>
        <v>4.6500000000000004</v>
      </c>
      <c r="CN67" s="541">
        <f t="shared" si="112"/>
        <v>28</v>
      </c>
      <c r="CO67" s="443">
        <f t="shared" si="167"/>
        <v>28.7</v>
      </c>
      <c r="CP67" s="443">
        <f t="shared" si="168"/>
        <v>56.7</v>
      </c>
      <c r="CQ67" s="443"/>
      <c r="CR67" s="217">
        <f t="shared" si="113"/>
        <v>0.50354609929078009</v>
      </c>
      <c r="CS67" s="172">
        <f t="shared" si="114"/>
        <v>106.12369404407841</v>
      </c>
      <c r="CT67" s="172">
        <f t="shared" si="51"/>
        <v>12.588652482269502</v>
      </c>
      <c r="CU67" s="217">
        <f t="shared" si="52"/>
        <v>3.7901319301456575</v>
      </c>
      <c r="CV67" s="217">
        <f t="shared" si="53"/>
        <v>3.5374564681359471</v>
      </c>
      <c r="CW67" s="443">
        <f t="shared" si="54"/>
        <v>28</v>
      </c>
      <c r="CX67" s="217">
        <f t="shared" si="55"/>
        <v>6.8159456740442659</v>
      </c>
      <c r="CY67" s="217">
        <f t="shared" si="56"/>
        <v>1.1441051667145732</v>
      </c>
      <c r="CZ67" s="217">
        <f t="shared" si="57"/>
        <v>1.116200162648364</v>
      </c>
      <c r="DA67" s="197">
        <f t="shared" si="58"/>
        <v>350</v>
      </c>
      <c r="DB67" s="443">
        <f t="shared" si="115"/>
        <v>350</v>
      </c>
      <c r="DD67" s="217">
        <f t="shared" si="59"/>
        <v>8.6157079064880477</v>
      </c>
      <c r="DE67" s="173">
        <f t="shared" si="60"/>
        <v>1.4109347442680775</v>
      </c>
      <c r="DF67" s="173">
        <f t="shared" si="61"/>
        <v>2.1273352855526046</v>
      </c>
      <c r="DG67" s="173"/>
      <c r="DH67" s="173">
        <f t="shared" si="62"/>
        <v>0.54587688734030204</v>
      </c>
      <c r="DI67" s="545">
        <f t="shared" si="63"/>
        <v>1703.6808510638298</v>
      </c>
      <c r="DJ67" s="528">
        <f t="shared" si="64"/>
        <v>0.31842818428184283</v>
      </c>
      <c r="DL67" s="173">
        <f t="shared" si="65"/>
        <v>7.643261927183838</v>
      </c>
      <c r="DM67" s="173">
        <f t="shared" si="66"/>
        <v>7.643261927183838</v>
      </c>
      <c r="DN67" s="173">
        <f t="shared" si="67"/>
        <v>4.3925396991485215</v>
      </c>
      <c r="DP67" s="545">
        <f t="shared" si="68"/>
        <v>1550</v>
      </c>
      <c r="DQ67" s="460">
        <f t="shared" si="69"/>
        <v>350</v>
      </c>
      <c r="DS67">
        <f t="shared" si="116"/>
        <v>1550</v>
      </c>
      <c r="DT67">
        <f t="shared" si="70"/>
        <v>350</v>
      </c>
      <c r="DV67" s="5">
        <f t="shared" si="117"/>
        <v>2.8571428571428572</v>
      </c>
      <c r="DW67" s="5">
        <f t="shared" si="71"/>
        <v>1.2829761092058583</v>
      </c>
      <c r="DX67" s="5">
        <f t="shared" si="118"/>
        <v>1.574166747936999</v>
      </c>
      <c r="DY67" s="173">
        <f t="shared" si="119"/>
        <v>0.4490416382220504</v>
      </c>
      <c r="EA67" s="5">
        <f t="shared" si="72"/>
        <v>7.1021891759610014</v>
      </c>
      <c r="EB67" s="5">
        <f t="shared" si="73"/>
        <v>0.66287098975636005</v>
      </c>
      <c r="EC67" s="5">
        <f t="shared" si="74"/>
        <v>1.7428274709302487</v>
      </c>
      <c r="ED67" s="5"/>
      <c r="EE67" s="173">
        <f t="shared" si="120"/>
        <v>2.9570687529294926</v>
      </c>
      <c r="EF67" s="173">
        <f t="shared" si="75"/>
        <v>3.2754992524744502</v>
      </c>
      <c r="EG67" s="173">
        <f t="shared" si="76"/>
        <v>0.33023476070029295</v>
      </c>
      <c r="EH67" s="173"/>
      <c r="EI67" s="528">
        <f t="shared" si="77"/>
        <v>0.10493106731462382</v>
      </c>
      <c r="EJ67" s="528">
        <f t="shared" si="78"/>
        <v>2.8819301259543026</v>
      </c>
      <c r="EK67" s="528">
        <f t="shared" si="79"/>
        <v>4.0250000000000001E-2</v>
      </c>
      <c r="EL67" s="528">
        <f t="shared" si="80"/>
        <v>0.55416666375000012</v>
      </c>
      <c r="EM67">
        <f t="shared" si="81"/>
        <v>1.26E-2</v>
      </c>
      <c r="EN67" s="460">
        <f t="shared" si="121"/>
        <v>52.85</v>
      </c>
      <c r="EO67">
        <f t="shared" si="82"/>
        <v>3.7148258782785453</v>
      </c>
      <c r="EP67" s="460">
        <f t="shared" si="122"/>
        <v>3714.8258782785451</v>
      </c>
      <c r="EQ67" s="173">
        <f t="shared" si="83"/>
        <v>1.0394299999999999</v>
      </c>
      <c r="ER67" s="173">
        <f t="shared" si="169"/>
        <v>7.4244999999999992E-2</v>
      </c>
      <c r="ES67" s="528"/>
      <c r="EU67" s="460">
        <f t="shared" si="123"/>
        <v>1113.6749999999997</v>
      </c>
      <c r="EV67" s="528">
        <f t="shared" si="85"/>
        <v>0.12241957853372779</v>
      </c>
      <c r="EW67" s="528">
        <f t="shared" si="124"/>
        <v>0.15020453494144956</v>
      </c>
      <c r="EX67" s="528">
        <f t="shared" si="86"/>
        <v>5.4527498587389879E-4</v>
      </c>
      <c r="EY67" s="528">
        <f t="shared" si="87"/>
        <v>18.507040354435535</v>
      </c>
      <c r="EZ67" s="528">
        <f t="shared" si="88"/>
        <v>19.26681880497074</v>
      </c>
      <c r="FA67" s="625">
        <f t="shared" si="89"/>
        <v>2.0446808510638301</v>
      </c>
      <c r="FB67" s="460">
        <f t="shared" si="125"/>
        <v>21311.499656034572</v>
      </c>
      <c r="FC67" s="173">
        <f t="shared" si="126"/>
        <v>26.140000534313117</v>
      </c>
      <c r="FD67" s="5">
        <f t="shared" si="127"/>
        <v>48.05</v>
      </c>
      <c r="FE67" s="173">
        <f t="shared" si="128"/>
        <v>0.64766140522908766</v>
      </c>
      <c r="FF67" s="5">
        <f t="shared" si="129"/>
        <v>64.766140522908771</v>
      </c>
      <c r="FG67">
        <f t="shared" si="130"/>
        <v>62</v>
      </c>
      <c r="FI67" s="562">
        <f t="shared" si="90"/>
        <v>-50</v>
      </c>
      <c r="FJ67">
        <f t="shared" si="91"/>
        <v>-50</v>
      </c>
      <c r="FL67">
        <f t="shared" si="92"/>
        <v>0.42374504027177656</v>
      </c>
    </row>
    <row r="68" spans="5:168">
      <c r="E68" s="170">
        <v>63</v>
      </c>
      <c r="F68" s="217">
        <f t="shared" si="173"/>
        <v>1.575</v>
      </c>
      <c r="G68" s="217">
        <f t="shared" si="170"/>
        <v>0.1575</v>
      </c>
      <c r="H68" s="217">
        <f t="shared" si="135"/>
        <v>44.1</v>
      </c>
      <c r="I68" s="217">
        <f t="shared" si="174"/>
        <v>4.7249999999999996</v>
      </c>
      <c r="J68" s="541">
        <f t="shared" si="136"/>
        <v>27.872714675256269</v>
      </c>
      <c r="K68" s="443">
        <f t="shared" si="137"/>
        <v>28.751621371131023</v>
      </c>
      <c r="L68" s="172">
        <f t="shared" si="138"/>
        <v>56.624336046387292</v>
      </c>
      <c r="M68" s="443"/>
      <c r="N68" s="217">
        <f t="shared" si="139"/>
        <v>0.50776085652602398</v>
      </c>
      <c r="O68" s="172">
        <f t="shared" si="171"/>
        <v>106.52549929085508</v>
      </c>
      <c r="P68" s="172">
        <f t="shared" si="140"/>
        <v>12.636315604655001</v>
      </c>
      <c r="Q68" s="217">
        <f t="shared" si="6"/>
        <v>3.8044821175305388</v>
      </c>
      <c r="R68" s="217">
        <f t="shared" si="141"/>
        <v>3.5508499763618362</v>
      </c>
      <c r="S68" s="443">
        <f t="shared" si="142"/>
        <v>28</v>
      </c>
      <c r="T68" s="217">
        <f t="shared" si="143"/>
        <v>6.8997564422877842</v>
      </c>
      <c r="U68" s="217">
        <f t="shared" si="10"/>
        <v>1.163462391682321</v>
      </c>
      <c r="V68" s="217">
        <f t="shared" si="11"/>
        <v>1.1278965752976216</v>
      </c>
      <c r="W68" s="197">
        <f t="shared" si="12"/>
        <v>350</v>
      </c>
      <c r="X68" s="443">
        <f t="shared" si="95"/>
        <v>350</v>
      </c>
      <c r="Z68" s="217">
        <f t="shared" si="13"/>
        <v>8.6034489223182984</v>
      </c>
      <c r="AA68" s="173">
        <f t="shared" si="14"/>
        <v>1.406397552782789</v>
      </c>
      <c r="AB68" s="173">
        <f t="shared" si="144"/>
        <v>2.1174771642220311</v>
      </c>
      <c r="AC68" s="173"/>
      <c r="AD68" s="173">
        <f t="shared" si="16"/>
        <v>0.54489680649444283</v>
      </c>
      <c r="AE68" s="545">
        <f t="shared" si="145"/>
        <v>1734.2733316416266</v>
      </c>
      <c r="AF68" s="528">
        <f t="shared" si="146"/>
        <v>0.31785647045509163</v>
      </c>
      <c r="AH68" s="173">
        <f t="shared" si="147"/>
        <v>7.7046545754926337</v>
      </c>
      <c r="AI68" s="173">
        <f t="shared" si="148"/>
        <v>7.7046545754926337</v>
      </c>
      <c r="AJ68" s="173">
        <f t="shared" si="149"/>
        <v>4.4380157349328151</v>
      </c>
      <c r="AL68" s="545">
        <f t="shared" si="150"/>
        <v>1575</v>
      </c>
      <c r="AM68" s="460">
        <f t="shared" si="151"/>
        <v>350</v>
      </c>
      <c r="AO68">
        <f t="shared" si="96"/>
        <v>1575</v>
      </c>
      <c r="AP68">
        <f t="shared" si="24"/>
        <v>350</v>
      </c>
      <c r="AR68" s="5">
        <f t="shared" si="97"/>
        <v>2.8571428571428572</v>
      </c>
      <c r="AS68" s="5">
        <f t="shared" si="25"/>
        <v>1.2991872850103876</v>
      </c>
      <c r="AT68" s="5">
        <f t="shared" si="98"/>
        <v>1.5579555721324696</v>
      </c>
      <c r="AU68" s="173">
        <f t="shared" si="99"/>
        <v>0.45471554975363565</v>
      </c>
      <c r="AW68" s="5">
        <f t="shared" si="152"/>
        <v>7.3079284781834293</v>
      </c>
      <c r="AX68" s="5">
        <f t="shared" si="153"/>
        <v>0.68207332463045356</v>
      </c>
      <c r="AY68" s="5">
        <f t="shared" si="28"/>
        <v>1.7607040108561502</v>
      </c>
      <c r="AZ68" s="5"/>
      <c r="BA68" s="173">
        <f t="shared" si="100"/>
        <v>2.9995938067950849</v>
      </c>
      <c r="BB68" s="173">
        <f t="shared" si="154"/>
        <v>3.2847634674036672</v>
      </c>
      <c r="BC68" s="173">
        <f t="shared" si="155"/>
        <v>0.33116877581200904</v>
      </c>
      <c r="BD68" s="173"/>
      <c r="BE68" s="528">
        <f t="shared" si="31"/>
        <v>0.10797075606916114</v>
      </c>
      <c r="BF68" s="528">
        <f t="shared" si="156"/>
        <v>2.7866806918732436</v>
      </c>
      <c r="BG68" s="528">
        <f t="shared" si="33"/>
        <v>4.0250000000000001E-2</v>
      </c>
      <c r="BH68" s="528">
        <f t="shared" si="34"/>
        <v>0.55268862271066188</v>
      </c>
      <c r="BI68">
        <f t="shared" si="35"/>
        <v>1.254272160386532E-2</v>
      </c>
      <c r="BJ68" s="460">
        <f t="shared" si="101"/>
        <v>52.792721603865317</v>
      </c>
      <c r="BK68">
        <f t="shared" si="157"/>
        <v>3.5680257787753922</v>
      </c>
      <c r="BL68" s="460">
        <f t="shared" si="102"/>
        <v>3568.0257787753922</v>
      </c>
      <c r="BM68" s="173">
        <f t="shared" si="158"/>
        <v>1.0561949999999998</v>
      </c>
      <c r="BN68" s="173">
        <f t="shared" si="159"/>
        <v>7.5442499999999996E-2</v>
      </c>
      <c r="BO68" s="528"/>
      <c r="BQ68" s="460">
        <f t="shared" si="103"/>
        <v>1131.6374999999998</v>
      </c>
      <c r="BR68" s="528">
        <f t="shared" si="39"/>
        <v>0.12596588208068801</v>
      </c>
      <c r="BS68" s="528">
        <f t="shared" si="104"/>
        <v>0.15105539451505667</v>
      </c>
      <c r="BT68" s="528">
        <f t="shared" si="160"/>
        <v>5.4836379036412349E-4</v>
      </c>
      <c r="BU68" s="528">
        <f t="shared" si="41"/>
        <v>18.88091542568926</v>
      </c>
      <c r="BV68" s="528">
        <f t="shared" si="161"/>
        <v>19.661701083702635</v>
      </c>
      <c r="BW68" s="625">
        <f t="shared" si="162"/>
        <v>2.0776595744680852</v>
      </c>
      <c r="BX68" s="460">
        <f t="shared" si="105"/>
        <v>21739.360658170721</v>
      </c>
      <c r="BY68" s="173">
        <f t="shared" si="106"/>
        <v>26.439023936946114</v>
      </c>
      <c r="BZ68" s="5">
        <f t="shared" si="107"/>
        <v>48.825000000000003</v>
      </c>
      <c r="CA68" s="173">
        <f t="shared" si="108"/>
        <v>0.6487163115395489</v>
      </c>
      <c r="CB68" s="5">
        <f t="shared" si="109"/>
        <v>64.871631153954894</v>
      </c>
      <c r="CC68">
        <f t="shared" si="172"/>
        <v>63</v>
      </c>
      <c r="CE68" s="562">
        <f t="shared" si="163"/>
        <v>-50</v>
      </c>
      <c r="CF68">
        <f t="shared" si="164"/>
        <v>-50</v>
      </c>
      <c r="CG68" s="173">
        <f t="shared" si="165"/>
        <v>0.42714866957008424</v>
      </c>
      <c r="CH68" s="173">
        <f t="shared" si="166"/>
        <v>0.13851801232421376</v>
      </c>
      <c r="CI68" s="170">
        <v>63</v>
      </c>
      <c r="CJ68" s="217">
        <f t="shared" si="133"/>
        <v>1.575</v>
      </c>
      <c r="CK68" s="217">
        <f t="shared" si="111"/>
        <v>0.1575</v>
      </c>
      <c r="CL68" s="217">
        <f t="shared" si="48"/>
        <v>44.1</v>
      </c>
      <c r="CM68" s="217">
        <f t="shared" si="134"/>
        <v>4.7249999999999996</v>
      </c>
      <c r="CN68" s="541">
        <f t="shared" si="112"/>
        <v>28</v>
      </c>
      <c r="CO68" s="443">
        <f t="shared" si="167"/>
        <v>28.7</v>
      </c>
      <c r="CP68" s="443">
        <f t="shared" si="168"/>
        <v>56.7</v>
      </c>
      <c r="CQ68" s="443"/>
      <c r="CR68" s="217">
        <f t="shared" si="113"/>
        <v>0.50354609929078009</v>
      </c>
      <c r="CS68" s="172">
        <f t="shared" si="114"/>
        <v>106.12369404407841</v>
      </c>
      <c r="CT68" s="172">
        <f t="shared" si="51"/>
        <v>12.588652482269502</v>
      </c>
      <c r="CU68" s="217">
        <f t="shared" si="52"/>
        <v>3.7901319301456575</v>
      </c>
      <c r="CV68" s="217">
        <f t="shared" si="53"/>
        <v>3.5374564681359471</v>
      </c>
      <c r="CW68" s="443">
        <f t="shared" si="54"/>
        <v>28</v>
      </c>
      <c r="CX68" s="217">
        <f t="shared" si="55"/>
        <v>6.9258802816901417</v>
      </c>
      <c r="CY68" s="217">
        <f t="shared" si="56"/>
        <v>1.1625584758551308</v>
      </c>
      <c r="CZ68" s="217">
        <f t="shared" si="57"/>
        <v>1.1342033910781766</v>
      </c>
      <c r="DA68" s="197">
        <f t="shared" si="58"/>
        <v>350</v>
      </c>
      <c r="DB68" s="443">
        <f t="shared" si="115"/>
        <v>350</v>
      </c>
      <c r="DD68" s="217">
        <f t="shared" si="59"/>
        <v>8.6157079064880477</v>
      </c>
      <c r="DE68" s="173">
        <f t="shared" si="60"/>
        <v>1.4109347442680775</v>
      </c>
      <c r="DF68" s="173">
        <f t="shared" si="61"/>
        <v>2.1273352855526046</v>
      </c>
      <c r="DG68" s="173"/>
      <c r="DH68" s="173">
        <f t="shared" si="62"/>
        <v>0.54587688734030204</v>
      </c>
      <c r="DI68" s="545">
        <f t="shared" si="63"/>
        <v>1731.1595744680851</v>
      </c>
      <c r="DJ68" s="528">
        <f t="shared" si="64"/>
        <v>0.31842818428184283</v>
      </c>
      <c r="DL68" s="173">
        <f t="shared" si="65"/>
        <v>7.7046545754926337</v>
      </c>
      <c r="DM68" s="173">
        <f t="shared" si="66"/>
        <v>7.7046545754926337</v>
      </c>
      <c r="DN68" s="173">
        <f t="shared" si="67"/>
        <v>4.4380157349328151</v>
      </c>
      <c r="DP68" s="545">
        <f t="shared" si="68"/>
        <v>1575</v>
      </c>
      <c r="DQ68" s="460">
        <f t="shared" si="69"/>
        <v>350</v>
      </c>
      <c r="DS68">
        <f t="shared" si="116"/>
        <v>1575</v>
      </c>
      <c r="DT68">
        <f t="shared" si="70"/>
        <v>350</v>
      </c>
      <c r="DV68" s="5">
        <f t="shared" si="117"/>
        <v>2.8571428571428572</v>
      </c>
      <c r="DW68" s="5">
        <f t="shared" si="71"/>
        <v>1.2932813037434063</v>
      </c>
      <c r="DX68" s="5">
        <f t="shared" si="118"/>
        <v>1.5638615533994509</v>
      </c>
      <c r="DY68" s="173">
        <f t="shared" si="119"/>
        <v>0.45264845631019218</v>
      </c>
      <c r="EA68" s="5">
        <f t="shared" si="72"/>
        <v>7.2747073335566608</v>
      </c>
      <c r="EB68" s="5">
        <f t="shared" si="73"/>
        <v>0.67897268446528825</v>
      </c>
      <c r="EC68" s="5">
        <f t="shared" si="74"/>
        <v>1.7593442475743819</v>
      </c>
      <c r="ED68" s="5"/>
      <c r="EE68" s="173">
        <f t="shared" si="120"/>
        <v>2.9927681072896686</v>
      </c>
      <c r="EF68" s="173">
        <f t="shared" si="75"/>
        <v>3.2909836065442506</v>
      </c>
      <c r="EG68" s="173">
        <f t="shared" si="76"/>
        <v>0.33179588820077283</v>
      </c>
      <c r="EH68" s="173"/>
      <c r="EI68" s="528">
        <f t="shared" si="77"/>
        <v>0.10747993132812222</v>
      </c>
      <c r="EJ68" s="528">
        <f t="shared" si="78"/>
        <v>2.905078530962375</v>
      </c>
      <c r="EK68" s="528">
        <f t="shared" si="79"/>
        <v>4.0250000000000001E-2</v>
      </c>
      <c r="EL68" s="528">
        <f t="shared" si="80"/>
        <v>0.55416666375000012</v>
      </c>
      <c r="EM68">
        <f t="shared" si="81"/>
        <v>1.26E-2</v>
      </c>
      <c r="EN68" s="460">
        <f t="shared" si="121"/>
        <v>52.85</v>
      </c>
      <c r="EO68">
        <f t="shared" si="82"/>
        <v>3.7442115041529007</v>
      </c>
      <c r="EP68" s="460">
        <f t="shared" si="122"/>
        <v>3744.2115041529005</v>
      </c>
      <c r="EQ68" s="173">
        <f t="shared" si="83"/>
        <v>1.0561949999999998</v>
      </c>
      <c r="ER68" s="173">
        <f t="shared" si="169"/>
        <v>7.5442499999999996E-2</v>
      </c>
      <c r="ES68" s="528"/>
      <c r="EU68" s="460">
        <f t="shared" si="123"/>
        <v>1131.6374999999998</v>
      </c>
      <c r="EV68" s="528">
        <f t="shared" si="85"/>
        <v>0.12539325321614259</v>
      </c>
      <c r="EW68" s="528">
        <f t="shared" si="124"/>
        <v>0.15162802337960204</v>
      </c>
      <c r="EX68" s="528">
        <f t="shared" si="86"/>
        <v>5.5044255713469867E-4</v>
      </c>
      <c r="EY68" s="528">
        <f t="shared" si="87"/>
        <v>18.88091542568926</v>
      </c>
      <c r="EZ68" s="528">
        <f t="shared" si="88"/>
        <v>19.661707063936195</v>
      </c>
      <c r="FA68" s="625">
        <f t="shared" si="89"/>
        <v>2.0776595744680852</v>
      </c>
      <c r="FB68" s="460">
        <f t="shared" si="125"/>
        <v>21739.366638404281</v>
      </c>
      <c r="FC68" s="173">
        <f t="shared" si="126"/>
        <v>26.615215642557182</v>
      </c>
      <c r="FD68" s="5">
        <f t="shared" si="127"/>
        <v>48.825000000000003</v>
      </c>
      <c r="FE68" s="173">
        <f t="shared" si="128"/>
        <v>0.64720122528993607</v>
      </c>
      <c r="FF68" s="5">
        <f t="shared" si="129"/>
        <v>64.720122528993613</v>
      </c>
      <c r="FG68">
        <f t="shared" si="130"/>
        <v>63</v>
      </c>
      <c r="FI68" s="562">
        <f t="shared" si="90"/>
        <v>-50</v>
      </c>
      <c r="FJ68">
        <f t="shared" si="91"/>
        <v>-50</v>
      </c>
      <c r="FL68">
        <f t="shared" si="92"/>
        <v>0.42714866957008418</v>
      </c>
    </row>
    <row r="69" spans="5:168">
      <c r="E69" s="170">
        <v>64</v>
      </c>
      <c r="F69" s="217">
        <f t="shared" si="173"/>
        <v>1.6</v>
      </c>
      <c r="G69" s="217">
        <f t="shared" si="170"/>
        <v>0.16</v>
      </c>
      <c r="H69" s="217">
        <f t="shared" ref="H69:H105" si="175">F69*Vout</f>
        <v>44.800000000000004</v>
      </c>
      <c r="I69" s="217">
        <f t="shared" si="174"/>
        <v>4.8</v>
      </c>
      <c r="J69" s="541">
        <f t="shared" ref="J69:J105" si="176">Vin-(F69/CG69/Nps+G69/CH69/(Nps/Nsec1sec2))*(Rdcr_pri+RON/1000)</f>
        <v>27.871708451497138</v>
      </c>
      <c r="K69" s="443">
        <f t="shared" ref="K69:K105" si="177">MAX((S69+Vfwd2+Rdcr_sec*F69/CG69)*Nps,(Vout2+Vfwd22+Rdcr_sec2*G69/CH69)*Nps/Nsec1sec2)</f>
        <v>28.752029451561469</v>
      </c>
      <c r="L69" s="172">
        <f t="shared" ref="L69:L105" si="178">MAX((Vout+Vfwd2+F69/CG69*Rdcr_sec)*Nps+J69, (Vout2+Vfwd22+G69/CH69*Rdcr_sec2)*Nps/Nsec1sec2+J69)</f>
        <v>56.623737903058611</v>
      </c>
      <c r="M69" s="443"/>
      <c r="N69" s="217">
        <f t="shared" ref="N69:N105" si="179">MAX((Vout+Vfwd2+F69/CG69*Rdcr_sec)*Nps/((Vout+Vfwd2+F69/CG69*Rdcr_sec)*Nps+J69), (Vout2+Vfwd22+G69/CH69*Rdcr_sec2)*Nps/Nsec1sec2/((Vout2+Vfwd22+G69/CH69*Rdcr_sec2)*Nps/Nsec1sec2+J69))</f>
        <v>0.50777342712319218</v>
      </c>
      <c r="O69" s="172">
        <f t="shared" si="171"/>
        <v>106.52429079716775</v>
      </c>
      <c r="P69" s="172">
        <f t="shared" ref="P69:P105" si="180">N69*J69*Isw_max*0.5*Efficiency*(Pout2/Pout_total)</f>
        <v>12.636172250174234</v>
      </c>
      <c r="Q69" s="217">
        <f t="shared" ref="Q69:Q105" si="181">O69/Vout</f>
        <v>3.8044389570417052</v>
      </c>
      <c r="R69" s="217">
        <f t="shared" ref="R69:R105" si="182">O69/Vout2</f>
        <v>3.550809693238925</v>
      </c>
      <c r="S69" s="443">
        <f t="shared" ref="S69:S105" si="183">MIN(Vout,O69/F69)</f>
        <v>28</v>
      </c>
      <c r="T69" s="217">
        <f t="shared" ref="T69:T105" si="184">MIN(2*(Vout*F69+Vout2*G69)/(Efficiency*J69*N69), Isw_max)</f>
        <v>7.0093559044517866</v>
      </c>
      <c r="U69" s="217">
        <f t="shared" ref="U69:U105" si="185">L*T69/J69*1000000</f>
        <v>1.1819861279136552</v>
      </c>
      <c r="V69" s="217">
        <f t="shared" ref="V69:V105" si="186">L*T69/K69*1000000</f>
        <v>1.1457964317414218</v>
      </c>
      <c r="W69" s="197">
        <f t="shared" ref="W69:W105" si="187">IF(1/((350000*L)*(1/J69+1/K69))&gt;Isw_min, 350, 0.001/((Isw_min*L)*(1/J69+1/K69)))</f>
        <v>350</v>
      </c>
      <c r="X69" s="443">
        <f t="shared" si="95"/>
        <v>350</v>
      </c>
      <c r="Z69" s="217">
        <f t="shared" ref="Z69:Z105" si="188">1/((W69*1000*L)*(1/J69+1/K69))</f>
        <v>8.6033513192675652</v>
      </c>
      <c r="AA69" s="173">
        <f t="shared" ref="AA69:AA105" si="189">L*Z69/K69*1000000</f>
        <v>1.4063616367908793</v>
      </c>
      <c r="AB69" s="173">
        <f t="shared" ref="AB69:AB100" si="190">0.5*AA69*Z69*Nps*W69/1000*(Pout/Pout_total)</f>
        <v>2.1173990675691186</v>
      </c>
      <c r="AC69" s="173"/>
      <c r="AD69" s="173">
        <f t="shared" ref="AD69:AD105" si="191">L*Isw_min/K69*1000000</f>
        <v>0.544889072719555</v>
      </c>
      <c r="AE69" s="545">
        <f t="shared" ref="AE69:AE100" si="192">MAX(10, F69/(0.5*AD69/1000000*Isw_min*Nps)/1000*Pout_total/Pout)</f>
        <v>1761.8264855424902</v>
      </c>
      <c r="AF69" s="528">
        <f t="shared" ref="AF69:AF105" si="193">0.5*AD69/1000000*Isw_min*Nps*W69*1000*(Pout/Pout_total)</f>
        <v>0.31785195908640718</v>
      </c>
      <c r="AH69" s="173">
        <f t="shared" ref="AH69:AH105" si="194">SQRT((H69+I69)/(0.5*L*Fsw_DCM))</f>
        <v>7.765561883584545</v>
      </c>
      <c r="AI69" s="173">
        <f t="shared" ref="AI69:AI100" si="195">MAX(IF(F69&gt;AB69,T69,AH69),Isw_min)</f>
        <v>7.765561883584545</v>
      </c>
      <c r="AJ69" s="173">
        <f t="shared" ref="AJ69:AJ100" si="196">IF(F69&gt;AF69, (AI69-Isw_min)/1.08*0.8+1.2, AE69*0.2/350+1)</f>
        <v>4.483132259445342</v>
      </c>
      <c r="AL69" s="545">
        <f t="shared" ref="AL69:AL105" si="197">F69*1000</f>
        <v>1600</v>
      </c>
      <c r="AM69" s="460">
        <f t="shared" ref="AM69:AM105" si="198">IF(F69&gt;AF69, X69, AE69)</f>
        <v>350</v>
      </c>
      <c r="AO69">
        <f t="shared" si="96"/>
        <v>1600</v>
      </c>
      <c r="AP69">
        <f t="shared" ref="AP69:AP105" si="199">IF(H69&gt;O69, "",AM69)</f>
        <v>350</v>
      </c>
      <c r="AR69" s="5">
        <f t="shared" si="97"/>
        <v>2.8571428571428572</v>
      </c>
      <c r="AS69" s="5">
        <f t="shared" ref="AS69:AS105" si="200">L*AI69/J69*1000000</f>
        <v>1.3095049740622142</v>
      </c>
      <c r="AT69" s="5">
        <f t="shared" si="98"/>
        <v>1.547637883080643</v>
      </c>
      <c r="AU69" s="173">
        <f t="shared" si="99"/>
        <v>0.45832674092177494</v>
      </c>
      <c r="AW69" s="5">
        <f t="shared" ref="AW69:AW105" si="201">F69*AS69/Vout_ripple*1000</f>
        <v>7.482885566069795</v>
      </c>
      <c r="AX69" s="5">
        <f t="shared" ref="AX69:AX105" si="202">G69*AS69/Vout_ripple2*1000</f>
        <v>0.69840265283318093</v>
      </c>
      <c r="AY69" s="5">
        <f t="shared" ref="AY69:AY105" si="203">H69/Efficiency/J69*AT69/Vinripple1</f>
        <v>1.7768703466730025</v>
      </c>
      <c r="AZ69" s="5"/>
      <c r="BA69" s="173">
        <f t="shared" si="100"/>
        <v>3.035287657707824</v>
      </c>
      <c r="BB69" s="173">
        <f t="shared" ref="BB69:BB105" si="204">AI69*Npri_sec1*SQRT((1-AU69)/3)*(Pout/Pout_total)</f>
        <v>3.2997493779922538</v>
      </c>
      <c r="BC69" s="173">
        <f t="shared" ref="BC69:BC105" si="205">AI69*Npri_sec2*SQRT((1-AU69)/3)*(Pout2/Pout_total)</f>
        <v>0.33267965040413705</v>
      </c>
      <c r="BD69" s="173"/>
      <c r="BE69" s="528">
        <f t="shared" ref="BE69:BE105" si="206">Rdson*BA69^2</f>
        <v>0.1105556539804014</v>
      </c>
      <c r="BF69" s="528">
        <f t="shared" ref="BF69:BF105" si="207">0.5*L69*AI69*AM69*1000*Tfall</f>
        <v>2.8086804616432945</v>
      </c>
      <c r="BG69" s="528">
        <f t="shared" ref="BG69:BG105" si="208">Qg*Vdd*AM69*1000</f>
        <v>4.0250000000000001E-2</v>
      </c>
      <c r="BH69" s="528">
        <f t="shared" ref="BH69:BH105" si="209">0.5*(Coss+Csw)*L69^2*AM69*1000</f>
        <v>0.5526769462729485</v>
      </c>
      <c r="BI69">
        <f t="shared" ref="BI69:BI105" si="210">J69*IQ</f>
        <v>1.2542268803173712E-2</v>
      </c>
      <c r="BJ69" s="460">
        <f t="shared" si="101"/>
        <v>52.792268803173712</v>
      </c>
      <c r="BK69">
        <f t="shared" ref="BK69:BK105" si="211">(BF69+BG69*0+BH69+BI69*0+BE69*(1+RdsonTC*(Ta-25)))/(1-BE69*RdsonTC*ThetaJA)</f>
        <v>3.5962289136762884</v>
      </c>
      <c r="BL69" s="460">
        <f t="shared" si="102"/>
        <v>3596.2289136762884</v>
      </c>
      <c r="BM69" s="173">
        <f t="shared" ref="BM69:BM105" si="212">Vfwd2*F69*(1+Diode_TC/1000*(Ta-25))</f>
        <v>1.0729599999999999</v>
      </c>
      <c r="BN69" s="173">
        <f t="shared" ref="BN69:BN105" si="213">Vfwd22*G69*(1+Diode_TC/1000*(Ta-25))</f>
        <v>7.664E-2</v>
      </c>
      <c r="BO69" s="528"/>
      <c r="BQ69" s="460">
        <f t="shared" si="103"/>
        <v>1149.5999999999999</v>
      </c>
      <c r="BR69" s="528">
        <f t="shared" ref="BR69:BR105" si="214">Rdcr_pri*BA69^2</f>
        <v>0.12898159631046829</v>
      </c>
      <c r="BS69" s="528">
        <f t="shared" ref="BS69:BS105" si="215">Rdcr_sec*BB69^2</f>
        <v>0.15243684340584371</v>
      </c>
      <c r="BT69" s="528">
        <f t="shared" ref="BT69:BT105" si="216">Rdcr_sec2*BC69^2</f>
        <v>5.5337874896509425E-4</v>
      </c>
      <c r="BU69" s="528">
        <f t="shared" ref="BU69:BU105" si="217">AI69^2.5*AM69^2.5*k_core</f>
        <v>19.256277130523408</v>
      </c>
      <c r="BV69" s="528">
        <f t="shared" ref="BV69:BV100" si="218">(BU69+(BR69+BS69+BT69)*(1+Ltc*(Ta-25)))/(1-(BR69+BS69+BT69)*Ltc*ThetaCa)</f>
        <v>20.058394339615141</v>
      </c>
      <c r="BW69" s="625">
        <f t="shared" ref="BW69:BW105" si="219">0.5*Lleak*0.000000001*AI69^2*AM69*1000</f>
        <v>2.1106382978723404</v>
      </c>
      <c r="BX69" s="460">
        <f t="shared" si="105"/>
        <v>22169.032637487482</v>
      </c>
      <c r="BY69" s="173">
        <f t="shared" si="106"/>
        <v>26.914861551163771</v>
      </c>
      <c r="BZ69" s="5">
        <f t="shared" si="107"/>
        <v>49.6</v>
      </c>
      <c r="CA69" s="173">
        <f t="shared" si="108"/>
        <v>0.64824008035136538</v>
      </c>
      <c r="CB69" s="5">
        <f t="shared" si="109"/>
        <v>64.824008035136544</v>
      </c>
      <c r="CC69">
        <f t="shared" si="172"/>
        <v>64</v>
      </c>
      <c r="CE69" s="562">
        <f t="shared" ref="CE69:CE105" si="220">IF(ABS(F69-Ioutmax_Vinnom)&lt;Iout/200, AM69, -50)</f>
        <v>-50</v>
      </c>
      <c r="CF69">
        <f t="shared" ref="CF69:CF105" si="221">IF(ABS(F69-Ioutmax_Vinnom)&lt;Iout/200, (O69+P69)*CA69, -50)</f>
        <v>-50</v>
      </c>
      <c r="CG69" s="173">
        <f t="shared" ref="CG69:CG105" si="222">MIN(SQRT(2*DT69*1000*Ls1_*(CL69+CJ69*Vfwd1))/(CW69+Vfwd1), 1-DY69)</f>
        <v>0.43052539144173174</v>
      </c>
      <c r="CH69" s="173">
        <f t="shared" ref="CH69:CH105" si="223">MIN(SQRT(2*DT69*1000*Ls2_*(CM69+CK69*Vfwd22))/(Vout2+Vfwd22), 1-DY69)</f>
        <v>0.13961303341441894</v>
      </c>
      <c r="CI69" s="170">
        <v>64</v>
      </c>
      <c r="CJ69" s="217">
        <f t="shared" si="133"/>
        <v>1.6</v>
      </c>
      <c r="CK69" s="217">
        <f t="shared" si="111"/>
        <v>0.16</v>
      </c>
      <c r="CL69" s="217">
        <f t="shared" ref="CL69:CL105" si="224">CJ69*Vout</f>
        <v>44.800000000000004</v>
      </c>
      <c r="CM69" s="217">
        <f t="shared" si="134"/>
        <v>4.8</v>
      </c>
      <c r="CN69" s="541">
        <f t="shared" si="112"/>
        <v>28</v>
      </c>
      <c r="CO69" s="443">
        <f t="shared" ref="CO69:CO105" si="225">(CW69+Vfwd2)*Nps</f>
        <v>28.7</v>
      </c>
      <c r="CP69" s="443">
        <f t="shared" ref="CP69:CP105" si="226">(Vout+Vfwd2)*Nps+CN69</f>
        <v>56.7</v>
      </c>
      <c r="CQ69" s="443"/>
      <c r="CR69" s="217">
        <f t="shared" ref="CR69:CR105" si="227">(Vout+Vfwd1)*Nps/((Vout+Vfwd1)*Nps+CN69)</f>
        <v>0.50354609929078009</v>
      </c>
      <c r="CS69" s="172">
        <f t="shared" si="114"/>
        <v>106.12369404407841</v>
      </c>
      <c r="CT69" s="172">
        <f t="shared" ref="CT69:CT105" si="228">CR69*CN69*Isw_max*0.5*Efficiency*(Pout2/Pout_total)</f>
        <v>12.588652482269502</v>
      </c>
      <c r="CU69" s="217">
        <f t="shared" ref="CU69:CU105" si="229">CS69/Vout</f>
        <v>3.7901319301456575</v>
      </c>
      <c r="CV69" s="217">
        <f t="shared" ref="CV69:CV105" si="230">CS69/Vout2</f>
        <v>3.5374564681359471</v>
      </c>
      <c r="CW69" s="443">
        <f t="shared" ref="CW69:CW105" si="231">MIN(Vout,CS69/CJ69)</f>
        <v>28</v>
      </c>
      <c r="CX69" s="217">
        <f t="shared" ref="CX69:CX105" si="232">MIN(2*(Vout*CJ69+Vout2*CK69)/(Efficiency*CN69*CR69), Isw_max)</f>
        <v>7.0358148893360166</v>
      </c>
      <c r="CY69" s="217">
        <f t="shared" ref="CY69:CY105" si="233">L*CX69/CN69*1000000</f>
        <v>1.1810117849956885</v>
      </c>
      <c r="CZ69" s="217">
        <f t="shared" ref="CZ69:CZ105" si="234">L*CX69/CO69*1000000</f>
        <v>1.152206619507989</v>
      </c>
      <c r="DA69" s="197">
        <f t="shared" ref="DA69:DA105" si="235">IF(1/((350000*L)*(1/CN69+1/CO69))&gt;Isw_min, 350, 0.001/((Isw_min*L)*(1/CN69+1/CO69)))</f>
        <v>350</v>
      </c>
      <c r="DB69" s="443">
        <f t="shared" si="115"/>
        <v>350</v>
      </c>
      <c r="DD69" s="217">
        <f t="shared" ref="DD69:DD105" si="236">1/((DA69*1000*L)*(1/CN69+1/CO69))</f>
        <v>8.6157079064880477</v>
      </c>
      <c r="DE69" s="173">
        <f t="shared" ref="DE69:DE105" si="237">L*DD69/CO69*1000000</f>
        <v>1.4109347442680775</v>
      </c>
      <c r="DF69" s="173">
        <f t="shared" ref="DF69:DF105" si="238">0.5*DE69*DD69*Nps*DA69/1000*(Pout/Pout_total)</f>
        <v>2.1273352855526046</v>
      </c>
      <c r="DG69" s="173"/>
      <c r="DH69" s="173">
        <f t="shared" ref="DH69:DH105" si="239">L*Isw_min/CO69*1000000</f>
        <v>0.54587688734030204</v>
      </c>
      <c r="DI69" s="545">
        <f t="shared" ref="DI69:DI105" si="240">MAX(10, CJ69/(0.5*DH69/1000000*Isw_min*Nps)/1000*Pout_total/Pout)</f>
        <v>1758.6382978723404</v>
      </c>
      <c r="DJ69" s="528">
        <f t="shared" ref="DJ69:DJ105" si="241">0.5*DH69/1000000*Isw_min*Nps*DA69*1000*(Pout/Pout_total)</f>
        <v>0.31842818428184283</v>
      </c>
      <c r="DL69" s="173">
        <f t="shared" ref="DL69:DL105" si="242">SQRT((CL69+CM69)/(0.5*L*Fsw_DCM))</f>
        <v>7.765561883584545</v>
      </c>
      <c r="DM69" s="173">
        <f t="shared" ref="DM69:DM105" si="243">MAX(IF(CJ69&gt;DF69,CX69,DL69),Isw_min)</f>
        <v>7.765561883584545</v>
      </c>
      <c r="DN69" s="173">
        <f t="shared" ref="DN69:DN105" si="244">IF(CJ69&gt;DJ69, (DM69-Isw_min)/1.08*0.8+1.2, DI69*0.2/350+1)</f>
        <v>4.483132259445342</v>
      </c>
      <c r="DP69" s="545">
        <f t="shared" ref="DP69:DP105" si="245">CJ69*1000</f>
        <v>1600</v>
      </c>
      <c r="DQ69" s="460">
        <f t="shared" ref="DQ69:DQ105" si="246">IF(CJ69&gt;DJ69, DB69, DI69)</f>
        <v>350</v>
      </c>
      <c r="DS69">
        <f t="shared" si="116"/>
        <v>1600</v>
      </c>
      <c r="DT69">
        <f t="shared" ref="DT69:DT90" si="247">IF(CL69&gt;CS69, "",DQ69)</f>
        <v>350</v>
      </c>
      <c r="DV69" s="5">
        <f t="shared" si="117"/>
        <v>2.8571428571428572</v>
      </c>
      <c r="DW69" s="5">
        <f t="shared" ref="DW69:DW105" si="248">L*DM69/CN69*1000000</f>
        <v>1.3035050304588343</v>
      </c>
      <c r="DX69" s="5">
        <f t="shared" si="118"/>
        <v>1.5536378266840229</v>
      </c>
      <c r="DY69" s="173">
        <f t="shared" si="119"/>
        <v>0.45622676066059198</v>
      </c>
      <c r="EA69" s="5">
        <f t="shared" ref="EA69:EA105" si="249">CJ69*DW69/Vout_ripple*1000</f>
        <v>7.4486001740504824</v>
      </c>
      <c r="EB69" s="5">
        <f t="shared" ref="EB69:EB105" si="250">CK69*DW69/Vout_ripple2*1000</f>
        <v>0.69520268291137832</v>
      </c>
      <c r="EC69" s="5">
        <f t="shared" ref="EC69:EC105" si="251">CL69/Efficiency/CN69*DX69/Vinripple1</f>
        <v>1.7755860876388834</v>
      </c>
      <c r="ED69" s="5"/>
      <c r="EE69" s="173">
        <f t="shared" si="120"/>
        <v>3.0283260715867808</v>
      </c>
      <c r="EF69" s="173">
        <f t="shared" ref="EF69:EF105" si="252">DM69*Npri_sec1*SQRT((1-DY69)/3)*(Pout/Pout_total)</f>
        <v>3.3061394899098695</v>
      </c>
      <c r="EG69" s="173">
        <f t="shared" ref="EG69:EG105" si="253">DM69*Npri_sec2*SQRT((1-DY69)/3)*(Pout2/Pout_total)</f>
        <v>0.33332389939255241</v>
      </c>
      <c r="EH69" s="173"/>
      <c r="EI69" s="528">
        <f t="shared" ref="EI69:EI105" si="254">Rdson*EE69^2</f>
        <v>0.11004910555022669</v>
      </c>
      <c r="EJ69" s="528">
        <f t="shared" ref="EJ69:EJ105" si="255">0.5*CP69*DM69*DQ69*1000*Trise</f>
        <v>2.928043936014971</v>
      </c>
      <c r="EK69" s="528">
        <f t="shared" ref="EK69:EK105" si="256">Qg*Vdd*DQ69*1000</f>
        <v>4.0250000000000001E-2</v>
      </c>
      <c r="EL69" s="528">
        <f t="shared" ref="EL69:EL105" si="257">0.5*(Coss+Csw)*CP69^2*DQ69*1000</f>
        <v>0.55416666375000012</v>
      </c>
      <c r="EM69">
        <f t="shared" ref="EM69:EM105" si="258">CN69*IQ</f>
        <v>1.26E-2</v>
      </c>
      <c r="EN69" s="460">
        <f t="shared" si="121"/>
        <v>52.85</v>
      </c>
      <c r="EO69">
        <f t="shared" ref="EO69:EO105" si="259">(EJ69+EK69+EL69+EM69+EI69*(1+RdsonTC*(Ta-25)))/(1-EI69*RdsonTC*ThetaJA)</f>
        <v>3.773490950419335</v>
      </c>
      <c r="EP69" s="460">
        <f t="shared" si="122"/>
        <v>3773.4909504193351</v>
      </c>
      <c r="EQ69" s="173">
        <f t="shared" ref="EQ69:EQ105" si="260">Vfwd2*CJ69*(1+Diode_TC/1000*(Ta-25))</f>
        <v>1.0729599999999999</v>
      </c>
      <c r="ER69" s="173">
        <f t="shared" ref="ER69:ER105" si="261">Vfwd22*CK69*(1+Diode_TC/1000*(Ta-25))</f>
        <v>7.664E-2</v>
      </c>
      <c r="ES69" s="528"/>
      <c r="EU69" s="460">
        <f t="shared" si="123"/>
        <v>1149.5999999999999</v>
      </c>
      <c r="EV69" s="528">
        <f t="shared" ref="EV69:EV105" si="262">Rdcr_pri*EE69^2</f>
        <v>0.12839062314193114</v>
      </c>
      <c r="EW69" s="528">
        <f t="shared" si="124"/>
        <v>0.15302781657438089</v>
      </c>
      <c r="EX69" s="528">
        <f t="shared" ref="EX69:EX105" si="263">Rdcr_sec2*EG69^2</f>
        <v>5.555241095312821E-4</v>
      </c>
      <c r="EY69" s="528">
        <f t="shared" ref="EY69:EY105" si="264">DM69^2.5*DQ69^2.5*k_core</f>
        <v>19.256277130523408</v>
      </c>
      <c r="EZ69" s="528">
        <f t="shared" ref="EZ69:EZ105" si="265">(EY69+(EV69+EW69+EX69)*(1+Ltc*(Ta-25)))/(1-(EV69+EW69+EX69)*Ltc*ThetaCa)</f>
        <v>20.058400583305964</v>
      </c>
      <c r="FA69" s="625">
        <f t="shared" ref="FA69:FA105" si="266">0.5*Lleak*0.000000001*DM69^2*DQ69*1000</f>
        <v>2.1106382978723404</v>
      </c>
      <c r="FB69" s="460">
        <f t="shared" si="125"/>
        <v>22169.038881178305</v>
      </c>
      <c r="FC69" s="173">
        <f t="shared" si="126"/>
        <v>27.092129831597642</v>
      </c>
      <c r="FD69" s="5">
        <f t="shared" si="127"/>
        <v>49.6</v>
      </c>
      <c r="FE69" s="173">
        <f t="shared" si="128"/>
        <v>0.64674172055089396</v>
      </c>
      <c r="FF69" s="5">
        <f t="shared" si="129"/>
        <v>64.6741720550894</v>
      </c>
      <c r="FG69">
        <f t="shared" si="130"/>
        <v>64</v>
      </c>
      <c r="FI69" s="562">
        <f t="shared" ref="FI69:FI105" si="267">IF(ABS(CJ69-Ioutmax_Vinnom)&lt;Iout/200, DQ69, -50)</f>
        <v>-50</v>
      </c>
      <c r="FJ69">
        <f t="shared" ref="FJ69:FJ105" si="268">IF(ABS(CJ69-Ioutmax_Vinnom)&lt;Iout/200, (CS69+CT69)*FE69, -50)</f>
        <v>-50</v>
      </c>
      <c r="FL69">
        <f t="shared" ref="FL69:FL105" si="269">MIN(SQRT(2*DQ69*1000*L*CJ69*(Vout+Vfwd1))/(Nps*(Vout+Vfwd1)),1-DY69)</f>
        <v>0.43052539144173174</v>
      </c>
    </row>
    <row r="70" spans="5:168">
      <c r="E70" s="170">
        <v>65</v>
      </c>
      <c r="F70" s="217">
        <f t="shared" si="173"/>
        <v>1.625</v>
      </c>
      <c r="G70" s="217">
        <f t="shared" ref="G70:G105" si="270">IF(PLOT_TYPE=1, E70/100*Iout2, min_I*EXP(Q70*rr/100))</f>
        <v>0.16250000000000001</v>
      </c>
      <c r="H70" s="217">
        <f t="shared" si="175"/>
        <v>45.5</v>
      </c>
      <c r="I70" s="217">
        <f t="shared" si="174"/>
        <v>4.875</v>
      </c>
      <c r="J70" s="541">
        <f t="shared" si="176"/>
        <v>27.870710058630198</v>
      </c>
      <c r="K70" s="443">
        <f t="shared" si="177"/>
        <v>28.752434356123896</v>
      </c>
      <c r="L70" s="172">
        <f t="shared" si="178"/>
        <v>56.623144414754094</v>
      </c>
      <c r="M70" s="443"/>
      <c r="N70" s="217">
        <f t="shared" si="179"/>
        <v>0.50778590015272929</v>
      </c>
      <c r="O70" s="172">
        <f t="shared" ref="O70:O101" si="271">N70*J70*Isw_max*0.5*Efficiency*Pout/(Pout+Pout2)</f>
        <v>106.52309157539874</v>
      </c>
      <c r="P70" s="172">
        <f t="shared" si="180"/>
        <v>12.636029995551127</v>
      </c>
      <c r="Q70" s="217">
        <f t="shared" si="181"/>
        <v>3.804396127692812</v>
      </c>
      <c r="R70" s="217">
        <f t="shared" si="182"/>
        <v>3.5507697191799581</v>
      </c>
      <c r="S70" s="443">
        <f t="shared" si="183"/>
        <v>28</v>
      </c>
      <c r="T70" s="217">
        <f t="shared" si="184"/>
        <v>7.1189572337615914</v>
      </c>
      <c r="U70" s="217">
        <f t="shared" si="185"/>
        <v>1.2005111792377472</v>
      </c>
      <c r="V70" s="217">
        <f t="shared" si="186"/>
        <v>1.1636962138321734</v>
      </c>
      <c r="W70" s="197">
        <f t="shared" si="187"/>
        <v>350</v>
      </c>
      <c r="X70" s="443">
        <f t="shared" ref="X70:X105" si="272">MIN(1/(U70+V70+0.2)*1000, 350)</f>
        <v>350</v>
      </c>
      <c r="Z70" s="217">
        <f t="shared" si="188"/>
        <v>8.6032544650560858</v>
      </c>
      <c r="AA70" s="173">
        <f t="shared" si="189"/>
        <v>1.4063259995636304</v>
      </c>
      <c r="AB70" s="173">
        <f t="shared" si="190"/>
        <v>2.1173215761372961</v>
      </c>
      <c r="AC70" s="173"/>
      <c r="AD70" s="173">
        <f t="shared" si="191"/>
        <v>0.54488139934940394</v>
      </c>
      <c r="AE70" s="545">
        <f t="shared" si="192"/>
        <v>1789.3802232268592</v>
      </c>
      <c r="AF70" s="528">
        <f t="shared" si="193"/>
        <v>0.31784748295381904</v>
      </c>
      <c r="AH70" s="173">
        <f t="shared" si="194"/>
        <v>7.8259951832276728</v>
      </c>
      <c r="AI70" s="173">
        <f t="shared" si="195"/>
        <v>7.8259951832276728</v>
      </c>
      <c r="AJ70" s="173">
        <f t="shared" si="196"/>
        <v>4.5278976665883999</v>
      </c>
      <c r="AL70" s="545">
        <f t="shared" si="197"/>
        <v>1625</v>
      </c>
      <c r="AM70" s="460">
        <f t="shared" si="198"/>
        <v>350</v>
      </c>
      <c r="AO70">
        <f t="shared" ref="AO70:AO105" si="273">IF(H70&gt;O70, "",AL70)</f>
        <v>1625</v>
      </c>
      <c r="AP70">
        <f t="shared" si="199"/>
        <v>350</v>
      </c>
      <c r="AR70" s="5">
        <f t="shared" ref="AR70:AR133" si="274">1/AM70*1000</f>
        <v>2.8571428571428572</v>
      </c>
      <c r="AS70" s="5">
        <f t="shared" si="200"/>
        <v>1.3197431024826158</v>
      </c>
      <c r="AT70" s="5">
        <f t="shared" ref="AT70:AT105" si="275">AR70-AS70</f>
        <v>1.5373997546602414</v>
      </c>
      <c r="AU70" s="173">
        <f t="shared" ref="AU70:AU105" si="276">AS70/AR70</f>
        <v>0.46191008586891552</v>
      </c>
      <c r="AW70" s="5">
        <f t="shared" si="201"/>
        <v>7.6592233626223232</v>
      </c>
      <c r="AX70" s="5">
        <f t="shared" si="202"/>
        <v>0.71486084717808362</v>
      </c>
      <c r="AY70" s="5">
        <f t="shared" si="203"/>
        <v>1.7927599232795997</v>
      </c>
      <c r="AZ70" s="5"/>
      <c r="BA70" s="173">
        <f t="shared" ref="BA70:BA105" si="277">AI70*SQRT(AU70/3)</f>
        <v>3.0708434119386583</v>
      </c>
      <c r="BB70" s="173">
        <f t="shared" si="204"/>
        <v>3.3144111003294667</v>
      </c>
      <c r="BC70" s="173">
        <f t="shared" si="205"/>
        <v>0.3341578404430528</v>
      </c>
      <c r="BD70" s="173"/>
      <c r="BE70" s="528">
        <f t="shared" si="206"/>
        <v>0.11316095112776473</v>
      </c>
      <c r="BF70" s="528">
        <f t="shared" si="207"/>
        <v>2.830508559180938</v>
      </c>
      <c r="BG70" s="528">
        <f t="shared" si="208"/>
        <v>4.0250000000000001E-2</v>
      </c>
      <c r="BH70" s="528">
        <f t="shared" si="209"/>
        <v>0.55266536082850504</v>
      </c>
      <c r="BI70">
        <f t="shared" si="210"/>
        <v>1.2541819526383589E-2</v>
      </c>
      <c r="BJ70" s="460">
        <f t="shared" ref="BJ70:BJ105" si="278">(BG70+BI70)*1000</f>
        <v>52.791819526383591</v>
      </c>
      <c r="BK70">
        <f t="shared" si="211"/>
        <v>3.6243360022116322</v>
      </c>
      <c r="BL70" s="460">
        <f t="shared" ref="BL70:BL105" si="279">BK70*1000</f>
        <v>3624.3360022116321</v>
      </c>
      <c r="BM70" s="173">
        <f t="shared" si="212"/>
        <v>1.0897249999999998</v>
      </c>
      <c r="BN70" s="173">
        <f t="shared" si="213"/>
        <v>7.7837500000000004E-2</v>
      </c>
      <c r="BO70" s="528"/>
      <c r="BQ70" s="460">
        <f t="shared" ref="BQ70:BQ105" si="280">SUM(BM70:BP70)*1000</f>
        <v>1167.5624999999998</v>
      </c>
      <c r="BR70" s="528">
        <f t="shared" si="214"/>
        <v>0.13202110964905886</v>
      </c>
      <c r="BS70" s="528">
        <f t="shared" si="215"/>
        <v>0.15379449318782062</v>
      </c>
      <c r="BT70" s="528">
        <f t="shared" si="216"/>
        <v>5.5830731164782372E-4</v>
      </c>
      <c r="BU70" s="528">
        <f t="shared" si="217"/>
        <v>19.633108011945378</v>
      </c>
      <c r="BV70" s="528">
        <f t="shared" si="218"/>
        <v>20.456876927338275</v>
      </c>
      <c r="BW70" s="625">
        <f t="shared" si="219"/>
        <v>2.1436170212765959</v>
      </c>
      <c r="BX70" s="460">
        <f t="shared" ref="BX70:BX105" si="281">(BV70+BW70)*1000</f>
        <v>22600.493948614872</v>
      </c>
      <c r="BY70" s="173">
        <f t="shared" ref="BY70:BY104" si="282">SUM(BK70,BM70:BP70,BV70:BW70)</f>
        <v>27.392392450826506</v>
      </c>
      <c r="BZ70" s="5">
        <f t="shared" ref="BZ70:BZ105" si="283">MIN(H70+I70,O70+P70)</f>
        <v>50.375</v>
      </c>
      <c r="CA70" s="173">
        <f t="shared" ref="CA70:CA105" si="284">BZ70/(BZ70+BY70)</f>
        <v>0.64776506466836814</v>
      </c>
      <c r="CB70" s="5">
        <f t="shared" ref="CB70:CB105" si="285">CA70*100</f>
        <v>64.776506466836821</v>
      </c>
      <c r="CC70">
        <f t="shared" ref="CC70:CC105" si="286">F70/Iout*100</f>
        <v>65</v>
      </c>
      <c r="CE70" s="562">
        <f t="shared" si="220"/>
        <v>-50</v>
      </c>
      <c r="CF70">
        <f t="shared" si="221"/>
        <v>-50</v>
      </c>
      <c r="CG70" s="173">
        <f t="shared" si="222"/>
        <v>0.43387583412379599</v>
      </c>
      <c r="CH70" s="173">
        <f t="shared" si="223"/>
        <v>0.14069953255110793</v>
      </c>
      <c r="CI70" s="170">
        <v>65</v>
      </c>
      <c r="CJ70" s="217">
        <f t="shared" si="133"/>
        <v>1.625</v>
      </c>
      <c r="CK70" s="217">
        <f t="shared" ref="CK70:CK105" si="287">IF(PLOT_TYPE=1, CI70/100*Iout2, min_I*EXP(CU70*rr/100))</f>
        <v>0.16250000000000001</v>
      </c>
      <c r="CL70" s="217">
        <f t="shared" si="224"/>
        <v>45.5</v>
      </c>
      <c r="CM70" s="217">
        <f t="shared" si="134"/>
        <v>4.875</v>
      </c>
      <c r="CN70" s="541">
        <f t="shared" ref="CN70:CN105" si="288">Vin</f>
        <v>28</v>
      </c>
      <c r="CO70" s="443">
        <f t="shared" si="225"/>
        <v>28.7</v>
      </c>
      <c r="CP70" s="443">
        <f t="shared" si="226"/>
        <v>56.7</v>
      </c>
      <c r="CQ70" s="443"/>
      <c r="CR70" s="217">
        <f t="shared" si="227"/>
        <v>0.50354609929078009</v>
      </c>
      <c r="CS70" s="172">
        <f t="shared" ref="CS70:CS105" si="289">CR70*CN70*Isw_max*0.5*Efficiency*Pout/(Pout+Pout2)</f>
        <v>106.12369404407841</v>
      </c>
      <c r="CT70" s="172">
        <f t="shared" si="228"/>
        <v>12.588652482269502</v>
      </c>
      <c r="CU70" s="217">
        <f t="shared" si="229"/>
        <v>3.7901319301456575</v>
      </c>
      <c r="CV70" s="217">
        <f t="shared" si="230"/>
        <v>3.5374564681359471</v>
      </c>
      <c r="CW70" s="443">
        <f t="shared" si="231"/>
        <v>28</v>
      </c>
      <c r="CX70" s="217">
        <f t="shared" si="232"/>
        <v>7.1457494969818924</v>
      </c>
      <c r="CY70" s="217">
        <f t="shared" si="233"/>
        <v>1.1994650941362461</v>
      </c>
      <c r="CZ70" s="217">
        <f t="shared" si="234"/>
        <v>1.1702098479378011</v>
      </c>
      <c r="DA70" s="197">
        <f t="shared" si="235"/>
        <v>350</v>
      </c>
      <c r="DB70" s="443">
        <f t="shared" ref="DB70:DB105" si="290">MIN(1/(CY70+CZ70)*1000, 350)</f>
        <v>350</v>
      </c>
      <c r="DD70" s="217">
        <f t="shared" si="236"/>
        <v>8.6157079064880477</v>
      </c>
      <c r="DE70" s="173">
        <f t="shared" si="237"/>
        <v>1.4109347442680775</v>
      </c>
      <c r="DF70" s="173">
        <f t="shared" si="238"/>
        <v>2.1273352855526046</v>
      </c>
      <c r="DG70" s="173"/>
      <c r="DH70" s="173">
        <f t="shared" si="239"/>
        <v>0.54587688734030204</v>
      </c>
      <c r="DI70" s="545">
        <f t="shared" si="240"/>
        <v>1786.1170212765958</v>
      </c>
      <c r="DJ70" s="528">
        <f t="shared" si="241"/>
        <v>0.31842818428184283</v>
      </c>
      <c r="DL70" s="173">
        <f t="shared" si="242"/>
        <v>7.8259951832276728</v>
      </c>
      <c r="DM70" s="173">
        <f t="shared" si="243"/>
        <v>7.8259951832276728</v>
      </c>
      <c r="DN70" s="173">
        <f t="shared" si="244"/>
        <v>4.5278976665883999</v>
      </c>
      <c r="DP70" s="545">
        <f t="shared" si="245"/>
        <v>1625</v>
      </c>
      <c r="DQ70" s="460">
        <f t="shared" si="246"/>
        <v>350</v>
      </c>
      <c r="DS70">
        <f t="shared" ref="DS70:DS90" si="291">IF(CL70&gt;CS70, "",DP70)</f>
        <v>1625</v>
      </c>
      <c r="DT70">
        <f t="shared" si="247"/>
        <v>350</v>
      </c>
      <c r="DV70" s="5">
        <f t="shared" ref="DV70:DV105" si="292">1/DQ70*1000</f>
        <v>2.8571428571428572</v>
      </c>
      <c r="DW70" s="5">
        <f t="shared" si="248"/>
        <v>1.3136491914703594</v>
      </c>
      <c r="DX70" s="5">
        <f t="shared" ref="DX70:DX105" si="293">DV70-DW70</f>
        <v>1.5434936656724978</v>
      </c>
      <c r="DY70" s="173">
        <f t="shared" ref="DY70:DY105" si="294">DW70/DV70</f>
        <v>0.45977721701462576</v>
      </c>
      <c r="EA70" s="5">
        <f t="shared" si="249"/>
        <v>7.623856914783337</v>
      </c>
      <c r="EB70" s="5">
        <f t="shared" si="250"/>
        <v>0.71155997871311139</v>
      </c>
      <c r="EC70" s="5">
        <f t="shared" si="251"/>
        <v>1.7915551476555778</v>
      </c>
      <c r="ED70" s="5"/>
      <c r="EE70" s="173">
        <f t="shared" ref="EE70:EE105" si="295">DM70*SQRT(DY70/3)</f>
        <v>3.0637454021845549</v>
      </c>
      <c r="EF70" s="173">
        <f t="shared" si="252"/>
        <v>3.3209733984522138</v>
      </c>
      <c r="EG70" s="173">
        <f t="shared" si="253"/>
        <v>0.33481944918821505</v>
      </c>
      <c r="EH70" s="173"/>
      <c r="EI70" s="528">
        <f t="shared" si="254"/>
        <v>0.112638430672884</v>
      </c>
      <c r="EJ70" s="528">
        <f t="shared" si="255"/>
        <v>2.9508306138119105</v>
      </c>
      <c r="EK70" s="528">
        <f t="shared" si="256"/>
        <v>4.0250000000000001E-2</v>
      </c>
      <c r="EL70" s="528">
        <f t="shared" si="257"/>
        <v>0.55416666375000012</v>
      </c>
      <c r="EM70">
        <f t="shared" si="258"/>
        <v>1.26E-2</v>
      </c>
      <c r="EN70" s="460">
        <f t="shared" ref="EN70:EN105" si="296">(EK70+EM70)*1000</f>
        <v>52.85</v>
      </c>
      <c r="EO70">
        <f t="shared" si="259"/>
        <v>3.8026684872357741</v>
      </c>
      <c r="EP70" s="460">
        <f t="shared" ref="EP70:EP105" si="297">EO70*1000</f>
        <v>3802.6684872357741</v>
      </c>
      <c r="EQ70" s="173">
        <f t="shared" si="260"/>
        <v>1.0897249999999998</v>
      </c>
      <c r="ER70" s="173">
        <f t="shared" si="261"/>
        <v>7.7837500000000004E-2</v>
      </c>
      <c r="ES70" s="528"/>
      <c r="EU70" s="460">
        <f t="shared" ref="EU70:EU105" si="298">SUM(EQ70:ET70)*1000</f>
        <v>1167.5624999999998</v>
      </c>
      <c r="EV70" s="528">
        <f t="shared" si="262"/>
        <v>0.131411502451698</v>
      </c>
      <c r="EW70" s="528">
        <f t="shared" ref="EW70:EW105" si="299">Rdcr_sec*EF70^2</f>
        <v>0.15440410038518146</v>
      </c>
      <c r="EX70" s="528">
        <f t="shared" si="263"/>
        <v>5.605203177734986E-4</v>
      </c>
      <c r="EY70" s="528">
        <f t="shared" si="264"/>
        <v>19.633108011945378</v>
      </c>
      <c r="EZ70" s="528">
        <f t="shared" si="265"/>
        <v>20.456883442422551</v>
      </c>
      <c r="FA70" s="625">
        <f t="shared" si="266"/>
        <v>2.1436170212765959</v>
      </c>
      <c r="FB70" s="460">
        <f t="shared" ref="FB70:FB105" si="300">(EZ70+FA70)*1000</f>
        <v>22600.500463699147</v>
      </c>
      <c r="FC70" s="173">
        <f t="shared" ref="FC70:FC105" si="301">SUM(EO70,EQ70:ET70,EZ70:FA70)</f>
        <v>27.570731450934922</v>
      </c>
      <c r="FD70" s="5">
        <f t="shared" ref="FD70:FD105" si="302">MIN(CL70+CM70,CS70+CT70)</f>
        <v>50.375</v>
      </c>
      <c r="FE70" s="173">
        <f t="shared" ref="FE70:FE105" si="303">FD70/(FD70+FC70)</f>
        <v>0.64628298512677285</v>
      </c>
      <c r="FF70" s="5">
        <f t="shared" ref="FF70:FF105" si="304">FE70*100</f>
        <v>64.62829851267729</v>
      </c>
      <c r="FG70">
        <f t="shared" ref="FG70:FG105" si="305">CJ70/Iout*100</f>
        <v>65</v>
      </c>
      <c r="FI70" s="562">
        <f t="shared" si="267"/>
        <v>-50</v>
      </c>
      <c r="FJ70">
        <f t="shared" si="268"/>
        <v>-50</v>
      </c>
      <c r="FL70">
        <f t="shared" si="269"/>
        <v>0.43387583412379599</v>
      </c>
    </row>
    <row r="71" spans="5:168">
      <c r="E71" s="170">
        <v>66</v>
      </c>
      <c r="F71" s="217">
        <f t="shared" si="173"/>
        <v>1.6500000000000001</v>
      </c>
      <c r="G71" s="217">
        <f t="shared" si="270"/>
        <v>0.16500000000000001</v>
      </c>
      <c r="H71" s="217">
        <f t="shared" si="175"/>
        <v>46.2</v>
      </c>
      <c r="I71" s="217">
        <f t="shared" si="174"/>
        <v>4.95</v>
      </c>
      <c r="J71" s="541">
        <f t="shared" si="176"/>
        <v>27.869719316621566</v>
      </c>
      <c r="K71" s="443">
        <f t="shared" si="177"/>
        <v>28.752836157832188</v>
      </c>
      <c r="L71" s="172">
        <f t="shared" si="178"/>
        <v>56.622555474453755</v>
      </c>
      <c r="M71" s="443"/>
      <c r="N71" s="217">
        <f t="shared" si="179"/>
        <v>0.5077982778577439</v>
      </c>
      <c r="O71" s="172">
        <f t="shared" si="271"/>
        <v>106.52190141238056</v>
      </c>
      <c r="P71" s="172">
        <f t="shared" si="180"/>
        <v>12.635888815499225</v>
      </c>
      <c r="Q71" s="217">
        <f t="shared" si="181"/>
        <v>3.8043536218707343</v>
      </c>
      <c r="R71" s="217">
        <f t="shared" si="182"/>
        <v>3.5507300470793521</v>
      </c>
      <c r="S71" s="443">
        <f t="shared" si="183"/>
        <v>28</v>
      </c>
      <c r="T71" s="217">
        <f t="shared" si="184"/>
        <v>7.2285604161259043</v>
      </c>
      <c r="U71" s="217">
        <f t="shared" si="185"/>
        <v>1.2190375356787118</v>
      </c>
      <c r="V71" s="217">
        <f t="shared" si="186"/>
        <v>1.1815959222004353</v>
      </c>
      <c r="W71" s="197">
        <f t="shared" si="187"/>
        <v>350</v>
      </c>
      <c r="X71" s="443">
        <f t="shared" si="272"/>
        <v>350</v>
      </c>
      <c r="Z71" s="217">
        <f t="shared" si="188"/>
        <v>8.6031583424675571</v>
      </c>
      <c r="AA71" s="173">
        <f t="shared" si="189"/>
        <v>1.40629063469216</v>
      </c>
      <c r="AB71" s="173">
        <f t="shared" si="190"/>
        <v>2.1172446760125241</v>
      </c>
      <c r="AC71" s="173"/>
      <c r="AD71" s="173">
        <f t="shared" si="191"/>
        <v>0.54487378499526262</v>
      </c>
      <c r="AE71" s="545">
        <f t="shared" si="192"/>
        <v>1816.9345401864171</v>
      </c>
      <c r="AF71" s="528">
        <f t="shared" si="193"/>
        <v>0.3178430412472365</v>
      </c>
      <c r="AH71" s="173">
        <f t="shared" si="194"/>
        <v>7.8859653719772522</v>
      </c>
      <c r="AI71" s="173">
        <f t="shared" si="195"/>
        <v>7.8859653719772522</v>
      </c>
      <c r="AJ71" s="173">
        <f t="shared" si="196"/>
        <v>4.5723200286251249</v>
      </c>
      <c r="AL71" s="545">
        <f t="shared" si="197"/>
        <v>1650.0000000000002</v>
      </c>
      <c r="AM71" s="460">
        <f t="shared" si="198"/>
        <v>350</v>
      </c>
      <c r="AO71">
        <f t="shared" si="273"/>
        <v>1650.0000000000002</v>
      </c>
      <c r="AP71">
        <f t="shared" si="199"/>
        <v>350</v>
      </c>
      <c r="AR71" s="5">
        <f t="shared" si="274"/>
        <v>2.8571428571428572</v>
      </c>
      <c r="AS71" s="5">
        <f t="shared" si="200"/>
        <v>1.3299034994653858</v>
      </c>
      <c r="AT71" s="5">
        <f t="shared" si="275"/>
        <v>1.5272393576774714</v>
      </c>
      <c r="AU71" s="173">
        <f t="shared" si="276"/>
        <v>0.46546622481288502</v>
      </c>
      <c r="AW71" s="5">
        <f t="shared" si="201"/>
        <v>7.8369313361353088</v>
      </c>
      <c r="AX71" s="5">
        <f t="shared" si="202"/>
        <v>0.73144692470596229</v>
      </c>
      <c r="AY71" s="5">
        <f t="shared" si="203"/>
        <v>1.8083748254076795</v>
      </c>
      <c r="AZ71" s="5"/>
      <c r="BA71" s="173">
        <f t="shared" si="277"/>
        <v>3.106263724461984</v>
      </c>
      <c r="BB71" s="173">
        <f t="shared" si="204"/>
        <v>3.328754865826911</v>
      </c>
      <c r="BC71" s="173">
        <f t="shared" si="205"/>
        <v>0.33560397417763116</v>
      </c>
      <c r="BD71" s="173"/>
      <c r="BE71" s="528">
        <f t="shared" si="206"/>
        <v>0.11578649191090123</v>
      </c>
      <c r="BF71" s="528">
        <f t="shared" si="207"/>
        <v>2.8521689312673764</v>
      </c>
      <c r="BG71" s="528">
        <f t="shared" si="208"/>
        <v>4.0250000000000001E-2</v>
      </c>
      <c r="BH71" s="528">
        <f t="shared" si="209"/>
        <v>0.55265386428537755</v>
      </c>
      <c r="BI71">
        <f t="shared" si="210"/>
        <v>1.2541373692479705E-2</v>
      </c>
      <c r="BJ71" s="460">
        <f t="shared" si="278"/>
        <v>52.791373692479709</v>
      </c>
      <c r="BK71">
        <f t="shared" si="211"/>
        <v>3.6523509954558899</v>
      </c>
      <c r="BL71" s="460">
        <f t="shared" si="279"/>
        <v>3652.3509954558899</v>
      </c>
      <c r="BM71" s="173">
        <f t="shared" si="212"/>
        <v>1.10649</v>
      </c>
      <c r="BN71" s="173">
        <f t="shared" si="213"/>
        <v>7.9034999999999994E-2</v>
      </c>
      <c r="BO71" s="528"/>
      <c r="BQ71" s="460">
        <f t="shared" si="280"/>
        <v>1185.5249999999999</v>
      </c>
      <c r="BR71" s="528">
        <f t="shared" si="214"/>
        <v>0.13508424056271809</v>
      </c>
      <c r="BS71" s="528">
        <f t="shared" si="215"/>
        <v>0.15512852539472871</v>
      </c>
      <c r="BT71" s="528">
        <f t="shared" si="216"/>
        <v>5.6315013741910062E-4</v>
      </c>
      <c r="BU71" s="528">
        <f t="shared" si="217"/>
        <v>20.011391083922572</v>
      </c>
      <c r="BV71" s="528">
        <f t="shared" si="218"/>
        <v>20.857133385257079</v>
      </c>
      <c r="BW71" s="625">
        <f t="shared" si="219"/>
        <v>2.1765957446808515</v>
      </c>
      <c r="BX71" s="460">
        <f t="shared" si="281"/>
        <v>23033.729129937932</v>
      </c>
      <c r="BY71" s="173">
        <f t="shared" si="282"/>
        <v>27.87160512539382</v>
      </c>
      <c r="BZ71" s="5">
        <f t="shared" si="283"/>
        <v>51.150000000000006</v>
      </c>
      <c r="CA71" s="173">
        <f t="shared" si="284"/>
        <v>0.64729133151413054</v>
      </c>
      <c r="CB71" s="5">
        <f t="shared" si="285"/>
        <v>64.729133151413052</v>
      </c>
      <c r="CC71">
        <f t="shared" si="286"/>
        <v>66</v>
      </c>
      <c r="CE71" s="562">
        <f t="shared" si="220"/>
        <v>-50</v>
      </c>
      <c r="CF71">
        <f t="shared" si="221"/>
        <v>-50</v>
      </c>
      <c r="CG71" s="173">
        <f t="shared" si="222"/>
        <v>0.43720060178044484</v>
      </c>
      <c r="CH71" s="173">
        <f t="shared" si="223"/>
        <v>0.14177770565580788</v>
      </c>
      <c r="CI71" s="170">
        <v>66</v>
      </c>
      <c r="CJ71" s="217">
        <f t="shared" si="133"/>
        <v>1.6500000000000001</v>
      </c>
      <c r="CK71" s="217">
        <f t="shared" si="287"/>
        <v>0.16500000000000001</v>
      </c>
      <c r="CL71" s="217">
        <f t="shared" si="224"/>
        <v>46.2</v>
      </c>
      <c r="CM71" s="217">
        <f t="shared" si="134"/>
        <v>4.95</v>
      </c>
      <c r="CN71" s="541">
        <f t="shared" si="288"/>
        <v>28</v>
      </c>
      <c r="CO71" s="443">
        <f t="shared" si="225"/>
        <v>28.7</v>
      </c>
      <c r="CP71" s="443">
        <f t="shared" si="226"/>
        <v>56.7</v>
      </c>
      <c r="CQ71" s="443"/>
      <c r="CR71" s="217">
        <f t="shared" si="227"/>
        <v>0.50354609929078009</v>
      </c>
      <c r="CS71" s="172">
        <f t="shared" si="289"/>
        <v>106.12369404407841</v>
      </c>
      <c r="CT71" s="172">
        <f t="shared" si="228"/>
        <v>12.588652482269502</v>
      </c>
      <c r="CU71" s="217">
        <f t="shared" si="229"/>
        <v>3.7901319301456575</v>
      </c>
      <c r="CV71" s="217">
        <f t="shared" si="230"/>
        <v>3.5374564681359471</v>
      </c>
      <c r="CW71" s="443">
        <f t="shared" si="231"/>
        <v>28</v>
      </c>
      <c r="CX71" s="217">
        <f t="shared" si="232"/>
        <v>7.2556841046277682</v>
      </c>
      <c r="CY71" s="217">
        <f t="shared" si="233"/>
        <v>1.217918403276804</v>
      </c>
      <c r="CZ71" s="217">
        <f t="shared" si="234"/>
        <v>1.1882130763676138</v>
      </c>
      <c r="DA71" s="197">
        <f t="shared" si="235"/>
        <v>350</v>
      </c>
      <c r="DB71" s="443">
        <f t="shared" si="290"/>
        <v>350</v>
      </c>
      <c r="DD71" s="217">
        <f t="shared" si="236"/>
        <v>8.6157079064880477</v>
      </c>
      <c r="DE71" s="173">
        <f t="shared" si="237"/>
        <v>1.4109347442680775</v>
      </c>
      <c r="DF71" s="173">
        <f t="shared" si="238"/>
        <v>2.1273352855526046</v>
      </c>
      <c r="DG71" s="173"/>
      <c r="DH71" s="173">
        <f t="shared" si="239"/>
        <v>0.54587688734030204</v>
      </c>
      <c r="DI71" s="545">
        <f t="shared" si="240"/>
        <v>1813.5957446808513</v>
      </c>
      <c r="DJ71" s="528">
        <f t="shared" si="241"/>
        <v>0.31842818428184283</v>
      </c>
      <c r="DL71" s="173">
        <f t="shared" si="242"/>
        <v>7.8859653719772522</v>
      </c>
      <c r="DM71" s="173">
        <f t="shared" si="243"/>
        <v>7.8859653719772522</v>
      </c>
      <c r="DN71" s="173">
        <f t="shared" si="244"/>
        <v>4.5723200286251249</v>
      </c>
      <c r="DP71" s="545">
        <f t="shared" si="245"/>
        <v>1650.0000000000002</v>
      </c>
      <c r="DQ71" s="460">
        <f t="shared" si="246"/>
        <v>350</v>
      </c>
      <c r="DS71">
        <f t="shared" si="291"/>
        <v>1650.0000000000002</v>
      </c>
      <c r="DT71">
        <f t="shared" si="247"/>
        <v>350</v>
      </c>
      <c r="DV71" s="5">
        <f t="shared" si="292"/>
        <v>2.8571428571428572</v>
      </c>
      <c r="DW71" s="5">
        <f t="shared" si="248"/>
        <v>1.3237156160104673</v>
      </c>
      <c r="DX71" s="5">
        <f t="shared" si="293"/>
        <v>1.5334272411323899</v>
      </c>
      <c r="DY71" s="173">
        <f t="shared" si="294"/>
        <v>0.46330046560366356</v>
      </c>
      <c r="EA71" s="5">
        <f t="shared" si="249"/>
        <v>7.8004670229188253</v>
      </c>
      <c r="EB71" s="5">
        <f t="shared" si="250"/>
        <v>0.72804358880575704</v>
      </c>
      <c r="EC71" s="5">
        <f t="shared" si="251"/>
        <v>1.8072535341917453</v>
      </c>
      <c r="ED71" s="5"/>
      <c r="EE71" s="173">
        <f t="shared" si="295"/>
        <v>3.0990287602064268</v>
      </c>
      <c r="EF71" s="173">
        <f t="shared" si="252"/>
        <v>3.3354915718808513</v>
      </c>
      <c r="EG71" s="173">
        <f t="shared" si="253"/>
        <v>0.33628316667323338</v>
      </c>
      <c r="EH71" s="173"/>
      <c r="EI71" s="528">
        <f t="shared" si="254"/>
        <v>0.11524775107903899</v>
      </c>
      <c r="EJ71" s="528">
        <f t="shared" si="255"/>
        <v>2.9734426733308834</v>
      </c>
      <c r="EK71" s="528">
        <f t="shared" si="256"/>
        <v>4.0250000000000001E-2</v>
      </c>
      <c r="EL71" s="528">
        <f t="shared" si="257"/>
        <v>0.55416666375000012</v>
      </c>
      <c r="EM71">
        <f t="shared" si="258"/>
        <v>1.26E-2</v>
      </c>
      <c r="EN71" s="460">
        <f t="shared" si="296"/>
        <v>52.85</v>
      </c>
      <c r="EO71">
        <f t="shared" si="259"/>
        <v>3.8317482279050581</v>
      </c>
      <c r="EP71" s="460">
        <f t="shared" si="297"/>
        <v>3831.7482279050582</v>
      </c>
      <c r="EQ71" s="173">
        <f t="shared" si="260"/>
        <v>1.10649</v>
      </c>
      <c r="ER71" s="173">
        <f t="shared" si="261"/>
        <v>7.9034999999999994E-2</v>
      </c>
      <c r="ES71" s="528"/>
      <c r="EU71" s="460">
        <f t="shared" si="298"/>
        <v>1185.5249999999999</v>
      </c>
      <c r="EV71" s="528">
        <f t="shared" si="262"/>
        <v>0.13445570959221215</v>
      </c>
      <c r="EW71" s="528">
        <f t="shared" si="299"/>
        <v>0.15575705636523471</v>
      </c>
      <c r="EX71" s="528">
        <f t="shared" si="263"/>
        <v>5.6543184093888832E-4</v>
      </c>
      <c r="EY71" s="528">
        <f t="shared" si="264"/>
        <v>20.011391083922572</v>
      </c>
      <c r="EZ71" s="528">
        <f t="shared" si="265"/>
        <v>20.857140179809637</v>
      </c>
      <c r="FA71" s="625">
        <f t="shared" si="266"/>
        <v>2.1765957446808515</v>
      </c>
      <c r="FB71" s="460">
        <f t="shared" si="300"/>
        <v>23033.735924490491</v>
      </c>
      <c r="FC71" s="173">
        <f t="shared" si="301"/>
        <v>28.051009152395547</v>
      </c>
      <c r="FD71" s="5">
        <f t="shared" si="302"/>
        <v>51.150000000000006</v>
      </c>
      <c r="FE71" s="173">
        <f t="shared" si="303"/>
        <v>0.64582510434405105</v>
      </c>
      <c r="FF71" s="5">
        <f t="shared" si="304"/>
        <v>64.582510434405108</v>
      </c>
      <c r="FG71">
        <f t="shared" si="305"/>
        <v>66</v>
      </c>
      <c r="FI71" s="562">
        <f t="shared" si="267"/>
        <v>-50</v>
      </c>
      <c r="FJ71">
        <f t="shared" si="268"/>
        <v>-50</v>
      </c>
      <c r="FL71">
        <f t="shared" si="269"/>
        <v>0.43720060178044484</v>
      </c>
    </row>
    <row r="72" spans="5:168">
      <c r="E72" s="170">
        <v>67</v>
      </c>
      <c r="F72" s="217">
        <f t="shared" ref="F72:F103" si="306">IF(PLOT_TYPE=1, E72/100*Iout_max, min_I*EXP(O72*rr/100))</f>
        <v>1.675</v>
      </c>
      <c r="G72" s="217">
        <f t="shared" si="270"/>
        <v>0.16750000000000001</v>
      </c>
      <c r="H72" s="217">
        <f t="shared" si="175"/>
        <v>46.9</v>
      </c>
      <c r="I72" s="217">
        <f t="shared" ref="I72:I105" si="307">Vout2*G72</f>
        <v>5.0250000000000004</v>
      </c>
      <c r="J72" s="541">
        <f t="shared" si="176"/>
        <v>27.868736052231785</v>
      </c>
      <c r="K72" s="443">
        <f t="shared" si="177"/>
        <v>28.753234926944707</v>
      </c>
      <c r="L72" s="172">
        <f t="shared" si="178"/>
        <v>56.621970979176496</v>
      </c>
      <c r="M72" s="443"/>
      <c r="N72" s="217">
        <f t="shared" si="179"/>
        <v>0.50781056239669053</v>
      </c>
      <c r="O72" s="172">
        <f t="shared" si="271"/>
        <v>106.52072010299058</v>
      </c>
      <c r="P72" s="172">
        <f t="shared" si="180"/>
        <v>12.635748685686384</v>
      </c>
      <c r="Q72" s="217">
        <f t="shared" si="181"/>
        <v>3.8043114322496634</v>
      </c>
      <c r="R72" s="217">
        <f t="shared" si="182"/>
        <v>3.5506906700996859</v>
      </c>
      <c r="S72" s="443">
        <f t="shared" si="183"/>
        <v>28</v>
      </c>
      <c r="T72" s="217">
        <f t="shared" si="184"/>
        <v>7.3381654377749674</v>
      </c>
      <c r="U72" s="217">
        <f t="shared" si="185"/>
        <v>1.237565187488306</v>
      </c>
      <c r="V72" s="217">
        <f t="shared" si="186"/>
        <v>1.1994955574623811</v>
      </c>
      <c r="W72" s="197">
        <f t="shared" si="187"/>
        <v>350</v>
      </c>
      <c r="X72" s="443">
        <f t="shared" si="272"/>
        <v>350</v>
      </c>
      <c r="Z72" s="217">
        <f t="shared" si="188"/>
        <v>8.6030629349354086</v>
      </c>
      <c r="AA72" s="173">
        <f t="shared" si="189"/>
        <v>1.4062555360094553</v>
      </c>
      <c r="AB72" s="173">
        <f t="shared" si="190"/>
        <v>2.1171683538058672</v>
      </c>
      <c r="AC72" s="173"/>
      <c r="AD72" s="173">
        <f t="shared" si="191"/>
        <v>0.54486622832081433</v>
      </c>
      <c r="AE72" s="545">
        <f t="shared" si="192"/>
        <v>1844.4894320157082</v>
      </c>
      <c r="AF72" s="528">
        <f t="shared" si="193"/>
        <v>0.31783863318714167</v>
      </c>
      <c r="AH72" s="173">
        <f t="shared" si="194"/>
        <v>7.9454829361182258</v>
      </c>
      <c r="AI72" s="173">
        <f t="shared" si="195"/>
        <v>7.9454829361182258</v>
      </c>
      <c r="AJ72" s="173">
        <f t="shared" si="196"/>
        <v>4.6164071131739943</v>
      </c>
      <c r="AL72" s="545">
        <f t="shared" si="197"/>
        <v>1675</v>
      </c>
      <c r="AM72" s="460">
        <f t="shared" si="198"/>
        <v>350</v>
      </c>
      <c r="AO72">
        <f t="shared" si="273"/>
        <v>1675</v>
      </c>
      <c r="AP72">
        <f t="shared" si="199"/>
        <v>350</v>
      </c>
      <c r="AR72" s="5">
        <f t="shared" si="274"/>
        <v>2.8571428571428572</v>
      </c>
      <c r="AS72" s="5">
        <f t="shared" si="200"/>
        <v>1.339987925170546</v>
      </c>
      <c r="AT72" s="5">
        <f t="shared" si="275"/>
        <v>1.5171549319723112</v>
      </c>
      <c r="AU72" s="173">
        <f t="shared" si="276"/>
        <v>0.4689957738096911</v>
      </c>
      <c r="AW72" s="5">
        <f t="shared" si="201"/>
        <v>8.0159991952166596</v>
      </c>
      <c r="AX72" s="5">
        <f t="shared" si="202"/>
        <v>0.74815992488688821</v>
      </c>
      <c r="AY72" s="5">
        <f t="shared" si="203"/>
        <v>1.8237170902123589</v>
      </c>
      <c r="AZ72" s="5"/>
      <c r="BA72" s="173">
        <f t="shared" si="277"/>
        <v>3.1415511598567436</v>
      </c>
      <c r="BB72" s="173">
        <f t="shared" si="204"/>
        <v>3.3427866627587908</v>
      </c>
      <c r="BC72" s="173">
        <f t="shared" si="205"/>
        <v>0.33701865534371417</v>
      </c>
      <c r="BD72" s="173"/>
      <c r="BE72" s="528">
        <f t="shared" si="206"/>
        <v>0.11843212427996702</v>
      </c>
      <c r="BF72" s="528">
        <f t="shared" si="207"/>
        <v>2.8736653757335358</v>
      </c>
      <c r="BG72" s="528">
        <f t="shared" si="208"/>
        <v>4.0250000000000001E-2</v>
      </c>
      <c r="BH72" s="528">
        <f t="shared" si="209"/>
        <v>0.55264245463056083</v>
      </c>
      <c r="BI72">
        <f t="shared" si="210"/>
        <v>1.2540931223504304E-2</v>
      </c>
      <c r="BJ72" s="460">
        <f t="shared" si="278"/>
        <v>52.790931223504302</v>
      </c>
      <c r="BK72">
        <f t="shared" si="211"/>
        <v>3.6802777022365945</v>
      </c>
      <c r="BL72" s="460">
        <f t="shared" si="279"/>
        <v>3680.2777022365945</v>
      </c>
      <c r="BM72" s="173">
        <f t="shared" si="212"/>
        <v>1.1232549999999999</v>
      </c>
      <c r="BN72" s="173">
        <f t="shared" si="213"/>
        <v>8.0232499999999998E-2</v>
      </c>
      <c r="BO72" s="528"/>
      <c r="BQ72" s="460">
        <f t="shared" si="280"/>
        <v>1203.4874999999997</v>
      </c>
      <c r="BR72" s="528">
        <f t="shared" si="214"/>
        <v>0.13817081165996151</v>
      </c>
      <c r="BS72" s="528">
        <f t="shared" si="215"/>
        <v>0.15643911741805275</v>
      </c>
      <c r="BT72" s="528">
        <f t="shared" si="216"/>
        <v>5.6790787024842604E-4</v>
      </c>
      <c r="BU72" s="528">
        <f t="shared" si="217"/>
        <v>20.391109811718653</v>
      </c>
      <c r="BV72" s="528">
        <f t="shared" si="218"/>
        <v>21.259148691626972</v>
      </c>
      <c r="BW72" s="625">
        <f t="shared" si="219"/>
        <v>2.209574468085107</v>
      </c>
      <c r="BX72" s="460">
        <f t="shared" si="281"/>
        <v>23468.723159712081</v>
      </c>
      <c r="BY72" s="173">
        <f t="shared" si="282"/>
        <v>28.352488361948676</v>
      </c>
      <c r="BZ72" s="5">
        <f t="shared" si="283"/>
        <v>51.924999999999997</v>
      </c>
      <c r="CA72" s="173">
        <f t="shared" si="284"/>
        <v>0.64681894089517034</v>
      </c>
      <c r="CB72" s="5">
        <f t="shared" si="285"/>
        <v>64.68189408951703</v>
      </c>
      <c r="CC72">
        <f t="shared" si="286"/>
        <v>67</v>
      </c>
      <c r="CE72" s="562">
        <f t="shared" si="220"/>
        <v>-50</v>
      </c>
      <c r="CF72">
        <f t="shared" si="221"/>
        <v>-50</v>
      </c>
      <c r="CG72" s="173">
        <f t="shared" si="222"/>
        <v>0.44050027577488132</v>
      </c>
      <c r="CH72" s="173">
        <f t="shared" si="223"/>
        <v>0.14284774125602936</v>
      </c>
      <c r="CI72" s="170">
        <v>67</v>
      </c>
      <c r="CJ72" s="217">
        <f t="shared" ref="CJ72:CJ105" si="308">IF(PLOT_TYPE=1, CI72/100*Iout_max, min_I*EXP(CS72*rr/100))</f>
        <v>1.675</v>
      </c>
      <c r="CK72" s="217">
        <f t="shared" si="287"/>
        <v>0.16750000000000001</v>
      </c>
      <c r="CL72" s="217">
        <f t="shared" si="224"/>
        <v>46.9</v>
      </c>
      <c r="CM72" s="217">
        <f t="shared" ref="CM72:CM105" si="309">Vout2*CK72</f>
        <v>5.0250000000000004</v>
      </c>
      <c r="CN72" s="541">
        <f t="shared" si="288"/>
        <v>28</v>
      </c>
      <c r="CO72" s="443">
        <f t="shared" si="225"/>
        <v>28.7</v>
      </c>
      <c r="CP72" s="443">
        <f t="shared" si="226"/>
        <v>56.7</v>
      </c>
      <c r="CQ72" s="443"/>
      <c r="CR72" s="217">
        <f t="shared" si="227"/>
        <v>0.50354609929078009</v>
      </c>
      <c r="CS72" s="172">
        <f t="shared" si="289"/>
        <v>106.12369404407841</v>
      </c>
      <c r="CT72" s="172">
        <f t="shared" si="228"/>
        <v>12.588652482269502</v>
      </c>
      <c r="CU72" s="217">
        <f t="shared" si="229"/>
        <v>3.7901319301456575</v>
      </c>
      <c r="CV72" s="217">
        <f t="shared" si="230"/>
        <v>3.5374564681359471</v>
      </c>
      <c r="CW72" s="443">
        <f t="shared" si="231"/>
        <v>28</v>
      </c>
      <c r="CX72" s="217">
        <f t="shared" si="232"/>
        <v>7.3656187122736423</v>
      </c>
      <c r="CY72" s="217">
        <f t="shared" si="233"/>
        <v>1.2363717124173612</v>
      </c>
      <c r="CZ72" s="217">
        <f t="shared" si="234"/>
        <v>1.2062163047974257</v>
      </c>
      <c r="DA72" s="197">
        <f t="shared" si="235"/>
        <v>350</v>
      </c>
      <c r="DB72" s="443">
        <f t="shared" si="290"/>
        <v>350</v>
      </c>
      <c r="DD72" s="217">
        <f t="shared" si="236"/>
        <v>8.6157079064880477</v>
      </c>
      <c r="DE72" s="173">
        <f t="shared" si="237"/>
        <v>1.4109347442680775</v>
      </c>
      <c r="DF72" s="173">
        <f t="shared" si="238"/>
        <v>2.1273352855526046</v>
      </c>
      <c r="DG72" s="173"/>
      <c r="DH72" s="173">
        <f t="shared" si="239"/>
        <v>0.54587688734030204</v>
      </c>
      <c r="DI72" s="545">
        <f t="shared" si="240"/>
        <v>1841.0744680851064</v>
      </c>
      <c r="DJ72" s="528">
        <f t="shared" si="241"/>
        <v>0.31842818428184283</v>
      </c>
      <c r="DL72" s="173">
        <f t="shared" si="242"/>
        <v>7.9454829361182258</v>
      </c>
      <c r="DM72" s="173">
        <f t="shared" si="243"/>
        <v>7.9454829361182258</v>
      </c>
      <c r="DN72" s="173">
        <f t="shared" si="244"/>
        <v>4.6164071131739943</v>
      </c>
      <c r="DP72" s="545">
        <f t="shared" si="245"/>
        <v>1675</v>
      </c>
      <c r="DQ72" s="460">
        <f t="shared" si="246"/>
        <v>350</v>
      </c>
      <c r="DS72">
        <f t="shared" si="291"/>
        <v>1675</v>
      </c>
      <c r="DT72">
        <f t="shared" si="247"/>
        <v>350</v>
      </c>
      <c r="DV72" s="5">
        <f t="shared" si="292"/>
        <v>2.8571428571428572</v>
      </c>
      <c r="DW72" s="5">
        <f t="shared" si="248"/>
        <v>1.333706064276988</v>
      </c>
      <c r="DX72" s="5">
        <f t="shared" si="293"/>
        <v>1.5234367928658692</v>
      </c>
      <c r="DY72" s="173">
        <f t="shared" si="294"/>
        <v>0.46679712249694577</v>
      </c>
      <c r="EA72" s="5">
        <f t="shared" si="249"/>
        <v>7.9784202059426965</v>
      </c>
      <c r="EB72" s="5">
        <f t="shared" si="250"/>
        <v>0.74465255255465157</v>
      </c>
      <c r="EC72" s="5">
        <f t="shared" si="251"/>
        <v>1.8226833057502363</v>
      </c>
      <c r="ED72" s="5"/>
      <c r="EE72" s="173">
        <f t="shared" si="295"/>
        <v>3.1341787162172201</v>
      </c>
      <c r="EF72" s="173">
        <f t="shared" si="252"/>
        <v>3.3497000070941096</v>
      </c>
      <c r="EG72" s="173">
        <f t="shared" si="253"/>
        <v>0.33771565645293072</v>
      </c>
      <c r="EH72" s="173"/>
      <c r="EI72" s="528">
        <f t="shared" si="254"/>
        <v>0.11787691470226826</v>
      </c>
      <c r="EJ72" s="528">
        <f t="shared" si="255"/>
        <v>2.9958840684780577</v>
      </c>
      <c r="EK72" s="528">
        <f t="shared" si="256"/>
        <v>4.0250000000000001E-2</v>
      </c>
      <c r="EL72" s="528">
        <f t="shared" si="257"/>
        <v>0.55416666375000012</v>
      </c>
      <c r="EM72">
        <f t="shared" si="258"/>
        <v>1.26E-2</v>
      </c>
      <c r="EN72" s="460">
        <f t="shared" si="296"/>
        <v>52.85</v>
      </c>
      <c r="EO72">
        <f t="shared" si="259"/>
        <v>3.8607341373340294</v>
      </c>
      <c r="EP72" s="460">
        <f t="shared" si="297"/>
        <v>3860.7341373340296</v>
      </c>
      <c r="EQ72" s="173">
        <f t="shared" si="260"/>
        <v>1.1232549999999999</v>
      </c>
      <c r="ER72" s="173">
        <f t="shared" si="261"/>
        <v>8.0232499999999998E-2</v>
      </c>
      <c r="ES72" s="528"/>
      <c r="EU72" s="460">
        <f t="shared" si="298"/>
        <v>1203.4874999999997</v>
      </c>
      <c r="EV72" s="528">
        <f t="shared" si="262"/>
        <v>0.13752306715264631</v>
      </c>
      <c r="EW72" s="528">
        <f t="shared" si="299"/>
        <v>0.15708686192536789</v>
      </c>
      <c r="EX72" s="528">
        <f t="shared" si="263"/>
        <v>5.7025932306716963E-4</v>
      </c>
      <c r="EY72" s="528">
        <f t="shared" si="264"/>
        <v>20.391109811718653</v>
      </c>
      <c r="EZ72" s="528">
        <f t="shared" si="265"/>
        <v>21.259155773862119</v>
      </c>
      <c r="FA72" s="625">
        <f t="shared" si="266"/>
        <v>2.209574468085107</v>
      </c>
      <c r="FB72" s="460">
        <f t="shared" si="300"/>
        <v>23468.730241947229</v>
      </c>
      <c r="FC72" s="173">
        <f t="shared" si="301"/>
        <v>28.532951879281256</v>
      </c>
      <c r="FD72" s="5">
        <f t="shared" si="302"/>
        <v>51.924999999999997</v>
      </c>
      <c r="FE72" s="173">
        <f t="shared" si="303"/>
        <v>0.64536815550448057</v>
      </c>
      <c r="FF72" s="5">
        <f t="shared" si="304"/>
        <v>64.536815550448054</v>
      </c>
      <c r="FG72">
        <f t="shared" si="305"/>
        <v>67</v>
      </c>
      <c r="FI72" s="562">
        <f t="shared" si="267"/>
        <v>-50</v>
      </c>
      <c r="FJ72">
        <f t="shared" si="268"/>
        <v>-50</v>
      </c>
      <c r="FL72">
        <f t="shared" si="269"/>
        <v>0.44050027577488132</v>
      </c>
    </row>
    <row r="73" spans="5:168">
      <c r="E73" s="170">
        <v>68</v>
      </c>
      <c r="F73" s="217">
        <f t="shared" si="306"/>
        <v>1.7000000000000002</v>
      </c>
      <c r="G73" s="217">
        <f t="shared" si="270"/>
        <v>0.17</v>
      </c>
      <c r="H73" s="217">
        <f t="shared" si="175"/>
        <v>47.600000000000009</v>
      </c>
      <c r="I73" s="217">
        <f t="shared" si="307"/>
        <v>5.1000000000000005</v>
      </c>
      <c r="J73" s="541">
        <f t="shared" si="176"/>
        <v>27.867760098662163</v>
      </c>
      <c r="K73" s="443">
        <f t="shared" si="177"/>
        <v>28.753630731107723</v>
      </c>
      <c r="L73" s="172">
        <f t="shared" si="178"/>
        <v>56.621390829769886</v>
      </c>
      <c r="M73" s="443"/>
      <c r="N73" s="217">
        <f t="shared" si="179"/>
        <v>0.50782275584777581</v>
      </c>
      <c r="O73" s="172">
        <f t="shared" si="271"/>
        <v>106.51954744973243</v>
      </c>
      <c r="P73" s="172">
        <f t="shared" si="180"/>
        <v>12.635609582685095</v>
      </c>
      <c r="Q73" s="217">
        <f t="shared" si="181"/>
        <v>3.8042695517761582</v>
      </c>
      <c r="R73" s="217">
        <f t="shared" si="182"/>
        <v>3.5506515816577475</v>
      </c>
      <c r="S73" s="443">
        <f t="shared" si="183"/>
        <v>28</v>
      </c>
      <c r="T73" s="217">
        <f t="shared" si="184"/>
        <v>7.4477722852485373</v>
      </c>
      <c r="U73" s="217">
        <f t="shared" si="185"/>
        <v>1.2560941251374047</v>
      </c>
      <c r="V73" s="217">
        <f t="shared" si="186"/>
        <v>1.2173951202203392</v>
      </c>
      <c r="W73" s="197">
        <f t="shared" si="187"/>
        <v>350</v>
      </c>
      <c r="X73" s="443">
        <f t="shared" si="272"/>
        <v>350</v>
      </c>
      <c r="Z73" s="217">
        <f t="shared" si="188"/>
        <v>8.6029682265089988</v>
      </c>
      <c r="AA73" s="173">
        <f t="shared" si="189"/>
        <v>1.4062206975777833</v>
      </c>
      <c r="AB73" s="173">
        <f t="shared" si="190"/>
        <v>2.1170925966261733</v>
      </c>
      <c r="AC73" s="173"/>
      <c r="AD73" s="173">
        <f t="shared" si="191"/>
        <v>0.5448587280394247</v>
      </c>
      <c r="AE73" s="545">
        <f t="shared" si="192"/>
        <v>1872.0448944082902</v>
      </c>
      <c r="AF73" s="528">
        <f t="shared" si="193"/>
        <v>0.31783425802299775</v>
      </c>
      <c r="AH73" s="173">
        <f t="shared" si="194"/>
        <v>8.0045579720723801</v>
      </c>
      <c r="AI73" s="173">
        <f t="shared" si="195"/>
        <v>8.0045579720723801</v>
      </c>
      <c r="AJ73" s="173">
        <f t="shared" si="196"/>
        <v>4.6601663990659601</v>
      </c>
      <c r="AL73" s="545">
        <f t="shared" si="197"/>
        <v>1700.0000000000002</v>
      </c>
      <c r="AM73" s="460">
        <f t="shared" si="198"/>
        <v>350</v>
      </c>
      <c r="AO73">
        <f t="shared" si="273"/>
        <v>1700.0000000000002</v>
      </c>
      <c r="AP73">
        <f t="shared" si="199"/>
        <v>350</v>
      </c>
      <c r="AR73" s="5">
        <f t="shared" si="274"/>
        <v>2.8571428571428572</v>
      </c>
      <c r="AS73" s="5">
        <f t="shared" si="200"/>
        <v>1.3499980743176507</v>
      </c>
      <c r="AT73" s="5">
        <f t="shared" si="275"/>
        <v>1.5071447828252065</v>
      </c>
      <c r="AU73" s="173">
        <f t="shared" si="276"/>
        <v>0.47249932601117772</v>
      </c>
      <c r="AW73" s="5">
        <f t="shared" si="201"/>
        <v>8.1964168797857369</v>
      </c>
      <c r="AX73" s="5">
        <f t="shared" si="202"/>
        <v>0.7649989087800021</v>
      </c>
      <c r="AY73" s="5">
        <f t="shared" si="203"/>
        <v>1.8387887090544111</v>
      </c>
      <c r="AZ73" s="5"/>
      <c r="BA73" s="173">
        <f t="shared" si="277"/>
        <v>3.1767081966849169</v>
      </c>
      <c r="BB73" s="173">
        <f t="shared" si="204"/>
        <v>3.3565122487294303</v>
      </c>
      <c r="BC73" s="173">
        <f t="shared" si="205"/>
        <v>0.33840246442108191</v>
      </c>
      <c r="BD73" s="173"/>
      <c r="BE73" s="528">
        <f t="shared" si="206"/>
        <v>0.12109769960262165</v>
      </c>
      <c r="BF73" s="528">
        <f t="shared" si="207"/>
        <v>2.8950015492131138</v>
      </c>
      <c r="BG73" s="528">
        <f t="shared" si="208"/>
        <v>4.0250000000000001E-2</v>
      </c>
      <c r="BH73" s="528">
        <f t="shared" si="209"/>
        <v>0.55263112992589003</v>
      </c>
      <c r="BI73">
        <f t="shared" si="210"/>
        <v>1.2540492044397973E-2</v>
      </c>
      <c r="BJ73" s="460">
        <f t="shared" si="278"/>
        <v>52.790492044397972</v>
      </c>
      <c r="BK73">
        <f t="shared" si="211"/>
        <v>3.7081197967046258</v>
      </c>
      <c r="BL73" s="460">
        <f t="shared" si="279"/>
        <v>3708.119796704626</v>
      </c>
      <c r="BM73" s="173">
        <f t="shared" si="212"/>
        <v>1.1400199999999998</v>
      </c>
      <c r="BN73" s="173">
        <f t="shared" si="213"/>
        <v>8.1430000000000002E-2</v>
      </c>
      <c r="BO73" s="528"/>
      <c r="BQ73" s="460">
        <f t="shared" si="280"/>
        <v>1221.4499999999998</v>
      </c>
      <c r="BR73" s="528">
        <f t="shared" si="214"/>
        <v>0.14128064953639191</v>
      </c>
      <c r="BS73" s="528">
        <f t="shared" si="215"/>
        <v>0.15772644266218977</v>
      </c>
      <c r="BT73" s="528">
        <f t="shared" si="216"/>
        <v>5.725811396313081E-4</v>
      </c>
      <c r="BU73" s="528">
        <f t="shared" si="217"/>
        <v>20.772248093332518</v>
      </c>
      <c r="BV73" s="528">
        <f t="shared" si="218"/>
        <v>21.662908246351723</v>
      </c>
      <c r="BW73" s="625">
        <f t="shared" si="219"/>
        <v>2.2425531914893626</v>
      </c>
      <c r="BX73" s="460">
        <f t="shared" si="281"/>
        <v>23905.461437841088</v>
      </c>
      <c r="BY73" s="173">
        <f t="shared" si="282"/>
        <v>28.835031234545713</v>
      </c>
      <c r="BZ73" s="5">
        <f t="shared" si="283"/>
        <v>52.70000000000001</v>
      </c>
      <c r="CA73" s="173">
        <f t="shared" si="284"/>
        <v>0.64634794642319893</v>
      </c>
      <c r="CB73" s="5">
        <f t="shared" si="285"/>
        <v>64.634794642319889</v>
      </c>
      <c r="CC73">
        <f t="shared" si="286"/>
        <v>68</v>
      </c>
      <c r="CE73" s="562">
        <f t="shared" si="220"/>
        <v>-50</v>
      </c>
      <c r="CF73">
        <f t="shared" si="221"/>
        <v>-50</v>
      </c>
      <c r="CG73" s="173">
        <f t="shared" si="222"/>
        <v>0.44377541585616243</v>
      </c>
      <c r="CH73" s="173">
        <f t="shared" si="223"/>
        <v>0.14390982087013426</v>
      </c>
      <c r="CI73" s="170">
        <v>68</v>
      </c>
      <c r="CJ73" s="217">
        <f t="shared" si="308"/>
        <v>1.7000000000000002</v>
      </c>
      <c r="CK73" s="217">
        <f t="shared" si="287"/>
        <v>0.17</v>
      </c>
      <c r="CL73" s="217">
        <f t="shared" si="224"/>
        <v>47.600000000000009</v>
      </c>
      <c r="CM73" s="217">
        <f t="shared" si="309"/>
        <v>5.1000000000000005</v>
      </c>
      <c r="CN73" s="541">
        <f t="shared" si="288"/>
        <v>28</v>
      </c>
      <c r="CO73" s="443">
        <f t="shared" si="225"/>
        <v>28.7</v>
      </c>
      <c r="CP73" s="443">
        <f t="shared" si="226"/>
        <v>56.7</v>
      </c>
      <c r="CQ73" s="443"/>
      <c r="CR73" s="217">
        <f t="shared" si="227"/>
        <v>0.50354609929078009</v>
      </c>
      <c r="CS73" s="172">
        <f t="shared" si="289"/>
        <v>106.12369404407841</v>
      </c>
      <c r="CT73" s="172">
        <f t="shared" si="228"/>
        <v>12.588652482269502</v>
      </c>
      <c r="CU73" s="217">
        <f t="shared" si="229"/>
        <v>3.7901319301456575</v>
      </c>
      <c r="CV73" s="217">
        <f t="shared" si="230"/>
        <v>3.5374564681359471</v>
      </c>
      <c r="CW73" s="443">
        <f t="shared" si="231"/>
        <v>28</v>
      </c>
      <c r="CX73" s="217">
        <f t="shared" si="232"/>
        <v>7.475553319919519</v>
      </c>
      <c r="CY73" s="217">
        <f t="shared" si="233"/>
        <v>1.2548250215579193</v>
      </c>
      <c r="CZ73" s="217">
        <f t="shared" si="234"/>
        <v>1.2242195332272385</v>
      </c>
      <c r="DA73" s="197">
        <f t="shared" si="235"/>
        <v>350</v>
      </c>
      <c r="DB73" s="443">
        <f t="shared" si="290"/>
        <v>350</v>
      </c>
      <c r="DD73" s="217">
        <f t="shared" si="236"/>
        <v>8.6157079064880477</v>
      </c>
      <c r="DE73" s="173">
        <f t="shared" si="237"/>
        <v>1.4109347442680775</v>
      </c>
      <c r="DF73" s="173">
        <f t="shared" si="238"/>
        <v>2.1273352855526046</v>
      </c>
      <c r="DG73" s="173"/>
      <c r="DH73" s="173">
        <f t="shared" si="239"/>
        <v>0.54587688734030204</v>
      </c>
      <c r="DI73" s="545">
        <f t="shared" si="240"/>
        <v>1868.553191489362</v>
      </c>
      <c r="DJ73" s="528">
        <f t="shared" si="241"/>
        <v>0.31842818428184283</v>
      </c>
      <c r="DL73" s="173">
        <f t="shared" si="242"/>
        <v>8.0045579720723801</v>
      </c>
      <c r="DM73" s="173">
        <f t="shared" si="243"/>
        <v>8.0045579720723801</v>
      </c>
      <c r="DN73" s="173">
        <f t="shared" si="244"/>
        <v>4.6601663990659601</v>
      </c>
      <c r="DP73" s="545">
        <f t="shared" si="245"/>
        <v>1700.0000000000002</v>
      </c>
      <c r="DQ73" s="460">
        <f t="shared" si="246"/>
        <v>350</v>
      </c>
      <c r="DS73">
        <f t="shared" si="291"/>
        <v>1700.0000000000002</v>
      </c>
      <c r="DT73">
        <f t="shared" si="247"/>
        <v>350</v>
      </c>
      <c r="DV73" s="5">
        <f t="shared" si="292"/>
        <v>2.8571428571428572</v>
      </c>
      <c r="DW73" s="5">
        <f t="shared" si="248"/>
        <v>1.3436222310264352</v>
      </c>
      <c r="DX73" s="5">
        <f t="shared" si="293"/>
        <v>1.513520626116422</v>
      </c>
      <c r="DY73" s="173">
        <f t="shared" si="294"/>
        <v>0.4702677808592523</v>
      </c>
      <c r="EA73" s="5">
        <f t="shared" si="249"/>
        <v>8.1577064026604997</v>
      </c>
      <c r="EB73" s="5">
        <f t="shared" si="250"/>
        <v>0.76138593091498008</v>
      </c>
      <c r="EC73" s="5">
        <f t="shared" si="251"/>
        <v>1.8378464745699414</v>
      </c>
      <c r="ED73" s="5"/>
      <c r="EE73" s="173">
        <f t="shared" si="295"/>
        <v>3.1691977546083541</v>
      </c>
      <c r="EF73" s="173">
        <f t="shared" si="252"/>
        <v>3.3636044706447277</v>
      </c>
      <c r="EG73" s="173">
        <f t="shared" si="253"/>
        <v>0.33911749990926354</v>
      </c>
      <c r="EH73" s="173"/>
      <c r="EI73" s="528">
        <f t="shared" si="254"/>
        <v>0.1205257728937756</v>
      </c>
      <c r="EJ73" s="528">
        <f t="shared" si="255"/>
        <v>3.0181586061597518</v>
      </c>
      <c r="EK73" s="528">
        <f t="shared" si="256"/>
        <v>4.0250000000000001E-2</v>
      </c>
      <c r="EL73" s="528">
        <f t="shared" si="257"/>
        <v>0.55416666375000012</v>
      </c>
      <c r="EM73">
        <f t="shared" si="258"/>
        <v>1.26E-2</v>
      </c>
      <c r="EN73" s="460">
        <f t="shared" si="296"/>
        <v>52.85</v>
      </c>
      <c r="EO73">
        <f t="shared" si="259"/>
        <v>3.8896300399243016</v>
      </c>
      <c r="EP73" s="460">
        <f t="shared" si="297"/>
        <v>3889.6300399243014</v>
      </c>
      <c r="EQ73" s="173">
        <f t="shared" si="260"/>
        <v>1.1400199999999998</v>
      </c>
      <c r="ER73" s="173">
        <f t="shared" si="261"/>
        <v>8.1430000000000002E-2</v>
      </c>
      <c r="ES73" s="528"/>
      <c r="EU73" s="460">
        <f t="shared" si="298"/>
        <v>1221.4499999999998</v>
      </c>
      <c r="EV73" s="528">
        <f t="shared" si="262"/>
        <v>0.14061340170940487</v>
      </c>
      <c r="EW73" s="528">
        <f t="shared" si="299"/>
        <v>0.15839369048917679</v>
      </c>
      <c r="EX73" s="528">
        <f t="shared" si="263"/>
        <v>5.7500339372354686E-4</v>
      </c>
      <c r="EY73" s="528">
        <f t="shared" si="264"/>
        <v>20.772248093332518</v>
      </c>
      <c r="EZ73" s="528">
        <f t="shared" si="265"/>
        <v>21.662915624624109</v>
      </c>
      <c r="FA73" s="625">
        <f t="shared" si="266"/>
        <v>2.2425531914893626</v>
      </c>
      <c r="FB73" s="460">
        <f t="shared" si="300"/>
        <v>23905.468816113473</v>
      </c>
      <c r="FC73" s="173">
        <f t="shared" si="301"/>
        <v>29.016548856037772</v>
      </c>
      <c r="FD73" s="5">
        <f t="shared" si="302"/>
        <v>52.70000000000001</v>
      </c>
      <c r="FE73" s="173">
        <f t="shared" si="303"/>
        <v>0.64491220857653941</v>
      </c>
      <c r="FF73" s="5">
        <f t="shared" si="304"/>
        <v>64.491220857653943</v>
      </c>
      <c r="FG73">
        <f t="shared" si="305"/>
        <v>68</v>
      </c>
      <c r="FI73" s="562">
        <f t="shared" si="267"/>
        <v>-50</v>
      </c>
      <c r="FJ73">
        <f t="shared" si="268"/>
        <v>-50</v>
      </c>
      <c r="FL73">
        <f t="shared" si="269"/>
        <v>0.44377541585616243</v>
      </c>
    </row>
    <row r="74" spans="5:168">
      <c r="E74" s="170">
        <v>69</v>
      </c>
      <c r="F74" s="217">
        <f t="shared" si="306"/>
        <v>1.7249999999999999</v>
      </c>
      <c r="G74" s="217">
        <f t="shared" si="270"/>
        <v>0.17249999999999999</v>
      </c>
      <c r="H74" s="217">
        <f t="shared" si="175"/>
        <v>48.3</v>
      </c>
      <c r="I74" s="217">
        <f t="shared" si="307"/>
        <v>5.1749999999999998</v>
      </c>
      <c r="J74" s="541">
        <f t="shared" si="176"/>
        <v>27.866791295224427</v>
      </c>
      <c r="K74" s="443">
        <f t="shared" si="177"/>
        <v>28.754023635489379</v>
      </c>
      <c r="L74" s="172">
        <f t="shared" si="178"/>
        <v>56.620814930713806</v>
      </c>
      <c r="M74" s="443"/>
      <c r="N74" s="217">
        <f t="shared" si="179"/>
        <v>0.507834860213074</v>
      </c>
      <c r="O74" s="172">
        <f t="shared" si="271"/>
        <v>106.51838326234457</v>
      </c>
      <c r="P74" s="172">
        <f t="shared" si="180"/>
        <v>12.635471483926075</v>
      </c>
      <c r="Q74" s="217">
        <f t="shared" si="181"/>
        <v>3.8042279736551632</v>
      </c>
      <c r="R74" s="217">
        <f t="shared" si="182"/>
        <v>3.5506127754114858</v>
      </c>
      <c r="S74" s="443">
        <f t="shared" si="183"/>
        <v>28</v>
      </c>
      <c r="T74" s="217">
        <f t="shared" si="184"/>
        <v>7.5573809453844438</v>
      </c>
      <c r="U74" s="217">
        <f t="shared" si="185"/>
        <v>1.2746243393079113</v>
      </c>
      <c r="V74" s="217">
        <f t="shared" si="186"/>
        <v>1.2352946110633036</v>
      </c>
      <c r="W74" s="197">
        <f t="shared" si="187"/>
        <v>350</v>
      </c>
      <c r="X74" s="443">
        <f t="shared" si="272"/>
        <v>350</v>
      </c>
      <c r="Z74" s="217">
        <f t="shared" si="188"/>
        <v>8.6028742018220061</v>
      </c>
      <c r="AA74" s="173">
        <f t="shared" si="189"/>
        <v>1.4061861136769311</v>
      </c>
      <c r="AB74" s="173">
        <f t="shared" si="190"/>
        <v>2.117017392054533</v>
      </c>
      <c r="AC74" s="173"/>
      <c r="AD74" s="173">
        <f t="shared" si="191"/>
        <v>0.54485128291159346</v>
      </c>
      <c r="AE74" s="545">
        <f t="shared" si="192"/>
        <v>1899.6009231530745</v>
      </c>
      <c r="AF74" s="528">
        <f t="shared" si="193"/>
        <v>0.31782991503176289</v>
      </c>
      <c r="AH74" s="173">
        <f t="shared" si="194"/>
        <v>8.0632002063938017</v>
      </c>
      <c r="AI74" s="173">
        <f t="shared" si="195"/>
        <v>8.0632002063938017</v>
      </c>
      <c r="AJ74" s="173">
        <f t="shared" si="196"/>
        <v>4.703605091155902</v>
      </c>
      <c r="AL74" s="545">
        <f t="shared" si="197"/>
        <v>1724.9999999999998</v>
      </c>
      <c r="AM74" s="460">
        <f t="shared" si="198"/>
        <v>350</v>
      </c>
      <c r="AO74">
        <f t="shared" si="273"/>
        <v>1724.9999999999998</v>
      </c>
      <c r="AP74">
        <f t="shared" si="199"/>
        <v>350</v>
      </c>
      <c r="AR74" s="5">
        <f t="shared" si="274"/>
        <v>2.8571428571428572</v>
      </c>
      <c r="AS74" s="5">
        <f t="shared" si="200"/>
        <v>1.3599355795421391</v>
      </c>
      <c r="AT74" s="5">
        <f t="shared" si="275"/>
        <v>1.4972072776007181</v>
      </c>
      <c r="AU74" s="173">
        <f t="shared" si="276"/>
        <v>0.47597745283974868</v>
      </c>
      <c r="AW74" s="5">
        <f t="shared" si="201"/>
        <v>8.3781745525363913</v>
      </c>
      <c r="AX74" s="5">
        <f t="shared" si="202"/>
        <v>0.7819629582367299</v>
      </c>
      <c r="AY74" s="5">
        <f t="shared" si="203"/>
        <v>1.8535916291904311</v>
      </c>
      <c r="AZ74" s="5"/>
      <c r="BA74" s="173">
        <f t="shared" si="277"/>
        <v>3.2117372315967798</v>
      </c>
      <c r="BB74" s="173">
        <f t="shared" si="204"/>
        <v>3.3699371623179268</v>
      </c>
      <c r="BC74" s="173">
        <f t="shared" si="205"/>
        <v>0.33975595980746315</v>
      </c>
      <c r="BD74" s="173"/>
      <c r="BE74" s="528">
        <f t="shared" si="206"/>
        <v>0.12378307253789937</v>
      </c>
      <c r="BF74" s="528">
        <f t="shared" si="207"/>
        <v>2.9161809743843636</v>
      </c>
      <c r="BG74" s="528">
        <f t="shared" si="208"/>
        <v>4.0250000000000001E-2</v>
      </c>
      <c r="BH74" s="528">
        <f t="shared" si="209"/>
        <v>0.55261988830420239</v>
      </c>
      <c r="BI74">
        <f t="shared" si="210"/>
        <v>1.2540056082850993E-2</v>
      </c>
      <c r="BJ74" s="460">
        <f t="shared" si="278"/>
        <v>52.790056082850995</v>
      </c>
      <c r="BK74">
        <f t="shared" si="211"/>
        <v>3.7358808254033322</v>
      </c>
      <c r="BL74" s="460">
        <f t="shared" si="279"/>
        <v>3735.8808254033324</v>
      </c>
      <c r="BM74" s="173">
        <f t="shared" si="212"/>
        <v>1.1567849999999997</v>
      </c>
      <c r="BN74" s="173">
        <f t="shared" si="213"/>
        <v>8.2627499999999993E-2</v>
      </c>
      <c r="BO74" s="528"/>
      <c r="BQ74" s="460">
        <f t="shared" si="280"/>
        <v>1239.4124999999999</v>
      </c>
      <c r="BR74" s="528">
        <f t="shared" si="214"/>
        <v>0.14441358462754927</v>
      </c>
      <c r="BS74" s="528">
        <f t="shared" si="215"/>
        <v>0.15899067069159964</v>
      </c>
      <c r="BT74" s="528">
        <f t="shared" si="216"/>
        <v>5.771705611234525E-4</v>
      </c>
      <c r="BU74" s="528">
        <f t="shared" si="217"/>
        <v>21.154790241962971</v>
      </c>
      <c r="BV74" s="528">
        <f t="shared" si="218"/>
        <v>22.06839785377316</v>
      </c>
      <c r="BW74" s="625">
        <f t="shared" si="219"/>
        <v>2.2755319148936164</v>
      </c>
      <c r="BX74" s="460">
        <f t="shared" si="281"/>
        <v>24343.929768666774</v>
      </c>
      <c r="BY74" s="173">
        <f t="shared" si="282"/>
        <v>29.319223094070107</v>
      </c>
      <c r="BZ74" s="5">
        <f t="shared" si="283"/>
        <v>53.474999999999994</v>
      </c>
      <c r="CA74" s="173">
        <f t="shared" si="284"/>
        <v>0.64587839587844365</v>
      </c>
      <c r="CB74" s="5">
        <f t="shared" si="285"/>
        <v>64.587839587844371</v>
      </c>
      <c r="CC74">
        <f t="shared" si="286"/>
        <v>69</v>
      </c>
      <c r="CE74" s="562">
        <f t="shared" si="220"/>
        <v>-50</v>
      </c>
      <c r="CF74">
        <f t="shared" si="221"/>
        <v>-50</v>
      </c>
      <c r="CG74" s="173">
        <f t="shared" si="222"/>
        <v>0.44702656126775425</v>
      </c>
      <c r="CH74" s="173">
        <f t="shared" si="223"/>
        <v>0.14496411936682385</v>
      </c>
      <c r="CI74" s="170">
        <v>69</v>
      </c>
      <c r="CJ74" s="217">
        <f t="shared" si="308"/>
        <v>1.7249999999999999</v>
      </c>
      <c r="CK74" s="217">
        <f t="shared" si="287"/>
        <v>0.17249999999999999</v>
      </c>
      <c r="CL74" s="217">
        <f t="shared" si="224"/>
        <v>48.3</v>
      </c>
      <c r="CM74" s="217">
        <f t="shared" si="309"/>
        <v>5.1749999999999998</v>
      </c>
      <c r="CN74" s="541">
        <f t="shared" si="288"/>
        <v>28</v>
      </c>
      <c r="CO74" s="443">
        <f t="shared" si="225"/>
        <v>28.7</v>
      </c>
      <c r="CP74" s="443">
        <f t="shared" si="226"/>
        <v>56.7</v>
      </c>
      <c r="CQ74" s="443"/>
      <c r="CR74" s="217">
        <f t="shared" si="227"/>
        <v>0.50354609929078009</v>
      </c>
      <c r="CS74" s="172">
        <f t="shared" si="289"/>
        <v>106.12369404407841</v>
      </c>
      <c r="CT74" s="172">
        <f t="shared" si="228"/>
        <v>12.588652482269502</v>
      </c>
      <c r="CU74" s="217">
        <f t="shared" si="229"/>
        <v>3.7901319301456575</v>
      </c>
      <c r="CV74" s="217">
        <f t="shared" si="230"/>
        <v>3.5374564681359471</v>
      </c>
      <c r="CW74" s="443">
        <f t="shared" si="231"/>
        <v>28</v>
      </c>
      <c r="CX74" s="217">
        <f t="shared" si="232"/>
        <v>7.5854879275653921</v>
      </c>
      <c r="CY74" s="217">
        <f t="shared" si="233"/>
        <v>1.2732783306984763</v>
      </c>
      <c r="CZ74" s="217">
        <f t="shared" si="234"/>
        <v>1.2422227616570503</v>
      </c>
      <c r="DA74" s="197">
        <f t="shared" si="235"/>
        <v>350</v>
      </c>
      <c r="DB74" s="443">
        <f t="shared" si="290"/>
        <v>350</v>
      </c>
      <c r="DD74" s="217">
        <f t="shared" si="236"/>
        <v>8.6157079064880477</v>
      </c>
      <c r="DE74" s="173">
        <f t="shared" si="237"/>
        <v>1.4109347442680775</v>
      </c>
      <c r="DF74" s="173">
        <f t="shared" si="238"/>
        <v>2.1273352855526046</v>
      </c>
      <c r="DG74" s="173"/>
      <c r="DH74" s="173">
        <f t="shared" si="239"/>
        <v>0.54587688734030204</v>
      </c>
      <c r="DI74" s="545">
        <f t="shared" si="240"/>
        <v>1896.0319148936167</v>
      </c>
      <c r="DJ74" s="528">
        <f t="shared" si="241"/>
        <v>0.31842818428184283</v>
      </c>
      <c r="DL74" s="173">
        <f t="shared" si="242"/>
        <v>8.0632002063938017</v>
      </c>
      <c r="DM74" s="173">
        <f t="shared" si="243"/>
        <v>8.0632002063938017</v>
      </c>
      <c r="DN74" s="173">
        <f t="shared" si="244"/>
        <v>4.703605091155902</v>
      </c>
      <c r="DP74" s="545">
        <f t="shared" si="245"/>
        <v>1724.9999999999998</v>
      </c>
      <c r="DQ74" s="460">
        <f t="shared" si="246"/>
        <v>350</v>
      </c>
      <c r="DS74">
        <f t="shared" si="291"/>
        <v>1724.9999999999998</v>
      </c>
      <c r="DT74">
        <f t="shared" si="247"/>
        <v>350</v>
      </c>
      <c r="DV74" s="5">
        <f t="shared" si="292"/>
        <v>2.8571428571428572</v>
      </c>
      <c r="DW74" s="5">
        <f t="shared" si="248"/>
        <v>1.3534657489303881</v>
      </c>
      <c r="DX74" s="5">
        <f t="shared" si="293"/>
        <v>1.5036771082124691</v>
      </c>
      <c r="DY74" s="173">
        <f t="shared" si="294"/>
        <v>0.47371301212563582</v>
      </c>
      <c r="EA74" s="5">
        <f t="shared" si="249"/>
        <v>8.3383157746604244</v>
      </c>
      <c r="EB74" s="5">
        <f t="shared" si="250"/>
        <v>0.77824280563497306</v>
      </c>
      <c r="EC74" s="5">
        <f t="shared" si="251"/>
        <v>1.8527450083332206</v>
      </c>
      <c r="ED74" s="5"/>
      <c r="EE74" s="173">
        <f t="shared" si="295"/>
        <v>3.2040882777094275</v>
      </c>
      <c r="EF74" s="173">
        <f t="shared" si="252"/>
        <v>3.377210510382997</v>
      </c>
      <c r="EG74" s="173">
        <f t="shared" si="253"/>
        <v>0.34048925637467919</v>
      </c>
      <c r="EH74" s="173"/>
      <c r="EI74" s="528">
        <f t="shared" si="254"/>
        <v>0.12319418029625959</v>
      </c>
      <c r="EJ74" s="528">
        <f t="shared" si="255"/>
        <v>3.0402699538218152</v>
      </c>
      <c r="EK74" s="528">
        <f t="shared" si="256"/>
        <v>4.0250000000000001E-2</v>
      </c>
      <c r="EL74" s="528">
        <f t="shared" si="257"/>
        <v>0.55416666375000012</v>
      </c>
      <c r="EM74">
        <f t="shared" si="258"/>
        <v>1.26E-2</v>
      </c>
      <c r="EN74" s="460">
        <f t="shared" si="296"/>
        <v>52.85</v>
      </c>
      <c r="EO74">
        <f t="shared" si="259"/>
        <v>3.9184396269406707</v>
      </c>
      <c r="EP74" s="460">
        <f t="shared" si="297"/>
        <v>3918.4396269406707</v>
      </c>
      <c r="EQ74" s="173">
        <f t="shared" si="260"/>
        <v>1.1567849999999997</v>
      </c>
      <c r="ER74" s="173">
        <f t="shared" si="261"/>
        <v>8.2627499999999993E-2</v>
      </c>
      <c r="ES74" s="528"/>
      <c r="EU74" s="460">
        <f t="shared" si="298"/>
        <v>1239.4124999999999</v>
      </c>
      <c r="EV74" s="528">
        <f t="shared" si="262"/>
        <v>0.14372654367896953</v>
      </c>
      <c r="EW74" s="528">
        <f t="shared" si="299"/>
        <v>0.15967771164017935</v>
      </c>
      <c r="EX74" s="528">
        <f t="shared" si="263"/>
        <v>5.7966466853291005E-4</v>
      </c>
      <c r="EY74" s="528">
        <f t="shared" si="264"/>
        <v>21.154790241962971</v>
      </c>
      <c r="EZ74" s="528">
        <f t="shared" si="265"/>
        <v>22.068405536578659</v>
      </c>
      <c r="FA74" s="625">
        <f t="shared" si="266"/>
        <v>2.2755319148936164</v>
      </c>
      <c r="FB74" s="460">
        <f t="shared" si="300"/>
        <v>24343.937451472277</v>
      </c>
      <c r="FC74" s="173">
        <f t="shared" si="301"/>
        <v>29.501789578412946</v>
      </c>
      <c r="FD74" s="5">
        <f t="shared" si="302"/>
        <v>53.474999999999994</v>
      </c>
      <c r="FE74" s="173">
        <f t="shared" si="303"/>
        <v>0.64445732682229417</v>
      </c>
      <c r="FF74" s="5">
        <f t="shared" si="304"/>
        <v>64.445732682229419</v>
      </c>
      <c r="FG74">
        <f t="shared" si="305"/>
        <v>69</v>
      </c>
      <c r="FI74" s="562">
        <f t="shared" si="267"/>
        <v>-50</v>
      </c>
      <c r="FJ74">
        <f t="shared" si="268"/>
        <v>-50</v>
      </c>
      <c r="FL74">
        <f t="shared" si="269"/>
        <v>0.44702656126775425</v>
      </c>
    </row>
    <row r="75" spans="5:168">
      <c r="E75" s="170">
        <v>70</v>
      </c>
      <c r="F75" s="217">
        <f t="shared" si="306"/>
        <v>1.75</v>
      </c>
      <c r="G75" s="217">
        <f t="shared" si="270"/>
        <v>0.17499999999999999</v>
      </c>
      <c r="H75" s="217">
        <f t="shared" si="175"/>
        <v>49</v>
      </c>
      <c r="I75" s="217">
        <f t="shared" si="307"/>
        <v>5.25</v>
      </c>
      <c r="J75" s="541">
        <f t="shared" si="176"/>
        <v>27.865829487031874</v>
      </c>
      <c r="K75" s="443">
        <f t="shared" si="177"/>
        <v>28.754413702904966</v>
      </c>
      <c r="L75" s="172">
        <f t="shared" si="178"/>
        <v>56.620243189936843</v>
      </c>
      <c r="M75" s="443"/>
      <c r="N75" s="217">
        <f t="shared" si="179"/>
        <v>0.50784687742237578</v>
      </c>
      <c r="O75" s="172">
        <f t="shared" si="271"/>
        <v>106.51722735743496</v>
      </c>
      <c r="P75" s="172">
        <f t="shared" si="180"/>
        <v>12.635334367654911</v>
      </c>
      <c r="Q75" s="217">
        <f t="shared" si="181"/>
        <v>3.8041866913369629</v>
      </c>
      <c r="R75" s="217">
        <f t="shared" si="182"/>
        <v>3.5505742452478319</v>
      </c>
      <c r="S75" s="443">
        <f t="shared" si="183"/>
        <v>28</v>
      </c>
      <c r="T75" s="217">
        <f t="shared" si="184"/>
        <v>7.6669914053077628</v>
      </c>
      <c r="U75" s="217">
        <f t="shared" si="185"/>
        <v>1.293155820885084</v>
      </c>
      <c r="V75" s="217">
        <f t="shared" si="186"/>
        <v>1.2531940305674185</v>
      </c>
      <c r="W75" s="197">
        <f t="shared" si="187"/>
        <v>350</v>
      </c>
      <c r="X75" s="443">
        <f t="shared" si="272"/>
        <v>350</v>
      </c>
      <c r="Z75" s="217">
        <f t="shared" si="188"/>
        <v>8.6027808460629185</v>
      </c>
      <c r="AA75" s="173">
        <f t="shared" si="189"/>
        <v>1.4061517787932118</v>
      </c>
      <c r="AB75" s="173">
        <f t="shared" si="190"/>
        <v>2.1169427281204203</v>
      </c>
      <c r="AC75" s="173"/>
      <c r="AD75" s="173">
        <f t="shared" si="191"/>
        <v>0.54484389174257153</v>
      </c>
      <c r="AE75" s="545">
        <f t="shared" si="192"/>
        <v>1927.1575141308647</v>
      </c>
      <c r="AF75" s="528">
        <f t="shared" si="193"/>
        <v>0.31782560351650008</v>
      </c>
      <c r="AH75" s="173">
        <f t="shared" si="194"/>
        <v>8.1214190144648146</v>
      </c>
      <c r="AI75" s="173">
        <f t="shared" si="195"/>
        <v>8.1214190144648146</v>
      </c>
      <c r="AJ75" s="173">
        <f t="shared" si="196"/>
        <v>4.7467301341714672</v>
      </c>
      <c r="AL75" s="545">
        <f t="shared" si="197"/>
        <v>1750</v>
      </c>
      <c r="AM75" s="460">
        <f t="shared" si="198"/>
        <v>350</v>
      </c>
      <c r="AO75">
        <f t="shared" si="273"/>
        <v>1750</v>
      </c>
      <c r="AP75">
        <f t="shared" si="199"/>
        <v>350</v>
      </c>
      <c r="AR75" s="5">
        <f t="shared" si="274"/>
        <v>2.8571428571428572</v>
      </c>
      <c r="AS75" s="5">
        <f t="shared" si="200"/>
        <v>1.3698020145335488</v>
      </c>
      <c r="AT75" s="5">
        <f t="shared" si="275"/>
        <v>1.4873408426093084</v>
      </c>
      <c r="AU75" s="173">
        <f t="shared" si="276"/>
        <v>0.47943070508674207</v>
      </c>
      <c r="AW75" s="5">
        <f t="shared" si="201"/>
        <v>8.56126259083468</v>
      </c>
      <c r="AX75" s="5">
        <f t="shared" si="202"/>
        <v>0.79905117514457003</v>
      </c>
      <c r="AY75" s="5">
        <f t="shared" si="203"/>
        <v>1.868127755376954</v>
      </c>
      <c r="AZ75" s="5"/>
      <c r="BA75" s="173">
        <f t="shared" si="277"/>
        <v>3.2466405831836669</v>
      </c>
      <c r="BB75" s="173">
        <f t="shared" si="204"/>
        <v>3.3830667339651606</v>
      </c>
      <c r="BC75" s="173">
        <f t="shared" si="205"/>
        <v>0.34107967891615965</v>
      </c>
      <c r="BD75" s="173"/>
      <c r="BE75" s="528">
        <f t="shared" si="206"/>
        <v>0.12648810091650217</v>
      </c>
      <c r="BF75" s="528">
        <f t="shared" si="207"/>
        <v>2.9372070467412206</v>
      </c>
      <c r="BG75" s="528">
        <f t="shared" si="208"/>
        <v>4.0250000000000001E-2</v>
      </c>
      <c r="BH75" s="528">
        <f t="shared" si="209"/>
        <v>0.55260872796574823</v>
      </c>
      <c r="BI75">
        <f t="shared" si="210"/>
        <v>1.2539623269164343E-2</v>
      </c>
      <c r="BJ75" s="460">
        <f t="shared" si="278"/>
        <v>52.789623269164345</v>
      </c>
      <c r="BK75">
        <f t="shared" si="211"/>
        <v>3.7635642138764385</v>
      </c>
      <c r="BL75" s="460">
        <f t="shared" si="279"/>
        <v>3763.5642138764383</v>
      </c>
      <c r="BM75" s="173">
        <f t="shared" si="212"/>
        <v>1.1735499999999999</v>
      </c>
      <c r="BN75" s="173">
        <f t="shared" si="213"/>
        <v>8.3824999999999997E-2</v>
      </c>
      <c r="BO75" s="528"/>
      <c r="BQ75" s="460">
        <f t="shared" si="280"/>
        <v>1257.375</v>
      </c>
      <c r="BR75" s="528">
        <f t="shared" si="214"/>
        <v>0.14756945106925254</v>
      </c>
      <c r="BS75" s="528">
        <f t="shared" si="215"/>
        <v>0.16023196737046377</v>
      </c>
      <c r="BT75" s="528">
        <f t="shared" si="216"/>
        <v>5.8167673684775278E-4</v>
      </c>
      <c r="BU75" s="528">
        <f t="shared" si="217"/>
        <v>21.53872096942856</v>
      </c>
      <c r="BV75" s="528">
        <f t="shared" si="218"/>
        <v>22.475603706402886</v>
      </c>
      <c r="BW75" s="625">
        <f t="shared" si="219"/>
        <v>2.3085106382978724</v>
      </c>
      <c r="BX75" s="460">
        <f t="shared" si="281"/>
        <v>24784.114344700756</v>
      </c>
      <c r="BY75" s="173">
        <f t="shared" si="282"/>
        <v>29.805053558577196</v>
      </c>
      <c r="BZ75" s="5">
        <f t="shared" si="283"/>
        <v>54.25</v>
      </c>
      <c r="CA75" s="173">
        <f t="shared" si="284"/>
        <v>0.64541033172019424</v>
      </c>
      <c r="CB75" s="5">
        <f t="shared" si="285"/>
        <v>64.541033172019425</v>
      </c>
      <c r="CC75">
        <f t="shared" si="286"/>
        <v>70</v>
      </c>
      <c r="CE75" s="562">
        <f t="shared" si="220"/>
        <v>-50</v>
      </c>
      <c r="CF75">
        <f t="shared" si="221"/>
        <v>-50</v>
      </c>
      <c r="CG75" s="173">
        <f t="shared" si="222"/>
        <v>0.45025423178404073</v>
      </c>
      <c r="CH75" s="173">
        <f t="shared" si="223"/>
        <v>0.14601080530126315</v>
      </c>
      <c r="CI75" s="170">
        <v>70</v>
      </c>
      <c r="CJ75" s="217">
        <f t="shared" si="308"/>
        <v>1.75</v>
      </c>
      <c r="CK75" s="217">
        <f t="shared" si="287"/>
        <v>0.17499999999999999</v>
      </c>
      <c r="CL75" s="217">
        <f t="shared" si="224"/>
        <v>49</v>
      </c>
      <c r="CM75" s="217">
        <f t="shared" si="309"/>
        <v>5.25</v>
      </c>
      <c r="CN75" s="541">
        <f t="shared" si="288"/>
        <v>28</v>
      </c>
      <c r="CO75" s="443">
        <f t="shared" si="225"/>
        <v>28.7</v>
      </c>
      <c r="CP75" s="443">
        <f t="shared" si="226"/>
        <v>56.7</v>
      </c>
      <c r="CQ75" s="443"/>
      <c r="CR75" s="217">
        <f t="shared" si="227"/>
        <v>0.50354609929078009</v>
      </c>
      <c r="CS75" s="172">
        <f t="shared" si="289"/>
        <v>106.12369404407841</v>
      </c>
      <c r="CT75" s="172">
        <f t="shared" si="228"/>
        <v>12.588652482269502</v>
      </c>
      <c r="CU75" s="217">
        <f t="shared" si="229"/>
        <v>3.7901319301456575</v>
      </c>
      <c r="CV75" s="217">
        <f t="shared" si="230"/>
        <v>3.5374564681359471</v>
      </c>
      <c r="CW75" s="443">
        <f t="shared" si="231"/>
        <v>28</v>
      </c>
      <c r="CX75" s="217">
        <f t="shared" si="232"/>
        <v>7.695422535211268</v>
      </c>
      <c r="CY75" s="217">
        <f t="shared" si="233"/>
        <v>1.2917316398390342</v>
      </c>
      <c r="CZ75" s="217">
        <f t="shared" si="234"/>
        <v>1.2602259900868626</v>
      </c>
      <c r="DA75" s="197">
        <f t="shared" si="235"/>
        <v>350</v>
      </c>
      <c r="DB75" s="443">
        <f t="shared" si="290"/>
        <v>350</v>
      </c>
      <c r="DD75" s="217">
        <f t="shared" si="236"/>
        <v>8.6157079064880477</v>
      </c>
      <c r="DE75" s="173">
        <f t="shared" si="237"/>
        <v>1.4109347442680775</v>
      </c>
      <c r="DF75" s="173">
        <f t="shared" si="238"/>
        <v>2.1273352855526046</v>
      </c>
      <c r="DG75" s="173"/>
      <c r="DH75" s="173">
        <f t="shared" si="239"/>
        <v>0.54587688734030204</v>
      </c>
      <c r="DI75" s="545">
        <f t="shared" si="240"/>
        <v>1923.5106382978722</v>
      </c>
      <c r="DJ75" s="528">
        <f t="shared" si="241"/>
        <v>0.31842818428184283</v>
      </c>
      <c r="DL75" s="173">
        <f t="shared" si="242"/>
        <v>8.1214190144648146</v>
      </c>
      <c r="DM75" s="173">
        <f t="shared" si="243"/>
        <v>8.1214190144648146</v>
      </c>
      <c r="DN75" s="173">
        <f t="shared" si="244"/>
        <v>4.7467301341714672</v>
      </c>
      <c r="DP75" s="545">
        <f t="shared" si="245"/>
        <v>1750</v>
      </c>
      <c r="DQ75" s="460">
        <f t="shared" si="246"/>
        <v>350</v>
      </c>
      <c r="DS75">
        <f t="shared" si="291"/>
        <v>1750</v>
      </c>
      <c r="DT75">
        <f t="shared" si="247"/>
        <v>350</v>
      </c>
      <c r="DV75" s="5">
        <f t="shared" si="292"/>
        <v>2.8571428571428572</v>
      </c>
      <c r="DW75" s="5">
        <f t="shared" si="248"/>
        <v>1.3632381917137366</v>
      </c>
      <c r="DX75" s="5">
        <f t="shared" si="293"/>
        <v>1.4939046654291206</v>
      </c>
      <c r="DY75" s="173">
        <f t="shared" si="294"/>
        <v>0.4771333670998078</v>
      </c>
      <c r="EA75" s="5">
        <f t="shared" si="249"/>
        <v>8.5202386982108536</v>
      </c>
      <c r="EB75" s="5">
        <f t="shared" si="250"/>
        <v>0.79522227849967964</v>
      </c>
      <c r="EC75" s="5">
        <f t="shared" si="251"/>
        <v>1.8673808317864007</v>
      </c>
      <c r="ED75" s="5"/>
      <c r="EE75" s="173">
        <f t="shared" si="295"/>
        <v>3.2388526096469801</v>
      </c>
      <c r="EF75" s="173">
        <f t="shared" si="252"/>
        <v>3.3905234663425983</v>
      </c>
      <c r="EG75" s="173">
        <f t="shared" si="253"/>
        <v>0.34183146422962263</v>
      </c>
      <c r="EH75" s="173"/>
      <c r="EI75" s="528">
        <f t="shared" si="254"/>
        <v>0.12588199472420464</v>
      </c>
      <c r="EJ75" s="528">
        <f t="shared" si="255"/>
        <v>3.0622216464990308</v>
      </c>
      <c r="EK75" s="528">
        <f t="shared" si="256"/>
        <v>4.0250000000000001E-2</v>
      </c>
      <c r="EL75" s="528">
        <f t="shared" si="257"/>
        <v>0.55416666375000012</v>
      </c>
      <c r="EM75">
        <f t="shared" si="258"/>
        <v>1.26E-2</v>
      </c>
      <c r="EN75" s="460">
        <f t="shared" si="296"/>
        <v>52.85</v>
      </c>
      <c r="EO75">
        <f t="shared" si="259"/>
        <v>3.947166463398831</v>
      </c>
      <c r="EP75" s="460">
        <f t="shared" si="297"/>
        <v>3947.1664633988312</v>
      </c>
      <c r="EQ75" s="173">
        <f t="shared" si="260"/>
        <v>1.1735499999999999</v>
      </c>
      <c r="ER75" s="173">
        <f t="shared" si="261"/>
        <v>8.3824999999999997E-2</v>
      </c>
      <c r="ES75" s="528"/>
      <c r="EU75" s="460">
        <f t="shared" si="298"/>
        <v>1257.375</v>
      </c>
      <c r="EV75" s="528">
        <f t="shared" si="262"/>
        <v>0.14686232717823874</v>
      </c>
      <c r="EW75" s="528">
        <f t="shared" si="299"/>
        <v>0.1609390912614776</v>
      </c>
      <c r="EX75" s="528">
        <f t="shared" si="263"/>
        <v>5.8424374968683889E-4</v>
      </c>
      <c r="EY75" s="528">
        <f t="shared" si="264"/>
        <v>21.53872096942856</v>
      </c>
      <c r="EZ75" s="528">
        <f t="shared" si="265"/>
        <v>22.475611702379432</v>
      </c>
      <c r="FA75" s="625">
        <f t="shared" si="266"/>
        <v>2.3085106382978724</v>
      </c>
      <c r="FB75" s="460">
        <f t="shared" si="300"/>
        <v>24784.122340677302</v>
      </c>
      <c r="FC75" s="173">
        <f t="shared" si="301"/>
        <v>29.988663804076136</v>
      </c>
      <c r="FD75" s="5">
        <f t="shared" si="302"/>
        <v>54.25</v>
      </c>
      <c r="FE75" s="173">
        <f t="shared" si="303"/>
        <v>0.64400356736635411</v>
      </c>
      <c r="FF75" s="5">
        <f t="shared" si="304"/>
        <v>64.400356736635416</v>
      </c>
      <c r="FG75">
        <f t="shared" si="305"/>
        <v>70</v>
      </c>
      <c r="FI75" s="562">
        <f t="shared" si="267"/>
        <v>-50</v>
      </c>
      <c r="FJ75">
        <f t="shared" si="268"/>
        <v>-50</v>
      </c>
      <c r="FL75">
        <f t="shared" si="269"/>
        <v>0.45025423178404073</v>
      </c>
    </row>
    <row r="76" spans="5:168">
      <c r="E76" s="170">
        <v>71</v>
      </c>
      <c r="F76" s="217">
        <f t="shared" si="306"/>
        <v>1.7749999999999999</v>
      </c>
      <c r="G76" s="217">
        <f t="shared" si="270"/>
        <v>0.17749999999999999</v>
      </c>
      <c r="H76" s="217">
        <f t="shared" si="175"/>
        <v>49.699999999999996</v>
      </c>
      <c r="I76" s="217">
        <f t="shared" si="307"/>
        <v>5.3249999999999993</v>
      </c>
      <c r="J76" s="541">
        <f t="shared" si="176"/>
        <v>27.86487452471027</v>
      </c>
      <c r="K76" s="443">
        <f t="shared" si="177"/>
        <v>28.754800993934143</v>
      </c>
      <c r="L76" s="172">
        <f t="shared" si="178"/>
        <v>56.619675518644414</v>
      </c>
      <c r="M76" s="443"/>
      <c r="N76" s="217">
        <f t="shared" si="179"/>
        <v>0.50785880933678984</v>
      </c>
      <c r="O76" s="172">
        <f t="shared" si="271"/>
        <v>106.51607955813856</v>
      </c>
      <c r="P76" s="172">
        <f t="shared" si="180"/>
        <v>12.635198212891433</v>
      </c>
      <c r="Q76" s="217">
        <f t="shared" si="181"/>
        <v>3.8041456985049487</v>
      </c>
      <c r="R76" s="217">
        <f t="shared" si="182"/>
        <v>3.5505359852712854</v>
      </c>
      <c r="S76" s="443">
        <f t="shared" si="183"/>
        <v>28</v>
      </c>
      <c r="T76" s="217">
        <f t="shared" si="184"/>
        <v>7.7766036524205049</v>
      </c>
      <c r="U76" s="217">
        <f t="shared" si="185"/>
        <v>1.3116885609502458</v>
      </c>
      <c r="V76" s="217">
        <f t="shared" si="186"/>
        <v>1.2710933792964398</v>
      </c>
      <c r="W76" s="197">
        <f t="shared" si="187"/>
        <v>350</v>
      </c>
      <c r="X76" s="443">
        <f t="shared" si="272"/>
        <v>350</v>
      </c>
      <c r="Z76" s="217">
        <f t="shared" si="188"/>
        <v>8.6026881449473596</v>
      </c>
      <c r="AA76" s="173">
        <f t="shared" si="189"/>
        <v>1.4061176876091717</v>
      </c>
      <c r="AB76" s="173">
        <f t="shared" si="190"/>
        <v>2.1168685932793379</v>
      </c>
      <c r="AC76" s="173"/>
      <c r="AD76" s="173">
        <f t="shared" si="191"/>
        <v>0.54483655338013171</v>
      </c>
      <c r="AE76" s="545">
        <f t="shared" si="192"/>
        <v>1954.7146633110549</v>
      </c>
      <c r="AF76" s="528">
        <f t="shared" si="193"/>
        <v>0.31782132280507686</v>
      </c>
      <c r="AH76" s="173">
        <f t="shared" si="194"/>
        <v>8.1792234379941107</v>
      </c>
      <c r="AI76" s="173">
        <f t="shared" si="195"/>
        <v>8.1792234379941107</v>
      </c>
      <c r="AJ76" s="173">
        <f t="shared" si="196"/>
        <v>4.7895482256746496</v>
      </c>
      <c r="AL76" s="545">
        <f t="shared" si="197"/>
        <v>1775</v>
      </c>
      <c r="AM76" s="460">
        <f t="shared" si="198"/>
        <v>350</v>
      </c>
      <c r="AO76">
        <f t="shared" si="273"/>
        <v>1775</v>
      </c>
      <c r="AP76">
        <f t="shared" si="199"/>
        <v>350</v>
      </c>
      <c r="AR76" s="5">
        <f t="shared" si="274"/>
        <v>2.8571428571428572</v>
      </c>
      <c r="AS76" s="5">
        <f t="shared" si="200"/>
        <v>1.3795988969726765</v>
      </c>
      <c r="AT76" s="5">
        <f t="shared" si="275"/>
        <v>1.4775439601701807</v>
      </c>
      <c r="AU76" s="173">
        <f t="shared" si="276"/>
        <v>0.48285961394043675</v>
      </c>
      <c r="AW76" s="5">
        <f t="shared" si="201"/>
        <v>8.7456715790232167</v>
      </c>
      <c r="AX76" s="5">
        <f t="shared" si="202"/>
        <v>0.81626268070883357</v>
      </c>
      <c r="AY76" s="5">
        <f t="shared" si="203"/>
        <v>1.8823989513940507</v>
      </c>
      <c r="AZ76" s="5"/>
      <c r="BA76" s="173">
        <f t="shared" si="277"/>
        <v>3.2814204955971484</v>
      </c>
      <c r="BB76" s="173">
        <f t="shared" si="204"/>
        <v>3.3959060961623133</v>
      </c>
      <c r="BC76" s="173">
        <f t="shared" si="205"/>
        <v>0.34237413920324961</v>
      </c>
      <c r="BD76" s="173"/>
      <c r="BE76" s="528">
        <f t="shared" si="206"/>
        <v>0.12921264562710041</v>
      </c>
      <c r="BF76" s="528">
        <f t="shared" si="207"/>
        <v>2.9580830409306227</v>
      </c>
      <c r="BG76" s="528">
        <f t="shared" si="208"/>
        <v>4.0250000000000001E-2</v>
      </c>
      <c r="BH76" s="528">
        <f t="shared" si="209"/>
        <v>0.55259764717483084</v>
      </c>
      <c r="BI76">
        <f t="shared" si="210"/>
        <v>1.2539193536119621E-2</v>
      </c>
      <c r="BJ76" s="460">
        <f t="shared" si="278"/>
        <v>52.789193536119619</v>
      </c>
      <c r="BK76">
        <f t="shared" si="211"/>
        <v>3.7911732728509917</v>
      </c>
      <c r="BL76" s="460">
        <f t="shared" si="279"/>
        <v>3791.1732728509919</v>
      </c>
      <c r="BM76" s="173">
        <f t="shared" si="212"/>
        <v>1.1903149999999998</v>
      </c>
      <c r="BN76" s="173">
        <f t="shared" si="213"/>
        <v>8.5022499999999987E-2</v>
      </c>
      <c r="BO76" s="528"/>
      <c r="BQ76" s="460">
        <f t="shared" si="280"/>
        <v>1275.3374999999999</v>
      </c>
      <c r="BR76" s="528">
        <f t="shared" si="214"/>
        <v>0.15074808656495048</v>
      </c>
      <c r="BS76" s="528">
        <f t="shared" si="215"/>
        <v>0.16145049499533309</v>
      </c>
      <c r="BT76" s="528">
        <f t="shared" si="216"/>
        <v>5.8610025597583069E-4</v>
      </c>
      <c r="BU76" s="528">
        <f t="shared" si="217"/>
        <v>21.924025370476922</v>
      </c>
      <c r="BV76" s="528">
        <f t="shared" si="218"/>
        <v>22.884512369531006</v>
      </c>
      <c r="BW76" s="625">
        <f t="shared" si="219"/>
        <v>2.3414893617021271</v>
      </c>
      <c r="BX76" s="460">
        <f t="shared" si="281"/>
        <v>25226.001731233133</v>
      </c>
      <c r="BY76" s="173">
        <f t="shared" si="282"/>
        <v>30.292512504084126</v>
      </c>
      <c r="BZ76" s="5">
        <f t="shared" si="283"/>
        <v>55.024999999999991</v>
      </c>
      <c r="CA76" s="173">
        <f t="shared" si="284"/>
        <v>0.64494379155001691</v>
      </c>
      <c r="CB76" s="5">
        <f t="shared" si="285"/>
        <v>64.494379155001695</v>
      </c>
      <c r="CC76">
        <f t="shared" si="286"/>
        <v>71</v>
      </c>
      <c r="CE76" s="562">
        <f t="shared" si="220"/>
        <v>-50</v>
      </c>
      <c r="CF76">
        <f t="shared" si="221"/>
        <v>-50</v>
      </c>
      <c r="CG76" s="173">
        <f t="shared" si="222"/>
        <v>0.45345892868042637</v>
      </c>
      <c r="CH76" s="173">
        <f t="shared" si="223"/>
        <v>0.14705004122967116</v>
      </c>
      <c r="CI76" s="170">
        <v>71</v>
      </c>
      <c r="CJ76" s="217">
        <f t="shared" si="308"/>
        <v>1.7749999999999999</v>
      </c>
      <c r="CK76" s="217">
        <f t="shared" si="287"/>
        <v>0.17749999999999999</v>
      </c>
      <c r="CL76" s="217">
        <f t="shared" si="224"/>
        <v>49.699999999999996</v>
      </c>
      <c r="CM76" s="217">
        <f t="shared" si="309"/>
        <v>5.3249999999999993</v>
      </c>
      <c r="CN76" s="541">
        <f t="shared" si="288"/>
        <v>28</v>
      </c>
      <c r="CO76" s="443">
        <f t="shared" si="225"/>
        <v>28.7</v>
      </c>
      <c r="CP76" s="443">
        <f t="shared" si="226"/>
        <v>56.7</v>
      </c>
      <c r="CQ76" s="443"/>
      <c r="CR76" s="217">
        <f t="shared" si="227"/>
        <v>0.50354609929078009</v>
      </c>
      <c r="CS76" s="172">
        <f t="shared" si="289"/>
        <v>106.12369404407841</v>
      </c>
      <c r="CT76" s="172">
        <f t="shared" si="228"/>
        <v>12.588652482269502</v>
      </c>
      <c r="CU76" s="217">
        <f t="shared" si="229"/>
        <v>3.7901319301456575</v>
      </c>
      <c r="CV76" s="217">
        <f t="shared" si="230"/>
        <v>3.5374564681359471</v>
      </c>
      <c r="CW76" s="443">
        <f t="shared" si="231"/>
        <v>28</v>
      </c>
      <c r="CX76" s="217">
        <f t="shared" si="232"/>
        <v>7.805357142857142</v>
      </c>
      <c r="CY76" s="217">
        <f t="shared" si="233"/>
        <v>1.3101849489795916</v>
      </c>
      <c r="CZ76" s="217">
        <f t="shared" si="234"/>
        <v>1.2782292185166746</v>
      </c>
      <c r="DA76" s="197">
        <f t="shared" si="235"/>
        <v>350</v>
      </c>
      <c r="DB76" s="443">
        <f t="shared" si="290"/>
        <v>350</v>
      </c>
      <c r="DD76" s="217">
        <f t="shared" si="236"/>
        <v>8.6157079064880477</v>
      </c>
      <c r="DE76" s="173">
        <f t="shared" si="237"/>
        <v>1.4109347442680775</v>
      </c>
      <c r="DF76" s="173">
        <f t="shared" si="238"/>
        <v>2.1273352855526046</v>
      </c>
      <c r="DG76" s="173"/>
      <c r="DH76" s="173">
        <f t="shared" si="239"/>
        <v>0.54587688734030204</v>
      </c>
      <c r="DI76" s="545">
        <f t="shared" si="240"/>
        <v>1950.9893617021273</v>
      </c>
      <c r="DJ76" s="528">
        <f t="shared" si="241"/>
        <v>0.31842818428184283</v>
      </c>
      <c r="DL76" s="173">
        <f t="shared" si="242"/>
        <v>8.1792234379941107</v>
      </c>
      <c r="DM76" s="173">
        <f t="shared" si="243"/>
        <v>8.1792234379941107</v>
      </c>
      <c r="DN76" s="173">
        <f t="shared" si="244"/>
        <v>4.7895482256746496</v>
      </c>
      <c r="DP76" s="545">
        <f t="shared" si="245"/>
        <v>1775</v>
      </c>
      <c r="DQ76" s="460">
        <f t="shared" si="246"/>
        <v>350</v>
      </c>
      <c r="DS76">
        <f t="shared" si="291"/>
        <v>1775</v>
      </c>
      <c r="DT76">
        <f t="shared" si="247"/>
        <v>350</v>
      </c>
      <c r="DV76" s="5">
        <f t="shared" si="292"/>
        <v>2.8571428571428572</v>
      </c>
      <c r="DW76" s="5">
        <f t="shared" si="248"/>
        <v>1.3729410770918686</v>
      </c>
      <c r="DX76" s="5">
        <f t="shared" si="293"/>
        <v>1.4842017800509886</v>
      </c>
      <c r="DY76" s="173">
        <f t="shared" si="294"/>
        <v>0.48052937698215403</v>
      </c>
      <c r="EA76" s="5">
        <f t="shared" si="249"/>
        <v>8.7034657565645244</v>
      </c>
      <c r="EB76" s="5">
        <f t="shared" si="250"/>
        <v>0.81232347061268895</v>
      </c>
      <c r="EC76" s="5">
        <f t="shared" si="251"/>
        <v>1.8817558282789317</v>
      </c>
      <c r="ED76" s="5"/>
      <c r="EE76" s="173">
        <f t="shared" si="295"/>
        <v>3.2734929999693345</v>
      </c>
      <c r="EF76" s="173">
        <f t="shared" si="252"/>
        <v>3.4035484809282743</v>
      </c>
      <c r="EG76" s="173">
        <f t="shared" si="253"/>
        <v>0.34314464192965388</v>
      </c>
      <c r="EH76" s="173"/>
      <c r="EI76" s="528">
        <f t="shared" si="254"/>
        <v>0.1285890770501788</v>
      </c>
      <c r="EJ76" s="528">
        <f t="shared" si="255"/>
        <v>3.0840170934128701</v>
      </c>
      <c r="EK76" s="528">
        <f t="shared" si="256"/>
        <v>4.0250000000000001E-2</v>
      </c>
      <c r="EL76" s="528">
        <f t="shared" si="257"/>
        <v>0.55416666375000012</v>
      </c>
      <c r="EM76">
        <f t="shared" si="258"/>
        <v>1.26E-2</v>
      </c>
      <c r="EN76" s="460">
        <f t="shared" si="296"/>
        <v>52.85</v>
      </c>
      <c r="EO76">
        <f t="shared" si="259"/>
        <v>3.9758139945101503</v>
      </c>
      <c r="EP76" s="460">
        <f t="shared" si="297"/>
        <v>3975.8139945101502</v>
      </c>
      <c r="EQ76" s="173">
        <f t="shared" si="260"/>
        <v>1.1903149999999998</v>
      </c>
      <c r="ER76" s="173">
        <f t="shared" si="261"/>
        <v>8.5022499999999987E-2</v>
      </c>
      <c r="ES76" s="528"/>
      <c r="EU76" s="460">
        <f t="shared" si="298"/>
        <v>1275.3374999999999</v>
      </c>
      <c r="EV76" s="528">
        <f t="shared" si="262"/>
        <v>0.15002058989187528</v>
      </c>
      <c r="EW76" s="528">
        <f t="shared" si="299"/>
        <v>0.16217799166840829</v>
      </c>
      <c r="EX76" s="528">
        <f t="shared" si="263"/>
        <v>5.887412264251519E-4</v>
      </c>
      <c r="EY76" s="528">
        <f t="shared" si="264"/>
        <v>21.924025370476922</v>
      </c>
      <c r="EZ76" s="528">
        <f t="shared" si="265"/>
        <v>22.884520687459442</v>
      </c>
      <c r="FA76" s="625">
        <f t="shared" si="266"/>
        <v>2.3414893617021271</v>
      </c>
      <c r="FB76" s="460">
        <f t="shared" si="300"/>
        <v>25226.01004916157</v>
      </c>
      <c r="FC76" s="173">
        <f t="shared" si="301"/>
        <v>30.47716154367172</v>
      </c>
      <c r="FD76" s="5">
        <f t="shared" si="302"/>
        <v>55.024999999999991</v>
      </c>
      <c r="FE76" s="173">
        <f t="shared" si="303"/>
        <v>0.64355098171284264</v>
      </c>
      <c r="FF76" s="5">
        <f t="shared" si="304"/>
        <v>64.355098171284268</v>
      </c>
      <c r="FG76">
        <f t="shared" si="305"/>
        <v>71</v>
      </c>
      <c r="FI76" s="562">
        <f t="shared" si="267"/>
        <v>-50</v>
      </c>
      <c r="FJ76">
        <f t="shared" si="268"/>
        <v>-50</v>
      </c>
      <c r="FL76">
        <f t="shared" si="269"/>
        <v>0.45345892868042637</v>
      </c>
    </row>
    <row r="77" spans="5:168">
      <c r="E77" s="170">
        <v>72</v>
      </c>
      <c r="F77" s="217">
        <f t="shared" si="306"/>
        <v>1.7999999999999998</v>
      </c>
      <c r="G77" s="217">
        <f t="shared" si="270"/>
        <v>0.18</v>
      </c>
      <c r="H77" s="217">
        <f t="shared" si="175"/>
        <v>50.399999999999991</v>
      </c>
      <c r="I77" s="217">
        <f t="shared" si="307"/>
        <v>5.3999999999999995</v>
      </c>
      <c r="J77" s="541">
        <f t="shared" si="176"/>
        <v>27.863926264127056</v>
      </c>
      <c r="K77" s="443">
        <f t="shared" si="177"/>
        <v>28.755185567030797</v>
      </c>
      <c r="L77" s="172">
        <f t="shared" si="178"/>
        <v>56.619111831157852</v>
      </c>
      <c r="M77" s="443"/>
      <c r="N77" s="217">
        <f t="shared" si="179"/>
        <v>0.50787065775211682</v>
      </c>
      <c r="O77" s="172">
        <f t="shared" si="271"/>
        <v>106.51493969379662</v>
      </c>
      <c r="P77" s="172">
        <f t="shared" si="180"/>
        <v>12.635062999391689</v>
      </c>
      <c r="Q77" s="217">
        <f t="shared" si="181"/>
        <v>3.8041049890641649</v>
      </c>
      <c r="R77" s="217">
        <f t="shared" si="182"/>
        <v>3.5504979897932207</v>
      </c>
      <c r="S77" s="443">
        <f t="shared" si="183"/>
        <v>28</v>
      </c>
      <c r="T77" s="217">
        <f t="shared" si="184"/>
        <v>7.8862176743918413</v>
      </c>
      <c r="U77" s="217">
        <f t="shared" si="185"/>
        <v>1.3302225507738532</v>
      </c>
      <c r="V77" s="217">
        <f t="shared" si="186"/>
        <v>1.2889926578021711</v>
      </c>
      <c r="W77" s="197">
        <f t="shared" si="187"/>
        <v>350</v>
      </c>
      <c r="X77" s="443">
        <f t="shared" si="272"/>
        <v>350</v>
      </c>
      <c r="Z77" s="217">
        <f t="shared" si="188"/>
        <v>8.6025960846922125</v>
      </c>
      <c r="AA77" s="173">
        <f t="shared" si="189"/>
        <v>1.406083834993952</v>
      </c>
      <c r="AB77" s="173">
        <f t="shared" si="190"/>
        <v>2.1167949763918967</v>
      </c>
      <c r="AC77" s="173"/>
      <c r="AD77" s="173">
        <f t="shared" si="191"/>
        <v>0.54482926671247967</v>
      </c>
      <c r="AE77" s="545">
        <f t="shared" si="192"/>
        <v>1982.2723667485054</v>
      </c>
      <c r="AF77" s="528">
        <f t="shared" si="193"/>
        <v>0.31781707224894651</v>
      </c>
      <c r="AH77" s="173">
        <f t="shared" si="194"/>
        <v>8.2366222014096167</v>
      </c>
      <c r="AI77" s="173">
        <f t="shared" si="195"/>
        <v>8.2366222014096167</v>
      </c>
      <c r="AJ77" s="173">
        <f t="shared" si="196"/>
        <v>4.8320658282046542</v>
      </c>
      <c r="AL77" s="545">
        <f t="shared" si="197"/>
        <v>1799.9999999999998</v>
      </c>
      <c r="AM77" s="460">
        <f t="shared" si="198"/>
        <v>350</v>
      </c>
      <c r="AO77">
        <f t="shared" si="273"/>
        <v>1799.9999999999998</v>
      </c>
      <c r="AP77">
        <f t="shared" si="199"/>
        <v>350</v>
      </c>
      <c r="AR77" s="5">
        <f t="shared" si="274"/>
        <v>2.8571428571428572</v>
      </c>
      <c r="AS77" s="5">
        <f t="shared" si="200"/>
        <v>1.3893276912832084</v>
      </c>
      <c r="AT77" s="5">
        <f t="shared" si="275"/>
        <v>1.4678151658596488</v>
      </c>
      <c r="AU77" s="173">
        <f t="shared" si="276"/>
        <v>0.48626469194912292</v>
      </c>
      <c r="AW77" s="5">
        <f t="shared" si="201"/>
        <v>8.9313923011063387</v>
      </c>
      <c r="AX77" s="5">
        <f t="shared" si="202"/>
        <v>0.83359661476992508</v>
      </c>
      <c r="AY77" s="5">
        <f t="shared" si="203"/>
        <v>1.8964070414935401</v>
      </c>
      <c r="AZ77" s="5"/>
      <c r="BA77" s="173">
        <f t="shared" si="277"/>
        <v>3.3160791419518887</v>
      </c>
      <c r="BB77" s="173">
        <f t="shared" si="204"/>
        <v>3.4084601929947134</v>
      </c>
      <c r="BC77" s="173">
        <f t="shared" si="205"/>
        <v>0.34363983912979496</v>
      </c>
      <c r="BD77" s="173"/>
      <c r="BE77" s="528">
        <f t="shared" si="206"/>
        <v>0.13195657050826048</v>
      </c>
      <c r="BF77" s="528">
        <f t="shared" si="207"/>
        <v>2.978812116689538</v>
      </c>
      <c r="BG77" s="528">
        <f t="shared" si="208"/>
        <v>4.0250000000000001E-2</v>
      </c>
      <c r="BH77" s="528">
        <f t="shared" si="209"/>
        <v>0.55258664425666126</v>
      </c>
      <c r="BI77">
        <f t="shared" si="210"/>
        <v>1.2538766818857175E-2</v>
      </c>
      <c r="BJ77" s="460">
        <f t="shared" si="278"/>
        <v>52.788766818857177</v>
      </c>
      <c r="BK77">
        <f t="shared" si="211"/>
        <v>3.8187112040283129</v>
      </c>
      <c r="BL77" s="460">
        <f t="shared" si="279"/>
        <v>3818.7112040283127</v>
      </c>
      <c r="BM77" s="173">
        <f t="shared" si="212"/>
        <v>1.2070799999999997</v>
      </c>
      <c r="BN77" s="173">
        <f t="shared" si="213"/>
        <v>8.6219999999999991E-2</v>
      </c>
      <c r="BO77" s="528"/>
      <c r="BQ77" s="460">
        <f t="shared" si="280"/>
        <v>1293.2999999999997</v>
      </c>
      <c r="BR77" s="528">
        <f t="shared" si="214"/>
        <v>0.15394933225963722</v>
      </c>
      <c r="BS77" s="528">
        <f t="shared" si="215"/>
        <v>0.16264641242121383</v>
      </c>
      <c r="BT77" s="528">
        <f t="shared" si="216"/>
        <v>5.9044169518575676E-4</v>
      </c>
      <c r="BU77" s="528">
        <f t="shared" si="217"/>
        <v>22.310688907924984</v>
      </c>
      <c r="BV77" s="528">
        <f t="shared" si="218"/>
        <v>23.295110766653853</v>
      </c>
      <c r="BW77" s="625">
        <f t="shared" si="219"/>
        <v>2.3744680851063835</v>
      </c>
      <c r="BX77" s="460">
        <f t="shared" si="281"/>
        <v>25669.578851760234</v>
      </c>
      <c r="BY77" s="173">
        <f t="shared" si="282"/>
        <v>30.781590055788548</v>
      </c>
      <c r="BZ77" s="5">
        <f t="shared" si="283"/>
        <v>55.79999999999999</v>
      </c>
      <c r="CA77" s="173">
        <f t="shared" si="284"/>
        <v>0.64447880853245432</v>
      </c>
      <c r="CB77" s="5">
        <f t="shared" si="285"/>
        <v>64.447880853245437</v>
      </c>
      <c r="CC77">
        <f t="shared" si="286"/>
        <v>72</v>
      </c>
      <c r="CE77" s="562">
        <f t="shared" si="220"/>
        <v>-50</v>
      </c>
      <c r="CF77">
        <f t="shared" si="221"/>
        <v>-50</v>
      </c>
      <c r="CG77" s="173">
        <f t="shared" si="222"/>
        <v>0.45664113564216197</v>
      </c>
      <c r="CH77" s="173">
        <f t="shared" si="223"/>
        <v>0.14808198400403952</v>
      </c>
      <c r="CI77" s="170">
        <v>72</v>
      </c>
      <c r="CJ77" s="217">
        <f t="shared" si="308"/>
        <v>1.7999999999999998</v>
      </c>
      <c r="CK77" s="217">
        <f t="shared" si="287"/>
        <v>0.18</v>
      </c>
      <c r="CL77" s="217">
        <f t="shared" si="224"/>
        <v>50.399999999999991</v>
      </c>
      <c r="CM77" s="217">
        <f t="shared" si="309"/>
        <v>5.3999999999999995</v>
      </c>
      <c r="CN77" s="541">
        <f t="shared" si="288"/>
        <v>28</v>
      </c>
      <c r="CO77" s="443">
        <f t="shared" si="225"/>
        <v>28.7</v>
      </c>
      <c r="CP77" s="443">
        <f t="shared" si="226"/>
        <v>56.7</v>
      </c>
      <c r="CQ77" s="443"/>
      <c r="CR77" s="217">
        <f t="shared" si="227"/>
        <v>0.50354609929078009</v>
      </c>
      <c r="CS77" s="172">
        <f t="shared" si="289"/>
        <v>106.12369404407841</v>
      </c>
      <c r="CT77" s="172">
        <f t="shared" si="228"/>
        <v>12.588652482269502</v>
      </c>
      <c r="CU77" s="217">
        <f t="shared" si="229"/>
        <v>3.7901319301456575</v>
      </c>
      <c r="CV77" s="217">
        <f t="shared" si="230"/>
        <v>3.5374564681359471</v>
      </c>
      <c r="CW77" s="443">
        <f t="shared" si="231"/>
        <v>28</v>
      </c>
      <c r="CX77" s="217">
        <f t="shared" si="232"/>
        <v>7.9152917505030178</v>
      </c>
      <c r="CY77" s="217">
        <f t="shared" si="233"/>
        <v>1.3286382581201495</v>
      </c>
      <c r="CZ77" s="217">
        <f t="shared" si="234"/>
        <v>1.2962324469464872</v>
      </c>
      <c r="DA77" s="197">
        <f t="shared" si="235"/>
        <v>350</v>
      </c>
      <c r="DB77" s="443">
        <f t="shared" si="290"/>
        <v>350</v>
      </c>
      <c r="DD77" s="217">
        <f t="shared" si="236"/>
        <v>8.6157079064880477</v>
      </c>
      <c r="DE77" s="173">
        <f t="shared" si="237"/>
        <v>1.4109347442680775</v>
      </c>
      <c r="DF77" s="173">
        <f t="shared" si="238"/>
        <v>2.1273352855526046</v>
      </c>
      <c r="DG77" s="173"/>
      <c r="DH77" s="173">
        <f t="shared" si="239"/>
        <v>0.54587688734030204</v>
      </c>
      <c r="DI77" s="545">
        <f t="shared" si="240"/>
        <v>1978.4680851063829</v>
      </c>
      <c r="DJ77" s="528">
        <f t="shared" si="241"/>
        <v>0.31842818428184283</v>
      </c>
      <c r="DL77" s="173">
        <f t="shared" si="242"/>
        <v>8.2366222014096167</v>
      </c>
      <c r="DM77" s="173">
        <f t="shared" si="243"/>
        <v>8.2366222014096167</v>
      </c>
      <c r="DN77" s="173">
        <f t="shared" si="244"/>
        <v>4.8320658282046542</v>
      </c>
      <c r="DP77" s="545">
        <f t="shared" si="245"/>
        <v>1799.9999999999998</v>
      </c>
      <c r="DQ77" s="460">
        <f t="shared" si="246"/>
        <v>350</v>
      </c>
      <c r="DS77">
        <f t="shared" si="291"/>
        <v>1799.9999999999998</v>
      </c>
      <c r="DT77">
        <f t="shared" si="247"/>
        <v>350</v>
      </c>
      <c r="DV77" s="5">
        <f t="shared" si="292"/>
        <v>2.8571428571428572</v>
      </c>
      <c r="DW77" s="5">
        <f t="shared" si="248"/>
        <v>1.3825758695223285</v>
      </c>
      <c r="DX77" s="5">
        <f t="shared" si="293"/>
        <v>1.4745669876205287</v>
      </c>
      <c r="DY77" s="173">
        <f t="shared" si="294"/>
        <v>0.48390155433281495</v>
      </c>
      <c r="EA77" s="5">
        <f t="shared" si="249"/>
        <v>8.8879877326435395</v>
      </c>
      <c r="EB77" s="5">
        <f t="shared" si="250"/>
        <v>0.82954552171339713</v>
      </c>
      <c r="EC77" s="5">
        <f t="shared" si="251"/>
        <v>1.8958718412263935</v>
      </c>
      <c r="ED77" s="5"/>
      <c r="EE77" s="173">
        <f t="shared" si="295"/>
        <v>3.3080116270548263</v>
      </c>
      <c r="EF77" s="173">
        <f t="shared" si="252"/>
        <v>3.4162905084591406</v>
      </c>
      <c r="EG77" s="173">
        <f t="shared" si="253"/>
        <v>0.34442928896760194</v>
      </c>
      <c r="EH77" s="173"/>
      <c r="EI77" s="528">
        <f t="shared" si="254"/>
        <v>0.13131529109675905</v>
      </c>
      <c r="EJ77" s="528">
        <f t="shared" si="255"/>
        <v>3.1056595841525034</v>
      </c>
      <c r="EK77" s="528">
        <f t="shared" si="256"/>
        <v>4.0250000000000001E-2</v>
      </c>
      <c r="EL77" s="528">
        <f t="shared" si="257"/>
        <v>0.55416666375000012</v>
      </c>
      <c r="EM77">
        <f t="shared" si="258"/>
        <v>1.26E-2</v>
      </c>
      <c r="EN77" s="460">
        <f t="shared" si="296"/>
        <v>52.85</v>
      </c>
      <c r="EO77">
        <f t="shared" si="259"/>
        <v>4.0043855517178546</v>
      </c>
      <c r="EP77" s="460">
        <f t="shared" si="297"/>
        <v>4004.3855517178545</v>
      </c>
      <c r="EQ77" s="173">
        <f t="shared" si="260"/>
        <v>1.2070799999999997</v>
      </c>
      <c r="ER77" s="173">
        <f t="shared" si="261"/>
        <v>8.6219999999999991E-2</v>
      </c>
      <c r="ES77" s="528"/>
      <c r="EU77" s="460">
        <f t="shared" si="298"/>
        <v>1293.2999999999997</v>
      </c>
      <c r="EV77" s="528">
        <f t="shared" si="262"/>
        <v>0.15320117294621888</v>
      </c>
      <c r="EW77" s="528">
        <f t="shared" si="299"/>
        <v>0.16339457173463218</v>
      </c>
      <c r="EX77" s="528">
        <f t="shared" si="263"/>
        <v>5.9315767549363919E-4</v>
      </c>
      <c r="EY77" s="528">
        <f t="shared" si="264"/>
        <v>22.310688907924984</v>
      </c>
      <c r="EZ77" s="528">
        <f t="shared" si="265"/>
        <v>23.295119415458799</v>
      </c>
      <c r="FA77" s="625">
        <f t="shared" si="266"/>
        <v>2.3744680851063835</v>
      </c>
      <c r="FB77" s="460">
        <f t="shared" si="300"/>
        <v>25669.587500565183</v>
      </c>
      <c r="FC77" s="173">
        <f t="shared" si="301"/>
        <v>30.967273052283037</v>
      </c>
      <c r="FD77" s="5">
        <f t="shared" si="302"/>
        <v>55.79999999999999</v>
      </c>
      <c r="FE77" s="173">
        <f t="shared" si="303"/>
        <v>0.64309961621562994</v>
      </c>
      <c r="FF77" s="5">
        <f t="shared" si="304"/>
        <v>64.309961621562991</v>
      </c>
      <c r="FG77">
        <f t="shared" si="305"/>
        <v>72</v>
      </c>
      <c r="FI77" s="562">
        <f t="shared" si="267"/>
        <v>-50</v>
      </c>
      <c r="FJ77">
        <f t="shared" si="268"/>
        <v>-50</v>
      </c>
      <c r="FL77">
        <f t="shared" si="269"/>
        <v>0.45664113564216202</v>
      </c>
    </row>
    <row r="78" spans="5:168">
      <c r="E78" s="170">
        <v>73</v>
      </c>
      <c r="F78" s="217">
        <f t="shared" si="306"/>
        <v>1.825</v>
      </c>
      <c r="G78" s="217">
        <f t="shared" si="270"/>
        <v>0.1825</v>
      </c>
      <c r="H78" s="217">
        <f t="shared" si="175"/>
        <v>51.1</v>
      </c>
      <c r="I78" s="217">
        <f t="shared" si="307"/>
        <v>5.4749999999999996</v>
      </c>
      <c r="J78" s="541">
        <f t="shared" si="176"/>
        <v>27.862984566137371</v>
      </c>
      <c r="K78" s="443">
        <f t="shared" si="177"/>
        <v>28.755567478625998</v>
      </c>
      <c r="L78" s="172">
        <f t="shared" si="178"/>
        <v>56.618552044763369</v>
      </c>
      <c r="M78" s="443"/>
      <c r="N78" s="217">
        <f t="shared" si="179"/>
        <v>0.50788242440201348</v>
      </c>
      <c r="O78" s="172">
        <f t="shared" si="271"/>
        <v>106.51380759965605</v>
      </c>
      <c r="P78" s="172">
        <f t="shared" si="180"/>
        <v>12.634928707612261</v>
      </c>
      <c r="Q78" s="217">
        <f t="shared" si="181"/>
        <v>3.8040645571305731</v>
      </c>
      <c r="R78" s="217">
        <f t="shared" si="182"/>
        <v>3.5504602533218681</v>
      </c>
      <c r="S78" s="443">
        <f t="shared" si="183"/>
        <v>28</v>
      </c>
      <c r="T78" s="217">
        <f t="shared" si="184"/>
        <v>7.9958334591487921</v>
      </c>
      <c r="U78" s="217">
        <f t="shared" si="185"/>
        <v>1.3487577818089094</v>
      </c>
      <c r="V78" s="217">
        <f t="shared" si="186"/>
        <v>1.3068918666248834</v>
      </c>
      <c r="W78" s="197">
        <f t="shared" si="187"/>
        <v>350</v>
      </c>
      <c r="X78" s="443">
        <f t="shared" si="272"/>
        <v>350</v>
      </c>
      <c r="Z78" s="217">
        <f t="shared" si="188"/>
        <v>8.6025046519913246</v>
      </c>
      <c r="AA78" s="173">
        <f t="shared" si="189"/>
        <v>1.4060502159942467</v>
      </c>
      <c r="AB78" s="173">
        <f t="shared" si="190"/>
        <v>2.1167218667041854</v>
      </c>
      <c r="AC78" s="173"/>
      <c r="AD78" s="173">
        <f t="shared" si="191"/>
        <v>0.54482203066629431</v>
      </c>
      <c r="AE78" s="545">
        <f t="shared" si="192"/>
        <v>2009.830620580562</v>
      </c>
      <c r="AF78" s="528">
        <f t="shared" si="193"/>
        <v>0.31781285122200498</v>
      </c>
      <c r="AH78" s="173">
        <f t="shared" si="194"/>
        <v>8.2936237272301785</v>
      </c>
      <c r="AI78" s="173">
        <f t="shared" si="195"/>
        <v>8.2936237272301785</v>
      </c>
      <c r="AJ78" s="173">
        <f t="shared" si="196"/>
        <v>4.8742891806643298</v>
      </c>
      <c r="AL78" s="545">
        <f t="shared" si="197"/>
        <v>1825</v>
      </c>
      <c r="AM78" s="460">
        <f t="shared" si="198"/>
        <v>350</v>
      </c>
      <c r="AO78">
        <f t="shared" si="273"/>
        <v>1825</v>
      </c>
      <c r="AP78">
        <f t="shared" si="199"/>
        <v>350</v>
      </c>
      <c r="AR78" s="5">
        <f t="shared" si="274"/>
        <v>2.8571428571428572</v>
      </c>
      <c r="AS78" s="5">
        <f t="shared" si="200"/>
        <v>1.3989898112119443</v>
      </c>
      <c r="AT78" s="5">
        <f t="shared" si="275"/>
        <v>1.4581530459309129</v>
      </c>
      <c r="AU78" s="173">
        <f t="shared" si="276"/>
        <v>0.4896464339241805</v>
      </c>
      <c r="AW78" s="5">
        <f t="shared" si="201"/>
        <v>9.118415733792137</v>
      </c>
      <c r="AX78" s="5">
        <f t="shared" si="202"/>
        <v>0.85105213515393274</v>
      </c>
      <c r="AY78" s="5">
        <f t="shared" si="203"/>
        <v>1.910153811776544</v>
      </c>
      <c r="AZ78" s="5"/>
      <c r="BA78" s="173">
        <f t="shared" si="277"/>
        <v>3.350618627527906</v>
      </c>
      <c r="BB78" s="173">
        <f t="shared" si="204"/>
        <v>3.4207337890899194</v>
      </c>
      <c r="BC78" s="173">
        <f t="shared" si="205"/>
        <v>0.3448772590639837</v>
      </c>
      <c r="BD78" s="173"/>
      <c r="BE78" s="528">
        <f t="shared" si="206"/>
        <v>0.13471974224564387</v>
      </c>
      <c r="BF78" s="528">
        <f t="shared" si="207"/>
        <v>2.9993973244121452</v>
      </c>
      <c r="BG78" s="528">
        <f t="shared" si="208"/>
        <v>4.0250000000000001E-2</v>
      </c>
      <c r="BH78" s="528">
        <f t="shared" si="209"/>
        <v>0.5525757175944066</v>
      </c>
      <c r="BI78">
        <f t="shared" si="210"/>
        <v>1.2538343054761817E-2</v>
      </c>
      <c r="BJ78" s="460">
        <f t="shared" si="278"/>
        <v>52.788343054761825</v>
      </c>
      <c r="BK78">
        <f t="shared" si="211"/>
        <v>3.8461811055128665</v>
      </c>
      <c r="BL78" s="460">
        <f t="shared" si="279"/>
        <v>3846.1811055128665</v>
      </c>
      <c r="BM78" s="173">
        <f t="shared" si="212"/>
        <v>1.2238449999999998</v>
      </c>
      <c r="BN78" s="173">
        <f t="shared" si="213"/>
        <v>8.7417499999999995E-2</v>
      </c>
      <c r="BO78" s="528"/>
      <c r="BQ78" s="460">
        <f t="shared" si="280"/>
        <v>1311.2624999999998</v>
      </c>
      <c r="BR78" s="528">
        <f t="shared" si="214"/>
        <v>0.15717303261991783</v>
      </c>
      <c r="BS78" s="528">
        <f t="shared" si="215"/>
        <v>0.16381987518150068</v>
      </c>
      <c r="BT78" s="528">
        <f t="shared" si="216"/>
        <v>5.9470161909743065E-4</v>
      </c>
      <c r="BU78" s="528">
        <f t="shared" si="217"/>
        <v>22.698697398574129</v>
      </c>
      <c r="BV78" s="528">
        <f t="shared" si="218"/>
        <v>23.707386165665604</v>
      </c>
      <c r="BW78" s="625">
        <f t="shared" si="219"/>
        <v>2.4074468085106391</v>
      </c>
      <c r="BX78" s="460">
        <f t="shared" si="281"/>
        <v>26114.832974176243</v>
      </c>
      <c r="BY78" s="173">
        <f t="shared" si="282"/>
        <v>31.272276579689109</v>
      </c>
      <c r="BZ78" s="5">
        <f t="shared" si="283"/>
        <v>56.575000000000003</v>
      </c>
      <c r="CA78" s="173">
        <f t="shared" si="284"/>
        <v>0.64401541177749533</v>
      </c>
      <c r="CB78" s="5">
        <f t="shared" si="285"/>
        <v>64.401541177749536</v>
      </c>
      <c r="CC78">
        <f t="shared" si="286"/>
        <v>73</v>
      </c>
      <c r="CE78" s="562">
        <f t="shared" si="220"/>
        <v>-50</v>
      </c>
      <c r="CF78">
        <f t="shared" si="221"/>
        <v>-50</v>
      </c>
      <c r="CG78" s="173">
        <f t="shared" si="222"/>
        <v>0.45980131961655651</v>
      </c>
      <c r="CH78" s="173">
        <f t="shared" si="223"/>
        <v>0.14910678504849212</v>
      </c>
      <c r="CI78" s="170">
        <v>73</v>
      </c>
      <c r="CJ78" s="217">
        <f t="shared" si="308"/>
        <v>1.825</v>
      </c>
      <c r="CK78" s="217">
        <f t="shared" si="287"/>
        <v>0.1825</v>
      </c>
      <c r="CL78" s="217">
        <f t="shared" si="224"/>
        <v>51.1</v>
      </c>
      <c r="CM78" s="217">
        <f t="shared" si="309"/>
        <v>5.4749999999999996</v>
      </c>
      <c r="CN78" s="541">
        <f t="shared" si="288"/>
        <v>28</v>
      </c>
      <c r="CO78" s="443">
        <f t="shared" si="225"/>
        <v>28.7</v>
      </c>
      <c r="CP78" s="443">
        <f t="shared" si="226"/>
        <v>56.7</v>
      </c>
      <c r="CQ78" s="443"/>
      <c r="CR78" s="217">
        <f t="shared" si="227"/>
        <v>0.50354609929078009</v>
      </c>
      <c r="CS78" s="172">
        <f t="shared" si="289"/>
        <v>106.12369404407841</v>
      </c>
      <c r="CT78" s="172">
        <f t="shared" si="228"/>
        <v>12.588652482269502</v>
      </c>
      <c r="CU78" s="217">
        <f t="shared" si="229"/>
        <v>3.7901319301456575</v>
      </c>
      <c r="CV78" s="217">
        <f t="shared" si="230"/>
        <v>3.5374564681359471</v>
      </c>
      <c r="CW78" s="443">
        <f t="shared" si="231"/>
        <v>28</v>
      </c>
      <c r="CX78" s="217">
        <f t="shared" si="232"/>
        <v>8.0252263581488954</v>
      </c>
      <c r="CY78" s="217">
        <f t="shared" si="233"/>
        <v>1.3470915672607073</v>
      </c>
      <c r="CZ78" s="217">
        <f t="shared" si="234"/>
        <v>1.3142356753763</v>
      </c>
      <c r="DA78" s="197">
        <f t="shared" si="235"/>
        <v>350</v>
      </c>
      <c r="DB78" s="443">
        <f t="shared" si="290"/>
        <v>350</v>
      </c>
      <c r="DD78" s="217">
        <f t="shared" si="236"/>
        <v>8.6157079064880477</v>
      </c>
      <c r="DE78" s="173">
        <f t="shared" si="237"/>
        <v>1.4109347442680775</v>
      </c>
      <c r="DF78" s="173">
        <f t="shared" si="238"/>
        <v>2.1273352855526046</v>
      </c>
      <c r="DG78" s="173"/>
      <c r="DH78" s="173">
        <f t="shared" si="239"/>
        <v>0.54587688734030204</v>
      </c>
      <c r="DI78" s="545">
        <f t="shared" si="240"/>
        <v>2005.946808510638</v>
      </c>
      <c r="DJ78" s="528">
        <f t="shared" si="241"/>
        <v>0.31842818428184283</v>
      </c>
      <c r="DL78" s="173">
        <f t="shared" si="242"/>
        <v>8.2936237272301785</v>
      </c>
      <c r="DM78" s="173">
        <f t="shared" si="243"/>
        <v>8.2936237272301785</v>
      </c>
      <c r="DN78" s="173">
        <f t="shared" si="244"/>
        <v>4.8742891806643298</v>
      </c>
      <c r="DP78" s="545">
        <f t="shared" si="245"/>
        <v>1825</v>
      </c>
      <c r="DQ78" s="460">
        <f t="shared" si="246"/>
        <v>350</v>
      </c>
      <c r="DS78">
        <f t="shared" si="291"/>
        <v>1825</v>
      </c>
      <c r="DT78">
        <f t="shared" si="247"/>
        <v>350</v>
      </c>
      <c r="DV78" s="5">
        <f t="shared" si="292"/>
        <v>2.8571428571428572</v>
      </c>
      <c r="DW78" s="5">
        <f t="shared" si="248"/>
        <v>1.3921439827850655</v>
      </c>
      <c r="DX78" s="5">
        <f t="shared" si="293"/>
        <v>1.4649988743577917</v>
      </c>
      <c r="DY78" s="173">
        <f t="shared" si="294"/>
        <v>0.48725039397477288</v>
      </c>
      <c r="EA78" s="5">
        <f t="shared" si="249"/>
        <v>9.0737956020812298</v>
      </c>
      <c r="EB78" s="5">
        <f t="shared" si="250"/>
        <v>0.84688758952758147</v>
      </c>
      <c r="EC78" s="5">
        <f t="shared" si="251"/>
        <v>1.9097306755021211</v>
      </c>
      <c r="ED78" s="5"/>
      <c r="EE78" s="173">
        <f t="shared" si="295"/>
        <v>3.3424106013191515</v>
      </c>
      <c r="EF78" s="173">
        <f t="shared" si="252"/>
        <v>3.4287543241165315</v>
      </c>
      <c r="EG78" s="173">
        <f t="shared" si="253"/>
        <v>0.34568588677568307</v>
      </c>
      <c r="EH78" s="173"/>
      <c r="EI78" s="528">
        <f t="shared" si="254"/>
        <v>0.13406050353372784</v>
      </c>
      <c r="EJ78" s="528">
        <f t="shared" si="255"/>
        <v>3.127152294470775</v>
      </c>
      <c r="EK78" s="528">
        <f t="shared" si="256"/>
        <v>4.0250000000000001E-2</v>
      </c>
      <c r="EL78" s="528">
        <f t="shared" si="257"/>
        <v>0.55416666375000012</v>
      </c>
      <c r="EM78">
        <f t="shared" si="258"/>
        <v>1.26E-2</v>
      </c>
      <c r="EN78" s="460">
        <f t="shared" si="296"/>
        <v>52.85</v>
      </c>
      <c r="EO78">
        <f t="shared" si="259"/>
        <v>4.0328843583558251</v>
      </c>
      <c r="EP78" s="460">
        <f t="shared" si="297"/>
        <v>4032.884358355825</v>
      </c>
      <c r="EQ78" s="173">
        <f t="shared" si="260"/>
        <v>1.2238449999999998</v>
      </c>
      <c r="ER78" s="173">
        <f t="shared" si="261"/>
        <v>8.7417499999999995E-2</v>
      </c>
      <c r="ES78" s="528"/>
      <c r="EU78" s="460">
        <f t="shared" si="298"/>
        <v>1311.2624999999998</v>
      </c>
      <c r="EV78" s="528">
        <f t="shared" si="262"/>
        <v>0.15640392078934914</v>
      </c>
      <c r="EW78" s="528">
        <f t="shared" si="299"/>
        <v>0.16458898701206939</v>
      </c>
      <c r="EX78" s="528">
        <f t="shared" si="263"/>
        <v>5.9749366157945186E-4</v>
      </c>
      <c r="EY78" s="528">
        <f t="shared" si="264"/>
        <v>22.698697398574129</v>
      </c>
      <c r="EZ78" s="528">
        <f t="shared" si="265"/>
        <v>23.7073951544163</v>
      </c>
      <c r="FA78" s="625">
        <f t="shared" si="266"/>
        <v>2.4074468085106391</v>
      </c>
      <c r="FB78" s="460">
        <f t="shared" si="300"/>
        <v>26114.841962926937</v>
      </c>
      <c r="FC78" s="173">
        <f t="shared" si="301"/>
        <v>31.458988821282762</v>
      </c>
      <c r="FD78" s="5">
        <f t="shared" si="302"/>
        <v>56.575000000000003</v>
      </c>
      <c r="FE78" s="173">
        <f t="shared" si="303"/>
        <v>0.6426495125064996</v>
      </c>
      <c r="FF78" s="5">
        <f t="shared" si="304"/>
        <v>64.264951250649958</v>
      </c>
      <c r="FG78">
        <f t="shared" si="305"/>
        <v>73</v>
      </c>
      <c r="FI78" s="562">
        <f t="shared" si="267"/>
        <v>-50</v>
      </c>
      <c r="FJ78">
        <f t="shared" si="268"/>
        <v>-50</v>
      </c>
      <c r="FL78">
        <f t="shared" si="269"/>
        <v>0.45980131961655651</v>
      </c>
    </row>
    <row r="79" spans="5:168">
      <c r="E79" s="170">
        <v>74</v>
      </c>
      <c r="F79" s="217">
        <f t="shared" si="306"/>
        <v>1.85</v>
      </c>
      <c r="G79" s="217">
        <f t="shared" si="270"/>
        <v>0.185</v>
      </c>
      <c r="H79" s="217">
        <f t="shared" si="175"/>
        <v>51.800000000000004</v>
      </c>
      <c r="I79" s="217">
        <f t="shared" si="307"/>
        <v>5.55</v>
      </c>
      <c r="J79" s="541">
        <f t="shared" si="176"/>
        <v>27.862049296345727</v>
      </c>
      <c r="K79" s="443">
        <f t="shared" si="177"/>
        <v>28.755946783224697</v>
      </c>
      <c r="L79" s="172">
        <f t="shared" si="178"/>
        <v>56.617996079570425</v>
      </c>
      <c r="M79" s="443"/>
      <c r="N79" s="217">
        <f t="shared" si="179"/>
        <v>0.50789411096096282</v>
      </c>
      <c r="O79" s="172">
        <f t="shared" si="271"/>
        <v>106.51268311658735</v>
      </c>
      <c r="P79" s="172">
        <f t="shared" si="180"/>
        <v>12.634795318676815</v>
      </c>
      <c r="Q79" s="217">
        <f t="shared" si="181"/>
        <v>3.8040243970209771</v>
      </c>
      <c r="R79" s="217">
        <f t="shared" si="182"/>
        <v>3.5504227705529119</v>
      </c>
      <c r="S79" s="443">
        <f t="shared" si="183"/>
        <v>28</v>
      </c>
      <c r="T79" s="217">
        <f t="shared" si="184"/>
        <v>8.105450994867347</v>
      </c>
      <c r="U79" s="217">
        <f t="shared" si="185"/>
        <v>1.3672942456846846</v>
      </c>
      <c r="V79" s="217">
        <f t="shared" si="186"/>
        <v>1.3247910062937069</v>
      </c>
      <c r="W79" s="197">
        <f t="shared" si="187"/>
        <v>350</v>
      </c>
      <c r="X79" s="443">
        <f t="shared" si="272"/>
        <v>345.77127327623862</v>
      </c>
      <c r="Z79" s="217">
        <f t="shared" si="188"/>
        <v>8.6024138339927241</v>
      </c>
      <c r="AA79" s="173">
        <f t="shared" si="189"/>
        <v>1.4060168258258203</v>
      </c>
      <c r="AB79" s="173">
        <f t="shared" si="190"/>
        <v>2.1166492538293507</v>
      </c>
      <c r="AC79" s="173"/>
      <c r="AD79" s="173">
        <f t="shared" si="191"/>
        <v>0.5448148442048899</v>
      </c>
      <c r="AE79" s="545">
        <f t="shared" si="192"/>
        <v>2037.3894210242179</v>
      </c>
      <c r="AF79" s="528">
        <f t="shared" si="193"/>
        <v>0.31780865911951911</v>
      </c>
      <c r="AH79" s="173">
        <f t="shared" si="194"/>
        <v>8.3502361504928082</v>
      </c>
      <c r="AI79" s="173">
        <f t="shared" si="195"/>
        <v>8.3502361504928082</v>
      </c>
      <c r="AJ79" s="173">
        <f t="shared" si="196"/>
        <v>4.9162243090070179</v>
      </c>
      <c r="AL79" s="545">
        <f t="shared" si="197"/>
        <v>1850</v>
      </c>
      <c r="AM79" s="460">
        <f t="shared" si="198"/>
        <v>345.77127327623862</v>
      </c>
      <c r="AO79">
        <f t="shared" si="273"/>
        <v>1850</v>
      </c>
      <c r="AP79">
        <f t="shared" si="199"/>
        <v>345.77127327623862</v>
      </c>
      <c r="AR79" s="5">
        <f t="shared" si="274"/>
        <v>2.8920852519783922</v>
      </c>
      <c r="AS79" s="5">
        <f t="shared" si="200"/>
        <v>1.4085866222504873</v>
      </c>
      <c r="AT79" s="5">
        <f t="shared" si="275"/>
        <v>1.4834986297279049</v>
      </c>
      <c r="AU79" s="173">
        <f t="shared" si="276"/>
        <v>0.4870487898954271</v>
      </c>
      <c r="AW79" s="5">
        <f t="shared" si="201"/>
        <v>9.3067330398692913</v>
      </c>
      <c r="AX79" s="5">
        <f t="shared" si="202"/>
        <v>0.86862841705446714</v>
      </c>
      <c r="AY79" s="5">
        <f t="shared" si="203"/>
        <v>1.9700435067111723</v>
      </c>
      <c r="AZ79" s="5"/>
      <c r="BA79" s="173">
        <f t="shared" si="277"/>
        <v>3.3645296878564128</v>
      </c>
      <c r="BB79" s="173">
        <f t="shared" si="204"/>
        <v>3.4528376594522676</v>
      </c>
      <c r="BC79" s="173">
        <f t="shared" si="205"/>
        <v>0.34811396074805651</v>
      </c>
      <c r="BD79" s="173"/>
      <c r="BE79" s="528">
        <f t="shared" si="206"/>
        <v>0.13584072024560606</v>
      </c>
      <c r="BF79" s="528">
        <f t="shared" si="207"/>
        <v>2.983355653462628</v>
      </c>
      <c r="BG79" s="528">
        <f t="shared" si="208"/>
        <v>3.9763696426767442E-2</v>
      </c>
      <c r="BH79" s="528">
        <f t="shared" si="209"/>
        <v>0.54588873472960286</v>
      </c>
      <c r="BI79">
        <f t="shared" si="210"/>
        <v>1.2537922183355577E-2</v>
      </c>
      <c r="BJ79" s="460">
        <f t="shared" si="278"/>
        <v>52.301618610123015</v>
      </c>
      <c r="BK79">
        <f t="shared" si="211"/>
        <v>3.8252240992502893</v>
      </c>
      <c r="BL79" s="460">
        <f t="shared" si="279"/>
        <v>3825.2240992502893</v>
      </c>
      <c r="BM79" s="173">
        <f t="shared" si="212"/>
        <v>1.24061</v>
      </c>
      <c r="BN79" s="173">
        <f t="shared" si="213"/>
        <v>8.8614999999999999E-2</v>
      </c>
      <c r="BO79" s="528"/>
      <c r="BQ79" s="460">
        <f t="shared" si="280"/>
        <v>1329.2250000000001</v>
      </c>
      <c r="BR79" s="528">
        <f t="shared" si="214"/>
        <v>0.15848084028654039</v>
      </c>
      <c r="BS79" s="528">
        <f t="shared" si="215"/>
        <v>0.16690923063544541</v>
      </c>
      <c r="BT79" s="528">
        <f t="shared" si="216"/>
        <v>6.0591664833849711E-4</v>
      </c>
      <c r="BU79" s="528">
        <f t="shared" si="217"/>
        <v>22.396965026528417</v>
      </c>
      <c r="BV79" s="528">
        <f t="shared" si="218"/>
        <v>23.411771537773809</v>
      </c>
      <c r="BW79" s="625">
        <f t="shared" si="219"/>
        <v>2.4109401243030133</v>
      </c>
      <c r="BX79" s="460">
        <f t="shared" si="281"/>
        <v>25822.711662076825</v>
      </c>
      <c r="BY79" s="173">
        <f t="shared" si="282"/>
        <v>30.977160761327113</v>
      </c>
      <c r="BZ79" s="5">
        <f t="shared" si="283"/>
        <v>57.35</v>
      </c>
      <c r="CA79" s="173">
        <f t="shared" si="284"/>
        <v>0.64929065426395927</v>
      </c>
      <c r="CB79" s="5">
        <f t="shared" si="285"/>
        <v>64.929065426395923</v>
      </c>
      <c r="CC79">
        <f t="shared" si="286"/>
        <v>74</v>
      </c>
      <c r="CE79" s="562">
        <f t="shared" si="220"/>
        <v>-50</v>
      </c>
      <c r="CF79">
        <f t="shared" si="221"/>
        <v>-50</v>
      </c>
      <c r="CG79" s="173">
        <f t="shared" si="222"/>
        <v>0.46293993161282837</v>
      </c>
      <c r="CH79" s="173">
        <f t="shared" si="223"/>
        <v>0.15012459061866529</v>
      </c>
      <c r="CI79" s="170">
        <v>74</v>
      </c>
      <c r="CJ79" s="217">
        <f t="shared" si="308"/>
        <v>1.85</v>
      </c>
      <c r="CK79" s="217">
        <f t="shared" si="287"/>
        <v>0.185</v>
      </c>
      <c r="CL79" s="217">
        <f t="shared" si="224"/>
        <v>51.800000000000004</v>
      </c>
      <c r="CM79" s="217">
        <f t="shared" si="309"/>
        <v>5.55</v>
      </c>
      <c r="CN79" s="541">
        <f t="shared" si="288"/>
        <v>28</v>
      </c>
      <c r="CO79" s="443">
        <f t="shared" si="225"/>
        <v>28.7</v>
      </c>
      <c r="CP79" s="443">
        <f t="shared" si="226"/>
        <v>56.7</v>
      </c>
      <c r="CQ79" s="443"/>
      <c r="CR79" s="217">
        <f t="shared" si="227"/>
        <v>0.50354609929078009</v>
      </c>
      <c r="CS79" s="172">
        <f t="shared" si="289"/>
        <v>106.12369404407841</v>
      </c>
      <c r="CT79" s="172">
        <f t="shared" si="228"/>
        <v>12.588652482269502</v>
      </c>
      <c r="CU79" s="217">
        <f t="shared" si="229"/>
        <v>3.7901319301456575</v>
      </c>
      <c r="CV79" s="217">
        <f t="shared" si="230"/>
        <v>3.5374564681359471</v>
      </c>
      <c r="CW79" s="443">
        <f t="shared" si="231"/>
        <v>28</v>
      </c>
      <c r="CX79" s="217">
        <f t="shared" si="232"/>
        <v>8.1351609657947694</v>
      </c>
      <c r="CY79" s="217">
        <f t="shared" si="233"/>
        <v>1.3655448764012648</v>
      </c>
      <c r="CZ79" s="217">
        <f t="shared" si="234"/>
        <v>1.332238903806112</v>
      </c>
      <c r="DA79" s="197">
        <f t="shared" si="235"/>
        <v>350</v>
      </c>
      <c r="DB79" s="443">
        <f t="shared" si="290"/>
        <v>350</v>
      </c>
      <c r="DD79" s="217">
        <f t="shared" si="236"/>
        <v>8.6157079064880477</v>
      </c>
      <c r="DE79" s="173">
        <f t="shared" si="237"/>
        <v>1.4109347442680775</v>
      </c>
      <c r="DF79" s="173">
        <f t="shared" si="238"/>
        <v>2.1273352855526046</v>
      </c>
      <c r="DG79" s="173"/>
      <c r="DH79" s="173">
        <f t="shared" si="239"/>
        <v>0.54587688734030204</v>
      </c>
      <c r="DI79" s="545">
        <f t="shared" si="240"/>
        <v>2033.4255319148933</v>
      </c>
      <c r="DJ79" s="528">
        <f t="shared" si="241"/>
        <v>0.31842818428184283</v>
      </c>
      <c r="DL79" s="173">
        <f t="shared" si="242"/>
        <v>8.3502361504928082</v>
      </c>
      <c r="DM79" s="173">
        <f t="shared" si="243"/>
        <v>8.3502361504928082</v>
      </c>
      <c r="DN79" s="173">
        <f t="shared" si="244"/>
        <v>4.9162243090070179</v>
      </c>
      <c r="DP79" s="545">
        <f t="shared" si="245"/>
        <v>1850</v>
      </c>
      <c r="DQ79" s="460">
        <f t="shared" si="246"/>
        <v>350</v>
      </c>
      <c r="DS79">
        <f t="shared" si="291"/>
        <v>1850</v>
      </c>
      <c r="DT79">
        <f t="shared" si="247"/>
        <v>350</v>
      </c>
      <c r="DV79" s="5">
        <f t="shared" si="292"/>
        <v>2.8571428571428572</v>
      </c>
      <c r="DW79" s="5">
        <f t="shared" si="248"/>
        <v>1.4016467824041499</v>
      </c>
      <c r="DX79" s="5">
        <f t="shared" si="293"/>
        <v>1.4554960747387073</v>
      </c>
      <c r="DY79" s="173">
        <f t="shared" si="294"/>
        <v>0.49057637384145242</v>
      </c>
      <c r="EA79" s="5">
        <f t="shared" si="249"/>
        <v>9.2608805265988465</v>
      </c>
      <c r="EB79" s="5">
        <f t="shared" si="250"/>
        <v>0.86434884914922572</v>
      </c>
      <c r="EC79" s="5">
        <f t="shared" si="251"/>
        <v>1.9233340987618632</v>
      </c>
      <c r="ED79" s="5"/>
      <c r="EE79" s="173">
        <f t="shared" si="295"/>
        <v>3.3766919682362926</v>
      </c>
      <c r="EF79" s="173">
        <f t="shared" si="252"/>
        <v>3.4409445323410113</v>
      </c>
      <c r="EG79" s="173">
        <f t="shared" si="253"/>
        <v>0.34691489957208554</v>
      </c>
      <c r="EH79" s="173"/>
      <c r="EI79" s="528">
        <f t="shared" si="254"/>
        <v>0.13682458378021783</v>
      </c>
      <c r="EJ79" s="528">
        <f t="shared" si="255"/>
        <v>3.1484982917240663</v>
      </c>
      <c r="EK79" s="528">
        <f t="shared" si="256"/>
        <v>4.0250000000000001E-2</v>
      </c>
      <c r="EL79" s="528">
        <f t="shared" si="257"/>
        <v>0.55416666375000012</v>
      </c>
      <c r="EM79">
        <f t="shared" si="258"/>
        <v>1.26E-2</v>
      </c>
      <c r="EN79" s="460">
        <f t="shared" si="296"/>
        <v>52.85</v>
      </c>
      <c r="EO79">
        <f t="shared" si="259"/>
        <v>4.0613135349584892</v>
      </c>
      <c r="EP79" s="460">
        <f t="shared" si="297"/>
        <v>4061.3135349584891</v>
      </c>
      <c r="EQ79" s="173">
        <f t="shared" si="260"/>
        <v>1.24061</v>
      </c>
      <c r="ER79" s="173">
        <f t="shared" si="261"/>
        <v>8.8614999999999999E-2</v>
      </c>
      <c r="ES79" s="528"/>
      <c r="EU79" s="460">
        <f t="shared" si="298"/>
        <v>1329.2250000000001</v>
      </c>
      <c r="EV79" s="528">
        <f t="shared" si="262"/>
        <v>0.15962868107692083</v>
      </c>
      <c r="EW79" s="528">
        <f t="shared" si="299"/>
        <v>0.16576138984506503</v>
      </c>
      <c r="EX79" s="528">
        <f t="shared" si="263"/>
        <v>6.0174973772555106E-4</v>
      </c>
      <c r="EY79" s="528">
        <f t="shared" si="264"/>
        <v>23.088036999850747</v>
      </c>
      <c r="EZ79" s="528">
        <f t="shared" si="265"/>
        <v>24.121335503675748</v>
      </c>
      <c r="FA79" s="625">
        <f t="shared" si="266"/>
        <v>2.4404255319148938</v>
      </c>
      <c r="FB79" s="460">
        <f t="shared" si="300"/>
        <v>26561.761035590644</v>
      </c>
      <c r="FC79" s="173">
        <f t="shared" si="301"/>
        <v>31.952299570549133</v>
      </c>
      <c r="FD79" s="5">
        <f t="shared" si="302"/>
        <v>57.35</v>
      </c>
      <c r="FE79" s="173">
        <f t="shared" si="303"/>
        <v>0.64220070788539207</v>
      </c>
      <c r="FF79" s="5">
        <f t="shared" si="304"/>
        <v>64.220070788539203</v>
      </c>
      <c r="FG79">
        <f t="shared" si="305"/>
        <v>74</v>
      </c>
      <c r="FI79" s="562">
        <f t="shared" si="267"/>
        <v>-50</v>
      </c>
      <c r="FJ79">
        <f t="shared" si="268"/>
        <v>-50</v>
      </c>
      <c r="FL79">
        <f t="shared" si="269"/>
        <v>0.46293993161282831</v>
      </c>
    </row>
    <row r="80" spans="5:168">
      <c r="E80" s="170">
        <v>75</v>
      </c>
      <c r="F80" s="217">
        <f t="shared" si="306"/>
        <v>1.875</v>
      </c>
      <c r="G80" s="217">
        <f t="shared" si="270"/>
        <v>0.1875</v>
      </c>
      <c r="H80" s="217">
        <f t="shared" si="175"/>
        <v>52.5</v>
      </c>
      <c r="I80" s="217">
        <f t="shared" si="307"/>
        <v>5.625</v>
      </c>
      <c r="J80" s="541">
        <f t="shared" si="176"/>
        <v>27.861120324882098</v>
      </c>
      <c r="K80" s="443">
        <f t="shared" si="177"/>
        <v>28.756323533496506</v>
      </c>
      <c r="L80" s="172">
        <f t="shared" si="178"/>
        <v>56.617443858378607</v>
      </c>
      <c r="M80" s="443"/>
      <c r="N80" s="217">
        <f t="shared" si="179"/>
        <v>0.50790571904706294</v>
      </c>
      <c r="O80" s="172">
        <f t="shared" si="271"/>
        <v>106.51156609081922</v>
      </c>
      <c r="P80" s="172">
        <f t="shared" si="180"/>
        <v>12.634662814344626</v>
      </c>
      <c r="Q80" s="217">
        <f t="shared" si="181"/>
        <v>3.8039845032435435</v>
      </c>
      <c r="R80" s="217">
        <f t="shared" si="182"/>
        <v>3.5503855363606407</v>
      </c>
      <c r="S80" s="443">
        <f t="shared" si="183"/>
        <v>28</v>
      </c>
      <c r="T80" s="217">
        <f t="shared" si="184"/>
        <v>8.2150702699640501</v>
      </c>
      <c r="U80" s="217">
        <f t="shared" si="185"/>
        <v>1.3858319342007446</v>
      </c>
      <c r="V80" s="217">
        <f t="shared" si="186"/>
        <v>1.3426900773270132</v>
      </c>
      <c r="W80" s="197">
        <f t="shared" si="187"/>
        <v>350</v>
      </c>
      <c r="X80" s="443">
        <f t="shared" si="272"/>
        <v>341.46917662343873</v>
      </c>
      <c r="Z80" s="217">
        <f t="shared" si="188"/>
        <v>8.6023236182771949</v>
      </c>
      <c r="AA80" s="173">
        <f t="shared" si="189"/>
        <v>1.4059836598655344</v>
      </c>
      <c r="AB80" s="173">
        <f t="shared" si="190"/>
        <v>2.1165771277302921</v>
      </c>
      <c r="AC80" s="173"/>
      <c r="AD80" s="173">
        <f t="shared" si="191"/>
        <v>0.54480770632648889</v>
      </c>
      <c r="AE80" s="545">
        <f t="shared" si="192"/>
        <v>2064.9487643734192</v>
      </c>
      <c r="AF80" s="528">
        <f t="shared" si="193"/>
        <v>0.31780449535711852</v>
      </c>
      <c r="AH80" s="173">
        <f t="shared" si="194"/>
        <v>8.4064673323054393</v>
      </c>
      <c r="AI80" s="173">
        <f t="shared" si="195"/>
        <v>8.4064673323054393</v>
      </c>
      <c r="AJ80" s="173">
        <f t="shared" si="196"/>
        <v>4.957877036275633</v>
      </c>
      <c r="AL80" s="545">
        <f t="shared" si="197"/>
        <v>1875</v>
      </c>
      <c r="AM80" s="460">
        <f t="shared" si="198"/>
        <v>341.46917662343873</v>
      </c>
      <c r="AO80">
        <f t="shared" si="273"/>
        <v>1875</v>
      </c>
      <c r="AP80">
        <f t="shared" si="199"/>
        <v>341.46917662343873</v>
      </c>
      <c r="AR80" s="5">
        <f t="shared" si="274"/>
        <v>2.9285220115277579</v>
      </c>
      <c r="AS80" s="5">
        <f t="shared" si="200"/>
        <v>1.4181194439101494</v>
      </c>
      <c r="AT80" s="5">
        <f t="shared" si="275"/>
        <v>1.5104025676176085</v>
      </c>
      <c r="AU80" s="173">
        <f t="shared" si="276"/>
        <v>0.48424407886568749</v>
      </c>
      <c r="AW80" s="5">
        <f t="shared" si="201"/>
        <v>9.4963355618983218</v>
      </c>
      <c r="AX80" s="5">
        <f t="shared" si="202"/>
        <v>0.8863246524438434</v>
      </c>
      <c r="AY80" s="5">
        <f t="shared" si="203"/>
        <v>2.0329439600846344</v>
      </c>
      <c r="AZ80" s="5"/>
      <c r="BA80" s="173">
        <f t="shared" si="277"/>
        <v>3.3774199300078482</v>
      </c>
      <c r="BB80" s="173">
        <f t="shared" si="204"/>
        <v>3.4855796676342505</v>
      </c>
      <c r="BC80" s="173">
        <f t="shared" si="205"/>
        <v>0.35141499927787939</v>
      </c>
      <c r="BD80" s="173"/>
      <c r="BE80" s="528">
        <f t="shared" si="206"/>
        <v>0.13688358460337063</v>
      </c>
      <c r="BF80" s="528">
        <f t="shared" si="207"/>
        <v>2.96604792420217</v>
      </c>
      <c r="BG80" s="528">
        <f t="shared" si="208"/>
        <v>3.9268955311695455E-2</v>
      </c>
      <c r="BH80" s="528">
        <f t="shared" si="209"/>
        <v>0.53908625449832592</v>
      </c>
      <c r="BI80">
        <f t="shared" si="210"/>
        <v>1.2537504146196943E-2</v>
      </c>
      <c r="BJ80" s="460">
        <f t="shared" si="278"/>
        <v>51.806459457892394</v>
      </c>
      <c r="BK80">
        <f t="shared" si="211"/>
        <v>3.8026520355985483</v>
      </c>
      <c r="BL80" s="460">
        <f t="shared" si="279"/>
        <v>3802.6520355985481</v>
      </c>
      <c r="BM80" s="173">
        <f t="shared" si="212"/>
        <v>1.2573749999999999</v>
      </c>
      <c r="BN80" s="173">
        <f t="shared" si="213"/>
        <v>8.981249999999999E-2</v>
      </c>
      <c r="BO80" s="528"/>
      <c r="BQ80" s="460">
        <f t="shared" si="280"/>
        <v>1347.1875</v>
      </c>
      <c r="BR80" s="528">
        <f t="shared" si="214"/>
        <v>0.15969751537059906</v>
      </c>
      <c r="BS80" s="528">
        <f t="shared" si="215"/>
        <v>0.1700897186719541</v>
      </c>
      <c r="BT80" s="528">
        <f t="shared" si="216"/>
        <v>6.1746250858735988E-4</v>
      </c>
      <c r="BU80" s="528">
        <f t="shared" si="217"/>
        <v>22.074079219612035</v>
      </c>
      <c r="BV80" s="528">
        <f t="shared" si="218"/>
        <v>23.094216038724344</v>
      </c>
      <c r="BW80" s="625">
        <f t="shared" si="219"/>
        <v>2.4131180414878264</v>
      </c>
      <c r="BX80" s="460">
        <f t="shared" si="281"/>
        <v>25507.334080212171</v>
      </c>
      <c r="BY80" s="173">
        <f t="shared" si="282"/>
        <v>30.65717361581072</v>
      </c>
      <c r="BZ80" s="5">
        <f t="shared" si="283"/>
        <v>58.125</v>
      </c>
      <c r="CA80" s="173">
        <f t="shared" si="284"/>
        <v>0.65469223868662796</v>
      </c>
      <c r="CB80" s="5">
        <f t="shared" si="285"/>
        <v>65.469223868662795</v>
      </c>
      <c r="CC80">
        <f t="shared" si="286"/>
        <v>75</v>
      </c>
      <c r="CE80" s="562">
        <f t="shared" si="220"/>
        <v>-50</v>
      </c>
      <c r="CF80">
        <f t="shared" si="221"/>
        <v>-50</v>
      </c>
      <c r="CG80" s="173">
        <f t="shared" si="222"/>
        <v>0.46605740745347407</v>
      </c>
      <c r="CH80" s="173">
        <f t="shared" si="223"/>
        <v>0.15113554204536561</v>
      </c>
      <c r="CI80" s="170">
        <v>75</v>
      </c>
      <c r="CJ80" s="217">
        <f t="shared" si="308"/>
        <v>1.875</v>
      </c>
      <c r="CK80" s="217">
        <f t="shared" si="287"/>
        <v>0.1875</v>
      </c>
      <c r="CL80" s="217">
        <f t="shared" si="224"/>
        <v>52.5</v>
      </c>
      <c r="CM80" s="217">
        <f t="shared" si="309"/>
        <v>5.625</v>
      </c>
      <c r="CN80" s="541">
        <f t="shared" si="288"/>
        <v>28</v>
      </c>
      <c r="CO80" s="443">
        <f t="shared" si="225"/>
        <v>28.7</v>
      </c>
      <c r="CP80" s="443">
        <f t="shared" si="226"/>
        <v>56.7</v>
      </c>
      <c r="CQ80" s="443"/>
      <c r="CR80" s="217">
        <f t="shared" si="227"/>
        <v>0.50354609929078009</v>
      </c>
      <c r="CS80" s="172">
        <f t="shared" si="289"/>
        <v>106.12369404407841</v>
      </c>
      <c r="CT80" s="172">
        <f t="shared" si="228"/>
        <v>12.588652482269502</v>
      </c>
      <c r="CU80" s="217">
        <f t="shared" si="229"/>
        <v>3.7901319301456575</v>
      </c>
      <c r="CV80" s="217">
        <f t="shared" si="230"/>
        <v>3.5374564681359471</v>
      </c>
      <c r="CW80" s="443">
        <f t="shared" si="231"/>
        <v>28</v>
      </c>
      <c r="CX80" s="217">
        <f t="shared" si="232"/>
        <v>8.2450955734406453</v>
      </c>
      <c r="CY80" s="217">
        <f t="shared" si="233"/>
        <v>1.3839981855418224</v>
      </c>
      <c r="CZ80" s="217">
        <f t="shared" si="234"/>
        <v>1.3502421322359244</v>
      </c>
      <c r="DA80" s="197">
        <f t="shared" si="235"/>
        <v>350</v>
      </c>
      <c r="DB80" s="443">
        <f t="shared" si="290"/>
        <v>350</v>
      </c>
      <c r="DD80" s="217">
        <f t="shared" si="236"/>
        <v>8.6157079064880477</v>
      </c>
      <c r="DE80" s="173">
        <f t="shared" si="237"/>
        <v>1.4109347442680775</v>
      </c>
      <c r="DF80" s="173">
        <f t="shared" si="238"/>
        <v>2.1273352855526046</v>
      </c>
      <c r="DG80" s="173"/>
      <c r="DH80" s="173">
        <f t="shared" si="239"/>
        <v>0.54587688734030204</v>
      </c>
      <c r="DI80" s="545">
        <f t="shared" si="240"/>
        <v>2060.9042553191489</v>
      </c>
      <c r="DJ80" s="528">
        <f t="shared" si="241"/>
        <v>0.31842818428184283</v>
      </c>
      <c r="DL80" s="173">
        <f t="shared" si="242"/>
        <v>8.4064673323054393</v>
      </c>
      <c r="DM80" s="173">
        <f t="shared" si="243"/>
        <v>8.4064673323054393</v>
      </c>
      <c r="DN80" s="173">
        <f t="shared" si="244"/>
        <v>4.957877036275633</v>
      </c>
      <c r="DP80" s="545">
        <f t="shared" si="245"/>
        <v>1875</v>
      </c>
      <c r="DQ80" s="460">
        <f t="shared" si="246"/>
        <v>350</v>
      </c>
      <c r="DS80">
        <f t="shared" si="291"/>
        <v>1875</v>
      </c>
      <c r="DT80">
        <f t="shared" si="247"/>
        <v>350</v>
      </c>
      <c r="DV80" s="5">
        <f t="shared" si="292"/>
        <v>2.8571428571428572</v>
      </c>
      <c r="DW80" s="5">
        <f t="shared" si="248"/>
        <v>1.4110855879226987</v>
      </c>
      <c r="DX80" s="5">
        <f t="shared" si="293"/>
        <v>1.4460572692201585</v>
      </c>
      <c r="DY80" s="173">
        <f t="shared" si="294"/>
        <v>0.49387995577294452</v>
      </c>
      <c r="EA80" s="5">
        <f t="shared" si="249"/>
        <v>9.4492338476966431</v>
      </c>
      <c r="EB80" s="5">
        <f t="shared" si="250"/>
        <v>0.8819284924516867</v>
      </c>
      <c r="EC80" s="5">
        <f t="shared" si="251"/>
        <v>1.9366838427055693</v>
      </c>
      <c r="ED80" s="5"/>
      <c r="EE80" s="173">
        <f t="shared" si="295"/>
        <v>3.4108577111862082</v>
      </c>
      <c r="EF80" s="173">
        <f t="shared" si="252"/>
        <v>3.4528655747192203</v>
      </c>
      <c r="EG80" s="173">
        <f t="shared" si="253"/>
        <v>0.34811677515611816</v>
      </c>
      <c r="EH80" s="173"/>
      <c r="EI80" s="528">
        <f t="shared" si="254"/>
        <v>0.13960740391150103</v>
      </c>
      <c r="EJ80" s="528">
        <f t="shared" si="255"/>
        <v>3.1697005399824274</v>
      </c>
      <c r="EK80" s="528">
        <f t="shared" si="256"/>
        <v>4.0250000000000001E-2</v>
      </c>
      <c r="EL80" s="528">
        <f t="shared" si="257"/>
        <v>0.55416666375000012</v>
      </c>
      <c r="EM80">
        <f t="shared" si="258"/>
        <v>1.26E-2</v>
      </c>
      <c r="EN80" s="460">
        <f t="shared" si="296"/>
        <v>52.85</v>
      </c>
      <c r="EO80">
        <f t="shared" si="259"/>
        <v>4.0896761042477294</v>
      </c>
      <c r="EP80" s="460">
        <f t="shared" si="297"/>
        <v>4089.6761042477292</v>
      </c>
      <c r="EQ80" s="173">
        <f t="shared" si="260"/>
        <v>1.2573749999999999</v>
      </c>
      <c r="ER80" s="173">
        <f t="shared" si="261"/>
        <v>8.981249999999999E-2</v>
      </c>
      <c r="ES80" s="528"/>
      <c r="EU80" s="460">
        <f t="shared" si="298"/>
        <v>1347.1875</v>
      </c>
      <c r="EV80" s="528">
        <f t="shared" si="262"/>
        <v>0.16287530456341787</v>
      </c>
      <c r="EW80" s="528">
        <f t="shared" si="299"/>
        <v>0.1669119294791353</v>
      </c>
      <c r="EX80" s="528">
        <f t="shared" si="263"/>
        <v>6.0592644572547661E-4</v>
      </c>
      <c r="EY80" s="528">
        <f t="shared" si="264"/>
        <v>23.478694197124568</v>
      </c>
      <c r="EZ80" s="528">
        <f t="shared" si="265"/>
        <v>24.536928381460047</v>
      </c>
      <c r="FA80" s="625">
        <f t="shared" si="266"/>
        <v>2.4734042553191484</v>
      </c>
      <c r="FB80" s="460">
        <f t="shared" si="300"/>
        <v>27010.332636779196</v>
      </c>
      <c r="FC80" s="173">
        <f t="shared" si="301"/>
        <v>32.447196241026923</v>
      </c>
      <c r="FD80" s="5">
        <f t="shared" si="302"/>
        <v>58.125</v>
      </c>
      <c r="FE80" s="173">
        <f t="shared" si="303"/>
        <v>0.64175323567643427</v>
      </c>
      <c r="FF80" s="5">
        <f t="shared" si="304"/>
        <v>64.175323567643431</v>
      </c>
      <c r="FG80">
        <f t="shared" si="305"/>
        <v>75</v>
      </c>
      <c r="FI80" s="562">
        <f t="shared" si="267"/>
        <v>-50</v>
      </c>
      <c r="FJ80">
        <f t="shared" si="268"/>
        <v>-50</v>
      </c>
      <c r="FL80">
        <f t="shared" si="269"/>
        <v>0.46605740745347407</v>
      </c>
    </row>
    <row r="81" spans="5:168">
      <c r="E81" s="170">
        <v>76</v>
      </c>
      <c r="F81" s="217">
        <f t="shared" si="306"/>
        <v>1.9</v>
      </c>
      <c r="G81" s="217">
        <f t="shared" si="270"/>
        <v>0.19</v>
      </c>
      <c r="H81" s="217">
        <f t="shared" si="175"/>
        <v>53.199999999999996</v>
      </c>
      <c r="I81" s="217">
        <f t="shared" si="307"/>
        <v>5.7</v>
      </c>
      <c r="J81" s="541">
        <f t="shared" si="176"/>
        <v>27.860197526191421</v>
      </c>
      <c r="K81" s="443">
        <f t="shared" si="177"/>
        <v>28.756697780361073</v>
      </c>
      <c r="L81" s="172">
        <f t="shared" si="178"/>
        <v>56.616895306552493</v>
      </c>
      <c r="M81" s="443"/>
      <c r="N81" s="217">
        <f t="shared" si="179"/>
        <v>0.50791725022465062</v>
      </c>
      <c r="O81" s="172">
        <f t="shared" si="271"/>
        <v>106.51045637368959</v>
      </c>
      <c r="P81" s="172">
        <f t="shared" si="180"/>
        <v>12.634531176981035</v>
      </c>
      <c r="Q81" s="217">
        <f t="shared" si="181"/>
        <v>3.8039448704889138</v>
      </c>
      <c r="R81" s="217">
        <f t="shared" si="182"/>
        <v>3.5503485457896531</v>
      </c>
      <c r="S81" s="443">
        <f t="shared" si="183"/>
        <v>28</v>
      </c>
      <c r="T81" s="217">
        <f t="shared" si="184"/>
        <v>8.3246912730879323</v>
      </c>
      <c r="U81" s="217">
        <f t="shared" si="185"/>
        <v>1.4043708393212508</v>
      </c>
      <c r="V81" s="217">
        <f t="shared" si="186"/>
        <v>1.3605890802327725</v>
      </c>
      <c r="W81" s="197">
        <f t="shared" si="187"/>
        <v>350</v>
      </c>
      <c r="X81" s="443">
        <f t="shared" si="272"/>
        <v>337.27268736584324</v>
      </c>
      <c r="Z81" s="217">
        <f t="shared" si="188"/>
        <v>8.602233992838153</v>
      </c>
      <c r="AA81" s="173">
        <f t="shared" si="189"/>
        <v>1.4059507136438554</v>
      </c>
      <c r="AB81" s="173">
        <f t="shared" si="190"/>
        <v>2.1165054787033908</v>
      </c>
      <c r="AC81" s="173"/>
      <c r="AD81" s="173">
        <f t="shared" si="191"/>
        <v>0.54480061606259833</v>
      </c>
      <c r="AE81" s="545">
        <f t="shared" si="192"/>
        <v>2092.5086469964863</v>
      </c>
      <c r="AF81" s="528">
        <f t="shared" si="193"/>
        <v>0.31780035936984907</v>
      </c>
      <c r="AH81" s="173">
        <f t="shared" si="194"/>
        <v>8.4623248725891003</v>
      </c>
      <c r="AI81" s="173">
        <f t="shared" si="195"/>
        <v>8.4623248725891003</v>
      </c>
      <c r="AJ81" s="173">
        <f t="shared" si="196"/>
        <v>4.9992529920413089</v>
      </c>
      <c r="AL81" s="545">
        <f t="shared" si="197"/>
        <v>1900</v>
      </c>
      <c r="AM81" s="460">
        <f t="shared" si="198"/>
        <v>337.27268736584324</v>
      </c>
      <c r="AO81">
        <f t="shared" si="273"/>
        <v>1900</v>
      </c>
      <c r="AP81">
        <f t="shared" si="199"/>
        <v>337.27268736584324</v>
      </c>
      <c r="AR81" s="5">
        <f t="shared" si="274"/>
        <v>2.9649599195540239</v>
      </c>
      <c r="AS81" s="5">
        <f t="shared" si="200"/>
        <v>1.4275895518607926</v>
      </c>
      <c r="AT81" s="5">
        <f t="shared" si="275"/>
        <v>1.5373703676932313</v>
      </c>
      <c r="AU81" s="173">
        <f t="shared" si="276"/>
        <v>0.48148696461148932</v>
      </c>
      <c r="AW81" s="5">
        <f t="shared" si="201"/>
        <v>9.6872148161982352</v>
      </c>
      <c r="AX81" s="5">
        <f t="shared" si="202"/>
        <v>0.90414004951183524</v>
      </c>
      <c r="AY81" s="5">
        <f t="shared" si="203"/>
        <v>2.0969009253226565</v>
      </c>
      <c r="AZ81" s="5"/>
      <c r="BA81" s="173">
        <f t="shared" si="277"/>
        <v>3.3901688854959864</v>
      </c>
      <c r="BB81" s="173">
        <f t="shared" si="204"/>
        <v>3.5181058839800357</v>
      </c>
      <c r="BC81" s="173">
        <f t="shared" si="205"/>
        <v>0.35469428174552819</v>
      </c>
      <c r="BD81" s="173"/>
      <c r="BE81" s="528">
        <f t="shared" si="206"/>
        <v>0.1379189408662212</v>
      </c>
      <c r="BF81" s="528">
        <f t="shared" si="207"/>
        <v>2.9490340450069135</v>
      </c>
      <c r="BG81" s="528">
        <f t="shared" si="208"/>
        <v>3.8786359047071978E-2</v>
      </c>
      <c r="BH81" s="528">
        <f t="shared" si="209"/>
        <v>0.53245083024861761</v>
      </c>
      <c r="BI81">
        <f t="shared" si="210"/>
        <v>1.2537088886786139E-2</v>
      </c>
      <c r="BJ81" s="460">
        <f t="shared" si="278"/>
        <v>51.32344793385812</v>
      </c>
      <c r="BK81">
        <f t="shared" si="211"/>
        <v>3.7805280982136504</v>
      </c>
      <c r="BL81" s="460">
        <f t="shared" si="279"/>
        <v>3780.5280982136505</v>
      </c>
      <c r="BM81" s="173">
        <f t="shared" si="212"/>
        <v>1.2741399999999998</v>
      </c>
      <c r="BN81" s="173">
        <f t="shared" si="213"/>
        <v>9.1009999999999994E-2</v>
      </c>
      <c r="BO81" s="528"/>
      <c r="BQ81" s="460">
        <f t="shared" si="280"/>
        <v>1365.1499999999999</v>
      </c>
      <c r="BR81" s="528">
        <f t="shared" si="214"/>
        <v>0.16090543101059138</v>
      </c>
      <c r="BS81" s="528">
        <f t="shared" si="215"/>
        <v>0.17327896615252927</v>
      </c>
      <c r="BT81" s="528">
        <f t="shared" si="216"/>
        <v>6.2904016751488075E-4</v>
      </c>
      <c r="BU81" s="528">
        <f t="shared" si="217"/>
        <v>21.759412845790997</v>
      </c>
      <c r="BV81" s="528">
        <f t="shared" si="218"/>
        <v>22.784876123608843</v>
      </c>
      <c r="BW81" s="625">
        <f t="shared" si="219"/>
        <v>2.4152414937201421</v>
      </c>
      <c r="BX81" s="460">
        <f t="shared" si="281"/>
        <v>25200.117617328986</v>
      </c>
      <c r="BY81" s="173">
        <f t="shared" si="282"/>
        <v>30.345795715542636</v>
      </c>
      <c r="BZ81" s="5">
        <f t="shared" si="283"/>
        <v>58.9</v>
      </c>
      <c r="CA81" s="173">
        <f t="shared" si="284"/>
        <v>0.65997506692342978</v>
      </c>
      <c r="CB81" s="5">
        <f t="shared" si="285"/>
        <v>65.997506692342981</v>
      </c>
      <c r="CC81">
        <f t="shared" si="286"/>
        <v>76</v>
      </c>
      <c r="CE81" s="562">
        <f t="shared" si="220"/>
        <v>-50</v>
      </c>
      <c r="CF81">
        <f t="shared" si="221"/>
        <v>-50</v>
      </c>
      <c r="CG81" s="173">
        <f t="shared" si="222"/>
        <v>0.46915416848069985</v>
      </c>
      <c r="CH81" s="173">
        <f t="shared" si="223"/>
        <v>0.15213977596365486</v>
      </c>
      <c r="CI81" s="170">
        <v>76</v>
      </c>
      <c r="CJ81" s="217">
        <f t="shared" si="308"/>
        <v>1.9</v>
      </c>
      <c r="CK81" s="217">
        <f t="shared" si="287"/>
        <v>0.19</v>
      </c>
      <c r="CL81" s="217">
        <f t="shared" si="224"/>
        <v>53.199999999999996</v>
      </c>
      <c r="CM81" s="217">
        <f t="shared" si="309"/>
        <v>5.7</v>
      </c>
      <c r="CN81" s="541">
        <f t="shared" si="288"/>
        <v>28</v>
      </c>
      <c r="CO81" s="443">
        <f t="shared" si="225"/>
        <v>28.7</v>
      </c>
      <c r="CP81" s="443">
        <f t="shared" si="226"/>
        <v>56.7</v>
      </c>
      <c r="CQ81" s="443"/>
      <c r="CR81" s="217">
        <f t="shared" si="227"/>
        <v>0.50354609929078009</v>
      </c>
      <c r="CS81" s="172">
        <f t="shared" si="289"/>
        <v>106.12369404407841</v>
      </c>
      <c r="CT81" s="172">
        <f t="shared" si="228"/>
        <v>12.588652482269502</v>
      </c>
      <c r="CU81" s="217">
        <f t="shared" si="229"/>
        <v>3.7901319301456575</v>
      </c>
      <c r="CV81" s="217">
        <f t="shared" si="230"/>
        <v>3.5374564681359471</v>
      </c>
      <c r="CW81" s="443">
        <f t="shared" si="231"/>
        <v>28</v>
      </c>
      <c r="CX81" s="217">
        <f t="shared" si="232"/>
        <v>8.3550301810865193</v>
      </c>
      <c r="CY81" s="217">
        <f t="shared" si="233"/>
        <v>1.4024514946823798</v>
      </c>
      <c r="CZ81" s="217">
        <f t="shared" si="234"/>
        <v>1.3682453606657365</v>
      </c>
      <c r="DA81" s="197">
        <f t="shared" si="235"/>
        <v>350</v>
      </c>
      <c r="DB81" s="443">
        <f t="shared" si="290"/>
        <v>350</v>
      </c>
      <c r="DD81" s="217">
        <f t="shared" si="236"/>
        <v>8.6157079064880477</v>
      </c>
      <c r="DE81" s="173">
        <f t="shared" si="237"/>
        <v>1.4109347442680775</v>
      </c>
      <c r="DF81" s="173">
        <f t="shared" si="238"/>
        <v>2.1273352855526046</v>
      </c>
      <c r="DG81" s="173"/>
      <c r="DH81" s="173">
        <f t="shared" si="239"/>
        <v>0.54587688734030204</v>
      </c>
      <c r="DI81" s="545">
        <f t="shared" si="240"/>
        <v>2088.382978723404</v>
      </c>
      <c r="DJ81" s="528">
        <f t="shared" si="241"/>
        <v>0.31842818428184283</v>
      </c>
      <c r="DL81" s="173">
        <f t="shared" si="242"/>
        <v>8.4623248725891003</v>
      </c>
      <c r="DM81" s="173">
        <f t="shared" si="243"/>
        <v>8.4623248725891003</v>
      </c>
      <c r="DN81" s="173">
        <f t="shared" si="244"/>
        <v>4.9992529920413089</v>
      </c>
      <c r="DP81" s="545">
        <f t="shared" si="245"/>
        <v>1900</v>
      </c>
      <c r="DQ81" s="460">
        <f t="shared" si="246"/>
        <v>350</v>
      </c>
      <c r="DS81">
        <f t="shared" si="291"/>
        <v>1900</v>
      </c>
      <c r="DT81">
        <f t="shared" si="247"/>
        <v>350</v>
      </c>
      <c r="DV81" s="5">
        <f t="shared" si="292"/>
        <v>2.8571428571428572</v>
      </c>
      <c r="DW81" s="5">
        <f t="shared" si="248"/>
        <v>1.4204616750417418</v>
      </c>
      <c r="DX81" s="5">
        <f t="shared" si="293"/>
        <v>1.4366811821011154</v>
      </c>
      <c r="DY81" s="173">
        <f t="shared" si="294"/>
        <v>0.4971615862646096</v>
      </c>
      <c r="EA81" s="5">
        <f t="shared" si="249"/>
        <v>9.6388470806403905</v>
      </c>
      <c r="EB81" s="5">
        <f t="shared" si="250"/>
        <v>0.89962572752643644</v>
      </c>
      <c r="EC81" s="5">
        <f t="shared" si="251"/>
        <v>1.9497816042800848</v>
      </c>
      <c r="ED81" s="5"/>
      <c r="EE81" s="173">
        <f t="shared" si="295"/>
        <v>3.4449097541413947</v>
      </c>
      <c r="EF81" s="173">
        <f t="shared" si="252"/>
        <v>3.464521737397749</v>
      </c>
      <c r="EG81" s="173">
        <f t="shared" si="253"/>
        <v>0.34929194565567473</v>
      </c>
      <c r="EH81" s="173"/>
      <c r="EI81" s="528">
        <f t="shared" si="254"/>
        <v>0.1424088385701423</v>
      </c>
      <c r="EJ81" s="528">
        <f t="shared" si="255"/>
        <v>3.1907619048340838</v>
      </c>
      <c r="EK81" s="528">
        <f t="shared" si="256"/>
        <v>4.0250000000000001E-2</v>
      </c>
      <c r="EL81" s="528">
        <f t="shared" si="257"/>
        <v>0.55416666375000012</v>
      </c>
      <c r="EM81">
        <f t="shared" si="258"/>
        <v>1.26E-2</v>
      </c>
      <c r="EN81" s="460">
        <f t="shared" si="296"/>
        <v>52.85</v>
      </c>
      <c r="EO81">
        <f t="shared" si="259"/>
        <v>4.1179749958205321</v>
      </c>
      <c r="EP81" s="460">
        <f t="shared" si="297"/>
        <v>4117.9749958205321</v>
      </c>
      <c r="EQ81" s="173">
        <f t="shared" si="260"/>
        <v>1.2741399999999998</v>
      </c>
      <c r="ER81" s="173">
        <f t="shared" si="261"/>
        <v>9.1009999999999994E-2</v>
      </c>
      <c r="ES81" s="528"/>
      <c r="EU81" s="460">
        <f t="shared" si="298"/>
        <v>1365.1499999999999</v>
      </c>
      <c r="EV81" s="528">
        <f t="shared" si="262"/>
        <v>0.16614364499849935</v>
      </c>
      <c r="EW81" s="528">
        <f t="shared" si="299"/>
        <v>0.16804075216462125</v>
      </c>
      <c r="EX81" s="528">
        <f t="shared" si="263"/>
        <v>6.1002431649963414E-4</v>
      </c>
      <c r="EY81" s="528">
        <f t="shared" si="264"/>
        <v>23.870655791662561</v>
      </c>
      <c r="EZ81" s="528">
        <f t="shared" si="265"/>
        <v>24.954162013071283</v>
      </c>
      <c r="FA81" s="625">
        <f t="shared" si="266"/>
        <v>2.5063829787234044</v>
      </c>
      <c r="FB81" s="460">
        <f t="shared" si="300"/>
        <v>27460.544991794686</v>
      </c>
      <c r="FC81" s="173">
        <f t="shared" si="301"/>
        <v>32.943669987615216</v>
      </c>
      <c r="FD81" s="5">
        <f t="shared" si="302"/>
        <v>58.9</v>
      </c>
      <c r="FE81" s="173">
        <f t="shared" si="303"/>
        <v>0.64130712555304514</v>
      </c>
      <c r="FF81" s="5">
        <f t="shared" si="304"/>
        <v>64.130712555304513</v>
      </c>
      <c r="FG81">
        <f t="shared" si="305"/>
        <v>76</v>
      </c>
      <c r="FI81" s="562">
        <f t="shared" si="267"/>
        <v>-50</v>
      </c>
      <c r="FJ81">
        <f t="shared" si="268"/>
        <v>-50</v>
      </c>
      <c r="FL81">
        <f t="shared" si="269"/>
        <v>0.46915416848069985</v>
      </c>
    </row>
    <row r="82" spans="5:168">
      <c r="E82" s="170">
        <v>77</v>
      </c>
      <c r="F82" s="217">
        <f t="shared" si="306"/>
        <v>1.925</v>
      </c>
      <c r="G82" s="217">
        <f t="shared" si="270"/>
        <v>0.1925</v>
      </c>
      <c r="H82" s="217">
        <f t="shared" si="175"/>
        <v>53.9</v>
      </c>
      <c r="I82" s="217">
        <f t="shared" si="307"/>
        <v>5.7750000000000004</v>
      </c>
      <c r="J82" s="541">
        <f t="shared" si="176"/>
        <v>27.859280778835501</v>
      </c>
      <c r="K82" s="443">
        <f t="shared" si="177"/>
        <v>28.757069573068428</v>
      </c>
      <c r="L82" s="172">
        <f t="shared" si="178"/>
        <v>56.616350351903932</v>
      </c>
      <c r="M82" s="443"/>
      <c r="N82" s="217">
        <f t="shared" si="179"/>
        <v>0.50792870600676865</v>
      </c>
      <c r="O82" s="172">
        <f t="shared" si="271"/>
        <v>106.50935382141087</v>
      </c>
      <c r="P82" s="172">
        <f t="shared" si="180"/>
        <v>12.634400389529604</v>
      </c>
      <c r="Q82" s="217">
        <f t="shared" si="181"/>
        <v>3.8039054936218166</v>
      </c>
      <c r="R82" s="217">
        <f t="shared" si="182"/>
        <v>3.5503117940470288</v>
      </c>
      <c r="S82" s="443">
        <f t="shared" si="183"/>
        <v>28</v>
      </c>
      <c r="T82" s="217">
        <f t="shared" si="184"/>
        <v>8.4343139931128501</v>
      </c>
      <c r="U82" s="217">
        <f t="shared" si="185"/>
        <v>1.4229109531695301</v>
      </c>
      <c r="V82" s="217">
        <f t="shared" si="186"/>
        <v>1.3784880155088974</v>
      </c>
      <c r="W82" s="197">
        <f t="shared" si="187"/>
        <v>350</v>
      </c>
      <c r="X82" s="443">
        <f t="shared" si="272"/>
        <v>333.17796482095775</v>
      </c>
      <c r="Z82" s="217">
        <f t="shared" si="188"/>
        <v>8.6021449460627117</v>
      </c>
      <c r="AA82" s="173">
        <f t="shared" si="189"/>
        <v>1.4059179828378037</v>
      </c>
      <c r="AB82" s="173">
        <f t="shared" si="190"/>
        <v>2.1164342973632064</v>
      </c>
      <c r="AC82" s="173"/>
      <c r="AD82" s="173">
        <f t="shared" si="191"/>
        <v>0.54479357247648119</v>
      </c>
      <c r="AE82" s="545">
        <f t="shared" si="192"/>
        <v>2120.0690653336619</v>
      </c>
      <c r="AF82" s="528">
        <f t="shared" si="193"/>
        <v>0.31779625061128064</v>
      </c>
      <c r="AH82" s="173">
        <f t="shared" si="194"/>
        <v>8.5178161220680089</v>
      </c>
      <c r="AI82" s="173">
        <f t="shared" si="195"/>
        <v>8.5178161220680089</v>
      </c>
      <c r="AJ82" s="173">
        <f t="shared" si="196"/>
        <v>5.0403576212849446</v>
      </c>
      <c r="AL82" s="545">
        <f t="shared" si="197"/>
        <v>1925</v>
      </c>
      <c r="AM82" s="460">
        <f t="shared" si="198"/>
        <v>333.17796482095775</v>
      </c>
      <c r="AO82">
        <f t="shared" si="273"/>
        <v>1925</v>
      </c>
      <c r="AP82">
        <f t="shared" si="199"/>
        <v>333.17796482095775</v>
      </c>
      <c r="AR82" s="5">
        <f t="shared" si="274"/>
        <v>3.0013989686784277</v>
      </c>
      <c r="AS82" s="5">
        <f t="shared" si="200"/>
        <v>1.4369981799434317</v>
      </c>
      <c r="AT82" s="5">
        <f t="shared" si="275"/>
        <v>1.564400788734996</v>
      </c>
      <c r="AU82" s="173">
        <f t="shared" si="276"/>
        <v>0.47877612904497296</v>
      </c>
      <c r="AW82" s="5">
        <f t="shared" si="201"/>
        <v>9.8793624871110932</v>
      </c>
      <c r="AX82" s="5">
        <f t="shared" si="202"/>
        <v>0.92207383213036875</v>
      </c>
      <c r="AY82" s="5">
        <f t="shared" si="203"/>
        <v>2.1619161974939858</v>
      </c>
      <c r="AZ82" s="5"/>
      <c r="BA82" s="173">
        <f t="shared" si="277"/>
        <v>3.4027800482906754</v>
      </c>
      <c r="BB82" s="173">
        <f t="shared" si="204"/>
        <v>3.5504204125815115</v>
      </c>
      <c r="BC82" s="173">
        <f t="shared" si="205"/>
        <v>0.35795222192420151</v>
      </c>
      <c r="BD82" s="173"/>
      <c r="BE82" s="528">
        <f t="shared" si="206"/>
        <v>0.13894694468454111</v>
      </c>
      <c r="BF82" s="528">
        <f t="shared" si="207"/>
        <v>2.9323058745925552</v>
      </c>
      <c r="BG82" s="528">
        <f t="shared" si="208"/>
        <v>3.8315465954410141E-2</v>
      </c>
      <c r="BH82" s="528">
        <f t="shared" si="209"/>
        <v>0.52597638521416257</v>
      </c>
      <c r="BI82">
        <f t="shared" si="210"/>
        <v>1.2536676350475975E-2</v>
      </c>
      <c r="BJ82" s="460">
        <f t="shared" si="278"/>
        <v>50.852142304886122</v>
      </c>
      <c r="BK82">
        <f t="shared" si="211"/>
        <v>3.7588383962640677</v>
      </c>
      <c r="BL82" s="460">
        <f t="shared" si="279"/>
        <v>3758.8383962640678</v>
      </c>
      <c r="BM82" s="173">
        <f t="shared" si="212"/>
        <v>1.290905</v>
      </c>
      <c r="BN82" s="173">
        <f t="shared" si="213"/>
        <v>9.2207499999999998E-2</v>
      </c>
      <c r="BO82" s="528"/>
      <c r="BQ82" s="460">
        <f t="shared" si="280"/>
        <v>1383.1125</v>
      </c>
      <c r="BR82" s="528">
        <f t="shared" si="214"/>
        <v>0.16210476879863128</v>
      </c>
      <c r="BS82" s="528">
        <f t="shared" si="215"/>
        <v>0.17647679148505657</v>
      </c>
      <c r="BT82" s="528">
        <f t="shared" si="216"/>
        <v>6.4064896590236402E-4</v>
      </c>
      <c r="BU82" s="528">
        <f t="shared" si="217"/>
        <v>21.452669063138732</v>
      </c>
      <c r="BV82" s="528">
        <f t="shared" si="218"/>
        <v>22.483455601052551</v>
      </c>
      <c r="BW82" s="625">
        <f t="shared" si="219"/>
        <v>2.4173124681690763</v>
      </c>
      <c r="BX82" s="460">
        <f t="shared" si="281"/>
        <v>24900.768069221627</v>
      </c>
      <c r="BY82" s="173">
        <f t="shared" si="282"/>
        <v>30.042718965485694</v>
      </c>
      <c r="BZ82" s="5">
        <f t="shared" si="283"/>
        <v>59.674999999999997</v>
      </c>
      <c r="CA82" s="173">
        <f t="shared" si="284"/>
        <v>0.66514174332672127</v>
      </c>
      <c r="CB82" s="5">
        <f t="shared" si="285"/>
        <v>66.514174332672127</v>
      </c>
      <c r="CC82">
        <f t="shared" si="286"/>
        <v>77</v>
      </c>
      <c r="CE82" s="562">
        <f t="shared" si="220"/>
        <v>-50</v>
      </c>
      <c r="CF82">
        <f t="shared" si="221"/>
        <v>-50</v>
      </c>
      <c r="CG82" s="173">
        <f t="shared" si="222"/>
        <v>0.47223062222115619</v>
      </c>
      <c r="CH82" s="173">
        <f t="shared" si="223"/>
        <v>0.15313742452841406</v>
      </c>
      <c r="CI82" s="170">
        <v>77</v>
      </c>
      <c r="CJ82" s="217">
        <f t="shared" si="308"/>
        <v>1.925</v>
      </c>
      <c r="CK82" s="217">
        <f t="shared" si="287"/>
        <v>0.1925</v>
      </c>
      <c r="CL82" s="217">
        <f t="shared" si="224"/>
        <v>53.9</v>
      </c>
      <c r="CM82" s="217">
        <f t="shared" si="309"/>
        <v>5.7750000000000004</v>
      </c>
      <c r="CN82" s="541">
        <f t="shared" si="288"/>
        <v>28</v>
      </c>
      <c r="CO82" s="443">
        <f t="shared" si="225"/>
        <v>28.7</v>
      </c>
      <c r="CP82" s="443">
        <f t="shared" si="226"/>
        <v>56.7</v>
      </c>
      <c r="CQ82" s="443"/>
      <c r="CR82" s="217">
        <f t="shared" si="227"/>
        <v>0.50354609929078009</v>
      </c>
      <c r="CS82" s="172">
        <f t="shared" si="289"/>
        <v>106.12369404407841</v>
      </c>
      <c r="CT82" s="172">
        <f t="shared" si="228"/>
        <v>12.588652482269502</v>
      </c>
      <c r="CU82" s="217">
        <f t="shared" si="229"/>
        <v>3.7901319301456575</v>
      </c>
      <c r="CV82" s="217">
        <f t="shared" si="230"/>
        <v>3.5374564681359471</v>
      </c>
      <c r="CW82" s="443">
        <f t="shared" si="231"/>
        <v>28</v>
      </c>
      <c r="CX82" s="217">
        <f t="shared" si="232"/>
        <v>8.4649647887323951</v>
      </c>
      <c r="CY82" s="217">
        <f t="shared" si="233"/>
        <v>1.4209048038229377</v>
      </c>
      <c r="CZ82" s="217">
        <f t="shared" si="234"/>
        <v>1.3862485890955492</v>
      </c>
      <c r="DA82" s="197">
        <f t="shared" si="235"/>
        <v>350</v>
      </c>
      <c r="DB82" s="443">
        <f t="shared" si="290"/>
        <v>350</v>
      </c>
      <c r="DD82" s="217">
        <f t="shared" si="236"/>
        <v>8.6157079064880477</v>
      </c>
      <c r="DE82" s="173">
        <f t="shared" si="237"/>
        <v>1.4109347442680775</v>
      </c>
      <c r="DF82" s="173">
        <f t="shared" si="238"/>
        <v>2.1273352855526046</v>
      </c>
      <c r="DG82" s="173"/>
      <c r="DH82" s="173">
        <f t="shared" si="239"/>
        <v>0.54587688734030204</v>
      </c>
      <c r="DI82" s="545">
        <f t="shared" si="240"/>
        <v>2115.8617021276596</v>
      </c>
      <c r="DJ82" s="528">
        <f t="shared" si="241"/>
        <v>0.31842818428184283</v>
      </c>
      <c r="DL82" s="173">
        <f t="shared" si="242"/>
        <v>8.5178161220680089</v>
      </c>
      <c r="DM82" s="173">
        <f t="shared" si="243"/>
        <v>8.5178161220680089</v>
      </c>
      <c r="DN82" s="173">
        <f t="shared" si="244"/>
        <v>5.0403576212849446</v>
      </c>
      <c r="DP82" s="545">
        <f t="shared" si="245"/>
        <v>1925</v>
      </c>
      <c r="DQ82" s="460">
        <f t="shared" si="246"/>
        <v>350</v>
      </c>
      <c r="DS82">
        <f t="shared" si="291"/>
        <v>1925</v>
      </c>
      <c r="DT82">
        <f t="shared" si="247"/>
        <v>350</v>
      </c>
      <c r="DV82" s="5">
        <f t="shared" si="292"/>
        <v>2.8571428571428572</v>
      </c>
      <c r="DW82" s="5">
        <f t="shared" si="248"/>
        <v>1.4297762776328444</v>
      </c>
      <c r="DX82" s="5">
        <f t="shared" si="293"/>
        <v>1.4273665795100128</v>
      </c>
      <c r="DY82" s="173">
        <f t="shared" si="294"/>
        <v>0.50042169717149554</v>
      </c>
      <c r="EA82" s="5">
        <f t="shared" si="249"/>
        <v>9.8297119087258054</v>
      </c>
      <c r="EB82" s="5">
        <f t="shared" si="250"/>
        <v>0.91743977814774191</v>
      </c>
      <c r="EC82" s="5">
        <f t="shared" si="251"/>
        <v>1.9626290468262673</v>
      </c>
      <c r="ED82" s="5"/>
      <c r="EE82" s="173">
        <f t="shared" si="295"/>
        <v>3.4788499642034432</v>
      </c>
      <c r="EF82" s="173">
        <f t="shared" si="252"/>
        <v>3.4759171580580381</v>
      </c>
      <c r="EG82" s="173">
        <f t="shared" si="253"/>
        <v>0.35044082823044154</v>
      </c>
      <c r="EH82" s="173"/>
      <c r="EI82" s="528">
        <f t="shared" si="254"/>
        <v>0.14522876488125958</v>
      </c>
      <c r="EJ82" s="528">
        <f t="shared" si="255"/>
        <v>3.211685157906353</v>
      </c>
      <c r="EK82" s="528">
        <f t="shared" si="256"/>
        <v>4.0250000000000001E-2</v>
      </c>
      <c r="EL82" s="528">
        <f t="shared" si="257"/>
        <v>0.55416666375000012</v>
      </c>
      <c r="EM82">
        <f t="shared" si="258"/>
        <v>1.26E-2</v>
      </c>
      <c r="EN82" s="460">
        <f t="shared" si="296"/>
        <v>52.85</v>
      </c>
      <c r="EO82">
        <f t="shared" si="259"/>
        <v>4.1462130505590515</v>
      </c>
      <c r="EP82" s="460">
        <f t="shared" si="297"/>
        <v>4146.2130505590512</v>
      </c>
      <c r="EQ82" s="173">
        <f t="shared" si="260"/>
        <v>1.290905</v>
      </c>
      <c r="ER82" s="173">
        <f t="shared" si="261"/>
        <v>9.2207499999999998E-2</v>
      </c>
      <c r="ES82" s="528"/>
      <c r="EU82" s="460">
        <f t="shared" si="298"/>
        <v>1383.1125</v>
      </c>
      <c r="EV82" s="528">
        <f t="shared" si="262"/>
        <v>0.16943355902813617</v>
      </c>
      <c r="EW82" s="528">
        <f t="shared" si="299"/>
        <v>0.16914800125555174</v>
      </c>
      <c r="EX82" s="528">
        <f t="shared" si="263"/>
        <v>6.1404387045418919E-4</v>
      </c>
      <c r="EY82" s="528">
        <f t="shared" si="264"/>
        <v>24.263908889178154</v>
      </c>
      <c r="EZ82" s="528">
        <f t="shared" si="265"/>
        <v>25.373024919677132</v>
      </c>
      <c r="FA82" s="625">
        <f t="shared" si="266"/>
        <v>2.5393617021276595</v>
      </c>
      <c r="FB82" s="460">
        <f t="shared" si="300"/>
        <v>27912.386621804792</v>
      </c>
      <c r="FC82" s="173">
        <f t="shared" si="301"/>
        <v>33.441712172363843</v>
      </c>
      <c r="FD82" s="5">
        <f t="shared" si="302"/>
        <v>59.674999999999997</v>
      </c>
      <c r="FE82" s="173">
        <f t="shared" si="303"/>
        <v>0.64086240383507631</v>
      </c>
      <c r="FF82" s="5">
        <f t="shared" si="304"/>
        <v>64.086240383507629</v>
      </c>
      <c r="FG82">
        <f t="shared" si="305"/>
        <v>77</v>
      </c>
      <c r="FI82" s="562">
        <f t="shared" si="267"/>
        <v>-50</v>
      </c>
      <c r="FJ82">
        <f t="shared" si="268"/>
        <v>-50</v>
      </c>
      <c r="FL82">
        <f t="shared" si="269"/>
        <v>0.47223062222115619</v>
      </c>
    </row>
    <row r="83" spans="5:168">
      <c r="E83" s="170">
        <v>78</v>
      </c>
      <c r="F83" s="217">
        <f t="shared" si="306"/>
        <v>1.9500000000000002</v>
      </c>
      <c r="G83" s="217">
        <f t="shared" si="270"/>
        <v>0.19500000000000001</v>
      </c>
      <c r="H83" s="217">
        <f t="shared" si="175"/>
        <v>54.600000000000009</v>
      </c>
      <c r="I83" s="217">
        <f t="shared" si="307"/>
        <v>5.8500000000000005</v>
      </c>
      <c r="J83" s="541">
        <f t="shared" si="176"/>
        <v>27.85836996530648</v>
      </c>
      <c r="K83" s="443">
        <f t="shared" si="177"/>
        <v>28.757438959274634</v>
      </c>
      <c r="L83" s="172">
        <f t="shared" si="178"/>
        <v>56.615808924581117</v>
      </c>
      <c r="M83" s="443"/>
      <c r="N83" s="217">
        <f t="shared" si="179"/>
        <v>0.50794008785749056</v>
      </c>
      <c r="O83" s="172">
        <f t="shared" si="271"/>
        <v>106.50825829484918</v>
      </c>
      <c r="P83" s="172">
        <f t="shared" si="180"/>
        <v>12.634270435485938</v>
      </c>
      <c r="Q83" s="217">
        <f t="shared" si="181"/>
        <v>3.803866367673185</v>
      </c>
      <c r="R83" s="217">
        <f t="shared" si="182"/>
        <v>3.5502752764949728</v>
      </c>
      <c r="S83" s="443">
        <f t="shared" si="183"/>
        <v>28</v>
      </c>
      <c r="T83" s="217">
        <f t="shared" si="184"/>
        <v>8.5439384191301553</v>
      </c>
      <c r="U83" s="217">
        <f t="shared" si="185"/>
        <v>1.4414522680228878</v>
      </c>
      <c r="V83" s="217">
        <f t="shared" si="186"/>
        <v>1.3963868836435713</v>
      </c>
      <c r="W83" s="197">
        <f t="shared" si="187"/>
        <v>350</v>
      </c>
      <c r="X83" s="443">
        <f t="shared" si="272"/>
        <v>329.18135229491418</v>
      </c>
      <c r="Z83" s="217">
        <f t="shared" si="188"/>
        <v>8.6020564667138313</v>
      </c>
      <c r="AA83" s="173">
        <f t="shared" si="189"/>
        <v>1.4058854632643125</v>
      </c>
      <c r="AB83" s="173">
        <f t="shared" si="190"/>
        <v>2.116363574628056</v>
      </c>
      <c r="AC83" s="173"/>
      <c r="AD83" s="173">
        <f t="shared" si="191"/>
        <v>0.54478657466171798</v>
      </c>
      <c r="AE83" s="545">
        <f t="shared" si="192"/>
        <v>2147.6300158947656</v>
      </c>
      <c r="AF83" s="528">
        <f t="shared" si="193"/>
        <v>0.31779216855266879</v>
      </c>
      <c r="AH83" s="173">
        <f t="shared" si="194"/>
        <v>8.5729481935611442</v>
      </c>
      <c r="AI83" s="173">
        <f t="shared" si="195"/>
        <v>8.5729481935611442</v>
      </c>
      <c r="AJ83" s="173">
        <f t="shared" si="196"/>
        <v>5.0811961927613414</v>
      </c>
      <c r="AL83" s="545">
        <f t="shared" si="197"/>
        <v>1950.0000000000002</v>
      </c>
      <c r="AM83" s="460">
        <f t="shared" si="198"/>
        <v>329.18135229491418</v>
      </c>
      <c r="AO83">
        <f t="shared" si="273"/>
        <v>1950.0000000000002</v>
      </c>
      <c r="AP83">
        <f t="shared" si="199"/>
        <v>329.18135229491418</v>
      </c>
      <c r="AR83" s="5">
        <f t="shared" si="274"/>
        <v>3.0378391516664593</v>
      </c>
      <c r="AS83" s="5">
        <f t="shared" si="200"/>
        <v>1.4463465220655849</v>
      </c>
      <c r="AT83" s="5">
        <f t="shared" si="275"/>
        <v>1.5914926296008745</v>
      </c>
      <c r="AU83" s="173">
        <f t="shared" si="276"/>
        <v>0.47611030402059518</v>
      </c>
      <c r="AW83" s="5">
        <f t="shared" si="201"/>
        <v>10.072770421528181</v>
      </c>
      <c r="AX83" s="5">
        <f t="shared" si="202"/>
        <v>0.94012523934263015</v>
      </c>
      <c r="AY83" s="5">
        <f t="shared" si="203"/>
        <v>2.2279915383323208</v>
      </c>
      <c r="AZ83" s="5"/>
      <c r="BA83" s="173">
        <f t="shared" si="277"/>
        <v>3.4152567804799063</v>
      </c>
      <c r="BB83" s="173">
        <f t="shared" si="204"/>
        <v>3.5825272317942152</v>
      </c>
      <c r="BC83" s="173">
        <f t="shared" si="205"/>
        <v>0.36118922091040034</v>
      </c>
      <c r="BD83" s="173"/>
      <c r="BE83" s="528">
        <f t="shared" si="206"/>
        <v>0.13996774651936769</v>
      </c>
      <c r="BF83" s="528">
        <f t="shared" si="207"/>
        <v>2.9158555803056339</v>
      </c>
      <c r="BG83" s="528">
        <f t="shared" si="208"/>
        <v>3.7855855513915133E-2</v>
      </c>
      <c r="BH83" s="528">
        <f t="shared" si="209"/>
        <v>0.51965713378042633</v>
      </c>
      <c r="BI83">
        <f t="shared" si="210"/>
        <v>1.2536266484387916E-2</v>
      </c>
      <c r="BJ83" s="460">
        <f t="shared" si="278"/>
        <v>50.392121998303047</v>
      </c>
      <c r="BK83">
        <f t="shared" si="211"/>
        <v>3.7375696255996265</v>
      </c>
      <c r="BL83" s="460">
        <f t="shared" si="279"/>
        <v>3737.5696255996263</v>
      </c>
      <c r="BM83" s="173">
        <f t="shared" si="212"/>
        <v>1.3076699999999999</v>
      </c>
      <c r="BN83" s="173">
        <f t="shared" si="213"/>
        <v>9.3405000000000002E-2</v>
      </c>
      <c r="BO83" s="528"/>
      <c r="BQ83" s="460">
        <f t="shared" si="280"/>
        <v>1401.0749999999998</v>
      </c>
      <c r="BR83" s="528">
        <f t="shared" si="214"/>
        <v>0.16329570427259565</v>
      </c>
      <c r="BS83" s="528">
        <f t="shared" si="215"/>
        <v>0.17968301913165971</v>
      </c>
      <c r="BT83" s="528">
        <f t="shared" si="216"/>
        <v>6.5228826650930995E-4</v>
      </c>
      <c r="BU83" s="528">
        <f t="shared" si="217"/>
        <v>21.153564793231713</v>
      </c>
      <c r="BV83" s="528">
        <f t="shared" si="218"/>
        <v>22.189672002821212</v>
      </c>
      <c r="BW83" s="625">
        <f t="shared" si="219"/>
        <v>2.4193328566842025</v>
      </c>
      <c r="BX83" s="460">
        <f t="shared" si="281"/>
        <v>24609.004859505414</v>
      </c>
      <c r="BY83" s="173">
        <f t="shared" si="282"/>
        <v>29.74764948510504</v>
      </c>
      <c r="BZ83" s="5">
        <f t="shared" si="283"/>
        <v>60.45000000000001</v>
      </c>
      <c r="CA83" s="173">
        <f t="shared" si="284"/>
        <v>0.67019484814826058</v>
      </c>
      <c r="CB83" s="5">
        <f t="shared" si="285"/>
        <v>67.019484814826058</v>
      </c>
      <c r="CC83">
        <f t="shared" si="286"/>
        <v>78</v>
      </c>
      <c r="CE83" s="562">
        <f t="shared" si="220"/>
        <v>-50</v>
      </c>
      <c r="CF83">
        <f t="shared" si="221"/>
        <v>-50</v>
      </c>
      <c r="CG83" s="173">
        <f t="shared" si="222"/>
        <v>0.47528716301194557</v>
      </c>
      <c r="CH83" s="173">
        <f t="shared" si="223"/>
        <v>0.15412861561734842</v>
      </c>
      <c r="CI83" s="170">
        <v>78</v>
      </c>
      <c r="CJ83" s="217">
        <f t="shared" si="308"/>
        <v>1.9500000000000002</v>
      </c>
      <c r="CK83" s="217">
        <f t="shared" si="287"/>
        <v>0.19500000000000001</v>
      </c>
      <c r="CL83" s="217">
        <f t="shared" si="224"/>
        <v>54.600000000000009</v>
      </c>
      <c r="CM83" s="217">
        <f t="shared" si="309"/>
        <v>5.8500000000000005</v>
      </c>
      <c r="CN83" s="541">
        <f t="shared" si="288"/>
        <v>28</v>
      </c>
      <c r="CO83" s="443">
        <f t="shared" si="225"/>
        <v>28.7</v>
      </c>
      <c r="CP83" s="443">
        <f t="shared" si="226"/>
        <v>56.7</v>
      </c>
      <c r="CQ83" s="443"/>
      <c r="CR83" s="217">
        <f t="shared" si="227"/>
        <v>0.50354609929078009</v>
      </c>
      <c r="CS83" s="172">
        <f t="shared" si="289"/>
        <v>106.12369404407841</v>
      </c>
      <c r="CT83" s="172">
        <f t="shared" si="228"/>
        <v>12.588652482269502</v>
      </c>
      <c r="CU83" s="217">
        <f t="shared" si="229"/>
        <v>3.7901319301456575</v>
      </c>
      <c r="CV83" s="217">
        <f t="shared" si="230"/>
        <v>3.5374564681359471</v>
      </c>
      <c r="CW83" s="443">
        <f t="shared" si="231"/>
        <v>28</v>
      </c>
      <c r="CX83" s="217">
        <f t="shared" si="232"/>
        <v>8.5748993963782727</v>
      </c>
      <c r="CY83" s="217">
        <f t="shared" si="233"/>
        <v>1.4393581129634958</v>
      </c>
      <c r="CZ83" s="217">
        <f t="shared" si="234"/>
        <v>1.404251817525362</v>
      </c>
      <c r="DA83" s="197">
        <f t="shared" si="235"/>
        <v>350</v>
      </c>
      <c r="DB83" s="443">
        <f t="shared" si="290"/>
        <v>350</v>
      </c>
      <c r="DD83" s="217">
        <f t="shared" si="236"/>
        <v>8.6157079064880477</v>
      </c>
      <c r="DE83" s="173">
        <f t="shared" si="237"/>
        <v>1.4109347442680775</v>
      </c>
      <c r="DF83" s="173">
        <f t="shared" si="238"/>
        <v>2.1273352855526046</v>
      </c>
      <c r="DG83" s="173"/>
      <c r="DH83" s="173">
        <f t="shared" si="239"/>
        <v>0.54587688734030204</v>
      </c>
      <c r="DI83" s="545">
        <f t="shared" si="240"/>
        <v>2143.3404255319151</v>
      </c>
      <c r="DJ83" s="528">
        <f t="shared" si="241"/>
        <v>0.31842818428184283</v>
      </c>
      <c r="DL83" s="173">
        <f t="shared" si="242"/>
        <v>8.5729481935611442</v>
      </c>
      <c r="DM83" s="173">
        <f t="shared" si="243"/>
        <v>8.5729481935611442</v>
      </c>
      <c r="DN83" s="173">
        <f t="shared" si="244"/>
        <v>5.0811961927613414</v>
      </c>
      <c r="DP83" s="545">
        <f t="shared" si="245"/>
        <v>1950.0000000000002</v>
      </c>
      <c r="DQ83" s="460">
        <f t="shared" si="246"/>
        <v>350</v>
      </c>
      <c r="DS83">
        <f t="shared" si="291"/>
        <v>1950.0000000000002</v>
      </c>
      <c r="DT83">
        <f t="shared" si="247"/>
        <v>350</v>
      </c>
      <c r="DV83" s="5">
        <f t="shared" si="292"/>
        <v>2.8571428571428572</v>
      </c>
      <c r="DW83" s="5">
        <f t="shared" si="248"/>
        <v>1.4390305896334776</v>
      </c>
      <c r="DX83" s="5">
        <f t="shared" si="293"/>
        <v>1.4181122675093796</v>
      </c>
      <c r="DY83" s="173">
        <f t="shared" si="294"/>
        <v>0.50366070637171712</v>
      </c>
      <c r="EA83" s="5">
        <f t="shared" si="249"/>
        <v>10.021820177804578</v>
      </c>
      <c r="EB83" s="5">
        <f t="shared" si="250"/>
        <v>0.93536988326176052</v>
      </c>
      <c r="EC83" s="5">
        <f t="shared" si="251"/>
        <v>1.9752278011737789</v>
      </c>
      <c r="ED83" s="5"/>
      <c r="EE83" s="173">
        <f t="shared" si="295"/>
        <v>3.5126801539998018</v>
      </c>
      <c r="EF83" s="173">
        <f t="shared" si="252"/>
        <v>3.4870558324834748</v>
      </c>
      <c r="EG83" s="173">
        <f t="shared" si="253"/>
        <v>0.35156382573398964</v>
      </c>
      <c r="EH83" s="173"/>
      <c r="EI83" s="528">
        <f t="shared" si="254"/>
        <v>0.14806706237164885</v>
      </c>
      <c r="EJ83" s="528">
        <f t="shared" si="255"/>
        <v>3.2324729811231978</v>
      </c>
      <c r="EK83" s="528">
        <f t="shared" si="256"/>
        <v>4.0250000000000001E-2</v>
      </c>
      <c r="EL83" s="528">
        <f t="shared" si="257"/>
        <v>0.55416666375000012</v>
      </c>
      <c r="EM83">
        <f t="shared" si="258"/>
        <v>1.26E-2</v>
      </c>
      <c r="EN83" s="460">
        <f t="shared" si="296"/>
        <v>52.85</v>
      </c>
      <c r="EO83">
        <f t="shared" si="259"/>
        <v>4.1743930247829528</v>
      </c>
      <c r="EP83" s="460">
        <f t="shared" si="297"/>
        <v>4174.393024782953</v>
      </c>
      <c r="EQ83" s="173">
        <f t="shared" si="260"/>
        <v>1.3076699999999999</v>
      </c>
      <c r="ER83" s="173">
        <f t="shared" si="261"/>
        <v>9.3405000000000002E-2</v>
      </c>
      <c r="ES83" s="528"/>
      <c r="EU83" s="460">
        <f t="shared" si="298"/>
        <v>1401.0749999999998</v>
      </c>
      <c r="EV83" s="528">
        <f t="shared" si="262"/>
        <v>0.172744906100257</v>
      </c>
      <c r="EW83" s="528">
        <f t="shared" si="299"/>
        <v>0.17023381730399828</v>
      </c>
      <c r="EX83" s="528">
        <f t="shared" si="263"/>
        <v>6.1798561782359517E-4</v>
      </c>
      <c r="EY83" s="528">
        <f t="shared" si="264"/>
        <v>24.658440888939264</v>
      </c>
      <c r="EZ83" s="528">
        <f t="shared" si="265"/>
        <v>25.793505907647376</v>
      </c>
      <c r="FA83" s="625">
        <f t="shared" si="266"/>
        <v>2.5723404255319156</v>
      </c>
      <c r="FB83" s="460">
        <f t="shared" si="300"/>
        <v>28365.846333179292</v>
      </c>
      <c r="FC83" s="173">
        <f t="shared" si="301"/>
        <v>33.941314357962241</v>
      </c>
      <c r="FD83" s="5">
        <f t="shared" si="302"/>
        <v>60.45000000000001</v>
      </c>
      <c r="FE83" s="173">
        <f t="shared" si="303"/>
        <v>0.64041909376062034</v>
      </c>
      <c r="FF83" s="5">
        <f t="shared" si="304"/>
        <v>64.041909376062037</v>
      </c>
      <c r="FG83">
        <f t="shared" si="305"/>
        <v>78</v>
      </c>
      <c r="FI83" s="562">
        <f t="shared" si="267"/>
        <v>-50</v>
      </c>
      <c r="FJ83">
        <f t="shared" si="268"/>
        <v>-50</v>
      </c>
      <c r="FL83">
        <f t="shared" si="269"/>
        <v>0.47528716301194557</v>
      </c>
    </row>
    <row r="84" spans="5:168">
      <c r="E84" s="170">
        <v>79</v>
      </c>
      <c r="F84" s="217">
        <f t="shared" si="306"/>
        <v>1.9750000000000001</v>
      </c>
      <c r="G84" s="217">
        <f t="shared" si="270"/>
        <v>0.19750000000000001</v>
      </c>
      <c r="H84" s="217">
        <f t="shared" si="175"/>
        <v>55.300000000000004</v>
      </c>
      <c r="I84" s="217">
        <f t="shared" si="307"/>
        <v>5.9250000000000007</v>
      </c>
      <c r="J84" s="541">
        <f t="shared" si="176"/>
        <v>27.856894316127345</v>
      </c>
      <c r="K84" s="443">
        <f t="shared" si="177"/>
        <v>28.758037418162871</v>
      </c>
      <c r="L84" s="172">
        <f t="shared" si="178"/>
        <v>56.614931734290217</v>
      </c>
      <c r="M84" s="443"/>
      <c r="N84" s="217">
        <f t="shared" si="179"/>
        <v>0.50795852855802104</v>
      </c>
      <c r="O84" s="172">
        <f t="shared" si="271"/>
        <v>106.50648314958542</v>
      </c>
      <c r="P84" s="172">
        <f t="shared" si="180"/>
        <v>12.634059863407453</v>
      </c>
      <c r="Q84" s="217">
        <f t="shared" si="181"/>
        <v>3.8038029696280509</v>
      </c>
      <c r="R84" s="217">
        <f t="shared" si="182"/>
        <v>3.5502161049861809</v>
      </c>
      <c r="S84" s="443">
        <f t="shared" si="183"/>
        <v>28</v>
      </c>
      <c r="T84" s="217">
        <f t="shared" si="184"/>
        <v>8.653620318795161</v>
      </c>
      <c r="U84" s="217">
        <f t="shared" si="185"/>
        <v>1.4600340955736324</v>
      </c>
      <c r="V84" s="217">
        <f t="shared" si="186"/>
        <v>1.4142834195163057</v>
      </c>
      <c r="W84" s="197">
        <f t="shared" si="187"/>
        <v>350</v>
      </c>
      <c r="X84" s="443">
        <f t="shared" si="272"/>
        <v>325.27544571815162</v>
      </c>
      <c r="Z84" s="217">
        <f t="shared" si="188"/>
        <v>8.601913098490181</v>
      </c>
      <c r="AA84" s="173">
        <f t="shared" si="189"/>
        <v>1.4058327755485112</v>
      </c>
      <c r="AB84" s="173">
        <f t="shared" si="190"/>
        <v>2.1162489890985703</v>
      </c>
      <c r="AC84" s="173"/>
      <c r="AD84" s="173">
        <f t="shared" si="191"/>
        <v>0.54477523757486956</v>
      </c>
      <c r="AE84" s="545">
        <f t="shared" si="192"/>
        <v>2175.2090004589154</v>
      </c>
      <c r="AF84" s="528">
        <f t="shared" si="193"/>
        <v>0.31778555525200725</v>
      </c>
      <c r="AH84" s="173">
        <f t="shared" si="194"/>
        <v>8.6277279726243616</v>
      </c>
      <c r="AI84" s="173">
        <f t="shared" si="195"/>
        <v>8.6277279726243616</v>
      </c>
      <c r="AJ84" s="173">
        <f t="shared" si="196"/>
        <v>5.1217738068822429</v>
      </c>
      <c r="AL84" s="545">
        <f t="shared" si="197"/>
        <v>1975</v>
      </c>
      <c r="AM84" s="460">
        <f t="shared" si="198"/>
        <v>325.27544571815162</v>
      </c>
      <c r="AO84">
        <f t="shared" si="273"/>
        <v>1975</v>
      </c>
      <c r="AP84">
        <f t="shared" si="199"/>
        <v>325.27544571815162</v>
      </c>
      <c r="AR84" s="5">
        <f t="shared" si="274"/>
        <v>3.074317515089938</v>
      </c>
      <c r="AS84" s="5">
        <f t="shared" si="200"/>
        <v>1.4556655530641289</v>
      </c>
      <c r="AT84" s="5">
        <f t="shared" si="275"/>
        <v>1.6186519620258091</v>
      </c>
      <c r="AU84" s="173">
        <f t="shared" si="276"/>
        <v>0.47349226158949426</v>
      </c>
      <c r="AW84" s="5">
        <f t="shared" si="201"/>
        <v>10.267640954648765</v>
      </c>
      <c r="AX84" s="5">
        <f t="shared" si="202"/>
        <v>0.95831315576721832</v>
      </c>
      <c r="AY84" s="5">
        <f t="shared" si="203"/>
        <v>2.295185951974704</v>
      </c>
      <c r="AZ84" s="5"/>
      <c r="BA84" s="173">
        <f t="shared" si="277"/>
        <v>3.4276167702552853</v>
      </c>
      <c r="BB84" s="173">
        <f t="shared" si="204"/>
        <v>3.6144164950191269</v>
      </c>
      <c r="BC84" s="173">
        <f t="shared" si="205"/>
        <v>0.36440428597323982</v>
      </c>
      <c r="BD84" s="173"/>
      <c r="BE84" s="528">
        <f t="shared" si="206"/>
        <v>0.14098268068482328</v>
      </c>
      <c r="BF84" s="528">
        <f t="shared" si="207"/>
        <v>2.8996233008632584</v>
      </c>
      <c r="BG84" s="528">
        <f t="shared" si="208"/>
        <v>3.7406676257587437E-2</v>
      </c>
      <c r="BH84" s="528">
        <f t="shared" si="209"/>
        <v>0.51347522211881946</v>
      </c>
      <c r="BI84">
        <f t="shared" si="210"/>
        <v>1.2535602442257305E-2</v>
      </c>
      <c r="BJ84" s="460">
        <f t="shared" si="278"/>
        <v>49.942278699844742</v>
      </c>
      <c r="BK84">
        <f t="shared" si="211"/>
        <v>3.7166447799613769</v>
      </c>
      <c r="BL84" s="460">
        <f t="shared" si="279"/>
        <v>3716.644779961377</v>
      </c>
      <c r="BM84" s="173">
        <f t="shared" si="212"/>
        <v>1.324435</v>
      </c>
      <c r="BN84" s="173">
        <f t="shared" si="213"/>
        <v>9.4602500000000006E-2</v>
      </c>
      <c r="BO84" s="528"/>
      <c r="BQ84" s="460">
        <f t="shared" si="280"/>
        <v>1419.0374999999999</v>
      </c>
      <c r="BR84" s="528">
        <f t="shared" si="214"/>
        <v>0.16447979413229383</v>
      </c>
      <c r="BS84" s="528">
        <f t="shared" si="215"/>
        <v>0.18289609239252891</v>
      </c>
      <c r="BT84" s="528">
        <f t="shared" si="216"/>
        <v>6.6395241817833375E-4</v>
      </c>
      <c r="BU84" s="528">
        <f t="shared" si="217"/>
        <v>20.861201352796364</v>
      </c>
      <c r="BV84" s="528">
        <f t="shared" si="218"/>
        <v>21.902609199339249</v>
      </c>
      <c r="BW84" s="625">
        <f t="shared" si="219"/>
        <v>2.421275278309281</v>
      </c>
      <c r="BX84" s="460">
        <f t="shared" si="281"/>
        <v>24323.884477648531</v>
      </c>
      <c r="BY84" s="173">
        <f t="shared" si="282"/>
        <v>29.459566757609906</v>
      </c>
      <c r="BZ84" s="5">
        <f t="shared" si="283"/>
        <v>61.225000000000009</v>
      </c>
      <c r="CA84" s="173">
        <f t="shared" si="284"/>
        <v>0.67514244362712617</v>
      </c>
      <c r="CB84" s="5">
        <f t="shared" si="285"/>
        <v>67.514244362712617</v>
      </c>
      <c r="CC84">
        <f t="shared" si="286"/>
        <v>79</v>
      </c>
      <c r="CE84" s="562">
        <f t="shared" si="220"/>
        <v>-50</v>
      </c>
      <c r="CF84">
        <f t="shared" si="221"/>
        <v>-50</v>
      </c>
      <c r="CG84" s="173">
        <f t="shared" si="222"/>
        <v>0.47641678205609539</v>
      </c>
      <c r="CH84" s="173">
        <f t="shared" si="223"/>
        <v>0.15449493440943712</v>
      </c>
      <c r="CI84" s="170">
        <v>79</v>
      </c>
      <c r="CJ84" s="217">
        <f t="shared" si="308"/>
        <v>1.9750000000000001</v>
      </c>
      <c r="CK84" s="217">
        <f t="shared" si="287"/>
        <v>0.19750000000000001</v>
      </c>
      <c r="CL84" s="217">
        <f t="shared" si="224"/>
        <v>55.300000000000004</v>
      </c>
      <c r="CM84" s="217">
        <f t="shared" si="309"/>
        <v>5.9250000000000007</v>
      </c>
      <c r="CN84" s="541">
        <f t="shared" si="288"/>
        <v>28</v>
      </c>
      <c r="CO84" s="443">
        <f t="shared" si="225"/>
        <v>28.7</v>
      </c>
      <c r="CP84" s="443">
        <f t="shared" si="226"/>
        <v>56.7</v>
      </c>
      <c r="CQ84" s="443"/>
      <c r="CR84" s="217">
        <f t="shared" si="227"/>
        <v>0.50354609929078009</v>
      </c>
      <c r="CS84" s="172">
        <f t="shared" si="289"/>
        <v>106.12369404407841</v>
      </c>
      <c r="CT84" s="172">
        <f t="shared" si="228"/>
        <v>12.588652482269502</v>
      </c>
      <c r="CU84" s="217">
        <f t="shared" si="229"/>
        <v>3.7901319301456575</v>
      </c>
      <c r="CV84" s="217">
        <f t="shared" si="230"/>
        <v>3.5374564681359471</v>
      </c>
      <c r="CW84" s="443">
        <f t="shared" si="231"/>
        <v>28</v>
      </c>
      <c r="CX84" s="217">
        <f t="shared" si="232"/>
        <v>8.6848340040241467</v>
      </c>
      <c r="CY84" s="217">
        <f t="shared" si="233"/>
        <v>1.457811422104053</v>
      </c>
      <c r="CZ84" s="217">
        <f t="shared" si="234"/>
        <v>1.4222550459551739</v>
      </c>
      <c r="DA84" s="197">
        <f t="shared" si="235"/>
        <v>350</v>
      </c>
      <c r="DB84" s="443">
        <f t="shared" si="290"/>
        <v>347.21420880048782</v>
      </c>
      <c r="DD84" s="217">
        <f t="shared" si="236"/>
        <v>8.6157079064880477</v>
      </c>
      <c r="DE84" s="173">
        <f t="shared" si="237"/>
        <v>1.4109347442680775</v>
      </c>
      <c r="DF84" s="173">
        <f t="shared" si="238"/>
        <v>2.1273352855526046</v>
      </c>
      <c r="DG84" s="173"/>
      <c r="DH84" s="173">
        <f t="shared" si="239"/>
        <v>0.54587688734030204</v>
      </c>
      <c r="DI84" s="545">
        <f t="shared" si="240"/>
        <v>2170.8191489361702</v>
      </c>
      <c r="DJ84" s="528">
        <f t="shared" si="241"/>
        <v>0.31842818428184283</v>
      </c>
      <c r="DL84" s="173">
        <f t="shared" si="242"/>
        <v>8.6277279726243616</v>
      </c>
      <c r="DM84" s="173">
        <f t="shared" si="243"/>
        <v>8.6277279726243616</v>
      </c>
      <c r="DN84" s="173">
        <f t="shared" si="244"/>
        <v>5.1217738068822429</v>
      </c>
      <c r="DP84" s="545">
        <f t="shared" si="245"/>
        <v>1975</v>
      </c>
      <c r="DQ84" s="460">
        <f t="shared" si="246"/>
        <v>347.21420880048782</v>
      </c>
      <c r="DS84">
        <f t="shared" si="291"/>
        <v>1975</v>
      </c>
      <c r="DT84">
        <f t="shared" si="247"/>
        <v>347.21420880048782</v>
      </c>
      <c r="DV84" s="5">
        <f t="shared" si="292"/>
        <v>2.8800664680592272</v>
      </c>
      <c r="DW84" s="5">
        <f t="shared" si="248"/>
        <v>1.4482257668333749</v>
      </c>
      <c r="DX84" s="5">
        <f t="shared" si="293"/>
        <v>1.4318407012258523</v>
      </c>
      <c r="DY84" s="173">
        <f t="shared" si="294"/>
        <v>0.50284456379553</v>
      </c>
      <c r="EA84" s="5">
        <f t="shared" si="249"/>
        <v>10.215163891056841</v>
      </c>
      <c r="EB84" s="5">
        <f t="shared" si="250"/>
        <v>0.95341529649863843</v>
      </c>
      <c r="EC84" s="5">
        <f t="shared" si="251"/>
        <v>2.0199181320864699</v>
      </c>
      <c r="ED84" s="5"/>
      <c r="EE84" s="173">
        <f t="shared" si="295"/>
        <v>3.5322602651707715</v>
      </c>
      <c r="EF84" s="173">
        <f t="shared" si="252"/>
        <v>3.5122216248832219</v>
      </c>
      <c r="EG84" s="173">
        <f t="shared" si="253"/>
        <v>0.35410103267265275</v>
      </c>
      <c r="EH84" s="173"/>
      <c r="EI84" s="528">
        <f t="shared" si="254"/>
        <v>0.14972235097085146</v>
      </c>
      <c r="EJ84" s="528">
        <f t="shared" si="255"/>
        <v>3.2272350127986997</v>
      </c>
      <c r="EK84" s="528">
        <f t="shared" si="256"/>
        <v>3.9929634012056105E-2</v>
      </c>
      <c r="EL84" s="528">
        <f t="shared" si="257"/>
        <v>0.54975582770732068</v>
      </c>
      <c r="EM84">
        <f t="shared" si="258"/>
        <v>1.26E-2</v>
      </c>
      <c r="EN84" s="460">
        <f t="shared" si="296"/>
        <v>52.529634012056107</v>
      </c>
      <c r="EO84">
        <f t="shared" si="259"/>
        <v>4.1679382220627597</v>
      </c>
      <c r="EP84" s="460">
        <f t="shared" si="297"/>
        <v>4167.9382220627595</v>
      </c>
      <c r="EQ84" s="173">
        <f t="shared" si="260"/>
        <v>1.324435</v>
      </c>
      <c r="ER84" s="173">
        <f t="shared" si="261"/>
        <v>9.4602500000000006E-2</v>
      </c>
      <c r="ES84" s="528"/>
      <c r="EU84" s="460">
        <f t="shared" si="298"/>
        <v>1419.0374999999999</v>
      </c>
      <c r="EV84" s="528">
        <f t="shared" si="262"/>
        <v>0.17467607613266004</v>
      </c>
      <c r="EW84" s="528">
        <f t="shared" si="299"/>
        <v>0.17269981039216276</v>
      </c>
      <c r="EX84" s="528">
        <f t="shared" si="263"/>
        <v>6.2693770669919552E-4</v>
      </c>
      <c r="EY84" s="528">
        <f t="shared" si="264"/>
        <v>24.558669595348462</v>
      </c>
      <c r="EZ84" s="528">
        <f t="shared" si="265"/>
        <v>25.705849762731699</v>
      </c>
      <c r="FA84" s="625">
        <f t="shared" si="266"/>
        <v>2.5845823627732369</v>
      </c>
      <c r="FB84" s="460">
        <f t="shared" si="300"/>
        <v>28290.432125504936</v>
      </c>
      <c r="FC84" s="173">
        <f t="shared" si="301"/>
        <v>33.877407847567696</v>
      </c>
      <c r="FD84" s="5">
        <f t="shared" si="302"/>
        <v>61.225000000000009</v>
      </c>
      <c r="FE84" s="173">
        <f t="shared" si="303"/>
        <v>0.64377970427555131</v>
      </c>
      <c r="FF84" s="5">
        <f t="shared" si="304"/>
        <v>64.377970427555127</v>
      </c>
      <c r="FG84">
        <f t="shared" si="305"/>
        <v>79</v>
      </c>
      <c r="FI84" s="562">
        <f t="shared" si="267"/>
        <v>-50</v>
      </c>
      <c r="FJ84">
        <f t="shared" si="268"/>
        <v>-50</v>
      </c>
      <c r="FL84">
        <f t="shared" si="269"/>
        <v>0.47641678205609539</v>
      </c>
    </row>
    <row r="85" spans="5:168">
      <c r="E85" s="170">
        <v>80</v>
      </c>
      <c r="F85" s="217">
        <f t="shared" si="306"/>
        <v>2</v>
      </c>
      <c r="G85" s="217">
        <f t="shared" si="270"/>
        <v>0.2</v>
      </c>
      <c r="H85" s="217">
        <f t="shared" si="175"/>
        <v>56</v>
      </c>
      <c r="I85" s="217">
        <f t="shared" si="307"/>
        <v>6</v>
      </c>
      <c r="J85" s="541">
        <f t="shared" si="176"/>
        <v>27.855082851774529</v>
      </c>
      <c r="K85" s="443">
        <f t="shared" si="177"/>
        <v>28.758772069025692</v>
      </c>
      <c r="L85" s="172">
        <f t="shared" si="178"/>
        <v>56.613854920800222</v>
      </c>
      <c r="M85" s="443"/>
      <c r="N85" s="217">
        <f t="shared" si="179"/>
        <v>0.50798116661120651</v>
      </c>
      <c r="O85" s="172">
        <f t="shared" si="271"/>
        <v>106.50430363620826</v>
      </c>
      <c r="P85" s="172">
        <f t="shared" si="180"/>
        <v>12.633801324193071</v>
      </c>
      <c r="Q85" s="217">
        <f t="shared" si="181"/>
        <v>3.8037251298645809</v>
      </c>
      <c r="R85" s="217">
        <f t="shared" si="182"/>
        <v>3.5501434545402755</v>
      </c>
      <c r="S85" s="443">
        <f t="shared" si="183"/>
        <v>28</v>
      </c>
      <c r="T85" s="217">
        <f t="shared" si="184"/>
        <v>8.7633391465697361</v>
      </c>
      <c r="U85" s="217">
        <f t="shared" si="185"/>
        <v>1.478641948690304</v>
      </c>
      <c r="V85" s="217">
        <f t="shared" si="186"/>
        <v>1.4321784633231436</v>
      </c>
      <c r="W85" s="197">
        <f t="shared" si="187"/>
        <v>350</v>
      </c>
      <c r="X85" s="443">
        <f t="shared" si="272"/>
        <v>321.45860819807336</v>
      </c>
      <c r="Z85" s="217">
        <f t="shared" si="188"/>
        <v>8.6017370717910246</v>
      </c>
      <c r="AA85" s="173">
        <f t="shared" si="189"/>
        <v>1.4057680953965523</v>
      </c>
      <c r="AB85" s="173">
        <f t="shared" si="190"/>
        <v>2.1161083195898778</v>
      </c>
      <c r="AC85" s="173"/>
      <c r="AD85" s="173">
        <f t="shared" si="191"/>
        <v>0.54476132113930809</v>
      </c>
      <c r="AE85" s="545">
        <f t="shared" si="192"/>
        <v>2202.7995627338828</v>
      </c>
      <c r="AF85" s="528">
        <f t="shared" si="193"/>
        <v>0.31777743733126307</v>
      </c>
      <c r="AH85" s="173">
        <f t="shared" si="194"/>
        <v>8.6821621275881764</v>
      </c>
      <c r="AI85" s="173">
        <f t="shared" si="195"/>
        <v>8.6821621275881764</v>
      </c>
      <c r="AJ85" s="173">
        <f t="shared" si="196"/>
        <v>5.162095403151735</v>
      </c>
      <c r="AL85" s="545">
        <f t="shared" si="197"/>
        <v>2000</v>
      </c>
      <c r="AM85" s="460">
        <f t="shared" si="198"/>
        <v>321.45860819807336</v>
      </c>
      <c r="AO85">
        <f t="shared" si="273"/>
        <v>2000</v>
      </c>
      <c r="AP85">
        <f t="shared" si="199"/>
        <v>321.45860819807336</v>
      </c>
      <c r="AR85" s="5">
        <f t="shared" si="274"/>
        <v>3.1108204120134473</v>
      </c>
      <c r="AS85" s="5">
        <f t="shared" si="200"/>
        <v>1.4649449156840273</v>
      </c>
      <c r="AT85" s="5">
        <f t="shared" si="275"/>
        <v>1.64587549632942</v>
      </c>
      <c r="AU85" s="173">
        <f t="shared" si="276"/>
        <v>0.47091915368263138</v>
      </c>
      <c r="AW85" s="5">
        <f t="shared" si="201"/>
        <v>10.463892254885909</v>
      </c>
      <c r="AX85" s="5">
        <f t="shared" si="202"/>
        <v>0.97662994378935175</v>
      </c>
      <c r="AY85" s="5">
        <f t="shared" si="203"/>
        <v>2.3634831819925002</v>
      </c>
      <c r="AZ85" s="5"/>
      <c r="BA85" s="173">
        <f t="shared" si="277"/>
        <v>3.4398574184255843</v>
      </c>
      <c r="BB85" s="173">
        <f t="shared" si="204"/>
        <v>3.6460975500039252</v>
      </c>
      <c r="BC85" s="173">
        <f t="shared" si="205"/>
        <v>0.36759835954957604</v>
      </c>
      <c r="BD85" s="173"/>
      <c r="BE85" s="528">
        <f t="shared" si="206"/>
        <v>0.14199142870917031</v>
      </c>
      <c r="BF85" s="528">
        <f t="shared" si="207"/>
        <v>2.8836234453627907</v>
      </c>
      <c r="BG85" s="528">
        <f t="shared" si="208"/>
        <v>3.6967739942778445E-2</v>
      </c>
      <c r="BH85" s="528">
        <f t="shared" si="209"/>
        <v>0.50743071317561916</v>
      </c>
      <c r="BI85">
        <f t="shared" si="210"/>
        <v>1.2534787283298538E-2</v>
      </c>
      <c r="BJ85" s="460">
        <f t="shared" si="278"/>
        <v>49.502527226076978</v>
      </c>
      <c r="BK85">
        <f t="shared" si="211"/>
        <v>3.6960784767344341</v>
      </c>
      <c r="BL85" s="460">
        <f t="shared" si="279"/>
        <v>3696.0784767344339</v>
      </c>
      <c r="BM85" s="173">
        <f t="shared" si="212"/>
        <v>1.3411999999999999</v>
      </c>
      <c r="BN85" s="173">
        <f t="shared" si="213"/>
        <v>9.5799999999999996E-2</v>
      </c>
      <c r="BO85" s="528"/>
      <c r="BQ85" s="460">
        <f t="shared" si="280"/>
        <v>1436.9999999999998</v>
      </c>
      <c r="BR85" s="528">
        <f t="shared" si="214"/>
        <v>0.16565666682736538</v>
      </c>
      <c r="BS85" s="528">
        <f t="shared" si="215"/>
        <v>0.18611638281802476</v>
      </c>
      <c r="BT85" s="528">
        <f t="shared" si="216"/>
        <v>6.7564276971769687E-4</v>
      </c>
      <c r="BU85" s="528">
        <f t="shared" si="217"/>
        <v>20.575594058505079</v>
      </c>
      <c r="BV85" s="528">
        <f t="shared" si="218"/>
        <v>21.622290271764065</v>
      </c>
      <c r="BW85" s="625">
        <f t="shared" si="219"/>
        <v>2.4231530344414041</v>
      </c>
      <c r="BX85" s="460">
        <f t="shared" si="281"/>
        <v>24045.44330620547</v>
      </c>
      <c r="BY85" s="173">
        <f t="shared" si="282"/>
        <v>29.178521782939903</v>
      </c>
      <c r="BZ85" s="5">
        <f t="shared" si="283"/>
        <v>62</v>
      </c>
      <c r="CA85" s="173">
        <f t="shared" si="284"/>
        <v>0.67998470240170761</v>
      </c>
      <c r="CB85" s="5">
        <f t="shared" si="285"/>
        <v>67.998470240170761</v>
      </c>
      <c r="CC85">
        <f t="shared" si="286"/>
        <v>80</v>
      </c>
      <c r="CE85" s="562">
        <f t="shared" si="220"/>
        <v>-50</v>
      </c>
      <c r="CF85">
        <f t="shared" si="221"/>
        <v>-50</v>
      </c>
      <c r="CG85" s="173">
        <f t="shared" si="222"/>
        <v>0.47641678205609539</v>
      </c>
      <c r="CH85" s="173">
        <f t="shared" si="223"/>
        <v>0.15449493440943712</v>
      </c>
      <c r="CI85" s="170">
        <v>80</v>
      </c>
      <c r="CJ85" s="217">
        <f t="shared" si="308"/>
        <v>2</v>
      </c>
      <c r="CK85" s="217">
        <f t="shared" si="287"/>
        <v>0.2</v>
      </c>
      <c r="CL85" s="217">
        <f t="shared" si="224"/>
        <v>56</v>
      </c>
      <c r="CM85" s="217">
        <f t="shared" si="309"/>
        <v>6</v>
      </c>
      <c r="CN85" s="541">
        <f t="shared" si="288"/>
        <v>28</v>
      </c>
      <c r="CO85" s="443">
        <f t="shared" si="225"/>
        <v>28.7</v>
      </c>
      <c r="CP85" s="443">
        <f t="shared" si="226"/>
        <v>56.7</v>
      </c>
      <c r="CQ85" s="443"/>
      <c r="CR85" s="217">
        <f t="shared" si="227"/>
        <v>0.50354609929078009</v>
      </c>
      <c r="CS85" s="172">
        <f t="shared" si="289"/>
        <v>106.12369404407841</v>
      </c>
      <c r="CT85" s="172">
        <f t="shared" si="228"/>
        <v>12.588652482269502</v>
      </c>
      <c r="CU85" s="217">
        <f t="shared" si="229"/>
        <v>3.7901319301456575</v>
      </c>
      <c r="CV85" s="217">
        <f t="shared" si="230"/>
        <v>3.5374564681359471</v>
      </c>
      <c r="CW85" s="443">
        <f t="shared" si="231"/>
        <v>28</v>
      </c>
      <c r="CX85" s="217">
        <f t="shared" si="232"/>
        <v>8.7947686116700208</v>
      </c>
      <c r="CY85" s="217">
        <f t="shared" si="233"/>
        <v>1.4762647312446107</v>
      </c>
      <c r="CZ85" s="217">
        <f t="shared" si="234"/>
        <v>1.4402582743849861</v>
      </c>
      <c r="DA85" s="197">
        <f t="shared" si="235"/>
        <v>350</v>
      </c>
      <c r="DB85" s="443">
        <f t="shared" si="290"/>
        <v>342.87403119048179</v>
      </c>
      <c r="DD85" s="217">
        <f t="shared" si="236"/>
        <v>8.6157079064880477</v>
      </c>
      <c r="DE85" s="173">
        <f t="shared" si="237"/>
        <v>1.4109347442680775</v>
      </c>
      <c r="DF85" s="173">
        <f t="shared" si="238"/>
        <v>2.1273352855526046</v>
      </c>
      <c r="DG85" s="173"/>
      <c r="DH85" s="173">
        <f t="shared" si="239"/>
        <v>0.54587688734030204</v>
      </c>
      <c r="DI85" s="545">
        <f t="shared" si="240"/>
        <v>2198.2978723404253</v>
      </c>
      <c r="DJ85" s="528">
        <f t="shared" si="241"/>
        <v>0.31842818428184283</v>
      </c>
      <c r="DL85" s="173">
        <f t="shared" si="242"/>
        <v>8.6821621275881764</v>
      </c>
      <c r="DM85" s="173">
        <f t="shared" si="243"/>
        <v>8.6821621275881764</v>
      </c>
      <c r="DN85" s="173">
        <f t="shared" si="244"/>
        <v>5.162095403151735</v>
      </c>
      <c r="DP85" s="545">
        <f t="shared" si="245"/>
        <v>2000</v>
      </c>
      <c r="DQ85" s="460">
        <f t="shared" si="246"/>
        <v>342.87403119048179</v>
      </c>
      <c r="DS85">
        <f t="shared" si="291"/>
        <v>2000</v>
      </c>
      <c r="DT85">
        <f t="shared" si="247"/>
        <v>342.87403119048179</v>
      </c>
      <c r="DV85" s="5">
        <f t="shared" si="292"/>
        <v>2.9165230056295965</v>
      </c>
      <c r="DW85" s="5">
        <f t="shared" si="248"/>
        <v>1.4573629285594438</v>
      </c>
      <c r="DX85" s="5">
        <f t="shared" si="293"/>
        <v>1.4591600770701527</v>
      </c>
      <c r="DY85" s="173">
        <f t="shared" si="294"/>
        <v>0.49969190222274262</v>
      </c>
      <c r="EA85" s="5">
        <f t="shared" si="249"/>
        <v>10.409735203996027</v>
      </c>
      <c r="EB85" s="5">
        <f t="shared" si="250"/>
        <v>0.97157528570629592</v>
      </c>
      <c r="EC85" s="5">
        <f t="shared" si="251"/>
        <v>2.0845143958145038</v>
      </c>
      <c r="ED85" s="5"/>
      <c r="EE85" s="173">
        <f t="shared" si="295"/>
        <v>3.5433856320917574</v>
      </c>
      <c r="EF85" s="173">
        <f t="shared" si="252"/>
        <v>3.5455697236872727</v>
      </c>
      <c r="EG85" s="173">
        <f t="shared" si="253"/>
        <v>0.35746317706027425</v>
      </c>
      <c r="EH85" s="173"/>
      <c r="EI85" s="528">
        <f t="shared" si="254"/>
        <v>0.15066698085257163</v>
      </c>
      <c r="EJ85" s="528">
        <f t="shared" si="255"/>
        <v>3.2070013649803615</v>
      </c>
      <c r="EK85" s="528">
        <f t="shared" si="256"/>
        <v>3.9430513586905407E-2</v>
      </c>
      <c r="EL85" s="528">
        <f t="shared" si="257"/>
        <v>0.5428838798609793</v>
      </c>
      <c r="EM85">
        <f t="shared" si="258"/>
        <v>1.26E-2</v>
      </c>
      <c r="EN85" s="460">
        <f t="shared" si="296"/>
        <v>52.030513586905407</v>
      </c>
      <c r="EO85">
        <f t="shared" si="259"/>
        <v>4.1415230313640539</v>
      </c>
      <c r="EP85" s="460">
        <f t="shared" si="297"/>
        <v>4141.5230313640541</v>
      </c>
      <c r="EQ85" s="173">
        <f t="shared" si="260"/>
        <v>1.3411999999999999</v>
      </c>
      <c r="ER85" s="173">
        <f t="shared" si="261"/>
        <v>9.5799999999999996E-2</v>
      </c>
      <c r="ES85" s="528"/>
      <c r="EU85" s="460">
        <f t="shared" si="298"/>
        <v>1436.9999999999998</v>
      </c>
      <c r="EV85" s="528">
        <f t="shared" si="262"/>
        <v>0.17577814432800024</v>
      </c>
      <c r="EW85" s="528">
        <f t="shared" si="299"/>
        <v>0.17599490531738982</v>
      </c>
      <c r="EX85" s="528">
        <f t="shared" si="263"/>
        <v>6.3889961477012495E-4</v>
      </c>
      <c r="EY85" s="528">
        <f t="shared" si="264"/>
        <v>24.175541843811033</v>
      </c>
      <c r="EZ85" s="528">
        <f t="shared" si="265"/>
        <v>25.326563345423356</v>
      </c>
      <c r="FA85" s="625">
        <f t="shared" si="266"/>
        <v>2.5845823627732369</v>
      </c>
      <c r="FB85" s="460">
        <f t="shared" si="300"/>
        <v>27911.145708196593</v>
      </c>
      <c r="FC85" s="173">
        <f t="shared" si="301"/>
        <v>33.489668739560649</v>
      </c>
      <c r="FD85" s="5">
        <f t="shared" si="302"/>
        <v>62</v>
      </c>
      <c r="FE85" s="173">
        <f t="shared" si="303"/>
        <v>0.64928489980522752</v>
      </c>
      <c r="FF85" s="5">
        <f t="shared" si="304"/>
        <v>64.928489980522755</v>
      </c>
      <c r="FG85">
        <f t="shared" si="305"/>
        <v>80</v>
      </c>
      <c r="FI85" s="562">
        <f t="shared" si="267"/>
        <v>-50</v>
      </c>
      <c r="FJ85">
        <f t="shared" si="268"/>
        <v>-50</v>
      </c>
      <c r="FL85">
        <f t="shared" si="269"/>
        <v>0.47641678205609539</v>
      </c>
    </row>
    <row r="86" spans="5:168">
      <c r="E86" s="170">
        <v>81</v>
      </c>
      <c r="F86" s="217">
        <f t="shared" si="306"/>
        <v>2.0250000000000004</v>
      </c>
      <c r="G86" s="217">
        <f t="shared" si="270"/>
        <v>0.20250000000000001</v>
      </c>
      <c r="H86" s="217">
        <f t="shared" si="175"/>
        <v>56.70000000000001</v>
      </c>
      <c r="I86" s="217">
        <f t="shared" si="307"/>
        <v>6.0750000000000002</v>
      </c>
      <c r="J86" s="541">
        <f t="shared" si="176"/>
        <v>27.85327138742171</v>
      </c>
      <c r="K86" s="443">
        <f t="shared" si="177"/>
        <v>28.759506719888513</v>
      </c>
      <c r="L86" s="172">
        <f t="shared" si="178"/>
        <v>56.61277810731022</v>
      </c>
      <c r="M86" s="443"/>
      <c r="N86" s="217">
        <f t="shared" si="179"/>
        <v>0.50800380552557434</v>
      </c>
      <c r="O86" s="172">
        <f t="shared" si="271"/>
        <v>106.50212368605135</v>
      </c>
      <c r="P86" s="172">
        <f t="shared" si="180"/>
        <v>12.633542733166806</v>
      </c>
      <c r="Q86" s="217">
        <f t="shared" si="181"/>
        <v>3.8036472745018339</v>
      </c>
      <c r="R86" s="217">
        <f t="shared" si="182"/>
        <v>3.5500707895350447</v>
      </c>
      <c r="S86" s="443">
        <f t="shared" si="183"/>
        <v>28</v>
      </c>
      <c r="T86" s="217">
        <f t="shared" si="184"/>
        <v>8.8730625014172126</v>
      </c>
      <c r="U86" s="217">
        <f t="shared" si="185"/>
        <v>1.4972529860709209</v>
      </c>
      <c r="V86" s="217">
        <f t="shared" si="186"/>
        <v>1.4500733327189195</v>
      </c>
      <c r="W86" s="197">
        <f t="shared" si="187"/>
        <v>350</v>
      </c>
      <c r="X86" s="443">
        <f t="shared" si="272"/>
        <v>317.73000277407016</v>
      </c>
      <c r="Z86" s="217">
        <f t="shared" si="188"/>
        <v>8.6015610098156952</v>
      </c>
      <c r="AA86" s="173">
        <f t="shared" si="189"/>
        <v>1.4057034127840733</v>
      </c>
      <c r="AB86" s="173">
        <f t="shared" si="190"/>
        <v>2.1159676416844602</v>
      </c>
      <c r="AC86" s="173"/>
      <c r="AD86" s="173">
        <f t="shared" si="191"/>
        <v>0.54474740541472677</v>
      </c>
      <c r="AE86" s="545">
        <f t="shared" si="192"/>
        <v>2230.3915317870988</v>
      </c>
      <c r="AF86" s="528">
        <f t="shared" si="193"/>
        <v>0.3177693198252573</v>
      </c>
      <c r="AH86" s="173">
        <f t="shared" si="194"/>
        <v>8.736257119032615</v>
      </c>
      <c r="AI86" s="173">
        <f t="shared" si="195"/>
        <v>8.736257119032615</v>
      </c>
      <c r="AJ86" s="173">
        <f t="shared" si="196"/>
        <v>5.2021657671846526</v>
      </c>
      <c r="AL86" s="545">
        <f t="shared" si="197"/>
        <v>2025.0000000000005</v>
      </c>
      <c r="AM86" s="460">
        <f t="shared" si="198"/>
        <v>317.73000277407016</v>
      </c>
      <c r="AO86">
        <f t="shared" si="273"/>
        <v>2025.0000000000005</v>
      </c>
      <c r="AP86">
        <f t="shared" si="199"/>
        <v>317.73000277407016</v>
      </c>
      <c r="AR86" s="5">
        <f t="shared" si="274"/>
        <v>3.1473263187898404</v>
      </c>
      <c r="AS86" s="5">
        <f t="shared" si="200"/>
        <v>1.4741682543615255</v>
      </c>
      <c r="AT86" s="5">
        <f t="shared" si="275"/>
        <v>1.6731580644283148</v>
      </c>
      <c r="AU86" s="173">
        <f t="shared" si="276"/>
        <v>0.46838748354773369</v>
      </c>
      <c r="AW86" s="5">
        <f t="shared" si="201"/>
        <v>10.661395411007463</v>
      </c>
      <c r="AX86" s="5">
        <f t="shared" si="202"/>
        <v>0.99506357169402981</v>
      </c>
      <c r="AY86" s="5">
        <f t="shared" si="203"/>
        <v>2.432852524459582</v>
      </c>
      <c r="AZ86" s="5"/>
      <c r="BA86" s="173">
        <f t="shared" si="277"/>
        <v>3.4519732418275506</v>
      </c>
      <c r="BB86" s="173">
        <f t="shared" si="204"/>
        <v>3.6775821161449636</v>
      </c>
      <c r="BC86" s="173">
        <f t="shared" si="205"/>
        <v>0.37077262318510701</v>
      </c>
      <c r="BD86" s="173"/>
      <c r="BE86" s="528">
        <f t="shared" si="206"/>
        <v>0.14299343114752092</v>
      </c>
      <c r="BF86" s="528">
        <f t="shared" si="207"/>
        <v>2.8678799641405761</v>
      </c>
      <c r="BG86" s="528">
        <f t="shared" si="208"/>
        <v>3.6538950319018076E-2</v>
      </c>
      <c r="BH86" s="528">
        <f t="shared" si="209"/>
        <v>0.5015259343311409</v>
      </c>
      <c r="BI86">
        <f t="shared" si="210"/>
        <v>1.2533972124339769E-2</v>
      </c>
      <c r="BJ86" s="460">
        <f t="shared" si="278"/>
        <v>49.072922443357839</v>
      </c>
      <c r="BK86">
        <f t="shared" si="211"/>
        <v>3.6758970372951718</v>
      </c>
      <c r="BL86" s="460">
        <f t="shared" si="279"/>
        <v>3675.8970372951717</v>
      </c>
      <c r="BM86" s="173">
        <f t="shared" si="212"/>
        <v>1.3579650000000001</v>
      </c>
      <c r="BN86" s="173">
        <f t="shared" si="213"/>
        <v>9.69975E-2</v>
      </c>
      <c r="BO86" s="528"/>
      <c r="BQ86" s="460">
        <f t="shared" si="280"/>
        <v>1454.9625000000001</v>
      </c>
      <c r="BR86" s="528">
        <f t="shared" si="214"/>
        <v>0.16682566967210771</v>
      </c>
      <c r="BS86" s="528">
        <f t="shared" si="215"/>
        <v>0.18934454309384977</v>
      </c>
      <c r="BT86" s="528">
        <f t="shared" si="216"/>
        <v>6.8736169051782678E-4</v>
      </c>
      <c r="BU86" s="528">
        <f t="shared" si="217"/>
        <v>20.29687089069731</v>
      </c>
      <c r="BV86" s="528">
        <f t="shared" si="218"/>
        <v>21.348854312411483</v>
      </c>
      <c r="BW86" s="625">
        <f t="shared" si="219"/>
        <v>2.4249849147893325</v>
      </c>
      <c r="BX86" s="460">
        <f t="shared" si="281"/>
        <v>23773.839227200817</v>
      </c>
      <c r="BY86" s="173">
        <f t="shared" si="282"/>
        <v>28.90469876449599</v>
      </c>
      <c r="BZ86" s="5">
        <f t="shared" si="283"/>
        <v>62.775000000000013</v>
      </c>
      <c r="CA86" s="173">
        <f t="shared" si="284"/>
        <v>0.68472083619356672</v>
      </c>
      <c r="CB86" s="5">
        <f t="shared" si="285"/>
        <v>68.472083619356667</v>
      </c>
      <c r="CC86">
        <f t="shared" si="286"/>
        <v>81.000000000000014</v>
      </c>
      <c r="CE86" s="562">
        <f t="shared" si="220"/>
        <v>-50</v>
      </c>
      <c r="CF86">
        <f t="shared" si="221"/>
        <v>-50</v>
      </c>
      <c r="CG86" s="173">
        <f t="shared" si="222"/>
        <v>0.47641678205609539</v>
      </c>
      <c r="CH86" s="173">
        <f t="shared" si="223"/>
        <v>0.15449493440943712</v>
      </c>
      <c r="CI86" s="170">
        <v>81</v>
      </c>
      <c r="CJ86" s="217">
        <f t="shared" si="308"/>
        <v>2.0250000000000004</v>
      </c>
      <c r="CK86" s="217">
        <f t="shared" si="287"/>
        <v>0.20250000000000001</v>
      </c>
      <c r="CL86" s="217">
        <f t="shared" si="224"/>
        <v>56.70000000000001</v>
      </c>
      <c r="CM86" s="217">
        <f t="shared" si="309"/>
        <v>6.0750000000000002</v>
      </c>
      <c r="CN86" s="541">
        <f t="shared" si="288"/>
        <v>28</v>
      </c>
      <c r="CO86" s="443">
        <f t="shared" si="225"/>
        <v>28.7</v>
      </c>
      <c r="CP86" s="443">
        <f t="shared" si="226"/>
        <v>56.7</v>
      </c>
      <c r="CQ86" s="443"/>
      <c r="CR86" s="217">
        <f t="shared" si="227"/>
        <v>0.50354609929078009</v>
      </c>
      <c r="CS86" s="172">
        <f t="shared" si="289"/>
        <v>106.12369404407841</v>
      </c>
      <c r="CT86" s="172">
        <f t="shared" si="228"/>
        <v>12.588652482269502</v>
      </c>
      <c r="CU86" s="217">
        <f t="shared" si="229"/>
        <v>3.7901319301456575</v>
      </c>
      <c r="CV86" s="217">
        <f t="shared" si="230"/>
        <v>3.5374564681359471</v>
      </c>
      <c r="CW86" s="443">
        <f t="shared" si="231"/>
        <v>28</v>
      </c>
      <c r="CX86" s="217">
        <f t="shared" si="232"/>
        <v>8.9047032193158984</v>
      </c>
      <c r="CY86" s="217">
        <f t="shared" si="233"/>
        <v>1.4947180403851685</v>
      </c>
      <c r="CZ86" s="217">
        <f t="shared" si="234"/>
        <v>1.4582615028147987</v>
      </c>
      <c r="DA86" s="197">
        <f t="shared" si="235"/>
        <v>350</v>
      </c>
      <c r="DB86" s="443">
        <f t="shared" si="290"/>
        <v>338.64101845973505</v>
      </c>
      <c r="DD86" s="217">
        <f t="shared" si="236"/>
        <v>8.6157079064880477</v>
      </c>
      <c r="DE86" s="173">
        <f t="shared" si="237"/>
        <v>1.4109347442680775</v>
      </c>
      <c r="DF86" s="173">
        <f t="shared" si="238"/>
        <v>2.1273352855526046</v>
      </c>
      <c r="DG86" s="173"/>
      <c r="DH86" s="173">
        <f t="shared" si="239"/>
        <v>0.54587688734030204</v>
      </c>
      <c r="DI86" s="545">
        <f t="shared" si="240"/>
        <v>2225.7765957446809</v>
      </c>
      <c r="DJ86" s="528">
        <f t="shared" si="241"/>
        <v>0.31842818428184283</v>
      </c>
      <c r="DL86" s="173">
        <f t="shared" si="242"/>
        <v>8.736257119032615</v>
      </c>
      <c r="DM86" s="173">
        <f t="shared" si="243"/>
        <v>8.736257119032615</v>
      </c>
      <c r="DN86" s="173">
        <f t="shared" si="244"/>
        <v>5.2021657671846526</v>
      </c>
      <c r="DP86" s="545">
        <f t="shared" si="245"/>
        <v>2025.0000000000005</v>
      </c>
      <c r="DQ86" s="460">
        <f t="shared" si="246"/>
        <v>338.64101845973505</v>
      </c>
      <c r="DS86">
        <f t="shared" si="291"/>
        <v>2025.0000000000005</v>
      </c>
      <c r="DT86">
        <f t="shared" si="247"/>
        <v>338.64101845973505</v>
      </c>
      <c r="DV86" s="5">
        <f t="shared" si="292"/>
        <v>2.9529795431999668</v>
      </c>
      <c r="DW86" s="5">
        <f t="shared" si="248"/>
        <v>1.4664431592661888</v>
      </c>
      <c r="DX86" s="5">
        <f t="shared" si="293"/>
        <v>1.486536383933778</v>
      </c>
      <c r="DY86" s="173">
        <f t="shared" si="294"/>
        <v>0.49659780496721367</v>
      </c>
      <c r="EA86" s="5">
        <f t="shared" si="249"/>
        <v>10.605526419692973</v>
      </c>
      <c r="EB86" s="5">
        <f t="shared" si="250"/>
        <v>0.98984913250467743</v>
      </c>
      <c r="EC86" s="5">
        <f t="shared" si="251"/>
        <v>2.1501686981899293</v>
      </c>
      <c r="ED86" s="5"/>
      <c r="EE86" s="173">
        <f t="shared" si="295"/>
        <v>3.5544071823811709</v>
      </c>
      <c r="EF86" s="173">
        <f t="shared" si="252"/>
        <v>3.5786756021075488</v>
      </c>
      <c r="EG86" s="173">
        <f t="shared" si="253"/>
        <v>0.36080090086822009</v>
      </c>
      <c r="EH86" s="173"/>
      <c r="EI86" s="528">
        <f t="shared" si="254"/>
        <v>0.15160572501795425</v>
      </c>
      <c r="EJ86" s="528">
        <f t="shared" si="255"/>
        <v>3.1871435804580899</v>
      </c>
      <c r="EK86" s="528">
        <f t="shared" si="256"/>
        <v>3.894371712286953E-2</v>
      </c>
      <c r="EL86" s="528">
        <f t="shared" si="257"/>
        <v>0.53618160973923878</v>
      </c>
      <c r="EM86">
        <f t="shared" si="258"/>
        <v>1.26E-2</v>
      </c>
      <c r="EN86" s="460">
        <f t="shared" si="296"/>
        <v>51.543717122869531</v>
      </c>
      <c r="EO86">
        <f t="shared" si="259"/>
        <v>4.115660527173417</v>
      </c>
      <c r="EP86" s="460">
        <f t="shared" si="297"/>
        <v>4115.660527173417</v>
      </c>
      <c r="EQ86" s="173">
        <f t="shared" si="260"/>
        <v>1.3579650000000001</v>
      </c>
      <c r="ER86" s="173">
        <f t="shared" si="261"/>
        <v>9.69975E-2</v>
      </c>
      <c r="ES86" s="528"/>
      <c r="EU86" s="460">
        <f t="shared" si="298"/>
        <v>1454.9625000000001</v>
      </c>
      <c r="EV86" s="528">
        <f t="shared" si="262"/>
        <v>0.17687334585427997</v>
      </c>
      <c r="EW86" s="528">
        <f t="shared" si="299"/>
        <v>0.17929686691167757</v>
      </c>
      <c r="EX86" s="528">
        <f t="shared" si="263"/>
        <v>6.5088645033659586E-4</v>
      </c>
      <c r="EY86" s="528">
        <f t="shared" si="264"/>
        <v>23.803040020744319</v>
      </c>
      <c r="EZ86" s="528">
        <f t="shared" si="265"/>
        <v>24.957939743241113</v>
      </c>
      <c r="FA86" s="625">
        <f t="shared" si="266"/>
        <v>2.5845823627732369</v>
      </c>
      <c r="FB86" s="460">
        <f t="shared" si="300"/>
        <v>27542.522106014349</v>
      </c>
      <c r="FC86" s="173">
        <f t="shared" si="301"/>
        <v>33.113145133187771</v>
      </c>
      <c r="FD86" s="5">
        <f t="shared" si="302"/>
        <v>62.775000000000013</v>
      </c>
      <c r="FE86" s="173">
        <f t="shared" si="303"/>
        <v>0.65466904081631883</v>
      </c>
      <c r="FF86" s="5">
        <f t="shared" si="304"/>
        <v>65.466904081631881</v>
      </c>
      <c r="FG86">
        <f t="shared" si="305"/>
        <v>81.000000000000014</v>
      </c>
      <c r="FI86" s="562">
        <f t="shared" si="267"/>
        <v>-50</v>
      </c>
      <c r="FJ86">
        <f t="shared" si="268"/>
        <v>-50</v>
      </c>
      <c r="FL86">
        <f t="shared" si="269"/>
        <v>0.47641678205609539</v>
      </c>
    </row>
    <row r="87" spans="5:168">
      <c r="E87" s="170">
        <v>82</v>
      </c>
      <c r="F87" s="217">
        <f t="shared" si="306"/>
        <v>2.0499999999999998</v>
      </c>
      <c r="G87" s="217">
        <f t="shared" si="270"/>
        <v>0.20499999999999999</v>
      </c>
      <c r="H87" s="217">
        <f t="shared" si="175"/>
        <v>57.399999999999991</v>
      </c>
      <c r="I87" s="217">
        <f t="shared" si="307"/>
        <v>6.1499999999999995</v>
      </c>
      <c r="J87" s="541">
        <f t="shared" si="176"/>
        <v>27.851459923068891</v>
      </c>
      <c r="K87" s="443">
        <f t="shared" si="177"/>
        <v>28.760241370751334</v>
      </c>
      <c r="L87" s="172">
        <f t="shared" si="178"/>
        <v>56.611701293820225</v>
      </c>
      <c r="M87" s="443"/>
      <c r="N87" s="217">
        <f t="shared" si="179"/>
        <v>0.50802644530117347</v>
      </c>
      <c r="O87" s="172">
        <f t="shared" si="271"/>
        <v>106.49994329908978</v>
      </c>
      <c r="P87" s="172">
        <f t="shared" si="180"/>
        <v>12.6332840903257</v>
      </c>
      <c r="Q87" s="217">
        <f t="shared" si="181"/>
        <v>3.8035694035389205</v>
      </c>
      <c r="R87" s="217">
        <f t="shared" si="182"/>
        <v>3.5499981099696591</v>
      </c>
      <c r="S87" s="443">
        <f t="shared" si="183"/>
        <v>28</v>
      </c>
      <c r="T87" s="217">
        <f t="shared" si="184"/>
        <v>8.9827903849676787</v>
      </c>
      <c r="U87" s="217">
        <f t="shared" si="185"/>
        <v>1.5158672086118801</v>
      </c>
      <c r="V87" s="217">
        <f t="shared" si="186"/>
        <v>1.467968027983388</v>
      </c>
      <c r="W87" s="197">
        <f t="shared" si="187"/>
        <v>350</v>
      </c>
      <c r="X87" s="443">
        <f t="shared" si="272"/>
        <v>314.08660489271443</v>
      </c>
      <c r="Z87" s="217">
        <f t="shared" si="188"/>
        <v>8.60138491256218</v>
      </c>
      <c r="AA87" s="173">
        <f t="shared" si="189"/>
        <v>1.405638727710933</v>
      </c>
      <c r="AB87" s="173">
        <f t="shared" si="190"/>
        <v>2.1158269553830356</v>
      </c>
      <c r="AC87" s="173"/>
      <c r="AD87" s="173">
        <f t="shared" si="191"/>
        <v>0.54473349040107133</v>
      </c>
      <c r="AE87" s="545">
        <f t="shared" si="192"/>
        <v>2257.9849076185619</v>
      </c>
      <c r="AF87" s="528">
        <f t="shared" si="193"/>
        <v>0.3177612027339583</v>
      </c>
      <c r="AH87" s="173">
        <f t="shared" si="194"/>
        <v>8.7900192087372364</v>
      </c>
      <c r="AI87" s="173">
        <f t="shared" si="195"/>
        <v>8.7900192087372364</v>
      </c>
      <c r="AJ87" s="173">
        <f t="shared" si="196"/>
        <v>5.2419895373362237</v>
      </c>
      <c r="AL87" s="545">
        <f t="shared" si="197"/>
        <v>2050</v>
      </c>
      <c r="AM87" s="460">
        <f t="shared" si="198"/>
        <v>314.08660489271443</v>
      </c>
      <c r="AO87">
        <f t="shared" si="273"/>
        <v>2050</v>
      </c>
      <c r="AP87">
        <f t="shared" si="199"/>
        <v>314.08660489271443</v>
      </c>
      <c r="AR87" s="5">
        <f t="shared" si="274"/>
        <v>3.1838352365952685</v>
      </c>
      <c r="AS87" s="5">
        <f t="shared" si="200"/>
        <v>1.4833366148553699</v>
      </c>
      <c r="AT87" s="5">
        <f t="shared" si="275"/>
        <v>1.7004986217398985</v>
      </c>
      <c r="AU87" s="173">
        <f t="shared" si="276"/>
        <v>0.46589616127297506</v>
      </c>
      <c r="AW87" s="5">
        <f t="shared" si="201"/>
        <v>10.860143073048244</v>
      </c>
      <c r="AX87" s="5">
        <f t="shared" si="202"/>
        <v>1.0136133534845027</v>
      </c>
      <c r="AY87" s="5">
        <f t="shared" si="203"/>
        <v>2.503295830233573</v>
      </c>
      <c r="AZ87" s="5"/>
      <c r="BA87" s="173">
        <f t="shared" si="277"/>
        <v>3.4639671343067429</v>
      </c>
      <c r="BB87" s="173">
        <f t="shared" si="204"/>
        <v>3.7088737179588533</v>
      </c>
      <c r="BC87" s="173">
        <f t="shared" si="205"/>
        <v>0.37392743222044178</v>
      </c>
      <c r="BD87" s="173"/>
      <c r="BE87" s="528">
        <f t="shared" si="206"/>
        <v>0.14398881969068722</v>
      </c>
      <c r="BF87" s="528">
        <f t="shared" si="207"/>
        <v>2.852386120262977</v>
      </c>
      <c r="BG87" s="528">
        <f t="shared" si="208"/>
        <v>3.611995956266216E-2</v>
      </c>
      <c r="BH87" s="528">
        <f t="shared" si="209"/>
        <v>0.49575609570579549</v>
      </c>
      <c r="BI87">
        <f t="shared" si="210"/>
        <v>1.2533156965381001E-2</v>
      </c>
      <c r="BJ87" s="460">
        <f t="shared" si="278"/>
        <v>48.653116528043164</v>
      </c>
      <c r="BK87">
        <f t="shared" si="211"/>
        <v>3.6560892032236603</v>
      </c>
      <c r="BL87" s="460">
        <f t="shared" si="279"/>
        <v>3656.0892032236602</v>
      </c>
      <c r="BM87" s="173">
        <f t="shared" si="212"/>
        <v>1.3747299999999998</v>
      </c>
      <c r="BN87" s="173">
        <f t="shared" si="213"/>
        <v>9.8194999999999991E-2</v>
      </c>
      <c r="BO87" s="528"/>
      <c r="BQ87" s="460">
        <f t="shared" si="280"/>
        <v>1472.9249999999997</v>
      </c>
      <c r="BR87" s="528">
        <f t="shared" si="214"/>
        <v>0.16798695630580177</v>
      </c>
      <c r="BS87" s="528">
        <f t="shared" si="215"/>
        <v>0.192580419580723</v>
      </c>
      <c r="BT87" s="528">
        <f t="shared" si="216"/>
        <v>6.9910862283486543E-4</v>
      </c>
      <c r="BU87" s="528">
        <f t="shared" si="217"/>
        <v>20.024796088434709</v>
      </c>
      <c r="BV87" s="528">
        <f t="shared" si="218"/>
        <v>21.082066039983022</v>
      </c>
      <c r="BW87" s="625">
        <f t="shared" si="219"/>
        <v>2.4267724912987236</v>
      </c>
      <c r="BX87" s="460">
        <f t="shared" si="281"/>
        <v>23508.838531281748</v>
      </c>
      <c r="BY87" s="173">
        <f t="shared" si="282"/>
        <v>28.637852734505405</v>
      </c>
      <c r="BZ87" s="5">
        <f t="shared" si="283"/>
        <v>63.54999999999999</v>
      </c>
      <c r="CA87" s="173">
        <f t="shared" si="284"/>
        <v>0.68935329454976646</v>
      </c>
      <c r="CB87" s="5">
        <f t="shared" si="285"/>
        <v>68.935329454976653</v>
      </c>
      <c r="CC87">
        <f t="shared" si="286"/>
        <v>82</v>
      </c>
      <c r="CE87" s="562">
        <f t="shared" si="220"/>
        <v>-50</v>
      </c>
      <c r="CF87">
        <f t="shared" si="221"/>
        <v>-50</v>
      </c>
      <c r="CG87" s="173">
        <f t="shared" si="222"/>
        <v>0.47641678205609539</v>
      </c>
      <c r="CH87" s="173">
        <f t="shared" si="223"/>
        <v>0.15449493440943712</v>
      </c>
      <c r="CI87" s="170">
        <v>82</v>
      </c>
      <c r="CJ87" s="217">
        <f t="shared" si="308"/>
        <v>2.0499999999999998</v>
      </c>
      <c r="CK87" s="217">
        <f t="shared" si="287"/>
        <v>0.20499999999999999</v>
      </c>
      <c r="CL87" s="217">
        <f t="shared" si="224"/>
        <v>57.399999999999991</v>
      </c>
      <c r="CM87" s="217">
        <f t="shared" si="309"/>
        <v>6.1499999999999995</v>
      </c>
      <c r="CN87" s="541">
        <f t="shared" si="288"/>
        <v>28</v>
      </c>
      <c r="CO87" s="443">
        <f t="shared" si="225"/>
        <v>28.7</v>
      </c>
      <c r="CP87" s="443">
        <f t="shared" si="226"/>
        <v>56.7</v>
      </c>
      <c r="CQ87" s="443"/>
      <c r="CR87" s="217">
        <f t="shared" si="227"/>
        <v>0.50354609929078009</v>
      </c>
      <c r="CS87" s="172">
        <f t="shared" si="289"/>
        <v>106.12369404407841</v>
      </c>
      <c r="CT87" s="172">
        <f t="shared" si="228"/>
        <v>12.588652482269502</v>
      </c>
      <c r="CU87" s="217">
        <f t="shared" si="229"/>
        <v>3.7901319301456575</v>
      </c>
      <c r="CV87" s="217">
        <f t="shared" si="230"/>
        <v>3.5374564681359471</v>
      </c>
      <c r="CW87" s="443">
        <f t="shared" si="231"/>
        <v>28</v>
      </c>
      <c r="CX87" s="217">
        <f t="shared" si="232"/>
        <v>9.0146378269617706</v>
      </c>
      <c r="CY87" s="217">
        <f t="shared" si="233"/>
        <v>1.513171349525726</v>
      </c>
      <c r="CZ87" s="217">
        <f t="shared" si="234"/>
        <v>1.4762647312446107</v>
      </c>
      <c r="DA87" s="197">
        <f t="shared" si="235"/>
        <v>350</v>
      </c>
      <c r="DB87" s="443">
        <f t="shared" si="290"/>
        <v>334.51124994193344</v>
      </c>
      <c r="DD87" s="217">
        <f t="shared" si="236"/>
        <v>8.6157079064880477</v>
      </c>
      <c r="DE87" s="173">
        <f t="shared" si="237"/>
        <v>1.4109347442680775</v>
      </c>
      <c r="DF87" s="173">
        <f t="shared" si="238"/>
        <v>2.1273352855526046</v>
      </c>
      <c r="DG87" s="173"/>
      <c r="DH87" s="173">
        <f t="shared" si="239"/>
        <v>0.54587688734030204</v>
      </c>
      <c r="DI87" s="545">
        <f t="shared" si="240"/>
        <v>2253.255319148936</v>
      </c>
      <c r="DJ87" s="528">
        <f t="shared" si="241"/>
        <v>0.31842818428184283</v>
      </c>
      <c r="DL87" s="173">
        <f t="shared" si="242"/>
        <v>8.7900192087372364</v>
      </c>
      <c r="DM87" s="173">
        <f t="shared" si="243"/>
        <v>8.7900192087372364</v>
      </c>
      <c r="DN87" s="173">
        <f t="shared" si="244"/>
        <v>5.2419895373362237</v>
      </c>
      <c r="DP87" s="545">
        <f t="shared" si="245"/>
        <v>2050</v>
      </c>
      <c r="DQ87" s="460">
        <f t="shared" si="246"/>
        <v>334.51124994193344</v>
      </c>
      <c r="DS87">
        <f t="shared" si="291"/>
        <v>2050</v>
      </c>
      <c r="DT87">
        <f t="shared" si="247"/>
        <v>334.51124994193344</v>
      </c>
      <c r="DV87" s="5">
        <f t="shared" si="292"/>
        <v>2.9894360807703366</v>
      </c>
      <c r="DW87" s="5">
        <f t="shared" si="248"/>
        <v>1.4754675100380359</v>
      </c>
      <c r="DX87" s="5">
        <f t="shared" si="293"/>
        <v>1.5139685707323007</v>
      </c>
      <c r="DY87" s="173">
        <f t="shared" si="294"/>
        <v>0.4935604810315356</v>
      </c>
      <c r="EA87" s="5">
        <f t="shared" si="249"/>
        <v>10.802529984207048</v>
      </c>
      <c r="EB87" s="5">
        <f t="shared" si="250"/>
        <v>1.0082361318593245</v>
      </c>
      <c r="EC87" s="5">
        <f t="shared" si="251"/>
        <v>2.2168825500008684</v>
      </c>
      <c r="ED87" s="5"/>
      <c r="EE87" s="173">
        <f t="shared" si="295"/>
        <v>3.5653271487523881</v>
      </c>
      <c r="EF87" s="173">
        <f t="shared" si="252"/>
        <v>3.6115446675477187</v>
      </c>
      <c r="EG87" s="173">
        <f t="shared" si="253"/>
        <v>0.36411474926915527</v>
      </c>
      <c r="EH87" s="173"/>
      <c r="EI87" s="528">
        <f t="shared" si="254"/>
        <v>0.15253869213157001</v>
      </c>
      <c r="EJ87" s="528">
        <f t="shared" si="255"/>
        <v>3.167650164686735</v>
      </c>
      <c r="EK87" s="528">
        <f t="shared" si="256"/>
        <v>3.8468793743322349E-2</v>
      </c>
      <c r="EL87" s="528">
        <f t="shared" si="257"/>
        <v>0.52964280962046761</v>
      </c>
      <c r="EM87">
        <f t="shared" si="258"/>
        <v>1.26E-2</v>
      </c>
      <c r="EN87" s="460">
        <f t="shared" si="296"/>
        <v>51.068793743322352</v>
      </c>
      <c r="EO87">
        <f t="shared" si="259"/>
        <v>4.0903326227630856</v>
      </c>
      <c r="EP87" s="460">
        <f t="shared" si="297"/>
        <v>4090.3326227630855</v>
      </c>
      <c r="EQ87" s="173">
        <f t="shared" si="260"/>
        <v>1.3747299999999998</v>
      </c>
      <c r="ER87" s="173">
        <f t="shared" si="261"/>
        <v>9.8194999999999991E-2</v>
      </c>
      <c r="ES87" s="528"/>
      <c r="EU87" s="460">
        <f t="shared" si="298"/>
        <v>1472.9249999999997</v>
      </c>
      <c r="EV87" s="528">
        <f t="shared" si="262"/>
        <v>0.17796180748683169</v>
      </c>
      <c r="EW87" s="528">
        <f t="shared" si="299"/>
        <v>0.18260556839969308</v>
      </c>
      <c r="EX87" s="528">
        <f t="shared" si="263"/>
        <v>6.6289775317669903E-4</v>
      </c>
      <c r="EY87" s="528">
        <f t="shared" si="264"/>
        <v>23.44074362319591</v>
      </c>
      <c r="EZ87" s="528">
        <f t="shared" si="265"/>
        <v>24.599557555071875</v>
      </c>
      <c r="FA87" s="625">
        <f t="shared" si="266"/>
        <v>2.5845823627732365</v>
      </c>
      <c r="FB87" s="460">
        <f t="shared" si="300"/>
        <v>27184.13991784511</v>
      </c>
      <c r="FC87" s="173">
        <f t="shared" si="301"/>
        <v>32.747397540608198</v>
      </c>
      <c r="FD87" s="5">
        <f t="shared" si="302"/>
        <v>63.54999999999999</v>
      </c>
      <c r="FE87" s="173">
        <f t="shared" si="303"/>
        <v>0.65993476067929291</v>
      </c>
      <c r="FF87" s="5">
        <f t="shared" si="304"/>
        <v>65.993476067929294</v>
      </c>
      <c r="FG87">
        <f t="shared" si="305"/>
        <v>82</v>
      </c>
      <c r="FI87" s="562">
        <f t="shared" si="267"/>
        <v>-50</v>
      </c>
      <c r="FJ87">
        <f t="shared" si="268"/>
        <v>-50</v>
      </c>
      <c r="FL87">
        <f t="shared" si="269"/>
        <v>0.47641678205609539</v>
      </c>
    </row>
    <row r="88" spans="5:168">
      <c r="E88" s="170">
        <v>83</v>
      </c>
      <c r="F88" s="217">
        <f t="shared" si="306"/>
        <v>2.0749999999999997</v>
      </c>
      <c r="G88" s="217">
        <f t="shared" si="270"/>
        <v>0.20749999999999999</v>
      </c>
      <c r="H88" s="217">
        <f t="shared" si="175"/>
        <v>58.099999999999994</v>
      </c>
      <c r="I88" s="217">
        <f t="shared" si="307"/>
        <v>6.2249999999999996</v>
      </c>
      <c r="J88" s="541">
        <f t="shared" si="176"/>
        <v>27.849648458716072</v>
      </c>
      <c r="K88" s="443">
        <f t="shared" si="177"/>
        <v>28.760976021614159</v>
      </c>
      <c r="L88" s="172">
        <f t="shared" si="178"/>
        <v>56.61062448033023</v>
      </c>
      <c r="M88" s="443"/>
      <c r="N88" s="217">
        <f t="shared" si="179"/>
        <v>0.50804908593805331</v>
      </c>
      <c r="O88" s="172">
        <f t="shared" si="271"/>
        <v>106.49776247529861</v>
      </c>
      <c r="P88" s="172">
        <f t="shared" si="180"/>
        <v>12.633025395666801</v>
      </c>
      <c r="Q88" s="217">
        <f t="shared" si="181"/>
        <v>3.8034915169749506</v>
      </c>
      <c r="R88" s="217">
        <f t="shared" si="182"/>
        <v>3.5499254158432874</v>
      </c>
      <c r="S88" s="443">
        <f t="shared" si="183"/>
        <v>28</v>
      </c>
      <c r="T88" s="217">
        <f t="shared" si="184"/>
        <v>9.0925227988515811</v>
      </c>
      <c r="U88" s="217">
        <f t="shared" si="185"/>
        <v>1.5344846172098721</v>
      </c>
      <c r="V88" s="217">
        <f t="shared" si="186"/>
        <v>1.4858625493963336</v>
      </c>
      <c r="W88" s="197">
        <f t="shared" si="187"/>
        <v>350</v>
      </c>
      <c r="X88" s="443">
        <f t="shared" si="272"/>
        <v>310.5255266791188</v>
      </c>
      <c r="Z88" s="217">
        <f t="shared" si="188"/>
        <v>8.6012087800284611</v>
      </c>
      <c r="AA88" s="173">
        <f t="shared" si="189"/>
        <v>1.4055740401769907</v>
      </c>
      <c r="AB88" s="173">
        <f t="shared" si="190"/>
        <v>2.1156862606863216</v>
      </c>
      <c r="AC88" s="173"/>
      <c r="AD88" s="173">
        <f t="shared" si="191"/>
        <v>0.54471957609828714</v>
      </c>
      <c r="AE88" s="545">
        <f t="shared" si="192"/>
        <v>2285.5796902282736</v>
      </c>
      <c r="AF88" s="528">
        <f t="shared" si="193"/>
        <v>0.31775308605733421</v>
      </c>
      <c r="AH88" s="173">
        <f t="shared" si="194"/>
        <v>8.8434544681414611</v>
      </c>
      <c r="AI88" s="173">
        <f t="shared" si="195"/>
        <v>8.8434544681414611</v>
      </c>
      <c r="AJ88" s="173">
        <f t="shared" si="196"/>
        <v>5.2815712109689832</v>
      </c>
      <c r="AL88" s="545">
        <f t="shared" si="197"/>
        <v>2074.9999999999995</v>
      </c>
      <c r="AM88" s="460">
        <f t="shared" si="198"/>
        <v>310.5255266791188</v>
      </c>
      <c r="AO88">
        <f t="shared" si="273"/>
        <v>2074.9999999999995</v>
      </c>
      <c r="AP88">
        <f t="shared" si="199"/>
        <v>310.5255266791188</v>
      </c>
      <c r="AR88" s="5">
        <f t="shared" si="274"/>
        <v>3.220347166606206</v>
      </c>
      <c r="AS88" s="5">
        <f t="shared" si="200"/>
        <v>1.4924510110739497</v>
      </c>
      <c r="AT88" s="5">
        <f t="shared" si="275"/>
        <v>1.7278961555322563</v>
      </c>
      <c r="AU88" s="173">
        <f t="shared" si="276"/>
        <v>0.46344413625652159</v>
      </c>
      <c r="AW88" s="5">
        <f t="shared" si="201"/>
        <v>11.060128028494447</v>
      </c>
      <c r="AX88" s="5">
        <f t="shared" si="202"/>
        <v>1.0322786159928152</v>
      </c>
      <c r="AY88" s="5">
        <f t="shared" si="203"/>
        <v>2.5748149230999129</v>
      </c>
      <c r="AZ88" s="5"/>
      <c r="BA88" s="173">
        <f t="shared" si="277"/>
        <v>3.4758418871692225</v>
      </c>
      <c r="BB88" s="173">
        <f t="shared" si="204"/>
        <v>3.739975777831138</v>
      </c>
      <c r="BC88" s="173">
        <f t="shared" si="205"/>
        <v>0.37706313169936878</v>
      </c>
      <c r="BD88" s="173"/>
      <c r="BE88" s="528">
        <f t="shared" si="206"/>
        <v>0.14497772189520122</v>
      </c>
      <c r="BF88" s="528">
        <f t="shared" si="207"/>
        <v>2.8371354196936642</v>
      </c>
      <c r="BG88" s="528">
        <f t="shared" si="208"/>
        <v>3.5710435568098664E-2</v>
      </c>
      <c r="BH88" s="528">
        <f t="shared" si="209"/>
        <v>0.49011662387302168</v>
      </c>
      <c r="BI88">
        <f t="shared" si="210"/>
        <v>1.2532341806422232E-2</v>
      </c>
      <c r="BJ88" s="460">
        <f t="shared" si="278"/>
        <v>48.242777374520891</v>
      </c>
      <c r="BK88">
        <f t="shared" si="211"/>
        <v>3.6366441653922199</v>
      </c>
      <c r="BL88" s="460">
        <f t="shared" si="279"/>
        <v>3636.6441653922197</v>
      </c>
      <c r="BM88" s="173">
        <f t="shared" si="212"/>
        <v>1.3914949999999997</v>
      </c>
      <c r="BN88" s="173">
        <f t="shared" si="213"/>
        <v>9.9392499999999995E-2</v>
      </c>
      <c r="BO88" s="528"/>
      <c r="BQ88" s="460">
        <f t="shared" si="280"/>
        <v>1490.8874999999996</v>
      </c>
      <c r="BR88" s="528">
        <f t="shared" si="214"/>
        <v>0.16914067554440143</v>
      </c>
      <c r="BS88" s="528">
        <f t="shared" si="215"/>
        <v>0.19582386346269076</v>
      </c>
      <c r="BT88" s="528">
        <f t="shared" si="216"/>
        <v>7.1088302643467762E-4</v>
      </c>
      <c r="BU88" s="528">
        <f t="shared" si="217"/>
        <v>19.759144274250648</v>
      </c>
      <c r="BV88" s="528">
        <f t="shared" si="218"/>
        <v>20.821700527809206</v>
      </c>
      <c r="BW88" s="625">
        <f t="shared" si="219"/>
        <v>2.4285172648795519</v>
      </c>
      <c r="BX88" s="460">
        <f t="shared" si="281"/>
        <v>23250.21779268876</v>
      </c>
      <c r="BY88" s="173">
        <f t="shared" si="282"/>
        <v>28.377749458080977</v>
      </c>
      <c r="BZ88" s="5">
        <f t="shared" si="283"/>
        <v>64.324999999999989</v>
      </c>
      <c r="CA88" s="173">
        <f t="shared" si="284"/>
        <v>0.69388448968373861</v>
      </c>
      <c r="CB88" s="5">
        <f t="shared" si="285"/>
        <v>69.388448968373865</v>
      </c>
      <c r="CC88">
        <f t="shared" si="286"/>
        <v>82.999999999999986</v>
      </c>
      <c r="CE88" s="562">
        <f t="shared" si="220"/>
        <v>-50</v>
      </c>
      <c r="CF88">
        <f t="shared" si="221"/>
        <v>-50</v>
      </c>
      <c r="CG88" s="173">
        <f t="shared" si="222"/>
        <v>0.47641678205609544</v>
      </c>
      <c r="CH88" s="173">
        <f t="shared" si="223"/>
        <v>0.15449493440943715</v>
      </c>
      <c r="CI88" s="170">
        <v>83</v>
      </c>
      <c r="CJ88" s="217">
        <f t="shared" si="308"/>
        <v>2.0749999999999997</v>
      </c>
      <c r="CK88" s="217">
        <f t="shared" si="287"/>
        <v>0.20749999999999999</v>
      </c>
      <c r="CL88" s="217">
        <f t="shared" si="224"/>
        <v>58.099999999999994</v>
      </c>
      <c r="CM88" s="217">
        <f t="shared" si="309"/>
        <v>6.2249999999999996</v>
      </c>
      <c r="CN88" s="541">
        <f t="shared" si="288"/>
        <v>28</v>
      </c>
      <c r="CO88" s="443">
        <f t="shared" si="225"/>
        <v>28.7</v>
      </c>
      <c r="CP88" s="443">
        <f t="shared" si="226"/>
        <v>56.7</v>
      </c>
      <c r="CQ88" s="443"/>
      <c r="CR88" s="217">
        <f t="shared" si="227"/>
        <v>0.50354609929078009</v>
      </c>
      <c r="CS88" s="172">
        <f t="shared" si="289"/>
        <v>106.12369404407841</v>
      </c>
      <c r="CT88" s="172">
        <f t="shared" si="228"/>
        <v>12.588652482269502</v>
      </c>
      <c r="CU88" s="217">
        <f t="shared" si="229"/>
        <v>3.7901319301456575</v>
      </c>
      <c r="CV88" s="217">
        <f t="shared" si="230"/>
        <v>3.5374564681359471</v>
      </c>
      <c r="CW88" s="443">
        <f t="shared" si="231"/>
        <v>28</v>
      </c>
      <c r="CX88" s="217">
        <f t="shared" si="232"/>
        <v>9.1245724346076447</v>
      </c>
      <c r="CY88" s="217">
        <f t="shared" si="233"/>
        <v>1.5316246586662832</v>
      </c>
      <c r="CZ88" s="217">
        <f t="shared" si="234"/>
        <v>1.4942679596744226</v>
      </c>
      <c r="DA88" s="197">
        <f t="shared" si="235"/>
        <v>350</v>
      </c>
      <c r="DB88" s="443">
        <f t="shared" si="290"/>
        <v>330.48099391853674</v>
      </c>
      <c r="DD88" s="217">
        <f t="shared" si="236"/>
        <v>8.6157079064880477</v>
      </c>
      <c r="DE88" s="173">
        <f t="shared" si="237"/>
        <v>1.4109347442680775</v>
      </c>
      <c r="DF88" s="173">
        <f t="shared" si="238"/>
        <v>2.1273352855526046</v>
      </c>
      <c r="DG88" s="173"/>
      <c r="DH88" s="173">
        <f t="shared" si="239"/>
        <v>0.54587688734030204</v>
      </c>
      <c r="DI88" s="545">
        <f t="shared" si="240"/>
        <v>2280.7340425531911</v>
      </c>
      <c r="DJ88" s="528">
        <f t="shared" si="241"/>
        <v>0.31842818428184283</v>
      </c>
      <c r="DL88" s="173">
        <f t="shared" si="242"/>
        <v>8.8434544681414611</v>
      </c>
      <c r="DM88" s="173">
        <f t="shared" si="243"/>
        <v>8.8434544681414611</v>
      </c>
      <c r="DN88" s="173">
        <f t="shared" si="244"/>
        <v>5.2815712109689832</v>
      </c>
      <c r="DP88" s="545">
        <f t="shared" si="245"/>
        <v>2074.9999999999995</v>
      </c>
      <c r="DQ88" s="460">
        <f t="shared" si="246"/>
        <v>330.48099391853674</v>
      </c>
      <c r="DS88">
        <f t="shared" si="291"/>
        <v>2074.9999999999995</v>
      </c>
      <c r="DT88">
        <f t="shared" si="247"/>
        <v>330.48099391853674</v>
      </c>
      <c r="DV88" s="5">
        <f t="shared" si="292"/>
        <v>3.025892618340706</v>
      </c>
      <c r="DW88" s="5">
        <f t="shared" si="248"/>
        <v>1.4844370000094596</v>
      </c>
      <c r="DX88" s="5">
        <f t="shared" si="293"/>
        <v>1.5414556183312464</v>
      </c>
      <c r="DY88" s="173">
        <f t="shared" si="294"/>
        <v>0.4905782151725771</v>
      </c>
      <c r="EA88" s="5">
        <f t="shared" si="249"/>
        <v>11.000738482212956</v>
      </c>
      <c r="EB88" s="5">
        <f t="shared" si="250"/>
        <v>1.0267355916732093</v>
      </c>
      <c r="EC88" s="5">
        <f t="shared" si="251"/>
        <v>2.2846574343123827</v>
      </c>
      <c r="ED88" s="5"/>
      <c r="EE88" s="173">
        <f t="shared" si="295"/>
        <v>3.576147689377712</v>
      </c>
      <c r="EF88" s="173">
        <f t="shared" si="252"/>
        <v>3.6441821232098399</v>
      </c>
      <c r="EG88" s="173">
        <f t="shared" si="253"/>
        <v>0.36740524684820514</v>
      </c>
      <c r="EH88" s="173"/>
      <c r="EI88" s="528">
        <f t="shared" si="254"/>
        <v>0.15346598755489857</v>
      </c>
      <c r="EJ88" s="528">
        <f t="shared" si="255"/>
        <v>3.1485101093088699</v>
      </c>
      <c r="EK88" s="528">
        <f t="shared" si="256"/>
        <v>3.8005314300631733E-2</v>
      </c>
      <c r="EL88" s="528">
        <f t="shared" si="257"/>
        <v>0.52326157095034165</v>
      </c>
      <c r="EM88">
        <f t="shared" si="258"/>
        <v>1.26E-2</v>
      </c>
      <c r="EN88" s="460">
        <f t="shared" si="296"/>
        <v>50.605314300631733</v>
      </c>
      <c r="EO88">
        <f t="shared" si="259"/>
        <v>4.0655220373574537</v>
      </c>
      <c r="EP88" s="460">
        <f t="shared" si="297"/>
        <v>4065.5220373574539</v>
      </c>
      <c r="EQ88" s="173">
        <f t="shared" si="260"/>
        <v>1.3914949999999997</v>
      </c>
      <c r="ER88" s="173">
        <f t="shared" si="261"/>
        <v>9.9392499999999995E-2</v>
      </c>
      <c r="ES88" s="528"/>
      <c r="EU88" s="460">
        <f t="shared" si="298"/>
        <v>1490.8874999999996</v>
      </c>
      <c r="EV88" s="528">
        <f t="shared" si="262"/>
        <v>0.17904365214738169</v>
      </c>
      <c r="EW88" s="528">
        <f t="shared" si="299"/>
        <v>0.18592088685971048</v>
      </c>
      <c r="EX88" s="528">
        <f t="shared" si="263"/>
        <v>6.7493307705795275E-4</v>
      </c>
      <c r="EY88" s="528">
        <f t="shared" si="264"/>
        <v>23.088253647263272</v>
      </c>
      <c r="EZ88" s="528">
        <f t="shared" si="265"/>
        <v>24.251016914414855</v>
      </c>
      <c r="FA88" s="625">
        <f t="shared" si="266"/>
        <v>2.5845823627732365</v>
      </c>
      <c r="FB88" s="460">
        <f t="shared" si="300"/>
        <v>26835.599277188092</v>
      </c>
      <c r="FC88" s="173">
        <f t="shared" si="301"/>
        <v>32.392008814545548</v>
      </c>
      <c r="FD88" s="5">
        <f t="shared" si="302"/>
        <v>64.324999999999989</v>
      </c>
      <c r="FE88" s="173">
        <f t="shared" si="303"/>
        <v>0.66508467112897285</v>
      </c>
      <c r="FF88" s="5">
        <f t="shared" si="304"/>
        <v>66.508467112897279</v>
      </c>
      <c r="FG88">
        <f t="shared" si="305"/>
        <v>82.999999999999986</v>
      </c>
      <c r="FI88" s="562">
        <f t="shared" si="267"/>
        <v>-50</v>
      </c>
      <c r="FJ88">
        <f t="shared" si="268"/>
        <v>-50</v>
      </c>
      <c r="FL88">
        <f t="shared" si="269"/>
        <v>0.47641678205609544</v>
      </c>
    </row>
    <row r="89" spans="5:168">
      <c r="E89" s="170">
        <v>84</v>
      </c>
      <c r="F89" s="217">
        <f t="shared" si="306"/>
        <v>2.1</v>
      </c>
      <c r="G89" s="217">
        <f t="shared" si="270"/>
        <v>0.21</v>
      </c>
      <c r="H89" s="217">
        <f t="shared" si="175"/>
        <v>58.800000000000004</v>
      </c>
      <c r="I89" s="217">
        <f t="shared" si="307"/>
        <v>6.3</v>
      </c>
      <c r="J89" s="541">
        <f t="shared" si="176"/>
        <v>27.847836994363256</v>
      </c>
      <c r="K89" s="443">
        <f t="shared" si="177"/>
        <v>28.76171067247698</v>
      </c>
      <c r="L89" s="172">
        <f t="shared" si="178"/>
        <v>56.609547666840236</v>
      </c>
      <c r="M89" s="443"/>
      <c r="N89" s="217">
        <f t="shared" si="179"/>
        <v>0.50807172743626283</v>
      </c>
      <c r="O89" s="172">
        <f t="shared" si="271"/>
        <v>106.49558121465294</v>
      </c>
      <c r="P89" s="172">
        <f t="shared" si="180"/>
        <v>12.632766649187147</v>
      </c>
      <c r="Q89" s="217">
        <f t="shared" si="181"/>
        <v>3.8034136148090338</v>
      </c>
      <c r="R89" s="217">
        <f t="shared" si="182"/>
        <v>3.549852707155098</v>
      </c>
      <c r="S89" s="443">
        <f t="shared" si="183"/>
        <v>28</v>
      </c>
      <c r="T89" s="217">
        <f t="shared" si="184"/>
        <v>9.2022597446997167</v>
      </c>
      <c r="U89" s="217">
        <f t="shared" si="185"/>
        <v>1.5531052127618792</v>
      </c>
      <c r="V89" s="217">
        <f t="shared" si="186"/>
        <v>1.5037568972375694</v>
      </c>
      <c r="W89" s="197">
        <f t="shared" si="187"/>
        <v>350</v>
      </c>
      <c r="X89" s="443">
        <f t="shared" si="272"/>
        <v>307.04400930261346</v>
      </c>
      <c r="Z89" s="217">
        <f t="shared" si="188"/>
        <v>8.601032612212526</v>
      </c>
      <c r="AA89" s="173">
        <f t="shared" si="189"/>
        <v>1.4055093501821063</v>
      </c>
      <c r="AB89" s="173">
        <f t="shared" si="190"/>
        <v>2.1155455575950382</v>
      </c>
      <c r="AC89" s="173"/>
      <c r="AD89" s="173">
        <f t="shared" si="191"/>
        <v>0.54470566250631991</v>
      </c>
      <c r="AE89" s="545">
        <f t="shared" si="192"/>
        <v>2313.1758796162339</v>
      </c>
      <c r="AF89" s="528">
        <f t="shared" si="193"/>
        <v>0.31774496979535333</v>
      </c>
      <c r="AH89" s="173">
        <f t="shared" si="194"/>
        <v>8.8965687863475083</v>
      </c>
      <c r="AI89" s="173">
        <f t="shared" si="195"/>
        <v>8.8965687863475083</v>
      </c>
      <c r="AJ89" s="173">
        <f t="shared" si="196"/>
        <v>5.3209151503808698</v>
      </c>
      <c r="AL89" s="545">
        <f t="shared" si="197"/>
        <v>2100</v>
      </c>
      <c r="AM89" s="460">
        <f t="shared" si="198"/>
        <v>307.04400930261346</v>
      </c>
      <c r="AO89">
        <f t="shared" si="273"/>
        <v>2100</v>
      </c>
      <c r="AP89">
        <f t="shared" si="199"/>
        <v>307.04400930261346</v>
      </c>
      <c r="AR89" s="5">
        <f t="shared" si="274"/>
        <v>3.2568621099994486</v>
      </c>
      <c r="AS89" s="5">
        <f t="shared" si="200"/>
        <v>1.5015124264156288</v>
      </c>
      <c r="AT89" s="5">
        <f t="shared" si="275"/>
        <v>1.7553496835838198</v>
      </c>
      <c r="AU89" s="173">
        <f t="shared" si="276"/>
        <v>0.46103039542435004</v>
      </c>
      <c r="AW89" s="5">
        <f t="shared" si="201"/>
        <v>11.261343198117215</v>
      </c>
      <c r="AX89" s="5">
        <f t="shared" si="202"/>
        <v>1.05105869849094</v>
      </c>
      <c r="AY89" s="5">
        <f t="shared" si="203"/>
        <v>2.647411600600909</v>
      </c>
      <c r="AZ89" s="5"/>
      <c r="BA89" s="173">
        <f t="shared" si="277"/>
        <v>3.4876001940192745</v>
      </c>
      <c r="BB89" s="173">
        <f t="shared" si="204"/>
        <v>3.7708916200390834</v>
      </c>
      <c r="BC89" s="173">
        <f t="shared" si="205"/>
        <v>0.38018005677443217</v>
      </c>
      <c r="BD89" s="173"/>
      <c r="BE89" s="528">
        <f t="shared" si="206"/>
        <v>0.14596026135987938</v>
      </c>
      <c r="BF89" s="528">
        <f t="shared" si="207"/>
        <v>2.8221216002829772</v>
      </c>
      <c r="BG89" s="528">
        <f t="shared" si="208"/>
        <v>3.5310061069800551E-2</v>
      </c>
      <c r="BH89" s="528">
        <f t="shared" si="209"/>
        <v>0.48460314976907753</v>
      </c>
      <c r="BI89">
        <f t="shared" si="210"/>
        <v>1.2531526647463464E-2</v>
      </c>
      <c r="BJ89" s="460">
        <f t="shared" si="278"/>
        <v>47.841587717264019</v>
      </c>
      <c r="BK89">
        <f t="shared" si="211"/>
        <v>3.6175515413653203</v>
      </c>
      <c r="BL89" s="460">
        <f t="shared" si="279"/>
        <v>3617.5515413653202</v>
      </c>
      <c r="BM89" s="173">
        <f t="shared" si="212"/>
        <v>1.4082599999999998</v>
      </c>
      <c r="BN89" s="173">
        <f t="shared" si="213"/>
        <v>0.10059</v>
      </c>
      <c r="BO89" s="528"/>
      <c r="BQ89" s="460">
        <f t="shared" si="280"/>
        <v>1508.85</v>
      </c>
      <c r="BR89" s="528">
        <f t="shared" si="214"/>
        <v>0.17028697158652592</v>
      </c>
      <c r="BS89" s="528">
        <f t="shared" si="215"/>
        <v>0.19907473054113378</v>
      </c>
      <c r="BT89" s="528">
        <f t="shared" si="216"/>
        <v>7.2268437784505236E-4</v>
      </c>
      <c r="BU89" s="528">
        <f t="shared" si="217"/>
        <v>19.49969989895666</v>
      </c>
      <c r="BV89" s="528">
        <f t="shared" si="218"/>
        <v>20.567542650523059</v>
      </c>
      <c r="BW89" s="625">
        <f t="shared" si="219"/>
        <v>2.430220669373877</v>
      </c>
      <c r="BX89" s="460">
        <f t="shared" si="281"/>
        <v>22997.763319896938</v>
      </c>
      <c r="BY89" s="173">
        <f t="shared" si="282"/>
        <v>28.124164861262255</v>
      </c>
      <c r="BZ89" s="5">
        <f t="shared" si="283"/>
        <v>65.100000000000009</v>
      </c>
      <c r="CA89" s="173">
        <f t="shared" si="284"/>
        <v>0.69831679475898656</v>
      </c>
      <c r="CB89" s="5">
        <f t="shared" si="285"/>
        <v>69.831679475898653</v>
      </c>
      <c r="CC89">
        <f t="shared" si="286"/>
        <v>84.000000000000014</v>
      </c>
      <c r="CE89" s="562">
        <f t="shared" si="220"/>
        <v>-50</v>
      </c>
      <c r="CF89">
        <f t="shared" si="221"/>
        <v>-50</v>
      </c>
      <c r="CG89" s="173">
        <f t="shared" si="222"/>
        <v>0.47641678205609539</v>
      </c>
      <c r="CH89" s="173">
        <f t="shared" si="223"/>
        <v>0.15449493440943712</v>
      </c>
      <c r="CI89" s="170">
        <v>84</v>
      </c>
      <c r="CJ89" s="217">
        <f t="shared" si="308"/>
        <v>2.1</v>
      </c>
      <c r="CK89" s="217">
        <f t="shared" si="287"/>
        <v>0.21</v>
      </c>
      <c r="CL89" s="217">
        <f t="shared" si="224"/>
        <v>58.800000000000004</v>
      </c>
      <c r="CM89" s="217">
        <f t="shared" si="309"/>
        <v>6.3</v>
      </c>
      <c r="CN89" s="541">
        <f t="shared" si="288"/>
        <v>28</v>
      </c>
      <c r="CO89" s="443">
        <f t="shared" si="225"/>
        <v>28.7</v>
      </c>
      <c r="CP89" s="443">
        <f t="shared" si="226"/>
        <v>56.7</v>
      </c>
      <c r="CQ89" s="443"/>
      <c r="CR89" s="217">
        <f t="shared" si="227"/>
        <v>0.50354609929078009</v>
      </c>
      <c r="CS89" s="172">
        <f t="shared" si="289"/>
        <v>106.12369404407841</v>
      </c>
      <c r="CT89" s="172">
        <f t="shared" si="228"/>
        <v>12.588652482269502</v>
      </c>
      <c r="CU89" s="217">
        <f t="shared" si="229"/>
        <v>3.7901319301456575</v>
      </c>
      <c r="CV89" s="217">
        <f t="shared" si="230"/>
        <v>3.5374564681359471</v>
      </c>
      <c r="CW89" s="443">
        <f t="shared" si="231"/>
        <v>28</v>
      </c>
      <c r="CX89" s="217">
        <f t="shared" si="232"/>
        <v>9.234507042253524</v>
      </c>
      <c r="CY89" s="217">
        <f t="shared" si="233"/>
        <v>1.5500779678068415</v>
      </c>
      <c r="CZ89" s="217">
        <f t="shared" si="234"/>
        <v>1.5122711881042357</v>
      </c>
      <c r="DA89" s="197">
        <f t="shared" si="235"/>
        <v>350</v>
      </c>
      <c r="DB89" s="443">
        <f t="shared" si="290"/>
        <v>326.54669637188732</v>
      </c>
      <c r="DD89" s="217">
        <f t="shared" si="236"/>
        <v>8.6157079064880477</v>
      </c>
      <c r="DE89" s="173">
        <f t="shared" si="237"/>
        <v>1.4109347442680775</v>
      </c>
      <c r="DF89" s="173">
        <f t="shared" si="238"/>
        <v>2.1273352855526046</v>
      </c>
      <c r="DG89" s="173"/>
      <c r="DH89" s="173">
        <f t="shared" si="239"/>
        <v>0.54587688734030204</v>
      </c>
      <c r="DI89" s="545">
        <f t="shared" si="240"/>
        <v>2308.2127659574467</v>
      </c>
      <c r="DJ89" s="528">
        <f t="shared" si="241"/>
        <v>0.31842818428184283</v>
      </c>
      <c r="DL89" s="173">
        <f t="shared" si="242"/>
        <v>8.8965687863475083</v>
      </c>
      <c r="DM89" s="173">
        <f t="shared" si="243"/>
        <v>8.8965687863475083</v>
      </c>
      <c r="DN89" s="173">
        <f t="shared" si="244"/>
        <v>5.3209151503808698</v>
      </c>
      <c r="DP89" s="545">
        <f t="shared" si="245"/>
        <v>2100</v>
      </c>
      <c r="DQ89" s="460">
        <f t="shared" si="246"/>
        <v>326.54669637188732</v>
      </c>
      <c r="DS89">
        <f t="shared" si="291"/>
        <v>2100</v>
      </c>
      <c r="DT89">
        <f t="shared" si="247"/>
        <v>326.54669637188732</v>
      </c>
      <c r="DV89" s="5">
        <f t="shared" si="292"/>
        <v>3.0623491559110771</v>
      </c>
      <c r="DW89" s="5">
        <f t="shared" si="248"/>
        <v>1.4933526177083316</v>
      </c>
      <c r="DX89" s="5">
        <f t="shared" si="293"/>
        <v>1.5689965382027455</v>
      </c>
      <c r="DY89" s="173">
        <f t="shared" si="294"/>
        <v>0.48764936383096569</v>
      </c>
      <c r="EA89" s="5">
        <f t="shared" si="249"/>
        <v>11.200144632812487</v>
      </c>
      <c r="EB89" s="5">
        <f t="shared" si="250"/>
        <v>1.0453468323958321</v>
      </c>
      <c r="EC89" s="5">
        <f t="shared" si="251"/>
        <v>2.3534948073041182</v>
      </c>
      <c r="ED89" s="5"/>
      <c r="EE89" s="173">
        <f t="shared" si="295"/>
        <v>3.586870891241277</v>
      </c>
      <c r="EF89" s="173">
        <f t="shared" si="252"/>
        <v>3.676592978964393</v>
      </c>
      <c r="EG89" s="173">
        <f t="shared" si="253"/>
        <v>0.3706728986988691</v>
      </c>
      <c r="EH89" s="173"/>
      <c r="EI89" s="528">
        <f t="shared" si="254"/>
        <v>0.15438771348520791</v>
      </c>
      <c r="EJ89" s="528">
        <f t="shared" si="255"/>
        <v>3.1297128660303799</v>
      </c>
      <c r="EK89" s="528">
        <f t="shared" si="256"/>
        <v>3.7552870082767045E-2</v>
      </c>
      <c r="EL89" s="528">
        <f t="shared" si="257"/>
        <v>0.51703226653426582</v>
      </c>
      <c r="EM89">
        <f t="shared" si="258"/>
        <v>1.26E-2</v>
      </c>
      <c r="EN89" s="460">
        <f t="shared" si="296"/>
        <v>50.152870082767045</v>
      </c>
      <c r="EO89">
        <f t="shared" si="259"/>
        <v>4.0412122509183677</v>
      </c>
      <c r="EP89" s="460">
        <f t="shared" si="297"/>
        <v>4041.2122509183678</v>
      </c>
      <c r="EQ89" s="173">
        <f t="shared" si="260"/>
        <v>1.4082599999999998</v>
      </c>
      <c r="ER89" s="173">
        <f t="shared" si="261"/>
        <v>0.10059</v>
      </c>
      <c r="ES89" s="528"/>
      <c r="EU89" s="460">
        <f t="shared" si="298"/>
        <v>1508.85</v>
      </c>
      <c r="EV89" s="528">
        <f t="shared" si="262"/>
        <v>0.1801189990660759</v>
      </c>
      <c r="EW89" s="528">
        <f t="shared" si="299"/>
        <v>0.18924270306158378</v>
      </c>
      <c r="EX89" s="528">
        <f t="shared" si="263"/>
        <v>6.8699198914911035E-4</v>
      </c>
      <c r="EY89" s="528">
        <f t="shared" si="264"/>
        <v>22.74519124642481</v>
      </c>
      <c r="EZ89" s="528">
        <f t="shared" si="265"/>
        <v>23.911938145905182</v>
      </c>
      <c r="FA89" s="625">
        <f t="shared" si="266"/>
        <v>2.5845823627732361</v>
      </c>
      <c r="FB89" s="460">
        <f t="shared" si="300"/>
        <v>26496.520508678419</v>
      </c>
      <c r="FC89" s="173">
        <f t="shared" si="301"/>
        <v>32.046582759596781</v>
      </c>
      <c r="FD89" s="5">
        <f t="shared" si="302"/>
        <v>65.100000000000009</v>
      </c>
      <c r="FE89" s="173">
        <f t="shared" si="303"/>
        <v>0.67012135837139364</v>
      </c>
      <c r="FF89" s="5">
        <f t="shared" si="304"/>
        <v>67.012135837139368</v>
      </c>
      <c r="FG89">
        <f t="shared" si="305"/>
        <v>84.000000000000014</v>
      </c>
      <c r="FI89" s="562">
        <f t="shared" si="267"/>
        <v>-50</v>
      </c>
      <c r="FJ89">
        <f t="shared" si="268"/>
        <v>-50</v>
      </c>
      <c r="FL89">
        <f t="shared" si="269"/>
        <v>0.47641678205609533</v>
      </c>
    </row>
    <row r="90" spans="5:168">
      <c r="E90" s="170">
        <v>85</v>
      </c>
      <c r="F90" s="217">
        <f t="shared" si="306"/>
        <v>2.125</v>
      </c>
      <c r="G90" s="217">
        <f t="shared" si="270"/>
        <v>0.21249999999999999</v>
      </c>
      <c r="H90" s="217">
        <f t="shared" si="175"/>
        <v>59.5</v>
      </c>
      <c r="I90" s="217">
        <f t="shared" si="307"/>
        <v>6.375</v>
      </c>
      <c r="J90" s="541">
        <f t="shared" si="176"/>
        <v>27.846025530010436</v>
      </c>
      <c r="K90" s="443">
        <f t="shared" si="177"/>
        <v>28.762445323339801</v>
      </c>
      <c r="L90" s="172">
        <f t="shared" si="178"/>
        <v>56.608470853350241</v>
      </c>
      <c r="M90" s="443"/>
      <c r="N90" s="217">
        <f t="shared" si="179"/>
        <v>0.50809436979585121</v>
      </c>
      <c r="O90" s="172">
        <f t="shared" si="271"/>
        <v>106.49339951712783</v>
      </c>
      <c r="P90" s="172">
        <f t="shared" si="180"/>
        <v>12.632507850883783</v>
      </c>
      <c r="Q90" s="217">
        <f t="shared" si="181"/>
        <v>3.8033356970402794</v>
      </c>
      <c r="R90" s="217">
        <f t="shared" si="182"/>
        <v>3.5497799839042607</v>
      </c>
      <c r="S90" s="443">
        <f t="shared" si="183"/>
        <v>28</v>
      </c>
      <c r="T90" s="217">
        <f t="shared" si="184"/>
        <v>9.3120012241432164</v>
      </c>
      <c r="U90" s="217">
        <f t="shared" si="185"/>
        <v>1.5717289961651741</v>
      </c>
      <c r="V90" s="217">
        <f t="shared" si="186"/>
        <v>1.5216510717869347</v>
      </c>
      <c r="W90" s="197">
        <f t="shared" si="187"/>
        <v>350</v>
      </c>
      <c r="X90" s="443">
        <f t="shared" si="272"/>
        <v>303.63941584847828</v>
      </c>
      <c r="Z90" s="217">
        <f t="shared" si="188"/>
        <v>8.6008564091123638</v>
      </c>
      <c r="AA90" s="173">
        <f t="shared" si="189"/>
        <v>1.4054446577261395</v>
      </c>
      <c r="AB90" s="173">
        <f t="shared" si="190"/>
        <v>2.1154048461099046</v>
      </c>
      <c r="AC90" s="173"/>
      <c r="AD90" s="173">
        <f t="shared" si="191"/>
        <v>0.54469174962511513</v>
      </c>
      <c r="AE90" s="545">
        <f t="shared" si="192"/>
        <v>2340.773475782441</v>
      </c>
      <c r="AF90" s="528">
        <f t="shared" si="193"/>
        <v>0.31773685394798384</v>
      </c>
      <c r="AH90" s="173">
        <f t="shared" si="194"/>
        <v>8.9493678776958507</v>
      </c>
      <c r="AI90" s="173">
        <f t="shared" si="195"/>
        <v>9.3120012241432164</v>
      </c>
      <c r="AJ90" s="173">
        <f t="shared" si="196"/>
        <v>5.6286428820813939</v>
      </c>
      <c r="AL90" s="545">
        <f t="shared" si="197"/>
        <v>2125</v>
      </c>
      <c r="AM90" s="460">
        <f t="shared" si="198"/>
        <v>303.63941584847828</v>
      </c>
      <c r="AO90">
        <f t="shared" si="273"/>
        <v>2125</v>
      </c>
      <c r="AP90">
        <f t="shared" si="199"/>
        <v>303.63941584847828</v>
      </c>
      <c r="AR90" s="5">
        <f t="shared" si="274"/>
        <v>3.2933800679521088</v>
      </c>
      <c r="AS90" s="5">
        <f t="shared" si="200"/>
        <v>1.5717289961651741</v>
      </c>
      <c r="AT90" s="5">
        <f t="shared" si="275"/>
        <v>1.7216510717869347</v>
      </c>
      <c r="AU90" s="173">
        <f t="shared" si="276"/>
        <v>0.47723887426770861</v>
      </c>
      <c r="AW90" s="5">
        <f t="shared" si="201"/>
        <v>11.928300417324984</v>
      </c>
      <c r="AX90" s="5">
        <f t="shared" si="202"/>
        <v>1.1133080389503318</v>
      </c>
      <c r="AY90" s="5">
        <f t="shared" si="203"/>
        <v>2.6276701668641076</v>
      </c>
      <c r="AZ90" s="5"/>
      <c r="BA90" s="173">
        <f t="shared" si="277"/>
        <v>3.7140718694739281</v>
      </c>
      <c r="BB90" s="173">
        <f t="shared" si="204"/>
        <v>3.8871745198619565</v>
      </c>
      <c r="BC90" s="173">
        <f t="shared" si="205"/>
        <v>0.39190366060903331</v>
      </c>
      <c r="BD90" s="173"/>
      <c r="BE90" s="528">
        <f t="shared" si="206"/>
        <v>0.16553195821941072</v>
      </c>
      <c r="BF90" s="528">
        <f t="shared" si="207"/>
        <v>2.9210935382115846</v>
      </c>
      <c r="BG90" s="528">
        <f t="shared" si="208"/>
        <v>3.491853282257501E-2</v>
      </c>
      <c r="BH90" s="528">
        <f t="shared" si="209"/>
        <v>0.47921149740425051</v>
      </c>
      <c r="BI90">
        <f t="shared" si="210"/>
        <v>1.2530711488504697E-2</v>
      </c>
      <c r="BJ90" s="460">
        <f t="shared" si="278"/>
        <v>47.449244311079703</v>
      </c>
      <c r="BK90">
        <f t="shared" si="211"/>
        <v>3.7583479244808253</v>
      </c>
      <c r="BL90" s="460">
        <f t="shared" si="279"/>
        <v>3758.3479244808254</v>
      </c>
      <c r="BM90" s="173">
        <f t="shared" si="212"/>
        <v>1.4250249999999998</v>
      </c>
      <c r="BN90" s="173">
        <f t="shared" si="213"/>
        <v>0.10178749999999999</v>
      </c>
      <c r="BO90" s="528"/>
      <c r="BQ90" s="460">
        <f t="shared" si="280"/>
        <v>1526.8124999999998</v>
      </c>
      <c r="BR90" s="528">
        <f t="shared" si="214"/>
        <v>0.19312061792264584</v>
      </c>
      <c r="BS90" s="528">
        <f t="shared" si="215"/>
        <v>0.21154176047009646</v>
      </c>
      <c r="BT90" s="528">
        <f t="shared" si="216"/>
        <v>7.6794239599380185E-4</v>
      </c>
      <c r="BU90" s="528">
        <f t="shared" si="217"/>
        <v>21.255578698292407</v>
      </c>
      <c r="BV90" s="528">
        <f t="shared" si="218"/>
        <v>22.48768752544963</v>
      </c>
      <c r="BW90" s="625">
        <f t="shared" si="219"/>
        <v>2.6329596040934602</v>
      </c>
      <c r="BX90" s="460">
        <f t="shared" si="281"/>
        <v>25120.647129543089</v>
      </c>
      <c r="BY90" s="173">
        <f t="shared" si="282"/>
        <v>30.405807554023916</v>
      </c>
      <c r="BZ90" s="5">
        <f t="shared" si="283"/>
        <v>65.875</v>
      </c>
      <c r="CA90" s="173">
        <f t="shared" si="284"/>
        <v>0.68419658780943471</v>
      </c>
      <c r="CB90" s="5">
        <f t="shared" si="285"/>
        <v>68.419658780943465</v>
      </c>
      <c r="CC90">
        <f t="shared" si="286"/>
        <v>85</v>
      </c>
      <c r="CE90" s="562">
        <f t="shared" si="220"/>
        <v>-50</v>
      </c>
      <c r="CF90">
        <f t="shared" si="221"/>
        <v>-50</v>
      </c>
      <c r="CG90" s="173">
        <f t="shared" si="222"/>
        <v>0.47641678205609544</v>
      </c>
      <c r="CH90" s="173">
        <f t="shared" si="223"/>
        <v>0.15449493440943712</v>
      </c>
      <c r="CI90" s="170">
        <v>85</v>
      </c>
      <c r="CJ90" s="217">
        <f t="shared" si="308"/>
        <v>2.125</v>
      </c>
      <c r="CK90" s="217">
        <f t="shared" si="287"/>
        <v>0.21249999999999999</v>
      </c>
      <c r="CL90" s="217">
        <f t="shared" si="224"/>
        <v>59.5</v>
      </c>
      <c r="CM90" s="217">
        <f t="shared" si="309"/>
        <v>6.375</v>
      </c>
      <c r="CN90" s="541">
        <f t="shared" si="288"/>
        <v>28</v>
      </c>
      <c r="CO90" s="443">
        <f t="shared" si="225"/>
        <v>28.7</v>
      </c>
      <c r="CP90" s="443">
        <f t="shared" si="226"/>
        <v>56.7</v>
      </c>
      <c r="CQ90" s="443"/>
      <c r="CR90" s="217">
        <f t="shared" si="227"/>
        <v>0.50354609929078009</v>
      </c>
      <c r="CS90" s="172">
        <f t="shared" si="289"/>
        <v>106.12369404407841</v>
      </c>
      <c r="CT90" s="172">
        <f t="shared" si="228"/>
        <v>12.588652482269502</v>
      </c>
      <c r="CU90" s="217">
        <f t="shared" si="229"/>
        <v>3.7901319301456575</v>
      </c>
      <c r="CV90" s="217">
        <f t="shared" si="230"/>
        <v>3.5374564681359471</v>
      </c>
      <c r="CW90" s="443">
        <f t="shared" si="231"/>
        <v>28</v>
      </c>
      <c r="CX90" s="217">
        <f t="shared" si="232"/>
        <v>9.3444416498993981</v>
      </c>
      <c r="CY90" s="217">
        <f t="shared" si="233"/>
        <v>1.5685312769473987</v>
      </c>
      <c r="CZ90" s="217">
        <f t="shared" si="234"/>
        <v>1.5302744165340476</v>
      </c>
      <c r="DA90" s="197">
        <f t="shared" si="235"/>
        <v>350</v>
      </c>
      <c r="DB90" s="443">
        <f t="shared" si="290"/>
        <v>322.70497053221817</v>
      </c>
      <c r="DD90" s="217">
        <f t="shared" si="236"/>
        <v>8.6157079064880477</v>
      </c>
      <c r="DE90" s="173">
        <f t="shared" si="237"/>
        <v>1.4109347442680775</v>
      </c>
      <c r="DF90" s="173">
        <f t="shared" si="238"/>
        <v>2.1273352855526046</v>
      </c>
      <c r="DG90" s="173"/>
      <c r="DH90" s="173">
        <f t="shared" si="239"/>
        <v>0.54587688734030204</v>
      </c>
      <c r="DI90" s="545">
        <f t="shared" si="240"/>
        <v>2335.6914893617022</v>
      </c>
      <c r="DJ90" s="528">
        <f t="shared" si="241"/>
        <v>0.31842818428184283</v>
      </c>
      <c r="DL90" s="173">
        <f t="shared" si="242"/>
        <v>8.9493678776958507</v>
      </c>
      <c r="DM90" s="173">
        <f t="shared" si="243"/>
        <v>8.9493678776958507</v>
      </c>
      <c r="DN90" s="173">
        <f t="shared" si="244"/>
        <v>5.3600255884166792</v>
      </c>
      <c r="DP90" s="545">
        <f t="shared" si="245"/>
        <v>2125</v>
      </c>
      <c r="DQ90" s="460">
        <f t="shared" si="246"/>
        <v>322.70497053221817</v>
      </c>
      <c r="DS90">
        <f t="shared" si="291"/>
        <v>2125</v>
      </c>
      <c r="DT90">
        <f t="shared" si="247"/>
        <v>322.70497053221817</v>
      </c>
      <c r="DV90" s="5">
        <f t="shared" si="292"/>
        <v>3.0988056934814465</v>
      </c>
      <c r="DW90" s="5">
        <f t="shared" si="248"/>
        <v>1.5022153223275176</v>
      </c>
      <c r="DX90" s="5">
        <f t="shared" si="293"/>
        <v>1.5965903711539289</v>
      </c>
      <c r="DY90" s="173">
        <f t="shared" si="294"/>
        <v>0.48477235132474816</v>
      </c>
      <c r="EA90" s="5">
        <f t="shared" si="249"/>
        <v>11.40074128552134</v>
      </c>
      <c r="EB90" s="5">
        <f t="shared" si="250"/>
        <v>1.0640691866486582</v>
      </c>
      <c r="EC90" s="5">
        <f t="shared" si="251"/>
        <v>2.4233960990729275</v>
      </c>
      <c r="ED90" s="5"/>
      <c r="EE90" s="173">
        <f t="shared" si="295"/>
        <v>3.5974987733032022</v>
      </c>
      <c r="EF90" s="173">
        <f t="shared" si="252"/>
        <v>3.708782061476076</v>
      </c>
      <c r="EG90" s="173">
        <f t="shared" si="253"/>
        <v>0.37391819144389948</v>
      </c>
      <c r="EH90" s="173"/>
      <c r="EI90" s="528">
        <f t="shared" si="254"/>
        <v>0.15530396908701655</v>
      </c>
      <c r="EJ90" s="528">
        <f t="shared" si="255"/>
        <v>3.1112483221915399</v>
      </c>
      <c r="EK90" s="528">
        <f t="shared" si="256"/>
        <v>3.7111071611205096E-2</v>
      </c>
      <c r="EL90" s="528">
        <f t="shared" si="257"/>
        <v>0.51094953398680409</v>
      </c>
      <c r="EM90">
        <f t="shared" si="258"/>
        <v>1.26E-2</v>
      </c>
      <c r="EN90" s="460">
        <f t="shared" si="296"/>
        <v>49.711071611205099</v>
      </c>
      <c r="EO90">
        <f t="shared" si="259"/>
        <v>4.0173874619756234</v>
      </c>
      <c r="EP90" s="460">
        <f t="shared" si="297"/>
        <v>4017.3874619756234</v>
      </c>
      <c r="EQ90" s="173">
        <f t="shared" si="260"/>
        <v>1.4250249999999998</v>
      </c>
      <c r="ER90" s="173">
        <f t="shared" si="261"/>
        <v>0.10178749999999999</v>
      </c>
      <c r="ES90" s="528"/>
      <c r="EU90" s="460">
        <f t="shared" si="298"/>
        <v>1526.8124999999998</v>
      </c>
      <c r="EV90" s="528">
        <f t="shared" si="262"/>
        <v>0.18118796393485262</v>
      </c>
      <c r="EW90" s="528">
        <f t="shared" si="299"/>
        <v>0.19257090131337426</v>
      </c>
      <c r="EX90" s="528">
        <f t="shared" si="263"/>
        <v>6.9907406946338334E-4</v>
      </c>
      <c r="EY90" s="528">
        <f t="shared" si="264"/>
        <v>22.411196488377023</v>
      </c>
      <c r="EZ90" s="528">
        <f t="shared" si="265"/>
        <v>23.581960520455841</v>
      </c>
      <c r="FA90" s="625">
        <f t="shared" si="266"/>
        <v>2.5845823627732365</v>
      </c>
      <c r="FB90" s="460">
        <f t="shared" si="300"/>
        <v>26166.542883229078</v>
      </c>
      <c r="FC90" s="173">
        <f t="shared" si="301"/>
        <v>31.710742845204702</v>
      </c>
      <c r="FD90" s="5">
        <f t="shared" si="302"/>
        <v>65.875</v>
      </c>
      <c r="FE90" s="173">
        <f t="shared" si="303"/>
        <v>0.67504737966174178</v>
      </c>
      <c r="FF90" s="5">
        <f t="shared" si="304"/>
        <v>67.504737966174176</v>
      </c>
      <c r="FG90">
        <f t="shared" si="305"/>
        <v>85</v>
      </c>
      <c r="FI90" s="562">
        <f t="shared" si="267"/>
        <v>-50</v>
      </c>
      <c r="FJ90">
        <f t="shared" si="268"/>
        <v>-50</v>
      </c>
      <c r="FL90">
        <f t="shared" si="269"/>
        <v>0.47641678205609539</v>
      </c>
    </row>
    <row r="91" spans="5:168">
      <c r="E91" s="170">
        <v>86</v>
      </c>
      <c r="F91" s="217">
        <f t="shared" si="306"/>
        <v>2.15</v>
      </c>
      <c r="G91" s="217">
        <f t="shared" si="270"/>
        <v>0.215</v>
      </c>
      <c r="H91" s="217">
        <f t="shared" si="175"/>
        <v>60.199999999999996</v>
      </c>
      <c r="I91" s="217">
        <f t="shared" si="307"/>
        <v>6.45</v>
      </c>
      <c r="J91" s="541">
        <f t="shared" si="176"/>
        <v>27.844214065657617</v>
      </c>
      <c r="K91" s="443">
        <f t="shared" si="177"/>
        <v>28.763179974202622</v>
      </c>
      <c r="L91" s="172">
        <f t="shared" si="178"/>
        <v>56.607394039860239</v>
      </c>
      <c r="M91" s="443"/>
      <c r="N91" s="217">
        <f t="shared" si="179"/>
        <v>0.50811701301686762</v>
      </c>
      <c r="O91" s="172">
        <f t="shared" si="271"/>
        <v>106.49121738269828</v>
      </c>
      <c r="P91" s="172">
        <f t="shared" si="180"/>
        <v>12.632249000753749</v>
      </c>
      <c r="Q91" s="217">
        <f t="shared" si="181"/>
        <v>3.8032577636677956</v>
      </c>
      <c r="R91" s="217">
        <f t="shared" si="182"/>
        <v>3.5497072460899428</v>
      </c>
      <c r="S91" s="443">
        <f t="shared" si="183"/>
        <v>28</v>
      </c>
      <c r="T91" s="217">
        <f t="shared" si="184"/>
        <v>9.4217472388135715</v>
      </c>
      <c r="U91" s="217">
        <f t="shared" si="185"/>
        <v>1.5903559683173243</v>
      </c>
      <c r="V91" s="217">
        <f t="shared" si="186"/>
        <v>1.539545073324299</v>
      </c>
      <c r="W91" s="197">
        <f t="shared" si="187"/>
        <v>350</v>
      </c>
      <c r="X91" s="443">
        <f t="shared" si="272"/>
        <v>300.30922465702025</v>
      </c>
      <c r="Z91" s="217">
        <f t="shared" si="188"/>
        <v>8.6006801707259584</v>
      </c>
      <c r="AA91" s="173">
        <f t="shared" si="189"/>
        <v>1.4053799628089496</v>
      </c>
      <c r="AB91" s="173">
        <f t="shared" si="190"/>
        <v>2.1152641262316405</v>
      </c>
      <c r="AC91" s="173"/>
      <c r="AD91" s="173">
        <f t="shared" si="191"/>
        <v>0.54467783745461829</v>
      </c>
      <c r="AE91" s="545">
        <f t="shared" si="192"/>
        <v>2368.3724787268966</v>
      </c>
      <c r="AF91" s="528">
        <f t="shared" si="193"/>
        <v>0.31772873851519401</v>
      </c>
      <c r="AH91" s="173">
        <f t="shared" si="194"/>
        <v>9.0018572889407622</v>
      </c>
      <c r="AI91" s="173">
        <f t="shared" si="195"/>
        <v>9.4217472388135715</v>
      </c>
      <c r="AJ91" s="173">
        <f t="shared" si="196"/>
        <v>5.7099362262816573</v>
      </c>
      <c r="AL91" s="545">
        <f t="shared" si="197"/>
        <v>2150</v>
      </c>
      <c r="AM91" s="460">
        <f t="shared" si="198"/>
        <v>300.30922465702025</v>
      </c>
      <c r="AO91">
        <f t="shared" si="273"/>
        <v>2150</v>
      </c>
      <c r="AP91">
        <f t="shared" si="199"/>
        <v>300.30922465702025</v>
      </c>
      <c r="AR91" s="5">
        <f t="shared" si="274"/>
        <v>3.3299010416416235</v>
      </c>
      <c r="AS91" s="5">
        <f t="shared" si="200"/>
        <v>1.5903559683173243</v>
      </c>
      <c r="AT91" s="5">
        <f t="shared" si="275"/>
        <v>1.7395450733242992</v>
      </c>
      <c r="AU91" s="173">
        <f t="shared" si="276"/>
        <v>0.47759856777404031</v>
      </c>
      <c r="AW91" s="5">
        <f t="shared" si="201"/>
        <v>12.211661899579454</v>
      </c>
      <c r="AX91" s="5">
        <f t="shared" si="202"/>
        <v>1.1397551106274155</v>
      </c>
      <c r="AY91" s="5">
        <f t="shared" si="203"/>
        <v>2.6863907157358735</v>
      </c>
      <c r="AZ91" s="5"/>
      <c r="BA91" s="173">
        <f t="shared" si="277"/>
        <v>3.7592597049242169</v>
      </c>
      <c r="BB91" s="173">
        <f t="shared" si="204"/>
        <v>3.931633267269063</v>
      </c>
      <c r="BC91" s="173">
        <f t="shared" si="205"/>
        <v>0.39638597694597932</v>
      </c>
      <c r="BD91" s="173"/>
      <c r="BE91" s="528">
        <f t="shared" si="206"/>
        <v>0.16958440234880293</v>
      </c>
      <c r="BF91" s="528">
        <f t="shared" si="207"/>
        <v>2.9230493851766406</v>
      </c>
      <c r="BG91" s="528">
        <f t="shared" si="208"/>
        <v>3.4535560835557332E-2</v>
      </c>
      <c r="BH91" s="528">
        <f t="shared" si="209"/>
        <v>0.47393767331418812</v>
      </c>
      <c r="BI91">
        <f t="shared" si="210"/>
        <v>1.2529896329545927E-2</v>
      </c>
      <c r="BJ91" s="460">
        <f t="shared" si="278"/>
        <v>47.065457165103254</v>
      </c>
      <c r="BK91">
        <f t="shared" si="211"/>
        <v>3.7640240255918394</v>
      </c>
      <c r="BL91" s="460">
        <f t="shared" si="279"/>
        <v>3764.0240255918393</v>
      </c>
      <c r="BM91" s="173">
        <f t="shared" si="212"/>
        <v>1.4417899999999999</v>
      </c>
      <c r="BN91" s="173">
        <f t="shared" si="213"/>
        <v>0.10298499999999999</v>
      </c>
      <c r="BO91" s="528"/>
      <c r="BQ91" s="460">
        <f t="shared" si="280"/>
        <v>1544.7750000000001</v>
      </c>
      <c r="BR91" s="528">
        <f t="shared" si="214"/>
        <v>0.19784846940693676</v>
      </c>
      <c r="BS91" s="528">
        <f t="shared" si="215"/>
        <v>0.2164083620761553</v>
      </c>
      <c r="BT91" s="528">
        <f t="shared" si="216"/>
        <v>7.8560921359709232E-4</v>
      </c>
      <c r="BU91" s="528">
        <f t="shared" si="217"/>
        <v>21.292188815129443</v>
      </c>
      <c r="BV91" s="528">
        <f t="shared" si="218"/>
        <v>22.555769574058072</v>
      </c>
      <c r="BW91" s="625">
        <f t="shared" si="219"/>
        <v>2.6658245972477421</v>
      </c>
      <c r="BX91" s="460">
        <f t="shared" si="281"/>
        <v>25221.594171305813</v>
      </c>
      <c r="BY91" s="173">
        <f t="shared" si="282"/>
        <v>30.530393196897652</v>
      </c>
      <c r="BZ91" s="5">
        <f t="shared" si="283"/>
        <v>66.649999999999991</v>
      </c>
      <c r="CA91" s="173">
        <f t="shared" si="284"/>
        <v>0.68583793301762142</v>
      </c>
      <c r="CB91" s="5">
        <f t="shared" si="285"/>
        <v>68.583793301762142</v>
      </c>
      <c r="CC91">
        <f t="shared" si="286"/>
        <v>86</v>
      </c>
      <c r="CE91" s="562">
        <f t="shared" si="220"/>
        <v>-50</v>
      </c>
      <c r="CF91">
        <f t="shared" si="221"/>
        <v>-50</v>
      </c>
      <c r="CG91" s="173">
        <f t="shared" si="222"/>
        <v>0.47641678205609539</v>
      </c>
      <c r="CH91" s="173">
        <f t="shared" si="223"/>
        <v>0.15449493440943712</v>
      </c>
      <c r="CI91" s="170">
        <v>86</v>
      </c>
      <c r="CJ91" s="217">
        <f t="shared" si="308"/>
        <v>2.15</v>
      </c>
      <c r="CK91" s="217">
        <f t="shared" si="287"/>
        <v>0.215</v>
      </c>
      <c r="CL91" s="217">
        <f t="shared" si="224"/>
        <v>60.199999999999996</v>
      </c>
      <c r="CM91" s="217">
        <f t="shared" si="309"/>
        <v>6.45</v>
      </c>
      <c r="CN91" s="541">
        <f t="shared" si="288"/>
        <v>28</v>
      </c>
      <c r="CO91" s="443">
        <f t="shared" si="225"/>
        <v>28.7</v>
      </c>
      <c r="CP91" s="443">
        <f t="shared" si="226"/>
        <v>56.7</v>
      </c>
      <c r="CQ91" s="443"/>
      <c r="CR91" s="217">
        <f t="shared" si="227"/>
        <v>0.50354609929078009</v>
      </c>
      <c r="CS91" s="172">
        <f t="shared" si="289"/>
        <v>106.12369404407841</v>
      </c>
      <c r="CT91" s="172">
        <f t="shared" si="228"/>
        <v>12.588652482269502</v>
      </c>
      <c r="CU91" s="217">
        <f t="shared" si="229"/>
        <v>3.7901319301456575</v>
      </c>
      <c r="CV91" s="217">
        <f t="shared" si="230"/>
        <v>3.5374564681359471</v>
      </c>
      <c r="CW91" s="443">
        <f t="shared" si="231"/>
        <v>28</v>
      </c>
      <c r="CX91" s="217">
        <f t="shared" si="232"/>
        <v>9.4543762575452721</v>
      </c>
      <c r="CY91" s="217">
        <f t="shared" si="233"/>
        <v>1.5869845860879563</v>
      </c>
      <c r="CZ91" s="217">
        <f t="shared" si="234"/>
        <v>1.5482776449638598</v>
      </c>
      <c r="DA91" s="197">
        <f t="shared" si="235"/>
        <v>350</v>
      </c>
      <c r="DB91" s="443">
        <f t="shared" si="290"/>
        <v>318.95258715393658</v>
      </c>
      <c r="DD91" s="217">
        <f t="shared" si="236"/>
        <v>8.6157079064880477</v>
      </c>
      <c r="DE91" s="173">
        <f t="shared" si="237"/>
        <v>1.4109347442680775</v>
      </c>
      <c r="DF91" s="173">
        <f t="shared" si="238"/>
        <v>2.1273352855526046</v>
      </c>
      <c r="DG91" s="173"/>
      <c r="DH91" s="173">
        <f t="shared" si="239"/>
        <v>0.54587688734030204</v>
      </c>
      <c r="DI91" s="545">
        <f t="shared" si="240"/>
        <v>2363.1702127659573</v>
      </c>
      <c r="DJ91" s="528">
        <f t="shared" si="241"/>
        <v>0.31842818428184283</v>
      </c>
      <c r="DL91" s="173">
        <f t="shared" si="242"/>
        <v>9.0018572889407622</v>
      </c>
      <c r="DM91" s="173">
        <f t="shared" si="243"/>
        <v>9.4543762575452721</v>
      </c>
      <c r="DN91" s="173">
        <f t="shared" si="244"/>
        <v>5.734105869786621</v>
      </c>
      <c r="DP91" s="545">
        <f t="shared" si="245"/>
        <v>2150</v>
      </c>
      <c r="DQ91" s="460">
        <f t="shared" si="246"/>
        <v>318.95258715393658</v>
      </c>
      <c r="DS91">
        <f>IF(CL91&gt;CS91, "",DP91)</f>
        <v>2150</v>
      </c>
      <c r="DT91">
        <f>IF(CL91&gt;CS91, "",DQ91)</f>
        <v>318.95258715393658</v>
      </c>
      <c r="DV91" s="5">
        <f t="shared" si="292"/>
        <v>3.1352622310518159</v>
      </c>
      <c r="DW91" s="5">
        <f t="shared" si="248"/>
        <v>1.5869845860879563</v>
      </c>
      <c r="DX91" s="5">
        <f t="shared" si="293"/>
        <v>1.5482776449638596</v>
      </c>
      <c r="DY91" s="173">
        <f t="shared" si="294"/>
        <v>0.50617283950617287</v>
      </c>
      <c r="EA91" s="5">
        <f t="shared" si="249"/>
        <v>12.185774500318237</v>
      </c>
      <c r="EB91" s="5">
        <f t="shared" si="250"/>
        <v>1.1373389533630354</v>
      </c>
      <c r="EC91" s="5">
        <f t="shared" si="251"/>
        <v>2.3777120976230699</v>
      </c>
      <c r="ED91" s="5"/>
      <c r="EE91" s="173">
        <f t="shared" si="295"/>
        <v>3.8834853714680104</v>
      </c>
      <c r="EF91" s="173">
        <f t="shared" si="252"/>
        <v>3.8358334395546798</v>
      </c>
      <c r="EG91" s="173">
        <f t="shared" si="253"/>
        <v>0.3867274697255948</v>
      </c>
      <c r="EH91" s="173"/>
      <c r="EI91" s="528">
        <f t="shared" si="254"/>
        <v>0.18097750356487238</v>
      </c>
      <c r="EJ91" s="528">
        <f t="shared" si="255"/>
        <v>3.248595744680852</v>
      </c>
      <c r="EK91" s="528">
        <f t="shared" si="256"/>
        <v>3.6679547522702714E-2</v>
      </c>
      <c r="EL91" s="528">
        <f t="shared" si="257"/>
        <v>0.50500826033579471</v>
      </c>
      <c r="EM91">
        <f t="shared" si="258"/>
        <v>1.26E-2</v>
      </c>
      <c r="EN91" s="460">
        <f t="shared" si="296"/>
        <v>49.279547522702714</v>
      </c>
      <c r="EO91">
        <f t="shared" si="259"/>
        <v>4.2139248233781545</v>
      </c>
      <c r="EP91" s="460">
        <f t="shared" si="297"/>
        <v>4213.9248233781545</v>
      </c>
      <c r="EQ91" s="173">
        <f t="shared" si="260"/>
        <v>1.4417899999999999</v>
      </c>
      <c r="ER91" s="173">
        <f t="shared" si="261"/>
        <v>0.10298499999999999</v>
      </c>
      <c r="ES91" s="528"/>
      <c r="EU91" s="460">
        <f t="shared" si="298"/>
        <v>1544.7750000000001</v>
      </c>
      <c r="EV91" s="528">
        <f t="shared" si="262"/>
        <v>0.21114042082568443</v>
      </c>
      <c r="EW91" s="528">
        <f t="shared" si="299"/>
        <v>0.20599065446408241</v>
      </c>
      <c r="EX91" s="528">
        <f t="shared" si="263"/>
        <v>7.477906792018042E-4</v>
      </c>
      <c r="EY91" s="528">
        <f t="shared" si="264"/>
        <v>24.967067330196159</v>
      </c>
      <c r="EZ91" s="528">
        <f t="shared" si="265"/>
        <v>26.366683508302657</v>
      </c>
      <c r="FA91" s="625">
        <f t="shared" si="266"/>
        <v>2.8509650495565992</v>
      </c>
      <c r="FB91" s="460">
        <f t="shared" si="300"/>
        <v>29217.648557859255</v>
      </c>
      <c r="FC91" s="173">
        <f t="shared" si="301"/>
        <v>34.976348381237408</v>
      </c>
      <c r="FD91" s="5">
        <f t="shared" si="302"/>
        <v>66.649999999999991</v>
      </c>
      <c r="FE91" s="173">
        <f t="shared" si="303"/>
        <v>0.65583385668814553</v>
      </c>
      <c r="FF91" s="5">
        <f t="shared" si="304"/>
        <v>65.583385668814557</v>
      </c>
      <c r="FG91">
        <f t="shared" si="305"/>
        <v>86</v>
      </c>
      <c r="FI91" s="562">
        <f t="shared" si="267"/>
        <v>-50</v>
      </c>
      <c r="FJ91">
        <f t="shared" si="268"/>
        <v>-50</v>
      </c>
      <c r="FL91">
        <f t="shared" si="269"/>
        <v>0.47641678205609539</v>
      </c>
    </row>
    <row r="92" spans="5:168">
      <c r="E92" s="170">
        <v>87</v>
      </c>
      <c r="F92" s="217">
        <f t="shared" si="306"/>
        <v>2.1749999999999998</v>
      </c>
      <c r="G92" s="217">
        <f t="shared" si="270"/>
        <v>0.2175</v>
      </c>
      <c r="H92" s="217">
        <f t="shared" si="175"/>
        <v>60.899999999999991</v>
      </c>
      <c r="I92" s="217">
        <f t="shared" si="307"/>
        <v>6.5250000000000004</v>
      </c>
      <c r="J92" s="541">
        <f t="shared" si="176"/>
        <v>27.842402601304798</v>
      </c>
      <c r="K92" s="443">
        <f t="shared" si="177"/>
        <v>28.763914625065443</v>
      </c>
      <c r="L92" s="172">
        <f t="shared" si="178"/>
        <v>56.606317226370237</v>
      </c>
      <c r="M92" s="443"/>
      <c r="N92" s="217">
        <f t="shared" si="179"/>
        <v>0.50813965709936137</v>
      </c>
      <c r="O92" s="172">
        <f t="shared" si="271"/>
        <v>106.48903481133949</v>
      </c>
      <c r="P92" s="172">
        <f t="shared" si="180"/>
        <v>12.631990098794097</v>
      </c>
      <c r="Q92" s="217">
        <f t="shared" si="181"/>
        <v>3.8031798146906963</v>
      </c>
      <c r="R92" s="217">
        <f t="shared" si="182"/>
        <v>3.5496344937113165</v>
      </c>
      <c r="S92" s="443">
        <f t="shared" si="183"/>
        <v>28</v>
      </c>
      <c r="T92" s="217">
        <f t="shared" si="184"/>
        <v>9.5314977903426144</v>
      </c>
      <c r="U92" s="217">
        <f t="shared" si="185"/>
        <v>1.6089861301161879</v>
      </c>
      <c r="V92" s="217">
        <f t="shared" si="186"/>
        <v>1.5574389021295589</v>
      </c>
      <c r="W92" s="197">
        <f t="shared" si="187"/>
        <v>350</v>
      </c>
      <c r="X92" s="443">
        <f t="shared" si="272"/>
        <v>297.05102309463831</v>
      </c>
      <c r="Z92" s="217">
        <f t="shared" si="188"/>
        <v>8.6005038970512988</v>
      </c>
      <c r="AA92" s="173">
        <f t="shared" si="189"/>
        <v>1.4053152654303964</v>
      </c>
      <c r="AB92" s="173">
        <f t="shared" si="190"/>
        <v>2.115123397960966</v>
      </c>
      <c r="AC92" s="173"/>
      <c r="AD92" s="173">
        <f t="shared" si="191"/>
        <v>0.54466392599477487</v>
      </c>
      <c r="AE92" s="545">
        <f t="shared" si="192"/>
        <v>2395.9728884495998</v>
      </c>
      <c r="AF92" s="528">
        <f t="shared" si="193"/>
        <v>0.31772062349695201</v>
      </c>
      <c r="AH92" s="173">
        <f t="shared" si="194"/>
        <v>9.0540424060514262</v>
      </c>
      <c r="AI92" s="173">
        <f t="shared" si="195"/>
        <v>9.5314977903426144</v>
      </c>
      <c r="AJ92" s="173">
        <f t="shared" si="196"/>
        <v>5.7912329311179853</v>
      </c>
      <c r="AL92" s="545">
        <f t="shared" si="197"/>
        <v>2175</v>
      </c>
      <c r="AM92" s="460">
        <f t="shared" si="198"/>
        <v>297.05102309463831</v>
      </c>
      <c r="AO92">
        <f t="shared" si="273"/>
        <v>2175</v>
      </c>
      <c r="AP92">
        <f t="shared" si="199"/>
        <v>297.05102309463831</v>
      </c>
      <c r="AR92" s="5">
        <f t="shared" si="274"/>
        <v>3.3664250322457474</v>
      </c>
      <c r="AS92" s="5">
        <f t="shared" si="200"/>
        <v>1.6089861301161879</v>
      </c>
      <c r="AT92" s="5">
        <f t="shared" si="275"/>
        <v>1.7574389021295596</v>
      </c>
      <c r="AU92" s="173">
        <f t="shared" si="276"/>
        <v>0.47795097609609644</v>
      </c>
      <c r="AW92" s="5">
        <f t="shared" si="201"/>
        <v>12.498374403581101</v>
      </c>
      <c r="AX92" s="5">
        <f t="shared" si="202"/>
        <v>1.1665149443342362</v>
      </c>
      <c r="AY92" s="5">
        <f t="shared" si="203"/>
        <v>2.7457613244574359</v>
      </c>
      <c r="AZ92" s="5"/>
      <c r="BA92" s="173">
        <f t="shared" si="277"/>
        <v>3.8044528019212609</v>
      </c>
      <c r="BB92" s="173">
        <f t="shared" si="204"/>
        <v>3.9760896519556552</v>
      </c>
      <c r="BC92" s="173">
        <f t="shared" si="205"/>
        <v>0.4008680550742178</v>
      </c>
      <c r="BD92" s="173"/>
      <c r="BE92" s="528">
        <f t="shared" si="206"/>
        <v>0.17368633346455839</v>
      </c>
      <c r="BF92" s="528">
        <f t="shared" si="207"/>
        <v>2.9249602853767942</v>
      </c>
      <c r="BG92" s="528">
        <f t="shared" si="208"/>
        <v>3.4160867655883415E-2</v>
      </c>
      <c r="BH92" s="528">
        <f t="shared" si="209"/>
        <v>0.46877785669535016</v>
      </c>
      <c r="BI92">
        <f t="shared" si="210"/>
        <v>1.2529081170587158E-2</v>
      </c>
      <c r="BJ92" s="460">
        <f t="shared" si="278"/>
        <v>46.689948826470577</v>
      </c>
      <c r="BK92">
        <f t="shared" si="211"/>
        <v>3.7698953473535739</v>
      </c>
      <c r="BL92" s="460">
        <f t="shared" si="279"/>
        <v>3769.8953473535739</v>
      </c>
      <c r="BM92" s="173">
        <f t="shared" si="212"/>
        <v>1.4585549999999996</v>
      </c>
      <c r="BN92" s="173">
        <f t="shared" si="213"/>
        <v>0.1041825</v>
      </c>
      <c r="BO92" s="528"/>
      <c r="BQ92" s="460">
        <f t="shared" si="280"/>
        <v>1562.7374999999997</v>
      </c>
      <c r="BR92" s="528">
        <f t="shared" si="214"/>
        <v>0.20263405570865145</v>
      </c>
      <c r="BS92" s="528">
        <f t="shared" si="215"/>
        <v>0.22133004488544381</v>
      </c>
      <c r="BT92" s="528">
        <f t="shared" si="216"/>
        <v>8.0347598789493057E-4</v>
      </c>
      <c r="BU92" s="528">
        <f t="shared" si="217"/>
        <v>21.328018776234487</v>
      </c>
      <c r="BV92" s="528">
        <f t="shared" si="218"/>
        <v>22.623509226220303</v>
      </c>
      <c r="BW92" s="625">
        <f t="shared" si="219"/>
        <v>2.6986922107901612</v>
      </c>
      <c r="BX92" s="460">
        <f t="shared" si="281"/>
        <v>25322.201437010463</v>
      </c>
      <c r="BY92" s="173">
        <f t="shared" si="282"/>
        <v>30.654834284364039</v>
      </c>
      <c r="BZ92" s="5">
        <f t="shared" si="283"/>
        <v>67.424999999999997</v>
      </c>
      <c r="CA92" s="173">
        <f t="shared" si="284"/>
        <v>0.68745018272067926</v>
      </c>
      <c r="CB92" s="5">
        <f t="shared" si="285"/>
        <v>68.745018272067924</v>
      </c>
      <c r="CC92">
        <f t="shared" si="286"/>
        <v>86.999999999999986</v>
      </c>
      <c r="CE92" s="562">
        <f t="shared" si="220"/>
        <v>-50</v>
      </c>
      <c r="CF92">
        <f t="shared" si="221"/>
        <v>-50</v>
      </c>
      <c r="CG92" s="173">
        <f t="shared" si="222"/>
        <v>0.47641678205609533</v>
      </c>
      <c r="CH92" s="173">
        <f t="shared" si="223"/>
        <v>0.15449493440943712</v>
      </c>
      <c r="CI92" s="170">
        <v>87</v>
      </c>
      <c r="CJ92" s="217">
        <f t="shared" si="308"/>
        <v>2.1749999999999998</v>
      </c>
      <c r="CK92" s="217">
        <f t="shared" si="287"/>
        <v>0.2175</v>
      </c>
      <c r="CL92" s="217">
        <f t="shared" si="224"/>
        <v>60.899999999999991</v>
      </c>
      <c r="CM92" s="217">
        <f t="shared" si="309"/>
        <v>6.5250000000000004</v>
      </c>
      <c r="CN92" s="541">
        <f t="shared" si="288"/>
        <v>28</v>
      </c>
      <c r="CO92" s="443">
        <f t="shared" si="225"/>
        <v>28.7</v>
      </c>
      <c r="CP92" s="443">
        <f t="shared" si="226"/>
        <v>56.7</v>
      </c>
      <c r="CQ92" s="443"/>
      <c r="CR92" s="217">
        <f t="shared" si="227"/>
        <v>0.50354609929078009</v>
      </c>
      <c r="CS92" s="172">
        <f t="shared" si="289"/>
        <v>106.12369404407841</v>
      </c>
      <c r="CT92" s="172">
        <f t="shared" si="228"/>
        <v>12.588652482269502</v>
      </c>
      <c r="CU92" s="217">
        <f t="shared" si="229"/>
        <v>3.7901319301456575</v>
      </c>
      <c r="CV92" s="217">
        <f t="shared" si="230"/>
        <v>3.5374564681359471</v>
      </c>
      <c r="CW92" s="443">
        <f t="shared" si="231"/>
        <v>28</v>
      </c>
      <c r="CX92" s="217">
        <f t="shared" si="232"/>
        <v>9.5643108651911479</v>
      </c>
      <c r="CY92" s="217">
        <f t="shared" si="233"/>
        <v>1.6054378952285142</v>
      </c>
      <c r="CZ92" s="217">
        <f t="shared" si="234"/>
        <v>1.5662808733936724</v>
      </c>
      <c r="DA92" s="197">
        <f t="shared" si="235"/>
        <v>350</v>
      </c>
      <c r="DB92" s="443">
        <f t="shared" si="290"/>
        <v>315.28646546251196</v>
      </c>
      <c r="DD92" s="217">
        <f t="shared" si="236"/>
        <v>8.6157079064880477</v>
      </c>
      <c r="DE92" s="173">
        <f t="shared" si="237"/>
        <v>1.4109347442680775</v>
      </c>
      <c r="DF92" s="173">
        <f t="shared" si="238"/>
        <v>2.1273352855526046</v>
      </c>
      <c r="DG92" s="173"/>
      <c r="DH92" s="173">
        <f t="shared" si="239"/>
        <v>0.54587688734030204</v>
      </c>
      <c r="DI92" s="545">
        <f t="shared" si="240"/>
        <v>2390.6489361702124</v>
      </c>
      <c r="DJ92" s="528">
        <f t="shared" si="241"/>
        <v>0.31842818428184283</v>
      </c>
      <c r="DL92" s="173">
        <f t="shared" si="242"/>
        <v>9.0540424060514262</v>
      </c>
      <c r="DM92" s="173">
        <f t="shared" si="243"/>
        <v>9.5643108651911479</v>
      </c>
      <c r="DN92" s="173">
        <f t="shared" si="244"/>
        <v>5.8155389124872698</v>
      </c>
      <c r="DP92" s="545">
        <f t="shared" si="245"/>
        <v>2175</v>
      </c>
      <c r="DQ92" s="460">
        <f t="shared" si="246"/>
        <v>315.28646546251196</v>
      </c>
      <c r="DS92">
        <f>IF(CL92&gt;CS92, "",DP92)</f>
        <v>2175</v>
      </c>
      <c r="DT92">
        <f>IF(CL92&gt;CS92, "",DQ92)</f>
        <v>315.28646546251196</v>
      </c>
      <c r="DV92" s="5">
        <f t="shared" si="292"/>
        <v>3.1717187686221866</v>
      </c>
      <c r="DW92" s="5">
        <f t="shared" si="248"/>
        <v>1.6054378952285142</v>
      </c>
      <c r="DX92" s="5">
        <f t="shared" si="293"/>
        <v>1.5662808733936724</v>
      </c>
      <c r="DY92" s="173">
        <f t="shared" si="294"/>
        <v>0.50617283950617287</v>
      </c>
      <c r="EA92" s="5">
        <f t="shared" si="249"/>
        <v>12.47081222186435</v>
      </c>
      <c r="EB92" s="5">
        <f t="shared" si="250"/>
        <v>1.163942474040673</v>
      </c>
      <c r="EC92" s="5">
        <f t="shared" si="251"/>
        <v>2.4333292140223119</v>
      </c>
      <c r="ED92" s="5"/>
      <c r="EE92" s="173">
        <f t="shared" si="295"/>
        <v>3.9286421781129879</v>
      </c>
      <c r="EF92" s="173">
        <f t="shared" si="252"/>
        <v>3.8804361539681067</v>
      </c>
      <c r="EG92" s="173">
        <f t="shared" si="253"/>
        <v>0.39122430076891568</v>
      </c>
      <c r="EH92" s="173"/>
      <c r="EI92" s="528">
        <f t="shared" si="254"/>
        <v>0.18521075236378035</v>
      </c>
      <c r="EJ92" s="528">
        <f t="shared" si="255"/>
        <v>3.2485957446808515</v>
      </c>
      <c r="EK92" s="528">
        <f t="shared" si="256"/>
        <v>3.6257943528188875E-2</v>
      </c>
      <c r="EL92" s="528">
        <f t="shared" si="257"/>
        <v>0.4992035676882568</v>
      </c>
      <c r="EM92">
        <f t="shared" si="258"/>
        <v>1.26E-2</v>
      </c>
      <c r="EN92" s="460">
        <f t="shared" si="296"/>
        <v>48.857943528188876</v>
      </c>
      <c r="EO92">
        <f t="shared" si="259"/>
        <v>4.2174691752293283</v>
      </c>
      <c r="EP92" s="460">
        <f t="shared" si="297"/>
        <v>4217.4691752293284</v>
      </c>
      <c r="EQ92" s="173">
        <f t="shared" si="260"/>
        <v>1.4585549999999996</v>
      </c>
      <c r="ER92" s="173">
        <f t="shared" si="261"/>
        <v>0.1041825</v>
      </c>
      <c r="ES92" s="528"/>
      <c r="EU92" s="460">
        <f t="shared" si="298"/>
        <v>1562.7374999999997</v>
      </c>
      <c r="EV92" s="528">
        <f t="shared" si="262"/>
        <v>0.21607921109107706</v>
      </c>
      <c r="EW92" s="528">
        <f t="shared" si="299"/>
        <v>0.21080898643031909</v>
      </c>
      <c r="EX92" s="528">
        <f t="shared" si="263"/>
        <v>7.6528226756063494E-4</v>
      </c>
      <c r="EY92" s="528">
        <f t="shared" si="264"/>
        <v>24.967067330196137</v>
      </c>
      <c r="EZ92" s="528">
        <f t="shared" si="265"/>
        <v>26.400581695579831</v>
      </c>
      <c r="FA92" s="625">
        <f t="shared" si="266"/>
        <v>2.8841158059467924</v>
      </c>
      <c r="FB92" s="460">
        <f t="shared" si="300"/>
        <v>29284.697501526622</v>
      </c>
      <c r="FC92" s="173">
        <f t="shared" si="301"/>
        <v>35.064904176755952</v>
      </c>
      <c r="FD92" s="5">
        <f t="shared" si="302"/>
        <v>67.424999999999997</v>
      </c>
      <c r="FE92" s="173">
        <f t="shared" si="303"/>
        <v>0.65786967547279218</v>
      </c>
      <c r="FF92" s="5">
        <f t="shared" si="304"/>
        <v>65.786967547279218</v>
      </c>
      <c r="FG92">
        <f t="shared" si="305"/>
        <v>86.999999999999986</v>
      </c>
      <c r="FI92" s="562">
        <f t="shared" si="267"/>
        <v>-50</v>
      </c>
      <c r="FJ92">
        <f t="shared" si="268"/>
        <v>-50</v>
      </c>
      <c r="FL92">
        <f t="shared" si="269"/>
        <v>0.47641678205609533</v>
      </c>
    </row>
    <row r="93" spans="5:168">
      <c r="E93" s="170">
        <v>88</v>
      </c>
      <c r="F93" s="217">
        <f t="shared" si="306"/>
        <v>2.2000000000000002</v>
      </c>
      <c r="G93" s="217">
        <f t="shared" si="270"/>
        <v>0.22</v>
      </c>
      <c r="H93" s="217">
        <f t="shared" si="175"/>
        <v>61.600000000000009</v>
      </c>
      <c r="I93" s="217">
        <f t="shared" si="307"/>
        <v>6.6</v>
      </c>
      <c r="J93" s="541">
        <f t="shared" si="176"/>
        <v>27.840591136951982</v>
      </c>
      <c r="K93" s="443">
        <f t="shared" si="177"/>
        <v>28.764649275928264</v>
      </c>
      <c r="L93" s="172">
        <f t="shared" si="178"/>
        <v>56.605240412880249</v>
      </c>
      <c r="M93" s="443"/>
      <c r="N93" s="217">
        <f t="shared" si="179"/>
        <v>0.5081623020433812</v>
      </c>
      <c r="O93" s="172">
        <f t="shared" si="271"/>
        <v>106.48685180302637</v>
      </c>
      <c r="P93" s="172">
        <f t="shared" si="180"/>
        <v>12.631731145001853</v>
      </c>
      <c r="Q93" s="217">
        <f t="shared" si="181"/>
        <v>3.8031018501080847</v>
      </c>
      <c r="R93" s="217">
        <f t="shared" si="182"/>
        <v>3.5495617267675454</v>
      </c>
      <c r="S93" s="443">
        <f t="shared" si="183"/>
        <v>28</v>
      </c>
      <c r="T93" s="217">
        <f t="shared" si="184"/>
        <v>9.6412528803625381</v>
      </c>
      <c r="U93" s="217">
        <f t="shared" si="185"/>
        <v>1.6276194824599166</v>
      </c>
      <c r="V93" s="217">
        <f t="shared" si="186"/>
        <v>1.5753325584826414</v>
      </c>
      <c r="W93" s="197">
        <f t="shared" si="187"/>
        <v>350</v>
      </c>
      <c r="X93" s="443">
        <f t="shared" si="272"/>
        <v>293.8625017245372</v>
      </c>
      <c r="Z93" s="217">
        <f t="shared" si="188"/>
        <v>8.6003275880863672</v>
      </c>
      <c r="AA93" s="173">
        <f t="shared" si="189"/>
        <v>1.4052505655903389</v>
      </c>
      <c r="AB93" s="173">
        <f t="shared" si="190"/>
        <v>2.1149826612985985</v>
      </c>
      <c r="AC93" s="173"/>
      <c r="AD93" s="173">
        <f t="shared" si="191"/>
        <v>0.54465001524553047</v>
      </c>
      <c r="AE93" s="545">
        <f t="shared" si="192"/>
        <v>2423.5747049505521</v>
      </c>
      <c r="AF93" s="528">
        <f t="shared" si="193"/>
        <v>0.31771250889322611</v>
      </c>
      <c r="AH93" s="173">
        <f t="shared" si="194"/>
        <v>9.1059284606622679</v>
      </c>
      <c r="AI93" s="173">
        <f t="shared" si="195"/>
        <v>9.6412528803625381</v>
      </c>
      <c r="AJ93" s="173">
        <f t="shared" si="196"/>
        <v>5.8725329977994107</v>
      </c>
      <c r="AL93" s="545">
        <f t="shared" si="197"/>
        <v>2200</v>
      </c>
      <c r="AM93" s="460">
        <f t="shared" si="198"/>
        <v>293.8625017245372</v>
      </c>
      <c r="AO93">
        <f t="shared" si="273"/>
        <v>2200</v>
      </c>
      <c r="AP93">
        <f t="shared" si="199"/>
        <v>293.8625017245372</v>
      </c>
      <c r="AR93" s="5">
        <f t="shared" si="274"/>
        <v>3.4029520409425587</v>
      </c>
      <c r="AS93" s="5">
        <f t="shared" si="200"/>
        <v>1.6276194824599166</v>
      </c>
      <c r="AT93" s="5">
        <f t="shared" si="275"/>
        <v>1.775332558482642</v>
      </c>
      <c r="AU93" s="173">
        <f t="shared" si="276"/>
        <v>0.47829633297126756</v>
      </c>
      <c r="AW93" s="5">
        <f t="shared" si="201"/>
        <v>12.788438790756489</v>
      </c>
      <c r="AX93" s="5">
        <f t="shared" si="202"/>
        <v>1.1935876204706055</v>
      </c>
      <c r="AY93" s="5">
        <f t="shared" si="203"/>
        <v>2.805782111054282</v>
      </c>
      <c r="AZ93" s="5"/>
      <c r="BA93" s="173">
        <f t="shared" si="277"/>
        <v>3.8496511165868061</v>
      </c>
      <c r="BB93" s="173">
        <f t="shared" si="204"/>
        <v>4.0205437420322809</v>
      </c>
      <c r="BC93" s="173">
        <f t="shared" si="205"/>
        <v>0.40534990186063163</v>
      </c>
      <c r="BD93" s="173"/>
      <c r="BE93" s="528">
        <f t="shared" si="206"/>
        <v>0.17783776463325651</v>
      </c>
      <c r="BF93" s="528">
        <f t="shared" si="207"/>
        <v>2.9268276803784135</v>
      </c>
      <c r="BG93" s="528">
        <f t="shared" si="208"/>
        <v>3.3794187698321779E-2</v>
      </c>
      <c r="BH93" s="528">
        <f t="shared" si="209"/>
        <v>0.46372839017337275</v>
      </c>
      <c r="BI93">
        <f t="shared" si="210"/>
        <v>1.2528266011628392E-2</v>
      </c>
      <c r="BJ93" s="460">
        <f t="shared" si="278"/>
        <v>46.322453709950167</v>
      </c>
      <c r="BK93">
        <f t="shared" si="211"/>
        <v>3.7759604179908268</v>
      </c>
      <c r="BL93" s="460">
        <f t="shared" si="279"/>
        <v>3775.960417990827</v>
      </c>
      <c r="BM93" s="173">
        <f t="shared" si="212"/>
        <v>1.47532</v>
      </c>
      <c r="BN93" s="173">
        <f t="shared" si="213"/>
        <v>0.10538</v>
      </c>
      <c r="BO93" s="528"/>
      <c r="BQ93" s="460">
        <f t="shared" si="280"/>
        <v>1580.7</v>
      </c>
      <c r="BR93" s="528">
        <f t="shared" si="214"/>
        <v>0.20747739207213262</v>
      </c>
      <c r="BS93" s="528">
        <f t="shared" si="215"/>
        <v>0.22630680774232909</v>
      </c>
      <c r="BT93" s="528">
        <f t="shared" si="216"/>
        <v>8.215427146921185E-4</v>
      </c>
      <c r="BU93" s="528">
        <f t="shared" si="217"/>
        <v>21.363092377987957</v>
      </c>
      <c r="BV93" s="528">
        <f t="shared" si="218"/>
        <v>22.690932255655955</v>
      </c>
      <c r="BW93" s="625">
        <f t="shared" si="219"/>
        <v>2.7315623607011625</v>
      </c>
      <c r="BX93" s="460">
        <f t="shared" si="281"/>
        <v>25422.494616357119</v>
      </c>
      <c r="BY93" s="173">
        <f t="shared" si="282"/>
        <v>30.779155034347944</v>
      </c>
      <c r="BZ93" s="5">
        <f t="shared" si="283"/>
        <v>68.2</v>
      </c>
      <c r="CA93" s="173">
        <f t="shared" si="284"/>
        <v>0.68903396857988031</v>
      </c>
      <c r="CB93" s="5">
        <f t="shared" si="285"/>
        <v>68.903396857988028</v>
      </c>
      <c r="CC93">
        <f t="shared" si="286"/>
        <v>88.000000000000014</v>
      </c>
      <c r="CE93" s="562">
        <f t="shared" si="220"/>
        <v>-50</v>
      </c>
      <c r="CF93">
        <f t="shared" si="221"/>
        <v>-50</v>
      </c>
      <c r="CG93" s="173">
        <f t="shared" si="222"/>
        <v>0.47641678205609544</v>
      </c>
      <c r="CH93" s="173">
        <f t="shared" si="223"/>
        <v>0.15449493440943712</v>
      </c>
      <c r="CI93" s="170">
        <v>88</v>
      </c>
      <c r="CJ93" s="217">
        <f t="shared" si="308"/>
        <v>2.2000000000000002</v>
      </c>
      <c r="CK93" s="217">
        <f t="shared" si="287"/>
        <v>0.22</v>
      </c>
      <c r="CL93" s="217">
        <f t="shared" si="224"/>
        <v>61.600000000000009</v>
      </c>
      <c r="CM93" s="217">
        <f t="shared" si="309"/>
        <v>6.6</v>
      </c>
      <c r="CN93" s="541">
        <f t="shared" si="288"/>
        <v>28</v>
      </c>
      <c r="CO93" s="443">
        <f t="shared" si="225"/>
        <v>28.7</v>
      </c>
      <c r="CP93" s="443">
        <f t="shared" si="226"/>
        <v>56.7</v>
      </c>
      <c r="CQ93" s="443"/>
      <c r="CR93" s="217">
        <f t="shared" si="227"/>
        <v>0.50354609929078009</v>
      </c>
      <c r="CS93" s="172">
        <f t="shared" si="289"/>
        <v>106.12369404407841</v>
      </c>
      <c r="CT93" s="172">
        <f t="shared" si="228"/>
        <v>12.588652482269502</v>
      </c>
      <c r="CU93" s="217">
        <f t="shared" si="229"/>
        <v>3.7901319301456575</v>
      </c>
      <c r="CV93" s="217">
        <f t="shared" si="230"/>
        <v>3.5374564681359471</v>
      </c>
      <c r="CW93" s="443">
        <f t="shared" si="231"/>
        <v>28</v>
      </c>
      <c r="CX93" s="217">
        <f t="shared" si="232"/>
        <v>9.6742454728370237</v>
      </c>
      <c r="CY93" s="217">
        <f t="shared" si="233"/>
        <v>1.6238912043690719</v>
      </c>
      <c r="CZ93" s="217">
        <f t="shared" si="234"/>
        <v>1.5842841018234846</v>
      </c>
      <c r="DA93" s="197">
        <f t="shared" si="235"/>
        <v>350</v>
      </c>
      <c r="DB93" s="443">
        <f t="shared" si="290"/>
        <v>311.70366471861979</v>
      </c>
      <c r="DD93" s="217">
        <f t="shared" si="236"/>
        <v>8.6157079064880477</v>
      </c>
      <c r="DE93" s="173">
        <f t="shared" si="237"/>
        <v>1.4109347442680775</v>
      </c>
      <c r="DF93" s="173">
        <f t="shared" si="238"/>
        <v>2.1273352855526046</v>
      </c>
      <c r="DG93" s="173"/>
      <c r="DH93" s="173">
        <f t="shared" si="239"/>
        <v>0.54587688734030204</v>
      </c>
      <c r="DI93" s="545">
        <f t="shared" si="240"/>
        <v>2418.127659574468</v>
      </c>
      <c r="DJ93" s="528">
        <f t="shared" si="241"/>
        <v>0.31842818428184283</v>
      </c>
      <c r="DL93" s="173">
        <f t="shared" si="242"/>
        <v>9.1059284606622679</v>
      </c>
      <c r="DM93" s="173">
        <f t="shared" si="243"/>
        <v>9.6742454728370237</v>
      </c>
      <c r="DN93" s="173">
        <f t="shared" si="244"/>
        <v>5.8969719551879187</v>
      </c>
      <c r="DP93" s="545">
        <f t="shared" si="245"/>
        <v>2200</v>
      </c>
      <c r="DQ93" s="460">
        <f t="shared" si="246"/>
        <v>311.70366471861979</v>
      </c>
      <c r="DS93">
        <f>IF(CL93&gt;CS93, "",DP93)</f>
        <v>2200</v>
      </c>
      <c r="DT93">
        <f>IF(CL93&gt;CS93, "",DQ93)</f>
        <v>311.70366471861979</v>
      </c>
      <c r="DV93" s="5">
        <f t="shared" si="292"/>
        <v>3.2081753061925564</v>
      </c>
      <c r="DW93" s="5">
        <f t="shared" si="248"/>
        <v>1.6238912043690719</v>
      </c>
      <c r="DX93" s="5">
        <f t="shared" si="293"/>
        <v>1.5842841018234846</v>
      </c>
      <c r="DY93" s="173">
        <f t="shared" si="294"/>
        <v>0.50617283950617287</v>
      </c>
      <c r="EA93" s="5">
        <f t="shared" si="249"/>
        <v>12.759145177185564</v>
      </c>
      <c r="EB93" s="5">
        <f t="shared" si="250"/>
        <v>1.1908535498706527</v>
      </c>
      <c r="EC93" s="5">
        <f t="shared" si="251"/>
        <v>2.4895893028654754</v>
      </c>
      <c r="ED93" s="5"/>
      <c r="EE93" s="173">
        <f t="shared" si="295"/>
        <v>3.9737989847579649</v>
      </c>
      <c r="EF93" s="173">
        <f t="shared" si="252"/>
        <v>3.9250388683815332</v>
      </c>
      <c r="EG93" s="173">
        <f t="shared" si="253"/>
        <v>0.39572113181223656</v>
      </c>
      <c r="EH93" s="173"/>
      <c r="EI93" s="528">
        <f t="shared" si="254"/>
        <v>0.18949294045516121</v>
      </c>
      <c r="EJ93" s="528">
        <f t="shared" si="255"/>
        <v>3.248595744680852</v>
      </c>
      <c r="EK93" s="528">
        <f t="shared" si="256"/>
        <v>3.5845921442641281E-2</v>
      </c>
      <c r="EL93" s="528">
        <f t="shared" si="257"/>
        <v>0.49353079987361759</v>
      </c>
      <c r="EM93">
        <f t="shared" si="258"/>
        <v>1.26E-2</v>
      </c>
      <c r="EN93" s="460">
        <f t="shared" si="296"/>
        <v>48.445921442641279</v>
      </c>
      <c r="EO93">
        <f t="shared" si="259"/>
        <v>4.221285650480767</v>
      </c>
      <c r="EP93" s="460">
        <f t="shared" si="297"/>
        <v>4221.2856504807669</v>
      </c>
      <c r="EQ93" s="173">
        <f t="shared" si="260"/>
        <v>1.47532</v>
      </c>
      <c r="ER93" s="173">
        <f t="shared" si="261"/>
        <v>0.10538</v>
      </c>
      <c r="ES93" s="528"/>
      <c r="EU93" s="460">
        <f t="shared" si="298"/>
        <v>1580.7</v>
      </c>
      <c r="EV93" s="528">
        <f t="shared" si="262"/>
        <v>0.22107509719768806</v>
      </c>
      <c r="EW93" s="528">
        <f t="shared" si="299"/>
        <v>0.215683021656281</v>
      </c>
      <c r="EX93" s="528">
        <f t="shared" si="263"/>
        <v>7.8297607081378757E-4</v>
      </c>
      <c r="EY93" s="528">
        <f t="shared" si="264"/>
        <v>24.967067330196159</v>
      </c>
      <c r="EZ93" s="528">
        <f t="shared" si="265"/>
        <v>26.434927663432131</v>
      </c>
      <c r="FA93" s="625">
        <f t="shared" si="266"/>
        <v>2.917266562336986</v>
      </c>
      <c r="FB93" s="460">
        <f t="shared" si="300"/>
        <v>29352.194225769119</v>
      </c>
      <c r="FC93" s="173">
        <f t="shared" si="301"/>
        <v>35.154179876249884</v>
      </c>
      <c r="FD93" s="5">
        <f t="shared" si="302"/>
        <v>68.2</v>
      </c>
      <c r="FE93" s="173">
        <f t="shared" si="303"/>
        <v>0.65986687796912136</v>
      </c>
      <c r="FF93" s="5">
        <f t="shared" si="304"/>
        <v>65.986687796912136</v>
      </c>
      <c r="FG93">
        <f t="shared" si="305"/>
        <v>88.000000000000014</v>
      </c>
      <c r="FI93" s="562">
        <f t="shared" si="267"/>
        <v>-50</v>
      </c>
      <c r="FJ93">
        <f t="shared" si="268"/>
        <v>-50</v>
      </c>
      <c r="FL93">
        <f t="shared" si="269"/>
        <v>0.47641678205609539</v>
      </c>
    </row>
    <row r="94" spans="5:168">
      <c r="E94" s="170">
        <v>89</v>
      </c>
      <c r="F94" s="217">
        <f t="shared" si="306"/>
        <v>2.2250000000000001</v>
      </c>
      <c r="G94" s="217">
        <f t="shared" si="270"/>
        <v>0.2225</v>
      </c>
      <c r="H94" s="217">
        <f t="shared" si="175"/>
        <v>62.300000000000004</v>
      </c>
      <c r="I94" s="217">
        <f t="shared" si="307"/>
        <v>6.6749999999999998</v>
      </c>
      <c r="J94" s="541">
        <f t="shared" si="176"/>
        <v>27.838779672599163</v>
      </c>
      <c r="K94" s="443">
        <f t="shared" si="177"/>
        <v>28.765383926791085</v>
      </c>
      <c r="L94" s="172">
        <f t="shared" si="178"/>
        <v>56.604163599390247</v>
      </c>
      <c r="M94" s="443"/>
      <c r="N94" s="217">
        <f t="shared" si="179"/>
        <v>0.50818494784897683</v>
      </c>
      <c r="O94" s="172">
        <f t="shared" si="271"/>
        <v>106.48466835773412</v>
      </c>
      <c r="P94" s="172">
        <f t="shared" si="180"/>
        <v>12.631472139374074</v>
      </c>
      <c r="Q94" s="217">
        <f t="shared" si="181"/>
        <v>3.8030238699190759</v>
      </c>
      <c r="R94" s="217">
        <f t="shared" si="182"/>
        <v>3.5494889452578042</v>
      </c>
      <c r="S94" s="443">
        <f t="shared" si="183"/>
        <v>28</v>
      </c>
      <c r="T94" s="217">
        <f t="shared" si="184"/>
        <v>9.7510125105058645</v>
      </c>
      <c r="U94" s="217">
        <f t="shared" si="185"/>
        <v>1.6462560262469534</v>
      </c>
      <c r="V94" s="217">
        <f t="shared" si="186"/>
        <v>1.5932260426634983</v>
      </c>
      <c r="W94" s="197">
        <f t="shared" si="187"/>
        <v>350</v>
      </c>
      <c r="X94" s="443">
        <f t="shared" si="272"/>
        <v>290.7414488474937</v>
      </c>
      <c r="Z94" s="217">
        <f t="shared" si="188"/>
        <v>8.6001512438291563</v>
      </c>
      <c r="AA94" s="173">
        <f t="shared" si="189"/>
        <v>1.4051858632886376</v>
      </c>
      <c r="AB94" s="173">
        <f t="shared" si="190"/>
        <v>2.1148419162452616</v>
      </c>
      <c r="AC94" s="173"/>
      <c r="AD94" s="173">
        <f t="shared" si="191"/>
        <v>0.54463610520683081</v>
      </c>
      <c r="AE94" s="545">
        <f t="shared" si="192"/>
        <v>2451.1779282297507</v>
      </c>
      <c r="AF94" s="528">
        <f t="shared" si="193"/>
        <v>0.31770439470398459</v>
      </c>
      <c r="AH94" s="173">
        <f t="shared" si="194"/>
        <v>9.157520536194319</v>
      </c>
      <c r="AI94" s="173">
        <f t="shared" si="195"/>
        <v>9.7510125105058645</v>
      </c>
      <c r="AJ94" s="173">
        <f t="shared" si="196"/>
        <v>5.953836427535208</v>
      </c>
      <c r="AL94" s="545">
        <f t="shared" si="197"/>
        <v>2225</v>
      </c>
      <c r="AM94" s="460">
        <f t="shared" si="198"/>
        <v>290.7414488474937</v>
      </c>
      <c r="AO94">
        <f t="shared" si="273"/>
        <v>2225</v>
      </c>
      <c r="AP94">
        <f t="shared" si="199"/>
        <v>290.7414488474937</v>
      </c>
      <c r="AR94" s="5">
        <f t="shared" si="274"/>
        <v>3.4394820689104524</v>
      </c>
      <c r="AS94" s="5">
        <f t="shared" si="200"/>
        <v>1.6462560262469534</v>
      </c>
      <c r="AT94" s="5">
        <f t="shared" si="275"/>
        <v>1.7932260426634989</v>
      </c>
      <c r="AU94" s="173">
        <f t="shared" si="276"/>
        <v>0.47863486224495683</v>
      </c>
      <c r="AW94" s="5">
        <f t="shared" si="201"/>
        <v>13.081855922855256</v>
      </c>
      <c r="AX94" s="5">
        <f t="shared" si="202"/>
        <v>1.2209732194664906</v>
      </c>
      <c r="AY94" s="5">
        <f t="shared" si="203"/>
        <v>2.8664531936027684</v>
      </c>
      <c r="AZ94" s="5"/>
      <c r="BA94" s="173">
        <f t="shared" si="277"/>
        <v>3.8948546069553349</v>
      </c>
      <c r="BB94" s="173">
        <f t="shared" si="204"/>
        <v>4.0649956027888603</v>
      </c>
      <c r="BC94" s="173">
        <f t="shared" si="205"/>
        <v>0.40983152388772937</v>
      </c>
      <c r="BD94" s="173"/>
      <c r="BE94" s="528">
        <f t="shared" si="206"/>
        <v>0.18203870891185436</v>
      </c>
      <c r="BF94" s="528">
        <f t="shared" si="207"/>
        <v>2.9286529507393975</v>
      </c>
      <c r="BG94" s="528">
        <f t="shared" si="208"/>
        <v>3.3435266617461781E-2</v>
      </c>
      <c r="BH94" s="528">
        <f t="shared" si="209"/>
        <v>0.45878577115746905</v>
      </c>
      <c r="BI94">
        <f t="shared" si="210"/>
        <v>1.2527450852669623E-2</v>
      </c>
      <c r="BJ94" s="460">
        <f t="shared" si="278"/>
        <v>45.962717470131409</v>
      </c>
      <c r="BK94">
        <f t="shared" si="211"/>
        <v>3.7822178720556816</v>
      </c>
      <c r="BL94" s="460">
        <f t="shared" si="279"/>
        <v>3782.2178720556817</v>
      </c>
      <c r="BM94" s="173">
        <f t="shared" si="212"/>
        <v>1.4920849999999999</v>
      </c>
      <c r="BN94" s="173">
        <f t="shared" si="213"/>
        <v>0.10657749999999999</v>
      </c>
      <c r="BO94" s="528"/>
      <c r="BQ94" s="460">
        <f t="shared" si="280"/>
        <v>1598.6624999999999</v>
      </c>
      <c r="BR94" s="528">
        <f t="shared" si="214"/>
        <v>0.21237849373049675</v>
      </c>
      <c r="BS94" s="528">
        <f t="shared" si="215"/>
        <v>0.23133864950969879</v>
      </c>
      <c r="BT94" s="528">
        <f t="shared" si="216"/>
        <v>8.3980938986069251E-4</v>
      </c>
      <c r="BU94" s="528">
        <f t="shared" si="217"/>
        <v>21.39743246040581</v>
      </c>
      <c r="BV94" s="528">
        <f t="shared" si="218"/>
        <v>22.758063510630869</v>
      </c>
      <c r="BW94" s="625">
        <f t="shared" si="219"/>
        <v>2.7644349665169714</v>
      </c>
      <c r="BX94" s="460">
        <f t="shared" si="281"/>
        <v>25522.498477147841</v>
      </c>
      <c r="BY94" s="173">
        <f t="shared" si="282"/>
        <v>30.903378849203524</v>
      </c>
      <c r="BZ94" s="5">
        <f t="shared" si="283"/>
        <v>68.975000000000009</v>
      </c>
      <c r="CA94" s="173">
        <f t="shared" si="284"/>
        <v>0.69058990338778459</v>
      </c>
      <c r="CB94" s="5">
        <f t="shared" si="285"/>
        <v>69.058990338778457</v>
      </c>
      <c r="CC94">
        <f t="shared" si="286"/>
        <v>89</v>
      </c>
      <c r="CE94" s="562">
        <f t="shared" si="220"/>
        <v>-50</v>
      </c>
      <c r="CF94">
        <f t="shared" si="221"/>
        <v>-50</v>
      </c>
      <c r="CG94" s="173">
        <f t="shared" si="222"/>
        <v>0.47641678205609539</v>
      </c>
      <c r="CH94" s="173">
        <f t="shared" si="223"/>
        <v>0.15449493440943712</v>
      </c>
      <c r="CI94" s="170">
        <v>89</v>
      </c>
      <c r="CJ94" s="217">
        <f t="shared" si="308"/>
        <v>2.2250000000000001</v>
      </c>
      <c r="CK94" s="217">
        <f t="shared" si="287"/>
        <v>0.2225</v>
      </c>
      <c r="CL94" s="217">
        <f t="shared" si="224"/>
        <v>62.300000000000004</v>
      </c>
      <c r="CM94" s="217">
        <f t="shared" si="309"/>
        <v>6.6749999999999998</v>
      </c>
      <c r="CN94" s="541">
        <f t="shared" si="288"/>
        <v>28</v>
      </c>
      <c r="CO94" s="443">
        <f t="shared" si="225"/>
        <v>28.7</v>
      </c>
      <c r="CP94" s="443">
        <f t="shared" si="226"/>
        <v>56.7</v>
      </c>
      <c r="CQ94" s="443"/>
      <c r="CR94" s="217">
        <f t="shared" si="227"/>
        <v>0.50354609929078009</v>
      </c>
      <c r="CS94" s="172">
        <f t="shared" si="289"/>
        <v>106.12369404407841</v>
      </c>
      <c r="CT94" s="172">
        <f t="shared" si="228"/>
        <v>12.588652482269502</v>
      </c>
      <c r="CU94" s="217">
        <f t="shared" si="229"/>
        <v>3.7901319301456575</v>
      </c>
      <c r="CV94" s="217">
        <f t="shared" si="230"/>
        <v>3.5374564681359471</v>
      </c>
      <c r="CW94" s="443">
        <f t="shared" si="231"/>
        <v>28</v>
      </c>
      <c r="CX94" s="217">
        <f t="shared" si="232"/>
        <v>9.7841800804828996</v>
      </c>
      <c r="CY94" s="217">
        <f t="shared" si="233"/>
        <v>1.6423445135096295</v>
      </c>
      <c r="CZ94" s="217">
        <f t="shared" si="234"/>
        <v>1.6022873302532972</v>
      </c>
      <c r="DA94" s="197">
        <f t="shared" si="235"/>
        <v>350</v>
      </c>
      <c r="DB94" s="443">
        <f t="shared" si="290"/>
        <v>308.20137635099479</v>
      </c>
      <c r="DD94" s="217">
        <f t="shared" si="236"/>
        <v>8.6157079064880477</v>
      </c>
      <c r="DE94" s="173">
        <f t="shared" si="237"/>
        <v>1.4109347442680775</v>
      </c>
      <c r="DF94" s="173">
        <f t="shared" si="238"/>
        <v>2.1273352855526046</v>
      </c>
      <c r="DG94" s="173"/>
      <c r="DH94" s="173">
        <f t="shared" si="239"/>
        <v>0.54587688734030204</v>
      </c>
      <c r="DI94" s="545">
        <f t="shared" si="240"/>
        <v>2445.6063829787236</v>
      </c>
      <c r="DJ94" s="528">
        <f t="shared" si="241"/>
        <v>0.31842818428184283</v>
      </c>
      <c r="DL94" s="173">
        <f t="shared" si="242"/>
        <v>9.157520536194319</v>
      </c>
      <c r="DM94" s="173">
        <f t="shared" si="243"/>
        <v>9.7841800804828996</v>
      </c>
      <c r="DN94" s="173">
        <f t="shared" si="244"/>
        <v>5.9784049978885676</v>
      </c>
      <c r="DP94" s="545">
        <f t="shared" si="245"/>
        <v>2225</v>
      </c>
      <c r="DQ94" s="460">
        <f t="shared" si="246"/>
        <v>308.20137635099479</v>
      </c>
      <c r="DS94">
        <f>IF(CL94&gt;CS94, "",DP94)</f>
        <v>2225</v>
      </c>
      <c r="DT94">
        <f>IF(CL94&gt;CS94, "",DQ94)</f>
        <v>308.20137635099479</v>
      </c>
      <c r="DV94" s="5">
        <f t="shared" si="292"/>
        <v>3.2446318437629271</v>
      </c>
      <c r="DW94" s="5">
        <f t="shared" si="248"/>
        <v>1.6423445135096295</v>
      </c>
      <c r="DX94" s="5">
        <f t="shared" si="293"/>
        <v>1.6022873302532976</v>
      </c>
      <c r="DY94" s="173">
        <f t="shared" si="294"/>
        <v>0.50617283950617276</v>
      </c>
      <c r="EA94" s="5">
        <f t="shared" si="249"/>
        <v>13.050773366281877</v>
      </c>
      <c r="EB94" s="5">
        <f t="shared" si="250"/>
        <v>1.2180721808529753</v>
      </c>
      <c r="EC94" s="5">
        <f t="shared" si="251"/>
        <v>2.5464923641525621</v>
      </c>
      <c r="ED94" s="5"/>
      <c r="EE94" s="173">
        <f t="shared" si="295"/>
        <v>4.0189557914029415</v>
      </c>
      <c r="EF94" s="173">
        <f t="shared" si="252"/>
        <v>3.96964158279496</v>
      </c>
      <c r="EG94" s="173">
        <f t="shared" si="253"/>
        <v>0.40021796285555744</v>
      </c>
      <c r="EH94" s="173"/>
      <c r="EI94" s="528">
        <f t="shared" si="254"/>
        <v>0.19382406783901493</v>
      </c>
      <c r="EJ94" s="528">
        <f t="shared" si="255"/>
        <v>3.2485957446808515</v>
      </c>
      <c r="EK94" s="528">
        <f t="shared" si="256"/>
        <v>3.5443158280364408E-2</v>
      </c>
      <c r="EL94" s="528">
        <f t="shared" si="257"/>
        <v>0.48798550998739704</v>
      </c>
      <c r="EM94">
        <f t="shared" si="258"/>
        <v>1.26E-2</v>
      </c>
      <c r="EN94" s="460">
        <f t="shared" si="296"/>
        <v>48.043158280364409</v>
      </c>
      <c r="EO94">
        <f t="shared" si="259"/>
        <v>4.2253702592454117</v>
      </c>
      <c r="EP94" s="460">
        <f t="shared" si="297"/>
        <v>4225.3702592454119</v>
      </c>
      <c r="EQ94" s="173">
        <f t="shared" si="260"/>
        <v>1.4920849999999999</v>
      </c>
      <c r="ER94" s="173">
        <f t="shared" si="261"/>
        <v>0.10657749999999999</v>
      </c>
      <c r="ES94" s="528"/>
      <c r="EU94" s="460">
        <f t="shared" si="298"/>
        <v>1598.6624999999999</v>
      </c>
      <c r="EV94" s="528">
        <f t="shared" si="262"/>
        <v>0.22612807914551741</v>
      </c>
      <c r="EW94" s="528">
        <f t="shared" si="299"/>
        <v>0.22061276014196826</v>
      </c>
      <c r="EX94" s="528">
        <f t="shared" si="263"/>
        <v>8.0087208896126186E-4</v>
      </c>
      <c r="EY94" s="528">
        <f t="shared" si="264"/>
        <v>24.967067330196159</v>
      </c>
      <c r="EZ94" s="528">
        <f t="shared" si="265"/>
        <v>26.469723479974064</v>
      </c>
      <c r="FA94" s="625">
        <f t="shared" si="266"/>
        <v>2.9504173187271787</v>
      </c>
      <c r="FB94" s="460">
        <f t="shared" si="300"/>
        <v>29420.140798701243</v>
      </c>
      <c r="FC94" s="173">
        <f t="shared" si="301"/>
        <v>35.244173557946652</v>
      </c>
      <c r="FD94" s="5">
        <f t="shared" si="302"/>
        <v>68.975000000000009</v>
      </c>
      <c r="FE94" s="173">
        <f t="shared" si="303"/>
        <v>0.66182639571258328</v>
      </c>
      <c r="FF94" s="5">
        <f t="shared" si="304"/>
        <v>66.182639571258335</v>
      </c>
      <c r="FG94">
        <f t="shared" si="305"/>
        <v>89</v>
      </c>
      <c r="FI94" s="562">
        <f t="shared" si="267"/>
        <v>-50</v>
      </c>
      <c r="FJ94">
        <f t="shared" si="268"/>
        <v>-50</v>
      </c>
      <c r="FL94">
        <f t="shared" si="269"/>
        <v>0.47641678205609539</v>
      </c>
    </row>
    <row r="95" spans="5:168">
      <c r="E95" s="170">
        <v>90</v>
      </c>
      <c r="F95" s="217">
        <f t="shared" si="306"/>
        <v>2.25</v>
      </c>
      <c r="G95" s="217">
        <f t="shared" si="270"/>
        <v>0.22500000000000001</v>
      </c>
      <c r="H95" s="217">
        <f t="shared" si="175"/>
        <v>63</v>
      </c>
      <c r="I95" s="217">
        <f t="shared" si="307"/>
        <v>6.75</v>
      </c>
      <c r="J95" s="541">
        <f t="shared" si="176"/>
        <v>27.836968208246343</v>
      </c>
      <c r="K95" s="443">
        <f t="shared" si="177"/>
        <v>28.766118577653906</v>
      </c>
      <c r="L95" s="172">
        <f t="shared" si="178"/>
        <v>56.603086785900246</v>
      </c>
      <c r="M95" s="443"/>
      <c r="N95" s="217">
        <f t="shared" si="179"/>
        <v>0.50820759451619713</v>
      </c>
      <c r="O95" s="172">
        <f t="shared" si="271"/>
        <v>106.48248447543776</v>
      </c>
      <c r="P95" s="172">
        <f t="shared" si="180"/>
        <v>12.631213081907793</v>
      </c>
      <c r="Q95" s="217">
        <f t="shared" si="181"/>
        <v>3.8029458741227771</v>
      </c>
      <c r="R95" s="217">
        <f t="shared" si="182"/>
        <v>3.5494161491812588</v>
      </c>
      <c r="S95" s="443">
        <f t="shared" si="183"/>
        <v>28</v>
      </c>
      <c r="T95" s="217">
        <f t="shared" si="184"/>
        <v>9.860776682405481</v>
      </c>
      <c r="U95" s="217">
        <f t="shared" si="185"/>
        <v>1.6648957623760356</v>
      </c>
      <c r="V95" s="217">
        <f t="shared" si="186"/>
        <v>1.6111193549521134</v>
      </c>
      <c r="W95" s="197">
        <f t="shared" si="187"/>
        <v>350</v>
      </c>
      <c r="X95" s="443">
        <f t="shared" si="272"/>
        <v>287.68574538555328</v>
      </c>
      <c r="Z95" s="217">
        <f t="shared" si="188"/>
        <v>8.5999748642776463</v>
      </c>
      <c r="AA95" s="173">
        <f t="shared" si="189"/>
        <v>1.4051211585251515</v>
      </c>
      <c r="AB95" s="173">
        <f t="shared" si="190"/>
        <v>2.1147011628016732</v>
      </c>
      <c r="AC95" s="173"/>
      <c r="AD95" s="173">
        <f t="shared" si="191"/>
        <v>0.54462219587862115</v>
      </c>
      <c r="AE95" s="545">
        <f t="shared" si="192"/>
        <v>2478.7825582871983</v>
      </c>
      <c r="AF95" s="528">
        <f t="shared" si="193"/>
        <v>0.31769628092919566</v>
      </c>
      <c r="AH95" s="173">
        <f t="shared" si="194"/>
        <v>9.2088235736679334</v>
      </c>
      <c r="AI95" s="173">
        <f t="shared" si="195"/>
        <v>9.860776682405481</v>
      </c>
      <c r="AJ95" s="173">
        <f t="shared" si="196"/>
        <v>6.0351432215349243</v>
      </c>
      <c r="AL95" s="545">
        <f t="shared" si="197"/>
        <v>2250</v>
      </c>
      <c r="AM95" s="460">
        <f t="shared" si="198"/>
        <v>287.68574538555328</v>
      </c>
      <c r="AO95">
        <f t="shared" si="273"/>
        <v>2250</v>
      </c>
      <c r="AP95">
        <f t="shared" si="199"/>
        <v>287.68574538555328</v>
      </c>
      <c r="AR95" s="5">
        <f t="shared" si="274"/>
        <v>3.4760151173281493</v>
      </c>
      <c r="AS95" s="5">
        <f t="shared" si="200"/>
        <v>1.6648957623760356</v>
      </c>
      <c r="AT95" s="5">
        <f t="shared" si="275"/>
        <v>1.8111193549521136</v>
      </c>
      <c r="AU95" s="173">
        <f t="shared" si="276"/>
        <v>0.4789667783883988</v>
      </c>
      <c r="AW95" s="5">
        <f t="shared" si="201"/>
        <v>13.378626661950285</v>
      </c>
      <c r="AX95" s="5">
        <f t="shared" si="202"/>
        <v>1.2486718217820267</v>
      </c>
      <c r="AY95" s="5">
        <f t="shared" si="203"/>
        <v>2.9277746902301547</v>
      </c>
      <c r="AZ95" s="5"/>
      <c r="BA95" s="173">
        <f t="shared" si="277"/>
        <v>3.9400632328729093</v>
      </c>
      <c r="BB95" s="173">
        <f t="shared" si="204"/>
        <v>4.1094452968399873</v>
      </c>
      <c r="BC95" s="173">
        <f t="shared" si="205"/>
        <v>0.41431292746829385</v>
      </c>
      <c r="BD95" s="173"/>
      <c r="BE95" s="528">
        <f t="shared" si="206"/>
        <v>0.18628917934844308</v>
      </c>
      <c r="BF95" s="528">
        <f t="shared" si="207"/>
        <v>2.9304374192028138</v>
      </c>
      <c r="BG95" s="528">
        <f t="shared" si="208"/>
        <v>3.308386071933863E-2</v>
      </c>
      <c r="BH95" s="528">
        <f t="shared" si="209"/>
        <v>0.45394664373792021</v>
      </c>
      <c r="BI95">
        <f t="shared" si="210"/>
        <v>1.2526635693710854E-2</v>
      </c>
      <c r="BJ95" s="460">
        <f t="shared" si="278"/>
        <v>45.610496413049482</v>
      </c>
      <c r="BK95">
        <f t="shared" si="211"/>
        <v>3.788666445679842</v>
      </c>
      <c r="BL95" s="460">
        <f t="shared" si="279"/>
        <v>3788.6664456798421</v>
      </c>
      <c r="BM95" s="173">
        <f t="shared" si="212"/>
        <v>1.5088499999999998</v>
      </c>
      <c r="BN95" s="173">
        <f t="shared" si="213"/>
        <v>0.107775</v>
      </c>
      <c r="BO95" s="528"/>
      <c r="BQ95" s="460">
        <f t="shared" si="280"/>
        <v>1616.6249999999998</v>
      </c>
      <c r="BR95" s="528">
        <f t="shared" si="214"/>
        <v>0.21733737590651692</v>
      </c>
      <c r="BS95" s="528">
        <f t="shared" si="215"/>
        <v>0.23642556906808407</v>
      </c>
      <c r="BT95" s="528">
        <f t="shared" si="216"/>
        <v>8.5827600933673868E-4</v>
      </c>
      <c r="BU95" s="528">
        <f t="shared" si="217"/>
        <v>21.431060954603232</v>
      </c>
      <c r="BV95" s="528">
        <f t="shared" si="218"/>
        <v>22.824926961761328</v>
      </c>
      <c r="BW95" s="625">
        <f t="shared" si="219"/>
        <v>2.7973099511434691</v>
      </c>
      <c r="BX95" s="460">
        <f t="shared" si="281"/>
        <v>25622.236912904795</v>
      </c>
      <c r="BY95" s="173">
        <f t="shared" si="282"/>
        <v>31.02752835858464</v>
      </c>
      <c r="BZ95" s="5">
        <f t="shared" si="283"/>
        <v>69.75</v>
      </c>
      <c r="CA95" s="173">
        <f t="shared" si="284"/>
        <v>0.69211858175184549</v>
      </c>
      <c r="CB95" s="5">
        <f t="shared" si="285"/>
        <v>69.211858175184545</v>
      </c>
      <c r="CC95">
        <f t="shared" si="286"/>
        <v>90</v>
      </c>
      <c r="CE95" s="562">
        <f t="shared" si="220"/>
        <v>-50</v>
      </c>
      <c r="CF95">
        <f t="shared" si="221"/>
        <v>-50</v>
      </c>
      <c r="CG95" s="173">
        <f t="shared" si="222"/>
        <v>0.47641678205609544</v>
      </c>
      <c r="CH95" s="173">
        <f t="shared" si="223"/>
        <v>0.15449493440943712</v>
      </c>
      <c r="CI95" s="170">
        <v>90</v>
      </c>
      <c r="CJ95" s="217">
        <f t="shared" si="308"/>
        <v>2.25</v>
      </c>
      <c r="CK95" s="217">
        <f t="shared" si="287"/>
        <v>0.22500000000000001</v>
      </c>
      <c r="CL95" s="217">
        <f t="shared" si="224"/>
        <v>63</v>
      </c>
      <c r="CM95" s="217">
        <f t="shared" si="309"/>
        <v>6.75</v>
      </c>
      <c r="CN95" s="541">
        <f t="shared" si="288"/>
        <v>28</v>
      </c>
      <c r="CO95" s="443">
        <f t="shared" si="225"/>
        <v>28.7</v>
      </c>
      <c r="CP95" s="443">
        <f t="shared" si="226"/>
        <v>56.7</v>
      </c>
      <c r="CQ95" s="443"/>
      <c r="CR95" s="217">
        <f t="shared" si="227"/>
        <v>0.50354609929078009</v>
      </c>
      <c r="CS95" s="172">
        <f t="shared" si="289"/>
        <v>106.12369404407841</v>
      </c>
      <c r="CT95" s="172">
        <f t="shared" si="228"/>
        <v>12.588652482269502</v>
      </c>
      <c r="CU95" s="217">
        <f t="shared" si="229"/>
        <v>3.7901319301456575</v>
      </c>
      <c r="CV95" s="217">
        <f t="shared" si="230"/>
        <v>3.5374564681359471</v>
      </c>
      <c r="CW95" s="443">
        <f t="shared" si="231"/>
        <v>28</v>
      </c>
      <c r="CX95" s="217">
        <f t="shared" si="232"/>
        <v>9.8941146881287736</v>
      </c>
      <c r="CY95" s="217">
        <f t="shared" si="233"/>
        <v>1.6607978226501869</v>
      </c>
      <c r="CZ95" s="217">
        <f t="shared" si="234"/>
        <v>1.6202905586831091</v>
      </c>
      <c r="DA95" s="197">
        <f t="shared" si="235"/>
        <v>350</v>
      </c>
      <c r="DB95" s="443">
        <f t="shared" si="290"/>
        <v>304.77691661376161</v>
      </c>
      <c r="DD95" s="217">
        <f t="shared" si="236"/>
        <v>8.6157079064880477</v>
      </c>
      <c r="DE95" s="173">
        <f t="shared" si="237"/>
        <v>1.4109347442680775</v>
      </c>
      <c r="DF95" s="173">
        <f t="shared" si="238"/>
        <v>2.1273352855526046</v>
      </c>
      <c r="DG95" s="173"/>
      <c r="DH95" s="173">
        <f t="shared" si="239"/>
        <v>0.54587688734030204</v>
      </c>
      <c r="DI95" s="545">
        <f t="shared" si="240"/>
        <v>2473.0851063829787</v>
      </c>
      <c r="DJ95" s="528">
        <f t="shared" si="241"/>
        <v>0.31842818428184283</v>
      </c>
      <c r="DL95" s="173">
        <f t="shared" si="242"/>
        <v>9.2088235736679334</v>
      </c>
      <c r="DM95" s="173">
        <f t="shared" si="243"/>
        <v>9.8941146881287736</v>
      </c>
      <c r="DN95" s="173">
        <f t="shared" si="244"/>
        <v>6.0598380405892147</v>
      </c>
      <c r="DP95" s="545">
        <f t="shared" si="245"/>
        <v>2250</v>
      </c>
      <c r="DQ95" s="460">
        <f t="shared" si="246"/>
        <v>304.77691661376161</v>
      </c>
      <c r="DS95">
        <f>IF(CL95&gt;CS95, "",DP95)</f>
        <v>2250</v>
      </c>
      <c r="DT95">
        <f>IF(CL95&gt;CS95, "",DQ95)</f>
        <v>304.77691661376161</v>
      </c>
      <c r="DV95" s="5">
        <f t="shared" si="292"/>
        <v>3.2810883813332956</v>
      </c>
      <c r="DW95" s="5">
        <f t="shared" si="248"/>
        <v>1.6607978226501869</v>
      </c>
      <c r="DX95" s="5">
        <f t="shared" si="293"/>
        <v>1.6202905586831087</v>
      </c>
      <c r="DY95" s="173">
        <f t="shared" si="294"/>
        <v>0.50617283950617287</v>
      </c>
      <c r="EA95" s="5">
        <f t="shared" si="249"/>
        <v>13.345696789153289</v>
      </c>
      <c r="EB95" s="5">
        <f t="shared" si="250"/>
        <v>1.2455983669876403</v>
      </c>
      <c r="EC95" s="5">
        <f t="shared" si="251"/>
        <v>2.6040383978835675</v>
      </c>
      <c r="ED95" s="5"/>
      <c r="EE95" s="173">
        <f t="shared" si="295"/>
        <v>4.0641125980479185</v>
      </c>
      <c r="EF95" s="173">
        <f t="shared" si="252"/>
        <v>4.0142442972083856</v>
      </c>
      <c r="EG95" s="173">
        <f t="shared" si="253"/>
        <v>0.40471479389887832</v>
      </c>
      <c r="EH95" s="173"/>
      <c r="EI95" s="528">
        <f t="shared" si="254"/>
        <v>0.19820413451534163</v>
      </c>
      <c r="EJ95" s="528">
        <f t="shared" si="255"/>
        <v>3.248595744680852</v>
      </c>
      <c r="EK95" s="528">
        <f t="shared" si="256"/>
        <v>3.5049345410582591E-2</v>
      </c>
      <c r="EL95" s="528">
        <f t="shared" si="257"/>
        <v>0.48256344876531498</v>
      </c>
      <c r="EM95">
        <f t="shared" si="258"/>
        <v>1.26E-2</v>
      </c>
      <c r="EN95" s="460">
        <f t="shared" si="296"/>
        <v>47.64934541058259</v>
      </c>
      <c r="EO95">
        <f t="shared" si="259"/>
        <v>4.2297192366020155</v>
      </c>
      <c r="EP95" s="460">
        <f t="shared" si="297"/>
        <v>4229.7192366020154</v>
      </c>
      <c r="EQ95" s="173">
        <f t="shared" si="260"/>
        <v>1.5088499999999998</v>
      </c>
      <c r="ER95" s="173">
        <f t="shared" si="261"/>
        <v>0.107775</v>
      </c>
      <c r="ES95" s="528"/>
      <c r="EU95" s="460">
        <f t="shared" si="298"/>
        <v>1616.6249999999998</v>
      </c>
      <c r="EV95" s="528">
        <f t="shared" si="262"/>
        <v>0.23123815693456523</v>
      </c>
      <c r="EW95" s="528">
        <f t="shared" si="299"/>
        <v>0.22559820188738064</v>
      </c>
      <c r="EX95" s="528">
        <f t="shared" si="263"/>
        <v>8.1897032200305782E-4</v>
      </c>
      <c r="EY95" s="528">
        <f t="shared" si="264"/>
        <v>24.967067330196159</v>
      </c>
      <c r="EZ95" s="528">
        <f t="shared" si="265"/>
        <v>26.504971245478693</v>
      </c>
      <c r="FA95" s="625">
        <f t="shared" si="266"/>
        <v>2.9835680751173714</v>
      </c>
      <c r="FB95" s="460">
        <f t="shared" si="300"/>
        <v>29488.539320596064</v>
      </c>
      <c r="FC95" s="173">
        <f t="shared" si="301"/>
        <v>35.334883557198076</v>
      </c>
      <c r="FD95" s="5">
        <f t="shared" si="302"/>
        <v>69.75</v>
      </c>
      <c r="FE95" s="173">
        <f t="shared" si="303"/>
        <v>0.66374912964560528</v>
      </c>
      <c r="FF95" s="5">
        <f t="shared" si="304"/>
        <v>66.374912964560522</v>
      </c>
      <c r="FG95">
        <f t="shared" si="305"/>
        <v>90</v>
      </c>
      <c r="FI95" s="562">
        <f t="shared" si="267"/>
        <v>-50</v>
      </c>
      <c r="FJ95">
        <f t="shared" si="268"/>
        <v>-50</v>
      </c>
      <c r="FL95">
        <f t="shared" si="269"/>
        <v>0.47641678205609539</v>
      </c>
    </row>
    <row r="96" spans="5:168">
      <c r="E96" s="170">
        <v>91</v>
      </c>
      <c r="F96" s="217">
        <f t="shared" si="306"/>
        <v>2.2749999999999999</v>
      </c>
      <c r="G96" s="217">
        <f t="shared" si="270"/>
        <v>0.22750000000000001</v>
      </c>
      <c r="H96" s="217">
        <f t="shared" si="175"/>
        <v>63.699999999999996</v>
      </c>
      <c r="I96" s="217">
        <f t="shared" si="307"/>
        <v>6.8250000000000002</v>
      </c>
      <c r="J96" s="541">
        <f t="shared" si="176"/>
        <v>27.835156743893528</v>
      </c>
      <c r="K96" s="443">
        <f t="shared" si="177"/>
        <v>28.766853228516727</v>
      </c>
      <c r="L96" s="172">
        <f t="shared" si="178"/>
        <v>56.602009972410258</v>
      </c>
      <c r="M96" s="443"/>
      <c r="N96" s="217">
        <f t="shared" si="179"/>
        <v>0.50823024204509115</v>
      </c>
      <c r="O96" s="172">
        <f t="shared" si="271"/>
        <v>106.48030015611228</v>
      </c>
      <c r="P96" s="172">
        <f t="shared" si="180"/>
        <v>12.630953972600054</v>
      </c>
      <c r="Q96" s="217">
        <f t="shared" si="181"/>
        <v>3.8028678627182955</v>
      </c>
      <c r="R96" s="217">
        <f t="shared" si="182"/>
        <v>3.5493433385370761</v>
      </c>
      <c r="S96" s="443">
        <f t="shared" si="183"/>
        <v>28</v>
      </c>
      <c r="T96" s="217">
        <f t="shared" si="184"/>
        <v>9.9705453976946163</v>
      </c>
      <c r="U96" s="217">
        <f t="shared" si="185"/>
        <v>1.6835386917461919</v>
      </c>
      <c r="V96" s="217">
        <f t="shared" si="186"/>
        <v>1.6290124956284961</v>
      </c>
      <c r="W96" s="197">
        <f t="shared" si="187"/>
        <v>350</v>
      </c>
      <c r="X96" s="443">
        <f t="shared" si="272"/>
        <v>284.69336008378821</v>
      </c>
      <c r="Z96" s="217">
        <f t="shared" si="188"/>
        <v>8.599798449429823</v>
      </c>
      <c r="AA96" s="173">
        <f t="shared" si="189"/>
        <v>1.4050564512997394</v>
      </c>
      <c r="AB96" s="173">
        <f t="shared" si="190"/>
        <v>2.1145604009685521</v>
      </c>
      <c r="AC96" s="173"/>
      <c r="AD96" s="173">
        <f t="shared" si="191"/>
        <v>0.5446082872608472</v>
      </c>
      <c r="AE96" s="545">
        <f t="shared" si="192"/>
        <v>2506.3885951228935</v>
      </c>
      <c r="AF96" s="528">
        <f t="shared" si="193"/>
        <v>0.31768816756882756</v>
      </c>
      <c r="AH96" s="173">
        <f t="shared" si="194"/>
        <v>9.2598423772256417</v>
      </c>
      <c r="AI96" s="173">
        <f t="shared" si="195"/>
        <v>9.9705453976946163</v>
      </c>
      <c r="AJ96" s="173">
        <f t="shared" si="196"/>
        <v>6.1164533810083572</v>
      </c>
      <c r="AL96" s="545">
        <f t="shared" si="197"/>
        <v>2275</v>
      </c>
      <c r="AM96" s="460">
        <f t="shared" si="198"/>
        <v>284.69336008378821</v>
      </c>
      <c r="AO96">
        <f t="shared" si="273"/>
        <v>2275</v>
      </c>
      <c r="AP96">
        <f t="shared" si="199"/>
        <v>284.69336008378821</v>
      </c>
      <c r="AR96" s="5">
        <f t="shared" si="274"/>
        <v>3.5125511873746884</v>
      </c>
      <c r="AS96" s="5">
        <f t="shared" si="200"/>
        <v>1.6835386917461919</v>
      </c>
      <c r="AT96" s="5">
        <f t="shared" si="275"/>
        <v>1.8290124956284965</v>
      </c>
      <c r="AU96" s="173">
        <f t="shared" si="276"/>
        <v>0.47929228698428833</v>
      </c>
      <c r="AW96" s="5">
        <f t="shared" si="201"/>
        <v>13.678751870437807</v>
      </c>
      <c r="AX96" s="5">
        <f t="shared" si="202"/>
        <v>1.2766835079075289</v>
      </c>
      <c r="AY96" s="5">
        <f t="shared" si="203"/>
        <v>2.9897467191146103</v>
      </c>
      <c r="AZ96" s="5"/>
      <c r="BA96" s="173">
        <f t="shared" si="277"/>
        <v>3.9852769559023562</v>
      </c>
      <c r="BB96" s="173">
        <f t="shared" si="204"/>
        <v>4.1538928842613103</v>
      </c>
      <c r="BC96" s="173">
        <f t="shared" si="205"/>
        <v>0.41879411865913213</v>
      </c>
      <c r="BD96" s="173"/>
      <c r="BE96" s="528">
        <f t="shared" si="206"/>
        <v>0.19058918898295621</v>
      </c>
      <c r="BF96" s="528">
        <f t="shared" si="207"/>
        <v>2.93218235369199</v>
      </c>
      <c r="BG96" s="528">
        <f t="shared" si="208"/>
        <v>3.273973640963565E-2</v>
      </c>
      <c r="BH96" s="528">
        <f t="shared" si="209"/>
        <v>0.44920779108726644</v>
      </c>
      <c r="BI96">
        <f t="shared" si="210"/>
        <v>1.2525820534752086E-2</v>
      </c>
      <c r="BJ96" s="460">
        <f t="shared" si="278"/>
        <v>45.265556944387733</v>
      </c>
      <c r="BK96">
        <f t="shared" si="211"/>
        <v>3.7953049721355647</v>
      </c>
      <c r="BL96" s="460">
        <f t="shared" si="279"/>
        <v>3795.3049721355646</v>
      </c>
      <c r="BM96" s="173">
        <f t="shared" si="212"/>
        <v>1.5256149999999997</v>
      </c>
      <c r="BN96" s="173">
        <f t="shared" si="213"/>
        <v>0.1089725</v>
      </c>
      <c r="BO96" s="528"/>
      <c r="BQ96" s="460">
        <f t="shared" si="280"/>
        <v>1634.5874999999996</v>
      </c>
      <c r="BR96" s="528">
        <f t="shared" si="214"/>
        <v>0.22235405381344892</v>
      </c>
      <c r="BS96" s="528">
        <f t="shared" si="215"/>
        <v>0.24156756531483448</v>
      </c>
      <c r="BT96" s="528">
        <f t="shared" si="216"/>
        <v>8.7694256911739624E-4</v>
      </c>
      <c r="BU96" s="528">
        <f t="shared" si="217"/>
        <v>21.463998927465955</v>
      </c>
      <c r="BV96" s="528">
        <f t="shared" si="218"/>
        <v>22.891545747030744</v>
      </c>
      <c r="BW96" s="625">
        <f t="shared" si="219"/>
        <v>2.8301872406816235</v>
      </c>
      <c r="BX96" s="460">
        <f t="shared" si="281"/>
        <v>25721.732987712367</v>
      </c>
      <c r="BY96" s="173">
        <f t="shared" si="282"/>
        <v>31.151625459847935</v>
      </c>
      <c r="BZ96" s="5">
        <f t="shared" si="283"/>
        <v>70.524999999999991</v>
      </c>
      <c r="CA96" s="173">
        <f t="shared" si="284"/>
        <v>0.6936205807484267</v>
      </c>
      <c r="CB96" s="5">
        <f t="shared" si="285"/>
        <v>69.362058074842665</v>
      </c>
      <c r="CC96">
        <f t="shared" si="286"/>
        <v>90.999999999999986</v>
      </c>
      <c r="CE96" s="562">
        <f t="shared" si="220"/>
        <v>-50</v>
      </c>
      <c r="CF96">
        <f t="shared" si="221"/>
        <v>-50</v>
      </c>
      <c r="CG96" s="173">
        <f t="shared" si="222"/>
        <v>0.47641678205609539</v>
      </c>
      <c r="CH96" s="173">
        <f t="shared" si="223"/>
        <v>0.15449493440943712</v>
      </c>
      <c r="CI96" s="170">
        <v>91</v>
      </c>
      <c r="CJ96" s="217">
        <f t="shared" si="308"/>
        <v>2.2749999999999999</v>
      </c>
      <c r="CK96" s="217">
        <f t="shared" si="287"/>
        <v>0.22750000000000001</v>
      </c>
      <c r="CL96" s="217">
        <f t="shared" si="224"/>
        <v>63.699999999999996</v>
      </c>
      <c r="CM96" s="217">
        <f t="shared" si="309"/>
        <v>6.8250000000000002</v>
      </c>
      <c r="CN96" s="541">
        <f t="shared" si="288"/>
        <v>28</v>
      </c>
      <c r="CO96" s="443">
        <f t="shared" si="225"/>
        <v>28.7</v>
      </c>
      <c r="CP96" s="443">
        <f t="shared" si="226"/>
        <v>56.7</v>
      </c>
      <c r="CQ96" s="443"/>
      <c r="CR96" s="217">
        <f t="shared" si="227"/>
        <v>0.50354609929078009</v>
      </c>
      <c r="CS96" s="172">
        <f t="shared" si="289"/>
        <v>106.12369404407841</v>
      </c>
      <c r="CT96" s="172">
        <f t="shared" si="228"/>
        <v>12.588652482269502</v>
      </c>
      <c r="CU96" s="217">
        <f t="shared" si="229"/>
        <v>3.7901319301456575</v>
      </c>
      <c r="CV96" s="217">
        <f t="shared" si="230"/>
        <v>3.5374564681359471</v>
      </c>
      <c r="CW96" s="443">
        <f t="shared" si="231"/>
        <v>28</v>
      </c>
      <c r="CX96" s="217">
        <f t="shared" si="232"/>
        <v>10.004049295774648</v>
      </c>
      <c r="CY96" s="217">
        <f t="shared" si="233"/>
        <v>1.6792511317907444</v>
      </c>
      <c r="CZ96" s="217">
        <f t="shared" si="234"/>
        <v>1.6382937871129215</v>
      </c>
      <c r="DA96" s="197">
        <f t="shared" si="235"/>
        <v>350</v>
      </c>
      <c r="DB96" s="443">
        <f t="shared" si="290"/>
        <v>301.42771972789609</v>
      </c>
      <c r="DD96" s="217">
        <f t="shared" si="236"/>
        <v>8.6157079064880477</v>
      </c>
      <c r="DE96" s="173">
        <f t="shared" si="237"/>
        <v>1.4109347442680775</v>
      </c>
      <c r="DF96" s="173">
        <f t="shared" si="238"/>
        <v>2.1273352855526046</v>
      </c>
      <c r="DG96" s="173"/>
      <c r="DH96" s="173">
        <f t="shared" si="239"/>
        <v>0.54587688734030204</v>
      </c>
      <c r="DI96" s="545">
        <f t="shared" si="240"/>
        <v>2500.5638297872338</v>
      </c>
      <c r="DJ96" s="528">
        <f t="shared" si="241"/>
        <v>0.31842818428184283</v>
      </c>
      <c r="DL96" s="173">
        <f t="shared" si="242"/>
        <v>9.2598423772256417</v>
      </c>
      <c r="DM96" s="173">
        <f t="shared" si="243"/>
        <v>10.004049295774648</v>
      </c>
      <c r="DN96" s="173">
        <f t="shared" si="244"/>
        <v>6.1412710832898627</v>
      </c>
      <c r="DP96" s="545">
        <f t="shared" si="245"/>
        <v>2275</v>
      </c>
      <c r="DQ96" s="460">
        <f t="shared" si="246"/>
        <v>301.42771972789609</v>
      </c>
      <c r="DS96">
        <f t="shared" ref="DS96:DS105" si="310">IF(CL96&gt;CS96, "",DP96)</f>
        <v>2275</v>
      </c>
      <c r="DT96">
        <f t="shared" ref="DT96:DT105" si="311">IF(CL96&gt;CS96, "",DQ96)</f>
        <v>301.42771972789609</v>
      </c>
      <c r="DV96" s="5">
        <f t="shared" si="292"/>
        <v>3.3175449189036659</v>
      </c>
      <c r="DW96" s="5">
        <f t="shared" si="248"/>
        <v>1.6792511317907444</v>
      </c>
      <c r="DX96" s="5">
        <f t="shared" si="293"/>
        <v>1.6382937871129215</v>
      </c>
      <c r="DY96" s="173">
        <f t="shared" si="294"/>
        <v>0.50617283950617287</v>
      </c>
      <c r="EA96" s="5">
        <f t="shared" si="249"/>
        <v>13.643915445799797</v>
      </c>
      <c r="EB96" s="5">
        <f t="shared" si="250"/>
        <v>1.2734321082746478</v>
      </c>
      <c r="EC96" s="5">
        <f t="shared" si="251"/>
        <v>2.662227404058497</v>
      </c>
      <c r="ED96" s="5"/>
      <c r="EE96" s="173">
        <f t="shared" si="295"/>
        <v>4.1092694046928946</v>
      </c>
      <c r="EF96" s="173">
        <f t="shared" si="252"/>
        <v>4.0588470116218121</v>
      </c>
      <c r="EG96" s="173">
        <f t="shared" si="253"/>
        <v>0.40921162494219909</v>
      </c>
      <c r="EH96" s="173"/>
      <c r="EI96" s="528">
        <f t="shared" si="254"/>
        <v>0.20263314048414116</v>
      </c>
      <c r="EJ96" s="528">
        <f t="shared" si="255"/>
        <v>3.2485957446808515</v>
      </c>
      <c r="EK96" s="528">
        <f t="shared" si="256"/>
        <v>3.4664187768708055E-2</v>
      </c>
      <c r="EL96" s="528">
        <f t="shared" si="257"/>
        <v>0.47726055372393789</v>
      </c>
      <c r="EM96">
        <f t="shared" si="258"/>
        <v>1.26E-2</v>
      </c>
      <c r="EN96" s="460">
        <f t="shared" si="296"/>
        <v>47.264187768708055</v>
      </c>
      <c r="EO96">
        <f t="shared" si="259"/>
        <v>4.2343290311140276</v>
      </c>
      <c r="EP96" s="460">
        <f t="shared" si="297"/>
        <v>4234.3290311140272</v>
      </c>
      <c r="EQ96" s="173">
        <f t="shared" si="260"/>
        <v>1.5256149999999997</v>
      </c>
      <c r="ER96" s="173">
        <f t="shared" si="261"/>
        <v>0.1089725</v>
      </c>
      <c r="ES96" s="528"/>
      <c r="EU96" s="460">
        <f t="shared" si="298"/>
        <v>1634.5874999999996</v>
      </c>
      <c r="EV96" s="528">
        <f t="shared" si="262"/>
        <v>0.23640533056483137</v>
      </c>
      <c r="EW96" s="528">
        <f t="shared" si="299"/>
        <v>0.23063934689251839</v>
      </c>
      <c r="EX96" s="528">
        <f t="shared" si="263"/>
        <v>8.3727076993917512E-4</v>
      </c>
      <c r="EY96" s="528">
        <f t="shared" si="264"/>
        <v>24.967067330196159</v>
      </c>
      <c r="EZ96" s="528">
        <f t="shared" si="265"/>
        <v>26.540673092708399</v>
      </c>
      <c r="FA96" s="625">
        <f t="shared" si="266"/>
        <v>3.0167188315075641</v>
      </c>
      <c r="FB96" s="460">
        <f t="shared" si="300"/>
        <v>29557.391924215965</v>
      </c>
      <c r="FC96" s="173">
        <f t="shared" si="301"/>
        <v>35.426308455329988</v>
      </c>
      <c r="FD96" s="5">
        <f t="shared" si="302"/>
        <v>70.524999999999991</v>
      </c>
      <c r="FE96" s="173">
        <f t="shared" si="303"/>
        <v>0.66563595134583886</v>
      </c>
      <c r="FF96" s="5">
        <f t="shared" si="304"/>
        <v>66.563595134583892</v>
      </c>
      <c r="FG96">
        <f t="shared" si="305"/>
        <v>90.999999999999986</v>
      </c>
      <c r="FI96" s="562">
        <f t="shared" si="267"/>
        <v>-50</v>
      </c>
      <c r="FJ96">
        <f t="shared" si="268"/>
        <v>-50</v>
      </c>
      <c r="FL96">
        <f t="shared" si="269"/>
        <v>0.47641678205609539</v>
      </c>
    </row>
    <row r="97" spans="5:169">
      <c r="E97" s="170">
        <v>92</v>
      </c>
      <c r="F97" s="217">
        <f t="shared" si="306"/>
        <v>2.3000000000000003</v>
      </c>
      <c r="G97" s="217">
        <f t="shared" si="270"/>
        <v>0.23</v>
      </c>
      <c r="H97" s="217">
        <f t="shared" si="175"/>
        <v>64.400000000000006</v>
      </c>
      <c r="I97" s="217">
        <f t="shared" si="307"/>
        <v>6.9</v>
      </c>
      <c r="J97" s="541">
        <f t="shared" si="176"/>
        <v>27.833345279540708</v>
      </c>
      <c r="K97" s="443">
        <f t="shared" si="177"/>
        <v>28.767587879379548</v>
      </c>
      <c r="L97" s="172">
        <f t="shared" si="178"/>
        <v>56.600933158920256</v>
      </c>
      <c r="M97" s="443"/>
      <c r="N97" s="217">
        <f t="shared" si="179"/>
        <v>0.50825289043570832</v>
      </c>
      <c r="O97" s="172">
        <f t="shared" si="271"/>
        <v>106.4781153997328</v>
      </c>
      <c r="P97" s="172">
        <f t="shared" si="180"/>
        <v>12.630694811447896</v>
      </c>
      <c r="Q97" s="217">
        <f t="shared" si="181"/>
        <v>3.8027898357047429</v>
      </c>
      <c r="R97" s="217">
        <f t="shared" si="182"/>
        <v>3.5492705133244269</v>
      </c>
      <c r="S97" s="443">
        <f t="shared" si="183"/>
        <v>28</v>
      </c>
      <c r="T97" s="217">
        <f t="shared" si="184"/>
        <v>10.080318658006854</v>
      </c>
      <c r="U97" s="217">
        <f t="shared" si="185"/>
        <v>1.7021848152567458</v>
      </c>
      <c r="V97" s="217">
        <f t="shared" si="186"/>
        <v>1.6469054649726871</v>
      </c>
      <c r="W97" s="197">
        <f t="shared" si="187"/>
        <v>350</v>
      </c>
      <c r="X97" s="443">
        <f t="shared" si="272"/>
        <v>281.76234500728293</v>
      </c>
      <c r="Z97" s="217">
        <f t="shared" si="188"/>
        <v>8.5996219992836753</v>
      </c>
      <c r="AA97" s="173">
        <f t="shared" si="189"/>
        <v>1.4049917416122621</v>
      </c>
      <c r="AB97" s="173">
        <f t="shared" si="190"/>
        <v>2.1144196307466219</v>
      </c>
      <c r="AC97" s="173"/>
      <c r="AD97" s="173">
        <f t="shared" si="191"/>
        <v>0.54459437935345456</v>
      </c>
      <c r="AE97" s="545">
        <f t="shared" si="192"/>
        <v>2533.9960387368369</v>
      </c>
      <c r="AF97" s="528">
        <f t="shared" si="193"/>
        <v>0.31768005462284848</v>
      </c>
      <c r="AH97" s="173">
        <f t="shared" si="194"/>
        <v>9.3105816193826154</v>
      </c>
      <c r="AI97" s="173">
        <f t="shared" si="195"/>
        <v>10.080318658006854</v>
      </c>
      <c r="AJ97" s="173">
        <f t="shared" si="196"/>
        <v>6.1977669071655708</v>
      </c>
      <c r="AL97" s="545">
        <f t="shared" si="197"/>
        <v>2300.0000000000005</v>
      </c>
      <c r="AM97" s="460">
        <f t="shared" si="198"/>
        <v>281.76234500728293</v>
      </c>
      <c r="AO97">
        <f t="shared" si="273"/>
        <v>2300.0000000000005</v>
      </c>
      <c r="AP97">
        <f t="shared" si="199"/>
        <v>281.76234500728293</v>
      </c>
      <c r="AR97" s="5">
        <f t="shared" si="274"/>
        <v>3.5490902802294331</v>
      </c>
      <c r="AS97" s="5">
        <f t="shared" si="200"/>
        <v>1.7021848152567458</v>
      </c>
      <c r="AT97" s="5">
        <f t="shared" si="275"/>
        <v>1.8469054649726873</v>
      </c>
      <c r="AU97" s="173">
        <f t="shared" si="276"/>
        <v>0.47961158518252939</v>
      </c>
      <c r="AW97" s="5">
        <f t="shared" si="201"/>
        <v>13.982232411037558</v>
      </c>
      <c r="AX97" s="5">
        <f t="shared" si="202"/>
        <v>1.3050083583635053</v>
      </c>
      <c r="AY97" s="5">
        <f t="shared" si="203"/>
        <v>3.0523693984852378</v>
      </c>
      <c r="AZ97" s="5"/>
      <c r="BA97" s="173">
        <f t="shared" si="277"/>
        <v>4.0304957392343512</v>
      </c>
      <c r="BB97" s="173">
        <f t="shared" si="204"/>
        <v>4.1983384227176641</v>
      </c>
      <c r="BC97" s="173">
        <f t="shared" si="205"/>
        <v>0.42327510327399404</v>
      </c>
      <c r="BD97" s="173"/>
      <c r="BE97" s="528">
        <f t="shared" si="206"/>
        <v>0.1949387508478351</v>
      </c>
      <c r="BF97" s="528">
        <f t="shared" si="207"/>
        <v>2.9338889701213269</v>
      </c>
      <c r="BG97" s="528">
        <f t="shared" si="208"/>
        <v>3.2402669675837541E-2</v>
      </c>
      <c r="BH97" s="528">
        <f t="shared" si="209"/>
        <v>0.44456612832903952</v>
      </c>
      <c r="BI97">
        <f t="shared" si="210"/>
        <v>1.2525005375793319E-2</v>
      </c>
      <c r="BJ97" s="460">
        <f t="shared" si="278"/>
        <v>44.927675051630857</v>
      </c>
      <c r="BK97">
        <f t="shared" si="211"/>
        <v>3.8021323776833733</v>
      </c>
      <c r="BL97" s="460">
        <f t="shared" si="279"/>
        <v>3802.1323776833733</v>
      </c>
      <c r="BM97" s="173">
        <f t="shared" si="212"/>
        <v>1.5423800000000001</v>
      </c>
      <c r="BN97" s="173">
        <f t="shared" si="213"/>
        <v>0.11017</v>
      </c>
      <c r="BO97" s="528"/>
      <c r="BQ97" s="460">
        <f t="shared" si="280"/>
        <v>1652.5500000000002</v>
      </c>
      <c r="BR97" s="528">
        <f t="shared" si="214"/>
        <v>0.22742854265580761</v>
      </c>
      <c r="BS97" s="528">
        <f t="shared" si="215"/>
        <v>0.24676463716334421</v>
      </c>
      <c r="BT97" s="528">
        <f t="shared" si="216"/>
        <v>8.9580906525805158E-4</v>
      </c>
      <c r="BU97" s="528">
        <f t="shared" si="217"/>
        <v>21.496266623718622</v>
      </c>
      <c r="BV97" s="528">
        <f t="shared" si="218"/>
        <v>22.957942214208494</v>
      </c>
      <c r="BW97" s="625">
        <f t="shared" si="219"/>
        <v>2.8630667642636665</v>
      </c>
      <c r="BX97" s="460">
        <f t="shared" si="281"/>
        <v>25821.00897847216</v>
      </c>
      <c r="BY97" s="173">
        <f t="shared" si="282"/>
        <v>31.275691356155534</v>
      </c>
      <c r="BZ97" s="5">
        <f t="shared" si="283"/>
        <v>71.300000000000011</v>
      </c>
      <c r="CA97" s="173">
        <f t="shared" si="284"/>
        <v>0.695096460548704</v>
      </c>
      <c r="CB97" s="5">
        <f t="shared" si="285"/>
        <v>69.509646054870402</v>
      </c>
      <c r="CC97">
        <f t="shared" si="286"/>
        <v>92.000000000000014</v>
      </c>
      <c r="CE97" s="562">
        <f t="shared" si="220"/>
        <v>-50</v>
      </c>
      <c r="CF97">
        <f t="shared" si="221"/>
        <v>-50</v>
      </c>
      <c r="CG97" s="173">
        <f t="shared" si="222"/>
        <v>0.47641678205609544</v>
      </c>
      <c r="CH97" s="173">
        <f t="shared" si="223"/>
        <v>0.15449493440943712</v>
      </c>
      <c r="CI97" s="170">
        <v>92</v>
      </c>
      <c r="CJ97" s="217">
        <f t="shared" si="308"/>
        <v>2.3000000000000003</v>
      </c>
      <c r="CK97" s="217">
        <f t="shared" si="287"/>
        <v>0.23</v>
      </c>
      <c r="CL97" s="217">
        <f t="shared" si="224"/>
        <v>64.400000000000006</v>
      </c>
      <c r="CM97" s="217">
        <f t="shared" si="309"/>
        <v>6.9</v>
      </c>
      <c r="CN97" s="541">
        <f t="shared" si="288"/>
        <v>28</v>
      </c>
      <c r="CO97" s="443">
        <f t="shared" si="225"/>
        <v>28.7</v>
      </c>
      <c r="CP97" s="443">
        <f t="shared" si="226"/>
        <v>56.7</v>
      </c>
      <c r="CQ97" s="443"/>
      <c r="CR97" s="217">
        <f t="shared" si="227"/>
        <v>0.50354609929078009</v>
      </c>
      <c r="CS97" s="172">
        <f t="shared" si="289"/>
        <v>106.12369404407841</v>
      </c>
      <c r="CT97" s="172">
        <f t="shared" si="228"/>
        <v>12.588652482269502</v>
      </c>
      <c r="CU97" s="217">
        <f t="shared" si="229"/>
        <v>3.7901319301456575</v>
      </c>
      <c r="CV97" s="217">
        <f t="shared" si="230"/>
        <v>3.5374564681359471</v>
      </c>
      <c r="CW97" s="443">
        <f t="shared" si="231"/>
        <v>28</v>
      </c>
      <c r="CX97" s="217">
        <f t="shared" si="232"/>
        <v>10.113983903420525</v>
      </c>
      <c r="CY97" s="217">
        <f t="shared" si="233"/>
        <v>1.6977044409313022</v>
      </c>
      <c r="CZ97" s="217">
        <f t="shared" si="234"/>
        <v>1.6562970155427341</v>
      </c>
      <c r="DA97" s="197">
        <f t="shared" si="235"/>
        <v>350</v>
      </c>
      <c r="DB97" s="443">
        <f t="shared" si="290"/>
        <v>298.15133146998414</v>
      </c>
      <c r="DD97" s="217">
        <f t="shared" si="236"/>
        <v>8.6157079064880477</v>
      </c>
      <c r="DE97" s="173">
        <f t="shared" si="237"/>
        <v>1.4109347442680775</v>
      </c>
      <c r="DF97" s="173">
        <f t="shared" si="238"/>
        <v>2.1273352855526046</v>
      </c>
      <c r="DG97" s="173"/>
      <c r="DH97" s="173">
        <f t="shared" si="239"/>
        <v>0.54587688734030204</v>
      </c>
      <c r="DI97" s="545">
        <f t="shared" si="240"/>
        <v>2528.0425531914893</v>
      </c>
      <c r="DJ97" s="528">
        <f t="shared" si="241"/>
        <v>0.31842818428184283</v>
      </c>
      <c r="DL97" s="173">
        <f t="shared" si="242"/>
        <v>9.3105816193826154</v>
      </c>
      <c r="DM97" s="173">
        <f t="shared" si="243"/>
        <v>10.113983903420525</v>
      </c>
      <c r="DN97" s="173">
        <f t="shared" si="244"/>
        <v>6.2227041259905116</v>
      </c>
      <c r="DP97" s="545">
        <f t="shared" si="245"/>
        <v>2300.0000000000005</v>
      </c>
      <c r="DQ97" s="460">
        <f t="shared" si="246"/>
        <v>298.15133146998414</v>
      </c>
      <c r="DS97">
        <f t="shared" si="310"/>
        <v>2300.0000000000005</v>
      </c>
      <c r="DT97">
        <f t="shared" si="311"/>
        <v>298.15133146998414</v>
      </c>
      <c r="DV97" s="5">
        <f t="shared" si="292"/>
        <v>3.3540014564740361</v>
      </c>
      <c r="DW97" s="5">
        <f t="shared" si="248"/>
        <v>1.6977044409313022</v>
      </c>
      <c r="DX97" s="5">
        <f t="shared" si="293"/>
        <v>1.6562970155427339</v>
      </c>
      <c r="DY97" s="173">
        <f t="shared" si="294"/>
        <v>0.50617283950617287</v>
      </c>
      <c r="EA97" s="5">
        <f t="shared" si="249"/>
        <v>13.945429336221412</v>
      </c>
      <c r="EB97" s="5">
        <f t="shared" si="250"/>
        <v>1.3015734047139984</v>
      </c>
      <c r="EC97" s="5">
        <f t="shared" si="251"/>
        <v>2.7210593826773484</v>
      </c>
      <c r="ED97" s="5"/>
      <c r="EE97" s="173">
        <f t="shared" si="295"/>
        <v>4.1544262113378725</v>
      </c>
      <c r="EF97" s="173">
        <f t="shared" si="252"/>
        <v>4.1034497260352394</v>
      </c>
      <c r="EG97" s="173">
        <f t="shared" si="253"/>
        <v>0.41370845598552003</v>
      </c>
      <c r="EH97" s="173"/>
      <c r="EI97" s="528">
        <f t="shared" si="254"/>
        <v>0.20711108574541379</v>
      </c>
      <c r="EJ97" s="528">
        <f t="shared" si="255"/>
        <v>3.248595744680852</v>
      </c>
      <c r="EK97" s="528">
        <f t="shared" si="256"/>
        <v>3.4287403119048175E-2</v>
      </c>
      <c r="EL97" s="528">
        <f t="shared" si="257"/>
        <v>0.47207293900954717</v>
      </c>
      <c r="EM97">
        <f t="shared" si="258"/>
        <v>1.26E-2</v>
      </c>
      <c r="EN97" s="460">
        <f t="shared" si="296"/>
        <v>46.887403119048173</v>
      </c>
      <c r="EO97">
        <f t="shared" si="259"/>
        <v>4.2391962941116725</v>
      </c>
      <c r="EP97" s="460">
        <f t="shared" si="297"/>
        <v>4239.1962941116726</v>
      </c>
      <c r="EQ97" s="173">
        <f t="shared" si="260"/>
        <v>1.5423800000000001</v>
      </c>
      <c r="ER97" s="173">
        <f t="shared" si="261"/>
        <v>0.11017</v>
      </c>
      <c r="ES97" s="528"/>
      <c r="EU97" s="460">
        <f t="shared" si="298"/>
        <v>1652.5500000000002</v>
      </c>
      <c r="EV97" s="528">
        <f t="shared" si="262"/>
        <v>0.24162960003631609</v>
      </c>
      <c r="EW97" s="528">
        <f t="shared" si="299"/>
        <v>0.23573619515738153</v>
      </c>
      <c r="EX97" s="528">
        <f t="shared" si="263"/>
        <v>8.5577343276961484E-4</v>
      </c>
      <c r="EY97" s="528">
        <f t="shared" si="264"/>
        <v>24.967067330196116</v>
      </c>
      <c r="EZ97" s="528">
        <f t="shared" si="265"/>
        <v>26.576831187252015</v>
      </c>
      <c r="FA97" s="625">
        <f t="shared" si="266"/>
        <v>3.0498695878977578</v>
      </c>
      <c r="FB97" s="460">
        <f t="shared" si="300"/>
        <v>29626.700775149773</v>
      </c>
      <c r="FC97" s="173">
        <f t="shared" si="301"/>
        <v>35.518447069261448</v>
      </c>
      <c r="FD97" s="5">
        <f t="shared" si="302"/>
        <v>71.300000000000011</v>
      </c>
      <c r="FE97" s="173">
        <f t="shared" si="303"/>
        <v>0.667487704195595</v>
      </c>
      <c r="FF97" s="5">
        <f t="shared" si="304"/>
        <v>66.748770419559506</v>
      </c>
      <c r="FG97">
        <f t="shared" si="305"/>
        <v>92.000000000000014</v>
      </c>
      <c r="FI97" s="562">
        <f t="shared" si="267"/>
        <v>-50</v>
      </c>
      <c r="FJ97">
        <f t="shared" si="268"/>
        <v>-50</v>
      </c>
      <c r="FL97">
        <f t="shared" si="269"/>
        <v>0.47641678205609544</v>
      </c>
    </row>
    <row r="98" spans="5:169">
      <c r="E98" s="170">
        <v>93</v>
      </c>
      <c r="F98" s="217">
        <f t="shared" si="306"/>
        <v>2.3250000000000002</v>
      </c>
      <c r="G98" s="217">
        <f t="shared" si="270"/>
        <v>0.23250000000000001</v>
      </c>
      <c r="H98" s="217">
        <f t="shared" si="175"/>
        <v>65.100000000000009</v>
      </c>
      <c r="I98" s="217">
        <f t="shared" si="307"/>
        <v>6.9750000000000005</v>
      </c>
      <c r="J98" s="541">
        <f t="shared" si="176"/>
        <v>27.831533815187889</v>
      </c>
      <c r="K98" s="443">
        <f t="shared" si="177"/>
        <v>28.768322530242369</v>
      </c>
      <c r="L98" s="172">
        <f t="shared" si="178"/>
        <v>56.599856345430254</v>
      </c>
      <c r="M98" s="443"/>
      <c r="N98" s="217">
        <f t="shared" si="179"/>
        <v>0.5082755396880978</v>
      </c>
      <c r="O98" s="172">
        <f t="shared" si="271"/>
        <v>106.47593020627438</v>
      </c>
      <c r="P98" s="172">
        <f t="shared" si="180"/>
        <v>12.630435598448365</v>
      </c>
      <c r="Q98" s="217">
        <f t="shared" si="181"/>
        <v>3.8027117930812282</v>
      </c>
      <c r="R98" s="217">
        <f t="shared" si="182"/>
        <v>3.5491976735424795</v>
      </c>
      <c r="S98" s="443">
        <f t="shared" si="183"/>
        <v>28</v>
      </c>
      <c r="T98" s="217">
        <f t="shared" si="184"/>
        <v>10.190096464976115</v>
      </c>
      <c r="U98" s="217">
        <f t="shared" si="185"/>
        <v>1.7208341338073112</v>
      </c>
      <c r="V98" s="217">
        <f t="shared" si="186"/>
        <v>1.6647982632647522</v>
      </c>
      <c r="W98" s="197">
        <f t="shared" si="187"/>
        <v>350</v>
      </c>
      <c r="X98" s="443">
        <f t="shared" si="272"/>
        <v>278.89083131237174</v>
      </c>
      <c r="Z98" s="217">
        <f t="shared" si="188"/>
        <v>8.5994455138371837</v>
      </c>
      <c r="AA98" s="173">
        <f t="shared" si="189"/>
        <v>1.4049270294625777</v>
      </c>
      <c r="AB98" s="173">
        <f t="shared" si="190"/>
        <v>2.1142788521365992</v>
      </c>
      <c r="AC98" s="173"/>
      <c r="AD98" s="173">
        <f t="shared" si="191"/>
        <v>0.54458047215638883</v>
      </c>
      <c r="AE98" s="545">
        <f t="shared" si="192"/>
        <v>2561.6048891290284</v>
      </c>
      <c r="AF98" s="528">
        <f t="shared" si="193"/>
        <v>0.31767194209122679</v>
      </c>
      <c r="AH98" s="173">
        <f t="shared" si="194"/>
        <v>9.3610458460209998</v>
      </c>
      <c r="AI98" s="173">
        <f t="shared" si="195"/>
        <v>10.190096464976115</v>
      </c>
      <c r="AJ98" s="173">
        <f t="shared" si="196"/>
        <v>6.279083801216875</v>
      </c>
      <c r="AL98" s="545">
        <f t="shared" si="197"/>
        <v>2325</v>
      </c>
      <c r="AM98" s="460">
        <f t="shared" si="198"/>
        <v>278.89083131237174</v>
      </c>
      <c r="AO98">
        <f t="shared" si="273"/>
        <v>2325</v>
      </c>
      <c r="AP98">
        <f t="shared" si="199"/>
        <v>278.89083131237174</v>
      </c>
      <c r="AR98" s="5">
        <f t="shared" si="274"/>
        <v>3.5856323970720636</v>
      </c>
      <c r="AS98" s="5">
        <f t="shared" si="200"/>
        <v>1.7208341338073112</v>
      </c>
      <c r="AT98" s="5">
        <f t="shared" si="275"/>
        <v>1.8647982632647524</v>
      </c>
      <c r="AU98" s="173">
        <f t="shared" si="276"/>
        <v>0.47992486212822616</v>
      </c>
      <c r="AW98" s="5">
        <f t="shared" si="201"/>
        <v>14.289069146792851</v>
      </c>
      <c r="AX98" s="5">
        <f t="shared" si="202"/>
        <v>1.3336464537006663</v>
      </c>
      <c r="AY98" s="5">
        <f t="shared" si="203"/>
        <v>3.1156428466220913</v>
      </c>
      <c r="AZ98" s="5"/>
      <c r="BA98" s="173">
        <f t="shared" si="277"/>
        <v>4.0757195476039652</v>
      </c>
      <c r="BB98" s="173">
        <f t="shared" si="204"/>
        <v>4.2427819675835137</v>
      </c>
      <c r="BC98" s="173">
        <f t="shared" si="205"/>
        <v>0.42775588689571492</v>
      </c>
      <c r="BD98" s="173"/>
      <c r="BE98" s="528">
        <f t="shared" si="206"/>
        <v>0.19933787796865285</v>
      </c>
      <c r="BF98" s="528">
        <f t="shared" si="207"/>
        <v>2.9355584350359245</v>
      </c>
      <c r="BG98" s="528">
        <f t="shared" si="208"/>
        <v>3.2072445600922754E-2</v>
      </c>
      <c r="BH98" s="528">
        <f t="shared" si="209"/>
        <v>0.44001869584082087</v>
      </c>
      <c r="BI98">
        <f t="shared" si="210"/>
        <v>1.252419021683455E-2</v>
      </c>
      <c r="BJ98" s="460">
        <f t="shared" si="278"/>
        <v>44.596635817757303</v>
      </c>
      <c r="BK98">
        <f t="shared" si="211"/>
        <v>3.8091476776865001</v>
      </c>
      <c r="BL98" s="460">
        <f t="shared" si="279"/>
        <v>3809.1476776865002</v>
      </c>
      <c r="BM98" s="173">
        <f t="shared" si="212"/>
        <v>1.5591449999999998</v>
      </c>
      <c r="BN98" s="173">
        <f t="shared" si="213"/>
        <v>0.11136750000000001</v>
      </c>
      <c r="BO98" s="528"/>
      <c r="BQ98" s="460">
        <f t="shared" si="280"/>
        <v>1670.5124999999998</v>
      </c>
      <c r="BR98" s="528">
        <f t="shared" si="214"/>
        <v>0.23256085763009499</v>
      </c>
      <c r="BS98" s="528">
        <f t="shared" si="215"/>
        <v>0.25201678354232565</v>
      </c>
      <c r="BT98" s="528">
        <f t="shared" si="216"/>
        <v>9.1487549386969839E-4</v>
      </c>
      <c r="BU98" s="528">
        <f t="shared" si="217"/>
        <v>21.527883505564688</v>
      </c>
      <c r="BV98" s="528">
        <f t="shared" si="218"/>
        <v>23.024137960845508</v>
      </c>
      <c r="BW98" s="625">
        <f t="shared" si="219"/>
        <v>2.895948453899241</v>
      </c>
      <c r="BX98" s="460">
        <f t="shared" si="281"/>
        <v>25920.08641474475</v>
      </c>
      <c r="BY98" s="173">
        <f t="shared" si="282"/>
        <v>31.399746592431249</v>
      </c>
      <c r="BZ98" s="5">
        <f t="shared" si="283"/>
        <v>72.075000000000003</v>
      </c>
      <c r="CA98" s="173">
        <f t="shared" si="284"/>
        <v>0.69654676501785218</v>
      </c>
      <c r="CB98" s="5">
        <f t="shared" si="285"/>
        <v>69.654676501785218</v>
      </c>
      <c r="CC98">
        <f t="shared" si="286"/>
        <v>93</v>
      </c>
      <c r="CE98" s="562">
        <f t="shared" si="220"/>
        <v>-50</v>
      </c>
      <c r="CF98">
        <f t="shared" si="221"/>
        <v>-50</v>
      </c>
      <c r="CG98" s="173">
        <f t="shared" si="222"/>
        <v>0.47641678205609539</v>
      </c>
      <c r="CH98" s="173">
        <f t="shared" si="223"/>
        <v>0.15449493440943712</v>
      </c>
      <c r="CI98" s="170">
        <v>93</v>
      </c>
      <c r="CJ98" s="217">
        <f t="shared" si="308"/>
        <v>2.3250000000000002</v>
      </c>
      <c r="CK98" s="217">
        <f t="shared" si="287"/>
        <v>0.23250000000000001</v>
      </c>
      <c r="CL98" s="217">
        <f t="shared" si="224"/>
        <v>65.100000000000009</v>
      </c>
      <c r="CM98" s="217">
        <f t="shared" si="309"/>
        <v>6.9750000000000005</v>
      </c>
      <c r="CN98" s="541">
        <f t="shared" si="288"/>
        <v>28</v>
      </c>
      <c r="CO98" s="443">
        <f t="shared" si="225"/>
        <v>28.7</v>
      </c>
      <c r="CP98" s="443">
        <f t="shared" si="226"/>
        <v>56.7</v>
      </c>
      <c r="CQ98" s="443"/>
      <c r="CR98" s="217">
        <f t="shared" si="227"/>
        <v>0.50354609929078009</v>
      </c>
      <c r="CS98" s="172">
        <f t="shared" si="289"/>
        <v>106.12369404407841</v>
      </c>
      <c r="CT98" s="172">
        <f t="shared" si="228"/>
        <v>12.588652482269502</v>
      </c>
      <c r="CU98" s="217">
        <f t="shared" si="229"/>
        <v>3.7901319301456575</v>
      </c>
      <c r="CV98" s="217">
        <f t="shared" si="230"/>
        <v>3.5374564681359471</v>
      </c>
      <c r="CW98" s="443">
        <f t="shared" si="231"/>
        <v>28</v>
      </c>
      <c r="CX98" s="217">
        <f t="shared" si="232"/>
        <v>10.223918511066399</v>
      </c>
      <c r="CY98" s="217">
        <f t="shared" si="233"/>
        <v>1.7161577500718599</v>
      </c>
      <c r="CZ98" s="217">
        <f t="shared" si="234"/>
        <v>1.6743002439725463</v>
      </c>
      <c r="DA98" s="197">
        <f t="shared" si="235"/>
        <v>350</v>
      </c>
      <c r="DB98" s="443">
        <f t="shared" si="290"/>
        <v>294.94540317460792</v>
      </c>
      <c r="DD98" s="217">
        <f t="shared" si="236"/>
        <v>8.6157079064880477</v>
      </c>
      <c r="DE98" s="173">
        <f t="shared" si="237"/>
        <v>1.4109347442680775</v>
      </c>
      <c r="DF98" s="173">
        <f t="shared" si="238"/>
        <v>2.1273352855526046</v>
      </c>
      <c r="DG98" s="173"/>
      <c r="DH98" s="173">
        <f t="shared" si="239"/>
        <v>0.54587688734030204</v>
      </c>
      <c r="DI98" s="545">
        <f t="shared" si="240"/>
        <v>2555.5212765957449</v>
      </c>
      <c r="DJ98" s="528">
        <f t="shared" si="241"/>
        <v>0.31842818428184283</v>
      </c>
      <c r="DL98" s="173">
        <f t="shared" si="242"/>
        <v>9.3610458460209998</v>
      </c>
      <c r="DM98" s="173">
        <f t="shared" si="243"/>
        <v>10.223918511066399</v>
      </c>
      <c r="DN98" s="173">
        <f t="shared" si="244"/>
        <v>6.3041371686911596</v>
      </c>
      <c r="DP98" s="545">
        <f t="shared" si="245"/>
        <v>2325</v>
      </c>
      <c r="DQ98" s="460">
        <f t="shared" si="246"/>
        <v>294.94540317460792</v>
      </c>
      <c r="DS98">
        <f t="shared" si="310"/>
        <v>2325</v>
      </c>
      <c r="DT98">
        <f t="shared" si="311"/>
        <v>294.94540317460792</v>
      </c>
      <c r="DV98" s="5">
        <f t="shared" si="292"/>
        <v>3.3904579940444068</v>
      </c>
      <c r="DW98" s="5">
        <f t="shared" si="248"/>
        <v>1.7161577500718599</v>
      </c>
      <c r="DX98" s="5">
        <f t="shared" si="293"/>
        <v>1.674300243972547</v>
      </c>
      <c r="DY98" s="173">
        <f t="shared" si="294"/>
        <v>0.50617283950617276</v>
      </c>
      <c r="EA98" s="5">
        <f t="shared" si="249"/>
        <v>14.250238460418124</v>
      </c>
      <c r="EB98" s="5">
        <f t="shared" si="250"/>
        <v>1.3300222563056914</v>
      </c>
      <c r="EC98" s="5">
        <f t="shared" si="251"/>
        <v>2.7805343337401225</v>
      </c>
      <c r="ED98" s="5"/>
      <c r="EE98" s="173">
        <f t="shared" si="295"/>
        <v>4.1995830179828486</v>
      </c>
      <c r="EF98" s="173">
        <f t="shared" si="252"/>
        <v>4.1480524404486658</v>
      </c>
      <c r="EG98" s="173">
        <f t="shared" si="253"/>
        <v>0.41820528702884091</v>
      </c>
      <c r="EH98" s="173"/>
      <c r="EI98" s="528">
        <f t="shared" si="254"/>
        <v>0.21163797029915915</v>
      </c>
      <c r="EJ98" s="528">
        <f t="shared" si="255"/>
        <v>3.2485957446808502</v>
      </c>
      <c r="EK98" s="528">
        <f t="shared" si="256"/>
        <v>3.3918721365079917E-2</v>
      </c>
      <c r="EL98" s="528">
        <f t="shared" si="257"/>
        <v>0.46699688590191757</v>
      </c>
      <c r="EM98">
        <f t="shared" si="258"/>
        <v>1.26E-2</v>
      </c>
      <c r="EN98" s="460">
        <f t="shared" si="296"/>
        <v>46.518721365079919</v>
      </c>
      <c r="EO98">
        <f t="shared" si="259"/>
        <v>4.2443178696800432</v>
      </c>
      <c r="EP98" s="460">
        <f t="shared" si="297"/>
        <v>4244.3178696800433</v>
      </c>
      <c r="EQ98" s="173">
        <f t="shared" si="260"/>
        <v>1.5591449999999998</v>
      </c>
      <c r="ER98" s="173">
        <f t="shared" si="261"/>
        <v>0.11136750000000001</v>
      </c>
      <c r="ES98" s="528"/>
      <c r="EU98" s="460">
        <f t="shared" si="298"/>
        <v>1670.5124999999998</v>
      </c>
      <c r="EV98" s="528">
        <f t="shared" si="262"/>
        <v>0.24691096534901902</v>
      </c>
      <c r="EW98" s="528">
        <f t="shared" si="299"/>
        <v>0.24088874668196983</v>
      </c>
      <c r="EX98" s="528">
        <f t="shared" si="263"/>
        <v>8.7447831049437613E-4</v>
      </c>
      <c r="EY98" s="528">
        <f t="shared" si="264"/>
        <v>24.967067330196159</v>
      </c>
      <c r="EZ98" s="528">
        <f t="shared" si="265"/>
        <v>26.613447727868522</v>
      </c>
      <c r="FA98" s="625">
        <f t="shared" si="266"/>
        <v>3.08302034428795</v>
      </c>
      <c r="FB98" s="460">
        <f t="shared" si="300"/>
        <v>29696.468072156469</v>
      </c>
      <c r="FC98" s="173">
        <f t="shared" si="301"/>
        <v>35.611298441836517</v>
      </c>
      <c r="FD98" s="5">
        <f t="shared" si="302"/>
        <v>72.075000000000003</v>
      </c>
      <c r="FE98" s="173">
        <f t="shared" si="303"/>
        <v>0.66930520449571507</v>
      </c>
      <c r="FF98" s="5">
        <f t="shared" si="304"/>
        <v>66.930520449571503</v>
      </c>
      <c r="FG98">
        <f t="shared" si="305"/>
        <v>93</v>
      </c>
      <c r="FI98" s="562">
        <f t="shared" si="267"/>
        <v>-50</v>
      </c>
      <c r="FJ98">
        <f t="shared" si="268"/>
        <v>-50</v>
      </c>
      <c r="FL98">
        <f t="shared" si="269"/>
        <v>0.47641678205609539</v>
      </c>
    </row>
    <row r="99" spans="5:169">
      <c r="E99" s="170">
        <v>94</v>
      </c>
      <c r="F99" s="217">
        <f t="shared" si="306"/>
        <v>2.3499999999999996</v>
      </c>
      <c r="G99" s="217">
        <f t="shared" si="270"/>
        <v>0.23499999999999999</v>
      </c>
      <c r="H99" s="217">
        <f t="shared" si="175"/>
        <v>65.799999999999983</v>
      </c>
      <c r="I99" s="217">
        <f t="shared" si="307"/>
        <v>7.05</v>
      </c>
      <c r="J99" s="541">
        <f t="shared" si="176"/>
        <v>27.82972235083507</v>
      </c>
      <c r="K99" s="443">
        <f t="shared" si="177"/>
        <v>28.76905718110519</v>
      </c>
      <c r="L99" s="172">
        <f t="shared" si="178"/>
        <v>56.598779531940259</v>
      </c>
      <c r="M99" s="443"/>
      <c r="N99" s="217">
        <f t="shared" si="179"/>
        <v>0.50829818980230856</v>
      </c>
      <c r="O99" s="172">
        <f t="shared" si="271"/>
        <v>106.47374457571205</v>
      </c>
      <c r="P99" s="172">
        <f t="shared" si="180"/>
        <v>12.630176333598495</v>
      </c>
      <c r="Q99" s="217">
        <f t="shared" si="181"/>
        <v>3.8026337348468586</v>
      </c>
      <c r="R99" s="217">
        <f t="shared" si="182"/>
        <v>3.5491248191904017</v>
      </c>
      <c r="S99" s="443">
        <f t="shared" si="183"/>
        <v>28</v>
      </c>
      <c r="T99" s="217">
        <f t="shared" si="184"/>
        <v>10.299878820236678</v>
      </c>
      <c r="U99" s="217">
        <f t="shared" si="185"/>
        <v>1.7394866482977971</v>
      </c>
      <c r="V99" s="217">
        <f t="shared" si="186"/>
        <v>1.682690890784788</v>
      </c>
      <c r="W99" s="197">
        <f t="shared" si="187"/>
        <v>350</v>
      </c>
      <c r="X99" s="443">
        <f t="shared" si="272"/>
        <v>276.0770252728355</v>
      </c>
      <c r="Z99" s="217">
        <f t="shared" si="188"/>
        <v>8.5992689930883355</v>
      </c>
      <c r="AA99" s="173">
        <f t="shared" si="189"/>
        <v>1.4048623148505464</v>
      </c>
      <c r="AB99" s="173">
        <f t="shared" si="190"/>
        <v>2.1141380651392061</v>
      </c>
      <c r="AC99" s="173"/>
      <c r="AD99" s="173">
        <f t="shared" si="191"/>
        <v>0.54456656566959549</v>
      </c>
      <c r="AE99" s="545">
        <f t="shared" si="192"/>
        <v>2589.2151462994666</v>
      </c>
      <c r="AF99" s="528">
        <f t="shared" si="193"/>
        <v>0.31766382997393078</v>
      </c>
      <c r="AH99" s="173">
        <f t="shared" si="194"/>
        <v>9.4112394811432001</v>
      </c>
      <c r="AI99" s="173">
        <f t="shared" si="195"/>
        <v>10.299878820236678</v>
      </c>
      <c r="AJ99" s="173">
        <f t="shared" si="196"/>
        <v>6.3604040643728483</v>
      </c>
      <c r="AL99" s="545">
        <f t="shared" si="197"/>
        <v>2349.9999999999995</v>
      </c>
      <c r="AM99" s="460">
        <f t="shared" si="198"/>
        <v>276.0770252728355</v>
      </c>
      <c r="AO99">
        <f t="shared" si="273"/>
        <v>2349.9999999999995</v>
      </c>
      <c r="AP99">
        <f t="shared" si="199"/>
        <v>276.0770252728355</v>
      </c>
      <c r="AR99" s="5">
        <f t="shared" si="274"/>
        <v>3.6221775390825854</v>
      </c>
      <c r="AS99" s="5">
        <f t="shared" si="200"/>
        <v>1.7394866482977971</v>
      </c>
      <c r="AT99" s="5">
        <f t="shared" si="275"/>
        <v>1.8826908907847884</v>
      </c>
      <c r="AU99" s="173">
        <f t="shared" si="276"/>
        <v>0.48023229936387085</v>
      </c>
      <c r="AW99" s="5">
        <f t="shared" si="201"/>
        <v>14.599262941070796</v>
      </c>
      <c r="AX99" s="5">
        <f t="shared" si="202"/>
        <v>1.3625978744999412</v>
      </c>
      <c r="AY99" s="5">
        <f t="shared" si="203"/>
        <v>3.1795671818561946</v>
      </c>
      <c r="AZ99" s="5"/>
      <c r="BA99" s="173">
        <f t="shared" si="277"/>
        <v>4.1209483472123134</v>
      </c>
      <c r="BB99" s="173">
        <f t="shared" si="204"/>
        <v>4.2872235720562566</v>
      </c>
      <c r="BC99" s="173">
        <f t="shared" si="205"/>
        <v>0.43223647488763894</v>
      </c>
      <c r="BD99" s="173"/>
      <c r="BE99" s="528">
        <f t="shared" si="206"/>
        <v>0.20378658336470279</v>
      </c>
      <c r="BF99" s="528">
        <f t="shared" si="207"/>
        <v>2.9371918680920519</v>
      </c>
      <c r="BG99" s="528">
        <f t="shared" si="208"/>
        <v>3.1748857906376091E-2</v>
      </c>
      <c r="BH99" s="528">
        <f t="shared" si="209"/>
        <v>0.43556265296106733</v>
      </c>
      <c r="BI99">
        <f t="shared" si="210"/>
        <v>1.252337505787578E-2</v>
      </c>
      <c r="BJ99" s="460">
        <f t="shared" si="278"/>
        <v>44.27223296425187</v>
      </c>
      <c r="BK99">
        <f t="shared" si="211"/>
        <v>3.8163499729735966</v>
      </c>
      <c r="BL99" s="460">
        <f t="shared" si="279"/>
        <v>3816.3499729735968</v>
      </c>
      <c r="BM99" s="173">
        <f t="shared" si="212"/>
        <v>1.5759099999999995</v>
      </c>
      <c r="BN99" s="173">
        <f t="shared" si="213"/>
        <v>0.11256499999999998</v>
      </c>
      <c r="BO99" s="528"/>
      <c r="BQ99" s="460">
        <f t="shared" si="280"/>
        <v>1688.4749999999995</v>
      </c>
      <c r="BR99" s="528">
        <f t="shared" si="214"/>
        <v>0.23775101392548659</v>
      </c>
      <c r="BS99" s="528">
        <f t="shared" si="215"/>
        <v>0.25732400339512729</v>
      </c>
      <c r="BT99" s="528">
        <f t="shared" si="216"/>
        <v>9.3414185111646278E-4</v>
      </c>
      <c r="BU99" s="528">
        <f t="shared" si="217"/>
        <v>21.558868290059664</v>
      </c>
      <c r="BV99" s="528">
        <f t="shared" si="218"/>
        <v>23.090153872008681</v>
      </c>
      <c r="BW99" s="625">
        <f t="shared" si="219"/>
        <v>2.9288322443308412</v>
      </c>
      <c r="BX99" s="460">
        <f t="shared" si="281"/>
        <v>26018.986116339522</v>
      </c>
      <c r="BY99" s="173">
        <f t="shared" si="282"/>
        <v>31.523811089313121</v>
      </c>
      <c r="BZ99" s="5">
        <f t="shared" si="283"/>
        <v>72.84999999999998</v>
      </c>
      <c r="CA99" s="173">
        <f t="shared" si="284"/>
        <v>0.69797202228882804</v>
      </c>
      <c r="CB99" s="5">
        <f t="shared" si="285"/>
        <v>69.79720222888281</v>
      </c>
      <c r="CC99">
        <f t="shared" si="286"/>
        <v>93.999999999999986</v>
      </c>
      <c r="CE99" s="562">
        <f t="shared" si="220"/>
        <v>-50</v>
      </c>
      <c r="CF99">
        <f t="shared" si="221"/>
        <v>-50</v>
      </c>
      <c r="CG99" s="173">
        <f t="shared" si="222"/>
        <v>0.47641678205609539</v>
      </c>
      <c r="CH99" s="173">
        <f t="shared" si="223"/>
        <v>0.15449493440943715</v>
      </c>
      <c r="CI99" s="170">
        <v>94</v>
      </c>
      <c r="CJ99" s="217">
        <f t="shared" si="308"/>
        <v>2.3499999999999996</v>
      </c>
      <c r="CK99" s="217">
        <f t="shared" si="287"/>
        <v>0.23499999999999999</v>
      </c>
      <c r="CL99" s="217">
        <f t="shared" si="224"/>
        <v>65.799999999999983</v>
      </c>
      <c r="CM99" s="217">
        <f t="shared" si="309"/>
        <v>7.05</v>
      </c>
      <c r="CN99" s="541">
        <f t="shared" si="288"/>
        <v>28</v>
      </c>
      <c r="CO99" s="443">
        <f t="shared" si="225"/>
        <v>28.7</v>
      </c>
      <c r="CP99" s="443">
        <f t="shared" si="226"/>
        <v>56.7</v>
      </c>
      <c r="CQ99" s="443"/>
      <c r="CR99" s="217">
        <f t="shared" si="227"/>
        <v>0.50354609929078009</v>
      </c>
      <c r="CS99" s="172">
        <f t="shared" si="289"/>
        <v>106.12369404407841</v>
      </c>
      <c r="CT99" s="172">
        <f t="shared" si="228"/>
        <v>12.588652482269502</v>
      </c>
      <c r="CU99" s="217">
        <f t="shared" si="229"/>
        <v>3.7901319301456575</v>
      </c>
      <c r="CV99" s="217">
        <f t="shared" si="230"/>
        <v>3.5374564681359471</v>
      </c>
      <c r="CW99" s="443">
        <f t="shared" si="231"/>
        <v>28</v>
      </c>
      <c r="CX99" s="217">
        <f t="shared" si="232"/>
        <v>10.333853118712272</v>
      </c>
      <c r="CY99" s="217">
        <f t="shared" si="233"/>
        <v>1.7346110592124169</v>
      </c>
      <c r="CZ99" s="217">
        <f t="shared" si="234"/>
        <v>1.692303472402358</v>
      </c>
      <c r="DA99" s="197">
        <f t="shared" si="235"/>
        <v>350</v>
      </c>
      <c r="DB99" s="443">
        <f t="shared" si="290"/>
        <v>291.80768611955904</v>
      </c>
      <c r="DD99" s="217">
        <f t="shared" si="236"/>
        <v>8.6157079064880477</v>
      </c>
      <c r="DE99" s="173">
        <f t="shared" si="237"/>
        <v>1.4109347442680775</v>
      </c>
      <c r="DF99" s="173">
        <f t="shared" si="238"/>
        <v>2.1273352855526046</v>
      </c>
      <c r="DG99" s="173"/>
      <c r="DH99" s="173">
        <f t="shared" si="239"/>
        <v>0.54587688734030204</v>
      </c>
      <c r="DI99" s="545">
        <f t="shared" si="240"/>
        <v>2582.9999999999995</v>
      </c>
      <c r="DJ99" s="528">
        <f t="shared" si="241"/>
        <v>0.31842818428184283</v>
      </c>
      <c r="DL99" s="173">
        <f t="shared" si="242"/>
        <v>9.4112394811432001</v>
      </c>
      <c r="DM99" s="173">
        <f t="shared" si="243"/>
        <v>10.333853118712272</v>
      </c>
      <c r="DN99" s="173">
        <f t="shared" si="244"/>
        <v>6.3855702113918058</v>
      </c>
      <c r="DP99" s="545">
        <f t="shared" si="245"/>
        <v>2349.9999999999995</v>
      </c>
      <c r="DQ99" s="460">
        <f t="shared" si="246"/>
        <v>291.80768611955904</v>
      </c>
      <c r="DS99">
        <f t="shared" si="310"/>
        <v>2349.9999999999995</v>
      </c>
      <c r="DT99">
        <f t="shared" si="311"/>
        <v>291.80768611955904</v>
      </c>
      <c r="DV99" s="5">
        <f t="shared" si="292"/>
        <v>3.4269145316147753</v>
      </c>
      <c r="DW99" s="5">
        <f t="shared" si="248"/>
        <v>1.7346110592124169</v>
      </c>
      <c r="DX99" s="5">
        <f t="shared" si="293"/>
        <v>1.6923034724023585</v>
      </c>
      <c r="DY99" s="173">
        <f t="shared" si="294"/>
        <v>0.50617283950617276</v>
      </c>
      <c r="EA99" s="5">
        <f t="shared" si="249"/>
        <v>14.558342818389924</v>
      </c>
      <c r="EB99" s="5">
        <f t="shared" si="250"/>
        <v>1.3587786630497265</v>
      </c>
      <c r="EC99" s="5">
        <f t="shared" si="251"/>
        <v>2.8406522572468149</v>
      </c>
      <c r="ED99" s="5"/>
      <c r="EE99" s="173">
        <f t="shared" si="295"/>
        <v>4.2447398246278238</v>
      </c>
      <c r="EF99" s="173">
        <f t="shared" si="252"/>
        <v>4.1926551548620905</v>
      </c>
      <c r="EG99" s="173">
        <f t="shared" si="253"/>
        <v>0.42270211807216163</v>
      </c>
      <c r="EH99" s="173"/>
      <c r="EI99" s="528">
        <f t="shared" si="254"/>
        <v>0.21621379414537739</v>
      </c>
      <c r="EJ99" s="528">
        <f t="shared" si="255"/>
        <v>3.2485957446808515</v>
      </c>
      <c r="EK99" s="528">
        <f t="shared" si="256"/>
        <v>3.3557883903749287E-2</v>
      </c>
      <c r="EL99" s="528">
        <f t="shared" si="257"/>
        <v>0.46202883392423783</v>
      </c>
      <c r="EM99">
        <f t="shared" si="258"/>
        <v>1.26E-2</v>
      </c>
      <c r="EN99" s="460">
        <f t="shared" si="296"/>
        <v>46.157883903749287</v>
      </c>
      <c r="EO99">
        <f t="shared" si="259"/>
        <v>4.2496907853010457</v>
      </c>
      <c r="EP99" s="460">
        <f t="shared" si="297"/>
        <v>4249.6907853010462</v>
      </c>
      <c r="EQ99" s="173">
        <f t="shared" si="260"/>
        <v>1.5759099999999995</v>
      </c>
      <c r="ER99" s="173">
        <f t="shared" si="261"/>
        <v>0.11256499999999998</v>
      </c>
      <c r="ES99" s="528"/>
      <c r="EU99" s="460">
        <f t="shared" si="298"/>
        <v>1688.4749999999995</v>
      </c>
      <c r="EV99" s="528">
        <f t="shared" si="262"/>
        <v>0.2522494265029403</v>
      </c>
      <c r="EW99" s="528">
        <f t="shared" si="299"/>
        <v>0.24609700146628327</v>
      </c>
      <c r="EX99" s="528">
        <f t="shared" si="263"/>
        <v>8.9338540311345832E-4</v>
      </c>
      <c r="EY99" s="528">
        <f t="shared" si="264"/>
        <v>24.967067330196116</v>
      </c>
      <c r="EZ99" s="528">
        <f t="shared" si="265"/>
        <v>26.650524946836491</v>
      </c>
      <c r="FA99" s="625">
        <f t="shared" si="266"/>
        <v>3.1161711006781427</v>
      </c>
      <c r="FB99" s="460">
        <f t="shared" si="300"/>
        <v>29766.696047514637</v>
      </c>
      <c r="FC99" s="173">
        <f t="shared" si="301"/>
        <v>35.704861832815681</v>
      </c>
      <c r="FD99" s="5">
        <f t="shared" si="302"/>
        <v>72.84999999999998</v>
      </c>
      <c r="FE99" s="173">
        <f t="shared" si="303"/>
        <v>0.67108924252693158</v>
      </c>
      <c r="FF99" s="5">
        <f t="shared" si="304"/>
        <v>67.108924252693157</v>
      </c>
      <c r="FG99">
        <f t="shared" si="305"/>
        <v>93.999999999999986</v>
      </c>
      <c r="FI99" s="562">
        <f t="shared" si="267"/>
        <v>-50</v>
      </c>
      <c r="FJ99">
        <f t="shared" si="268"/>
        <v>-50</v>
      </c>
      <c r="FL99">
        <f t="shared" si="269"/>
        <v>0.47641678205609544</v>
      </c>
    </row>
    <row r="100" spans="5:169">
      <c r="E100" s="170">
        <v>95</v>
      </c>
      <c r="F100" s="217">
        <f t="shared" si="306"/>
        <v>2.375</v>
      </c>
      <c r="G100" s="217">
        <f t="shared" si="270"/>
        <v>0.23749999999999999</v>
      </c>
      <c r="H100" s="217">
        <f t="shared" si="175"/>
        <v>66.5</v>
      </c>
      <c r="I100" s="217">
        <f t="shared" si="307"/>
        <v>7.125</v>
      </c>
      <c r="J100" s="541">
        <f t="shared" si="176"/>
        <v>27.827910886482254</v>
      </c>
      <c r="K100" s="443">
        <f t="shared" si="177"/>
        <v>28.769791831968011</v>
      </c>
      <c r="L100" s="172">
        <f t="shared" si="178"/>
        <v>56.597702718450265</v>
      </c>
      <c r="M100" s="443"/>
      <c r="N100" s="217">
        <f t="shared" si="179"/>
        <v>0.50832084077839002</v>
      </c>
      <c r="O100" s="172">
        <f t="shared" si="271"/>
        <v>106.47155850802088</v>
      </c>
      <c r="P100" s="172">
        <f t="shared" si="180"/>
        <v>12.629917016895334</v>
      </c>
      <c r="Q100" s="217">
        <f t="shared" si="181"/>
        <v>3.8025556610007456</v>
      </c>
      <c r="R100" s="217">
        <f t="shared" si="182"/>
        <v>3.5490519502673625</v>
      </c>
      <c r="S100" s="443">
        <f t="shared" si="183"/>
        <v>28</v>
      </c>
      <c r="T100" s="217">
        <f t="shared" si="184"/>
        <v>10.409665725423178</v>
      </c>
      <c r="U100" s="217">
        <f t="shared" si="185"/>
        <v>1.7581423596284067</v>
      </c>
      <c r="V100" s="217">
        <f t="shared" si="186"/>
        <v>1.7005833478129193</v>
      </c>
      <c r="W100" s="197">
        <f t="shared" si="187"/>
        <v>350</v>
      </c>
      <c r="X100" s="443">
        <f t="shared" si="272"/>
        <v>273.3192045433039</v>
      </c>
      <c r="Z100" s="217">
        <f t="shared" si="188"/>
        <v>8.5990924370351181</v>
      </c>
      <c r="AA100" s="173">
        <f t="shared" si="189"/>
        <v>1.4047975977760281</v>
      </c>
      <c r="AB100" s="173">
        <f t="shared" si="190"/>
        <v>2.1139972697551657</v>
      </c>
      <c r="AC100" s="173"/>
      <c r="AD100" s="173">
        <f t="shared" si="191"/>
        <v>0.54455265989302026</v>
      </c>
      <c r="AE100" s="545">
        <f t="shared" si="192"/>
        <v>2616.8268102481538</v>
      </c>
      <c r="AF100" s="528">
        <f t="shared" si="193"/>
        <v>0.31765571827092848</v>
      </c>
      <c r="AH100" s="173">
        <f t="shared" si="194"/>
        <v>9.461166831398236</v>
      </c>
      <c r="AI100" s="173">
        <f t="shared" si="195"/>
        <v>10.409665725423178</v>
      </c>
      <c r="AJ100" s="173">
        <f t="shared" si="196"/>
        <v>6.4417276978443292</v>
      </c>
      <c r="AL100" s="545">
        <f t="shared" si="197"/>
        <v>2375</v>
      </c>
      <c r="AM100" s="460">
        <f t="shared" si="198"/>
        <v>273.3192045433039</v>
      </c>
      <c r="AO100">
        <f t="shared" si="273"/>
        <v>2375</v>
      </c>
      <c r="AP100">
        <f t="shared" si="199"/>
        <v>273.3192045433039</v>
      </c>
      <c r="AR100" s="5">
        <f t="shared" si="274"/>
        <v>3.658725707441326</v>
      </c>
      <c r="AS100" s="5">
        <f t="shared" si="200"/>
        <v>1.7581423596284067</v>
      </c>
      <c r="AT100" s="5">
        <f t="shared" si="275"/>
        <v>1.9005833478129193</v>
      </c>
      <c r="AU100" s="173">
        <f t="shared" si="276"/>
        <v>0.48053407120752345</v>
      </c>
      <c r="AW100" s="5">
        <f t="shared" si="201"/>
        <v>14.912814657562379</v>
      </c>
      <c r="AX100" s="5">
        <f t="shared" si="202"/>
        <v>1.3918627013724885</v>
      </c>
      <c r="AY100" s="5">
        <f t="shared" si="203"/>
        <v>3.2441425225695668</v>
      </c>
      <c r="AZ100" s="5"/>
      <c r="BA100" s="173">
        <f t="shared" si="277"/>
        <v>4.1661821056529087</v>
      </c>
      <c r="BB100" s="173">
        <f t="shared" si="204"/>
        <v>4.3316632872628551</v>
      </c>
      <c r="BC100" s="173">
        <f t="shared" si="205"/>
        <v>0.43671687240436985</v>
      </c>
      <c r="BD100" s="173"/>
      <c r="BE100" s="528">
        <f t="shared" si="206"/>
        <v>0.20828488004955006</v>
      </c>
      <c r="BF100" s="528">
        <f t="shared" si="207"/>
        <v>2.9387903443895631</v>
      </c>
      <c r="BG100" s="528">
        <f t="shared" si="208"/>
        <v>3.1431708522479951E-2</v>
      </c>
      <c r="BH100" s="528">
        <f t="shared" si="209"/>
        <v>0.43119527207159208</v>
      </c>
      <c r="BI100">
        <f t="shared" si="210"/>
        <v>1.2522559898917015E-2</v>
      </c>
      <c r="BJ100" s="460">
        <f t="shared" si="278"/>
        <v>43.954268421396961</v>
      </c>
      <c r="BK100">
        <f t="shared" si="211"/>
        <v>3.8237384464327735</v>
      </c>
      <c r="BL100" s="460">
        <f t="shared" si="279"/>
        <v>3823.7384464327733</v>
      </c>
      <c r="BM100" s="173">
        <f t="shared" si="212"/>
        <v>1.5926749999999998</v>
      </c>
      <c r="BN100" s="173">
        <f t="shared" si="213"/>
        <v>0.11376249999999999</v>
      </c>
      <c r="BO100" s="528"/>
      <c r="BQ100" s="460">
        <f t="shared" si="280"/>
        <v>1706.4374999999998</v>
      </c>
      <c r="BR100" s="528">
        <f t="shared" si="214"/>
        <v>0.2429990267244751</v>
      </c>
      <c r="BS100" s="528">
        <f t="shared" si="215"/>
        <v>0.26268629567909185</v>
      </c>
      <c r="BT100" s="528">
        <f t="shared" si="216"/>
        <v>9.5360813321327331E-4</v>
      </c>
      <c r="BU100" s="528">
        <f t="shared" si="217"/>
        <v>21.589238984367313</v>
      </c>
      <c r="BV100" s="528">
        <f t="shared" si="218"/>
        <v>23.156010155903793</v>
      </c>
      <c r="BW100" s="625">
        <f t="shared" si="219"/>
        <v>2.9617180728978663</v>
      </c>
      <c r="BX100" s="460">
        <f t="shared" si="281"/>
        <v>26117.728228801661</v>
      </c>
      <c r="BY100" s="173">
        <f t="shared" si="282"/>
        <v>31.647904175234434</v>
      </c>
      <c r="BZ100" s="5">
        <f t="shared" si="283"/>
        <v>73.625</v>
      </c>
      <c r="CA100" s="173">
        <f t="shared" si="284"/>
        <v>0.69937274531199234</v>
      </c>
      <c r="CB100" s="5">
        <f t="shared" si="285"/>
        <v>69.937274531199236</v>
      </c>
      <c r="CC100">
        <f t="shared" si="286"/>
        <v>95</v>
      </c>
      <c r="CE100" s="562">
        <f t="shared" si="220"/>
        <v>-50</v>
      </c>
      <c r="CF100">
        <f t="shared" si="221"/>
        <v>-50</v>
      </c>
      <c r="CG100" s="173">
        <f t="shared" si="222"/>
        <v>0.47641678205609544</v>
      </c>
      <c r="CH100" s="173">
        <f t="shared" si="223"/>
        <v>0.15449493440943712</v>
      </c>
      <c r="CI100" s="170">
        <v>95</v>
      </c>
      <c r="CJ100" s="217">
        <f t="shared" si="308"/>
        <v>2.375</v>
      </c>
      <c r="CK100" s="217">
        <f t="shared" si="287"/>
        <v>0.23749999999999999</v>
      </c>
      <c r="CL100" s="217">
        <f t="shared" si="224"/>
        <v>66.5</v>
      </c>
      <c r="CM100" s="217">
        <f t="shared" si="309"/>
        <v>7.125</v>
      </c>
      <c r="CN100" s="541">
        <f t="shared" si="288"/>
        <v>28</v>
      </c>
      <c r="CO100" s="443">
        <f t="shared" si="225"/>
        <v>28.7</v>
      </c>
      <c r="CP100" s="443">
        <f t="shared" si="226"/>
        <v>56.7</v>
      </c>
      <c r="CQ100" s="443"/>
      <c r="CR100" s="217">
        <f t="shared" si="227"/>
        <v>0.50354609929078009</v>
      </c>
      <c r="CS100" s="172">
        <f t="shared" si="289"/>
        <v>106.12369404407841</v>
      </c>
      <c r="CT100" s="172">
        <f t="shared" si="228"/>
        <v>12.588652482269502</v>
      </c>
      <c r="CU100" s="217">
        <f t="shared" si="229"/>
        <v>3.7901319301456575</v>
      </c>
      <c r="CV100" s="217">
        <f t="shared" si="230"/>
        <v>3.5374564681359471</v>
      </c>
      <c r="CW100" s="443">
        <f t="shared" si="231"/>
        <v>28</v>
      </c>
      <c r="CX100" s="217">
        <f t="shared" si="232"/>
        <v>10.443787726358149</v>
      </c>
      <c r="CY100" s="217">
        <f t="shared" si="233"/>
        <v>1.753064368352975</v>
      </c>
      <c r="CZ100" s="217">
        <f t="shared" si="234"/>
        <v>1.7103067008321708</v>
      </c>
      <c r="DA100" s="197">
        <f t="shared" si="235"/>
        <v>350</v>
      </c>
      <c r="DB100" s="443">
        <f t="shared" si="290"/>
        <v>288.73602626566884</v>
      </c>
      <c r="DD100" s="217">
        <f t="shared" si="236"/>
        <v>8.6157079064880477</v>
      </c>
      <c r="DE100" s="173">
        <f t="shared" si="237"/>
        <v>1.4109347442680775</v>
      </c>
      <c r="DF100" s="173">
        <f t="shared" si="238"/>
        <v>2.1273352855526046</v>
      </c>
      <c r="DG100" s="173"/>
      <c r="DH100" s="173">
        <f t="shared" si="239"/>
        <v>0.54587688734030204</v>
      </c>
      <c r="DI100" s="545">
        <f t="shared" si="240"/>
        <v>2610.4787234042551</v>
      </c>
      <c r="DJ100" s="528">
        <f t="shared" si="241"/>
        <v>0.31842818428184283</v>
      </c>
      <c r="DL100" s="173">
        <f t="shared" si="242"/>
        <v>9.461166831398236</v>
      </c>
      <c r="DM100" s="173">
        <f t="shared" si="243"/>
        <v>10.443787726358149</v>
      </c>
      <c r="DN100" s="173">
        <f t="shared" si="244"/>
        <v>6.4670032540924556</v>
      </c>
      <c r="DP100" s="545">
        <f t="shared" si="245"/>
        <v>2375</v>
      </c>
      <c r="DQ100" s="460">
        <f t="shared" si="246"/>
        <v>288.73602626566884</v>
      </c>
      <c r="DS100">
        <f t="shared" si="310"/>
        <v>2375</v>
      </c>
      <c r="DT100">
        <f t="shared" si="311"/>
        <v>288.73602626566884</v>
      </c>
      <c r="DV100" s="5">
        <f t="shared" si="292"/>
        <v>3.4633710691851465</v>
      </c>
      <c r="DW100" s="5">
        <f t="shared" si="248"/>
        <v>1.753064368352975</v>
      </c>
      <c r="DX100" s="5">
        <f t="shared" si="293"/>
        <v>1.7103067008321715</v>
      </c>
      <c r="DY100" s="173">
        <f t="shared" si="294"/>
        <v>0.50617283950617276</v>
      </c>
      <c r="EA100" s="5">
        <f t="shared" si="249"/>
        <v>14.869742410136841</v>
      </c>
      <c r="EB100" s="5">
        <f t="shared" si="250"/>
        <v>1.3878426249461051</v>
      </c>
      <c r="EC100" s="5">
        <f t="shared" si="251"/>
        <v>2.9014131531974336</v>
      </c>
      <c r="ED100" s="5"/>
      <c r="EE100" s="173">
        <f t="shared" si="295"/>
        <v>4.2898966312728017</v>
      </c>
      <c r="EF100" s="173">
        <f t="shared" si="252"/>
        <v>4.2372578692755178</v>
      </c>
      <c r="EG100" s="173">
        <f t="shared" si="253"/>
        <v>0.42719894911548262</v>
      </c>
      <c r="EH100" s="173"/>
      <c r="EI100" s="528">
        <f t="shared" si="254"/>
        <v>0.22083855728406881</v>
      </c>
      <c r="EJ100" s="528">
        <f t="shared" si="255"/>
        <v>3.2485957446808515</v>
      </c>
      <c r="EK100" s="528">
        <f t="shared" si="256"/>
        <v>3.320464302055192E-2</v>
      </c>
      <c r="EL100" s="528">
        <f t="shared" si="257"/>
        <v>0.45716537251450889</v>
      </c>
      <c r="EM100">
        <f t="shared" si="258"/>
        <v>1.26E-2</v>
      </c>
      <c r="EN100" s="460">
        <f t="shared" si="296"/>
        <v>45.804643020551921</v>
      </c>
      <c r="EO100">
        <f t="shared" si="259"/>
        <v>4.2553122431012689</v>
      </c>
      <c r="EP100" s="460">
        <f t="shared" si="297"/>
        <v>4255.3122431012689</v>
      </c>
      <c r="EQ100" s="173">
        <f t="shared" si="260"/>
        <v>1.5926749999999998</v>
      </c>
      <c r="ER100" s="173">
        <f t="shared" si="261"/>
        <v>0.11376249999999999</v>
      </c>
      <c r="ES100" s="528"/>
      <c r="EU100" s="460">
        <f t="shared" si="298"/>
        <v>1706.4374999999998</v>
      </c>
      <c r="EV100" s="528">
        <f t="shared" si="262"/>
        <v>0.25764498349808029</v>
      </c>
      <c r="EW100" s="528">
        <f t="shared" si="299"/>
        <v>0.25136095951032222</v>
      </c>
      <c r="EX100" s="528">
        <f t="shared" si="263"/>
        <v>9.1249471062686358E-4</v>
      </c>
      <c r="EY100" s="528">
        <f t="shared" si="264"/>
        <v>24.967067330196134</v>
      </c>
      <c r="EZ100" s="528">
        <f t="shared" si="265"/>
        <v>26.688065110311221</v>
      </c>
      <c r="FA100" s="625">
        <f t="shared" si="266"/>
        <v>3.1493218570683359</v>
      </c>
      <c r="FB100" s="460">
        <f t="shared" si="300"/>
        <v>29837.38696737956</v>
      </c>
      <c r="FC100" s="173">
        <f t="shared" si="301"/>
        <v>35.79913671048083</v>
      </c>
      <c r="FD100" s="5">
        <f t="shared" si="302"/>
        <v>73.625</v>
      </c>
      <c r="FE100" s="173">
        <f t="shared" si="303"/>
        <v>0.6728405835615614</v>
      </c>
      <c r="FF100" s="5">
        <f t="shared" si="304"/>
        <v>67.284058356156137</v>
      </c>
      <c r="FG100">
        <f t="shared" si="305"/>
        <v>95</v>
      </c>
      <c r="FI100" s="562">
        <f t="shared" si="267"/>
        <v>-50</v>
      </c>
      <c r="FJ100">
        <f t="shared" si="268"/>
        <v>-50</v>
      </c>
      <c r="FL100">
        <f t="shared" si="269"/>
        <v>0.47641678205609539</v>
      </c>
    </row>
    <row r="101" spans="5:169">
      <c r="E101" s="170">
        <v>96</v>
      </c>
      <c r="F101" s="217">
        <f t="shared" si="306"/>
        <v>2.4</v>
      </c>
      <c r="G101" s="217">
        <f t="shared" si="270"/>
        <v>0.24</v>
      </c>
      <c r="H101" s="217">
        <f t="shared" si="175"/>
        <v>67.2</v>
      </c>
      <c r="I101" s="217">
        <f t="shared" si="307"/>
        <v>7.1999999999999993</v>
      </c>
      <c r="J101" s="541">
        <f t="shared" si="176"/>
        <v>27.826099422129435</v>
      </c>
      <c r="K101" s="443">
        <f t="shared" si="177"/>
        <v>28.770526482830832</v>
      </c>
      <c r="L101" s="172">
        <f t="shared" si="178"/>
        <v>56.596625904960263</v>
      </c>
      <c r="M101" s="443"/>
      <c r="N101" s="217">
        <f t="shared" si="179"/>
        <v>0.50834349261639133</v>
      </c>
      <c r="O101" s="172">
        <f t="shared" si="271"/>
        <v>106.46937200317589</v>
      </c>
      <c r="P101" s="172">
        <f t="shared" si="180"/>
        <v>12.629657648335916</v>
      </c>
      <c r="Q101" s="217">
        <f t="shared" si="181"/>
        <v>3.8024775715419961</v>
      </c>
      <c r="R101" s="217">
        <f t="shared" si="182"/>
        <v>3.5489790667725298</v>
      </c>
      <c r="S101" s="443">
        <f t="shared" si="183"/>
        <v>28</v>
      </c>
      <c r="T101" s="217">
        <f t="shared" si="184"/>
        <v>10.519457182170582</v>
      </c>
      <c r="U101" s="217">
        <f t="shared" si="185"/>
        <v>1.776801268699634</v>
      </c>
      <c r="V101" s="217">
        <f t="shared" si="186"/>
        <v>1.7184756346292978</v>
      </c>
      <c r="W101" s="197">
        <f t="shared" si="187"/>
        <v>350</v>
      </c>
      <c r="X101" s="443">
        <f t="shared" si="272"/>
        <v>270.61571464350584</v>
      </c>
      <c r="Z101" s="217">
        <f t="shared" si="188"/>
        <v>8.598915845675517</v>
      </c>
      <c r="AA101" s="173">
        <f t="shared" si="189"/>
        <v>1.4047328782388819</v>
      </c>
      <c r="AB101" s="173">
        <f>0.5*AA101*Z101*Nps*W101/1000*(Pout/Pout_total)</f>
        <v>2.1138564659851973</v>
      </c>
      <c r="AC101" s="173"/>
      <c r="AD101" s="173">
        <f t="shared" si="191"/>
        <v>0.54453875482660852</v>
      </c>
      <c r="AE101" s="545">
        <f>MAX(10, F101/(0.5*AD101/1000000*Isw_min*Nps)/1000*Pout_total/Pout)</f>
        <v>2644.4398809750892</v>
      </c>
      <c r="AF101" s="528">
        <f t="shared" si="193"/>
        <v>0.31764760698218836</v>
      </c>
      <c r="AH101" s="173">
        <f t="shared" si="194"/>
        <v>9.5108320903941799</v>
      </c>
      <c r="AI101" s="173">
        <f>MAX(IF(F101&gt;AB101,T101,AH101),Isw_min)</f>
        <v>10.519457182170582</v>
      </c>
      <c r="AJ101" s="173">
        <f>IF(F101&gt;AF101, (AI101-Isw_min)/1.08*0.8+1.2, AE101*0.2/350+1)</f>
        <v>6.5230547028424057</v>
      </c>
      <c r="AL101" s="545">
        <f t="shared" si="197"/>
        <v>2400</v>
      </c>
      <c r="AM101" s="460">
        <f t="shared" si="198"/>
        <v>270.61571464350584</v>
      </c>
      <c r="AO101">
        <f t="shared" si="273"/>
        <v>2400</v>
      </c>
      <c r="AP101">
        <f t="shared" si="199"/>
        <v>270.61571464350584</v>
      </c>
      <c r="AR101" s="5">
        <f t="shared" si="274"/>
        <v>3.6952769033289314</v>
      </c>
      <c r="AS101" s="5">
        <f t="shared" si="200"/>
        <v>1.776801268699634</v>
      </c>
      <c r="AT101" s="5">
        <f t="shared" si="275"/>
        <v>1.9184756346292975</v>
      </c>
      <c r="AU101" s="173">
        <f t="shared" si="276"/>
        <v>0.48083034510863926</v>
      </c>
      <c r="AW101" s="5">
        <f t="shared" si="201"/>
        <v>15.229725160282575</v>
      </c>
      <c r="AX101" s="5">
        <f t="shared" si="202"/>
        <v>1.4214410149597072</v>
      </c>
      <c r="AY101" s="5">
        <f t="shared" si="203"/>
        <v>3.3093689871952305</v>
      </c>
      <c r="AZ101" s="5"/>
      <c r="BA101" s="173">
        <f t="shared" si="277"/>
        <v>4.2114207918424142</v>
      </c>
      <c r="BB101" s="173">
        <f t="shared" si="204"/>
        <v>4.3761011623602606</v>
      </c>
      <c r="BC101" s="173">
        <f t="shared" si="205"/>
        <v>0.44119708440189509</v>
      </c>
      <c r="BD101" s="173"/>
      <c r="BE101" s="528">
        <f t="shared" si="206"/>
        <v>0.21283278103155104</v>
      </c>
      <c r="BF101" s="528">
        <f t="shared" si="207"/>
        <v>2.9403548966664461</v>
      </c>
      <c r="BG101" s="528">
        <f t="shared" si="208"/>
        <v>3.1120807184003178E-2</v>
      </c>
      <c r="BH101" s="528">
        <f t="shared" si="209"/>
        <v>0.42691393302979469</v>
      </c>
      <c r="BI101">
        <f t="shared" si="210"/>
        <v>1.2521744739958245E-2</v>
      </c>
      <c r="BJ101" s="460">
        <f t="shared" si="278"/>
        <v>43.64255192396142</v>
      </c>
      <c r="BK101">
        <f t="shared" si="211"/>
        <v>3.8313123598213301</v>
      </c>
      <c r="BL101" s="460">
        <f t="shared" si="279"/>
        <v>3831.3123598213301</v>
      </c>
      <c r="BM101" s="173">
        <f t="shared" si="212"/>
        <v>1.60944</v>
      </c>
      <c r="BN101" s="173">
        <f t="shared" si="213"/>
        <v>0.11495999999999999</v>
      </c>
      <c r="BO101" s="528"/>
      <c r="BQ101" s="460">
        <f t="shared" si="280"/>
        <v>1724.3999999999999</v>
      </c>
      <c r="BR101" s="528">
        <f t="shared" si="214"/>
        <v>0.24830491120347623</v>
      </c>
      <c r="BS101" s="528">
        <f t="shared" si="215"/>
        <v>0.26810365936495156</v>
      </c>
      <c r="BT101" s="528">
        <f t="shared" si="216"/>
        <v>9.7327433642366474E-4</v>
      </c>
      <c r="BU101" s="528">
        <f t="shared" si="217"/>
        <v>21.619012919036642</v>
      </c>
      <c r="BV101" s="528">
        <f>(BU101+(BR101+BS101+BT101)*(1+Ltc*(Ta-25)))/(1-(BR101+BS101+BT101)*Ltc*ThetaCa)</f>
        <v>23.221726377525023</v>
      </c>
      <c r="BW101" s="625">
        <f t="shared" si="219"/>
        <v>2.9946058794087085</v>
      </c>
      <c r="BX101" s="460">
        <f t="shared" si="281"/>
        <v>26216.332256933732</v>
      </c>
      <c r="BY101" s="173">
        <f t="shared" si="282"/>
        <v>31.772044616755061</v>
      </c>
      <c r="BZ101" s="5">
        <f t="shared" si="283"/>
        <v>74.400000000000006</v>
      </c>
      <c r="CA101" s="173">
        <f t="shared" si="284"/>
        <v>0.70074943238174103</v>
      </c>
      <c r="CB101" s="5">
        <f t="shared" si="285"/>
        <v>70.0749432381741</v>
      </c>
      <c r="CC101">
        <f t="shared" si="286"/>
        <v>96</v>
      </c>
      <c r="CE101" s="562">
        <f t="shared" si="220"/>
        <v>-50</v>
      </c>
      <c r="CF101">
        <f t="shared" si="221"/>
        <v>-50</v>
      </c>
      <c r="CG101" s="173">
        <f t="shared" si="222"/>
        <v>0.47641678205609539</v>
      </c>
      <c r="CH101" s="173">
        <f t="shared" si="223"/>
        <v>0.15449493440943712</v>
      </c>
      <c r="CI101" s="170">
        <v>96</v>
      </c>
      <c r="CJ101" s="217">
        <f t="shared" si="308"/>
        <v>2.4</v>
      </c>
      <c r="CK101" s="217">
        <f t="shared" si="287"/>
        <v>0.24</v>
      </c>
      <c r="CL101" s="217">
        <f t="shared" si="224"/>
        <v>67.2</v>
      </c>
      <c r="CM101" s="217">
        <f t="shared" si="309"/>
        <v>7.1999999999999993</v>
      </c>
      <c r="CN101" s="541">
        <f t="shared" si="288"/>
        <v>28</v>
      </c>
      <c r="CO101" s="443">
        <f t="shared" si="225"/>
        <v>28.7</v>
      </c>
      <c r="CP101" s="443">
        <f t="shared" si="226"/>
        <v>56.7</v>
      </c>
      <c r="CQ101" s="443"/>
      <c r="CR101" s="217">
        <f t="shared" si="227"/>
        <v>0.50354609929078009</v>
      </c>
      <c r="CS101" s="172">
        <f t="shared" si="289"/>
        <v>106.12369404407841</v>
      </c>
      <c r="CT101" s="172">
        <f t="shared" si="228"/>
        <v>12.588652482269502</v>
      </c>
      <c r="CU101" s="217">
        <f t="shared" si="229"/>
        <v>3.7901319301456575</v>
      </c>
      <c r="CV101" s="217">
        <f t="shared" si="230"/>
        <v>3.5374564681359471</v>
      </c>
      <c r="CW101" s="443">
        <f t="shared" si="231"/>
        <v>28</v>
      </c>
      <c r="CX101" s="217">
        <f t="shared" si="232"/>
        <v>10.553722334004027</v>
      </c>
      <c r="CY101" s="217">
        <f t="shared" si="233"/>
        <v>1.7715176774935331</v>
      </c>
      <c r="CZ101" s="217">
        <f t="shared" si="234"/>
        <v>1.7283099292619837</v>
      </c>
      <c r="DA101" s="197">
        <f t="shared" si="235"/>
        <v>350</v>
      </c>
      <c r="DB101" s="443">
        <f t="shared" si="290"/>
        <v>285.72835932540141</v>
      </c>
      <c r="DD101" s="217">
        <f t="shared" si="236"/>
        <v>8.6157079064880477</v>
      </c>
      <c r="DE101" s="173">
        <f t="shared" si="237"/>
        <v>1.4109347442680775</v>
      </c>
      <c r="DF101" s="173">
        <f t="shared" si="238"/>
        <v>2.1273352855526046</v>
      </c>
      <c r="DG101" s="173"/>
      <c r="DH101" s="173">
        <f t="shared" si="239"/>
        <v>0.54587688734030204</v>
      </c>
      <c r="DI101" s="545">
        <f t="shared" si="240"/>
        <v>2637.9574468085107</v>
      </c>
      <c r="DJ101" s="528">
        <f t="shared" si="241"/>
        <v>0.31842818428184283</v>
      </c>
      <c r="DL101" s="173">
        <f t="shared" si="242"/>
        <v>9.5108320903941799</v>
      </c>
      <c r="DM101" s="173">
        <f t="shared" si="243"/>
        <v>10.553722334004027</v>
      </c>
      <c r="DN101" s="173">
        <f t="shared" si="244"/>
        <v>6.5484362967931062</v>
      </c>
      <c r="DP101" s="545">
        <f t="shared" si="245"/>
        <v>2400</v>
      </c>
      <c r="DQ101" s="460">
        <f t="shared" si="246"/>
        <v>285.72835932540141</v>
      </c>
      <c r="DS101">
        <f t="shared" si="310"/>
        <v>2400</v>
      </c>
      <c r="DT101">
        <f t="shared" si="311"/>
        <v>285.72835932540141</v>
      </c>
      <c r="DV101" s="5">
        <f t="shared" si="292"/>
        <v>3.4998276067555172</v>
      </c>
      <c r="DW101" s="5">
        <f t="shared" si="248"/>
        <v>1.7715176774935331</v>
      </c>
      <c r="DX101" s="5">
        <f t="shared" si="293"/>
        <v>1.7283099292619841</v>
      </c>
      <c r="DY101" s="173">
        <f t="shared" si="294"/>
        <v>0.50617283950617276</v>
      </c>
      <c r="EA101" s="5">
        <f t="shared" si="249"/>
        <v>15.184437235658853</v>
      </c>
      <c r="EB101" s="5">
        <f t="shared" si="250"/>
        <v>1.4172141419948265</v>
      </c>
      <c r="EC101" s="5">
        <f t="shared" si="251"/>
        <v>2.9628170215919725</v>
      </c>
      <c r="ED101" s="5"/>
      <c r="EE101" s="173">
        <f t="shared" si="295"/>
        <v>4.3350534379177796</v>
      </c>
      <c r="EF101" s="173">
        <f t="shared" si="252"/>
        <v>4.2818605836889461</v>
      </c>
      <c r="EG101" s="173">
        <f t="shared" si="253"/>
        <v>0.43169578015880355</v>
      </c>
      <c r="EH101" s="173"/>
      <c r="EI101" s="528">
        <f t="shared" si="254"/>
        <v>0.22551225971523312</v>
      </c>
      <c r="EJ101" s="528">
        <f t="shared" si="255"/>
        <v>3.2485957446808511</v>
      </c>
      <c r="EK101" s="528">
        <f t="shared" si="256"/>
        <v>3.2858761322421166E-2</v>
      </c>
      <c r="EL101" s="528">
        <f t="shared" si="257"/>
        <v>0.45240323321748266</v>
      </c>
      <c r="EM101">
        <f t="shared" si="258"/>
        <v>1.26E-2</v>
      </c>
      <c r="EN101" s="460">
        <f t="shared" si="296"/>
        <v>45.458761322421168</v>
      </c>
      <c r="EO101">
        <f t="shared" si="259"/>
        <v>4.2611796116620457</v>
      </c>
      <c r="EP101" s="460">
        <f t="shared" si="297"/>
        <v>4261.1796116620453</v>
      </c>
      <c r="EQ101" s="173">
        <f t="shared" si="260"/>
        <v>1.60944</v>
      </c>
      <c r="ER101" s="173">
        <f t="shared" si="261"/>
        <v>0.11495999999999999</v>
      </c>
      <c r="ES101" s="528"/>
      <c r="EU101" s="460">
        <f t="shared" si="298"/>
        <v>1724.3999999999999</v>
      </c>
      <c r="EV101" s="528">
        <f t="shared" si="262"/>
        <v>0.26309763633443861</v>
      </c>
      <c r="EW101" s="528">
        <f t="shared" si="299"/>
        <v>0.2566806208140866</v>
      </c>
      <c r="EX101" s="528">
        <f t="shared" si="263"/>
        <v>9.318062330345903E-4</v>
      </c>
      <c r="EY101" s="528">
        <f t="shared" si="264"/>
        <v>24.96706733019618</v>
      </c>
      <c r="EZ101" s="528">
        <f t="shared" si="265"/>
        <v>26.726070518687376</v>
      </c>
      <c r="FA101" s="625">
        <f t="shared" si="266"/>
        <v>3.1824726134585295</v>
      </c>
      <c r="FB101" s="460">
        <f t="shared" si="300"/>
        <v>29908.543132145904</v>
      </c>
      <c r="FC101" s="173">
        <f t="shared" si="301"/>
        <v>35.894122743807948</v>
      </c>
      <c r="FD101" s="5">
        <f t="shared" si="302"/>
        <v>74.400000000000006</v>
      </c>
      <c r="FE101" s="173">
        <f t="shared" si="303"/>
        <v>0.67455996882822944</v>
      </c>
      <c r="FF101" s="5">
        <f t="shared" si="304"/>
        <v>67.455996882822944</v>
      </c>
      <c r="FG101">
        <f t="shared" si="305"/>
        <v>96</v>
      </c>
      <c r="FI101" s="562">
        <f t="shared" si="267"/>
        <v>-50</v>
      </c>
      <c r="FJ101">
        <f t="shared" si="268"/>
        <v>-50</v>
      </c>
      <c r="FL101">
        <f t="shared" si="269"/>
        <v>0.47641678205609533</v>
      </c>
    </row>
    <row r="102" spans="5:169">
      <c r="E102" s="170">
        <v>97</v>
      </c>
      <c r="F102" s="217">
        <f t="shared" si="306"/>
        <v>2.4249999999999998</v>
      </c>
      <c r="G102" s="217">
        <f t="shared" si="270"/>
        <v>0.24249999999999999</v>
      </c>
      <c r="H102" s="217">
        <f t="shared" si="175"/>
        <v>67.899999999999991</v>
      </c>
      <c r="I102" s="217">
        <f t="shared" si="307"/>
        <v>7.2749999999999995</v>
      </c>
      <c r="J102" s="541">
        <f t="shared" si="176"/>
        <v>27.824287957776615</v>
      </c>
      <c r="K102" s="443">
        <f t="shared" si="177"/>
        <v>28.771261133693653</v>
      </c>
      <c r="L102" s="172">
        <f t="shared" si="178"/>
        <v>56.595549091470268</v>
      </c>
      <c r="M102" s="443"/>
      <c r="N102" s="217">
        <f t="shared" si="179"/>
        <v>0.5083661453163616</v>
      </c>
      <c r="O102" s="172">
        <f>N102*J102*Isw_max*0.5*Efficiency*Pout/(Pout+Pout2)</f>
        <v>106.46718506115216</v>
      </c>
      <c r="P102" s="172">
        <f t="shared" si="180"/>
        <v>12.629398227917283</v>
      </c>
      <c r="Q102" s="217">
        <f t="shared" si="181"/>
        <v>3.80239946646972</v>
      </c>
      <c r="R102" s="217">
        <f t="shared" si="182"/>
        <v>3.5489061687050723</v>
      </c>
      <c r="S102" s="443">
        <f t="shared" si="183"/>
        <v>28</v>
      </c>
      <c r="T102" s="217">
        <f t="shared" si="184"/>
        <v>10.629253192114218</v>
      </c>
      <c r="U102" s="217">
        <f t="shared" si="185"/>
        <v>1.7954633764122685</v>
      </c>
      <c r="V102" s="217">
        <f t="shared" si="186"/>
        <v>1.7363677515141056</v>
      </c>
      <c r="W102" s="197">
        <f t="shared" si="187"/>
        <v>350</v>
      </c>
      <c r="X102" s="443">
        <f t="shared" si="272"/>
        <v>267.96496564828726</v>
      </c>
      <c r="Z102" s="217">
        <f t="shared" si="188"/>
        <v>8.5987392190075109</v>
      </c>
      <c r="AA102" s="173">
        <f t="shared" si="189"/>
        <v>1.4046681562389665</v>
      </c>
      <c r="AB102" s="173">
        <f>0.5*AA102*Z102*Nps*W102/1000*(Pout/Pout_total)</f>
        <v>2.1137156538300199</v>
      </c>
      <c r="AC102" s="173"/>
      <c r="AD102" s="173">
        <f t="shared" si="191"/>
        <v>0.54452485047030608</v>
      </c>
      <c r="AE102" s="545">
        <f>MAX(10, F102/(0.5*AD102/1000000*Isw_min*Nps)/1000*Pout_total/Pout)</f>
        <v>2672.0543584802717</v>
      </c>
      <c r="AF102" s="528">
        <f t="shared" si="193"/>
        <v>0.31763949610767855</v>
      </c>
      <c r="AH102" s="173">
        <f t="shared" si="194"/>
        <v>9.5602393428090124</v>
      </c>
      <c r="AI102" s="173">
        <f>MAX(IF(F102&gt;AB102,T102,AH102),Isw_min)</f>
        <v>10.629253192114218</v>
      </c>
      <c r="AJ102" s="173">
        <f>IF(F102&gt;AF102, (AI102-Isw_min)/1.08*0.8+1.2, AE102*0.2/350+1)</f>
        <v>6.6043850805784325</v>
      </c>
      <c r="AL102" s="545">
        <f t="shared" si="197"/>
        <v>2425</v>
      </c>
      <c r="AM102" s="460">
        <f t="shared" si="198"/>
        <v>267.96496564828726</v>
      </c>
      <c r="AO102">
        <f t="shared" si="273"/>
        <v>2425</v>
      </c>
      <c r="AP102">
        <f t="shared" si="199"/>
        <v>267.96496564828726</v>
      </c>
      <c r="AR102" s="5">
        <f t="shared" si="274"/>
        <v>3.7318311279263745</v>
      </c>
      <c r="AS102" s="5">
        <f t="shared" si="200"/>
        <v>1.7954633764122685</v>
      </c>
      <c r="AT102" s="5">
        <f t="shared" si="275"/>
        <v>1.936367751514106</v>
      </c>
      <c r="AU102" s="173">
        <f t="shared" si="276"/>
        <v>0.48112128198307136</v>
      </c>
      <c r="AW102" s="5">
        <f t="shared" si="201"/>
        <v>15.549995313570539</v>
      </c>
      <c r="AX102" s="5">
        <f t="shared" si="202"/>
        <v>1.4513328959332503</v>
      </c>
      <c r="AY102" s="5">
        <f t="shared" si="203"/>
        <v>3.3752466942172417</v>
      </c>
      <c r="AZ102" s="5"/>
      <c r="BA102" s="173">
        <f t="shared" si="277"/>
        <v>4.2566643759554994</v>
      </c>
      <c r="BB102" s="173">
        <f t="shared" si="204"/>
        <v>4.4205372446300544</v>
      </c>
      <c r="BC102" s="173">
        <f t="shared" si="205"/>
        <v>0.44567711564712847</v>
      </c>
      <c r="BD102" s="173"/>
      <c r="BE102" s="528">
        <f t="shared" si="206"/>
        <v>0.21743029931434346</v>
      </c>
      <c r="BF102" s="528">
        <f t="shared" si="207"/>
        <v>2.9418865173649413</v>
      </c>
      <c r="BG102" s="528">
        <f t="shared" si="208"/>
        <v>3.081597104955304E-2</v>
      </c>
      <c r="BH102" s="528">
        <f t="shared" si="209"/>
        <v>0.42271611792675839</v>
      </c>
      <c r="BI102">
        <f t="shared" si="210"/>
        <v>1.2520929580999476E-2</v>
      </c>
      <c r="BJ102" s="460">
        <f t="shared" si="278"/>
        <v>43.33690063055252</v>
      </c>
      <c r="BK102">
        <f t="shared" si="211"/>
        <v>3.8390710507767962</v>
      </c>
      <c r="BL102" s="460">
        <f t="shared" si="279"/>
        <v>3839.0710507767963</v>
      </c>
      <c r="BM102" s="173">
        <f t="shared" si="212"/>
        <v>1.6262049999999997</v>
      </c>
      <c r="BN102" s="173">
        <f t="shared" si="213"/>
        <v>0.1161575</v>
      </c>
      <c r="BO102" s="528"/>
      <c r="BQ102" s="460">
        <f t="shared" si="280"/>
        <v>1742.3624999999995</v>
      </c>
      <c r="BR102" s="528">
        <f t="shared" si="214"/>
        <v>0.25366868253340069</v>
      </c>
      <c r="BS102" s="528">
        <f t="shared" si="215"/>
        <v>0.2735760934362606</v>
      </c>
      <c r="BT102" s="528">
        <f t="shared" si="216"/>
        <v>9.9314045705771957E-4</v>
      </c>
      <c r="BU102" s="528">
        <f t="shared" si="217"/>
        <v>21.648206779428435</v>
      </c>
      <c r="BV102" s="528">
        <f>(BU102+(BR102+BS102+BT102)*(1+Ltc*(Ta-25)))/(1-(BR102+BS102+BT102)*Ltc*ThetaCa)</f>
        <v>23.287321490459941</v>
      </c>
      <c r="BW102" s="625">
        <f t="shared" si="219"/>
        <v>3.0274956060203406</v>
      </c>
      <c r="BX102" s="460">
        <f t="shared" si="281"/>
        <v>26314.817096480285</v>
      </c>
      <c r="BY102" s="173">
        <f t="shared" si="282"/>
        <v>31.89625064725708</v>
      </c>
      <c r="BZ102" s="5">
        <f t="shared" si="283"/>
        <v>75.174999999999997</v>
      </c>
      <c r="CA102" s="173">
        <f t="shared" si="284"/>
        <v>0.70210256764125889</v>
      </c>
      <c r="CB102" s="5">
        <f t="shared" si="285"/>
        <v>70.210256764125887</v>
      </c>
      <c r="CC102">
        <f t="shared" si="286"/>
        <v>97</v>
      </c>
      <c r="CE102" s="562">
        <f t="shared" si="220"/>
        <v>-50</v>
      </c>
      <c r="CF102">
        <f t="shared" si="221"/>
        <v>-50</v>
      </c>
      <c r="CG102" s="173">
        <f t="shared" si="222"/>
        <v>0.47641678205609539</v>
      </c>
      <c r="CH102" s="173">
        <f t="shared" si="223"/>
        <v>0.15449493440943712</v>
      </c>
      <c r="CI102" s="170">
        <v>97</v>
      </c>
      <c r="CJ102" s="217">
        <f t="shared" si="308"/>
        <v>2.4249999999999998</v>
      </c>
      <c r="CK102" s="217">
        <f t="shared" si="287"/>
        <v>0.24249999999999999</v>
      </c>
      <c r="CL102" s="217">
        <f t="shared" si="224"/>
        <v>67.899999999999991</v>
      </c>
      <c r="CM102" s="217">
        <f t="shared" si="309"/>
        <v>7.2749999999999995</v>
      </c>
      <c r="CN102" s="541">
        <f t="shared" si="288"/>
        <v>28</v>
      </c>
      <c r="CO102" s="443">
        <f t="shared" si="225"/>
        <v>28.7</v>
      </c>
      <c r="CP102" s="443">
        <f t="shared" si="226"/>
        <v>56.7</v>
      </c>
      <c r="CQ102" s="443"/>
      <c r="CR102" s="217">
        <f t="shared" si="227"/>
        <v>0.50354609929078009</v>
      </c>
      <c r="CS102" s="172">
        <f t="shared" si="289"/>
        <v>106.12369404407841</v>
      </c>
      <c r="CT102" s="172">
        <f t="shared" si="228"/>
        <v>12.588652482269502</v>
      </c>
      <c r="CU102" s="217">
        <f t="shared" si="229"/>
        <v>3.7901319301456575</v>
      </c>
      <c r="CV102" s="217">
        <f t="shared" si="230"/>
        <v>3.5374564681359471</v>
      </c>
      <c r="CW102" s="443">
        <f t="shared" si="231"/>
        <v>28</v>
      </c>
      <c r="CX102" s="217">
        <f t="shared" si="232"/>
        <v>10.663656941649901</v>
      </c>
      <c r="CY102" s="217">
        <f t="shared" si="233"/>
        <v>1.7899709866340903</v>
      </c>
      <c r="CZ102" s="217">
        <f t="shared" si="234"/>
        <v>1.7463131576917956</v>
      </c>
      <c r="DA102" s="197">
        <f t="shared" si="235"/>
        <v>350</v>
      </c>
      <c r="DB102" s="443">
        <f t="shared" si="290"/>
        <v>282.78270613647982</v>
      </c>
      <c r="DD102" s="217">
        <f t="shared" si="236"/>
        <v>8.6157079064880477</v>
      </c>
      <c r="DE102" s="173">
        <f t="shared" si="237"/>
        <v>1.4109347442680775</v>
      </c>
      <c r="DF102" s="173">
        <f t="shared" si="238"/>
        <v>2.1273352855526046</v>
      </c>
      <c r="DG102" s="173"/>
      <c r="DH102" s="173">
        <f t="shared" si="239"/>
        <v>0.54587688734030204</v>
      </c>
      <c r="DI102" s="545">
        <f t="shared" si="240"/>
        <v>2665.4361702127658</v>
      </c>
      <c r="DJ102" s="528">
        <f t="shared" si="241"/>
        <v>0.31842818428184283</v>
      </c>
      <c r="DL102" s="173">
        <f t="shared" si="242"/>
        <v>9.5602393428090124</v>
      </c>
      <c r="DM102" s="173">
        <f t="shared" si="243"/>
        <v>10.663656941649901</v>
      </c>
      <c r="DN102" s="173">
        <f t="shared" si="244"/>
        <v>6.6298693394937533</v>
      </c>
      <c r="DP102" s="545">
        <f t="shared" si="245"/>
        <v>2425</v>
      </c>
      <c r="DQ102" s="460">
        <f t="shared" si="246"/>
        <v>282.78270613647982</v>
      </c>
      <c r="DS102">
        <f t="shared" si="310"/>
        <v>2425</v>
      </c>
      <c r="DT102">
        <f t="shared" si="311"/>
        <v>282.78270613647982</v>
      </c>
      <c r="DV102" s="5">
        <f t="shared" si="292"/>
        <v>3.5362841443258861</v>
      </c>
      <c r="DW102" s="5">
        <f t="shared" si="248"/>
        <v>1.7899709866340903</v>
      </c>
      <c r="DX102" s="5">
        <f t="shared" si="293"/>
        <v>1.7463131576917958</v>
      </c>
      <c r="DY102" s="173">
        <f t="shared" si="294"/>
        <v>0.50617283950617276</v>
      </c>
      <c r="EA102" s="5">
        <f t="shared" si="249"/>
        <v>15.502427294955957</v>
      </c>
      <c r="EB102" s="5">
        <f t="shared" si="250"/>
        <v>1.4468932141958897</v>
      </c>
      <c r="EC102" s="5">
        <f t="shared" si="251"/>
        <v>3.0248638624304314</v>
      </c>
      <c r="ED102" s="5"/>
      <c r="EE102" s="173">
        <f t="shared" si="295"/>
        <v>4.3802102445627558</v>
      </c>
      <c r="EF102" s="173">
        <f t="shared" si="252"/>
        <v>4.3264632981023716</v>
      </c>
      <c r="EG102" s="173">
        <f t="shared" si="253"/>
        <v>0.43619261120212438</v>
      </c>
      <c r="EH102" s="173"/>
      <c r="EI102" s="528">
        <f t="shared" si="254"/>
        <v>0.23023490143887021</v>
      </c>
      <c r="EJ102" s="528">
        <f t="shared" si="255"/>
        <v>3.2485957446808515</v>
      </c>
      <c r="EK102" s="528">
        <f t="shared" si="256"/>
        <v>3.2520011205695178E-2</v>
      </c>
      <c r="EL102" s="528">
        <f t="shared" si="257"/>
        <v>0.44773928235957056</v>
      </c>
      <c r="EM102">
        <f t="shared" si="258"/>
        <v>1.26E-2</v>
      </c>
      <c r="EN102" s="460">
        <f t="shared" si="296"/>
        <v>45.120011205695178</v>
      </c>
      <c r="EO102">
        <f t="shared" si="259"/>
        <v>4.2672904183514113</v>
      </c>
      <c r="EP102" s="460">
        <f t="shared" si="297"/>
        <v>4267.2904183514111</v>
      </c>
      <c r="EQ102" s="173">
        <f t="shared" si="260"/>
        <v>1.6262049999999997</v>
      </c>
      <c r="ER102" s="173">
        <f t="shared" si="261"/>
        <v>0.1161575</v>
      </c>
      <c r="ES102" s="528"/>
      <c r="EU102" s="460">
        <f t="shared" si="298"/>
        <v>1742.3624999999995</v>
      </c>
      <c r="EV102" s="528">
        <f t="shared" si="262"/>
        <v>0.26860738501201525</v>
      </c>
      <c r="EW102" s="528">
        <f t="shared" si="299"/>
        <v>0.26205598537757591</v>
      </c>
      <c r="EX102" s="528">
        <f t="shared" si="263"/>
        <v>9.5131997033663825E-4</v>
      </c>
      <c r="EY102" s="528">
        <f t="shared" si="264"/>
        <v>24.967067330196159</v>
      </c>
      <c r="EZ102" s="528">
        <f t="shared" si="265"/>
        <v>26.764543506969041</v>
      </c>
      <c r="FA102" s="625">
        <f t="shared" si="266"/>
        <v>3.2156233698487227</v>
      </c>
      <c r="FB102" s="460">
        <f t="shared" si="300"/>
        <v>29980.166876817762</v>
      </c>
      <c r="FC102" s="173">
        <f t="shared" si="301"/>
        <v>35.989819795169176</v>
      </c>
      <c r="FD102" s="5">
        <f t="shared" si="302"/>
        <v>75.174999999999997</v>
      </c>
      <c r="FE102" s="173">
        <f t="shared" si="303"/>
        <v>0.67624811643212723</v>
      </c>
      <c r="FF102" s="5">
        <f t="shared" si="304"/>
        <v>67.624811643212723</v>
      </c>
      <c r="FG102">
        <f t="shared" si="305"/>
        <v>97</v>
      </c>
      <c r="FI102" s="562">
        <f t="shared" si="267"/>
        <v>-50</v>
      </c>
      <c r="FJ102">
        <f t="shared" si="268"/>
        <v>-50</v>
      </c>
      <c r="FL102">
        <f t="shared" si="269"/>
        <v>0.47641678205609533</v>
      </c>
    </row>
    <row r="103" spans="5:169">
      <c r="E103" s="170">
        <v>98</v>
      </c>
      <c r="F103" s="217">
        <f t="shared" si="306"/>
        <v>2.4500000000000002</v>
      </c>
      <c r="G103" s="217">
        <f t="shared" si="270"/>
        <v>0.245</v>
      </c>
      <c r="H103" s="217">
        <f t="shared" si="175"/>
        <v>68.600000000000009</v>
      </c>
      <c r="I103" s="217">
        <f t="shared" si="307"/>
        <v>7.35</v>
      </c>
      <c r="J103" s="541">
        <f t="shared" si="176"/>
        <v>27.822476493423796</v>
      </c>
      <c r="K103" s="443">
        <f t="shared" si="177"/>
        <v>28.771995784556474</v>
      </c>
      <c r="L103" s="172">
        <f t="shared" si="178"/>
        <v>56.594472277980273</v>
      </c>
      <c r="M103" s="443"/>
      <c r="N103" s="217">
        <f t="shared" si="179"/>
        <v>0.50838879887835009</v>
      </c>
      <c r="O103" s="172">
        <f>N103*J103*Isw_max*0.5*Efficiency*Pout/(Pout+Pout2)</f>
        <v>106.46499768192471</v>
      </c>
      <c r="P103" s="172">
        <f t="shared" si="180"/>
        <v>12.629138755636475</v>
      </c>
      <c r="Q103" s="217">
        <f t="shared" si="181"/>
        <v>3.8023213457830254</v>
      </c>
      <c r="R103" s="217">
        <f t="shared" si="182"/>
        <v>3.5488332560641571</v>
      </c>
      <c r="S103" s="443">
        <f t="shared" si="183"/>
        <v>28</v>
      </c>
      <c r="T103" s="217">
        <f t="shared" si="184"/>
        <v>10.739053756889763</v>
      </c>
      <c r="U103" s="217">
        <f t="shared" si="185"/>
        <v>1.8141286836673929</v>
      </c>
      <c r="V103" s="217">
        <f t="shared" si="186"/>
        <v>1.7542596987475525</v>
      </c>
      <c r="W103" s="197">
        <f t="shared" si="187"/>
        <v>350</v>
      </c>
      <c r="X103" s="443">
        <f t="shared" si="272"/>
        <v>265.36542906948381</v>
      </c>
      <c r="Z103" s="217">
        <f t="shared" si="188"/>
        <v>8.5985625570290907</v>
      </c>
      <c r="AA103" s="173">
        <f t="shared" si="189"/>
        <v>1.4046034317761427</v>
      </c>
      <c r="AB103" s="173">
        <f>0.5*AA103*Z103*Nps*W103/1000*(Pout/Pout_total)</f>
        <v>2.1135748332903583</v>
      </c>
      <c r="AC103" s="173"/>
      <c r="AD103" s="173">
        <f t="shared" si="191"/>
        <v>0.54451094682405865</v>
      </c>
      <c r="AE103" s="545">
        <f>MAX(10, F103/(0.5*AD103/1000000*Isw_min*Nps)/1000*Pout_total/Pout)</f>
        <v>2699.6702427637028</v>
      </c>
      <c r="AF103" s="528">
        <f t="shared" si="193"/>
        <v>0.31763138564736759</v>
      </c>
      <c r="AH103" s="173">
        <f t="shared" si="194"/>
        <v>9.60939256831122</v>
      </c>
      <c r="AI103" s="173">
        <f>MAX(IF(F103&gt;AB103,T103,AH103),Isw_min)</f>
        <v>10.739053756889763</v>
      </c>
      <c r="AJ103" s="173">
        <f>IF(F103&gt;AF103, (AI103-Isw_min)/1.08*0.8+1.2, AE103*0.2/350+1)</f>
        <v>6.6857188322640217</v>
      </c>
      <c r="AL103" s="545">
        <f t="shared" si="197"/>
        <v>2450</v>
      </c>
      <c r="AM103" s="460">
        <f t="shared" si="198"/>
        <v>265.36542906948381</v>
      </c>
      <c r="AO103">
        <f t="shared" si="273"/>
        <v>2450</v>
      </c>
      <c r="AP103">
        <f t="shared" si="199"/>
        <v>265.36542906948381</v>
      </c>
      <c r="AR103" s="5">
        <f t="shared" si="274"/>
        <v>3.7683883824149453</v>
      </c>
      <c r="AS103" s="5">
        <f t="shared" si="200"/>
        <v>1.8141286836673929</v>
      </c>
      <c r="AT103" s="5">
        <f t="shared" si="275"/>
        <v>1.9542596987475525</v>
      </c>
      <c r="AU103" s="173">
        <f t="shared" si="276"/>
        <v>0.48140703652865557</v>
      </c>
      <c r="AW103" s="5">
        <f t="shared" si="201"/>
        <v>15.87362598208969</v>
      </c>
      <c r="AX103" s="5">
        <f t="shared" si="202"/>
        <v>1.4815384249950376</v>
      </c>
      <c r="AY103" s="5">
        <f t="shared" si="203"/>
        <v>3.4417757621706997</v>
      </c>
      <c r="AZ103" s="5"/>
      <c r="BA103" s="173">
        <f t="shared" si="277"/>
        <v>4.3019128293635038</v>
      </c>
      <c r="BB103" s="173">
        <f t="shared" si="204"/>
        <v>4.4649715795676777</v>
      </c>
      <c r="BC103" s="173">
        <f t="shared" si="205"/>
        <v>0.45015697072690514</v>
      </c>
      <c r="BD103" s="173"/>
      <c r="BE103" s="528">
        <f t="shared" si="206"/>
        <v>0.22207744789730768</v>
      </c>
      <c r="BF103" s="528">
        <f t="shared" si="207"/>
        <v>2.9433861605778997</v>
      </c>
      <c r="BG103" s="528">
        <f t="shared" si="208"/>
        <v>3.0517024342990643E-2</v>
      </c>
      <c r="BH103" s="528">
        <f t="shared" si="209"/>
        <v>0.41859940614918018</v>
      </c>
      <c r="BI103">
        <f t="shared" si="210"/>
        <v>1.2520114422040709E-2</v>
      </c>
      <c r="BJ103" s="460">
        <f t="shared" si="278"/>
        <v>43.037138765031351</v>
      </c>
      <c r="BK103">
        <f t="shared" si="211"/>
        <v>3.8470139300160162</v>
      </c>
      <c r="BL103" s="460">
        <f t="shared" si="279"/>
        <v>3847.0139300160163</v>
      </c>
      <c r="BM103" s="173">
        <f t="shared" si="212"/>
        <v>1.64297</v>
      </c>
      <c r="BN103" s="173">
        <f t="shared" si="213"/>
        <v>0.11735499999999999</v>
      </c>
      <c r="BO103" s="528"/>
      <c r="BQ103" s="460">
        <f t="shared" si="280"/>
        <v>1760.3249999999998</v>
      </c>
      <c r="BR103" s="528">
        <f t="shared" si="214"/>
        <v>0.2590903558801923</v>
      </c>
      <c r="BS103" s="528">
        <f t="shared" si="215"/>
        <v>0.27910359688885916</v>
      </c>
      <c r="BT103" s="528">
        <f t="shared" si="216"/>
        <v>1.0132064914701185E-3</v>
      </c>
      <c r="BU103" s="528">
        <f t="shared" si="217"/>
        <v>21.676836635409508</v>
      </c>
      <c r="BV103" s="528">
        <f>(BU103+(BR103+BS103+BT103)*(1+Ltc*(Ta-25)))/(1-(BR103+BS103+BT103)*Ltc*ThetaCa)</f>
        <v>23.352813866968372</v>
      </c>
      <c r="BW103" s="625">
        <f t="shared" si="219"/>
        <v>3.0603871971248751</v>
      </c>
      <c r="BX103" s="460">
        <f t="shared" si="281"/>
        <v>26413.201064093246</v>
      </c>
      <c r="BY103" s="173">
        <f t="shared" si="282"/>
        <v>32.020539994109264</v>
      </c>
      <c r="BZ103" s="5">
        <f t="shared" si="283"/>
        <v>75.95</v>
      </c>
      <c r="CA103" s="173">
        <f t="shared" si="284"/>
        <v>0.70343262156643604</v>
      </c>
      <c r="CB103" s="5">
        <f t="shared" si="285"/>
        <v>70.343262156643604</v>
      </c>
      <c r="CC103">
        <f t="shared" si="286"/>
        <v>98.000000000000014</v>
      </c>
      <c r="CE103" s="562">
        <f t="shared" si="220"/>
        <v>-50</v>
      </c>
      <c r="CF103">
        <f t="shared" si="221"/>
        <v>-50</v>
      </c>
      <c r="CG103" s="173">
        <f t="shared" si="222"/>
        <v>0.47641678205609539</v>
      </c>
      <c r="CH103" s="173">
        <f t="shared" si="223"/>
        <v>0.15449493440943712</v>
      </c>
      <c r="CI103" s="170">
        <v>98</v>
      </c>
      <c r="CJ103" s="217">
        <f t="shared" si="308"/>
        <v>2.4500000000000002</v>
      </c>
      <c r="CK103" s="217">
        <f t="shared" si="287"/>
        <v>0.245</v>
      </c>
      <c r="CL103" s="217">
        <f t="shared" si="224"/>
        <v>68.600000000000009</v>
      </c>
      <c r="CM103" s="217">
        <f t="shared" si="309"/>
        <v>7.35</v>
      </c>
      <c r="CN103" s="541">
        <f t="shared" si="288"/>
        <v>28</v>
      </c>
      <c r="CO103" s="443">
        <f t="shared" si="225"/>
        <v>28.7</v>
      </c>
      <c r="CP103" s="443">
        <f t="shared" si="226"/>
        <v>56.7</v>
      </c>
      <c r="CQ103" s="443"/>
      <c r="CR103" s="217">
        <f t="shared" si="227"/>
        <v>0.50354609929078009</v>
      </c>
      <c r="CS103" s="172">
        <f t="shared" si="289"/>
        <v>106.12369404407841</v>
      </c>
      <c r="CT103" s="172">
        <f t="shared" si="228"/>
        <v>12.588652482269502</v>
      </c>
      <c r="CU103" s="217">
        <f t="shared" si="229"/>
        <v>3.7901319301456575</v>
      </c>
      <c r="CV103" s="217">
        <f t="shared" si="230"/>
        <v>3.5374564681359471</v>
      </c>
      <c r="CW103" s="443">
        <f t="shared" si="231"/>
        <v>28</v>
      </c>
      <c r="CX103" s="217">
        <f t="shared" si="232"/>
        <v>10.773591549295777</v>
      </c>
      <c r="CY103" s="217">
        <f t="shared" si="233"/>
        <v>1.8084242957746484</v>
      </c>
      <c r="CZ103" s="217">
        <f t="shared" si="234"/>
        <v>1.764316386121608</v>
      </c>
      <c r="DA103" s="197">
        <f t="shared" si="235"/>
        <v>350</v>
      </c>
      <c r="DB103" s="443">
        <f t="shared" si="290"/>
        <v>279.89716831876058</v>
      </c>
      <c r="DD103" s="217">
        <f t="shared" si="236"/>
        <v>8.6157079064880477</v>
      </c>
      <c r="DE103" s="173">
        <f t="shared" si="237"/>
        <v>1.4109347442680775</v>
      </c>
      <c r="DF103" s="173">
        <f t="shared" si="238"/>
        <v>2.1273352855526046</v>
      </c>
      <c r="DG103" s="173"/>
      <c r="DH103" s="173">
        <f t="shared" si="239"/>
        <v>0.54587688734030204</v>
      </c>
      <c r="DI103" s="545">
        <f t="shared" si="240"/>
        <v>2692.9148936170213</v>
      </c>
      <c r="DJ103" s="528">
        <f t="shared" si="241"/>
        <v>0.31842818428184283</v>
      </c>
      <c r="DL103" s="173">
        <f t="shared" si="242"/>
        <v>9.60939256831122</v>
      </c>
      <c r="DM103" s="173">
        <f t="shared" si="243"/>
        <v>10.773591549295777</v>
      </c>
      <c r="DN103" s="173">
        <f t="shared" si="244"/>
        <v>6.7113023821944022</v>
      </c>
      <c r="DP103" s="545">
        <f t="shared" si="245"/>
        <v>2450</v>
      </c>
      <c r="DQ103" s="460">
        <f t="shared" si="246"/>
        <v>279.89716831876058</v>
      </c>
      <c r="DS103">
        <f t="shared" si="310"/>
        <v>2450</v>
      </c>
      <c r="DT103">
        <f t="shared" si="311"/>
        <v>279.89716831876058</v>
      </c>
      <c r="DV103" s="5">
        <f t="shared" si="292"/>
        <v>3.5727406818962564</v>
      </c>
      <c r="DW103" s="5">
        <f t="shared" si="248"/>
        <v>1.8084242957746484</v>
      </c>
      <c r="DX103" s="5">
        <f t="shared" si="293"/>
        <v>1.764316386121608</v>
      </c>
      <c r="DY103" s="173">
        <f t="shared" si="294"/>
        <v>0.50617283950617287</v>
      </c>
      <c r="EA103" s="5">
        <f t="shared" si="249"/>
        <v>15.823712588028174</v>
      </c>
      <c r="EB103" s="5">
        <f t="shared" si="250"/>
        <v>1.4768798415492961</v>
      </c>
      <c r="EC103" s="5">
        <f t="shared" si="251"/>
        <v>3.0875536757128135</v>
      </c>
      <c r="ED103" s="5"/>
      <c r="EE103" s="173">
        <f t="shared" si="295"/>
        <v>4.4253670512077337</v>
      </c>
      <c r="EF103" s="173">
        <f t="shared" si="252"/>
        <v>4.3710660125157981</v>
      </c>
      <c r="EG103" s="173">
        <f t="shared" si="253"/>
        <v>0.44068944224544526</v>
      </c>
      <c r="EH103" s="173"/>
      <c r="EI103" s="528">
        <f t="shared" si="254"/>
        <v>0.2350064824549804</v>
      </c>
      <c r="EJ103" s="528">
        <f t="shared" si="255"/>
        <v>3.2485957446808515</v>
      </c>
      <c r="EK103" s="528">
        <f t="shared" si="256"/>
        <v>3.2188174356657467E-2</v>
      </c>
      <c r="EL103" s="528">
        <f t="shared" si="257"/>
        <v>0.44317051417222791</v>
      </c>
      <c r="EM103">
        <f t="shared" si="258"/>
        <v>1.26E-2</v>
      </c>
      <c r="EN103" s="460">
        <f t="shared" si="296"/>
        <v>44.788174356657464</v>
      </c>
      <c r="EO103">
        <f t="shared" si="259"/>
        <v>4.2736423421410654</v>
      </c>
      <c r="EP103" s="460">
        <f t="shared" si="297"/>
        <v>4273.6423421410655</v>
      </c>
      <c r="EQ103" s="173">
        <f t="shared" si="260"/>
        <v>1.64297</v>
      </c>
      <c r="ER103" s="173">
        <f t="shared" si="261"/>
        <v>0.11735499999999999</v>
      </c>
      <c r="ES103" s="528"/>
      <c r="EU103" s="460">
        <f t="shared" si="298"/>
        <v>1760.3249999999998</v>
      </c>
      <c r="EV103" s="528">
        <f t="shared" si="262"/>
        <v>0.27417422953081044</v>
      </c>
      <c r="EW103" s="528">
        <f t="shared" si="299"/>
        <v>0.26748705320079064</v>
      </c>
      <c r="EX103" s="528">
        <f t="shared" si="263"/>
        <v>9.7103592253300819E-4</v>
      </c>
      <c r="EY103" s="528">
        <f t="shared" si="264"/>
        <v>24.967067330196137</v>
      </c>
      <c r="EZ103" s="528">
        <f t="shared" si="265"/>
        <v>26.803486445146842</v>
      </c>
      <c r="FA103" s="625">
        <f t="shared" si="266"/>
        <v>3.2487741262389149</v>
      </c>
      <c r="FB103" s="460">
        <f t="shared" si="300"/>
        <v>30052.260571385756</v>
      </c>
      <c r="FC103" s="173">
        <f t="shared" si="301"/>
        <v>36.08622791352682</v>
      </c>
      <c r="FD103" s="5">
        <f t="shared" si="302"/>
        <v>75.95</v>
      </c>
      <c r="FE103" s="173">
        <f t="shared" si="303"/>
        <v>0.67790572223317502</v>
      </c>
      <c r="FF103" s="5">
        <f t="shared" si="304"/>
        <v>67.790572223317497</v>
      </c>
      <c r="FG103">
        <f t="shared" si="305"/>
        <v>98.000000000000014</v>
      </c>
      <c r="FI103" s="562">
        <f t="shared" si="267"/>
        <v>-50</v>
      </c>
      <c r="FJ103">
        <f t="shared" si="268"/>
        <v>-50</v>
      </c>
      <c r="FL103">
        <f t="shared" si="269"/>
        <v>0.47641678205609533</v>
      </c>
    </row>
    <row r="104" spans="5:169">
      <c r="E104" s="170">
        <v>99</v>
      </c>
      <c r="F104" s="217">
        <f>IF(PLOT_TYPE=1, E104/100*Iout_max, min_I*EXP(O104*rr/100))</f>
        <v>2.4750000000000001</v>
      </c>
      <c r="G104" s="217">
        <f t="shared" si="270"/>
        <v>0.2475</v>
      </c>
      <c r="H104" s="217">
        <f t="shared" si="175"/>
        <v>69.3</v>
      </c>
      <c r="I104" s="217">
        <f t="shared" si="307"/>
        <v>7.4249999999999998</v>
      </c>
      <c r="J104" s="541">
        <f t="shared" si="176"/>
        <v>27.82066502907098</v>
      </c>
      <c r="K104" s="443">
        <f t="shared" si="177"/>
        <v>28.772730435419295</v>
      </c>
      <c r="L104" s="172">
        <f t="shared" si="178"/>
        <v>56.593395464490271</v>
      </c>
      <c r="M104" s="443"/>
      <c r="N104" s="217">
        <f t="shared" si="179"/>
        <v>0.50841145330240611</v>
      </c>
      <c r="O104" s="172">
        <f>N104*J104*Isw_max*0.5*Efficiency*Pout/(Pout+Pout2)</f>
        <v>106.46280986546863</v>
      </c>
      <c r="P104" s="172">
        <f t="shared" si="180"/>
        <v>12.628879231490538</v>
      </c>
      <c r="Q104" s="217">
        <f t="shared" si="181"/>
        <v>3.8022432094810226</v>
      </c>
      <c r="R104" s="217">
        <f t="shared" si="182"/>
        <v>3.5487603288489544</v>
      </c>
      <c r="S104" s="443">
        <f t="shared" si="183"/>
        <v>28</v>
      </c>
      <c r="T104" s="217">
        <f t="shared" si="184"/>
        <v>10.848858878133235</v>
      </c>
      <c r="U104" s="217">
        <f t="shared" si="185"/>
        <v>1.8327971913663814</v>
      </c>
      <c r="V104" s="217">
        <f t="shared" si="186"/>
        <v>1.7721514766098754</v>
      </c>
      <c r="W104" s="197">
        <f t="shared" si="187"/>
        <v>350</v>
      </c>
      <c r="X104" s="443">
        <f t="shared" si="272"/>
        <v>262.81563491679674</v>
      </c>
      <c r="Z104" s="217">
        <f t="shared" si="188"/>
        <v>8.5983858597382365</v>
      </c>
      <c r="AA104" s="173">
        <f t="shared" si="189"/>
        <v>1.4045387048502682</v>
      </c>
      <c r="AB104" s="173">
        <f>0.5*AA104*Z104*Nps*W104/1000*(Pout/Pout_total)</f>
        <v>2.1134340043669302</v>
      </c>
      <c r="AC104" s="173"/>
      <c r="AD104" s="173">
        <f t="shared" si="191"/>
        <v>0.54449704388781139</v>
      </c>
      <c r="AE104" s="545">
        <f>MAX(10, F104/(0.5*AD104/1000000*Isw_min*Nps)/1000*Pout_total/Pout)</f>
        <v>2727.2875338253825</v>
      </c>
      <c r="AF104" s="528">
        <f t="shared" si="193"/>
        <v>0.31762327560122328</v>
      </c>
      <c r="AH104" s="173">
        <f t="shared" si="194"/>
        <v>9.6582956453008038</v>
      </c>
      <c r="AI104" s="173">
        <f>MAX(IF(F104&gt;AB104,T104,AH104),Isw_min)</f>
        <v>10.848858878133235</v>
      </c>
      <c r="AJ104" s="173">
        <f>IF(F104&gt;AF104, (AI104-Isw_min)/1.08*0.8+1.2, AE104*0.2/350+1)</f>
        <v>6.7670559591110377</v>
      </c>
      <c r="AL104" s="545">
        <f t="shared" si="197"/>
        <v>2475</v>
      </c>
      <c r="AM104" s="460">
        <f t="shared" si="198"/>
        <v>262.81563491679674</v>
      </c>
      <c r="AO104">
        <f t="shared" si="273"/>
        <v>2475</v>
      </c>
      <c r="AP104">
        <f t="shared" si="199"/>
        <v>262.81563491679674</v>
      </c>
      <c r="AR104" s="5">
        <f t="shared" si="274"/>
        <v>3.804948667976257</v>
      </c>
      <c r="AS104" s="5">
        <f t="shared" si="200"/>
        <v>1.8327971913663814</v>
      </c>
      <c r="AT104" s="5">
        <f t="shared" si="275"/>
        <v>1.9721514766098756</v>
      </c>
      <c r="AU104" s="173">
        <f t="shared" si="276"/>
        <v>0.48168775752267734</v>
      </c>
      <c r="AW104" s="5">
        <f t="shared" si="201"/>
        <v>16.200618030827837</v>
      </c>
      <c r="AX104" s="5">
        <f t="shared" si="202"/>
        <v>1.5120576828772647</v>
      </c>
      <c r="AY104" s="5">
        <f t="shared" si="203"/>
        <v>3.5089563096417726</v>
      </c>
      <c r="AZ104" s="5"/>
      <c r="BA104" s="173">
        <f t="shared" si="277"/>
        <v>4.3471661245766393</v>
      </c>
      <c r="BB104" s="173">
        <f t="shared" si="204"/>
        <v>4.5094042109666139</v>
      </c>
      <c r="BC104" s="173">
        <f t="shared" si="205"/>
        <v>0.45463665405647008</v>
      </c>
      <c r="BD104" s="173"/>
      <c r="BE104" s="528">
        <f t="shared" si="206"/>
        <v>0.22677423977600011</v>
      </c>
      <c r="BF104" s="528">
        <f t="shared" si="207"/>
        <v>2.9448547438833961</v>
      </c>
      <c r="BG104" s="528">
        <f t="shared" si="208"/>
        <v>3.0223798015431628E-2</v>
      </c>
      <c r="BH104" s="528">
        <f t="shared" si="209"/>
        <v>0.41456146972478303</v>
      </c>
      <c r="BI104">
        <f t="shared" si="210"/>
        <v>1.2519299263081941E-2</v>
      </c>
      <c r="BJ104" s="460">
        <f t="shared" si="278"/>
        <v>42.743097278513567</v>
      </c>
      <c r="BK104">
        <f t="shared" si="211"/>
        <v>3.8551404787100005</v>
      </c>
      <c r="BL104" s="460">
        <f t="shared" si="279"/>
        <v>3855.1404787100005</v>
      </c>
      <c r="BM104" s="173">
        <f t="shared" si="212"/>
        <v>1.659735</v>
      </c>
      <c r="BN104" s="173">
        <f t="shared" si="213"/>
        <v>0.11855249999999999</v>
      </c>
      <c r="BO104" s="528"/>
      <c r="BQ104" s="460">
        <f t="shared" si="280"/>
        <v>1778.2874999999999</v>
      </c>
      <c r="BR104" s="528">
        <f t="shared" si="214"/>
        <v>0.26456994640533349</v>
      </c>
      <c r="BS104" s="528">
        <f t="shared" si="215"/>
        <v>0.28468616873036806</v>
      </c>
      <c r="BT104" s="528">
        <f t="shared" si="216"/>
        <v>1.0334724360583122E-3</v>
      </c>
      <c r="BU104" s="528">
        <f t="shared" si="217"/>
        <v>21.704917969425036</v>
      </c>
      <c r="BV104" s="528">
        <f>(BU104+(BR104+BS104+BT104)*(1+Ltc*(Ta-25)))/(1-(BR104+BS104+BT104)*Ltc*ThetaCa)</f>
        <v>23.418221326445529</v>
      </c>
      <c r="BW104" s="625">
        <f t="shared" si="219"/>
        <v>3.0932805992426271</v>
      </c>
      <c r="BX104" s="460">
        <f t="shared" si="281"/>
        <v>26511.501925688157</v>
      </c>
      <c r="BY104" s="173">
        <f t="shared" si="282"/>
        <v>32.144929904398154</v>
      </c>
      <c r="BZ104" s="5">
        <f t="shared" si="283"/>
        <v>76.724999999999994</v>
      </c>
      <c r="CA104" s="173">
        <f t="shared" si="284"/>
        <v>0.70474005142994445</v>
      </c>
      <c r="CB104" s="5">
        <f t="shared" si="285"/>
        <v>70.474005142994443</v>
      </c>
      <c r="CC104">
        <f t="shared" si="286"/>
        <v>99</v>
      </c>
      <c r="CE104" s="562">
        <f t="shared" si="220"/>
        <v>-50</v>
      </c>
      <c r="CF104">
        <f t="shared" si="221"/>
        <v>-50</v>
      </c>
      <c r="CG104" s="173">
        <f t="shared" si="222"/>
        <v>0.47641678205609539</v>
      </c>
      <c r="CH104" s="173">
        <f t="shared" si="223"/>
        <v>0.15449493440943712</v>
      </c>
      <c r="CI104" s="170">
        <v>99</v>
      </c>
      <c r="CJ104" s="217">
        <f t="shared" si="308"/>
        <v>2.4750000000000001</v>
      </c>
      <c r="CK104" s="217">
        <f t="shared" si="287"/>
        <v>0.2475</v>
      </c>
      <c r="CL104" s="217">
        <f t="shared" si="224"/>
        <v>69.3</v>
      </c>
      <c r="CM104" s="217">
        <f t="shared" si="309"/>
        <v>7.4249999999999998</v>
      </c>
      <c r="CN104" s="541">
        <f t="shared" si="288"/>
        <v>28</v>
      </c>
      <c r="CO104" s="443">
        <f t="shared" si="225"/>
        <v>28.7</v>
      </c>
      <c r="CP104" s="443">
        <f t="shared" si="226"/>
        <v>56.7</v>
      </c>
      <c r="CQ104" s="443"/>
      <c r="CR104" s="217">
        <f t="shared" si="227"/>
        <v>0.50354609929078009</v>
      </c>
      <c r="CS104" s="172">
        <f t="shared" si="289"/>
        <v>106.12369404407841</v>
      </c>
      <c r="CT104" s="172">
        <f t="shared" si="228"/>
        <v>12.588652482269502</v>
      </c>
      <c r="CU104" s="217">
        <f t="shared" si="229"/>
        <v>3.7901319301456575</v>
      </c>
      <c r="CV104" s="217">
        <f t="shared" si="230"/>
        <v>3.5374564681359471</v>
      </c>
      <c r="CW104" s="443">
        <f t="shared" si="231"/>
        <v>28</v>
      </c>
      <c r="CX104" s="217">
        <f t="shared" si="232"/>
        <v>10.883526156941651</v>
      </c>
      <c r="CY104" s="217">
        <f t="shared" si="233"/>
        <v>1.8268776049152056</v>
      </c>
      <c r="CZ104" s="217">
        <f t="shared" si="234"/>
        <v>1.78231961455142</v>
      </c>
      <c r="DA104" s="197">
        <f t="shared" si="235"/>
        <v>350</v>
      </c>
      <c r="DB104" s="443">
        <f t="shared" si="290"/>
        <v>277.06992419432873</v>
      </c>
      <c r="DD104" s="217">
        <f t="shared" si="236"/>
        <v>8.6157079064880477</v>
      </c>
      <c r="DE104" s="173">
        <f t="shared" si="237"/>
        <v>1.4109347442680775</v>
      </c>
      <c r="DF104" s="173">
        <f t="shared" si="238"/>
        <v>2.1273352855526046</v>
      </c>
      <c r="DG104" s="173"/>
      <c r="DH104" s="173">
        <f t="shared" si="239"/>
        <v>0.54587688734030204</v>
      </c>
      <c r="DI104" s="545">
        <f t="shared" si="240"/>
        <v>2720.3936170212764</v>
      </c>
      <c r="DJ104" s="528">
        <f t="shared" si="241"/>
        <v>0.31842818428184283</v>
      </c>
      <c r="DL104" s="173">
        <f t="shared" si="242"/>
        <v>9.6582956453008038</v>
      </c>
      <c r="DM104" s="173">
        <f t="shared" si="243"/>
        <v>10.883526156941651</v>
      </c>
      <c r="DN104" s="173">
        <f t="shared" si="244"/>
        <v>6.7927354248950502</v>
      </c>
      <c r="DP104" s="545">
        <f t="shared" si="245"/>
        <v>2475</v>
      </c>
      <c r="DQ104" s="460">
        <f t="shared" si="246"/>
        <v>277.06992419432873</v>
      </c>
      <c r="DS104">
        <f t="shared" si="310"/>
        <v>2475</v>
      </c>
      <c r="DT104">
        <f t="shared" si="311"/>
        <v>277.06992419432873</v>
      </c>
      <c r="DV104" s="5">
        <f t="shared" si="292"/>
        <v>3.6091972194666258</v>
      </c>
      <c r="DW104" s="5">
        <f t="shared" si="248"/>
        <v>1.8268776049152056</v>
      </c>
      <c r="DX104" s="5">
        <f t="shared" si="293"/>
        <v>1.7823196145514202</v>
      </c>
      <c r="DY104" s="173">
        <f t="shared" si="294"/>
        <v>0.50617283950617287</v>
      </c>
      <c r="EA104" s="5">
        <f t="shared" si="249"/>
        <v>16.148293114875479</v>
      </c>
      <c r="EB104" s="5">
        <f t="shared" si="250"/>
        <v>1.5071740240550446</v>
      </c>
      <c r="EC104" s="5">
        <f t="shared" si="251"/>
        <v>3.1508864614391174</v>
      </c>
      <c r="ED104" s="5"/>
      <c r="EE104" s="173">
        <f t="shared" si="295"/>
        <v>4.4705238578527098</v>
      </c>
      <c r="EF104" s="173">
        <f t="shared" si="252"/>
        <v>4.4156687269292245</v>
      </c>
      <c r="EG104" s="173">
        <f t="shared" si="253"/>
        <v>0.44518627328876609</v>
      </c>
      <c r="EH104" s="173"/>
      <c r="EI104" s="528">
        <f t="shared" si="254"/>
        <v>0.23982700276356331</v>
      </c>
      <c r="EJ104" s="528">
        <f t="shared" si="255"/>
        <v>3.248595744680852</v>
      </c>
      <c r="EK104" s="528">
        <f t="shared" si="256"/>
        <v>3.1863041282347807E-2</v>
      </c>
      <c r="EL104" s="528">
        <f t="shared" si="257"/>
        <v>0.43869404433210452</v>
      </c>
      <c r="EM104">
        <f t="shared" si="258"/>
        <v>1.26E-2</v>
      </c>
      <c r="EN104" s="460">
        <f t="shared" si="296"/>
        <v>44.46304128234781</v>
      </c>
      <c r="EO104">
        <f t="shared" si="259"/>
        <v>4.2802332068744118</v>
      </c>
      <c r="EP104" s="460">
        <f t="shared" si="297"/>
        <v>4280.2332068744117</v>
      </c>
      <c r="EQ104" s="173">
        <f t="shared" si="260"/>
        <v>1.659735</v>
      </c>
      <c r="ER104" s="173">
        <f t="shared" si="261"/>
        <v>0.11855249999999999</v>
      </c>
      <c r="ES104" s="528"/>
      <c r="EU104" s="460">
        <f t="shared" si="298"/>
        <v>1778.2874999999999</v>
      </c>
      <c r="EV104" s="528">
        <f t="shared" si="262"/>
        <v>0.27979816989082384</v>
      </c>
      <c r="EW104" s="528">
        <f t="shared" si="299"/>
        <v>0.27297382428373063</v>
      </c>
      <c r="EX104" s="528">
        <f t="shared" si="263"/>
        <v>9.9095408962369957E-4</v>
      </c>
      <c r="EY104" s="528">
        <f t="shared" si="264"/>
        <v>24.96706733019618</v>
      </c>
      <c r="EZ104" s="528">
        <f t="shared" si="265"/>
        <v>26.842901738581563</v>
      </c>
      <c r="FA104" s="625">
        <f t="shared" si="266"/>
        <v>3.281924882629109</v>
      </c>
      <c r="FB104" s="460">
        <f t="shared" si="300"/>
        <v>30124.826621210672</v>
      </c>
      <c r="FC104" s="173">
        <f t="shared" si="301"/>
        <v>36.183347328085084</v>
      </c>
      <c r="FD104" s="5">
        <f t="shared" si="302"/>
        <v>76.724999999999994</v>
      </c>
      <c r="FE104" s="173">
        <f t="shared" si="303"/>
        <v>0.67953346068431242</v>
      </c>
      <c r="FF104" s="5">
        <f t="shared" si="304"/>
        <v>67.953346068431244</v>
      </c>
      <c r="FG104">
        <f t="shared" si="305"/>
        <v>99</v>
      </c>
      <c r="FI104" s="562">
        <f t="shared" si="267"/>
        <v>-50</v>
      </c>
      <c r="FJ104">
        <f t="shared" si="268"/>
        <v>-50</v>
      </c>
      <c r="FL104">
        <f t="shared" si="269"/>
        <v>0.47641678205609539</v>
      </c>
    </row>
    <row r="105" spans="5:169" ht="13">
      <c r="E105" s="170">
        <v>100</v>
      </c>
      <c r="F105" s="217">
        <f>IF(PLOT_TYPE=1, E105/100*Iout_max, min_I*EXP(O105*rr/100))</f>
        <v>2.5</v>
      </c>
      <c r="G105" s="217">
        <f t="shared" si="270"/>
        <v>0.25</v>
      </c>
      <c r="H105" s="217">
        <f t="shared" si="175"/>
        <v>70</v>
      </c>
      <c r="I105" s="217">
        <f t="shared" si="307"/>
        <v>7.5</v>
      </c>
      <c r="J105" s="541">
        <f t="shared" si="176"/>
        <v>27.818853564718161</v>
      </c>
      <c r="K105" s="443">
        <f t="shared" si="177"/>
        <v>28.773465086282116</v>
      </c>
      <c r="L105" s="172">
        <f t="shared" si="178"/>
        <v>56.592318651000276</v>
      </c>
      <c r="M105" s="443"/>
      <c r="N105" s="217">
        <f t="shared" si="179"/>
        <v>0.50843410858857863</v>
      </c>
      <c r="O105" s="172">
        <f>N105*J105*Isw_max*0.5*Efficiency*Pout/(Pout+Pout2)</f>
        <v>106.4606216117589</v>
      </c>
      <c r="P105" s="172">
        <f t="shared" si="180"/>
        <v>12.6286196554765</v>
      </c>
      <c r="Q105" s="217">
        <f t="shared" si="181"/>
        <v>3.8021650575628176</v>
      </c>
      <c r="R105" s="217">
        <f t="shared" si="182"/>
        <v>3.5486873870586297</v>
      </c>
      <c r="S105" s="443">
        <f t="shared" si="183"/>
        <v>28</v>
      </c>
      <c r="T105" s="217">
        <f t="shared" si="184"/>
        <v>10.958668557481021</v>
      </c>
      <c r="U105" s="217">
        <f t="shared" si="185"/>
        <v>1.8514689004109077</v>
      </c>
      <c r="V105" s="217">
        <f t="shared" si="186"/>
        <v>1.7900430853813432</v>
      </c>
      <c r="W105" s="197">
        <f t="shared" si="187"/>
        <v>350</v>
      </c>
      <c r="X105" s="443">
        <f t="shared" si="272"/>
        <v>260.31416892579756</v>
      </c>
      <c r="Z105" s="217">
        <f t="shared" si="188"/>
        <v>8.5982091271329377</v>
      </c>
      <c r="AA105" s="173">
        <f t="shared" si="189"/>
        <v>1.4044739754612043</v>
      </c>
      <c r="AB105" s="173">
        <f>0.5*AA105*Z105*Nps*W105/1000*(Pout/Pout_total)</f>
        <v>2.1132931670604611</v>
      </c>
      <c r="AC105" s="173"/>
      <c r="AD105" s="173">
        <f t="shared" si="191"/>
        <v>0.54448314166151035</v>
      </c>
      <c r="AE105" s="545">
        <f>MAX(10, F105/(0.5*AD105/1000000*Isw_min*Nps)/1000*Pout_total/Pout)</f>
        <v>2754.9062316653085</v>
      </c>
      <c r="AF105" s="528">
        <f t="shared" si="193"/>
        <v>0.31761516596921435</v>
      </c>
      <c r="AH105" s="173">
        <f t="shared" si="194"/>
        <v>9.7069523544806824</v>
      </c>
      <c r="AI105" s="173">
        <f>MAX(IF(F105&gt;AB105,T105,AH105),Isw_min)</f>
        <v>10.958668557481021</v>
      </c>
      <c r="AJ105" s="173">
        <f>IF(F105&gt;AF105, (AI105-Isw_min)/1.08*0.8+1.2, AE105*0.2/350+1)</f>
        <v>6.8483964623316202</v>
      </c>
      <c r="AL105" s="545">
        <f t="shared" si="197"/>
        <v>2500</v>
      </c>
      <c r="AM105" s="460">
        <f t="shared" si="198"/>
        <v>260.31416892579756</v>
      </c>
      <c r="AO105">
        <f t="shared" si="273"/>
        <v>2500</v>
      </c>
      <c r="AP105" s="3">
        <f t="shared" si="199"/>
        <v>260.31416892579756</v>
      </c>
      <c r="AR105" s="5">
        <f t="shared" si="274"/>
        <v>3.8415119857922511</v>
      </c>
      <c r="AS105" s="5">
        <f t="shared" si="200"/>
        <v>1.8514689004109077</v>
      </c>
      <c r="AT105" s="5">
        <f t="shared" si="275"/>
        <v>1.9900430853813433</v>
      </c>
      <c r="AU105" s="173">
        <f t="shared" si="276"/>
        <v>0.48196358810242568</v>
      </c>
      <c r="AW105" s="5">
        <f t="shared" si="201"/>
        <v>16.530972325097387</v>
      </c>
      <c r="AX105" s="5">
        <f t="shared" si="202"/>
        <v>1.542890750342423</v>
      </c>
      <c r="AY105" s="5">
        <f t="shared" si="203"/>
        <v>3.5767884552677192</v>
      </c>
      <c r="AZ105" s="5"/>
      <c r="BA105" s="173">
        <f t="shared" si="277"/>
        <v>4.3924242351895533</v>
      </c>
      <c r="BB105" s="173">
        <f t="shared" si="204"/>
        <v>4.553835180997865</v>
      </c>
      <c r="BC105" s="173">
        <f t="shared" si="205"/>
        <v>0.4591161698874896</v>
      </c>
      <c r="BD105" s="173"/>
      <c r="BE105" s="528">
        <f t="shared" si="206"/>
        <v>0.23152068794256639</v>
      </c>
      <c r="BF105" s="528">
        <f t="shared" si="207"/>
        <v>2.9462931500750362</v>
      </c>
      <c r="BG105" s="528">
        <f t="shared" si="208"/>
        <v>2.9936129426466722E-2</v>
      </c>
      <c r="BH105" s="528">
        <f t="shared" si="209"/>
        <v>0.41060006893240397</v>
      </c>
      <c r="BI105">
        <f t="shared" si="210"/>
        <v>1.2518484104123172E-2</v>
      </c>
      <c r="BJ105" s="460">
        <f t="shared" si="278"/>
        <v>42.454613530589896</v>
      </c>
      <c r="BK105">
        <f t="shared" si="211"/>
        <v>3.8634502460232856</v>
      </c>
      <c r="BL105" s="460">
        <f t="shared" si="279"/>
        <v>3863.4502460232857</v>
      </c>
      <c r="BM105" s="173">
        <f t="shared" si="212"/>
        <v>1.6764999999999999</v>
      </c>
      <c r="BN105" s="173">
        <f t="shared" si="213"/>
        <v>0.11975</v>
      </c>
      <c r="BO105" s="528"/>
      <c r="BQ105" s="460">
        <f t="shared" si="280"/>
        <v>1796.25</v>
      </c>
      <c r="BR105" s="528">
        <f t="shared" si="214"/>
        <v>0.27010746926632745</v>
      </c>
      <c r="BS105" s="528">
        <f t="shared" si="215"/>
        <v>0.29032380797971402</v>
      </c>
      <c r="BT105" s="528">
        <f t="shared" si="216"/>
        <v>1.053938287260791E-3</v>
      </c>
      <c r="BU105" s="528">
        <f t="shared" si="217"/>
        <v>21.732465703050977</v>
      </c>
      <c r="BV105" s="528">
        <f>(BU105+(BR105+BS105+BT105)*(1+Ltc*(Ta-25)))/(1-(BR105+BS105+BT105)*Ltc*ThetaCa)</f>
        <v>23.483561162371775</v>
      </c>
      <c r="BW105" s="625">
        <f t="shared" si="219"/>
        <v>3.1261757609212824</v>
      </c>
      <c r="BX105" s="460">
        <f t="shared" si="281"/>
        <v>26609.736923293058</v>
      </c>
      <c r="BY105" s="173">
        <f>SUM(BK105,BM105:BP105,BV105:BW105)+BI105+BG105</f>
        <v>32.311891782846928</v>
      </c>
      <c r="BZ105" s="5">
        <f t="shared" si="283"/>
        <v>77.5</v>
      </c>
      <c r="CA105" s="173">
        <f t="shared" si="284"/>
        <v>0.70575234377399021</v>
      </c>
      <c r="CB105" s="5">
        <f t="shared" si="285"/>
        <v>70.575234377399028</v>
      </c>
      <c r="CC105">
        <f t="shared" si="286"/>
        <v>100</v>
      </c>
      <c r="CE105" s="562">
        <f t="shared" si="220"/>
        <v>-50</v>
      </c>
      <c r="CF105">
        <f t="shared" si="221"/>
        <v>-50</v>
      </c>
      <c r="CG105" s="173">
        <f t="shared" si="222"/>
        <v>0.47641678205609539</v>
      </c>
      <c r="CH105" s="173">
        <f t="shared" si="223"/>
        <v>0.15449493440943712</v>
      </c>
      <c r="CI105" s="170">
        <v>100</v>
      </c>
      <c r="CJ105" s="217">
        <f t="shared" si="308"/>
        <v>2.5</v>
      </c>
      <c r="CK105" s="217">
        <f t="shared" si="287"/>
        <v>0.25</v>
      </c>
      <c r="CL105" s="217">
        <f t="shared" si="224"/>
        <v>70</v>
      </c>
      <c r="CM105" s="217">
        <f t="shared" si="309"/>
        <v>7.5</v>
      </c>
      <c r="CN105" s="541">
        <f t="shared" si="288"/>
        <v>28</v>
      </c>
      <c r="CO105" s="443">
        <f t="shared" si="225"/>
        <v>28.7</v>
      </c>
      <c r="CP105" s="443">
        <f t="shared" si="226"/>
        <v>56.7</v>
      </c>
      <c r="CQ105" s="443"/>
      <c r="CR105" s="217">
        <f t="shared" si="227"/>
        <v>0.50354609929078009</v>
      </c>
      <c r="CS105" s="172">
        <f t="shared" si="289"/>
        <v>106.12369404407841</v>
      </c>
      <c r="CT105" s="172">
        <f t="shared" si="228"/>
        <v>12.588652482269502</v>
      </c>
      <c r="CU105" s="217">
        <f t="shared" si="229"/>
        <v>3.7901319301456575</v>
      </c>
      <c r="CV105" s="217">
        <f t="shared" si="230"/>
        <v>3.5374564681359471</v>
      </c>
      <c r="CW105" s="443">
        <f t="shared" si="231"/>
        <v>28</v>
      </c>
      <c r="CX105" s="217">
        <f t="shared" si="232"/>
        <v>10.993460764587526</v>
      </c>
      <c r="CY105" s="217">
        <f t="shared" si="233"/>
        <v>1.8453309140557634</v>
      </c>
      <c r="CZ105" s="217">
        <f t="shared" si="234"/>
        <v>1.8003228429812326</v>
      </c>
      <c r="DA105" s="197">
        <f t="shared" si="235"/>
        <v>350</v>
      </c>
      <c r="DB105" s="443">
        <f t="shared" si="290"/>
        <v>274.29922495238537</v>
      </c>
      <c r="DD105" s="217">
        <f t="shared" si="236"/>
        <v>8.6157079064880477</v>
      </c>
      <c r="DE105" s="173">
        <f t="shared" si="237"/>
        <v>1.4109347442680775</v>
      </c>
      <c r="DF105" s="173">
        <f t="shared" si="238"/>
        <v>2.1273352855526046</v>
      </c>
      <c r="DG105" s="173"/>
      <c r="DH105" s="173">
        <f t="shared" si="239"/>
        <v>0.54587688734030204</v>
      </c>
      <c r="DI105" s="545">
        <f t="shared" si="240"/>
        <v>2747.872340425532</v>
      </c>
      <c r="DJ105" s="528">
        <f t="shared" si="241"/>
        <v>0.31842818428184283</v>
      </c>
      <c r="DL105" s="173">
        <f t="shared" si="242"/>
        <v>9.7069523544806824</v>
      </c>
      <c r="DM105" s="173">
        <f t="shared" si="243"/>
        <v>10.993460764587526</v>
      </c>
      <c r="DN105" s="173">
        <f t="shared" si="244"/>
        <v>6.8741684675956982</v>
      </c>
      <c r="DP105" s="545">
        <f t="shared" si="245"/>
        <v>2500</v>
      </c>
      <c r="DQ105" s="460">
        <f t="shared" si="246"/>
        <v>274.29922495238537</v>
      </c>
      <c r="DS105">
        <f t="shared" si="310"/>
        <v>2500</v>
      </c>
      <c r="DT105">
        <f t="shared" si="311"/>
        <v>274.29922495238537</v>
      </c>
      <c r="DV105" s="5">
        <f t="shared" si="292"/>
        <v>3.6456537570369965</v>
      </c>
      <c r="DW105" s="5">
        <f t="shared" si="248"/>
        <v>1.8453309140557634</v>
      </c>
      <c r="DX105" s="5">
        <f t="shared" si="293"/>
        <v>1.800322842981233</v>
      </c>
      <c r="DY105" s="173">
        <f t="shared" si="294"/>
        <v>0.50617283950617276</v>
      </c>
      <c r="EA105" s="5">
        <f t="shared" si="249"/>
        <v>16.476168875497891</v>
      </c>
      <c r="EB105" s="5">
        <f t="shared" si="250"/>
        <v>1.5377757617131362</v>
      </c>
      <c r="EC105" s="5">
        <f t="shared" si="251"/>
        <v>3.2148622196093446</v>
      </c>
      <c r="ED105" s="5"/>
      <c r="EE105" s="173">
        <f t="shared" si="295"/>
        <v>4.5156806644976868</v>
      </c>
      <c r="EF105" s="173">
        <f t="shared" si="252"/>
        <v>4.460271441342651</v>
      </c>
      <c r="EG105" s="173">
        <f t="shared" si="253"/>
        <v>0.44968310433208702</v>
      </c>
      <c r="EH105" s="173"/>
      <c r="EI105" s="528">
        <f t="shared" si="254"/>
        <v>0.24469646236461925</v>
      </c>
      <c r="EJ105" s="528">
        <f t="shared" si="255"/>
        <v>3.2485957446808511</v>
      </c>
      <c r="EK105" s="528">
        <f t="shared" si="256"/>
        <v>3.1544410869524316E-2</v>
      </c>
      <c r="EL105" s="528">
        <f t="shared" si="257"/>
        <v>0.43430710388878335</v>
      </c>
      <c r="EM105">
        <f t="shared" si="258"/>
        <v>1.26E-2</v>
      </c>
      <c r="EN105" s="460">
        <f t="shared" si="296"/>
        <v>44.144410869524314</v>
      </c>
      <c r="EO105">
        <f t="shared" si="259"/>
        <v>4.2870609749544597</v>
      </c>
      <c r="EP105" s="460">
        <f t="shared" si="297"/>
        <v>4287.0609749544601</v>
      </c>
      <c r="EQ105" s="173">
        <f t="shared" si="260"/>
        <v>1.6764999999999999</v>
      </c>
      <c r="ER105" s="173">
        <f t="shared" si="261"/>
        <v>0.11975</v>
      </c>
      <c r="ES105" s="528"/>
      <c r="EU105" s="460">
        <f t="shared" si="298"/>
        <v>1796.25</v>
      </c>
      <c r="EV105" s="528">
        <f t="shared" si="262"/>
        <v>0.28547920609205579</v>
      </c>
      <c r="EW105" s="528">
        <f t="shared" si="299"/>
        <v>0.27851629862639588</v>
      </c>
      <c r="EX105" s="528">
        <f t="shared" si="263"/>
        <v>1.0110744716087133E-3</v>
      </c>
      <c r="EY105" s="528">
        <f t="shared" si="264"/>
        <v>24.967067330196095</v>
      </c>
      <c r="EZ105" s="528">
        <f t="shared" si="265"/>
        <v>26.882791828394968</v>
      </c>
      <c r="FA105" s="625">
        <f t="shared" si="266"/>
        <v>3.3150756390193012</v>
      </c>
      <c r="FB105" s="460">
        <f t="shared" si="300"/>
        <v>30197.867467414271</v>
      </c>
      <c r="FC105" s="173">
        <f t="shared" si="301"/>
        <v>36.281178442368727</v>
      </c>
      <c r="FD105" s="5">
        <f t="shared" si="302"/>
        <v>77.5</v>
      </c>
      <c r="FE105" s="173">
        <f t="shared" si="303"/>
        <v>0.68113198563200417</v>
      </c>
      <c r="FF105" s="5">
        <f t="shared" si="304"/>
        <v>68.113198563200413</v>
      </c>
      <c r="FG105">
        <f t="shared" si="305"/>
        <v>100</v>
      </c>
      <c r="FI105" s="562">
        <f t="shared" si="267"/>
        <v>-50</v>
      </c>
      <c r="FJ105">
        <f t="shared" si="268"/>
        <v>-50</v>
      </c>
      <c r="FL105">
        <f t="shared" si="269"/>
        <v>0.47641678205609533</v>
      </c>
    </row>
    <row r="106" spans="5:169" ht="13">
      <c r="E106" s="170"/>
      <c r="F106" s="217"/>
      <c r="G106" s="217"/>
      <c r="H106" s="217"/>
      <c r="I106" s="217"/>
      <c r="J106" s="541"/>
      <c r="K106" s="443"/>
      <c r="L106" s="443"/>
      <c r="M106" s="443"/>
      <c r="N106" s="217"/>
      <c r="O106" s="172"/>
      <c r="P106" s="172"/>
      <c r="Q106" s="217"/>
      <c r="R106" s="217"/>
      <c r="S106" s="217"/>
      <c r="T106" s="217"/>
      <c r="U106" s="217"/>
      <c r="V106" s="217"/>
      <c r="W106" s="197"/>
      <c r="X106" s="443"/>
      <c r="Z106" s="217"/>
      <c r="AA106" s="173"/>
      <c r="AB106" s="173"/>
      <c r="AC106" s="173"/>
      <c r="AD106" s="173"/>
      <c r="AE106" s="545"/>
      <c r="AF106" s="528"/>
      <c r="AH106" s="173"/>
      <c r="AI106" s="173"/>
      <c r="AJ106" s="173"/>
      <c r="AL106" s="545"/>
      <c r="AM106" s="460"/>
      <c r="AP106" s="3"/>
      <c r="AR106" s="5"/>
      <c r="AS106" s="5"/>
      <c r="AT106" s="5"/>
      <c r="AU106" s="173"/>
      <c r="AW106" s="5"/>
      <c r="AX106" s="5"/>
      <c r="AY106" s="5"/>
      <c r="AZ106" s="5"/>
      <c r="BA106" s="173"/>
      <c r="BB106" s="173"/>
      <c r="BC106" s="173"/>
      <c r="BD106" s="173"/>
      <c r="BE106" s="528"/>
      <c r="BF106" s="528"/>
      <c r="BG106" s="528"/>
      <c r="BH106" s="528"/>
      <c r="BL106" s="460"/>
      <c r="BM106" s="173"/>
      <c r="BN106" s="173"/>
      <c r="BO106" s="528"/>
      <c r="BQ106" s="460"/>
      <c r="BR106" s="528"/>
      <c r="BS106" s="528"/>
      <c r="BT106" s="528"/>
      <c r="BU106" s="528"/>
      <c r="BV106" s="528"/>
      <c r="BW106" s="625"/>
      <c r="BX106" s="460"/>
      <c r="BY106" s="173"/>
      <c r="BZ106" s="5"/>
      <c r="CA106" s="173"/>
      <c r="CB106" s="5"/>
      <c r="CI106" s="170"/>
      <c r="CJ106" s="217"/>
      <c r="CK106" s="217"/>
      <c r="CL106" s="217"/>
      <c r="CM106" s="217"/>
      <c r="CN106" s="541"/>
      <c r="CO106" s="443"/>
      <c r="CP106" s="443"/>
      <c r="CQ106" s="443"/>
      <c r="CR106" s="217"/>
      <c r="CS106" s="172"/>
      <c r="CT106" s="172"/>
      <c r="CU106" s="217"/>
      <c r="CV106" s="217"/>
      <c r="CW106" s="217"/>
      <c r="CX106" s="217"/>
      <c r="CY106" s="217"/>
      <c r="CZ106" s="217"/>
      <c r="DA106" s="197"/>
      <c r="DB106" s="443"/>
      <c r="DD106" s="217"/>
      <c r="DE106" s="173"/>
      <c r="DF106" s="173"/>
      <c r="DG106" s="173"/>
      <c r="DH106" s="173"/>
      <c r="DI106" s="545"/>
      <c r="DJ106" s="528"/>
      <c r="DL106" s="173"/>
      <c r="DM106" s="173"/>
      <c r="DN106" s="173"/>
      <c r="DP106" s="545"/>
      <c r="DQ106" s="460"/>
      <c r="DT106" s="3"/>
      <c r="DV106" s="5"/>
      <c r="DW106" s="5"/>
      <c r="DX106" s="5"/>
      <c r="DY106" s="173"/>
      <c r="EA106" s="5"/>
      <c r="EB106" s="5"/>
      <c r="EC106" s="5"/>
      <c r="ED106" s="5"/>
      <c r="EE106" s="173"/>
      <c r="EF106" s="173"/>
      <c r="EG106" s="173"/>
      <c r="EH106" s="173"/>
      <c r="EI106" s="528"/>
      <c r="EJ106" s="528"/>
      <c r="EK106" s="528"/>
      <c r="EL106" s="528"/>
      <c r="EP106" s="460"/>
      <c r="EQ106" s="173"/>
      <c r="ER106" s="173"/>
      <c r="ES106" s="528"/>
      <c r="EU106" s="460"/>
      <c r="EV106" s="528"/>
      <c r="EW106" s="528"/>
      <c r="EX106" s="528"/>
      <c r="EY106" s="528"/>
      <c r="EZ106" s="528"/>
      <c r="FA106" s="625"/>
      <c r="FB106" s="460"/>
      <c r="FC106" s="173"/>
      <c r="FD106" s="5"/>
      <c r="FE106" s="173"/>
      <c r="FF106" s="5"/>
    </row>
    <row r="107" spans="5:169">
      <c r="G107" s="217"/>
      <c r="H107" s="217"/>
      <c r="I107" s="217"/>
      <c r="J107" s="541"/>
      <c r="K107" s="443"/>
      <c r="L107" s="443"/>
      <c r="M107" s="443"/>
      <c r="N107" s="217"/>
      <c r="O107" s="172"/>
      <c r="P107" s="172"/>
      <c r="Q107" s="217"/>
      <c r="R107" s="217"/>
      <c r="S107" s="217"/>
      <c r="T107" s="217"/>
      <c r="U107" s="217"/>
      <c r="V107" s="217"/>
      <c r="W107" s="197"/>
      <c r="X107" s="443"/>
      <c r="Z107" s="217"/>
      <c r="AA107" s="173"/>
      <c r="AB107" s="173"/>
      <c r="AC107" s="173"/>
      <c r="AD107" s="173"/>
      <c r="AE107" s="545"/>
      <c r="AF107" s="528"/>
      <c r="AH107" s="173"/>
      <c r="AI107" s="173"/>
      <c r="AJ107" s="173"/>
      <c r="AL107" s="545"/>
      <c r="AM107" s="460"/>
      <c r="AR107" s="5"/>
      <c r="AS107" s="5"/>
      <c r="AT107" s="5"/>
      <c r="AU107" s="173"/>
      <c r="AW107" s="5"/>
      <c r="AX107" s="5"/>
      <c r="AY107" s="5"/>
      <c r="AZ107" s="5"/>
      <c r="BA107" s="173"/>
      <c r="BB107" s="173"/>
      <c r="BC107" s="173"/>
      <c r="BD107" s="173"/>
      <c r="BE107" s="528"/>
      <c r="BF107" s="528"/>
      <c r="BG107" s="528"/>
      <c r="BH107" s="528"/>
      <c r="BL107" s="460"/>
      <c r="BM107" s="173"/>
      <c r="BN107" s="173"/>
      <c r="BO107" s="528"/>
      <c r="BQ107" s="460"/>
      <c r="BR107" s="528"/>
      <c r="BS107" s="528"/>
      <c r="BT107" s="528"/>
      <c r="BU107" s="528"/>
      <c r="BV107" s="528"/>
      <c r="BW107" s="625"/>
      <c r="BX107" s="460"/>
      <c r="BY107" s="173"/>
      <c r="BZ107" s="5"/>
      <c r="CA107" s="173"/>
      <c r="CB107" s="5"/>
      <c r="CK107" s="217"/>
      <c r="CL107" s="217"/>
      <c r="CM107" s="217"/>
      <c r="CN107" s="541"/>
      <c r="CO107" s="443"/>
      <c r="CP107" s="443"/>
      <c r="CQ107" s="443"/>
      <c r="CR107" s="217"/>
      <c r="CS107" s="172"/>
      <c r="CT107" s="172"/>
      <c r="CU107" s="217"/>
      <c r="CV107" s="217"/>
      <c r="CW107" s="217"/>
      <c r="CX107" s="217"/>
      <c r="CY107" s="217"/>
      <c r="CZ107" s="217"/>
      <c r="DA107" s="197"/>
      <c r="DB107" s="443"/>
      <c r="DD107" s="217"/>
      <c r="DE107" s="173"/>
      <c r="DF107" s="173"/>
      <c r="DG107" s="173"/>
      <c r="DH107" s="173"/>
      <c r="DI107" s="545"/>
      <c r="DJ107" s="528"/>
      <c r="DL107" s="173"/>
      <c r="DM107" s="173"/>
      <c r="DN107" s="173"/>
      <c r="DP107" s="545"/>
      <c r="DQ107" s="460"/>
      <c r="DV107" s="5"/>
      <c r="DW107" s="5"/>
      <c r="DX107" s="5"/>
      <c r="DY107" s="173"/>
      <c r="EA107" s="5"/>
      <c r="EB107" s="5"/>
      <c r="EC107" s="5"/>
      <c r="ED107" s="5"/>
      <c r="EE107" s="173"/>
      <c r="EF107" s="173"/>
      <c r="EG107" s="173"/>
      <c r="EH107" s="173"/>
      <c r="EI107" s="528"/>
      <c r="EJ107" s="528"/>
      <c r="EK107" s="528"/>
      <c r="EL107" s="528"/>
      <c r="EP107" s="460"/>
      <c r="EQ107" s="173"/>
      <c r="ER107" s="173"/>
      <c r="ES107" s="528"/>
      <c r="EU107" s="460"/>
      <c r="EV107" s="528"/>
      <c r="EW107" s="528"/>
      <c r="EX107" s="528"/>
      <c r="EY107" s="528"/>
      <c r="EZ107" s="528"/>
      <c r="FA107" s="625"/>
      <c r="FB107" s="460"/>
      <c r="FC107" s="173"/>
      <c r="FD107" s="5"/>
      <c r="FE107" s="173"/>
      <c r="FF107" s="5"/>
    </row>
    <row r="108" spans="5:169" ht="13">
      <c r="E108" s="445" t="s">
        <v>434</v>
      </c>
      <c r="G108" s="217"/>
      <c r="H108" s="217"/>
      <c r="I108" s="217"/>
      <c r="J108" s="541"/>
      <c r="K108" s="443"/>
      <c r="L108" s="443"/>
      <c r="M108" s="443"/>
      <c r="N108" s="217"/>
      <c r="O108" s="172"/>
      <c r="P108" s="172"/>
      <c r="Q108" s="217"/>
      <c r="R108" s="217"/>
      <c r="S108" s="217"/>
      <c r="T108" s="217"/>
      <c r="U108" s="217"/>
      <c r="V108" s="217"/>
      <c r="W108" s="197"/>
      <c r="X108" s="443"/>
      <c r="Z108" s="217"/>
      <c r="AA108" s="173"/>
      <c r="AB108" s="173"/>
      <c r="AC108" s="173"/>
      <c r="AD108" s="173"/>
      <c r="AE108" s="545"/>
      <c r="AF108" s="528"/>
      <c r="AH108" s="173"/>
      <c r="AI108" s="173"/>
      <c r="AJ108" s="173"/>
      <c r="AL108" s="545"/>
      <c r="AM108" s="460"/>
      <c r="AR108" s="5"/>
      <c r="AS108" s="5"/>
      <c r="AT108" s="5"/>
      <c r="AU108" s="173"/>
      <c r="AW108" s="533" t="s">
        <v>470</v>
      </c>
      <c r="AX108" s="533" t="s">
        <v>470</v>
      </c>
      <c r="AY108" s="533"/>
      <c r="AZ108" s="533"/>
      <c r="BA108" s="558" t="s">
        <v>471</v>
      </c>
      <c r="BB108" s="533"/>
      <c r="BC108" s="533"/>
      <c r="BD108" s="533"/>
      <c r="BE108" s="558" t="s">
        <v>493</v>
      </c>
      <c r="BF108" s="533"/>
      <c r="BG108" s="533"/>
      <c r="BH108" s="533"/>
      <c r="BI108" s="533"/>
      <c r="BJ108" s="533"/>
      <c r="BK108" s="533"/>
      <c r="BL108" s="533"/>
      <c r="BM108" s="558" t="s">
        <v>489</v>
      </c>
      <c r="BN108" s="533"/>
      <c r="BO108" s="533"/>
      <c r="BP108" s="533"/>
      <c r="BQ108" s="533"/>
      <c r="BR108" s="559" t="s">
        <v>490</v>
      </c>
      <c r="BS108" s="533"/>
      <c r="BT108" s="533"/>
      <c r="BU108" s="533"/>
      <c r="BV108" s="533"/>
      <c r="BW108" s="533"/>
      <c r="BX108" s="533"/>
      <c r="BY108" s="558"/>
      <c r="BZ108" s="533"/>
      <c r="CA108" s="533"/>
      <c r="CB108" s="533"/>
      <c r="CC108" s="533"/>
      <c r="CI108" s="445" t="s">
        <v>434</v>
      </c>
      <c r="CK108" s="217"/>
      <c r="CL108" s="217"/>
      <c r="CM108" s="217"/>
      <c r="CN108" s="541"/>
      <c r="CO108" s="443"/>
      <c r="CP108" s="443"/>
      <c r="CQ108" s="443"/>
      <c r="CR108" s="217"/>
      <c r="CS108" s="172"/>
      <c r="CT108" s="172"/>
      <c r="CU108" s="217"/>
      <c r="CV108" s="217"/>
      <c r="CW108" s="217"/>
      <c r="CX108" s="217"/>
      <c r="CY108" s="217"/>
      <c r="CZ108" s="217"/>
      <c r="DA108" s="197"/>
      <c r="DB108" s="443"/>
      <c r="DD108" s="217"/>
      <c r="DE108" s="173"/>
      <c r="DF108" s="173"/>
      <c r="DG108" s="173"/>
      <c r="DH108" s="173"/>
      <c r="DI108" s="545"/>
      <c r="DJ108" s="528"/>
      <c r="DL108" s="173"/>
      <c r="DM108" s="173"/>
      <c r="DN108" s="173"/>
      <c r="DP108" s="545"/>
      <c r="DQ108" s="460"/>
      <c r="DV108" s="5"/>
      <c r="DW108" s="5"/>
      <c r="DX108" s="5"/>
      <c r="DY108" s="173"/>
      <c r="EA108" s="533" t="s">
        <v>470</v>
      </c>
      <c r="EB108" s="533" t="s">
        <v>470</v>
      </c>
      <c r="EC108" s="533"/>
      <c r="ED108" s="533"/>
      <c r="EE108" s="558" t="s">
        <v>471</v>
      </c>
      <c r="EF108" s="533"/>
      <c r="EG108" s="533"/>
      <c r="EH108" s="533"/>
      <c r="EI108" s="558" t="s">
        <v>493</v>
      </c>
      <c r="EJ108" s="533"/>
      <c r="EK108" s="533"/>
      <c r="EL108" s="533"/>
      <c r="EM108" s="533"/>
      <c r="EN108" s="533"/>
      <c r="EO108" s="533"/>
      <c r="EP108" s="533"/>
      <c r="EQ108" s="558" t="s">
        <v>489</v>
      </c>
      <c r="ER108" s="533"/>
      <c r="ES108" s="533"/>
      <c r="ET108" s="533"/>
      <c r="EU108" s="533"/>
      <c r="EV108" s="559" t="s">
        <v>490</v>
      </c>
      <c r="EW108" s="533"/>
      <c r="EX108" s="533"/>
      <c r="EY108" s="533"/>
      <c r="EZ108" s="533"/>
      <c r="FA108" s="533"/>
      <c r="FB108" s="533"/>
      <c r="FC108" s="558"/>
      <c r="FD108" s="533"/>
      <c r="FE108" s="533"/>
      <c r="FF108" s="533"/>
      <c r="FG108" s="533"/>
    </row>
    <row r="109" spans="5:169" ht="45" customHeight="1" thickBot="1">
      <c r="E109" s="241" t="s">
        <v>25</v>
      </c>
      <c r="F109" s="602" t="s">
        <v>580</v>
      </c>
      <c r="G109" s="444" t="s">
        <v>579</v>
      </c>
      <c r="H109" s="603" t="s">
        <v>581</v>
      </c>
      <c r="I109" s="604" t="s">
        <v>582</v>
      </c>
      <c r="J109" s="242" t="s">
        <v>412</v>
      </c>
      <c r="K109" s="243" t="s">
        <v>586</v>
      </c>
      <c r="L109" s="605" t="s">
        <v>413</v>
      </c>
      <c r="M109" s="606"/>
      <c r="N109" s="244" t="s">
        <v>48</v>
      </c>
      <c r="O109" s="606" t="s">
        <v>590</v>
      </c>
      <c r="P109" s="606" t="s">
        <v>606</v>
      </c>
      <c r="Q109" s="606" t="s">
        <v>583</v>
      </c>
      <c r="R109" s="606" t="s">
        <v>584</v>
      </c>
      <c r="S109" s="606" t="s">
        <v>585</v>
      </c>
      <c r="T109" s="606" t="s">
        <v>414</v>
      </c>
      <c r="U109" s="606" t="s">
        <v>466</v>
      </c>
      <c r="V109" s="606" t="s">
        <v>465</v>
      </c>
      <c r="W109" s="607" t="s">
        <v>420</v>
      </c>
      <c r="X109" s="608" t="s">
        <v>425</v>
      </c>
      <c r="Z109" s="245" t="s">
        <v>417</v>
      </c>
      <c r="AA109" s="245" t="s">
        <v>464</v>
      </c>
      <c r="AB109" s="245" t="s">
        <v>587</v>
      </c>
      <c r="AC109" s="544"/>
      <c r="AD109" s="245" t="s">
        <v>463</v>
      </c>
      <c r="AE109" s="607" t="s">
        <v>426</v>
      </c>
      <c r="AF109" s="245" t="s">
        <v>588</v>
      </c>
      <c r="AG109" s="544"/>
      <c r="AH109" s="245" t="s">
        <v>429</v>
      </c>
      <c r="AI109" s="547" t="s">
        <v>430</v>
      </c>
      <c r="AJ109" s="547" t="s">
        <v>431</v>
      </c>
      <c r="AL109" s="543" t="s">
        <v>275</v>
      </c>
      <c r="AM109" s="543" t="s">
        <v>432</v>
      </c>
      <c r="AO109" s="245" t="s">
        <v>275</v>
      </c>
      <c r="AP109" s="245" t="s">
        <v>432</v>
      </c>
      <c r="AQ109" s="548"/>
      <c r="AR109" s="245" t="s">
        <v>467</v>
      </c>
      <c r="AS109" s="245" t="s">
        <v>461</v>
      </c>
      <c r="AT109" s="245" t="s">
        <v>462</v>
      </c>
      <c r="AU109" s="245" t="s">
        <v>48</v>
      </c>
      <c r="AV109" s="544"/>
      <c r="AW109" s="245" t="s">
        <v>591</v>
      </c>
      <c r="AX109" s="245" t="s">
        <v>592</v>
      </c>
      <c r="AY109" s="245" t="s">
        <v>514</v>
      </c>
      <c r="AZ109" s="544"/>
      <c r="BA109" s="557" t="s">
        <v>456</v>
      </c>
      <c r="BB109" s="245" t="s">
        <v>599</v>
      </c>
      <c r="BC109" s="245" t="s">
        <v>598</v>
      </c>
      <c r="BD109" s="544"/>
      <c r="BE109" s="557" t="s">
        <v>474</v>
      </c>
      <c r="BF109" s="245" t="s">
        <v>475</v>
      </c>
      <c r="BG109" s="245" t="s">
        <v>473</v>
      </c>
      <c r="BH109" s="245" t="s">
        <v>469</v>
      </c>
      <c r="BI109" s="245" t="s">
        <v>478</v>
      </c>
      <c r="BJ109" s="245" t="s">
        <v>491</v>
      </c>
      <c r="BK109" s="245" t="s">
        <v>776</v>
      </c>
      <c r="BL109" s="245" t="s">
        <v>778</v>
      </c>
      <c r="BM109" s="557" t="s">
        <v>601</v>
      </c>
      <c r="BN109" s="245" t="s">
        <v>600</v>
      </c>
      <c r="BO109" s="245" t="s">
        <v>477</v>
      </c>
      <c r="BP109" s="245" t="s">
        <v>483</v>
      </c>
      <c r="BQ109" s="245" t="s">
        <v>487</v>
      </c>
      <c r="BR109" s="557" t="s">
        <v>458</v>
      </c>
      <c r="BS109" s="245" t="s">
        <v>603</v>
      </c>
      <c r="BT109" s="245" t="s">
        <v>602</v>
      </c>
      <c r="BU109" s="245" t="s">
        <v>468</v>
      </c>
      <c r="BV109" s="245" t="s">
        <v>673</v>
      </c>
      <c r="BW109" s="245" t="s">
        <v>484</v>
      </c>
      <c r="BX109" s="245" t="s">
        <v>667</v>
      </c>
      <c r="BY109" s="557" t="s">
        <v>482</v>
      </c>
      <c r="BZ109" s="245" t="s">
        <v>223</v>
      </c>
      <c r="CA109" s="245" t="s">
        <v>47</v>
      </c>
      <c r="CB109" s="245" t="s">
        <v>485</v>
      </c>
      <c r="CC109" s="245" t="s">
        <v>604</v>
      </c>
      <c r="CE109" s="569" t="s">
        <v>497</v>
      </c>
      <c r="CG109" s="782" t="s">
        <v>829</v>
      </c>
      <c r="CH109" s="783" t="s">
        <v>830</v>
      </c>
      <c r="CI109" s="241" t="s">
        <v>25</v>
      </c>
      <c r="CJ109" s="602" t="s">
        <v>580</v>
      </c>
      <c r="CK109" s="444" t="s">
        <v>579</v>
      </c>
      <c r="CL109" s="603" t="s">
        <v>581</v>
      </c>
      <c r="CM109" s="604" t="s">
        <v>582</v>
      </c>
      <c r="CN109" s="242" t="s">
        <v>412</v>
      </c>
      <c r="CO109" s="243" t="s">
        <v>586</v>
      </c>
      <c r="CP109" s="605" t="s">
        <v>413</v>
      </c>
      <c r="CQ109" s="606"/>
      <c r="CR109" s="244" t="s">
        <v>48</v>
      </c>
      <c r="CS109" s="606" t="s">
        <v>590</v>
      </c>
      <c r="CT109" s="606" t="s">
        <v>606</v>
      </c>
      <c r="CU109" s="606" t="s">
        <v>583</v>
      </c>
      <c r="CV109" s="606" t="s">
        <v>584</v>
      </c>
      <c r="CW109" s="606" t="s">
        <v>585</v>
      </c>
      <c r="CX109" s="606" t="s">
        <v>414</v>
      </c>
      <c r="CY109" s="606" t="s">
        <v>466</v>
      </c>
      <c r="CZ109" s="606" t="s">
        <v>465</v>
      </c>
      <c r="DA109" s="607" t="s">
        <v>420</v>
      </c>
      <c r="DB109" s="608" t="s">
        <v>425</v>
      </c>
      <c r="DD109" s="245" t="s">
        <v>417</v>
      </c>
      <c r="DE109" s="245" t="s">
        <v>464</v>
      </c>
      <c r="DF109" s="245" t="s">
        <v>587</v>
      </c>
      <c r="DG109" s="544"/>
      <c r="DH109" s="245" t="s">
        <v>463</v>
      </c>
      <c r="DI109" s="607" t="s">
        <v>426</v>
      </c>
      <c r="DJ109" s="245" t="s">
        <v>588</v>
      </c>
      <c r="DK109" s="544"/>
      <c r="DL109" s="245" t="s">
        <v>429</v>
      </c>
      <c r="DM109" s="547" t="s">
        <v>430</v>
      </c>
      <c r="DN109" s="547" t="s">
        <v>431</v>
      </c>
      <c r="DP109" s="543" t="s">
        <v>275</v>
      </c>
      <c r="DQ109" s="543" t="s">
        <v>432</v>
      </c>
      <c r="DS109" s="245" t="s">
        <v>275</v>
      </c>
      <c r="DT109" s="245" t="s">
        <v>432</v>
      </c>
      <c r="DU109" s="548"/>
      <c r="DV109" s="245" t="s">
        <v>467</v>
      </c>
      <c r="DW109" s="245" t="s">
        <v>461</v>
      </c>
      <c r="DX109" s="245" t="s">
        <v>462</v>
      </c>
      <c r="DY109" s="245" t="s">
        <v>48</v>
      </c>
      <c r="DZ109" s="544"/>
      <c r="EA109" s="245" t="s">
        <v>591</v>
      </c>
      <c r="EB109" s="245" t="s">
        <v>592</v>
      </c>
      <c r="EC109" s="245" t="s">
        <v>514</v>
      </c>
      <c r="ED109" s="544"/>
      <c r="EE109" s="557" t="s">
        <v>456</v>
      </c>
      <c r="EF109" s="245" t="s">
        <v>599</v>
      </c>
      <c r="EG109" s="245" t="s">
        <v>598</v>
      </c>
      <c r="EH109" s="544"/>
      <c r="EI109" s="557" t="s">
        <v>474</v>
      </c>
      <c r="EJ109" s="245" t="s">
        <v>475</v>
      </c>
      <c r="EK109" s="245" t="s">
        <v>473</v>
      </c>
      <c r="EL109" s="245" t="s">
        <v>469</v>
      </c>
      <c r="EM109" s="245" t="s">
        <v>478</v>
      </c>
      <c r="EN109" s="245" t="s">
        <v>491</v>
      </c>
      <c r="EO109" s="245" t="s">
        <v>776</v>
      </c>
      <c r="EP109" s="245" t="s">
        <v>778</v>
      </c>
      <c r="EQ109" s="557" t="s">
        <v>601</v>
      </c>
      <c r="ER109" s="245" t="s">
        <v>600</v>
      </c>
      <c r="ES109" s="245" t="s">
        <v>477</v>
      </c>
      <c r="ET109" s="245" t="s">
        <v>483</v>
      </c>
      <c r="EU109" s="245" t="s">
        <v>487</v>
      </c>
      <c r="EV109" s="557" t="s">
        <v>458</v>
      </c>
      <c r="EW109" s="245" t="s">
        <v>603</v>
      </c>
      <c r="EX109" s="245" t="s">
        <v>602</v>
      </c>
      <c r="EY109" s="245" t="s">
        <v>468</v>
      </c>
      <c r="EZ109" s="245" t="s">
        <v>673</v>
      </c>
      <c r="FA109" s="245" t="s">
        <v>484</v>
      </c>
      <c r="FB109" s="245" t="s">
        <v>486</v>
      </c>
      <c r="FC109" s="557" t="s">
        <v>482</v>
      </c>
      <c r="FD109" s="245" t="s">
        <v>223</v>
      </c>
      <c r="FE109" s="245" t="s">
        <v>47</v>
      </c>
      <c r="FF109" s="245" t="s">
        <v>485</v>
      </c>
      <c r="FG109" s="245" t="s">
        <v>604</v>
      </c>
      <c r="FI109" s="569" t="s">
        <v>497</v>
      </c>
      <c r="FL109" s="782" t="s">
        <v>876</v>
      </c>
      <c r="FM109" s="782" t="s">
        <v>875</v>
      </c>
    </row>
    <row r="110" spans="5:169">
      <c r="E110" s="170">
        <v>0.1</v>
      </c>
      <c r="F110" s="217">
        <v>1.0000000000000001E-9</v>
      </c>
      <c r="G110" s="217">
        <f t="shared" ref="G110:G141" si="312">IF(PLOT_TYPE=1, E110/100*Iout2, min_I*EXP(Q110*rr/100))</f>
        <v>2.5000000000000001E-4</v>
      </c>
      <c r="H110" s="217">
        <f t="shared" ref="H110:H141" si="313">F110*Vout</f>
        <v>2.8000000000000003E-8</v>
      </c>
      <c r="I110" s="217">
        <f t="shared" ref="I110:I141" si="314">Vout2*G110</f>
        <v>7.4999999999999997E-3</v>
      </c>
      <c r="J110" s="541">
        <f t="shared" ref="J110:J141" si="315">VIN_min-(F110/CG110/Nps+G110/CH110/(Nps/Nsec1sec2))*(Rdcr_pri+RON/1000)</f>
        <v>18.992580635786762</v>
      </c>
      <c r="K110" s="443">
        <f t="shared" ref="K110:K141" si="316">MAX((S110+Vfwd2+Rdcr_sec*F110/CG110)*Nps,(Vout2+Vfwd22+Rdcr_sec2*G110/CH110)*Nps/Nsec1sec2)</f>
        <v>28.701260927499462</v>
      </c>
      <c r="L110" s="172">
        <f t="shared" ref="L110:L141" si="317">MAX((Vout+Vfwd2+F110/CG110*Rdcr_sec)*Nps+J110, (Vout2+Vfwd22+G110/CH110*Rdcr_sec2)*Nps/Nsec1sec2+J110)</f>
        <v>47.693841563286227</v>
      </c>
      <c r="M110" s="443"/>
      <c r="N110" s="217">
        <f t="shared" ref="N110:N141" si="318">MAX((Vout+Vfwd2+F110/CG110*Rdcr_sec)*Nps/((Vout+Vfwd2+F110/CG110*Rdcr_sec)*Nps+J110), (Vout2+Vfwd22+G110/CH110*Rdcr_sec2)*Nps/Nsec1sec2/((Vout2+Vfwd22+G110/CH110*Rdcr_sec2)*Nps/Nsec1sec2+J110))</f>
        <v>0.60178127797516567</v>
      </c>
      <c r="O110" s="172">
        <f t="shared" ref="O110:O141" si="319">N110*J110*Isw_max*0.5*Efficiency*Pout/(Pout+Pout2)</f>
        <v>86.02758723586129</v>
      </c>
      <c r="P110" s="172">
        <f t="shared" ref="P110:P141" si="320">N110*J110*Isw_max*0.5*Efficiency*(Pout2/Pout_total)</f>
        <v>10.204803077723342</v>
      </c>
      <c r="Q110" s="217">
        <f t="shared" ref="Q110:Q173" si="321">O110/Vout</f>
        <v>3.0724138298521888</v>
      </c>
      <c r="R110" s="217">
        <f t="shared" ref="R110:R141" si="322">O110/Vout2</f>
        <v>2.8675862411953763</v>
      </c>
      <c r="S110" s="217">
        <f t="shared" ref="S110:S141" si="323">MIN(Vout,O110/F110)</f>
        <v>28</v>
      </c>
      <c r="T110" s="217">
        <f t="shared" ref="T110:T141" si="324">MIN(2*(Vout*F110+Vout2*G110)/(Efficiency*J110*N110), Isw_max)</f>
        <v>1.3124121103417761E-3</v>
      </c>
      <c r="U110" s="217">
        <f t="shared" ref="U110:U173" si="325">L*T110/J110*1000000</f>
        <v>3.2477613426495927E-4</v>
      </c>
      <c r="V110" s="217">
        <f t="shared" ref="V110:V173" si="326">L*T110/K110*1000000</f>
        <v>2.1491518906391655E-4</v>
      </c>
      <c r="W110" s="197">
        <f t="shared" ref="W110:W173" si="327">IF(1/((350000*L)*(1/J110+1/K110))&gt;Isw_min, 350, 0.001/((Isw_min*L)*(1/J110+1/K110)))</f>
        <v>350</v>
      </c>
      <c r="X110" s="443">
        <f>MIN(1/(U110+V110+0.2)*1000, 350)</f>
        <v>350</v>
      </c>
      <c r="Z110" s="217">
        <f t="shared" ref="Z110:Z173" si="328">1/((W110*1000*L)*(1/J110+1/K110))</f>
        <v>6.9479510316414252</v>
      </c>
      <c r="AA110" s="173">
        <f t="shared" ref="AA110:AA173" si="329">L*Z110/K110*1000000</f>
        <v>1.1377677772138119</v>
      </c>
      <c r="AB110" s="173">
        <f t="shared" ref="AB110:AB141" si="330">0.5*AA110*Z110*Nps*W110/1000*(Pout/(Pout+Pout2))</f>
        <v>1.2495244686180409</v>
      </c>
      <c r="AC110" s="173"/>
      <c r="AD110" s="173">
        <f t="shared" ref="AD110:AD173" si="331">L*Isw_min/K110*1000000</f>
        <v>0.54585290542604714</v>
      </c>
      <c r="AE110" s="545">
        <f t="shared" ref="AE110:AE141" si="332">MAX(10, F110/(0.5*AD110/1000000*Isw_min*Nps)/1000*Pout_total/Pout)</f>
        <v>10</v>
      </c>
      <c r="AF110" s="528">
        <f t="shared" ref="AF110:AF141" si="333">0.5*AD110/1000000*Isw_min*Nps*W110*1000*(Pout/Pout_total)</f>
        <v>0.31841419483186084</v>
      </c>
      <c r="AH110" s="173">
        <f t="shared" ref="AH110:AH141" si="334">SQRT((H110+I110)/(0.5*L*Fsw_DCM))</f>
        <v>9.5491230361682125E-2</v>
      </c>
      <c r="AI110" s="173">
        <f t="shared" ref="AI110:AI141" si="335">MAX(IF(F110&gt;AB110,T110,AH110),Isw_min)</f>
        <v>3.3333333333333335</v>
      </c>
      <c r="AJ110" s="173">
        <f t="shared" ref="AJ110:AJ141" si="336">IF(F110&gt;AF110, (AI110-Isw_min)/1.08*0.8+1.2, AE110*0.2/350+1)</f>
        <v>1.0057142857142858</v>
      </c>
      <c r="AL110" s="545">
        <f t="shared" ref="AL110:AL141" si="337">F110*1000</f>
        <v>1.0000000000000002E-6</v>
      </c>
      <c r="AM110" s="460">
        <f t="shared" ref="AM110:AM141" si="338">IF(F110&gt;AF110, X110, AE110)</f>
        <v>10</v>
      </c>
      <c r="AO110" s="460">
        <f t="shared" ref="AO110:AO173" si="339">IF(H110&gt;O110, "",AL110)</f>
        <v>1.0000000000000002E-6</v>
      </c>
      <c r="AP110" s="460">
        <f t="shared" ref="AP110:AP173" si="340">IF(H110&gt;O110, "",AM110)</f>
        <v>10</v>
      </c>
      <c r="AR110" s="5">
        <f t="shared" si="274"/>
        <v>100</v>
      </c>
      <c r="AS110" s="5">
        <f>L*AI110/J110*1000000</f>
        <v>0.8248835146260618</v>
      </c>
      <c r="AT110" s="5">
        <f>AR110-AS110</f>
        <v>99.175116485373934</v>
      </c>
      <c r="AU110" s="173">
        <f>AS110/AR110</f>
        <v>8.2488351462606177E-3</v>
      </c>
      <c r="AW110" s="5">
        <f t="shared" ref="AW110:AW169" si="341">F110*AS110/Vout_ripple*1000</f>
        <v>2.9460125522359352E-9</v>
      </c>
      <c r="AX110" s="5">
        <f t="shared" ref="AX110:AX169" si="342">G110*AS110/Vout_ripple2*1000</f>
        <v>6.8740292885505151E-4</v>
      </c>
      <c r="AY110" s="5">
        <f t="shared" ref="AY110:AY169" si="343">H110/Efficiency/J110*AT110/Vinripple1</f>
        <v>1.0443564082966509E-7</v>
      </c>
      <c r="AZ110" s="5"/>
      <c r="BA110" s="173">
        <f t="shared" ref="BA110:BA169" si="344">AI110*SQRT(AU110/3)</f>
        <v>0.1747891337653652</v>
      </c>
      <c r="BB110" s="173">
        <f t="shared" ref="BB110:BB169" si="345">AI110*Npri_sec1*SQRT((1-AU110)/3)*(Pout/Pout_total)</f>
        <v>1.9165470154476403</v>
      </c>
      <c r="BC110" s="173">
        <f t="shared" ref="BC110:BC169" si="346">AI110*Npri_sec2*SQRT((1-AU110)/3)*(Pout2/Pout_total)</f>
        <v>0.19322564172136045</v>
      </c>
      <c r="BD110" s="173"/>
      <c r="BE110" s="528">
        <f t="shared" ref="BE110:BE169" si="347">Rdson*BA110^2</f>
        <v>3.6661489538936077E-4</v>
      </c>
      <c r="BF110" s="528">
        <f t="shared" ref="BF110:BF141" si="348">0.5*L110*AI110*AM110*1000*Tfall</f>
        <v>2.9013753617665793E-2</v>
      </c>
      <c r="BG110" s="528">
        <f t="shared" ref="BG110:BG169" si="349">Qg*Vdd*AM110*1000</f>
        <v>1.15E-3</v>
      </c>
      <c r="BH110" s="528">
        <f t="shared" ref="BH110:BH169" si="350">0.5*(Coss+Csw)*L110^2*AM110*1000</f>
        <v>1.1202909926089456E-2</v>
      </c>
      <c r="BI110">
        <f t="shared" ref="BI110:BI169" si="351">J110*IQ</f>
        <v>8.546661286104042E-3</v>
      </c>
      <c r="BJ110" s="460">
        <f>(BG110+BI110)*1000</f>
        <v>9.6966612861040424</v>
      </c>
      <c r="BK110">
        <f t="shared" ref="BK110:BK141" si="352">(BF110+BG110*0+BH110+BI110*0+BE110*(1+RdsonTC*(Ta-25)))/(1-BE110*RdsonTC*ThetaJA)</f>
        <v>4.0685808508066711E-2</v>
      </c>
      <c r="BL110" s="460">
        <f>SUM(BE110:BI110)*1000</f>
        <v>50.279939725248646</v>
      </c>
      <c r="BM110" s="173">
        <f t="shared" ref="BM110:BM141" si="353">Vfwd2*F110*(1+Diode_TC/1000*(Ta-25))</f>
        <v>6.7059999999999994E-10</v>
      </c>
      <c r="BN110" s="173">
        <f t="shared" ref="BN110:BN141" si="354">Vfwd2*G110*(1+Diode_TC/1000*(Ta-25))</f>
        <v>1.6764999999999998E-4</v>
      </c>
      <c r="BO110" s="528"/>
      <c r="BQ110" s="460">
        <f t="shared" ref="BQ110:BQ169" si="355">SUM(BM110:BP110)*1000</f>
        <v>0.1676506706</v>
      </c>
      <c r="BR110" s="528">
        <f t="shared" ref="BR110:BR169" si="356">Rdcr_pri*BA110^2</f>
        <v>4.277173779542542E-4</v>
      </c>
      <c r="BS110" s="528">
        <f t="shared" ref="BS110:BS169" si="357">Rdcr_sec*BB110^2</f>
        <v>5.1424134473897612E-2</v>
      </c>
      <c r="BT110" s="528">
        <f t="shared" ref="BT110:BT169" si="358">Rdcr_sec2*BC110^2</f>
        <v>1.8668074309315775E-4</v>
      </c>
      <c r="BU110" s="528">
        <f t="shared" ref="BU110:BU169" si="359">AI110^2.5*AM110^2.5*k_core</f>
        <v>3.2075014954979249E-4</v>
      </c>
      <c r="BV110" s="528"/>
      <c r="BW110" s="625">
        <f t="shared" ref="BW110:BW141" si="360">0.5*Lleak*0.000000001*AI110^2*AM110*1000</f>
        <v>1.1111111111111112E-2</v>
      </c>
      <c r="BX110" s="460">
        <f t="shared" ref="BX110:BX169" si="361">SUM(BR110:BW110)*1000</f>
        <v>63.47039385560592</v>
      </c>
      <c r="BY110" s="173">
        <f t="shared" ref="BY110:BY169" si="362">SUM(BE110:BI110,BM110:BP110,BR110:BW110)</f>
        <v>0.11391798425145458</v>
      </c>
      <c r="BZ110" s="5">
        <f t="shared" ref="BZ110:BZ169" si="363">MIN(H110+I110,O110+P110)</f>
        <v>7.5000279999999997E-3</v>
      </c>
      <c r="CA110" s="173">
        <f t="shared" ref="CA110:CA169" si="364">BZ110/(BZ110+BY110)</f>
        <v>6.1770307888648124E-2</v>
      </c>
      <c r="CB110" s="5">
        <f t="shared" ref="CB110:CB169" si="365">CA110*100</f>
        <v>6.1770307888648119</v>
      </c>
      <c r="CC110">
        <f t="shared" ref="CC110:CC169" si="366">F110/Iout*100</f>
        <v>4.0000000000000001E-8</v>
      </c>
      <c r="CE110" s="562">
        <f t="shared" ref="CE110:CE141" si="367">IF(ABS(F110-Ioutmax_Vinmin)&lt;Iout/200, AM110, -50)</f>
        <v>-50</v>
      </c>
      <c r="CF110">
        <f t="shared" ref="CF110:CF141" si="368">IF(ABS(F110-Ioutmax_Vinmin)&lt;Iout/200, (O110+P110)*CA110, -50)</f>
        <v>-50</v>
      </c>
      <c r="CG110" s="173">
        <f t="shared" ref="CG110:CG173" si="369">MIN(SQRT(2*DT110*1000*Ls1_*(CL110+CJ110*Vfwd1))/(CW110+Vfwd1), 1-DY110)</f>
        <v>1.8193018317281983E-6</v>
      </c>
      <c r="CH110" s="173">
        <f t="shared" ref="CH110:CH141" si="370">MIN(SQRT(2*DT110*1000*Ls2_*(CM110+CK110*Vfwd22))/(Vout2+Vfwd22), 1-DY110)</f>
        <v>9.3282881743746008E-4</v>
      </c>
      <c r="CI110" s="170">
        <v>0.1</v>
      </c>
      <c r="CJ110" s="217">
        <v>1.0000000000000001E-9</v>
      </c>
      <c r="CK110" s="217">
        <f t="shared" ref="CK110:CK173" si="371">IF(PLOT_TYPE=1, CI110/100*Iout2, min_I*EXP(CU110*rr/100))</f>
        <v>2.5000000000000001E-4</v>
      </c>
      <c r="CL110" s="217">
        <f t="shared" ref="CL110:CL173" si="372">CJ110*Vout</f>
        <v>2.8000000000000003E-8</v>
      </c>
      <c r="CM110" s="217">
        <f t="shared" ref="CM110:CM173" si="373">Vout2*CK110</f>
        <v>7.4999999999999997E-3</v>
      </c>
      <c r="CN110" s="541">
        <f t="shared" ref="CN110:CN173" si="374">VIN_min</f>
        <v>19</v>
      </c>
      <c r="CO110" s="443">
        <f t="shared" ref="CO110:CO141" si="375">(CW110+Vfwd2)*Nps</f>
        <v>28.7</v>
      </c>
      <c r="CP110" s="443">
        <f t="shared" ref="CP110:CP141" si="376">(Vout+Vfwd2)*Nps+CN110</f>
        <v>47.7</v>
      </c>
      <c r="CQ110" s="443"/>
      <c r="CR110" s="217">
        <f t="shared" ref="CR110:CR173" si="377">(Vout+Vfwd1)*Nps/((Vout+Vfwd1)*Nps+CN110)</f>
        <v>0.59915611814345993</v>
      </c>
      <c r="CS110" s="172">
        <f t="shared" ref="CS110:CS173" si="378">CR110*CN110*Isw_max*0.5*Efficiency*Pout/(Pout+Pout2)</f>
        <v>85.685767433419556</v>
      </c>
      <c r="CT110" s="172">
        <f t="shared" ref="CT110:CT173" si="379">CR110*CN110*Isw_max*0.5*Efficiency*(Pout2/Pout_total)</f>
        <v>10.164255575647982</v>
      </c>
      <c r="CU110" s="217">
        <f t="shared" ref="CU110:CU173" si="380">CS110/Vout</f>
        <v>3.0602059797649841</v>
      </c>
      <c r="CV110" s="217">
        <f t="shared" ref="CV110:CV173" si="381">CS110/Vout2</f>
        <v>2.8561922477806521</v>
      </c>
      <c r="CW110" s="217">
        <f t="shared" ref="CW110:CW173" si="382">MIN(Vout,CS110/CJ110)</f>
        <v>28</v>
      </c>
      <c r="CX110" s="217">
        <f t="shared" ref="CX110:CX173" si="383">MIN(2*(Vout*CJ110+Vout2*CK110)/(Efficiency*CN110*CR110), Isw_max)</f>
        <v>1.3176476174944403E-3</v>
      </c>
      <c r="CY110" s="217">
        <f t="shared" ref="CY110:CY173" si="384">L*CX110/CN110*1000000</f>
        <v>3.2594441064336154E-4</v>
      </c>
      <c r="CZ110" s="217">
        <f t="shared" ref="CZ110:CZ173" si="385">L*CX110/CO110*1000000</f>
        <v>2.1578201401476897E-4</v>
      </c>
      <c r="DA110" s="197">
        <f t="shared" ref="DA110:DA173" si="386">IF(1/((350000*L)*(1/CN110+1/CO110))&gt;Isw_min, 350, 0.001/((Isw_min*L)*(1/CN110+1/CO110)))</f>
        <v>350</v>
      </c>
      <c r="DB110" s="443">
        <f t="shared" ref="DB110:DB173" si="387">MIN(1/(CY110+CZ110)*1000, 350)</f>
        <v>350</v>
      </c>
      <c r="DD110" s="217">
        <f t="shared" ref="DD110:DD173" si="388">1/((DA110*1000*L)*(1/CN110+1/CO110))</f>
        <v>6.9494625094785683</v>
      </c>
      <c r="DE110" s="173">
        <f t="shared" ref="DE110:DE173" si="389">L*DD110/CO110*1000000</f>
        <v>1.1380652890086853</v>
      </c>
      <c r="DF110" s="173">
        <f t="shared" ref="DF110:DF173" si="390">0.5*DE110*DD110*Nps*DA110/1000*(Pout/(Pout+Pout2))</f>
        <v>1.2501230996965573</v>
      </c>
      <c r="DG110" s="173"/>
      <c r="DH110" s="173">
        <f t="shared" ref="DH110:DH173" si="391">L*Isw_min/CO110*1000000</f>
        <v>0.54587688734030204</v>
      </c>
      <c r="DI110" s="545">
        <f t="shared" ref="DI110:DI173" si="392">MAX(10, CJ110/(0.5*DH110/1000000*Isw_min*Nps)/1000*Pout_total/Pout)</f>
        <v>10</v>
      </c>
      <c r="DJ110" s="528">
        <f t="shared" ref="DJ110:DJ173" si="393">0.5*DH110/1000000*Isw_min*Nps*DA110*1000*(Pout/Pout_total)</f>
        <v>0.31842818428184283</v>
      </c>
      <c r="DL110" s="173">
        <f t="shared" ref="DL110:DL173" si="394">SQRT((CL110+CM110)/(0.5*L*Fsw_DCM))</f>
        <v>9.5491230361682125E-2</v>
      </c>
      <c r="DM110" s="173">
        <f t="shared" ref="DM110:DM173" si="395">MAX(IF(CJ110&gt;DF110,CX110,DL110),Isw_min)</f>
        <v>3.3333333333333335</v>
      </c>
      <c r="DN110" s="173">
        <f t="shared" ref="DN110:DN173" si="396">IF(CJ110&gt;DJ110, (DM110-Isw_min)/1.08*0.8+1.2, DI110*0.2/350+1)</f>
        <v>1.0057142857142858</v>
      </c>
      <c r="DP110" s="545">
        <f t="shared" ref="DP110:DP173" si="397">CJ110*1000</f>
        <v>1.0000000000000002E-6</v>
      </c>
      <c r="DQ110" s="460">
        <f t="shared" ref="DQ110:DQ173" si="398">IF(CJ110&gt;DJ110, DB110, DI110)</f>
        <v>10</v>
      </c>
      <c r="DS110" s="460">
        <f t="shared" ref="DS110:DS173" si="399">IF(CL110&gt;CS110, "",DP110)</f>
        <v>1.0000000000000002E-6</v>
      </c>
      <c r="DT110" s="460">
        <f t="shared" ref="DT110:DT173" si="400">IF(CL110&gt;CS110, "",DQ110)</f>
        <v>10</v>
      </c>
      <c r="DV110" s="5">
        <f t="shared" ref="DV110:DV173" si="401">1/DQ110*1000</f>
        <v>100</v>
      </c>
      <c r="DW110" s="5">
        <f t="shared" ref="DW110:DW173" si="402">L*DM110/CN110*1000000</f>
        <v>0.82456140350877194</v>
      </c>
      <c r="DX110" s="5">
        <f t="shared" ref="DX110:DX173" si="403">DV110-DW110</f>
        <v>99.175438596491233</v>
      </c>
      <c r="DY110" s="173">
        <f t="shared" ref="DY110:DY173" si="404">DW110/DV110</f>
        <v>8.2456140350877193E-3</v>
      </c>
      <c r="EA110" s="5">
        <f t="shared" ref="EA110:EA173" si="405">CJ110*DW110/Vout_ripple*1000</f>
        <v>2.9448621553884716E-9</v>
      </c>
      <c r="EB110" s="5">
        <f t="shared" ref="EB110:EB173" si="406">CK110*DW110/Vout_ripple2*1000</f>
        <v>6.871345029239766E-4</v>
      </c>
      <c r="EC110" s="5">
        <f t="shared" ref="EC110:EC173" si="407">CL110/Efficiency/CN110*DX110/Vinripple1</f>
        <v>1.0439519852262235E-7</v>
      </c>
      <c r="ED110" s="5"/>
      <c r="EE110" s="173">
        <f t="shared" ref="EE110:EE173" si="408">DM110*SQRT(DY110/3)</f>
        <v>0.17475500347934428</v>
      </c>
      <c r="EF110" s="173">
        <f t="shared" ref="EF110:EF173" si="409">DM110*Npri_sec1*SQRT((1-DY110)/3)*(Pout/Pout_total)</f>
        <v>1.9165501278241168</v>
      </c>
      <c r="EG110" s="173">
        <f t="shared" ref="EG110:EG173" si="410">DM110*Npri_sec2*SQRT((1-DY110)/3)*(Pout2/Pout_total)</f>
        <v>0.19322595551013638</v>
      </c>
      <c r="EH110" s="173"/>
      <c r="EI110" s="528">
        <f t="shared" ref="EI110:EI173" si="411">Rdson*EE110^2</f>
        <v>3.6647173489278757E-4</v>
      </c>
      <c r="EJ110" s="528">
        <f t="shared" ref="EJ110:EJ173" si="412">0.5*CP110*DM110*DQ110*1000*Trise</f>
        <v>3.0210000000000008E-2</v>
      </c>
      <c r="EK110" s="528">
        <f t="shared" ref="EK110:EK173" si="413">Qg*Vdd*DQ110*1000</f>
        <v>1.15E-3</v>
      </c>
      <c r="EL110" s="528">
        <f t="shared" ref="EL110:EL173" si="414">0.5*(Coss+Csw)*CP110^2*DQ110*1000</f>
        <v>1.1205803250000002E-2</v>
      </c>
      <c r="EM110">
        <f t="shared" ref="EM110:EM173" si="415">CN110*IQ</f>
        <v>8.5500000000000003E-3</v>
      </c>
      <c r="EN110" s="460">
        <f t="shared" ref="EN110:EN173" si="416">(EK110+EM110)*1000</f>
        <v>9.7000000000000011</v>
      </c>
      <c r="EP110" s="460">
        <f>SUM(EI110:EM110)*1000</f>
        <v>51.482274984892804</v>
      </c>
      <c r="EQ110" s="173">
        <f t="shared" ref="EQ110:EQ173" si="417">Vfwd2*CJ110</f>
        <v>6.9999999999999996E-10</v>
      </c>
      <c r="ER110" s="173">
        <f t="shared" ref="ER110:ER141" si="418">Vfwd22*CK110*(1+Diode_TC/1000*(Ta-25))</f>
        <v>1.1975E-4</v>
      </c>
      <c r="ES110" s="528"/>
      <c r="EU110" s="460">
        <f t="shared" ref="EU110:EU169" si="419">SUM(EQ110:ET110)*1000</f>
        <v>0.11975069999999999</v>
      </c>
      <c r="EV110" s="528">
        <f t="shared" ref="EV110:EV173" si="420">Rdcr_pri*EE110^2</f>
        <v>4.2755035737491884E-4</v>
      </c>
      <c r="EW110" s="528">
        <f t="shared" ref="EW110:EW173" si="421">Rdcr_sec*EF110^2</f>
        <v>5.1424301494476944E-2</v>
      </c>
      <c r="EX110" s="528">
        <f t="shared" ref="EX110:EX173" si="422">Rdcr_sec2*EG110^2</f>
        <v>1.8668134941402602E-4</v>
      </c>
      <c r="EY110" s="528">
        <f t="shared" ref="EY110:EY173" si="423">DM110^2.5*DQ110^2.5*k_core</f>
        <v>3.2075014954979249E-4</v>
      </c>
      <c r="EZ110" s="528"/>
      <c r="FA110" s="625">
        <f t="shared" ref="FA110:FA173" si="424">0.5*Lleak*0.000000001*DM110^2*DQ110*1000</f>
        <v>1.1111111111111112E-2</v>
      </c>
      <c r="FB110" s="460">
        <f t="shared" ref="FB110:FB169" si="425">SUM(EV110:FA110)*1000</f>
        <v>63.470394461926787</v>
      </c>
      <c r="FC110" s="173">
        <f t="shared" ref="FC110:FC173" si="426">SUM(EI110:EM110,EQ110:ET110,EV110:FA110)</f>
        <v>0.11507242014681961</v>
      </c>
      <c r="FD110" s="5">
        <f t="shared" ref="FD110:FD173" si="427">MIN(CL110+CM110,CS110+CT110)</f>
        <v>7.5000279999999997E-3</v>
      </c>
      <c r="FE110" s="173">
        <f t="shared" ref="FE110:FE173" si="428">FD110/(FD110+FC110)</f>
        <v>6.1188530647738416E-2</v>
      </c>
      <c r="FF110" s="5">
        <f t="shared" ref="FF110:FF173" si="429">FE110*100</f>
        <v>6.1188530647738419</v>
      </c>
      <c r="FG110">
        <f t="shared" ref="FG110:FG173" si="430">CJ110/Iout*100</f>
        <v>4.0000000000000001E-8</v>
      </c>
      <c r="FI110" s="562">
        <f t="shared" ref="FI110:FI173" si="431">IF(ABS(CJ110-Ioutmax_Vinmin)&lt;Iout/200, DQ110, -50)</f>
        <v>-50</v>
      </c>
      <c r="FJ110">
        <f t="shared" ref="FJ110:FJ173" si="432">IF(ABS(CJ110-Ioutmax_Vinmin)&lt;Iout/200, (CS110+CT110)*FE110, -50)</f>
        <v>-50</v>
      </c>
    </row>
    <row r="111" spans="5:169">
      <c r="E111" s="170">
        <v>1</v>
      </c>
      <c r="F111" s="217">
        <f t="shared" ref="F111:F142" si="433">IF(PLOT_TYPE=1, E111/100*Iout_max, min_I*EXP(O111*rr/100))</f>
        <v>2.5000000000000001E-2</v>
      </c>
      <c r="G111" s="217">
        <f t="shared" si="312"/>
        <v>2.5000000000000001E-3</v>
      </c>
      <c r="H111" s="217">
        <f t="shared" si="313"/>
        <v>0.70000000000000007</v>
      </c>
      <c r="I111" s="217">
        <f t="shared" si="314"/>
        <v>7.4999999999999997E-2</v>
      </c>
      <c r="J111" s="541">
        <f t="shared" si="315"/>
        <v>18.942767356471048</v>
      </c>
      <c r="K111" s="443">
        <f t="shared" si="316"/>
        <v>28.723211061749385</v>
      </c>
      <c r="L111" s="172">
        <f t="shared" si="317"/>
        <v>47.665978418220433</v>
      </c>
      <c r="M111" s="443"/>
      <c r="N111" s="217">
        <f t="shared" si="318"/>
        <v>0.60259354816411093</v>
      </c>
      <c r="O111" s="172">
        <f t="shared" si="319"/>
        <v>85.917769627615371</v>
      </c>
      <c r="P111" s="172">
        <f t="shared" si="320"/>
        <v>10.191776244092129</v>
      </c>
      <c r="Q111" s="217">
        <f t="shared" si="321"/>
        <v>3.0684917724148346</v>
      </c>
      <c r="R111" s="217">
        <f t="shared" si="322"/>
        <v>2.8639256542538458</v>
      </c>
      <c r="S111" s="217">
        <f t="shared" si="323"/>
        <v>28</v>
      </c>
      <c r="T111" s="217">
        <f t="shared" si="324"/>
        <v>0.13578875146820396</v>
      </c>
      <c r="U111" s="217">
        <f t="shared" si="325"/>
        <v>3.3691335584213902E-2</v>
      </c>
      <c r="V111" s="217">
        <f t="shared" si="326"/>
        <v>2.2219212556999143E-2</v>
      </c>
      <c r="W111" s="197">
        <f t="shared" si="327"/>
        <v>350</v>
      </c>
      <c r="X111" s="443">
        <f t="shared" ref="X111:X174" si="434">MIN(1/(U111+V111+0.2)*1000, 350)</f>
        <v>350</v>
      </c>
      <c r="Z111" s="217">
        <f t="shared" si="328"/>
        <v>6.9390816981052783</v>
      </c>
      <c r="AA111" s="173">
        <f t="shared" si="329"/>
        <v>1.1354470052453971</v>
      </c>
      <c r="AB111" s="173">
        <f t="shared" si="330"/>
        <v>1.2453839262260398</v>
      </c>
      <c r="AC111" s="173"/>
      <c r="AD111" s="173">
        <f t="shared" si="331"/>
        <v>0.54543576736550603</v>
      </c>
      <c r="AE111" s="545">
        <f t="shared" si="332"/>
        <v>27.500946761249416</v>
      </c>
      <c r="AF111" s="528">
        <f t="shared" si="333"/>
        <v>0.31817086429654512</v>
      </c>
      <c r="AH111" s="173">
        <f t="shared" si="334"/>
        <v>0.97069523544806813</v>
      </c>
      <c r="AI111" s="173">
        <f t="shared" si="335"/>
        <v>3.3333333333333335</v>
      </c>
      <c r="AJ111" s="173">
        <f t="shared" si="336"/>
        <v>1.0157148267207139</v>
      </c>
      <c r="AL111" s="545">
        <f t="shared" si="337"/>
        <v>25</v>
      </c>
      <c r="AM111" s="460">
        <f t="shared" si="338"/>
        <v>27.500946761249416</v>
      </c>
      <c r="AO111" s="460">
        <f t="shared" si="339"/>
        <v>25</v>
      </c>
      <c r="AP111" s="460">
        <f t="shared" si="340"/>
        <v>27.500946761249416</v>
      </c>
      <c r="AR111" s="5">
        <f t="shared" si="274"/>
        <v>36.362384491033723</v>
      </c>
      <c r="AS111" s="5">
        <f>L*AI111/J111*1000000</f>
        <v>0.8270526883346202</v>
      </c>
      <c r="AT111" s="5">
        <f>AR111-AS111</f>
        <v>35.535331802699105</v>
      </c>
      <c r="AU111" s="173">
        <f>AS111/AR111</f>
        <v>2.27447319506386E-2</v>
      </c>
      <c r="AW111" s="5">
        <f t="shared" si="341"/>
        <v>7.3843990029876808E-2</v>
      </c>
      <c r="AX111" s="5">
        <f t="shared" si="342"/>
        <v>6.8921057361218344E-3</v>
      </c>
      <c r="AY111" s="5">
        <f t="shared" si="343"/>
        <v>0.93796569249845796</v>
      </c>
      <c r="AZ111" s="5"/>
      <c r="BA111" s="173">
        <f t="shared" si="344"/>
        <v>0.29024084475712264</v>
      </c>
      <c r="BB111" s="173">
        <f t="shared" si="345"/>
        <v>1.9024888845242631</v>
      </c>
      <c r="BC111" s="173">
        <f t="shared" si="346"/>
        <v>0.19180830557088882</v>
      </c>
      <c r="BD111" s="173"/>
      <c r="BE111" s="528">
        <f t="shared" si="347"/>
        <v>1.010876975583938E-3</v>
      </c>
      <c r="BF111" s="528">
        <f t="shared" si="348"/>
        <v>7.9743955033809252E-2</v>
      </c>
      <c r="BG111" s="528">
        <f t="shared" si="349"/>
        <v>3.1626088775436835E-3</v>
      </c>
      <c r="BH111" s="528">
        <f t="shared" si="350"/>
        <v>3.0773075630389449E-2</v>
      </c>
      <c r="BI111">
        <f t="shared" si="351"/>
        <v>8.5242453104119719E-3</v>
      </c>
      <c r="BJ111" s="460">
        <f t="shared" ref="BJ111:BJ174" si="435">(BG111+BI111)*1000</f>
        <v>11.686854187955655</v>
      </c>
      <c r="BK111">
        <f t="shared" si="352"/>
        <v>0.11182770368968231</v>
      </c>
      <c r="BL111" s="460">
        <f t="shared" ref="BL111:BL174" si="436">SUM(BE111:BI111)*1000</f>
        <v>123.2147618277383</v>
      </c>
      <c r="BM111" s="173">
        <f t="shared" si="353"/>
        <v>1.6764999999999999E-2</v>
      </c>
      <c r="BN111" s="173">
        <f t="shared" si="354"/>
        <v>1.6764999999999998E-3</v>
      </c>
      <c r="BO111" s="528"/>
      <c r="BQ111" s="460">
        <f t="shared" si="355"/>
        <v>18.441499999999998</v>
      </c>
      <c r="BR111" s="528">
        <f t="shared" si="356"/>
        <v>1.1793564715145944E-3</v>
      </c>
      <c r="BS111" s="528">
        <f t="shared" si="357"/>
        <v>5.0672495380337253E-2</v>
      </c>
      <c r="BT111" s="528">
        <f t="shared" si="358"/>
        <v>1.839521304298773E-4</v>
      </c>
      <c r="BU111" s="528">
        <f t="shared" si="359"/>
        <v>4.0228698367954776E-3</v>
      </c>
      <c r="BV111" s="528"/>
      <c r="BW111" s="625">
        <f t="shared" si="360"/>
        <v>3.0556607512499355E-2</v>
      </c>
      <c r="BX111" s="460">
        <f t="shared" si="361"/>
        <v>86.615281331576554</v>
      </c>
      <c r="BY111" s="173">
        <f t="shared" si="362"/>
        <v>0.22827154315931486</v>
      </c>
      <c r="BZ111" s="5">
        <f t="shared" si="363"/>
        <v>0.77500000000000002</v>
      </c>
      <c r="CA111" s="173">
        <f t="shared" si="364"/>
        <v>0.77247282182400501</v>
      </c>
      <c r="CB111" s="5">
        <f t="shared" si="365"/>
        <v>77.247282182400497</v>
      </c>
      <c r="CC111">
        <f t="shared" si="366"/>
        <v>1</v>
      </c>
      <c r="CE111" s="562">
        <f t="shared" si="367"/>
        <v>-50</v>
      </c>
      <c r="CF111">
        <f t="shared" si="368"/>
        <v>-50</v>
      </c>
      <c r="CG111" s="173">
        <f t="shared" si="369"/>
        <v>1.5079017228035133E-2</v>
      </c>
      <c r="CH111" s="173">
        <f t="shared" si="370"/>
        <v>4.8899028442070261E-3</v>
      </c>
      <c r="CI111" s="170">
        <v>1</v>
      </c>
      <c r="CJ111" s="217">
        <f t="shared" ref="CJ111:CJ174" si="437">IF(PLOT_TYPE=1, CI111/100*Iout_max, min_I*EXP(CS111*rr/100))</f>
        <v>2.5000000000000001E-2</v>
      </c>
      <c r="CK111" s="217">
        <f t="shared" si="371"/>
        <v>2.5000000000000001E-3</v>
      </c>
      <c r="CL111" s="217">
        <f t="shared" si="372"/>
        <v>0.70000000000000007</v>
      </c>
      <c r="CM111" s="217">
        <f t="shared" si="373"/>
        <v>7.4999999999999997E-2</v>
      </c>
      <c r="CN111" s="541">
        <f t="shared" si="374"/>
        <v>19</v>
      </c>
      <c r="CO111" s="443">
        <f t="shared" si="375"/>
        <v>28.7</v>
      </c>
      <c r="CP111" s="443">
        <f t="shared" si="376"/>
        <v>47.7</v>
      </c>
      <c r="CQ111" s="443"/>
      <c r="CR111" s="217">
        <f t="shared" si="377"/>
        <v>0.59915611814345993</v>
      </c>
      <c r="CS111" s="172">
        <f t="shared" si="378"/>
        <v>85.685767433419556</v>
      </c>
      <c r="CT111" s="172">
        <f t="shared" si="379"/>
        <v>10.164255575647982</v>
      </c>
      <c r="CU111" s="217">
        <f t="shared" si="380"/>
        <v>3.0602059797649841</v>
      </c>
      <c r="CV111" s="217">
        <f t="shared" si="381"/>
        <v>2.8561922477806521</v>
      </c>
      <c r="CW111" s="217">
        <f t="shared" si="382"/>
        <v>28</v>
      </c>
      <c r="CX111" s="217">
        <f t="shared" si="383"/>
        <v>0.13615641215715343</v>
      </c>
      <c r="CY111" s="217">
        <f t="shared" si="384"/>
        <v>3.3680796691506379E-2</v>
      </c>
      <c r="CZ111" s="217">
        <f t="shared" si="385"/>
        <v>2.229739153793105E-2</v>
      </c>
      <c r="DA111" s="197">
        <f t="shared" si="386"/>
        <v>350</v>
      </c>
      <c r="DB111" s="443">
        <f t="shared" si="387"/>
        <v>350</v>
      </c>
      <c r="DD111" s="217">
        <f t="shared" si="388"/>
        <v>6.9494625094785683</v>
      </c>
      <c r="DE111" s="173">
        <f t="shared" si="389"/>
        <v>1.1380652890086853</v>
      </c>
      <c r="DF111" s="173">
        <f t="shared" si="390"/>
        <v>1.2501230996965573</v>
      </c>
      <c r="DG111" s="173"/>
      <c r="DH111" s="173">
        <f t="shared" si="391"/>
        <v>0.54587688734030204</v>
      </c>
      <c r="DI111" s="545">
        <f t="shared" si="392"/>
        <v>27.478723404255319</v>
      </c>
      <c r="DJ111" s="528">
        <f t="shared" si="393"/>
        <v>0.31842818428184283</v>
      </c>
      <c r="DL111" s="173">
        <f t="shared" si="394"/>
        <v>0.97069523544806813</v>
      </c>
      <c r="DM111" s="173">
        <f t="shared" si="395"/>
        <v>3.3333333333333335</v>
      </c>
      <c r="DN111" s="173">
        <f t="shared" si="396"/>
        <v>1.0157021276595746</v>
      </c>
      <c r="DP111" s="545">
        <f t="shared" si="397"/>
        <v>25</v>
      </c>
      <c r="DQ111" s="460">
        <f t="shared" si="398"/>
        <v>27.478723404255319</v>
      </c>
      <c r="DS111" s="460">
        <f t="shared" si="399"/>
        <v>25</v>
      </c>
      <c r="DT111" s="460">
        <f t="shared" si="400"/>
        <v>27.478723404255319</v>
      </c>
      <c r="DV111" s="5">
        <f t="shared" si="401"/>
        <v>36.391792489353463</v>
      </c>
      <c r="DW111" s="5">
        <f t="shared" si="402"/>
        <v>0.82456140350877194</v>
      </c>
      <c r="DX111" s="5">
        <f t="shared" si="403"/>
        <v>35.567231085844689</v>
      </c>
      <c r="DY111" s="173">
        <f t="shared" si="404"/>
        <v>2.2657894736842106E-2</v>
      </c>
      <c r="EA111" s="5">
        <f t="shared" si="405"/>
        <v>7.3621553884711782E-2</v>
      </c>
      <c r="EB111" s="5">
        <f t="shared" si="406"/>
        <v>6.871345029239766E-3</v>
      </c>
      <c r="EC111" s="5">
        <f t="shared" si="407"/>
        <v>0.93597976541696559</v>
      </c>
      <c r="ED111" s="5"/>
      <c r="EE111" s="173">
        <f t="shared" si="408"/>
        <v>0.28968625900268513</v>
      </c>
      <c r="EF111" s="173">
        <f t="shared" si="409"/>
        <v>1.9025734085834201</v>
      </c>
      <c r="EG111" s="173">
        <f t="shared" si="410"/>
        <v>0.19181682725882021</v>
      </c>
      <c r="EH111" s="173"/>
      <c r="EI111" s="528">
        <f t="shared" si="411"/>
        <v>1.0070175438596492E-3</v>
      </c>
      <c r="EJ111" s="528">
        <f t="shared" si="412"/>
        <v>8.3013223404255335E-2</v>
      </c>
      <c r="EK111" s="528">
        <f t="shared" si="413"/>
        <v>3.160053191489362E-3</v>
      </c>
      <c r="EL111" s="528">
        <f t="shared" si="414"/>
        <v>3.079211680292554E-2</v>
      </c>
      <c r="EM111">
        <f t="shared" si="415"/>
        <v>8.5500000000000003E-3</v>
      </c>
      <c r="EN111" s="460">
        <f t="shared" si="416"/>
        <v>11.710053191489362</v>
      </c>
      <c r="EP111" s="460">
        <f t="shared" ref="EP111:EP174" si="438">SUM(EI111:EM111)*1000</f>
        <v>126.52241094252989</v>
      </c>
      <c r="EQ111" s="173">
        <f t="shared" si="417"/>
        <v>1.7499999999999998E-2</v>
      </c>
      <c r="ER111" s="173">
        <f t="shared" si="418"/>
        <v>1.1975E-3</v>
      </c>
      <c r="ES111" s="528"/>
      <c r="EU111" s="460">
        <f t="shared" si="419"/>
        <v>18.697499999999998</v>
      </c>
      <c r="EV111" s="528">
        <f t="shared" si="420"/>
        <v>1.1748538011695907E-3</v>
      </c>
      <c r="EW111" s="528">
        <f t="shared" si="421"/>
        <v>5.0676998050682265E-2</v>
      </c>
      <c r="EX111" s="528">
        <f t="shared" si="422"/>
        <v>1.8396847609820037E-4</v>
      </c>
      <c r="EY111" s="528">
        <f t="shared" si="423"/>
        <v>4.0147476167802301E-3</v>
      </c>
      <c r="EZ111" s="528"/>
      <c r="FA111" s="625">
        <f t="shared" si="424"/>
        <v>3.0531914893617024E-2</v>
      </c>
      <c r="FB111" s="460">
        <f t="shared" si="425"/>
        <v>86.582482838347318</v>
      </c>
      <c r="FC111" s="173">
        <f t="shared" si="426"/>
        <v>0.23180239378087716</v>
      </c>
      <c r="FD111" s="5">
        <f t="shared" si="427"/>
        <v>0.77500000000000002</v>
      </c>
      <c r="FE111" s="173">
        <f t="shared" si="428"/>
        <v>0.76976376376064992</v>
      </c>
      <c r="FF111" s="5">
        <f t="shared" si="429"/>
        <v>76.976376376064991</v>
      </c>
      <c r="FG111">
        <f t="shared" si="430"/>
        <v>1</v>
      </c>
      <c r="FI111" s="562">
        <f t="shared" si="431"/>
        <v>-50</v>
      </c>
      <c r="FJ111">
        <f t="shared" si="432"/>
        <v>-50</v>
      </c>
    </row>
    <row r="112" spans="5:169">
      <c r="E112" s="170">
        <v>3</v>
      </c>
      <c r="F112" s="217">
        <f>IF(PLOT_TYPE=1, E112/100*Iout_max, min_I*EXP(O112*rr/100))</f>
        <v>7.4999999999999997E-2</v>
      </c>
      <c r="G112" s="217">
        <f>IF(PLOT_TYPE=1, E112/100*Iout2, min_I*EXP(Q112*rr/100))</f>
        <v>7.4999999999999997E-3</v>
      </c>
      <c r="H112" s="217">
        <f>F112*Vout</f>
        <v>2.1</v>
      </c>
      <c r="I112" s="217">
        <f>Vout2*G112</f>
        <v>0.22499999999999998</v>
      </c>
      <c r="J112" s="541">
        <f>VIN_min-(F112/CG112/Nps+G112/CH112/(Nps/Nsec1sec2))*(Rdcr_pri+RON/1000)</f>
        <v>18.942767356471048</v>
      </c>
      <c r="K112" s="443">
        <f t="shared" si="316"/>
        <v>28.723211061749385</v>
      </c>
      <c r="L112" s="172">
        <f t="shared" si="317"/>
        <v>47.665978418220433</v>
      </c>
      <c r="M112" s="443"/>
      <c r="N112" s="217">
        <f t="shared" si="318"/>
        <v>0.60259354816411093</v>
      </c>
      <c r="O112" s="172">
        <f>N112*J112*Isw_max*0.5*Efficiency*Pout/(Pout+Pout2)</f>
        <v>85.917769627615371</v>
      </c>
      <c r="P112" s="172">
        <f>N112*J112*Isw_max*0.5*Efficiency*(Pout2/Pout_total)</f>
        <v>10.191776244092129</v>
      </c>
      <c r="Q112" s="217">
        <f>O112/Vout</f>
        <v>3.0684917724148346</v>
      </c>
      <c r="R112" s="217">
        <f>O112/Vout2</f>
        <v>2.8639256542538458</v>
      </c>
      <c r="S112" s="217">
        <f>MIN(Vout,O112/F112)</f>
        <v>28</v>
      </c>
      <c r="T112" s="217">
        <f>MIN(2*(Vout*F112+Vout2*G112)/(Efficiency*J112*N112), Isw_max)</f>
        <v>0.40736625440461194</v>
      </c>
      <c r="U112" s="217">
        <f>L*T112/J112*1000000</f>
        <v>0.10107400675264175</v>
      </c>
      <c r="V112" s="217">
        <f>L*T112/K112*1000000</f>
        <v>6.6657637670997444E-2</v>
      </c>
      <c r="W112" s="197">
        <f>IF(1/((350000*L)*(1/J112+1/K112))&gt;Isw_min, 350, 0.001/((Isw_min*L)*(1/J112+1/K112)))</f>
        <v>350</v>
      </c>
      <c r="X112" s="443">
        <f t="shared" si="434"/>
        <v>350</v>
      </c>
      <c r="Z112" s="217">
        <f>1/((W112*1000*L)*(1/J112+1/K112))</f>
        <v>6.9390816981052783</v>
      </c>
      <c r="AA112" s="173">
        <f>L*Z112/K112*1000000</f>
        <v>1.1354470052453971</v>
      </c>
      <c r="AB112" s="173">
        <f>0.5*AA112*Z112*Nps*W112/1000*(Pout/(Pout+Pout2))</f>
        <v>1.2453839262260398</v>
      </c>
      <c r="AC112" s="173"/>
      <c r="AD112" s="173">
        <f>L*Isw_min/K112*1000000</f>
        <v>0.54543576736550603</v>
      </c>
      <c r="AE112" s="545">
        <f>MAX(10, F112/(0.5*AD112/1000000*Isw_min*Nps)/1000*Pout_total/Pout)</f>
        <v>82.502840283748242</v>
      </c>
      <c r="AF112" s="528">
        <f>0.5*AD112/1000000*Isw_min*Nps*W112*1000*(Pout/Pout_total)</f>
        <v>0.31817086429654512</v>
      </c>
      <c r="AH112" s="173">
        <f>SQRT((H112+I112)/(0.5*L*Fsw_DCM))</f>
        <v>1.6812934664610881</v>
      </c>
      <c r="AI112" s="173">
        <f>MAX(IF(F112&gt;AB112,T112,AH112),Isw_min)</f>
        <v>3.3333333333333335</v>
      </c>
      <c r="AJ112" s="173">
        <f>IF(F112&gt;AF112, (AI112-Isw_min)/1.08*0.8+1.2, AE112*0.2/350+1)</f>
        <v>1.0471444801621419</v>
      </c>
      <c r="AL112" s="545">
        <f>F112*1000</f>
        <v>75</v>
      </c>
      <c r="AM112" s="460">
        <f>IF(F112&gt;AF112, X112, AE112)</f>
        <v>82.502840283748242</v>
      </c>
      <c r="AO112" s="460">
        <f>IF(H112&gt;O112, "",AL112)</f>
        <v>75</v>
      </c>
      <c r="AP112" s="460">
        <f>IF(H112&gt;O112, "",AM112)</f>
        <v>82.502840283748242</v>
      </c>
      <c r="AR112" s="5">
        <f>1/AM112*1000</f>
        <v>12.120794830344577</v>
      </c>
      <c r="AS112" s="5">
        <f>L*AI112/J112*1000000</f>
        <v>0.8270526883346202</v>
      </c>
      <c r="AT112" s="5">
        <f>AR112-AS112</f>
        <v>11.293742142009958</v>
      </c>
      <c r="AU112" s="173">
        <f>AS112/AR112</f>
        <v>6.8234195851915785E-2</v>
      </c>
      <c r="AW112" s="5">
        <f>F112*AS112/Vout_ripple*1000</f>
        <v>0.22153197008963041</v>
      </c>
      <c r="AX112" s="5">
        <f>G112*AS112/Vout_ripple2*1000</f>
        <v>2.0676317208365505E-2</v>
      </c>
      <c r="AY112" s="5">
        <f>H112/Efficiency/J112*AT112/Vinripple1</f>
        <v>0.89430508722516955</v>
      </c>
      <c r="AZ112" s="5"/>
      <c r="BA112" s="173">
        <f>AI112*SQRT(AU112/3)</f>
        <v>0.50271188955104729</v>
      </c>
      <c r="BB112" s="173">
        <f>AI112*Npri_sec1*SQRT((1-AU112)/3)*(Pout/Pout_total)</f>
        <v>1.8576825508702286</v>
      </c>
      <c r="BC112" s="173">
        <f>AI112*Npri_sec2*SQRT((1-AU112)/3)*(Pout2/Pout_total)</f>
        <v>0.18729094570249027</v>
      </c>
      <c r="BD112" s="173"/>
      <c r="BE112" s="528">
        <f>Rdson*BA112^2</f>
        <v>3.0326309267518126E-3</v>
      </c>
      <c r="BF112" s="528">
        <f t="shared" si="348"/>
        <v>0.23923186510142774</v>
      </c>
      <c r="BG112" s="528">
        <f>Qg*Vdd*AM112*1000</f>
        <v>9.4878266326310478E-3</v>
      </c>
      <c r="BH112" s="528">
        <f>0.5*(Coss+Csw)*L112^2*AM112*1000</f>
        <v>9.2319226891168324E-2</v>
      </c>
      <c r="BI112">
        <f>J112*IQ</f>
        <v>8.5242453104119719E-3</v>
      </c>
      <c r="BJ112" s="460">
        <f>(BG112+BI112)*1000</f>
        <v>18.012071943043019</v>
      </c>
      <c r="BK112">
        <f t="shared" si="352"/>
        <v>0.33564438287289855</v>
      </c>
      <c r="BL112" s="460">
        <f>SUM(BE112:BI112)*1000</f>
        <v>352.5957948623909</v>
      </c>
      <c r="BM112" s="173">
        <f t="shared" si="353"/>
        <v>5.0294999999999999E-2</v>
      </c>
      <c r="BN112" s="173">
        <f t="shared" si="354"/>
        <v>5.0294999999999992E-3</v>
      </c>
      <c r="BO112" s="528"/>
      <c r="BQ112" s="460">
        <f>SUM(BM112:BP112)*1000</f>
        <v>55.3245</v>
      </c>
      <c r="BR112" s="528">
        <f>Rdcr_pri*BA112^2</f>
        <v>3.5380694145437813E-3</v>
      </c>
      <c r="BS112" s="528">
        <f>Rdcr_sec*BB112^2</f>
        <v>4.8313782437308071E-2</v>
      </c>
      <c r="BT112" s="528">
        <f>Rdcr_sec2*BC112^2</f>
        <v>1.7538949171066581E-4</v>
      </c>
      <c r="BU112" s="528">
        <f>AI112^2.5*AM112^2.5*k_core</f>
        <v>6.2710334546094731E-2</v>
      </c>
      <c r="BV112" s="528"/>
      <c r="BW112" s="625">
        <f>0.5*Lleak*0.000000001*AI112^2*AM112*1000</f>
        <v>9.1669822537498058E-2</v>
      </c>
      <c r="BX112" s="460">
        <f>SUM(BR112:BW112)*1000</f>
        <v>206.4073984271553</v>
      </c>
      <c r="BY112" s="173">
        <f>SUM(BE112:BI112,BM112:BP112,BR112:BW112)</f>
        <v>0.61432769328954606</v>
      </c>
      <c r="BZ112" s="5">
        <f>MIN(H112+I112,O112+P112)</f>
        <v>2.3250000000000002</v>
      </c>
      <c r="CA112" s="173">
        <f>BZ112/(BZ112+BY112)</f>
        <v>0.79099720841196108</v>
      </c>
      <c r="CB112" s="5">
        <f>CA112*100</f>
        <v>79.099720841196103</v>
      </c>
      <c r="CC112">
        <f>F112/Iout*100</f>
        <v>3</v>
      </c>
      <c r="CE112" s="562">
        <f>IF(ABS(F112-Ioutmax_Vinmin)&lt;Iout/200, AM112, -50)</f>
        <v>-50</v>
      </c>
      <c r="CF112">
        <f>IF(ABS(F112-Ioutmax_Vinmin)&lt;Iout/200, (O112+P112)*CA112, -50)</f>
        <v>-50</v>
      </c>
      <c r="CG112" s="173">
        <f>MIN(SQRT(2*DT112*1000*Ls1_*(CL112+CJ112*Vfwd1))/(CW112+Vfwd1), 1-DY112)</f>
        <v>4.5237051684105391E-2</v>
      </c>
      <c r="CH112" s="173">
        <f t="shared" si="370"/>
        <v>1.4669708532621078E-2</v>
      </c>
      <c r="CI112" s="170">
        <v>3</v>
      </c>
      <c r="CJ112" s="217">
        <f>IF(PLOT_TYPE=1, CI112/100*Iout_max, min_I*EXP(CS112*rr/100))</f>
        <v>7.4999999999999997E-2</v>
      </c>
      <c r="CK112" s="217">
        <f>IF(PLOT_TYPE=1, CI112/100*Iout2, min_I*EXP(CU112*rr/100))</f>
        <v>7.4999999999999997E-3</v>
      </c>
      <c r="CL112" s="217">
        <f>CJ112*Vout</f>
        <v>2.1</v>
      </c>
      <c r="CM112" s="217">
        <f>Vout2*CK112</f>
        <v>0.22499999999999998</v>
      </c>
      <c r="CN112" s="541">
        <f t="shared" si="374"/>
        <v>19</v>
      </c>
      <c r="CO112" s="443">
        <f t="shared" si="375"/>
        <v>28.7</v>
      </c>
      <c r="CP112" s="443">
        <f t="shared" si="376"/>
        <v>47.7</v>
      </c>
      <c r="CQ112" s="443"/>
      <c r="CR112" s="217">
        <f>(Vout+Vfwd1)*Nps/((Vout+Vfwd1)*Nps+CN112)</f>
        <v>0.59915611814345993</v>
      </c>
      <c r="CS112" s="172">
        <f>CR112*CN112*Isw_max*0.5*Efficiency*Pout/(Pout+Pout2)</f>
        <v>85.685767433419556</v>
      </c>
      <c r="CT112" s="172">
        <f>CR112*CN112*Isw_max*0.5*Efficiency*(Pout2/Pout_total)</f>
        <v>10.164255575647982</v>
      </c>
      <c r="CU112" s="217">
        <f>CS112/Vout</f>
        <v>3.0602059797649841</v>
      </c>
      <c r="CV112" s="217">
        <f>CS112/Vout2</f>
        <v>2.8561922477806521</v>
      </c>
      <c r="CW112" s="217">
        <f>MIN(Vout,CS112/CJ112)</f>
        <v>28</v>
      </c>
      <c r="CX112" s="217">
        <f>MIN(2*(Vout*CJ112+Vout2*CK112)/(Efficiency*CN112*CR112), Isw_max)</f>
        <v>0.40846923647146033</v>
      </c>
      <c r="CY112" s="217">
        <f>L*CX112/CN112*1000000</f>
        <v>0.10104239007451914</v>
      </c>
      <c r="CZ112" s="217">
        <f>L*CX112/CO112*1000000</f>
        <v>6.6892174613793154E-2</v>
      </c>
      <c r="DA112" s="197">
        <f>IF(1/((350000*L)*(1/CN112+1/CO112))&gt;Isw_min, 350, 0.001/((Isw_min*L)*(1/CN112+1/CO112)))</f>
        <v>350</v>
      </c>
      <c r="DB112" s="443">
        <f>MIN(1/(CY112+CZ112)*1000, 350)</f>
        <v>350</v>
      </c>
      <c r="DD112" s="217">
        <f>1/((DA112*1000*L)*(1/CN112+1/CO112))</f>
        <v>6.9494625094785683</v>
      </c>
      <c r="DE112" s="173">
        <f>L*DD112/CO112*1000000</f>
        <v>1.1380652890086853</v>
      </c>
      <c r="DF112" s="173">
        <f>0.5*DE112*DD112*Nps*DA112/1000*(Pout/(Pout+Pout2))</f>
        <v>1.2501230996965573</v>
      </c>
      <c r="DG112" s="173"/>
      <c r="DH112" s="173">
        <f>L*Isw_min/CO112*1000000</f>
        <v>0.54587688734030204</v>
      </c>
      <c r="DI112" s="545">
        <f>MAX(10, CJ112/(0.5*DH112/1000000*Isw_min*Nps)/1000*Pout_total/Pout)</f>
        <v>82.436170212765958</v>
      </c>
      <c r="DJ112" s="528">
        <f>0.5*DH112/1000000*Isw_min*Nps*DA112*1000*(Pout/Pout_total)</f>
        <v>0.31842818428184283</v>
      </c>
      <c r="DL112" s="173">
        <f>SQRT((CL112+CM112)/(0.5*L*Fsw_DCM))</f>
        <v>1.6812934664610881</v>
      </c>
      <c r="DM112" s="173">
        <f>MAX(IF(CJ112&gt;DF112,CX112,DL112),Isw_min)</f>
        <v>3.3333333333333335</v>
      </c>
      <c r="DN112" s="173">
        <f>IF(CJ112&gt;DJ112, (DM112-Isw_min)/1.08*0.8+1.2, DI112*0.2/350+1)</f>
        <v>1.0471063829787235</v>
      </c>
      <c r="DP112" s="545">
        <f>CJ112*1000</f>
        <v>75</v>
      </c>
      <c r="DQ112" s="460">
        <f>IF(CJ112&gt;DJ112, DB112, DI112)</f>
        <v>82.436170212765958</v>
      </c>
      <c r="DS112" s="460">
        <f>IF(CL112&gt;CS112, "",DP112)</f>
        <v>75</v>
      </c>
      <c r="DT112" s="460">
        <f>IF(CL112&gt;CS112, "",DQ112)</f>
        <v>82.436170212765958</v>
      </c>
      <c r="DV112" s="5">
        <f>1/DQ112*1000</f>
        <v>12.130597496451154</v>
      </c>
      <c r="DW112" s="5">
        <f>L*DM112/CN112*1000000</f>
        <v>0.82456140350877194</v>
      </c>
      <c r="DX112" s="5">
        <f>DV112-DW112</f>
        <v>11.306036092942382</v>
      </c>
      <c r="DY112" s="173">
        <f>DW112/DV112</f>
        <v>6.7973684210526325E-2</v>
      </c>
      <c r="EA112" s="5">
        <f>CJ112*DW112/Vout_ripple*1000</f>
        <v>0.22086466165413532</v>
      </c>
      <c r="EB112" s="5">
        <f>CK112*DW112/Vout_ripple2*1000</f>
        <v>2.06140350877193E-2</v>
      </c>
      <c r="EC112" s="5">
        <f>CL112/Efficiency/CN112*DX112/Vinripple1</f>
        <v>0.89258179681124061</v>
      </c>
      <c r="ED112" s="5"/>
      <c r="EE112" s="173">
        <f>DM112*SQRT(DY112/3)</f>
        <v>0.50175131884720769</v>
      </c>
      <c r="EF112" s="173">
        <f>DM112*Npri_sec1*SQRT((1-DY112)/3)*(Pout/Pout_total)</f>
        <v>1.8579422266956502</v>
      </c>
      <c r="EG112" s="173">
        <f>DM112*Npri_sec2*SQRT((1-DY112)/3)*(Pout2/Pout_total)</f>
        <v>0.18731712613406967</v>
      </c>
      <c r="EH112" s="173"/>
      <c r="EI112" s="528">
        <f>Rdson*EE112^2</f>
        <v>3.0210526315789473E-3</v>
      </c>
      <c r="EJ112" s="528">
        <f>0.5*CP112*DM112*DQ112*1000*Trise</f>
        <v>0.24903967021276605</v>
      </c>
      <c r="EK112" s="528">
        <f>Qg*Vdd*DQ112*1000</f>
        <v>9.4801595744680861E-3</v>
      </c>
      <c r="EL112" s="528">
        <f>0.5*(Coss+Csw)*CP112^2*DQ112*1000</f>
        <v>9.237635040877662E-2</v>
      </c>
      <c r="EM112">
        <f>CN112*IQ</f>
        <v>8.5500000000000003E-3</v>
      </c>
      <c r="EN112" s="460">
        <f>(EK112+EM112)*1000</f>
        <v>18.030159574468087</v>
      </c>
      <c r="EP112" s="460">
        <f>SUM(EI112:EM112)*1000</f>
        <v>362.46723282758967</v>
      </c>
      <c r="EQ112" s="173">
        <f>Vfwd2*CJ112</f>
        <v>5.2499999999999998E-2</v>
      </c>
      <c r="ER112" s="173">
        <f t="shared" si="418"/>
        <v>3.5924999999999998E-3</v>
      </c>
      <c r="ES112" s="528"/>
      <c r="EU112" s="460">
        <f>SUM(EQ112:ET112)*1000</f>
        <v>56.092499999999994</v>
      </c>
      <c r="EV112" s="528">
        <f>Rdcr_pri*EE112^2</f>
        <v>3.5245614035087722E-3</v>
      </c>
      <c r="EW112" s="528">
        <f>Rdcr_sec*EF112^2</f>
        <v>4.8327290448343073E-2</v>
      </c>
      <c r="EX112" s="528">
        <f>Rdcr_sec2*EG112^2</f>
        <v>1.7543852871563484E-4</v>
      </c>
      <c r="EY112" s="528">
        <f>DM112^2.5*DQ112^2.5*k_core</f>
        <v>6.2583721666464864E-2</v>
      </c>
      <c r="EZ112" s="528"/>
      <c r="FA112" s="625">
        <f>0.5*Lleak*0.000000001*DM112^2*DQ112*1000</f>
        <v>9.1595744680851077E-2</v>
      </c>
      <c r="FB112" s="460">
        <f>SUM(EV112:FA112)*1000</f>
        <v>206.2067567278834</v>
      </c>
      <c r="FC112" s="173">
        <f>SUM(EI112:EM112,EQ112:ET112,EV112:FA112)</f>
        <v>0.62476648955547309</v>
      </c>
      <c r="FD112" s="5">
        <f>MIN(CL112+CM112,CS112+CT112)</f>
        <v>2.3250000000000002</v>
      </c>
      <c r="FE112" s="173">
        <f>FD112/(FD112+FC112)</f>
        <v>0.7881979838852855</v>
      </c>
      <c r="FF112" s="5">
        <f>FE112*100</f>
        <v>78.819798388528554</v>
      </c>
      <c r="FG112">
        <f>CJ112/Iout*100</f>
        <v>3</v>
      </c>
      <c r="FI112" s="562">
        <f>IF(ABS(CJ112-Ioutmax_Vinmin)&lt;Iout/200, DQ112, -50)</f>
        <v>-50</v>
      </c>
      <c r="FJ112">
        <f>IF(ABS(CJ112-Ioutmax_Vinmin)&lt;Iout/200, (CS112+CT112)*FE112, -50)</f>
        <v>-50</v>
      </c>
    </row>
    <row r="113" spans="5:166">
      <c r="E113" s="170">
        <v>3</v>
      </c>
      <c r="F113" s="217">
        <f t="shared" si="433"/>
        <v>7.4999999999999997E-2</v>
      </c>
      <c r="G113" s="217">
        <f t="shared" si="312"/>
        <v>7.4999999999999997E-3</v>
      </c>
      <c r="H113" s="217">
        <f t="shared" si="313"/>
        <v>2.1</v>
      </c>
      <c r="I113" s="217">
        <f t="shared" si="314"/>
        <v>0.22499999999999998</v>
      </c>
      <c r="J113" s="541">
        <f t="shared" si="315"/>
        <v>18.942767356471048</v>
      </c>
      <c r="K113" s="443">
        <f t="shared" si="316"/>
        <v>28.723211061749385</v>
      </c>
      <c r="L113" s="172">
        <f t="shared" si="317"/>
        <v>47.665978418220433</v>
      </c>
      <c r="M113" s="443"/>
      <c r="N113" s="217">
        <f t="shared" si="318"/>
        <v>0.60259354816411093</v>
      </c>
      <c r="O113" s="172">
        <f t="shared" si="319"/>
        <v>85.917769627615371</v>
      </c>
      <c r="P113" s="172">
        <f t="shared" si="320"/>
        <v>10.191776244092129</v>
      </c>
      <c r="Q113" s="217">
        <f t="shared" si="321"/>
        <v>3.0684917724148346</v>
      </c>
      <c r="R113" s="217">
        <f t="shared" si="322"/>
        <v>2.8639256542538458</v>
      </c>
      <c r="S113" s="217">
        <f t="shared" si="323"/>
        <v>28</v>
      </c>
      <c r="T113" s="217">
        <f t="shared" si="324"/>
        <v>0.40736625440461194</v>
      </c>
      <c r="U113" s="217">
        <f t="shared" si="325"/>
        <v>0.10107400675264175</v>
      </c>
      <c r="V113" s="217">
        <f t="shared" si="326"/>
        <v>6.6657637670997444E-2</v>
      </c>
      <c r="W113" s="197">
        <f t="shared" si="327"/>
        <v>350</v>
      </c>
      <c r="X113" s="443">
        <f t="shared" si="434"/>
        <v>350</v>
      </c>
      <c r="Z113" s="217">
        <f t="shared" si="328"/>
        <v>6.9390816981052783</v>
      </c>
      <c r="AA113" s="173">
        <f t="shared" si="329"/>
        <v>1.1354470052453971</v>
      </c>
      <c r="AB113" s="173">
        <f t="shared" si="330"/>
        <v>1.2453839262260398</v>
      </c>
      <c r="AC113" s="173"/>
      <c r="AD113" s="173">
        <f t="shared" si="331"/>
        <v>0.54543576736550603</v>
      </c>
      <c r="AE113" s="545">
        <f t="shared" si="332"/>
        <v>82.502840283748242</v>
      </c>
      <c r="AF113" s="528">
        <f t="shared" si="333"/>
        <v>0.31817086429654512</v>
      </c>
      <c r="AH113" s="173">
        <f t="shared" si="334"/>
        <v>1.6812934664610881</v>
      </c>
      <c r="AI113" s="173">
        <f t="shared" si="335"/>
        <v>3.3333333333333335</v>
      </c>
      <c r="AJ113" s="173">
        <f t="shared" si="336"/>
        <v>1.0471444801621419</v>
      </c>
      <c r="AL113" s="545">
        <f t="shared" si="337"/>
        <v>75</v>
      </c>
      <c r="AM113" s="460">
        <f t="shared" si="338"/>
        <v>82.502840283748242</v>
      </c>
      <c r="AO113" s="460">
        <f t="shared" si="339"/>
        <v>75</v>
      </c>
      <c r="AP113" s="460">
        <f t="shared" si="340"/>
        <v>82.502840283748242</v>
      </c>
      <c r="AR113" s="5">
        <f t="shared" si="274"/>
        <v>12.120794830344577</v>
      </c>
      <c r="AS113" s="5">
        <f>L*AI113/J113*1000000</f>
        <v>0.8270526883346202</v>
      </c>
      <c r="AT113" s="5">
        <f>AR113-AS113</f>
        <v>11.293742142009958</v>
      </c>
      <c r="AU113" s="173">
        <f>AS113/AR113</f>
        <v>6.8234195851915785E-2</v>
      </c>
      <c r="AW113" s="5">
        <f t="shared" si="341"/>
        <v>0.22153197008963041</v>
      </c>
      <c r="AX113" s="5">
        <f t="shared" si="342"/>
        <v>2.0676317208365505E-2</v>
      </c>
      <c r="AY113" s="5">
        <f t="shared" si="343"/>
        <v>0.89430508722516955</v>
      </c>
      <c r="AZ113" s="5"/>
      <c r="BA113" s="173">
        <f t="shared" si="344"/>
        <v>0.50271188955104729</v>
      </c>
      <c r="BB113" s="173">
        <f t="shared" si="345"/>
        <v>1.8576825508702286</v>
      </c>
      <c r="BC113" s="173">
        <f t="shared" si="346"/>
        <v>0.18729094570249027</v>
      </c>
      <c r="BD113" s="173"/>
      <c r="BE113" s="528">
        <f t="shared" si="347"/>
        <v>3.0326309267518126E-3</v>
      </c>
      <c r="BF113" s="528">
        <f t="shared" si="348"/>
        <v>0.23923186510142774</v>
      </c>
      <c r="BG113" s="528">
        <f t="shared" si="349"/>
        <v>9.4878266326310478E-3</v>
      </c>
      <c r="BH113" s="528">
        <f t="shared" si="350"/>
        <v>9.2319226891168324E-2</v>
      </c>
      <c r="BI113">
        <f t="shared" si="351"/>
        <v>8.5242453104119719E-3</v>
      </c>
      <c r="BJ113" s="460">
        <f t="shared" si="435"/>
        <v>18.012071943043019</v>
      </c>
      <c r="BK113">
        <f t="shared" si="352"/>
        <v>0.33564438287289855</v>
      </c>
      <c r="BL113" s="460">
        <f t="shared" si="436"/>
        <v>352.5957948623909</v>
      </c>
      <c r="BM113" s="173">
        <f t="shared" si="353"/>
        <v>5.0294999999999999E-2</v>
      </c>
      <c r="BN113" s="173">
        <f t="shared" si="354"/>
        <v>5.0294999999999992E-3</v>
      </c>
      <c r="BO113" s="528"/>
      <c r="BQ113" s="460">
        <f t="shared" si="355"/>
        <v>55.3245</v>
      </c>
      <c r="BR113" s="528">
        <f t="shared" si="356"/>
        <v>3.5380694145437813E-3</v>
      </c>
      <c r="BS113" s="528">
        <f t="shared" si="357"/>
        <v>4.8313782437308071E-2</v>
      </c>
      <c r="BT113" s="528">
        <f t="shared" si="358"/>
        <v>1.7538949171066581E-4</v>
      </c>
      <c r="BU113" s="528">
        <f t="shared" si="359"/>
        <v>6.2710334546094731E-2</v>
      </c>
      <c r="BV113" s="528"/>
      <c r="BW113" s="625">
        <f t="shared" si="360"/>
        <v>9.1669822537498058E-2</v>
      </c>
      <c r="BX113" s="460">
        <f t="shared" si="361"/>
        <v>206.4073984271553</v>
      </c>
      <c r="BY113" s="173">
        <f t="shared" si="362"/>
        <v>0.61432769328954606</v>
      </c>
      <c r="BZ113" s="5">
        <f t="shared" si="363"/>
        <v>2.3250000000000002</v>
      </c>
      <c r="CA113" s="173">
        <f t="shared" si="364"/>
        <v>0.79099720841196108</v>
      </c>
      <c r="CB113" s="5">
        <f t="shared" si="365"/>
        <v>79.099720841196103</v>
      </c>
      <c r="CC113">
        <f t="shared" si="366"/>
        <v>3</v>
      </c>
      <c r="CE113" s="562">
        <f t="shared" si="367"/>
        <v>-50</v>
      </c>
      <c r="CF113">
        <f t="shared" si="368"/>
        <v>-50</v>
      </c>
      <c r="CG113" s="173">
        <f t="shared" si="369"/>
        <v>4.5237051684105391E-2</v>
      </c>
      <c r="CH113" s="173">
        <f t="shared" si="370"/>
        <v>1.4669708532621078E-2</v>
      </c>
      <c r="CI113" s="170">
        <v>3</v>
      </c>
      <c r="CJ113" s="217">
        <f t="shared" si="437"/>
        <v>7.4999999999999997E-2</v>
      </c>
      <c r="CK113" s="217">
        <f t="shared" si="371"/>
        <v>7.4999999999999997E-3</v>
      </c>
      <c r="CL113" s="217">
        <f t="shared" si="372"/>
        <v>2.1</v>
      </c>
      <c r="CM113" s="217">
        <f t="shared" si="373"/>
        <v>0.22499999999999998</v>
      </c>
      <c r="CN113" s="541">
        <f t="shared" si="374"/>
        <v>19</v>
      </c>
      <c r="CO113" s="443">
        <f t="shared" si="375"/>
        <v>28.7</v>
      </c>
      <c r="CP113" s="443">
        <f t="shared" si="376"/>
        <v>47.7</v>
      </c>
      <c r="CQ113" s="443"/>
      <c r="CR113" s="217">
        <f t="shared" si="377"/>
        <v>0.59915611814345993</v>
      </c>
      <c r="CS113" s="172">
        <f t="shared" si="378"/>
        <v>85.685767433419556</v>
      </c>
      <c r="CT113" s="172">
        <f t="shared" si="379"/>
        <v>10.164255575647982</v>
      </c>
      <c r="CU113" s="217">
        <f t="shared" si="380"/>
        <v>3.0602059797649841</v>
      </c>
      <c r="CV113" s="217">
        <f t="shared" si="381"/>
        <v>2.8561922477806521</v>
      </c>
      <c r="CW113" s="217">
        <f t="shared" si="382"/>
        <v>28</v>
      </c>
      <c r="CX113" s="217">
        <f t="shared" si="383"/>
        <v>0.40846923647146033</v>
      </c>
      <c r="CY113" s="217">
        <f t="shared" si="384"/>
        <v>0.10104239007451914</v>
      </c>
      <c r="CZ113" s="217">
        <f t="shared" si="385"/>
        <v>6.6892174613793154E-2</v>
      </c>
      <c r="DA113" s="197">
        <f t="shared" si="386"/>
        <v>350</v>
      </c>
      <c r="DB113" s="443">
        <f t="shared" si="387"/>
        <v>350</v>
      </c>
      <c r="DD113" s="217">
        <f t="shared" si="388"/>
        <v>6.9494625094785683</v>
      </c>
      <c r="DE113" s="173">
        <f t="shared" si="389"/>
        <v>1.1380652890086853</v>
      </c>
      <c r="DF113" s="173">
        <f t="shared" si="390"/>
        <v>1.2501230996965573</v>
      </c>
      <c r="DG113" s="173"/>
      <c r="DH113" s="173">
        <f t="shared" si="391"/>
        <v>0.54587688734030204</v>
      </c>
      <c r="DI113" s="545">
        <f t="shared" si="392"/>
        <v>82.436170212765958</v>
      </c>
      <c r="DJ113" s="528">
        <f t="shared" si="393"/>
        <v>0.31842818428184283</v>
      </c>
      <c r="DL113" s="173">
        <f t="shared" si="394"/>
        <v>1.6812934664610881</v>
      </c>
      <c r="DM113" s="173">
        <f t="shared" si="395"/>
        <v>3.3333333333333335</v>
      </c>
      <c r="DN113" s="173">
        <f t="shared" si="396"/>
        <v>1.0471063829787235</v>
      </c>
      <c r="DP113" s="545">
        <f t="shared" si="397"/>
        <v>75</v>
      </c>
      <c r="DQ113" s="460">
        <f t="shared" si="398"/>
        <v>82.436170212765958</v>
      </c>
      <c r="DS113" s="460">
        <f t="shared" si="399"/>
        <v>75</v>
      </c>
      <c r="DT113" s="460">
        <f t="shared" si="400"/>
        <v>82.436170212765958</v>
      </c>
      <c r="DV113" s="5">
        <f t="shared" si="401"/>
        <v>12.130597496451154</v>
      </c>
      <c r="DW113" s="5">
        <f t="shared" si="402"/>
        <v>0.82456140350877194</v>
      </c>
      <c r="DX113" s="5">
        <f t="shared" si="403"/>
        <v>11.306036092942382</v>
      </c>
      <c r="DY113" s="173">
        <f t="shared" si="404"/>
        <v>6.7973684210526325E-2</v>
      </c>
      <c r="EA113" s="5">
        <f t="shared" si="405"/>
        <v>0.22086466165413532</v>
      </c>
      <c r="EB113" s="5">
        <f t="shared" si="406"/>
        <v>2.06140350877193E-2</v>
      </c>
      <c r="EC113" s="5">
        <f t="shared" si="407"/>
        <v>0.89258179681124061</v>
      </c>
      <c r="ED113" s="5"/>
      <c r="EE113" s="173">
        <f t="shared" si="408"/>
        <v>0.50175131884720769</v>
      </c>
      <c r="EF113" s="173">
        <f t="shared" si="409"/>
        <v>1.8579422266956502</v>
      </c>
      <c r="EG113" s="173">
        <f t="shared" si="410"/>
        <v>0.18731712613406967</v>
      </c>
      <c r="EH113" s="173"/>
      <c r="EI113" s="528">
        <f t="shared" si="411"/>
        <v>3.0210526315789473E-3</v>
      </c>
      <c r="EJ113" s="528">
        <f t="shared" si="412"/>
        <v>0.24903967021276605</v>
      </c>
      <c r="EK113" s="528">
        <f t="shared" si="413"/>
        <v>9.4801595744680861E-3</v>
      </c>
      <c r="EL113" s="528">
        <f t="shared" si="414"/>
        <v>9.237635040877662E-2</v>
      </c>
      <c r="EM113">
        <f t="shared" si="415"/>
        <v>8.5500000000000003E-3</v>
      </c>
      <c r="EN113" s="460">
        <f t="shared" si="416"/>
        <v>18.030159574468087</v>
      </c>
      <c r="EP113" s="460">
        <f t="shared" si="438"/>
        <v>362.46723282758967</v>
      </c>
      <c r="EQ113" s="173">
        <f t="shared" si="417"/>
        <v>5.2499999999999998E-2</v>
      </c>
      <c r="ER113" s="173">
        <f t="shared" si="418"/>
        <v>3.5924999999999998E-3</v>
      </c>
      <c r="ES113" s="528"/>
      <c r="EU113" s="460">
        <f t="shared" si="419"/>
        <v>56.092499999999994</v>
      </c>
      <c r="EV113" s="528">
        <f t="shared" si="420"/>
        <v>3.5245614035087722E-3</v>
      </c>
      <c r="EW113" s="528">
        <f t="shared" si="421"/>
        <v>4.8327290448343073E-2</v>
      </c>
      <c r="EX113" s="528">
        <f t="shared" si="422"/>
        <v>1.7543852871563484E-4</v>
      </c>
      <c r="EY113" s="528">
        <f t="shared" si="423"/>
        <v>6.2583721666464864E-2</v>
      </c>
      <c r="EZ113" s="528"/>
      <c r="FA113" s="625">
        <f t="shared" si="424"/>
        <v>9.1595744680851077E-2</v>
      </c>
      <c r="FB113" s="460">
        <f t="shared" si="425"/>
        <v>206.2067567278834</v>
      </c>
      <c r="FC113" s="173">
        <f t="shared" si="426"/>
        <v>0.62476648955547309</v>
      </c>
      <c r="FD113" s="5">
        <f t="shared" si="427"/>
        <v>2.3250000000000002</v>
      </c>
      <c r="FE113" s="173">
        <f t="shared" si="428"/>
        <v>0.7881979838852855</v>
      </c>
      <c r="FF113" s="5">
        <f t="shared" si="429"/>
        <v>78.819798388528554</v>
      </c>
      <c r="FG113">
        <f t="shared" si="430"/>
        <v>3</v>
      </c>
      <c r="FI113" s="562">
        <f t="shared" si="431"/>
        <v>-50</v>
      </c>
      <c r="FJ113">
        <f t="shared" si="432"/>
        <v>-50</v>
      </c>
    </row>
    <row r="114" spans="5:166">
      <c r="E114" s="170">
        <v>4</v>
      </c>
      <c r="F114" s="217">
        <f t="shared" si="433"/>
        <v>0.1</v>
      </c>
      <c r="G114" s="217">
        <f t="shared" si="312"/>
        <v>0.01</v>
      </c>
      <c r="H114" s="217">
        <f t="shared" si="313"/>
        <v>2.8000000000000003</v>
      </c>
      <c r="I114" s="217">
        <f t="shared" si="314"/>
        <v>0.3</v>
      </c>
      <c r="J114" s="541">
        <f t="shared" si="315"/>
        <v>18.942767356471048</v>
      </c>
      <c r="K114" s="443">
        <f t="shared" si="316"/>
        <v>28.723211061749385</v>
      </c>
      <c r="L114" s="172">
        <f t="shared" si="317"/>
        <v>47.665978418220433</v>
      </c>
      <c r="M114" s="443"/>
      <c r="N114" s="217">
        <f t="shared" si="318"/>
        <v>0.60259354816411093</v>
      </c>
      <c r="O114" s="172">
        <f t="shared" si="319"/>
        <v>85.917769627615371</v>
      </c>
      <c r="P114" s="172">
        <f t="shared" si="320"/>
        <v>10.191776244092129</v>
      </c>
      <c r="Q114" s="217">
        <f t="shared" si="321"/>
        <v>3.0684917724148346</v>
      </c>
      <c r="R114" s="217">
        <f t="shared" si="322"/>
        <v>2.8639256542538458</v>
      </c>
      <c r="S114" s="217">
        <f t="shared" si="323"/>
        <v>28</v>
      </c>
      <c r="T114" s="217">
        <f t="shared" si="324"/>
        <v>0.54315500587281584</v>
      </c>
      <c r="U114" s="217">
        <f t="shared" si="325"/>
        <v>0.13476534233685561</v>
      </c>
      <c r="V114" s="217">
        <f t="shared" si="326"/>
        <v>8.8876850227996573E-2</v>
      </c>
      <c r="W114" s="197">
        <f t="shared" si="327"/>
        <v>350</v>
      </c>
      <c r="X114" s="443">
        <f t="shared" si="434"/>
        <v>350</v>
      </c>
      <c r="Z114" s="217">
        <f t="shared" si="328"/>
        <v>6.9390816981052783</v>
      </c>
      <c r="AA114" s="173">
        <f t="shared" si="329"/>
        <v>1.1354470052453971</v>
      </c>
      <c r="AB114" s="173">
        <f t="shared" si="330"/>
        <v>1.2453839262260398</v>
      </c>
      <c r="AC114" s="173"/>
      <c r="AD114" s="173">
        <f t="shared" si="331"/>
        <v>0.54543576736550603</v>
      </c>
      <c r="AE114" s="545">
        <f t="shared" si="332"/>
        <v>110.00378704499767</v>
      </c>
      <c r="AF114" s="528">
        <f t="shared" si="333"/>
        <v>0.31817086429654512</v>
      </c>
      <c r="AH114" s="173">
        <f t="shared" si="334"/>
        <v>1.9413904708961363</v>
      </c>
      <c r="AI114" s="173">
        <f t="shared" si="335"/>
        <v>3.3333333333333335</v>
      </c>
      <c r="AJ114" s="173">
        <f t="shared" si="336"/>
        <v>1.0628593068828558</v>
      </c>
      <c r="AL114" s="545">
        <f t="shared" si="337"/>
        <v>100</v>
      </c>
      <c r="AM114" s="460">
        <f t="shared" si="338"/>
        <v>110.00378704499767</v>
      </c>
      <c r="AO114" s="460">
        <f t="shared" si="339"/>
        <v>100</v>
      </c>
      <c r="AP114" s="460">
        <f t="shared" si="340"/>
        <v>110.00378704499767</v>
      </c>
      <c r="AR114" s="5">
        <f t="shared" si="274"/>
        <v>9.0905961227584307</v>
      </c>
      <c r="AS114" s="5">
        <f>L*AI114/J114*1000000</f>
        <v>0.8270526883346202</v>
      </c>
      <c r="AT114" s="5">
        <f>AR114-AS114</f>
        <v>8.263543434423811</v>
      </c>
      <c r="AU114" s="173">
        <f>AS114/AR114</f>
        <v>9.0978927802554399E-2</v>
      </c>
      <c r="AW114" s="5">
        <f t="shared" si="341"/>
        <v>0.29537596011950723</v>
      </c>
      <c r="AX114" s="5">
        <f t="shared" si="342"/>
        <v>2.7568422944487338E-2</v>
      </c>
      <c r="AY114" s="5">
        <f t="shared" si="343"/>
        <v>0.87247478458852512</v>
      </c>
      <c r="AZ114" s="5"/>
      <c r="BA114" s="173">
        <f t="shared" si="344"/>
        <v>0.58048168951424528</v>
      </c>
      <c r="BB114" s="173">
        <f t="shared" si="345"/>
        <v>1.8348691266252182</v>
      </c>
      <c r="BC114" s="173">
        <f t="shared" si="346"/>
        <v>0.18499090374991956</v>
      </c>
      <c r="BD114" s="173"/>
      <c r="BE114" s="528">
        <f t="shared" si="347"/>
        <v>4.0435079023357521E-3</v>
      </c>
      <c r="BF114" s="528">
        <f t="shared" si="348"/>
        <v>0.31897582013523701</v>
      </c>
      <c r="BG114" s="528">
        <f t="shared" si="349"/>
        <v>1.2650435510174734E-2</v>
      </c>
      <c r="BH114" s="528">
        <f t="shared" si="350"/>
        <v>0.1230923025215578</v>
      </c>
      <c r="BI114">
        <f t="shared" si="351"/>
        <v>8.5242453104119719E-3</v>
      </c>
      <c r="BJ114" s="460">
        <f t="shared" si="435"/>
        <v>21.174680820586705</v>
      </c>
      <c r="BK114">
        <f t="shared" si="352"/>
        <v>0.44763343591086535</v>
      </c>
      <c r="BL114" s="460">
        <f t="shared" si="436"/>
        <v>467.28631137971729</v>
      </c>
      <c r="BM114" s="173">
        <f t="shared" si="353"/>
        <v>6.7059999999999995E-2</v>
      </c>
      <c r="BN114" s="173">
        <f t="shared" si="354"/>
        <v>6.7059999999999993E-3</v>
      </c>
      <c r="BO114" s="528"/>
      <c r="BQ114" s="460">
        <f t="shared" si="355"/>
        <v>73.765999999999991</v>
      </c>
      <c r="BR114" s="528">
        <f t="shared" si="356"/>
        <v>4.7174258860583776E-3</v>
      </c>
      <c r="BS114" s="528">
        <f t="shared" si="357"/>
        <v>4.7134425965793474E-2</v>
      </c>
      <c r="BT114" s="528">
        <f t="shared" si="358"/>
        <v>1.7110817235106002E-4</v>
      </c>
      <c r="BU114" s="528">
        <f t="shared" si="359"/>
        <v>0.12873183477745534</v>
      </c>
      <c r="BV114" s="528"/>
      <c r="BW114" s="625">
        <f t="shared" si="360"/>
        <v>0.12222643004999742</v>
      </c>
      <c r="BX114" s="460">
        <f t="shared" si="361"/>
        <v>302.98122485165567</v>
      </c>
      <c r="BY114" s="173">
        <f t="shared" si="362"/>
        <v>0.84403353623137289</v>
      </c>
      <c r="BZ114" s="5">
        <f t="shared" si="363"/>
        <v>3.1</v>
      </c>
      <c r="CA114" s="173">
        <f t="shared" si="364"/>
        <v>0.78599737337987519</v>
      </c>
      <c r="CB114" s="5">
        <f t="shared" si="365"/>
        <v>78.59973733798752</v>
      </c>
      <c r="CC114">
        <f t="shared" si="366"/>
        <v>4</v>
      </c>
      <c r="CE114" s="562">
        <f t="shared" si="367"/>
        <v>-50</v>
      </c>
      <c r="CF114">
        <f t="shared" si="368"/>
        <v>-50</v>
      </c>
      <c r="CG114" s="173">
        <f t="shared" si="369"/>
        <v>6.031606891214053E-2</v>
      </c>
      <c r="CH114" s="173">
        <f t="shared" si="370"/>
        <v>1.9559611376828104E-2</v>
      </c>
      <c r="CI114" s="170">
        <v>4</v>
      </c>
      <c r="CJ114" s="217">
        <f t="shared" si="437"/>
        <v>0.1</v>
      </c>
      <c r="CK114" s="217">
        <f t="shared" si="371"/>
        <v>0.01</v>
      </c>
      <c r="CL114" s="217">
        <f t="shared" si="372"/>
        <v>2.8000000000000003</v>
      </c>
      <c r="CM114" s="217">
        <f t="shared" si="373"/>
        <v>0.3</v>
      </c>
      <c r="CN114" s="541">
        <f t="shared" si="374"/>
        <v>19</v>
      </c>
      <c r="CO114" s="443">
        <f t="shared" si="375"/>
        <v>28.7</v>
      </c>
      <c r="CP114" s="443">
        <f t="shared" si="376"/>
        <v>47.7</v>
      </c>
      <c r="CQ114" s="443"/>
      <c r="CR114" s="217">
        <f t="shared" si="377"/>
        <v>0.59915611814345993</v>
      </c>
      <c r="CS114" s="172">
        <f t="shared" si="378"/>
        <v>85.685767433419556</v>
      </c>
      <c r="CT114" s="172">
        <f t="shared" si="379"/>
        <v>10.164255575647982</v>
      </c>
      <c r="CU114" s="217">
        <f t="shared" si="380"/>
        <v>3.0602059797649841</v>
      </c>
      <c r="CV114" s="217">
        <f t="shared" si="381"/>
        <v>2.8561922477806521</v>
      </c>
      <c r="CW114" s="217">
        <f t="shared" si="382"/>
        <v>28</v>
      </c>
      <c r="CX114" s="217">
        <f t="shared" si="383"/>
        <v>0.54462564862861373</v>
      </c>
      <c r="CY114" s="217">
        <f t="shared" si="384"/>
        <v>0.13472318676602552</v>
      </c>
      <c r="CZ114" s="217">
        <f t="shared" si="385"/>
        <v>8.9189566151724201E-2</v>
      </c>
      <c r="DA114" s="197">
        <f t="shared" si="386"/>
        <v>350</v>
      </c>
      <c r="DB114" s="443">
        <f t="shared" si="387"/>
        <v>350</v>
      </c>
      <c r="DD114" s="217">
        <f t="shared" si="388"/>
        <v>6.9494625094785683</v>
      </c>
      <c r="DE114" s="173">
        <f t="shared" si="389"/>
        <v>1.1380652890086853</v>
      </c>
      <c r="DF114" s="173">
        <f t="shared" si="390"/>
        <v>1.2501230996965573</v>
      </c>
      <c r="DG114" s="173"/>
      <c r="DH114" s="173">
        <f t="shared" si="391"/>
        <v>0.54587688734030204</v>
      </c>
      <c r="DI114" s="545">
        <f t="shared" si="392"/>
        <v>109.91489361702128</v>
      </c>
      <c r="DJ114" s="528">
        <f t="shared" si="393"/>
        <v>0.31842818428184283</v>
      </c>
      <c r="DL114" s="173">
        <f t="shared" si="394"/>
        <v>1.9413904708961363</v>
      </c>
      <c r="DM114" s="173">
        <f t="shared" si="395"/>
        <v>3.3333333333333335</v>
      </c>
      <c r="DN114" s="173">
        <f t="shared" si="396"/>
        <v>1.0628085106382978</v>
      </c>
      <c r="DP114" s="545">
        <f t="shared" si="397"/>
        <v>100</v>
      </c>
      <c r="DQ114" s="460">
        <f t="shared" si="398"/>
        <v>109.91489361702128</v>
      </c>
      <c r="DS114" s="460">
        <f t="shared" si="399"/>
        <v>100</v>
      </c>
      <c r="DT114" s="460">
        <f t="shared" si="400"/>
        <v>109.91489361702128</v>
      </c>
      <c r="DV114" s="5">
        <f t="shared" si="401"/>
        <v>9.0979481223383658</v>
      </c>
      <c r="DW114" s="5">
        <f t="shared" si="402"/>
        <v>0.82456140350877194</v>
      </c>
      <c r="DX114" s="5">
        <f t="shared" si="403"/>
        <v>8.2733867188295935</v>
      </c>
      <c r="DY114" s="173">
        <f t="shared" si="404"/>
        <v>9.0631578947368424E-2</v>
      </c>
      <c r="EA114" s="5">
        <f t="shared" si="405"/>
        <v>0.29448621553884713</v>
      </c>
      <c r="EB114" s="5">
        <f t="shared" si="406"/>
        <v>2.7485380116959064E-2</v>
      </c>
      <c r="EC114" s="5">
        <f t="shared" si="407"/>
        <v>0.87088281250837829</v>
      </c>
      <c r="ED114" s="5"/>
      <c r="EE114" s="173">
        <f t="shared" si="408"/>
        <v>0.57937251800537026</v>
      </c>
      <c r="EF114" s="173">
        <f t="shared" si="409"/>
        <v>1.8352196569031787</v>
      </c>
      <c r="EG114" s="173">
        <f t="shared" si="410"/>
        <v>0.18502624409761556</v>
      </c>
      <c r="EH114" s="173"/>
      <c r="EI114" s="528">
        <f t="shared" si="411"/>
        <v>4.0280701754385967E-3</v>
      </c>
      <c r="EJ114" s="528">
        <f t="shared" si="412"/>
        <v>0.33205289361702134</v>
      </c>
      <c r="EK114" s="528">
        <f t="shared" si="413"/>
        <v>1.2640212765957448E-2</v>
      </c>
      <c r="EL114" s="528">
        <f t="shared" si="414"/>
        <v>0.12316846721170216</v>
      </c>
      <c r="EM114">
        <f t="shared" si="415"/>
        <v>8.5500000000000003E-3</v>
      </c>
      <c r="EN114" s="460">
        <f t="shared" si="416"/>
        <v>21.190212765957451</v>
      </c>
      <c r="EP114" s="460">
        <f t="shared" si="438"/>
        <v>480.43964377011957</v>
      </c>
      <c r="EQ114" s="173">
        <f t="shared" si="417"/>
        <v>6.9999999999999993E-2</v>
      </c>
      <c r="ER114" s="173">
        <f t="shared" si="418"/>
        <v>4.79E-3</v>
      </c>
      <c r="ES114" s="528"/>
      <c r="EU114" s="460">
        <f t="shared" si="419"/>
        <v>74.789999999999992</v>
      </c>
      <c r="EV114" s="528">
        <f t="shared" si="420"/>
        <v>4.699415204678363E-3</v>
      </c>
      <c r="EW114" s="528">
        <f t="shared" si="421"/>
        <v>4.7152436647173494E-2</v>
      </c>
      <c r="EX114" s="528">
        <f t="shared" si="422"/>
        <v>1.711735550243521E-4</v>
      </c>
      <c r="EY114" s="528">
        <f t="shared" si="423"/>
        <v>0.12847192373696739</v>
      </c>
      <c r="EZ114" s="528"/>
      <c r="FA114" s="625">
        <f t="shared" si="424"/>
        <v>0.1221276595744681</v>
      </c>
      <c r="FB114" s="460">
        <f t="shared" si="425"/>
        <v>302.62260871831171</v>
      </c>
      <c r="FC114" s="173">
        <f t="shared" si="426"/>
        <v>0.85785225248843122</v>
      </c>
      <c r="FD114" s="5">
        <f t="shared" si="427"/>
        <v>3.1</v>
      </c>
      <c r="FE114" s="173">
        <f t="shared" si="428"/>
        <v>0.78325308835137253</v>
      </c>
      <c r="FF114" s="5">
        <f t="shared" si="429"/>
        <v>78.32530883513725</v>
      </c>
      <c r="FG114">
        <f t="shared" si="430"/>
        <v>4</v>
      </c>
      <c r="FI114" s="562">
        <f t="shared" si="431"/>
        <v>-50</v>
      </c>
      <c r="FJ114">
        <f t="shared" si="432"/>
        <v>-50</v>
      </c>
    </row>
    <row r="115" spans="5:166">
      <c r="E115" s="170">
        <v>5</v>
      </c>
      <c r="F115" s="217">
        <f t="shared" si="433"/>
        <v>0.125</v>
      </c>
      <c r="G115" s="217">
        <f t="shared" si="312"/>
        <v>1.2500000000000001E-2</v>
      </c>
      <c r="H115" s="217">
        <f t="shared" si="313"/>
        <v>3.5</v>
      </c>
      <c r="I115" s="217">
        <f t="shared" si="314"/>
        <v>0.375</v>
      </c>
      <c r="J115" s="541">
        <f t="shared" si="315"/>
        <v>18.942767356471048</v>
      </c>
      <c r="K115" s="443">
        <f t="shared" si="316"/>
        <v>28.723211061749385</v>
      </c>
      <c r="L115" s="172">
        <f t="shared" si="317"/>
        <v>47.665978418220433</v>
      </c>
      <c r="M115" s="443"/>
      <c r="N115" s="217">
        <f t="shared" si="318"/>
        <v>0.60259354816411093</v>
      </c>
      <c r="O115" s="172">
        <f t="shared" si="319"/>
        <v>85.917769627615371</v>
      </c>
      <c r="P115" s="172">
        <f t="shared" si="320"/>
        <v>10.191776244092129</v>
      </c>
      <c r="Q115" s="217">
        <f t="shared" si="321"/>
        <v>3.0684917724148346</v>
      </c>
      <c r="R115" s="217">
        <f t="shared" si="322"/>
        <v>2.8639256542538458</v>
      </c>
      <c r="S115" s="217">
        <f t="shared" si="323"/>
        <v>28</v>
      </c>
      <c r="T115" s="217">
        <f t="shared" si="324"/>
        <v>0.67894375734101986</v>
      </c>
      <c r="U115" s="217">
        <f t="shared" si="325"/>
        <v>0.16845667792106953</v>
      </c>
      <c r="V115" s="217">
        <f t="shared" si="326"/>
        <v>0.11109606278499572</v>
      </c>
      <c r="W115" s="197">
        <f t="shared" si="327"/>
        <v>350</v>
      </c>
      <c r="X115" s="443">
        <f t="shared" si="434"/>
        <v>350</v>
      </c>
      <c r="Z115" s="217">
        <f t="shared" si="328"/>
        <v>6.9390816981052783</v>
      </c>
      <c r="AA115" s="173">
        <f t="shared" si="329"/>
        <v>1.1354470052453971</v>
      </c>
      <c r="AB115" s="173">
        <f t="shared" si="330"/>
        <v>1.2453839262260398</v>
      </c>
      <c r="AC115" s="173"/>
      <c r="AD115" s="173">
        <f t="shared" si="331"/>
        <v>0.54543576736550603</v>
      </c>
      <c r="AE115" s="545">
        <f t="shared" si="332"/>
        <v>137.50473380624706</v>
      </c>
      <c r="AF115" s="528">
        <f t="shared" si="333"/>
        <v>0.31817086429654512</v>
      </c>
      <c r="AH115" s="173">
        <f t="shared" si="334"/>
        <v>2.1705405318970441</v>
      </c>
      <c r="AI115" s="173">
        <f t="shared" si="335"/>
        <v>3.3333333333333335</v>
      </c>
      <c r="AJ115" s="173">
        <f t="shared" si="336"/>
        <v>1.0785741336035697</v>
      </c>
      <c r="AL115" s="545">
        <f t="shared" si="337"/>
        <v>125</v>
      </c>
      <c r="AM115" s="460">
        <f t="shared" si="338"/>
        <v>137.50473380624706</v>
      </c>
      <c r="AO115" s="460">
        <f t="shared" si="339"/>
        <v>125</v>
      </c>
      <c r="AP115" s="460">
        <f t="shared" si="340"/>
        <v>137.50473380624706</v>
      </c>
      <c r="AR115" s="5">
        <f t="shared" si="274"/>
        <v>7.2724768982067465</v>
      </c>
      <c r="AS115" s="5">
        <f t="shared" ref="AS115:AS178" si="439">L*AI115/J115*1000000</f>
        <v>0.8270526883346202</v>
      </c>
      <c r="AT115" s="5">
        <f t="shared" ref="AT115:AT178" si="440">AR115-AS115</f>
        <v>6.4454242098721259</v>
      </c>
      <c r="AU115" s="173">
        <f t="shared" ref="AU115:AU178" si="441">AS115/AR115</f>
        <v>0.11372365975319297</v>
      </c>
      <c r="AW115" s="5">
        <f t="shared" si="341"/>
        <v>0.36921995014938402</v>
      </c>
      <c r="AX115" s="5">
        <f t="shared" si="342"/>
        <v>3.4460528680609177E-2</v>
      </c>
      <c r="AY115" s="5">
        <f t="shared" si="343"/>
        <v>0.8506444819518808</v>
      </c>
      <c r="AZ115" s="5"/>
      <c r="BA115" s="173">
        <f t="shared" si="344"/>
        <v>0.6489982587238895</v>
      </c>
      <c r="BB115" s="173">
        <f t="shared" si="345"/>
        <v>1.8117684630981583</v>
      </c>
      <c r="BC115" s="173">
        <f t="shared" si="346"/>
        <v>0.18266190242710942</v>
      </c>
      <c r="BD115" s="173"/>
      <c r="BE115" s="528">
        <f t="shared" si="347"/>
        <v>5.0543848779196878E-3</v>
      </c>
      <c r="BF115" s="528">
        <f t="shared" si="348"/>
        <v>0.39871977516904622</v>
      </c>
      <c r="BG115" s="528">
        <f t="shared" si="349"/>
        <v>1.5813044387718415E-2</v>
      </c>
      <c r="BH115" s="528">
        <f t="shared" si="350"/>
        <v>0.1538653781519472</v>
      </c>
      <c r="BI115">
        <f t="shared" si="351"/>
        <v>8.5242453104119719E-3</v>
      </c>
      <c r="BJ115" s="460">
        <f t="shared" si="435"/>
        <v>24.337289698130384</v>
      </c>
      <c r="BK115">
        <f t="shared" si="352"/>
        <v>0.55967634967151769</v>
      </c>
      <c r="BL115" s="460">
        <f t="shared" si="436"/>
        <v>581.97682789704356</v>
      </c>
      <c r="BM115" s="173">
        <f t="shared" si="353"/>
        <v>8.3824999999999997E-2</v>
      </c>
      <c r="BN115" s="173">
        <f t="shared" si="354"/>
        <v>8.3824999999999993E-3</v>
      </c>
      <c r="BO115" s="528"/>
      <c r="BQ115" s="460">
        <f t="shared" si="355"/>
        <v>92.207499999999996</v>
      </c>
      <c r="BR115" s="528">
        <f t="shared" si="356"/>
        <v>5.8967823575729692E-3</v>
      </c>
      <c r="BS115" s="528">
        <f t="shared" si="357"/>
        <v>4.5955069494278876E-2</v>
      </c>
      <c r="BT115" s="528">
        <f t="shared" si="358"/>
        <v>1.6682685299145421E-4</v>
      </c>
      <c r="BU115" s="528">
        <f t="shared" si="359"/>
        <v>0.2248852604927043</v>
      </c>
      <c r="BV115" s="528"/>
      <c r="BW115" s="625">
        <f t="shared" si="360"/>
        <v>0.15278303756249675</v>
      </c>
      <c r="BX115" s="460">
        <f t="shared" si="361"/>
        <v>429.68697676004433</v>
      </c>
      <c r="BY115" s="173">
        <f t="shared" si="362"/>
        <v>1.1038713046570878</v>
      </c>
      <c r="BZ115" s="5">
        <f t="shared" si="363"/>
        <v>3.875</v>
      </c>
      <c r="CA115" s="173">
        <f t="shared" si="364"/>
        <v>0.77828884558141531</v>
      </c>
      <c r="CB115" s="5">
        <f t="shared" si="365"/>
        <v>77.828884558141525</v>
      </c>
      <c r="CC115">
        <f t="shared" si="366"/>
        <v>5</v>
      </c>
      <c r="CE115" s="562">
        <f t="shared" si="367"/>
        <v>-50</v>
      </c>
      <c r="CF115">
        <f t="shared" si="368"/>
        <v>-50</v>
      </c>
      <c r="CG115" s="173">
        <f t="shared" si="369"/>
        <v>7.5395086140175649E-2</v>
      </c>
      <c r="CH115" s="173">
        <f t="shared" si="370"/>
        <v>2.444951422103513E-2</v>
      </c>
      <c r="CI115" s="170">
        <v>5</v>
      </c>
      <c r="CJ115" s="217">
        <f t="shared" si="437"/>
        <v>0.125</v>
      </c>
      <c r="CK115" s="217">
        <f t="shared" si="371"/>
        <v>1.2500000000000001E-2</v>
      </c>
      <c r="CL115" s="217">
        <f t="shared" si="372"/>
        <v>3.5</v>
      </c>
      <c r="CM115" s="217">
        <f t="shared" si="373"/>
        <v>0.375</v>
      </c>
      <c r="CN115" s="541">
        <f t="shared" si="374"/>
        <v>19</v>
      </c>
      <c r="CO115" s="443">
        <f t="shared" si="375"/>
        <v>28.7</v>
      </c>
      <c r="CP115" s="443">
        <f t="shared" si="376"/>
        <v>47.7</v>
      </c>
      <c r="CQ115" s="443"/>
      <c r="CR115" s="217">
        <f t="shared" si="377"/>
        <v>0.59915611814345993</v>
      </c>
      <c r="CS115" s="172">
        <f t="shared" si="378"/>
        <v>85.685767433419556</v>
      </c>
      <c r="CT115" s="172">
        <f t="shared" si="379"/>
        <v>10.164255575647982</v>
      </c>
      <c r="CU115" s="217">
        <f t="shared" si="380"/>
        <v>3.0602059797649841</v>
      </c>
      <c r="CV115" s="217">
        <f t="shared" si="381"/>
        <v>2.8561922477806521</v>
      </c>
      <c r="CW115" s="217">
        <f t="shared" si="382"/>
        <v>28</v>
      </c>
      <c r="CX115" s="217">
        <f t="shared" si="383"/>
        <v>0.6807820607857672</v>
      </c>
      <c r="CY115" s="217">
        <f t="shared" si="384"/>
        <v>0.16840398345753188</v>
      </c>
      <c r="CZ115" s="217">
        <f t="shared" si="385"/>
        <v>0.11148695768965526</v>
      </c>
      <c r="DA115" s="197">
        <f t="shared" si="386"/>
        <v>350</v>
      </c>
      <c r="DB115" s="443">
        <f t="shared" si="387"/>
        <v>350</v>
      </c>
      <c r="DD115" s="217">
        <f t="shared" si="388"/>
        <v>6.9494625094785683</v>
      </c>
      <c r="DE115" s="173">
        <f t="shared" si="389"/>
        <v>1.1380652890086853</v>
      </c>
      <c r="DF115" s="173">
        <f t="shared" si="390"/>
        <v>1.2501230996965573</v>
      </c>
      <c r="DG115" s="173"/>
      <c r="DH115" s="173">
        <f t="shared" si="391"/>
        <v>0.54587688734030204</v>
      </c>
      <c r="DI115" s="545">
        <f t="shared" si="392"/>
        <v>137.39361702127658</v>
      </c>
      <c r="DJ115" s="528">
        <f t="shared" si="393"/>
        <v>0.31842818428184283</v>
      </c>
      <c r="DL115" s="173">
        <f t="shared" si="394"/>
        <v>2.1705405318970441</v>
      </c>
      <c r="DM115" s="173">
        <f t="shared" si="395"/>
        <v>3.3333333333333335</v>
      </c>
      <c r="DN115" s="173">
        <f t="shared" si="396"/>
        <v>1.0785106382978724</v>
      </c>
      <c r="DP115" s="545">
        <f t="shared" si="397"/>
        <v>125</v>
      </c>
      <c r="DQ115" s="460">
        <f t="shared" si="398"/>
        <v>137.39361702127658</v>
      </c>
      <c r="DS115" s="460">
        <f t="shared" si="399"/>
        <v>125</v>
      </c>
      <c r="DT115" s="460">
        <f t="shared" si="400"/>
        <v>137.39361702127658</v>
      </c>
      <c r="DV115" s="5">
        <f t="shared" si="401"/>
        <v>7.2783584978706939</v>
      </c>
      <c r="DW115" s="5">
        <f t="shared" si="402"/>
        <v>0.82456140350877194</v>
      </c>
      <c r="DX115" s="5">
        <f t="shared" si="403"/>
        <v>6.4537970943619216</v>
      </c>
      <c r="DY115" s="173">
        <f t="shared" si="404"/>
        <v>0.11328947368421051</v>
      </c>
      <c r="EA115" s="5">
        <f t="shared" si="405"/>
        <v>0.36810776942355888</v>
      </c>
      <c r="EB115" s="5">
        <f t="shared" si="406"/>
        <v>3.4356725146198835E-2</v>
      </c>
      <c r="EC115" s="5">
        <f t="shared" si="407"/>
        <v>0.84918382820551586</v>
      </c>
      <c r="ED115" s="5"/>
      <c r="EE115" s="173">
        <f t="shared" si="408"/>
        <v>0.64775816727761437</v>
      </c>
      <c r="EF115" s="173">
        <f t="shared" si="409"/>
        <v>1.812212200717358</v>
      </c>
      <c r="EG115" s="173">
        <f t="shared" si="410"/>
        <v>0.18270663990838937</v>
      </c>
      <c r="EH115" s="173"/>
      <c r="EI115" s="528">
        <f t="shared" si="411"/>
        <v>5.0350877192982466E-3</v>
      </c>
      <c r="EJ115" s="528">
        <f t="shared" si="412"/>
        <v>0.41506611702127666</v>
      </c>
      <c r="EK115" s="528">
        <f t="shared" si="413"/>
        <v>1.5800265957446807E-2</v>
      </c>
      <c r="EL115" s="528">
        <f t="shared" si="414"/>
        <v>0.15396058401462767</v>
      </c>
      <c r="EM115">
        <f t="shared" si="415"/>
        <v>8.5500000000000003E-3</v>
      </c>
      <c r="EN115" s="460">
        <f t="shared" si="416"/>
        <v>24.350265957446805</v>
      </c>
      <c r="EP115" s="460">
        <f t="shared" si="438"/>
        <v>598.41205471264936</v>
      </c>
      <c r="EQ115" s="173">
        <f t="shared" si="417"/>
        <v>8.7499999999999994E-2</v>
      </c>
      <c r="ER115" s="173">
        <f t="shared" si="418"/>
        <v>5.9874999999999998E-3</v>
      </c>
      <c r="ES115" s="528"/>
      <c r="EU115" s="460">
        <f t="shared" si="419"/>
        <v>93.487499999999997</v>
      </c>
      <c r="EV115" s="528">
        <f t="shared" si="420"/>
        <v>5.8742690058479537E-3</v>
      </c>
      <c r="EW115" s="528">
        <f t="shared" si="421"/>
        <v>4.5977582846003902E-2</v>
      </c>
      <c r="EX115" s="528">
        <f t="shared" si="422"/>
        <v>1.6690858133306931E-4</v>
      </c>
      <c r="EY115" s="528">
        <f t="shared" si="423"/>
        <v>0.2244312145906471</v>
      </c>
      <c r="EZ115" s="528"/>
      <c r="FA115" s="625">
        <f t="shared" si="424"/>
        <v>0.15265957446808512</v>
      </c>
      <c r="FB115" s="460">
        <f t="shared" si="425"/>
        <v>429.10954949191716</v>
      </c>
      <c r="FC115" s="173">
        <f t="shared" si="426"/>
        <v>1.1210091042045667</v>
      </c>
      <c r="FD115" s="5">
        <f t="shared" si="427"/>
        <v>3.875</v>
      </c>
      <c r="FE115" s="173">
        <f t="shared" si="428"/>
        <v>0.77561908298743043</v>
      </c>
      <c r="FF115" s="5">
        <f t="shared" si="429"/>
        <v>77.561908298743049</v>
      </c>
      <c r="FG115">
        <f t="shared" si="430"/>
        <v>5</v>
      </c>
      <c r="FI115" s="562">
        <f t="shared" si="431"/>
        <v>-50</v>
      </c>
      <c r="FJ115">
        <f t="shared" si="432"/>
        <v>-50</v>
      </c>
    </row>
    <row r="116" spans="5:166">
      <c r="E116" s="170">
        <v>6</v>
      </c>
      <c r="F116" s="217">
        <f t="shared" si="433"/>
        <v>0.15</v>
      </c>
      <c r="G116" s="217">
        <f t="shared" si="312"/>
        <v>1.4999999999999999E-2</v>
      </c>
      <c r="H116" s="217">
        <f t="shared" si="313"/>
        <v>4.2</v>
      </c>
      <c r="I116" s="217">
        <f t="shared" si="314"/>
        <v>0.44999999999999996</v>
      </c>
      <c r="J116" s="541">
        <f t="shared" si="315"/>
        <v>18.942767356471048</v>
      </c>
      <c r="K116" s="443">
        <f t="shared" si="316"/>
        <v>28.723211061749385</v>
      </c>
      <c r="L116" s="172">
        <f t="shared" si="317"/>
        <v>47.665978418220433</v>
      </c>
      <c r="M116" s="443"/>
      <c r="N116" s="217">
        <f t="shared" si="318"/>
        <v>0.60259354816411093</v>
      </c>
      <c r="O116" s="172">
        <f t="shared" si="319"/>
        <v>85.917769627615371</v>
      </c>
      <c r="P116" s="172">
        <f t="shared" si="320"/>
        <v>10.191776244092129</v>
      </c>
      <c r="Q116" s="217">
        <f t="shared" si="321"/>
        <v>3.0684917724148346</v>
      </c>
      <c r="R116" s="217">
        <f t="shared" si="322"/>
        <v>2.8639256542538458</v>
      </c>
      <c r="S116" s="217">
        <f t="shared" si="323"/>
        <v>28</v>
      </c>
      <c r="T116" s="217">
        <f t="shared" si="324"/>
        <v>0.81473250880922388</v>
      </c>
      <c r="U116" s="217">
        <f t="shared" si="325"/>
        <v>0.2021480135052835</v>
      </c>
      <c r="V116" s="217">
        <f t="shared" si="326"/>
        <v>0.13331527534199489</v>
      </c>
      <c r="W116" s="197">
        <f t="shared" si="327"/>
        <v>350</v>
      </c>
      <c r="X116" s="443">
        <f t="shared" si="434"/>
        <v>350</v>
      </c>
      <c r="Z116" s="217">
        <f t="shared" si="328"/>
        <v>6.9390816981052783</v>
      </c>
      <c r="AA116" s="173">
        <f t="shared" si="329"/>
        <v>1.1354470052453971</v>
      </c>
      <c r="AB116" s="173">
        <f t="shared" si="330"/>
        <v>1.2453839262260398</v>
      </c>
      <c r="AC116" s="173"/>
      <c r="AD116" s="173">
        <f t="shared" si="331"/>
        <v>0.54543576736550603</v>
      </c>
      <c r="AE116" s="545">
        <f t="shared" si="332"/>
        <v>165.00568056749648</v>
      </c>
      <c r="AF116" s="528">
        <f t="shared" si="333"/>
        <v>0.31817086429654512</v>
      </c>
      <c r="AH116" s="173">
        <f t="shared" si="334"/>
        <v>2.377708022598545</v>
      </c>
      <c r="AI116" s="173">
        <f t="shared" si="335"/>
        <v>3.3333333333333335</v>
      </c>
      <c r="AJ116" s="173">
        <f t="shared" si="336"/>
        <v>1.0942889603242838</v>
      </c>
      <c r="AL116" s="545">
        <f t="shared" si="337"/>
        <v>150</v>
      </c>
      <c r="AM116" s="460">
        <f t="shared" si="338"/>
        <v>165.00568056749648</v>
      </c>
      <c r="AO116" s="460">
        <f t="shared" si="339"/>
        <v>150</v>
      </c>
      <c r="AP116" s="460">
        <f t="shared" si="340"/>
        <v>165.00568056749648</v>
      </c>
      <c r="AR116" s="5">
        <f t="shared" si="274"/>
        <v>6.0603974151722886</v>
      </c>
      <c r="AS116" s="5">
        <f t="shared" si="439"/>
        <v>0.8270526883346202</v>
      </c>
      <c r="AT116" s="5">
        <f t="shared" si="440"/>
        <v>5.233344726837668</v>
      </c>
      <c r="AU116" s="173">
        <f t="shared" si="441"/>
        <v>0.13646839170383157</v>
      </c>
      <c r="AW116" s="5">
        <f t="shared" si="341"/>
        <v>0.44306394017926082</v>
      </c>
      <c r="AX116" s="5">
        <f t="shared" si="342"/>
        <v>4.135263441673101E-2</v>
      </c>
      <c r="AY116" s="5">
        <f t="shared" si="343"/>
        <v>0.82881417931523649</v>
      </c>
      <c r="AZ116" s="5"/>
      <c r="BA116" s="173">
        <f t="shared" si="344"/>
        <v>0.71094197216929655</v>
      </c>
      <c r="BB116" s="173">
        <f t="shared" si="345"/>
        <v>1.7883694293718331</v>
      </c>
      <c r="BC116" s="173">
        <f t="shared" si="346"/>
        <v>0.18030281951863564</v>
      </c>
      <c r="BD116" s="173"/>
      <c r="BE116" s="528">
        <f t="shared" si="347"/>
        <v>6.0652618535036269E-3</v>
      </c>
      <c r="BF116" s="528">
        <f t="shared" si="348"/>
        <v>0.47846373020285549</v>
      </c>
      <c r="BG116" s="528">
        <f t="shared" si="349"/>
        <v>1.8975653265262096E-2</v>
      </c>
      <c r="BH116" s="528">
        <f t="shared" si="350"/>
        <v>0.18463845378233665</v>
      </c>
      <c r="BI116">
        <f t="shared" si="351"/>
        <v>8.5242453104119719E-3</v>
      </c>
      <c r="BJ116" s="460">
        <f t="shared" si="435"/>
        <v>27.499898575674067</v>
      </c>
      <c r="BK116">
        <f t="shared" si="352"/>
        <v>0.67177316302037604</v>
      </c>
      <c r="BL116" s="460">
        <f t="shared" si="436"/>
        <v>696.66734441436984</v>
      </c>
      <c r="BM116" s="173">
        <f t="shared" si="353"/>
        <v>0.10059</v>
      </c>
      <c r="BN116" s="173">
        <f t="shared" si="354"/>
        <v>1.0058999999999998E-2</v>
      </c>
      <c r="BO116" s="528"/>
      <c r="BQ116" s="460">
        <f t="shared" si="355"/>
        <v>110.649</v>
      </c>
      <c r="BR116" s="528">
        <f t="shared" si="356"/>
        <v>7.0761388290875643E-3</v>
      </c>
      <c r="BS116" s="528">
        <f t="shared" si="357"/>
        <v>4.4775713022764299E-2</v>
      </c>
      <c r="BT116" s="528">
        <f t="shared" si="358"/>
        <v>1.6254553363184848E-4</v>
      </c>
      <c r="BU116" s="528">
        <f t="shared" si="359"/>
        <v>0.35474322246416518</v>
      </c>
      <c r="BV116" s="528"/>
      <c r="BW116" s="625">
        <f t="shared" si="360"/>
        <v>0.18333964507499612</v>
      </c>
      <c r="BX116" s="460">
        <f t="shared" si="361"/>
        <v>590.09726492464495</v>
      </c>
      <c r="BY116" s="173">
        <f t="shared" si="362"/>
        <v>1.3974136093390146</v>
      </c>
      <c r="BZ116" s="5">
        <f t="shared" si="363"/>
        <v>4.6500000000000004</v>
      </c>
      <c r="CA116" s="173">
        <f t="shared" si="364"/>
        <v>0.76892375821938319</v>
      </c>
      <c r="CB116" s="5">
        <f t="shared" si="365"/>
        <v>76.892375821938316</v>
      </c>
      <c r="CC116">
        <f t="shared" si="366"/>
        <v>6</v>
      </c>
      <c r="CE116" s="562">
        <f t="shared" si="367"/>
        <v>-50</v>
      </c>
      <c r="CF116">
        <f t="shared" si="368"/>
        <v>-50</v>
      </c>
      <c r="CG116" s="173">
        <f t="shared" si="369"/>
        <v>9.0474103368210781E-2</v>
      </c>
      <c r="CH116" s="173">
        <f t="shared" si="370"/>
        <v>2.9339417065242155E-2</v>
      </c>
      <c r="CI116" s="170">
        <v>6</v>
      </c>
      <c r="CJ116" s="217">
        <f t="shared" si="437"/>
        <v>0.15</v>
      </c>
      <c r="CK116" s="217">
        <f t="shared" si="371"/>
        <v>1.4999999999999999E-2</v>
      </c>
      <c r="CL116" s="217">
        <f t="shared" si="372"/>
        <v>4.2</v>
      </c>
      <c r="CM116" s="217">
        <f t="shared" si="373"/>
        <v>0.44999999999999996</v>
      </c>
      <c r="CN116" s="541">
        <f t="shared" si="374"/>
        <v>19</v>
      </c>
      <c r="CO116" s="443">
        <f t="shared" si="375"/>
        <v>28.7</v>
      </c>
      <c r="CP116" s="443">
        <f t="shared" si="376"/>
        <v>47.7</v>
      </c>
      <c r="CQ116" s="443"/>
      <c r="CR116" s="217">
        <f t="shared" si="377"/>
        <v>0.59915611814345993</v>
      </c>
      <c r="CS116" s="172">
        <f t="shared" si="378"/>
        <v>85.685767433419556</v>
      </c>
      <c r="CT116" s="172">
        <f t="shared" si="379"/>
        <v>10.164255575647982</v>
      </c>
      <c r="CU116" s="217">
        <f t="shared" si="380"/>
        <v>3.0602059797649841</v>
      </c>
      <c r="CV116" s="217">
        <f t="shared" si="381"/>
        <v>2.8561922477806521</v>
      </c>
      <c r="CW116" s="217">
        <f t="shared" si="382"/>
        <v>28</v>
      </c>
      <c r="CX116" s="217">
        <f t="shared" si="383"/>
        <v>0.81693847294292066</v>
      </c>
      <c r="CY116" s="217">
        <f t="shared" si="384"/>
        <v>0.20208478014903827</v>
      </c>
      <c r="CZ116" s="217">
        <f t="shared" si="385"/>
        <v>0.13378434922758631</v>
      </c>
      <c r="DA116" s="197">
        <f t="shared" si="386"/>
        <v>350</v>
      </c>
      <c r="DB116" s="443">
        <f t="shared" si="387"/>
        <v>350</v>
      </c>
      <c r="DD116" s="217">
        <f t="shared" si="388"/>
        <v>6.9494625094785683</v>
      </c>
      <c r="DE116" s="173">
        <f t="shared" si="389"/>
        <v>1.1380652890086853</v>
      </c>
      <c r="DF116" s="173">
        <f t="shared" si="390"/>
        <v>1.2501230996965573</v>
      </c>
      <c r="DG116" s="173"/>
      <c r="DH116" s="173">
        <f t="shared" si="391"/>
        <v>0.54587688734030204</v>
      </c>
      <c r="DI116" s="545">
        <f t="shared" si="392"/>
        <v>164.87234042553192</v>
      </c>
      <c r="DJ116" s="528">
        <f t="shared" si="393"/>
        <v>0.31842818428184283</v>
      </c>
      <c r="DL116" s="173">
        <f t="shared" si="394"/>
        <v>2.377708022598545</v>
      </c>
      <c r="DM116" s="173">
        <f t="shared" si="395"/>
        <v>3.3333333333333335</v>
      </c>
      <c r="DN116" s="173">
        <f t="shared" si="396"/>
        <v>1.0942127659574468</v>
      </c>
      <c r="DP116" s="545">
        <f t="shared" si="397"/>
        <v>150</v>
      </c>
      <c r="DQ116" s="460">
        <f t="shared" si="398"/>
        <v>164.87234042553192</v>
      </c>
      <c r="DS116" s="460">
        <f t="shared" si="399"/>
        <v>150</v>
      </c>
      <c r="DT116" s="460">
        <f t="shared" si="400"/>
        <v>164.87234042553192</v>
      </c>
      <c r="DV116" s="5">
        <f t="shared" si="401"/>
        <v>6.0652987482255769</v>
      </c>
      <c r="DW116" s="5">
        <f t="shared" si="402"/>
        <v>0.82456140350877194</v>
      </c>
      <c r="DX116" s="5">
        <f t="shared" si="403"/>
        <v>5.2407373447168046</v>
      </c>
      <c r="DY116" s="173">
        <f t="shared" si="404"/>
        <v>0.13594736842105265</v>
      </c>
      <c r="EA116" s="5">
        <f t="shared" si="405"/>
        <v>0.44172932330827064</v>
      </c>
      <c r="EB116" s="5">
        <f t="shared" si="406"/>
        <v>4.12280701754386E-2</v>
      </c>
      <c r="EC116" s="5">
        <f t="shared" si="407"/>
        <v>0.82748484390265331</v>
      </c>
      <c r="ED116" s="5"/>
      <c r="EE116" s="173">
        <f t="shared" si="408"/>
        <v>0.7095835200523084</v>
      </c>
      <c r="EF116" s="173">
        <f t="shared" si="409"/>
        <v>1.7889088662572725</v>
      </c>
      <c r="EG116" s="173">
        <f t="shared" si="410"/>
        <v>0.18035720536856109</v>
      </c>
      <c r="EH116" s="173"/>
      <c r="EI116" s="528">
        <f t="shared" si="411"/>
        <v>6.0421052631578973E-3</v>
      </c>
      <c r="EJ116" s="528">
        <f t="shared" si="412"/>
        <v>0.49807934042553209</v>
      </c>
      <c r="EK116" s="528">
        <f t="shared" si="413"/>
        <v>1.8960319148936172E-2</v>
      </c>
      <c r="EL116" s="528">
        <f t="shared" si="414"/>
        <v>0.18475270081755324</v>
      </c>
      <c r="EM116">
        <f t="shared" si="415"/>
        <v>8.5500000000000003E-3</v>
      </c>
      <c r="EN116" s="460">
        <f t="shared" si="416"/>
        <v>27.510319148936173</v>
      </c>
      <c r="EP116" s="460">
        <f t="shared" si="438"/>
        <v>716.38446565517927</v>
      </c>
      <c r="EQ116" s="173">
        <f t="shared" si="417"/>
        <v>0.105</v>
      </c>
      <c r="ER116" s="173">
        <f t="shared" si="418"/>
        <v>7.1849999999999995E-3</v>
      </c>
      <c r="ES116" s="528"/>
      <c r="EU116" s="460">
        <f t="shared" si="419"/>
        <v>112.18499999999999</v>
      </c>
      <c r="EV116" s="528">
        <f t="shared" si="420"/>
        <v>7.0491228070175471E-3</v>
      </c>
      <c r="EW116" s="528">
        <f t="shared" si="421"/>
        <v>4.4802729044834323E-2</v>
      </c>
      <c r="EX116" s="528">
        <f t="shared" si="422"/>
        <v>1.626436076417866E-4</v>
      </c>
      <c r="EY116" s="528">
        <f t="shared" si="423"/>
        <v>0.3540269918579893</v>
      </c>
      <c r="EZ116" s="528"/>
      <c r="FA116" s="625">
        <f t="shared" si="424"/>
        <v>0.18319148936170215</v>
      </c>
      <c r="FB116" s="460">
        <f t="shared" si="425"/>
        <v>589.23297667918507</v>
      </c>
      <c r="FC116" s="173">
        <f t="shared" si="426"/>
        <v>1.4178024423343643</v>
      </c>
      <c r="FD116" s="5">
        <f t="shared" si="427"/>
        <v>4.6500000000000004</v>
      </c>
      <c r="FE116" s="173">
        <f t="shared" si="428"/>
        <v>0.76634004554226764</v>
      </c>
      <c r="FF116" s="5">
        <f t="shared" si="429"/>
        <v>76.634004554226763</v>
      </c>
      <c r="FG116">
        <f t="shared" si="430"/>
        <v>6</v>
      </c>
      <c r="FI116" s="562">
        <f t="shared" si="431"/>
        <v>-50</v>
      </c>
      <c r="FJ116">
        <f t="shared" si="432"/>
        <v>-50</v>
      </c>
    </row>
    <row r="117" spans="5:166">
      <c r="E117" s="170">
        <v>7</v>
      </c>
      <c r="F117" s="217">
        <f t="shared" si="433"/>
        <v>0.17500000000000002</v>
      </c>
      <c r="G117" s="217">
        <f t="shared" si="312"/>
        <v>1.7500000000000002E-2</v>
      </c>
      <c r="H117" s="217">
        <f t="shared" si="313"/>
        <v>4.9000000000000004</v>
      </c>
      <c r="I117" s="217">
        <f t="shared" si="314"/>
        <v>0.52500000000000002</v>
      </c>
      <c r="J117" s="541">
        <f t="shared" si="315"/>
        <v>18.942767356471048</v>
      </c>
      <c r="K117" s="443">
        <f t="shared" si="316"/>
        <v>28.723211061749385</v>
      </c>
      <c r="L117" s="172">
        <f t="shared" si="317"/>
        <v>47.665978418220433</v>
      </c>
      <c r="M117" s="443"/>
      <c r="N117" s="217">
        <f t="shared" si="318"/>
        <v>0.60259354816411093</v>
      </c>
      <c r="O117" s="172">
        <f t="shared" si="319"/>
        <v>85.917769627615371</v>
      </c>
      <c r="P117" s="172">
        <f t="shared" si="320"/>
        <v>10.191776244092129</v>
      </c>
      <c r="Q117" s="217">
        <f t="shared" si="321"/>
        <v>3.0684917724148346</v>
      </c>
      <c r="R117" s="217">
        <f t="shared" si="322"/>
        <v>2.8639256542538458</v>
      </c>
      <c r="S117" s="217">
        <f t="shared" si="323"/>
        <v>28</v>
      </c>
      <c r="T117" s="217">
        <f t="shared" si="324"/>
        <v>0.95052126027742789</v>
      </c>
      <c r="U117" s="217">
        <f t="shared" si="325"/>
        <v>0.23583934908949739</v>
      </c>
      <c r="V117" s="217">
        <f t="shared" si="326"/>
        <v>0.15553448789899402</v>
      </c>
      <c r="W117" s="197">
        <f t="shared" si="327"/>
        <v>350</v>
      </c>
      <c r="X117" s="443">
        <f t="shared" si="434"/>
        <v>350</v>
      </c>
      <c r="Z117" s="217">
        <f t="shared" si="328"/>
        <v>6.9390816981052783</v>
      </c>
      <c r="AA117" s="173">
        <f t="shared" si="329"/>
        <v>1.1354470052453971</v>
      </c>
      <c r="AB117" s="173">
        <f t="shared" si="330"/>
        <v>1.2453839262260398</v>
      </c>
      <c r="AC117" s="173"/>
      <c r="AD117" s="173">
        <f t="shared" si="331"/>
        <v>0.54543576736550603</v>
      </c>
      <c r="AE117" s="545">
        <f t="shared" si="332"/>
        <v>192.50662732874591</v>
      </c>
      <c r="AF117" s="528">
        <f t="shared" si="333"/>
        <v>0.31817086429654512</v>
      </c>
      <c r="AH117" s="173">
        <f t="shared" si="334"/>
        <v>2.5682181918308777</v>
      </c>
      <c r="AI117" s="173">
        <f t="shared" si="335"/>
        <v>3.3333333333333335</v>
      </c>
      <c r="AJ117" s="173">
        <f t="shared" si="336"/>
        <v>1.1100037870449977</v>
      </c>
      <c r="AL117" s="545">
        <f t="shared" si="337"/>
        <v>175.00000000000003</v>
      </c>
      <c r="AM117" s="460">
        <f t="shared" si="338"/>
        <v>192.50662732874591</v>
      </c>
      <c r="AO117" s="460">
        <f t="shared" si="339"/>
        <v>175.00000000000003</v>
      </c>
      <c r="AP117" s="460">
        <f t="shared" si="340"/>
        <v>192.50662732874591</v>
      </c>
      <c r="AR117" s="5">
        <f t="shared" si="274"/>
        <v>5.1946263558619616</v>
      </c>
      <c r="AS117" s="5">
        <f t="shared" si="439"/>
        <v>0.8270526883346202</v>
      </c>
      <c r="AT117" s="5">
        <f t="shared" si="440"/>
        <v>4.3675736675273411</v>
      </c>
      <c r="AU117" s="173">
        <f t="shared" si="441"/>
        <v>0.15921312365447016</v>
      </c>
      <c r="AW117" s="5">
        <f t="shared" si="341"/>
        <v>0.51690793020913761</v>
      </c>
      <c r="AX117" s="5">
        <f t="shared" si="342"/>
        <v>4.8244740152852857E-2</v>
      </c>
      <c r="AY117" s="5">
        <f t="shared" si="343"/>
        <v>0.80698387667859217</v>
      </c>
      <c r="AZ117" s="5"/>
      <c r="BA117" s="173">
        <f t="shared" si="344"/>
        <v>0.76790509554065134</v>
      </c>
      <c r="BB117" s="173">
        <f t="shared" si="345"/>
        <v>1.7646601565022106</v>
      </c>
      <c r="BC117" s="173">
        <f t="shared" si="346"/>
        <v>0.17791245840145239</v>
      </c>
      <c r="BD117" s="173"/>
      <c r="BE117" s="528">
        <f t="shared" si="347"/>
        <v>7.0761388290875625E-3</v>
      </c>
      <c r="BF117" s="528">
        <f t="shared" si="348"/>
        <v>0.55820768523666475</v>
      </c>
      <c r="BG117" s="528">
        <f t="shared" si="349"/>
        <v>2.213826214280578E-2</v>
      </c>
      <c r="BH117" s="528">
        <f t="shared" si="350"/>
        <v>0.21541152941272609</v>
      </c>
      <c r="BI117">
        <f t="shared" si="351"/>
        <v>8.5242453104119719E-3</v>
      </c>
      <c r="BJ117" s="460">
        <f t="shared" si="435"/>
        <v>30.662507453217753</v>
      </c>
      <c r="BK117">
        <f t="shared" si="352"/>
        <v>0.7839239148603635</v>
      </c>
      <c r="BL117" s="460">
        <f t="shared" si="436"/>
        <v>811.35786093169611</v>
      </c>
      <c r="BM117" s="173">
        <f t="shared" si="353"/>
        <v>0.11735499999999999</v>
      </c>
      <c r="BN117" s="173">
        <f t="shared" si="354"/>
        <v>1.1735499999999999E-2</v>
      </c>
      <c r="BO117" s="528"/>
      <c r="BQ117" s="460">
        <f t="shared" si="355"/>
        <v>129.09049999999999</v>
      </c>
      <c r="BR117" s="528">
        <f t="shared" si="356"/>
        <v>8.2554953006021559E-3</v>
      </c>
      <c r="BS117" s="528">
        <f t="shared" si="357"/>
        <v>4.3596356551249688E-2</v>
      </c>
      <c r="BT117" s="528">
        <f t="shared" si="358"/>
        <v>1.5826421427224264E-4</v>
      </c>
      <c r="BU117" s="528">
        <f t="shared" si="359"/>
        <v>0.52153214410224746</v>
      </c>
      <c r="BV117" s="528"/>
      <c r="BW117" s="625">
        <f t="shared" si="360"/>
        <v>0.21389625258749548</v>
      </c>
      <c r="BX117" s="460">
        <f t="shared" si="361"/>
        <v>787.43851275586701</v>
      </c>
      <c r="BY117" s="173">
        <f t="shared" si="362"/>
        <v>1.727886873687563</v>
      </c>
      <c r="BZ117" s="5">
        <f t="shared" si="363"/>
        <v>5.4250000000000007</v>
      </c>
      <c r="CA117" s="173">
        <f t="shared" si="364"/>
        <v>0.75843503410577817</v>
      </c>
      <c r="CB117" s="5">
        <f t="shared" si="365"/>
        <v>75.843503410577824</v>
      </c>
      <c r="CC117">
        <f t="shared" si="366"/>
        <v>7.0000000000000009</v>
      </c>
      <c r="CE117" s="562">
        <f t="shared" si="367"/>
        <v>-50</v>
      </c>
      <c r="CF117">
        <f t="shared" si="368"/>
        <v>-50</v>
      </c>
      <c r="CG117" s="173">
        <f t="shared" si="369"/>
        <v>0.10555312059624594</v>
      </c>
      <c r="CH117" s="173">
        <f t="shared" si="370"/>
        <v>3.4229319909449184E-2</v>
      </c>
      <c r="CI117" s="170">
        <v>7</v>
      </c>
      <c r="CJ117" s="217">
        <f t="shared" si="437"/>
        <v>0.17500000000000002</v>
      </c>
      <c r="CK117" s="217">
        <f t="shared" si="371"/>
        <v>1.7500000000000002E-2</v>
      </c>
      <c r="CL117" s="217">
        <f t="shared" si="372"/>
        <v>4.9000000000000004</v>
      </c>
      <c r="CM117" s="217">
        <f t="shared" si="373"/>
        <v>0.52500000000000002</v>
      </c>
      <c r="CN117" s="541">
        <f t="shared" si="374"/>
        <v>19</v>
      </c>
      <c r="CO117" s="443">
        <f t="shared" si="375"/>
        <v>28.7</v>
      </c>
      <c r="CP117" s="443">
        <f t="shared" si="376"/>
        <v>47.7</v>
      </c>
      <c r="CQ117" s="443"/>
      <c r="CR117" s="217">
        <f t="shared" si="377"/>
        <v>0.59915611814345993</v>
      </c>
      <c r="CS117" s="172">
        <f t="shared" si="378"/>
        <v>85.685767433419556</v>
      </c>
      <c r="CT117" s="172">
        <f t="shared" si="379"/>
        <v>10.164255575647982</v>
      </c>
      <c r="CU117" s="217">
        <f t="shared" si="380"/>
        <v>3.0602059797649841</v>
      </c>
      <c r="CV117" s="217">
        <f t="shared" si="381"/>
        <v>2.8561922477806521</v>
      </c>
      <c r="CW117" s="217">
        <f t="shared" si="382"/>
        <v>28</v>
      </c>
      <c r="CX117" s="217">
        <f t="shared" si="383"/>
        <v>0.95309488510007423</v>
      </c>
      <c r="CY117" s="217">
        <f t="shared" si="384"/>
        <v>0.23576557684054467</v>
      </c>
      <c r="CZ117" s="217">
        <f t="shared" si="385"/>
        <v>0.15608174076551737</v>
      </c>
      <c r="DA117" s="197">
        <f t="shared" si="386"/>
        <v>350</v>
      </c>
      <c r="DB117" s="443">
        <f t="shared" si="387"/>
        <v>350</v>
      </c>
      <c r="DD117" s="217">
        <f t="shared" si="388"/>
        <v>6.9494625094785683</v>
      </c>
      <c r="DE117" s="173">
        <f t="shared" si="389"/>
        <v>1.1380652890086853</v>
      </c>
      <c r="DF117" s="173">
        <f t="shared" si="390"/>
        <v>1.2501230996965573</v>
      </c>
      <c r="DG117" s="173"/>
      <c r="DH117" s="173">
        <f t="shared" si="391"/>
        <v>0.54587688734030204</v>
      </c>
      <c r="DI117" s="545">
        <f t="shared" si="392"/>
        <v>192.35106382978725</v>
      </c>
      <c r="DJ117" s="528">
        <f t="shared" si="393"/>
        <v>0.31842818428184283</v>
      </c>
      <c r="DL117" s="173">
        <f t="shared" si="394"/>
        <v>2.5682181918308777</v>
      </c>
      <c r="DM117" s="173">
        <f t="shared" si="395"/>
        <v>3.3333333333333335</v>
      </c>
      <c r="DN117" s="173">
        <f t="shared" si="396"/>
        <v>1.1099148936170213</v>
      </c>
      <c r="DP117" s="545">
        <f t="shared" si="397"/>
        <v>175.00000000000003</v>
      </c>
      <c r="DQ117" s="460">
        <f t="shared" si="398"/>
        <v>192.35106382978725</v>
      </c>
      <c r="DS117" s="460">
        <f t="shared" si="399"/>
        <v>175.00000000000003</v>
      </c>
      <c r="DT117" s="460">
        <f t="shared" si="400"/>
        <v>192.35106382978725</v>
      </c>
      <c r="DV117" s="5">
        <f t="shared" si="401"/>
        <v>5.1988274984790657</v>
      </c>
      <c r="DW117" s="5">
        <f t="shared" si="402"/>
        <v>0.82456140350877194</v>
      </c>
      <c r="DX117" s="5">
        <f t="shared" si="403"/>
        <v>4.3742660949702934</v>
      </c>
      <c r="DY117" s="173">
        <f t="shared" si="404"/>
        <v>0.15860526315789475</v>
      </c>
      <c r="EA117" s="5">
        <f t="shared" si="405"/>
        <v>0.51535087719298245</v>
      </c>
      <c r="EB117" s="5">
        <f t="shared" si="406"/>
        <v>4.8099415204678364E-2</v>
      </c>
      <c r="EC117" s="5">
        <f t="shared" si="407"/>
        <v>0.80578585959979088</v>
      </c>
      <c r="ED117" s="5"/>
      <c r="EE117" s="173">
        <f t="shared" si="408"/>
        <v>0.76643779955375069</v>
      </c>
      <c r="EF117" s="173">
        <f t="shared" si="409"/>
        <v>1.7652979360773378</v>
      </c>
      <c r="EG117" s="173">
        <f t="shared" si="410"/>
        <v>0.17797675912910862</v>
      </c>
      <c r="EH117" s="173"/>
      <c r="EI117" s="528">
        <f t="shared" si="411"/>
        <v>7.0491228070175436E-3</v>
      </c>
      <c r="EJ117" s="528">
        <f t="shared" si="412"/>
        <v>0.58109256382978747</v>
      </c>
      <c r="EK117" s="528">
        <f t="shared" si="413"/>
        <v>2.2120372340425534E-2</v>
      </c>
      <c r="EL117" s="528">
        <f t="shared" si="414"/>
        <v>0.21554481762047878</v>
      </c>
      <c r="EM117">
        <f t="shared" si="415"/>
        <v>8.5500000000000003E-3</v>
      </c>
      <c r="EN117" s="460">
        <f t="shared" si="416"/>
        <v>30.670372340425537</v>
      </c>
      <c r="EP117" s="460">
        <f t="shared" si="438"/>
        <v>834.35687659770929</v>
      </c>
      <c r="EQ117" s="173">
        <f t="shared" si="417"/>
        <v>0.1225</v>
      </c>
      <c r="ER117" s="173">
        <f t="shared" si="418"/>
        <v>8.3825000000000011E-3</v>
      </c>
      <c r="ES117" s="528"/>
      <c r="EU117" s="460">
        <f t="shared" si="419"/>
        <v>130.88250000000002</v>
      </c>
      <c r="EV117" s="528">
        <f t="shared" si="420"/>
        <v>8.2239766081871335E-3</v>
      </c>
      <c r="EW117" s="528">
        <f t="shared" si="421"/>
        <v>4.3627875243664717E-2</v>
      </c>
      <c r="EX117" s="528">
        <f t="shared" si="422"/>
        <v>1.5837863395050375E-4</v>
      </c>
      <c r="EY117" s="528">
        <f t="shared" si="423"/>
        <v>0.52047916476379752</v>
      </c>
      <c r="EZ117" s="528"/>
      <c r="FA117" s="625">
        <f t="shared" si="424"/>
        <v>0.21372340425531919</v>
      </c>
      <c r="FB117" s="460">
        <f t="shared" si="425"/>
        <v>786.21279950491908</v>
      </c>
      <c r="FC117" s="173">
        <f t="shared" si="426"/>
        <v>1.7514521761026283</v>
      </c>
      <c r="FD117" s="5">
        <f t="shared" si="427"/>
        <v>5.4250000000000007</v>
      </c>
      <c r="FE117" s="173">
        <f t="shared" si="428"/>
        <v>0.75594456242112062</v>
      </c>
      <c r="FF117" s="5">
        <f t="shared" si="429"/>
        <v>75.594456242112059</v>
      </c>
      <c r="FG117">
        <f t="shared" si="430"/>
        <v>7.0000000000000009</v>
      </c>
      <c r="FI117" s="562">
        <f t="shared" si="431"/>
        <v>-50</v>
      </c>
      <c r="FJ117">
        <f t="shared" si="432"/>
        <v>-50</v>
      </c>
    </row>
    <row r="118" spans="5:166">
      <c r="E118" s="170">
        <v>8</v>
      </c>
      <c r="F118" s="217">
        <f t="shared" si="433"/>
        <v>0.2</v>
      </c>
      <c r="G118" s="217">
        <f t="shared" si="312"/>
        <v>0.02</v>
      </c>
      <c r="H118" s="217">
        <f t="shared" si="313"/>
        <v>5.6000000000000005</v>
      </c>
      <c r="I118" s="217">
        <f t="shared" si="314"/>
        <v>0.6</v>
      </c>
      <c r="J118" s="541">
        <f t="shared" si="315"/>
        <v>18.942767356471048</v>
      </c>
      <c r="K118" s="443">
        <f t="shared" si="316"/>
        <v>28.723211061749385</v>
      </c>
      <c r="L118" s="172">
        <f t="shared" si="317"/>
        <v>47.665978418220433</v>
      </c>
      <c r="M118" s="443"/>
      <c r="N118" s="217">
        <f t="shared" si="318"/>
        <v>0.60259354816411093</v>
      </c>
      <c r="O118" s="172">
        <f t="shared" si="319"/>
        <v>85.917769627615371</v>
      </c>
      <c r="P118" s="172">
        <f t="shared" si="320"/>
        <v>10.191776244092129</v>
      </c>
      <c r="Q118" s="217">
        <f t="shared" si="321"/>
        <v>3.0684917724148346</v>
      </c>
      <c r="R118" s="217">
        <f t="shared" si="322"/>
        <v>2.8639256542538458</v>
      </c>
      <c r="S118" s="217">
        <f t="shared" si="323"/>
        <v>28</v>
      </c>
      <c r="T118" s="217">
        <f t="shared" si="324"/>
        <v>1.0863100117456317</v>
      </c>
      <c r="U118" s="217">
        <f t="shared" si="325"/>
        <v>0.26953068467371122</v>
      </c>
      <c r="V118" s="217">
        <f t="shared" si="326"/>
        <v>0.17775370045599315</v>
      </c>
      <c r="W118" s="197">
        <f t="shared" si="327"/>
        <v>350</v>
      </c>
      <c r="X118" s="443">
        <f t="shared" si="434"/>
        <v>350</v>
      </c>
      <c r="Z118" s="217">
        <f t="shared" si="328"/>
        <v>6.9390816981052783</v>
      </c>
      <c r="AA118" s="173">
        <f t="shared" si="329"/>
        <v>1.1354470052453971</v>
      </c>
      <c r="AB118" s="173">
        <f t="shared" si="330"/>
        <v>1.2453839262260398</v>
      </c>
      <c r="AC118" s="173"/>
      <c r="AD118" s="173">
        <f t="shared" si="331"/>
        <v>0.54543576736550603</v>
      </c>
      <c r="AE118" s="545">
        <f t="shared" si="332"/>
        <v>220.00757408999533</v>
      </c>
      <c r="AF118" s="528">
        <f t="shared" si="333"/>
        <v>0.31817086429654512</v>
      </c>
      <c r="AH118" s="173">
        <f t="shared" si="334"/>
        <v>2.7455407338032054</v>
      </c>
      <c r="AI118" s="173">
        <f t="shared" si="335"/>
        <v>3.3333333333333335</v>
      </c>
      <c r="AJ118" s="173">
        <f t="shared" si="336"/>
        <v>1.1257186137657116</v>
      </c>
      <c r="AL118" s="545">
        <f t="shared" si="337"/>
        <v>200</v>
      </c>
      <c r="AM118" s="460">
        <f t="shared" si="338"/>
        <v>220.00757408999533</v>
      </c>
      <c r="AO118" s="460">
        <f t="shared" si="339"/>
        <v>200</v>
      </c>
      <c r="AP118" s="460">
        <f t="shared" si="340"/>
        <v>220.00757408999533</v>
      </c>
      <c r="AR118" s="5">
        <f t="shared" si="274"/>
        <v>4.5452980613792153</v>
      </c>
      <c r="AS118" s="5">
        <f t="shared" si="439"/>
        <v>0.8270526883346202</v>
      </c>
      <c r="AT118" s="5">
        <f t="shared" si="440"/>
        <v>3.7182453730445952</v>
      </c>
      <c r="AU118" s="173">
        <f t="shared" si="441"/>
        <v>0.1819578556051088</v>
      </c>
      <c r="AW118" s="5">
        <f t="shared" si="341"/>
        <v>0.59075192023901446</v>
      </c>
      <c r="AX118" s="5">
        <f t="shared" si="342"/>
        <v>5.5136845888974675E-2</v>
      </c>
      <c r="AY118" s="5">
        <f t="shared" si="343"/>
        <v>0.78515357404194774</v>
      </c>
      <c r="AZ118" s="5"/>
      <c r="BA118" s="173">
        <f t="shared" si="344"/>
        <v>0.82092507802029357</v>
      </c>
      <c r="BB118" s="173">
        <f t="shared" si="345"/>
        <v>1.7406279671374578</v>
      </c>
      <c r="BC118" s="173">
        <f t="shared" si="346"/>
        <v>0.17548954094910435</v>
      </c>
      <c r="BD118" s="173"/>
      <c r="BE118" s="528">
        <f t="shared" si="347"/>
        <v>8.0870158046715025E-3</v>
      </c>
      <c r="BF118" s="528">
        <f t="shared" si="348"/>
        <v>0.63795164027047402</v>
      </c>
      <c r="BG118" s="528">
        <f t="shared" si="349"/>
        <v>2.5300871020349468E-2</v>
      </c>
      <c r="BH118" s="528">
        <f t="shared" si="350"/>
        <v>0.2461846050431156</v>
      </c>
      <c r="BI118">
        <f t="shared" si="351"/>
        <v>8.5242453104119719E-3</v>
      </c>
      <c r="BJ118" s="460">
        <f t="shared" si="435"/>
        <v>33.825116330761439</v>
      </c>
      <c r="BK118">
        <f t="shared" si="352"/>
        <v>0.89612864413185001</v>
      </c>
      <c r="BL118" s="460">
        <f t="shared" si="436"/>
        <v>926.04837744902261</v>
      </c>
      <c r="BM118" s="173">
        <f t="shared" si="353"/>
        <v>0.13411999999999999</v>
      </c>
      <c r="BN118" s="173">
        <f t="shared" si="354"/>
        <v>1.3411999999999999E-2</v>
      </c>
      <c r="BO118" s="528"/>
      <c r="BQ118" s="460">
        <f t="shared" si="355"/>
        <v>147.53199999999998</v>
      </c>
      <c r="BR118" s="528">
        <f t="shared" si="356"/>
        <v>9.4348517721167518E-3</v>
      </c>
      <c r="BS118" s="528">
        <f t="shared" si="357"/>
        <v>4.2417000079735111E-2</v>
      </c>
      <c r="BT118" s="528">
        <f t="shared" si="358"/>
        <v>1.5398289491263688E-4</v>
      </c>
      <c r="BU118" s="528">
        <f t="shared" si="359"/>
        <v>0.72821722660579868</v>
      </c>
      <c r="BV118" s="528"/>
      <c r="BW118" s="625">
        <f t="shared" si="360"/>
        <v>0.24445286009999484</v>
      </c>
      <c r="BX118" s="460">
        <f t="shared" si="361"/>
        <v>1024.675921452558</v>
      </c>
      <c r="BY118" s="173">
        <f t="shared" si="362"/>
        <v>2.0982562989015805</v>
      </c>
      <c r="BZ118" s="5">
        <f t="shared" si="363"/>
        <v>6.2</v>
      </c>
      <c r="CA118" s="173">
        <f t="shared" si="364"/>
        <v>0.74714491535055116</v>
      </c>
      <c r="CB118" s="5">
        <f t="shared" si="365"/>
        <v>74.714491535055117</v>
      </c>
      <c r="CC118">
        <f t="shared" si="366"/>
        <v>8</v>
      </c>
      <c r="CE118" s="562">
        <f t="shared" si="367"/>
        <v>-50</v>
      </c>
      <c r="CF118">
        <f t="shared" si="368"/>
        <v>-50</v>
      </c>
      <c r="CG118" s="173">
        <f t="shared" si="369"/>
        <v>0.12063213782428106</v>
      </c>
      <c r="CH118" s="173">
        <f t="shared" si="370"/>
        <v>3.9119222753656209E-2</v>
      </c>
      <c r="CI118" s="170">
        <v>8</v>
      </c>
      <c r="CJ118" s="217">
        <f t="shared" si="437"/>
        <v>0.2</v>
      </c>
      <c r="CK118" s="217">
        <f t="shared" si="371"/>
        <v>0.02</v>
      </c>
      <c r="CL118" s="217">
        <f t="shared" si="372"/>
        <v>5.6000000000000005</v>
      </c>
      <c r="CM118" s="217">
        <f t="shared" si="373"/>
        <v>0.6</v>
      </c>
      <c r="CN118" s="541">
        <f t="shared" si="374"/>
        <v>19</v>
      </c>
      <c r="CO118" s="443">
        <f t="shared" si="375"/>
        <v>28.7</v>
      </c>
      <c r="CP118" s="443">
        <f t="shared" si="376"/>
        <v>47.7</v>
      </c>
      <c r="CQ118" s="443"/>
      <c r="CR118" s="217">
        <f t="shared" si="377"/>
        <v>0.59915611814345993</v>
      </c>
      <c r="CS118" s="172">
        <f t="shared" si="378"/>
        <v>85.685767433419556</v>
      </c>
      <c r="CT118" s="172">
        <f t="shared" si="379"/>
        <v>10.164255575647982</v>
      </c>
      <c r="CU118" s="217">
        <f t="shared" si="380"/>
        <v>3.0602059797649841</v>
      </c>
      <c r="CV118" s="217">
        <f t="shared" si="381"/>
        <v>2.8561922477806521</v>
      </c>
      <c r="CW118" s="217">
        <f t="shared" si="382"/>
        <v>28</v>
      </c>
      <c r="CX118" s="217">
        <f t="shared" si="383"/>
        <v>1.0892512972572275</v>
      </c>
      <c r="CY118" s="217">
        <f t="shared" si="384"/>
        <v>0.26944637353205103</v>
      </c>
      <c r="CZ118" s="217">
        <f t="shared" si="385"/>
        <v>0.1783791323034484</v>
      </c>
      <c r="DA118" s="197">
        <f t="shared" si="386"/>
        <v>350</v>
      </c>
      <c r="DB118" s="443">
        <f t="shared" si="387"/>
        <v>350</v>
      </c>
      <c r="DD118" s="217">
        <f t="shared" si="388"/>
        <v>6.9494625094785683</v>
      </c>
      <c r="DE118" s="173">
        <f t="shared" si="389"/>
        <v>1.1380652890086853</v>
      </c>
      <c r="DF118" s="173">
        <f t="shared" si="390"/>
        <v>1.2501230996965573</v>
      </c>
      <c r="DG118" s="173"/>
      <c r="DH118" s="173">
        <f t="shared" si="391"/>
        <v>0.54587688734030204</v>
      </c>
      <c r="DI118" s="545">
        <f t="shared" si="392"/>
        <v>219.82978723404256</v>
      </c>
      <c r="DJ118" s="528">
        <f t="shared" si="393"/>
        <v>0.31842818428184283</v>
      </c>
      <c r="DL118" s="173">
        <f t="shared" si="394"/>
        <v>2.7455407338032054</v>
      </c>
      <c r="DM118" s="173">
        <f t="shared" si="395"/>
        <v>3.3333333333333335</v>
      </c>
      <c r="DN118" s="173">
        <f t="shared" si="396"/>
        <v>1.1256170212765957</v>
      </c>
      <c r="DP118" s="545">
        <f t="shared" si="397"/>
        <v>200</v>
      </c>
      <c r="DQ118" s="460">
        <f t="shared" si="398"/>
        <v>219.82978723404256</v>
      </c>
      <c r="DS118" s="460">
        <f t="shared" si="399"/>
        <v>200</v>
      </c>
      <c r="DT118" s="460">
        <f t="shared" si="400"/>
        <v>219.82978723404256</v>
      </c>
      <c r="DV118" s="5">
        <f t="shared" si="401"/>
        <v>4.5489740611691829</v>
      </c>
      <c r="DW118" s="5">
        <f t="shared" si="402"/>
        <v>0.82456140350877194</v>
      </c>
      <c r="DX118" s="5">
        <f t="shared" si="403"/>
        <v>3.7244126576604111</v>
      </c>
      <c r="DY118" s="173">
        <f t="shared" si="404"/>
        <v>0.18126315789473685</v>
      </c>
      <c r="EA118" s="5">
        <f t="shared" si="405"/>
        <v>0.58897243107769426</v>
      </c>
      <c r="EB118" s="5">
        <f t="shared" si="406"/>
        <v>5.4970760233918128E-2</v>
      </c>
      <c r="EC118" s="5">
        <f t="shared" si="407"/>
        <v>0.78408687529692866</v>
      </c>
      <c r="ED118" s="5"/>
      <c r="EE118" s="173">
        <f t="shared" si="408"/>
        <v>0.81935647262944489</v>
      </c>
      <c r="EF118" s="173">
        <f t="shared" si="409"/>
        <v>1.7413668982910917</v>
      </c>
      <c r="EG118" s="173">
        <f t="shared" si="410"/>
        <v>0.17556403974574122</v>
      </c>
      <c r="EH118" s="173"/>
      <c r="EI118" s="528">
        <f t="shared" si="411"/>
        <v>8.0561403508771952E-3</v>
      </c>
      <c r="EJ118" s="528">
        <f t="shared" si="412"/>
        <v>0.66410578723404268</v>
      </c>
      <c r="EK118" s="528">
        <f t="shared" si="413"/>
        <v>2.5280425531914896E-2</v>
      </c>
      <c r="EL118" s="528">
        <f t="shared" si="414"/>
        <v>0.24633693442340432</v>
      </c>
      <c r="EM118">
        <f t="shared" si="415"/>
        <v>8.5500000000000003E-3</v>
      </c>
      <c r="EN118" s="460">
        <f t="shared" si="416"/>
        <v>33.830425531914898</v>
      </c>
      <c r="EP118" s="460">
        <f t="shared" si="438"/>
        <v>952.32928754023908</v>
      </c>
      <c r="EQ118" s="173">
        <f t="shared" si="417"/>
        <v>0.13999999999999999</v>
      </c>
      <c r="ER118" s="173">
        <f t="shared" si="418"/>
        <v>9.58E-3</v>
      </c>
      <c r="ES118" s="528"/>
      <c r="EU118" s="460">
        <f t="shared" si="419"/>
        <v>149.57999999999998</v>
      </c>
      <c r="EV118" s="528">
        <f t="shared" si="420"/>
        <v>9.3988304093567277E-3</v>
      </c>
      <c r="EW118" s="528">
        <f t="shared" si="421"/>
        <v>4.2453021442495124E-2</v>
      </c>
      <c r="EX118" s="528">
        <f t="shared" si="422"/>
        <v>1.5411366025922102E-4</v>
      </c>
      <c r="EY118" s="528">
        <f t="shared" si="423"/>
        <v>0.72674694773192594</v>
      </c>
      <c r="EZ118" s="528"/>
      <c r="FA118" s="625">
        <f t="shared" si="424"/>
        <v>0.2442553191489362</v>
      </c>
      <c r="FB118" s="460">
        <f t="shared" si="425"/>
        <v>1023.0082323929732</v>
      </c>
      <c r="FC118" s="173">
        <f t="shared" si="426"/>
        <v>2.124917519933212</v>
      </c>
      <c r="FD118" s="5">
        <f t="shared" si="427"/>
        <v>6.2</v>
      </c>
      <c r="FE118" s="173">
        <f t="shared" si="428"/>
        <v>0.74475212338797325</v>
      </c>
      <c r="FF118" s="5">
        <f t="shared" si="429"/>
        <v>74.47521233879732</v>
      </c>
      <c r="FG118">
        <f t="shared" si="430"/>
        <v>8</v>
      </c>
      <c r="FI118" s="562">
        <f t="shared" si="431"/>
        <v>-50</v>
      </c>
      <c r="FJ118">
        <f t="shared" si="432"/>
        <v>-50</v>
      </c>
    </row>
    <row r="119" spans="5:166">
      <c r="E119" s="170">
        <v>9</v>
      </c>
      <c r="F119" s="217">
        <f t="shared" si="433"/>
        <v>0.22499999999999998</v>
      </c>
      <c r="G119" s="217">
        <f t="shared" si="312"/>
        <v>2.2499999999999999E-2</v>
      </c>
      <c r="H119" s="217">
        <f t="shared" si="313"/>
        <v>6.2999999999999989</v>
      </c>
      <c r="I119" s="217">
        <f t="shared" si="314"/>
        <v>0.67499999999999993</v>
      </c>
      <c r="J119" s="541">
        <f t="shared" si="315"/>
        <v>18.942767356471048</v>
      </c>
      <c r="K119" s="443">
        <f t="shared" si="316"/>
        <v>28.723211061749385</v>
      </c>
      <c r="L119" s="172">
        <f t="shared" si="317"/>
        <v>47.665978418220433</v>
      </c>
      <c r="M119" s="443"/>
      <c r="N119" s="217">
        <f t="shared" si="318"/>
        <v>0.60259354816411093</v>
      </c>
      <c r="O119" s="172">
        <f t="shared" si="319"/>
        <v>85.917769627615371</v>
      </c>
      <c r="P119" s="172">
        <f t="shared" si="320"/>
        <v>10.191776244092129</v>
      </c>
      <c r="Q119" s="217">
        <f t="shared" si="321"/>
        <v>3.0684917724148346</v>
      </c>
      <c r="R119" s="217">
        <f t="shared" si="322"/>
        <v>2.8639256542538458</v>
      </c>
      <c r="S119" s="217">
        <f t="shared" si="323"/>
        <v>28</v>
      </c>
      <c r="T119" s="217">
        <f t="shared" si="324"/>
        <v>1.2220987632138356</v>
      </c>
      <c r="U119" s="217">
        <f t="shared" si="325"/>
        <v>0.30322202025792516</v>
      </c>
      <c r="V119" s="217">
        <f t="shared" si="326"/>
        <v>0.19997291301299225</v>
      </c>
      <c r="W119" s="197">
        <f t="shared" si="327"/>
        <v>350</v>
      </c>
      <c r="X119" s="443">
        <f t="shared" si="434"/>
        <v>350</v>
      </c>
      <c r="Z119" s="217">
        <f t="shared" si="328"/>
        <v>6.9390816981052783</v>
      </c>
      <c r="AA119" s="173">
        <f t="shared" si="329"/>
        <v>1.1354470052453971</v>
      </c>
      <c r="AB119" s="173">
        <f t="shared" si="330"/>
        <v>1.2453839262260398</v>
      </c>
      <c r="AC119" s="173"/>
      <c r="AD119" s="173">
        <f t="shared" si="331"/>
        <v>0.54543576736550603</v>
      </c>
      <c r="AE119" s="545">
        <f t="shared" si="332"/>
        <v>247.50852085124473</v>
      </c>
      <c r="AF119" s="528">
        <f t="shared" si="333"/>
        <v>0.31817086429654512</v>
      </c>
      <c r="AH119" s="173">
        <f t="shared" si="334"/>
        <v>2.9120857063442043</v>
      </c>
      <c r="AI119" s="173">
        <f t="shared" si="335"/>
        <v>3.3333333333333335</v>
      </c>
      <c r="AJ119" s="173">
        <f t="shared" si="336"/>
        <v>1.1414334404864255</v>
      </c>
      <c r="AL119" s="545">
        <f t="shared" si="337"/>
        <v>224.99999999999997</v>
      </c>
      <c r="AM119" s="460">
        <f t="shared" si="338"/>
        <v>247.50852085124473</v>
      </c>
      <c r="AO119" s="460">
        <f t="shared" si="339"/>
        <v>224.99999999999997</v>
      </c>
      <c r="AP119" s="460">
        <f t="shared" si="340"/>
        <v>247.50852085124473</v>
      </c>
      <c r="AR119" s="5">
        <f t="shared" si="274"/>
        <v>4.0402649434481921</v>
      </c>
      <c r="AS119" s="5">
        <f t="shared" si="439"/>
        <v>0.8270526883346202</v>
      </c>
      <c r="AT119" s="5">
        <f t="shared" si="440"/>
        <v>3.213212255113572</v>
      </c>
      <c r="AU119" s="173">
        <f t="shared" si="441"/>
        <v>0.20470258755574736</v>
      </c>
      <c r="AW119" s="5">
        <f t="shared" si="341"/>
        <v>0.6645959102688912</v>
      </c>
      <c r="AX119" s="5">
        <f t="shared" si="342"/>
        <v>6.2028951625096508E-2</v>
      </c>
      <c r="AY119" s="5">
        <f t="shared" si="343"/>
        <v>0.76332327140530343</v>
      </c>
      <c r="AZ119" s="5"/>
      <c r="BA119" s="173">
        <f t="shared" si="344"/>
        <v>0.87072253427136781</v>
      </c>
      <c r="BB119" s="173">
        <f t="shared" si="345"/>
        <v>1.7162592962649179</v>
      </c>
      <c r="BC119" s="173">
        <f t="shared" si="346"/>
        <v>0.17303269954146303</v>
      </c>
      <c r="BD119" s="173"/>
      <c r="BE119" s="528">
        <f t="shared" si="347"/>
        <v>9.0978927802554399E-3</v>
      </c>
      <c r="BF119" s="528">
        <f t="shared" si="348"/>
        <v>0.71769559530428317</v>
      </c>
      <c r="BG119" s="528">
        <f t="shared" si="349"/>
        <v>2.8463479897893149E-2</v>
      </c>
      <c r="BH119" s="528">
        <f t="shared" si="350"/>
        <v>0.27695768067350496</v>
      </c>
      <c r="BI119">
        <f t="shared" si="351"/>
        <v>8.5242453104119719E-3</v>
      </c>
      <c r="BJ119" s="460">
        <f t="shared" si="435"/>
        <v>36.987725208305122</v>
      </c>
      <c r="BK119">
        <f t="shared" si="352"/>
        <v>1.0083873898126987</v>
      </c>
      <c r="BL119" s="460">
        <f t="shared" si="436"/>
        <v>1040.7388939663488</v>
      </c>
      <c r="BM119" s="173">
        <f t="shared" si="353"/>
        <v>0.15088499999999996</v>
      </c>
      <c r="BN119" s="173">
        <f t="shared" si="354"/>
        <v>1.5088499999999999E-2</v>
      </c>
      <c r="BO119" s="528"/>
      <c r="BQ119" s="460">
        <f t="shared" si="355"/>
        <v>165.97349999999997</v>
      </c>
      <c r="BR119" s="528">
        <f t="shared" si="356"/>
        <v>1.0614208243631346E-2</v>
      </c>
      <c r="BS119" s="528">
        <f t="shared" si="357"/>
        <v>4.1237643608220513E-2</v>
      </c>
      <c r="BT119" s="528">
        <f t="shared" si="358"/>
        <v>1.4970157555303109E-4</v>
      </c>
      <c r="BU119" s="528">
        <f t="shared" si="359"/>
        <v>0.97755737034129997</v>
      </c>
      <c r="BV119" s="528"/>
      <c r="BW119" s="625">
        <f t="shared" si="360"/>
        <v>0.27500946761249417</v>
      </c>
      <c r="BX119" s="460">
        <f t="shared" si="361"/>
        <v>1304.568391381199</v>
      </c>
      <c r="BY119" s="173">
        <f t="shared" si="362"/>
        <v>2.5112807853475476</v>
      </c>
      <c r="BZ119" s="5">
        <f t="shared" si="363"/>
        <v>6.9749999999999988</v>
      </c>
      <c r="CA119" s="173">
        <f t="shared" si="364"/>
        <v>0.73527235360496002</v>
      </c>
      <c r="CB119" s="5">
        <f t="shared" si="365"/>
        <v>73.527235360496007</v>
      </c>
      <c r="CC119">
        <f t="shared" si="366"/>
        <v>9</v>
      </c>
      <c r="CE119" s="562">
        <f t="shared" si="367"/>
        <v>-50</v>
      </c>
      <c r="CF119">
        <f t="shared" si="368"/>
        <v>-50</v>
      </c>
      <c r="CG119" s="173">
        <f t="shared" si="369"/>
        <v>0.13571115505231618</v>
      </c>
      <c r="CH119" s="173">
        <f t="shared" si="370"/>
        <v>4.4009125597863234E-2</v>
      </c>
      <c r="CI119" s="170">
        <v>9</v>
      </c>
      <c r="CJ119" s="217">
        <f t="shared" si="437"/>
        <v>0.22499999999999998</v>
      </c>
      <c r="CK119" s="217">
        <f t="shared" si="371"/>
        <v>2.2499999999999999E-2</v>
      </c>
      <c r="CL119" s="217">
        <f t="shared" si="372"/>
        <v>6.2999999999999989</v>
      </c>
      <c r="CM119" s="217">
        <f t="shared" si="373"/>
        <v>0.67499999999999993</v>
      </c>
      <c r="CN119" s="541">
        <f t="shared" si="374"/>
        <v>19</v>
      </c>
      <c r="CO119" s="443">
        <f t="shared" si="375"/>
        <v>28.7</v>
      </c>
      <c r="CP119" s="443">
        <f t="shared" si="376"/>
        <v>47.7</v>
      </c>
      <c r="CQ119" s="443"/>
      <c r="CR119" s="217">
        <f t="shared" si="377"/>
        <v>0.59915611814345993</v>
      </c>
      <c r="CS119" s="172">
        <f t="shared" si="378"/>
        <v>85.685767433419556</v>
      </c>
      <c r="CT119" s="172">
        <f t="shared" si="379"/>
        <v>10.164255575647982</v>
      </c>
      <c r="CU119" s="217">
        <f t="shared" si="380"/>
        <v>3.0602059797649841</v>
      </c>
      <c r="CV119" s="217">
        <f t="shared" si="381"/>
        <v>2.8561922477806521</v>
      </c>
      <c r="CW119" s="217">
        <f t="shared" si="382"/>
        <v>28</v>
      </c>
      <c r="CX119" s="217">
        <f t="shared" si="383"/>
        <v>1.2254077094143807</v>
      </c>
      <c r="CY119" s="217">
        <f t="shared" si="384"/>
        <v>0.30312717022355734</v>
      </c>
      <c r="CZ119" s="217">
        <f t="shared" si="385"/>
        <v>0.20067652384137941</v>
      </c>
      <c r="DA119" s="197">
        <f t="shared" si="386"/>
        <v>350</v>
      </c>
      <c r="DB119" s="443">
        <f t="shared" si="387"/>
        <v>350</v>
      </c>
      <c r="DD119" s="217">
        <f t="shared" si="388"/>
        <v>6.9494625094785683</v>
      </c>
      <c r="DE119" s="173">
        <f t="shared" si="389"/>
        <v>1.1380652890086853</v>
      </c>
      <c r="DF119" s="173">
        <f t="shared" si="390"/>
        <v>1.2501230996965573</v>
      </c>
      <c r="DG119" s="173"/>
      <c r="DH119" s="173">
        <f t="shared" si="391"/>
        <v>0.54587688734030204</v>
      </c>
      <c r="DI119" s="545">
        <f t="shared" si="392"/>
        <v>247.30851063829786</v>
      </c>
      <c r="DJ119" s="528">
        <f t="shared" si="393"/>
        <v>0.31842818428184283</v>
      </c>
      <c r="DL119" s="173">
        <f t="shared" si="394"/>
        <v>2.9120857063442043</v>
      </c>
      <c r="DM119" s="173">
        <f t="shared" si="395"/>
        <v>3.3333333333333335</v>
      </c>
      <c r="DN119" s="173">
        <f t="shared" si="396"/>
        <v>1.1413191489361703</v>
      </c>
      <c r="DP119" s="545">
        <f t="shared" si="397"/>
        <v>224.99999999999997</v>
      </c>
      <c r="DQ119" s="460">
        <f t="shared" si="398"/>
        <v>247.30851063829786</v>
      </c>
      <c r="DS119" s="460">
        <f t="shared" si="399"/>
        <v>224.99999999999997</v>
      </c>
      <c r="DT119" s="460">
        <f t="shared" si="400"/>
        <v>247.30851063829786</v>
      </c>
      <c r="DV119" s="5">
        <f t="shared" si="401"/>
        <v>4.0435324988170516</v>
      </c>
      <c r="DW119" s="5">
        <f t="shared" si="402"/>
        <v>0.82456140350877194</v>
      </c>
      <c r="DX119" s="5">
        <f t="shared" si="403"/>
        <v>3.2189710953082797</v>
      </c>
      <c r="DY119" s="173">
        <f t="shared" si="404"/>
        <v>0.20392105263157895</v>
      </c>
      <c r="EA119" s="5">
        <f t="shared" si="405"/>
        <v>0.66259398496240596</v>
      </c>
      <c r="EB119" s="5">
        <f t="shared" si="406"/>
        <v>6.18421052631579E-2</v>
      </c>
      <c r="EC119" s="5">
        <f t="shared" si="407"/>
        <v>0.76238789099406601</v>
      </c>
      <c r="ED119" s="5"/>
      <c r="EE119" s="173">
        <f t="shared" si="408"/>
        <v>0.86905877700805534</v>
      </c>
      <c r="EF119" s="173">
        <f t="shared" si="409"/>
        <v>1.717102369053449</v>
      </c>
      <c r="EG119" s="173">
        <f t="shared" si="410"/>
        <v>0.17311769786358541</v>
      </c>
      <c r="EH119" s="173"/>
      <c r="EI119" s="528">
        <f t="shared" si="411"/>
        <v>9.0631578947368424E-3</v>
      </c>
      <c r="EJ119" s="528">
        <f t="shared" si="412"/>
        <v>0.74711901063829811</v>
      </c>
      <c r="EK119" s="528">
        <f t="shared" si="413"/>
        <v>2.8440478723404255E-2</v>
      </c>
      <c r="EL119" s="528">
        <f t="shared" si="414"/>
        <v>0.27712905122632986</v>
      </c>
      <c r="EM119">
        <f t="shared" si="415"/>
        <v>8.5500000000000003E-3</v>
      </c>
      <c r="EN119" s="460">
        <f t="shared" si="416"/>
        <v>36.990478723404252</v>
      </c>
      <c r="EP119" s="460">
        <f t="shared" si="438"/>
        <v>1070.3016984827691</v>
      </c>
      <c r="EQ119" s="173">
        <f t="shared" si="417"/>
        <v>0.15749999999999997</v>
      </c>
      <c r="ER119" s="173">
        <f t="shared" si="418"/>
        <v>1.0777499999999999E-2</v>
      </c>
      <c r="ES119" s="528"/>
      <c r="EU119" s="460">
        <f t="shared" si="419"/>
        <v>168.27749999999997</v>
      </c>
      <c r="EV119" s="528">
        <f t="shared" si="420"/>
        <v>1.0573684210526317E-2</v>
      </c>
      <c r="EW119" s="528">
        <f t="shared" si="421"/>
        <v>4.1278167641325539E-2</v>
      </c>
      <c r="EX119" s="528">
        <f t="shared" si="422"/>
        <v>1.4984868656793822E-4</v>
      </c>
      <c r="EY119" s="528">
        <f t="shared" si="423"/>
        <v>0.97558367087759645</v>
      </c>
      <c r="EZ119" s="528"/>
      <c r="FA119" s="625">
        <f t="shared" si="424"/>
        <v>0.27478723404255323</v>
      </c>
      <c r="FB119" s="460">
        <f t="shared" si="425"/>
        <v>1302.3726054585695</v>
      </c>
      <c r="FC119" s="173">
        <f t="shared" si="426"/>
        <v>2.540951803941339</v>
      </c>
      <c r="FD119" s="5">
        <f t="shared" si="427"/>
        <v>6.9749999999999988</v>
      </c>
      <c r="FE119" s="173">
        <f t="shared" si="428"/>
        <v>0.73297975270440929</v>
      </c>
      <c r="FF119" s="5">
        <f t="shared" si="429"/>
        <v>73.297975270440929</v>
      </c>
      <c r="FG119">
        <f t="shared" si="430"/>
        <v>9</v>
      </c>
      <c r="FI119" s="562">
        <f t="shared" si="431"/>
        <v>-50</v>
      </c>
      <c r="FJ119">
        <f t="shared" si="432"/>
        <v>-50</v>
      </c>
    </row>
    <row r="120" spans="5:166">
      <c r="E120" s="170">
        <v>10</v>
      </c>
      <c r="F120" s="217">
        <f t="shared" si="433"/>
        <v>0.25</v>
      </c>
      <c r="G120" s="217">
        <f t="shared" si="312"/>
        <v>2.5000000000000001E-2</v>
      </c>
      <c r="H120" s="217">
        <f t="shared" si="313"/>
        <v>7</v>
      </c>
      <c r="I120" s="217">
        <f t="shared" si="314"/>
        <v>0.75</v>
      </c>
      <c r="J120" s="541">
        <f t="shared" si="315"/>
        <v>18.942767356471048</v>
      </c>
      <c r="K120" s="443">
        <f t="shared" si="316"/>
        <v>28.723211061749385</v>
      </c>
      <c r="L120" s="172">
        <f t="shared" si="317"/>
        <v>47.665978418220433</v>
      </c>
      <c r="M120" s="443"/>
      <c r="N120" s="217">
        <f t="shared" si="318"/>
        <v>0.60259354816411093</v>
      </c>
      <c r="O120" s="172">
        <f t="shared" si="319"/>
        <v>85.917769627615371</v>
      </c>
      <c r="P120" s="172">
        <f t="shared" si="320"/>
        <v>10.191776244092129</v>
      </c>
      <c r="Q120" s="217">
        <f t="shared" si="321"/>
        <v>3.0684917724148346</v>
      </c>
      <c r="R120" s="217">
        <f t="shared" si="322"/>
        <v>2.8639256542538458</v>
      </c>
      <c r="S120" s="217">
        <f t="shared" si="323"/>
        <v>28</v>
      </c>
      <c r="T120" s="217">
        <f t="shared" si="324"/>
        <v>1.3578875146820397</v>
      </c>
      <c r="U120" s="217">
        <f t="shared" si="325"/>
        <v>0.33691335584213905</v>
      </c>
      <c r="V120" s="217">
        <f t="shared" si="326"/>
        <v>0.22219212556999143</v>
      </c>
      <c r="W120" s="197">
        <f t="shared" si="327"/>
        <v>350</v>
      </c>
      <c r="X120" s="443">
        <f t="shared" si="434"/>
        <v>350</v>
      </c>
      <c r="Z120" s="217">
        <f t="shared" si="328"/>
        <v>6.9390816981052783</v>
      </c>
      <c r="AA120" s="173">
        <f t="shared" si="329"/>
        <v>1.1354470052453971</v>
      </c>
      <c r="AB120" s="173">
        <f t="shared" si="330"/>
        <v>1.2453839262260398</v>
      </c>
      <c r="AC120" s="173"/>
      <c r="AD120" s="173">
        <f t="shared" si="331"/>
        <v>0.54543576736550603</v>
      </c>
      <c r="AE120" s="545">
        <f t="shared" si="332"/>
        <v>275.00946761249412</v>
      </c>
      <c r="AF120" s="528">
        <f t="shared" si="333"/>
        <v>0.31817086429654512</v>
      </c>
      <c r="AH120" s="173">
        <f t="shared" si="334"/>
        <v>3.0696078578893111</v>
      </c>
      <c r="AI120" s="173">
        <f t="shared" si="335"/>
        <v>3.3333333333333335</v>
      </c>
      <c r="AJ120" s="173">
        <f t="shared" si="336"/>
        <v>1.1571482672071396</v>
      </c>
      <c r="AL120" s="545">
        <f t="shared" si="337"/>
        <v>250</v>
      </c>
      <c r="AM120" s="460">
        <f t="shared" si="338"/>
        <v>275.00946761249412</v>
      </c>
      <c r="AO120" s="460">
        <f t="shared" si="339"/>
        <v>250</v>
      </c>
      <c r="AP120" s="460">
        <f t="shared" si="340"/>
        <v>275.00946761249412</v>
      </c>
      <c r="AR120" s="5">
        <f t="shared" si="274"/>
        <v>3.6362384491033732</v>
      </c>
      <c r="AS120" s="5">
        <f t="shared" si="439"/>
        <v>0.8270526883346202</v>
      </c>
      <c r="AT120" s="5">
        <f t="shared" si="440"/>
        <v>2.8091857607687531</v>
      </c>
      <c r="AU120" s="173">
        <f t="shared" si="441"/>
        <v>0.22744731950638594</v>
      </c>
      <c r="AW120" s="5">
        <f t="shared" si="341"/>
        <v>0.73843990029876805</v>
      </c>
      <c r="AX120" s="5">
        <f t="shared" si="342"/>
        <v>6.8921057361218355E-2</v>
      </c>
      <c r="AY120" s="5">
        <f t="shared" si="343"/>
        <v>0.74149296876865933</v>
      </c>
      <c r="AZ120" s="5"/>
      <c r="BA120" s="173">
        <f t="shared" si="344"/>
        <v>0.91782213944384738</v>
      </c>
      <c r="BB120" s="173">
        <f t="shared" si="345"/>
        <v>1.6915396016796125</v>
      </c>
      <c r="BC120" s="173">
        <f t="shared" si="346"/>
        <v>0.17054046803819045</v>
      </c>
      <c r="BD120" s="173"/>
      <c r="BE120" s="528">
        <f t="shared" si="347"/>
        <v>1.0108769755839376E-2</v>
      </c>
      <c r="BF120" s="528">
        <f t="shared" si="348"/>
        <v>0.79743955033809244</v>
      </c>
      <c r="BG120" s="528">
        <f t="shared" si="349"/>
        <v>3.1626088775436829E-2</v>
      </c>
      <c r="BH120" s="528">
        <f t="shared" si="350"/>
        <v>0.3077307563038944</v>
      </c>
      <c r="BI120">
        <f t="shared" si="351"/>
        <v>8.5242453104119719E-3</v>
      </c>
      <c r="BJ120" s="460">
        <f t="shared" si="435"/>
        <v>40.150334085848804</v>
      </c>
      <c r="BK120">
        <f t="shared" si="352"/>
        <v>1.1207001909183105</v>
      </c>
      <c r="BL120" s="460">
        <f t="shared" si="436"/>
        <v>1155.4294104836752</v>
      </c>
      <c r="BM120" s="173">
        <f t="shared" si="353"/>
        <v>0.16764999999999999</v>
      </c>
      <c r="BN120" s="173">
        <f t="shared" si="354"/>
        <v>1.6764999999999999E-2</v>
      </c>
      <c r="BO120" s="528"/>
      <c r="BQ120" s="460">
        <f t="shared" si="355"/>
        <v>184.41499999999999</v>
      </c>
      <c r="BR120" s="528">
        <f t="shared" si="356"/>
        <v>1.1793564715145938E-2</v>
      </c>
      <c r="BS120" s="528">
        <f t="shared" si="357"/>
        <v>4.0058287136705908E-2</v>
      </c>
      <c r="BT120" s="528">
        <f t="shared" si="358"/>
        <v>1.4542025619342528E-4</v>
      </c>
      <c r="BU120" s="528">
        <f t="shared" si="359"/>
        <v>1.2721431414663544</v>
      </c>
      <c r="BV120" s="528"/>
      <c r="BW120" s="625">
        <f t="shared" si="360"/>
        <v>0.30556607512499351</v>
      </c>
      <c r="BX120" s="460">
        <f t="shared" si="361"/>
        <v>1629.7064886993933</v>
      </c>
      <c r="BY120" s="173">
        <f t="shared" si="362"/>
        <v>2.9695508991830684</v>
      </c>
      <c r="BZ120" s="5">
        <f t="shared" si="363"/>
        <v>7.75</v>
      </c>
      <c r="CA120" s="173">
        <f t="shared" si="364"/>
        <v>0.72297804944334221</v>
      </c>
      <c r="CB120" s="5">
        <f t="shared" si="365"/>
        <v>72.297804944334217</v>
      </c>
      <c r="CC120">
        <f t="shared" si="366"/>
        <v>10</v>
      </c>
      <c r="CE120" s="562">
        <f t="shared" si="367"/>
        <v>-50</v>
      </c>
      <c r="CF120">
        <f t="shared" si="368"/>
        <v>-50</v>
      </c>
      <c r="CG120" s="173">
        <f t="shared" si="369"/>
        <v>0.1507901722803513</v>
      </c>
      <c r="CH120" s="173">
        <f t="shared" si="370"/>
        <v>4.889902844207026E-2</v>
      </c>
      <c r="CI120" s="170">
        <v>10</v>
      </c>
      <c r="CJ120" s="217">
        <f t="shared" si="437"/>
        <v>0.25</v>
      </c>
      <c r="CK120" s="217">
        <f t="shared" si="371"/>
        <v>2.5000000000000001E-2</v>
      </c>
      <c r="CL120" s="217">
        <f t="shared" si="372"/>
        <v>7</v>
      </c>
      <c r="CM120" s="217">
        <f t="shared" si="373"/>
        <v>0.75</v>
      </c>
      <c r="CN120" s="541">
        <f t="shared" si="374"/>
        <v>19</v>
      </c>
      <c r="CO120" s="443">
        <f t="shared" si="375"/>
        <v>28.7</v>
      </c>
      <c r="CP120" s="443">
        <f t="shared" si="376"/>
        <v>47.7</v>
      </c>
      <c r="CQ120" s="443"/>
      <c r="CR120" s="217">
        <f t="shared" si="377"/>
        <v>0.59915611814345993</v>
      </c>
      <c r="CS120" s="172">
        <f t="shared" si="378"/>
        <v>85.685767433419556</v>
      </c>
      <c r="CT120" s="172">
        <f t="shared" si="379"/>
        <v>10.164255575647982</v>
      </c>
      <c r="CU120" s="217">
        <f t="shared" si="380"/>
        <v>3.0602059797649841</v>
      </c>
      <c r="CV120" s="217">
        <f t="shared" si="381"/>
        <v>2.8561922477806521</v>
      </c>
      <c r="CW120" s="217">
        <f t="shared" si="382"/>
        <v>28</v>
      </c>
      <c r="CX120" s="217">
        <f t="shared" si="383"/>
        <v>1.3615641215715344</v>
      </c>
      <c r="CY120" s="217">
        <f t="shared" si="384"/>
        <v>0.33680796691506376</v>
      </c>
      <c r="CZ120" s="217">
        <f t="shared" si="385"/>
        <v>0.22297391537931052</v>
      </c>
      <c r="DA120" s="197">
        <f t="shared" si="386"/>
        <v>350</v>
      </c>
      <c r="DB120" s="443">
        <f t="shared" si="387"/>
        <v>350</v>
      </c>
      <c r="DD120" s="217">
        <f t="shared" si="388"/>
        <v>6.9494625094785683</v>
      </c>
      <c r="DE120" s="173">
        <f t="shared" si="389"/>
        <v>1.1380652890086853</v>
      </c>
      <c r="DF120" s="173">
        <f t="shared" si="390"/>
        <v>1.2501230996965573</v>
      </c>
      <c r="DG120" s="173"/>
      <c r="DH120" s="173">
        <f t="shared" si="391"/>
        <v>0.54587688734030204</v>
      </c>
      <c r="DI120" s="545">
        <f t="shared" si="392"/>
        <v>274.78723404255317</v>
      </c>
      <c r="DJ120" s="528">
        <f t="shared" si="393"/>
        <v>0.31842818428184283</v>
      </c>
      <c r="DL120" s="173">
        <f t="shared" si="394"/>
        <v>3.0696078578893111</v>
      </c>
      <c r="DM120" s="173">
        <f t="shared" si="395"/>
        <v>3.3333333333333335</v>
      </c>
      <c r="DN120" s="173">
        <f t="shared" si="396"/>
        <v>1.1570212765957446</v>
      </c>
      <c r="DP120" s="545">
        <f t="shared" si="397"/>
        <v>250</v>
      </c>
      <c r="DQ120" s="460">
        <f t="shared" si="398"/>
        <v>274.78723404255317</v>
      </c>
      <c r="DS120" s="460">
        <f t="shared" si="399"/>
        <v>250</v>
      </c>
      <c r="DT120" s="460">
        <f t="shared" si="400"/>
        <v>274.78723404255317</v>
      </c>
      <c r="DV120" s="5">
        <f t="shared" si="401"/>
        <v>3.6391792489353469</v>
      </c>
      <c r="DW120" s="5">
        <f t="shared" si="402"/>
        <v>0.82456140350877194</v>
      </c>
      <c r="DX120" s="5">
        <f t="shared" si="403"/>
        <v>2.8146178454265751</v>
      </c>
      <c r="DY120" s="173">
        <f t="shared" si="404"/>
        <v>0.22657894736842102</v>
      </c>
      <c r="EA120" s="5">
        <f t="shared" si="405"/>
        <v>0.73621553884711777</v>
      </c>
      <c r="EB120" s="5">
        <f t="shared" si="406"/>
        <v>6.8713450292397671E-2</v>
      </c>
      <c r="EC120" s="5">
        <f t="shared" si="407"/>
        <v>0.74068890669120391</v>
      </c>
      <c r="ED120" s="5"/>
      <c r="EE120" s="173">
        <f t="shared" si="408"/>
        <v>0.91606838530194212</v>
      </c>
      <c r="EF120" s="173">
        <f t="shared" si="409"/>
        <v>1.692490005038138</v>
      </c>
      <c r="EG120" s="173">
        <f t="shared" si="410"/>
        <v>0.17063628739318934</v>
      </c>
      <c r="EH120" s="173"/>
      <c r="EI120" s="528">
        <f t="shared" si="411"/>
        <v>1.007017543859649E-2</v>
      </c>
      <c r="EJ120" s="528">
        <f t="shared" si="412"/>
        <v>0.83013223404255332</v>
      </c>
      <c r="EK120" s="528">
        <f t="shared" si="413"/>
        <v>3.1600531914893613E-2</v>
      </c>
      <c r="EL120" s="528">
        <f t="shared" si="414"/>
        <v>0.30792116802925534</v>
      </c>
      <c r="EM120">
        <f t="shared" si="415"/>
        <v>8.5500000000000003E-3</v>
      </c>
      <c r="EN120" s="460">
        <f t="shared" si="416"/>
        <v>40.150531914893612</v>
      </c>
      <c r="EP120" s="460">
        <f t="shared" si="438"/>
        <v>1188.2741094252988</v>
      </c>
      <c r="EQ120" s="173">
        <f t="shared" si="417"/>
        <v>0.17499999999999999</v>
      </c>
      <c r="ER120" s="173">
        <f t="shared" si="418"/>
        <v>1.1975E-2</v>
      </c>
      <c r="ES120" s="528"/>
      <c r="EU120" s="460">
        <f t="shared" si="419"/>
        <v>186.97499999999999</v>
      </c>
      <c r="EV120" s="528">
        <f t="shared" si="420"/>
        <v>1.1748538011695904E-2</v>
      </c>
      <c r="EW120" s="528">
        <f t="shared" si="421"/>
        <v>4.0103313840155946E-2</v>
      </c>
      <c r="EX120" s="528">
        <f t="shared" si="422"/>
        <v>1.4558371287665554E-4</v>
      </c>
      <c r="EY120" s="528">
        <f t="shared" si="423"/>
        <v>1.2695746699758375</v>
      </c>
      <c r="EZ120" s="528"/>
      <c r="FA120" s="625">
        <f t="shared" si="424"/>
        <v>0.30531914893617024</v>
      </c>
      <c r="FB120" s="460">
        <f t="shared" si="425"/>
        <v>1626.8912544767363</v>
      </c>
      <c r="FC120" s="173">
        <f t="shared" si="426"/>
        <v>3.0021403639020354</v>
      </c>
      <c r="FD120" s="5">
        <f t="shared" si="427"/>
        <v>7.75</v>
      </c>
      <c r="FE120" s="173">
        <f t="shared" si="428"/>
        <v>0.72078672131354726</v>
      </c>
      <c r="FF120" s="5">
        <f t="shared" si="429"/>
        <v>72.078672131354722</v>
      </c>
      <c r="FG120">
        <f t="shared" si="430"/>
        <v>10</v>
      </c>
      <c r="FI120" s="562">
        <f t="shared" si="431"/>
        <v>-50</v>
      </c>
      <c r="FJ120">
        <f t="shared" si="432"/>
        <v>-50</v>
      </c>
    </row>
    <row r="121" spans="5:166">
      <c r="E121" s="170">
        <v>11</v>
      </c>
      <c r="F121" s="217">
        <f t="shared" si="433"/>
        <v>0.27500000000000002</v>
      </c>
      <c r="G121" s="217">
        <f t="shared" si="312"/>
        <v>2.75E-2</v>
      </c>
      <c r="H121" s="217">
        <f t="shared" si="313"/>
        <v>7.7000000000000011</v>
      </c>
      <c r="I121" s="217">
        <f t="shared" si="314"/>
        <v>0.82499999999999996</v>
      </c>
      <c r="J121" s="541">
        <f t="shared" si="315"/>
        <v>18.942767356471048</v>
      </c>
      <c r="K121" s="443">
        <f t="shared" si="316"/>
        <v>28.723211061749385</v>
      </c>
      <c r="L121" s="172">
        <f t="shared" si="317"/>
        <v>47.665978418220433</v>
      </c>
      <c r="M121" s="443"/>
      <c r="N121" s="217">
        <f t="shared" si="318"/>
        <v>0.60259354816411093</v>
      </c>
      <c r="O121" s="172">
        <f t="shared" si="319"/>
        <v>85.917769627615371</v>
      </c>
      <c r="P121" s="172">
        <f t="shared" si="320"/>
        <v>10.191776244092129</v>
      </c>
      <c r="Q121" s="217">
        <f t="shared" si="321"/>
        <v>3.0684917724148346</v>
      </c>
      <c r="R121" s="217">
        <f t="shared" si="322"/>
        <v>2.8639256542538458</v>
      </c>
      <c r="S121" s="217">
        <f t="shared" si="323"/>
        <v>28</v>
      </c>
      <c r="T121" s="217">
        <f t="shared" si="324"/>
        <v>1.4936762661502436</v>
      </c>
      <c r="U121" s="217">
        <f t="shared" si="325"/>
        <v>0.37060469142635299</v>
      </c>
      <c r="V121" s="217">
        <f t="shared" si="326"/>
        <v>0.24441133812699056</v>
      </c>
      <c r="W121" s="197">
        <f t="shared" si="327"/>
        <v>350</v>
      </c>
      <c r="X121" s="443">
        <f t="shared" si="434"/>
        <v>350</v>
      </c>
      <c r="Z121" s="217">
        <f t="shared" si="328"/>
        <v>6.9390816981052783</v>
      </c>
      <c r="AA121" s="173">
        <f t="shared" si="329"/>
        <v>1.1354470052453971</v>
      </c>
      <c r="AB121" s="173">
        <f t="shared" si="330"/>
        <v>1.2453839262260398</v>
      </c>
      <c r="AC121" s="173"/>
      <c r="AD121" s="173">
        <f t="shared" si="331"/>
        <v>0.54543576736550603</v>
      </c>
      <c r="AE121" s="545">
        <f t="shared" si="332"/>
        <v>302.51041437374357</v>
      </c>
      <c r="AF121" s="528">
        <f t="shared" si="333"/>
        <v>0.31817086429654512</v>
      </c>
      <c r="AH121" s="173">
        <f t="shared" si="334"/>
        <v>3.2194318817669347</v>
      </c>
      <c r="AI121" s="173">
        <f t="shared" si="335"/>
        <v>3.3333333333333335</v>
      </c>
      <c r="AJ121" s="173">
        <f t="shared" si="336"/>
        <v>1.1728630939278535</v>
      </c>
      <c r="AL121" s="545">
        <f t="shared" si="337"/>
        <v>275</v>
      </c>
      <c r="AM121" s="460">
        <f t="shared" si="338"/>
        <v>302.51041437374357</v>
      </c>
      <c r="AO121" s="460">
        <f t="shared" si="339"/>
        <v>275</v>
      </c>
      <c r="AP121" s="460">
        <f t="shared" si="340"/>
        <v>302.51041437374357</v>
      </c>
      <c r="AR121" s="5">
        <f t="shared" si="274"/>
        <v>3.3056713173667025</v>
      </c>
      <c r="AS121" s="5">
        <f t="shared" si="439"/>
        <v>0.8270526883346202</v>
      </c>
      <c r="AT121" s="5">
        <f t="shared" si="440"/>
        <v>2.4786186290320824</v>
      </c>
      <c r="AU121" s="173">
        <f t="shared" si="441"/>
        <v>0.25019205145702456</v>
      </c>
      <c r="AW121" s="5">
        <f t="shared" si="341"/>
        <v>0.8122838903286449</v>
      </c>
      <c r="AX121" s="5">
        <f t="shared" si="342"/>
        <v>7.581316309734018E-2</v>
      </c>
      <c r="AY121" s="5">
        <f t="shared" si="343"/>
        <v>0.71966266613201479</v>
      </c>
      <c r="AZ121" s="5"/>
      <c r="BA121" s="173">
        <f t="shared" si="344"/>
        <v>0.96261998089516598</v>
      </c>
      <c r="BB121" s="173">
        <f t="shared" si="345"/>
        <v>1.6664532624964596</v>
      </c>
      <c r="BC121" s="173">
        <f t="shared" si="346"/>
        <v>0.1680112715467742</v>
      </c>
      <c r="BD121" s="173"/>
      <c r="BE121" s="528">
        <f t="shared" si="347"/>
        <v>1.1119646731423316E-2</v>
      </c>
      <c r="BF121" s="528">
        <f t="shared" si="348"/>
        <v>0.87718350537190182</v>
      </c>
      <c r="BG121" s="528">
        <f t="shared" si="349"/>
        <v>3.478869765298051E-2</v>
      </c>
      <c r="BH121" s="528">
        <f t="shared" si="350"/>
        <v>0.33850383193428385</v>
      </c>
      <c r="BI121">
        <f t="shared" si="351"/>
        <v>8.5242453104119719E-3</v>
      </c>
      <c r="BJ121" s="460">
        <f t="shared" si="435"/>
        <v>43.312942963392487</v>
      </c>
      <c r="BK121">
        <f t="shared" si="352"/>
        <v>1.2330670865016686</v>
      </c>
      <c r="BL121" s="460">
        <f t="shared" si="436"/>
        <v>1270.1199270010015</v>
      </c>
      <c r="BM121" s="173">
        <f t="shared" si="353"/>
        <v>0.184415</v>
      </c>
      <c r="BN121" s="173">
        <f t="shared" si="354"/>
        <v>1.84415E-2</v>
      </c>
      <c r="BO121" s="528"/>
      <c r="BQ121" s="460">
        <f t="shared" si="355"/>
        <v>202.85649999999998</v>
      </c>
      <c r="BR121" s="528">
        <f t="shared" si="356"/>
        <v>1.2972921186660536E-2</v>
      </c>
      <c r="BS121" s="528">
        <f t="shared" si="357"/>
        <v>3.8878930665191318E-2</v>
      </c>
      <c r="BT121" s="528">
        <f t="shared" si="358"/>
        <v>1.4113893683381949E-4</v>
      </c>
      <c r="BU121" s="528">
        <f t="shared" si="359"/>
        <v>1.6144243293197515</v>
      </c>
      <c r="BV121" s="528"/>
      <c r="BW121" s="625">
        <f t="shared" si="360"/>
        <v>0.3361226826374929</v>
      </c>
      <c r="BX121" s="460">
        <f t="shared" si="361"/>
        <v>2002.54000274593</v>
      </c>
      <c r="BY121" s="173">
        <f t="shared" si="362"/>
        <v>3.4755164297469312</v>
      </c>
      <c r="BZ121" s="5">
        <f t="shared" si="363"/>
        <v>8.5250000000000004</v>
      </c>
      <c r="CA121" s="173">
        <f t="shared" si="364"/>
        <v>0.71038609462407754</v>
      </c>
      <c r="CB121" s="5">
        <f t="shared" si="365"/>
        <v>71.038609462407749</v>
      </c>
      <c r="CC121">
        <f t="shared" si="366"/>
        <v>11.000000000000002</v>
      </c>
      <c r="CE121" s="562">
        <f t="shared" si="367"/>
        <v>-50</v>
      </c>
      <c r="CF121">
        <f t="shared" si="368"/>
        <v>-50</v>
      </c>
      <c r="CG121" s="173">
        <f t="shared" si="369"/>
        <v>0.16586918950838647</v>
      </c>
      <c r="CH121" s="173">
        <f t="shared" si="370"/>
        <v>5.3788931286277285E-2</v>
      </c>
      <c r="CI121" s="170">
        <v>11</v>
      </c>
      <c r="CJ121" s="217">
        <f t="shared" si="437"/>
        <v>0.27500000000000002</v>
      </c>
      <c r="CK121" s="217">
        <f t="shared" si="371"/>
        <v>2.75E-2</v>
      </c>
      <c r="CL121" s="217">
        <f t="shared" si="372"/>
        <v>7.7000000000000011</v>
      </c>
      <c r="CM121" s="217">
        <f t="shared" si="373"/>
        <v>0.82499999999999996</v>
      </c>
      <c r="CN121" s="541">
        <f t="shared" si="374"/>
        <v>19</v>
      </c>
      <c r="CO121" s="443">
        <f t="shared" si="375"/>
        <v>28.7</v>
      </c>
      <c r="CP121" s="443">
        <f t="shared" si="376"/>
        <v>47.7</v>
      </c>
      <c r="CQ121" s="443"/>
      <c r="CR121" s="217">
        <f t="shared" si="377"/>
        <v>0.59915611814345993</v>
      </c>
      <c r="CS121" s="172">
        <f t="shared" si="378"/>
        <v>85.685767433419556</v>
      </c>
      <c r="CT121" s="172">
        <f t="shared" si="379"/>
        <v>10.164255575647982</v>
      </c>
      <c r="CU121" s="217">
        <f t="shared" si="380"/>
        <v>3.0602059797649841</v>
      </c>
      <c r="CV121" s="217">
        <f t="shared" si="381"/>
        <v>2.8561922477806521</v>
      </c>
      <c r="CW121" s="217">
        <f t="shared" si="382"/>
        <v>28</v>
      </c>
      <c r="CX121" s="217">
        <f t="shared" si="383"/>
        <v>1.4977205337286879</v>
      </c>
      <c r="CY121" s="217">
        <f t="shared" si="384"/>
        <v>0.37048876360657013</v>
      </c>
      <c r="CZ121" s="217">
        <f t="shared" si="385"/>
        <v>0.24527130691724155</v>
      </c>
      <c r="DA121" s="197">
        <f t="shared" si="386"/>
        <v>350</v>
      </c>
      <c r="DB121" s="443">
        <f t="shared" si="387"/>
        <v>350</v>
      </c>
      <c r="DD121" s="217">
        <f t="shared" si="388"/>
        <v>6.9494625094785683</v>
      </c>
      <c r="DE121" s="173">
        <f t="shared" si="389"/>
        <v>1.1380652890086853</v>
      </c>
      <c r="DF121" s="173">
        <f t="shared" si="390"/>
        <v>1.2501230996965573</v>
      </c>
      <c r="DG121" s="173"/>
      <c r="DH121" s="173">
        <f t="shared" si="391"/>
        <v>0.54587688734030204</v>
      </c>
      <c r="DI121" s="545">
        <f t="shared" si="392"/>
        <v>302.2659574468085</v>
      </c>
      <c r="DJ121" s="528">
        <f t="shared" si="393"/>
        <v>0.31842818428184283</v>
      </c>
      <c r="DL121" s="173">
        <f t="shared" si="394"/>
        <v>3.2194318817669347</v>
      </c>
      <c r="DM121" s="173">
        <f t="shared" si="395"/>
        <v>3.3333333333333335</v>
      </c>
      <c r="DN121" s="173">
        <f t="shared" si="396"/>
        <v>1.1727234042553192</v>
      </c>
      <c r="DP121" s="545">
        <f t="shared" si="397"/>
        <v>275</v>
      </c>
      <c r="DQ121" s="460">
        <f t="shared" si="398"/>
        <v>302.2659574468085</v>
      </c>
      <c r="DS121" s="460">
        <f t="shared" si="399"/>
        <v>275</v>
      </c>
      <c r="DT121" s="460">
        <f t="shared" si="400"/>
        <v>302.2659574468085</v>
      </c>
      <c r="DV121" s="5">
        <f t="shared" si="401"/>
        <v>3.3083447717594061</v>
      </c>
      <c r="DW121" s="5">
        <f t="shared" si="402"/>
        <v>0.82456140350877194</v>
      </c>
      <c r="DX121" s="5">
        <f t="shared" si="403"/>
        <v>2.4837833682506343</v>
      </c>
      <c r="DY121" s="173">
        <f t="shared" si="404"/>
        <v>0.24923684210526315</v>
      </c>
      <c r="EA121" s="5">
        <f t="shared" si="405"/>
        <v>0.80983709273182958</v>
      </c>
      <c r="EB121" s="5">
        <f t="shared" si="406"/>
        <v>7.5584795321637421E-2</v>
      </c>
      <c r="EC121" s="5">
        <f t="shared" si="407"/>
        <v>0.71898992238834158</v>
      </c>
      <c r="ED121" s="5"/>
      <c r="EE121" s="173">
        <f t="shared" si="408"/>
        <v>0.96078062803362052</v>
      </c>
      <c r="EF121" s="173">
        <f t="shared" si="409"/>
        <v>1.6675144042853201</v>
      </c>
      <c r="EG121" s="173">
        <f t="shared" si="410"/>
        <v>0.1681182555140118</v>
      </c>
      <c r="EH121" s="173"/>
      <c r="EI121" s="528">
        <f t="shared" si="411"/>
        <v>1.107719298245614E-2</v>
      </c>
      <c r="EJ121" s="528">
        <f t="shared" si="412"/>
        <v>0.91314545744680875</v>
      </c>
      <c r="EK121" s="528">
        <f t="shared" si="413"/>
        <v>3.4760585106382982E-2</v>
      </c>
      <c r="EL121" s="528">
        <f t="shared" si="414"/>
        <v>0.33871328483218088</v>
      </c>
      <c r="EM121">
        <f t="shared" si="415"/>
        <v>8.5500000000000003E-3</v>
      </c>
      <c r="EN121" s="460">
        <f t="shared" si="416"/>
        <v>43.310585106382987</v>
      </c>
      <c r="EP121" s="460">
        <f t="shared" si="438"/>
        <v>1306.2465203678289</v>
      </c>
      <c r="EQ121" s="173">
        <f t="shared" si="417"/>
        <v>0.1925</v>
      </c>
      <c r="ER121" s="173">
        <f t="shared" si="418"/>
        <v>1.31725E-2</v>
      </c>
      <c r="ES121" s="528"/>
      <c r="EU121" s="460">
        <f t="shared" si="419"/>
        <v>205.67250000000001</v>
      </c>
      <c r="EV121" s="528">
        <f t="shared" si="420"/>
        <v>1.2923391812865496E-2</v>
      </c>
      <c r="EW121" s="528">
        <f t="shared" si="421"/>
        <v>3.8928460038986361E-2</v>
      </c>
      <c r="EX121" s="528">
        <f t="shared" si="422"/>
        <v>1.413187391853728E-4</v>
      </c>
      <c r="EY121" s="528">
        <f t="shared" si="423"/>
        <v>1.6111647882128641</v>
      </c>
      <c r="EZ121" s="528"/>
      <c r="FA121" s="625">
        <f t="shared" si="424"/>
        <v>0.3358510638297873</v>
      </c>
      <c r="FB121" s="460">
        <f t="shared" si="425"/>
        <v>1999.0090226336888</v>
      </c>
      <c r="FC121" s="173">
        <f t="shared" si="426"/>
        <v>3.5109280430015173</v>
      </c>
      <c r="FD121" s="5">
        <f t="shared" si="427"/>
        <v>8.5250000000000004</v>
      </c>
      <c r="FE121" s="173">
        <f t="shared" si="428"/>
        <v>0.70829602582718976</v>
      </c>
      <c r="FF121" s="5">
        <f t="shared" si="429"/>
        <v>70.829602582718977</v>
      </c>
      <c r="FG121">
        <f t="shared" si="430"/>
        <v>11.000000000000002</v>
      </c>
      <c r="FI121" s="562">
        <f t="shared" si="431"/>
        <v>-50</v>
      </c>
      <c r="FJ121">
        <f t="shared" si="432"/>
        <v>-50</v>
      </c>
    </row>
    <row r="122" spans="5:166">
      <c r="E122" s="170">
        <v>12</v>
      </c>
      <c r="F122" s="217">
        <f t="shared" si="433"/>
        <v>0.3</v>
      </c>
      <c r="G122" s="217">
        <f t="shared" si="312"/>
        <v>0.03</v>
      </c>
      <c r="H122" s="217">
        <f t="shared" si="313"/>
        <v>8.4</v>
      </c>
      <c r="I122" s="217">
        <f t="shared" si="314"/>
        <v>0.89999999999999991</v>
      </c>
      <c r="J122" s="541">
        <f t="shared" si="315"/>
        <v>18.942767356471048</v>
      </c>
      <c r="K122" s="443">
        <f t="shared" si="316"/>
        <v>28.723211061749385</v>
      </c>
      <c r="L122" s="172">
        <f t="shared" si="317"/>
        <v>47.665978418220433</v>
      </c>
      <c r="M122" s="443"/>
      <c r="N122" s="217">
        <f t="shared" si="318"/>
        <v>0.60259354816411093</v>
      </c>
      <c r="O122" s="172">
        <f t="shared" si="319"/>
        <v>85.917769627615371</v>
      </c>
      <c r="P122" s="172">
        <f t="shared" si="320"/>
        <v>10.191776244092129</v>
      </c>
      <c r="Q122" s="217">
        <f t="shared" si="321"/>
        <v>3.0684917724148346</v>
      </c>
      <c r="R122" s="217">
        <f t="shared" si="322"/>
        <v>2.8639256542538458</v>
      </c>
      <c r="S122" s="217">
        <f t="shared" si="323"/>
        <v>28</v>
      </c>
      <c r="T122" s="217">
        <f t="shared" si="324"/>
        <v>1.6294650176184478</v>
      </c>
      <c r="U122" s="217">
        <f t="shared" si="325"/>
        <v>0.40429602701056699</v>
      </c>
      <c r="V122" s="217">
        <f t="shared" si="326"/>
        <v>0.26663055068398978</v>
      </c>
      <c r="W122" s="197">
        <f t="shared" si="327"/>
        <v>350</v>
      </c>
      <c r="X122" s="443">
        <f t="shared" si="434"/>
        <v>350</v>
      </c>
      <c r="Z122" s="217">
        <f t="shared" si="328"/>
        <v>6.9390816981052783</v>
      </c>
      <c r="AA122" s="173">
        <f t="shared" si="329"/>
        <v>1.1354470052453971</v>
      </c>
      <c r="AB122" s="173">
        <f t="shared" si="330"/>
        <v>1.2453839262260398</v>
      </c>
      <c r="AC122" s="173"/>
      <c r="AD122" s="173">
        <f t="shared" si="331"/>
        <v>0.54543576736550603</v>
      </c>
      <c r="AE122" s="545">
        <f t="shared" si="332"/>
        <v>330.01136113499297</v>
      </c>
      <c r="AF122" s="528">
        <f t="shared" si="333"/>
        <v>0.31817086429654512</v>
      </c>
      <c r="AH122" s="173">
        <f t="shared" si="334"/>
        <v>3.3625869329221763</v>
      </c>
      <c r="AI122" s="173">
        <f t="shared" si="335"/>
        <v>3.3625869329221763</v>
      </c>
      <c r="AJ122" s="173">
        <f t="shared" si="336"/>
        <v>1.1885779206485674</v>
      </c>
      <c r="AL122" s="545">
        <f t="shared" si="337"/>
        <v>300</v>
      </c>
      <c r="AM122" s="460">
        <f t="shared" si="338"/>
        <v>330.01136113499297</v>
      </c>
      <c r="AO122" s="460">
        <f t="shared" si="339"/>
        <v>300</v>
      </c>
      <c r="AP122" s="460">
        <f t="shared" si="340"/>
        <v>330.01136113499297</v>
      </c>
      <c r="AR122" s="5">
        <f t="shared" si="274"/>
        <v>3.0301987075861443</v>
      </c>
      <c r="AS122" s="5">
        <f t="shared" si="439"/>
        <v>0.83431096878964528</v>
      </c>
      <c r="AT122" s="5">
        <f t="shared" si="440"/>
        <v>2.195887738796499</v>
      </c>
      <c r="AU122" s="173">
        <f t="shared" si="441"/>
        <v>0.27533209842012546</v>
      </c>
      <c r="AW122" s="5">
        <f t="shared" si="341"/>
        <v>0.89390460941747718</v>
      </c>
      <c r="AX122" s="5">
        <f t="shared" si="342"/>
        <v>8.3431096878964536E-2</v>
      </c>
      <c r="AY122" s="5">
        <f t="shared" si="343"/>
        <v>0.69553334973932224</v>
      </c>
      <c r="AZ122" s="5"/>
      <c r="BA122" s="173">
        <f t="shared" si="344"/>
        <v>1.0186882948526375</v>
      </c>
      <c r="BB122" s="173">
        <f t="shared" si="345"/>
        <v>1.6526557773524857</v>
      </c>
      <c r="BC122" s="173">
        <f t="shared" si="346"/>
        <v>0.16662021361832435</v>
      </c>
      <c r="BD122" s="173"/>
      <c r="BE122" s="528">
        <f t="shared" si="347"/>
        <v>1.2452710104837287E-2</v>
      </c>
      <c r="BF122" s="528">
        <f t="shared" si="348"/>
        <v>0.9653255322343941</v>
      </c>
      <c r="BG122" s="528">
        <f t="shared" si="349"/>
        <v>3.7951306530524191E-2</v>
      </c>
      <c r="BH122" s="528">
        <f t="shared" si="350"/>
        <v>0.3692769075646733</v>
      </c>
      <c r="BI122">
        <f t="shared" si="351"/>
        <v>8.5242453104119719E-3</v>
      </c>
      <c r="BJ122" s="460">
        <f t="shared" si="435"/>
        <v>46.475551840936163</v>
      </c>
      <c r="BK122">
        <f t="shared" si="352"/>
        <v>1.3544248048784697</v>
      </c>
      <c r="BL122" s="460">
        <f t="shared" si="436"/>
        <v>1393.5307017448408</v>
      </c>
      <c r="BM122" s="173">
        <f t="shared" si="353"/>
        <v>0.20118</v>
      </c>
      <c r="BN122" s="173">
        <f t="shared" si="354"/>
        <v>2.0117999999999997E-2</v>
      </c>
      <c r="BO122" s="528"/>
      <c r="BQ122" s="460">
        <f t="shared" si="355"/>
        <v>221.298</v>
      </c>
      <c r="BR122" s="528">
        <f t="shared" si="356"/>
        <v>1.4528161788976835E-2</v>
      </c>
      <c r="BS122" s="528">
        <f t="shared" si="357"/>
        <v>3.8237795657831683E-2</v>
      </c>
      <c r="BT122" s="528">
        <f t="shared" si="358"/>
        <v>1.3881147793108021E-4</v>
      </c>
      <c r="BU122" s="528">
        <f t="shared" si="359"/>
        <v>2.0510489967048309</v>
      </c>
      <c r="BV122" s="528"/>
      <c r="BW122" s="625">
        <f t="shared" si="360"/>
        <v>0.37314354511312281</v>
      </c>
      <c r="BX122" s="460">
        <f t="shared" si="361"/>
        <v>2477.0973107426935</v>
      </c>
      <c r="BY122" s="173">
        <f t="shared" si="362"/>
        <v>4.0919260124875336</v>
      </c>
      <c r="BZ122" s="5">
        <f t="shared" si="363"/>
        <v>9.3000000000000007</v>
      </c>
      <c r="CA122" s="173">
        <f t="shared" si="364"/>
        <v>0.69444828110072099</v>
      </c>
      <c r="CB122" s="5">
        <f t="shared" si="365"/>
        <v>69.444828110072095</v>
      </c>
      <c r="CC122">
        <f t="shared" si="366"/>
        <v>12</v>
      </c>
      <c r="CE122" s="562">
        <f t="shared" si="367"/>
        <v>-50</v>
      </c>
      <c r="CF122">
        <f t="shared" si="368"/>
        <v>-50</v>
      </c>
      <c r="CG122" s="173">
        <f t="shared" si="369"/>
        <v>0.18094820673642156</v>
      </c>
      <c r="CH122" s="173">
        <f t="shared" si="370"/>
        <v>5.867883413048431E-2</v>
      </c>
      <c r="CI122" s="170">
        <v>12</v>
      </c>
      <c r="CJ122" s="217">
        <f t="shared" si="437"/>
        <v>0.3</v>
      </c>
      <c r="CK122" s="217">
        <f t="shared" si="371"/>
        <v>0.03</v>
      </c>
      <c r="CL122" s="217">
        <f t="shared" si="372"/>
        <v>8.4</v>
      </c>
      <c r="CM122" s="217">
        <f t="shared" si="373"/>
        <v>0.89999999999999991</v>
      </c>
      <c r="CN122" s="541">
        <f t="shared" si="374"/>
        <v>19</v>
      </c>
      <c r="CO122" s="443">
        <f t="shared" si="375"/>
        <v>28.7</v>
      </c>
      <c r="CP122" s="443">
        <f t="shared" si="376"/>
        <v>47.7</v>
      </c>
      <c r="CQ122" s="443"/>
      <c r="CR122" s="217">
        <f t="shared" si="377"/>
        <v>0.59915611814345993</v>
      </c>
      <c r="CS122" s="172">
        <f t="shared" si="378"/>
        <v>85.685767433419556</v>
      </c>
      <c r="CT122" s="172">
        <f t="shared" si="379"/>
        <v>10.164255575647982</v>
      </c>
      <c r="CU122" s="217">
        <f t="shared" si="380"/>
        <v>3.0602059797649841</v>
      </c>
      <c r="CV122" s="217">
        <f t="shared" si="381"/>
        <v>2.8561922477806521</v>
      </c>
      <c r="CW122" s="217">
        <f t="shared" si="382"/>
        <v>28</v>
      </c>
      <c r="CX122" s="217">
        <f t="shared" si="383"/>
        <v>1.6338769458858413</v>
      </c>
      <c r="CY122" s="217">
        <f t="shared" si="384"/>
        <v>0.40416956029807655</v>
      </c>
      <c r="CZ122" s="217">
        <f t="shared" si="385"/>
        <v>0.26756869845517262</v>
      </c>
      <c r="DA122" s="197">
        <f t="shared" si="386"/>
        <v>350</v>
      </c>
      <c r="DB122" s="443">
        <f t="shared" si="387"/>
        <v>350</v>
      </c>
      <c r="DD122" s="217">
        <f t="shared" si="388"/>
        <v>6.9494625094785683</v>
      </c>
      <c r="DE122" s="173">
        <f t="shared" si="389"/>
        <v>1.1380652890086853</v>
      </c>
      <c r="DF122" s="173">
        <f t="shared" si="390"/>
        <v>1.2501230996965573</v>
      </c>
      <c r="DG122" s="173"/>
      <c r="DH122" s="173">
        <f t="shared" si="391"/>
        <v>0.54587688734030204</v>
      </c>
      <c r="DI122" s="545">
        <f t="shared" si="392"/>
        <v>329.74468085106383</v>
      </c>
      <c r="DJ122" s="528">
        <f t="shared" si="393"/>
        <v>0.31842818428184283</v>
      </c>
      <c r="DL122" s="173">
        <f t="shared" si="394"/>
        <v>3.3625869329221763</v>
      </c>
      <c r="DM122" s="173">
        <f t="shared" si="395"/>
        <v>3.3625869329221763</v>
      </c>
      <c r="DN122" s="173">
        <f t="shared" si="396"/>
        <v>1.1884255319148935</v>
      </c>
      <c r="DP122" s="545">
        <f t="shared" si="397"/>
        <v>300</v>
      </c>
      <c r="DQ122" s="460">
        <f t="shared" si="398"/>
        <v>329.74468085106383</v>
      </c>
      <c r="DS122" s="460">
        <f t="shared" si="399"/>
        <v>300</v>
      </c>
      <c r="DT122" s="460">
        <f t="shared" si="400"/>
        <v>329.74468085106383</v>
      </c>
      <c r="DV122" s="5">
        <f t="shared" si="401"/>
        <v>3.0326493741127885</v>
      </c>
      <c r="DW122" s="5">
        <f t="shared" si="402"/>
        <v>0.83179782024916993</v>
      </c>
      <c r="DX122" s="5">
        <f t="shared" si="403"/>
        <v>2.2008515538636186</v>
      </c>
      <c r="DY122" s="173">
        <f t="shared" si="404"/>
        <v>0.27428090677067313</v>
      </c>
      <c r="EA122" s="5">
        <f t="shared" si="405"/>
        <v>0.89121195026696776</v>
      </c>
      <c r="EB122" s="5">
        <f t="shared" si="406"/>
        <v>8.3179782024916993E-2</v>
      </c>
      <c r="EC122" s="5">
        <f t="shared" si="407"/>
        <v>0.69500575385166896</v>
      </c>
      <c r="ED122" s="5"/>
      <c r="EE122" s="173">
        <f t="shared" si="408"/>
        <v>1.0167418079031174</v>
      </c>
      <c r="EF122" s="173">
        <f t="shared" si="409"/>
        <v>1.6538540009771792</v>
      </c>
      <c r="EG122" s="173">
        <f t="shared" si="410"/>
        <v>0.16674101813130576</v>
      </c>
      <c r="EH122" s="173"/>
      <c r="EI122" s="528">
        <f t="shared" si="411"/>
        <v>1.2405166847257197E-2</v>
      </c>
      <c r="EJ122" s="528">
        <f t="shared" si="412"/>
        <v>1.004901049004034</v>
      </c>
      <c r="EK122" s="528">
        <f t="shared" si="413"/>
        <v>3.7920638297872344E-2</v>
      </c>
      <c r="EL122" s="528">
        <f t="shared" si="414"/>
        <v>0.36950540163510648</v>
      </c>
      <c r="EM122">
        <f t="shared" si="415"/>
        <v>8.5500000000000003E-3</v>
      </c>
      <c r="EN122" s="460">
        <f t="shared" si="416"/>
        <v>46.470638297872348</v>
      </c>
      <c r="EP122" s="460">
        <f t="shared" si="438"/>
        <v>1433.2822557842699</v>
      </c>
      <c r="EQ122" s="173">
        <f t="shared" si="417"/>
        <v>0.21</v>
      </c>
      <c r="ER122" s="173">
        <f t="shared" si="418"/>
        <v>1.4369999999999999E-2</v>
      </c>
      <c r="ES122" s="528"/>
      <c r="EU122" s="460">
        <f t="shared" si="419"/>
        <v>224.36999999999998</v>
      </c>
      <c r="EV122" s="528">
        <f t="shared" si="420"/>
        <v>1.4472694655133397E-2</v>
      </c>
      <c r="EW122" s="528">
        <f t="shared" si="421"/>
        <v>3.829326279167513E-2</v>
      </c>
      <c r="EX122" s="528">
        <f t="shared" si="422"/>
        <v>1.3901283563732219E-4</v>
      </c>
      <c r="EY122" s="528">
        <f t="shared" si="423"/>
        <v>2.0469079054219601</v>
      </c>
      <c r="EZ122" s="528"/>
      <c r="FA122" s="625">
        <f t="shared" si="424"/>
        <v>0.37284200995925765</v>
      </c>
      <c r="FB122" s="460">
        <f t="shared" si="425"/>
        <v>2472.6548856636637</v>
      </c>
      <c r="FC122" s="173">
        <f t="shared" si="426"/>
        <v>4.1303071414479335</v>
      </c>
      <c r="FD122" s="5">
        <f t="shared" si="427"/>
        <v>9.3000000000000007</v>
      </c>
      <c r="FE122" s="173">
        <f t="shared" si="428"/>
        <v>0.69246368694717431</v>
      </c>
      <c r="FF122" s="5">
        <f t="shared" si="429"/>
        <v>69.246368694717432</v>
      </c>
      <c r="FG122">
        <f t="shared" si="430"/>
        <v>12</v>
      </c>
      <c r="FI122" s="562">
        <f t="shared" si="431"/>
        <v>-50</v>
      </c>
      <c r="FJ122">
        <f t="shared" si="432"/>
        <v>-50</v>
      </c>
    </row>
    <row r="123" spans="5:166">
      <c r="E123" s="170">
        <v>13</v>
      </c>
      <c r="F123" s="217">
        <f t="shared" si="433"/>
        <v>0.32500000000000001</v>
      </c>
      <c r="G123" s="217">
        <f t="shared" si="312"/>
        <v>3.2500000000000001E-2</v>
      </c>
      <c r="H123" s="217">
        <f t="shared" si="313"/>
        <v>9.1</v>
      </c>
      <c r="I123" s="217">
        <f t="shared" si="314"/>
        <v>0.97500000000000009</v>
      </c>
      <c r="J123" s="541">
        <f t="shared" si="315"/>
        <v>18.942179780458034</v>
      </c>
      <c r="K123" s="443">
        <f t="shared" si="316"/>
        <v>28.723449356929894</v>
      </c>
      <c r="L123" s="172">
        <f t="shared" si="317"/>
        <v>47.665629137387924</v>
      </c>
      <c r="M123" s="443"/>
      <c r="N123" s="217">
        <f t="shared" si="318"/>
        <v>0.60260296311498429</v>
      </c>
      <c r="O123" s="172">
        <f t="shared" si="319"/>
        <v>85.916446930027192</v>
      </c>
      <c r="P123" s="172">
        <f t="shared" si="320"/>
        <v>10.191619342464959</v>
      </c>
      <c r="Q123" s="217">
        <f t="shared" si="321"/>
        <v>3.0684445332152568</v>
      </c>
      <c r="R123" s="217">
        <f t="shared" si="322"/>
        <v>2.8638815643342399</v>
      </c>
      <c r="S123" s="217">
        <f t="shared" si="323"/>
        <v>28</v>
      </c>
      <c r="T123" s="217">
        <f t="shared" si="324"/>
        <v>1.7652809454537655</v>
      </c>
      <c r="U123" s="217">
        <f t="shared" si="325"/>
        <v>0.43800769181761379</v>
      </c>
      <c r="V123" s="217">
        <f t="shared" si="326"/>
        <v>0.28885181374050345</v>
      </c>
      <c r="W123" s="197">
        <f t="shared" si="327"/>
        <v>350</v>
      </c>
      <c r="X123" s="443">
        <f t="shared" si="434"/>
        <v>350</v>
      </c>
      <c r="Z123" s="217">
        <f t="shared" si="328"/>
        <v>6.9389748714655015</v>
      </c>
      <c r="AA123" s="173">
        <f t="shared" si="329"/>
        <v>1.1354201053857593</v>
      </c>
      <c r="AB123" s="173">
        <f t="shared" si="330"/>
        <v>1.2453352497148267</v>
      </c>
      <c r="AC123" s="173"/>
      <c r="AD123" s="173">
        <f t="shared" si="331"/>
        <v>0.54543124232699047</v>
      </c>
      <c r="AE123" s="545">
        <f t="shared" si="332"/>
        <v>357.51527391072318</v>
      </c>
      <c r="AF123" s="528">
        <f t="shared" si="333"/>
        <v>0.31816822469074446</v>
      </c>
      <c r="AH123" s="173">
        <f t="shared" si="334"/>
        <v>3.4998914442565998</v>
      </c>
      <c r="AI123" s="173">
        <f t="shared" si="335"/>
        <v>3.4998914442565998</v>
      </c>
      <c r="AJ123" s="173">
        <f t="shared" si="336"/>
        <v>1.3233763784616788</v>
      </c>
      <c r="AL123" s="545">
        <f t="shared" si="337"/>
        <v>325</v>
      </c>
      <c r="AM123" s="460">
        <f t="shared" si="338"/>
        <v>350</v>
      </c>
      <c r="AO123" s="460">
        <f t="shared" si="339"/>
        <v>325</v>
      </c>
      <c r="AP123" s="460">
        <f t="shared" si="340"/>
        <v>350</v>
      </c>
      <c r="AR123" s="5">
        <f t="shared" si="274"/>
        <v>2.8571428571428572</v>
      </c>
      <c r="AS123" s="5">
        <f t="shared" si="439"/>
        <v>0.86840532497618717</v>
      </c>
      <c r="AT123" s="5">
        <f t="shared" si="440"/>
        <v>1.98873753216667</v>
      </c>
      <c r="AU123" s="173">
        <f t="shared" si="441"/>
        <v>0.30394186374166549</v>
      </c>
      <c r="AW123" s="5">
        <f t="shared" si="341"/>
        <v>1.0079704664902174</v>
      </c>
      <c r="AX123" s="5">
        <f t="shared" si="342"/>
        <v>9.4077243539086947E-2</v>
      </c>
      <c r="AY123" s="5">
        <f t="shared" si="343"/>
        <v>0.68243434012908388</v>
      </c>
      <c r="AZ123" s="5"/>
      <c r="BA123" s="173">
        <f t="shared" si="344"/>
        <v>1.1140103039577891</v>
      </c>
      <c r="BB123" s="173">
        <f t="shared" si="345"/>
        <v>1.6858413576617235</v>
      </c>
      <c r="BC123" s="173">
        <f t="shared" si="346"/>
        <v>0.16996597294458363</v>
      </c>
      <c r="BD123" s="173"/>
      <c r="BE123" s="528">
        <f t="shared" si="347"/>
        <v>1.4892227487889509E-2</v>
      </c>
      <c r="BF123" s="528">
        <f t="shared" si="348"/>
        <v>1.0655916700644954</v>
      </c>
      <c r="BG123" s="528">
        <f t="shared" si="349"/>
        <v>4.0250000000000001E-2</v>
      </c>
      <c r="BH123" s="528">
        <f t="shared" si="350"/>
        <v>0.39163810315823538</v>
      </c>
      <c r="BI123">
        <f t="shared" si="351"/>
        <v>8.5239809012061154E-3</v>
      </c>
      <c r="BJ123" s="460">
        <f t="shared" si="435"/>
        <v>48.773980901206116</v>
      </c>
      <c r="BK123">
        <f t="shared" si="352"/>
        <v>1.4813846234864116</v>
      </c>
      <c r="BL123" s="460">
        <f t="shared" si="436"/>
        <v>1520.8959816118263</v>
      </c>
      <c r="BM123" s="173">
        <f t="shared" si="353"/>
        <v>0.21794499999999997</v>
      </c>
      <c r="BN123" s="173">
        <f t="shared" si="354"/>
        <v>2.1794499999999998E-2</v>
      </c>
      <c r="BO123" s="528"/>
      <c r="BQ123" s="460">
        <f t="shared" si="355"/>
        <v>239.73949999999996</v>
      </c>
      <c r="BR123" s="528">
        <f t="shared" si="356"/>
        <v>1.737426540253776E-2</v>
      </c>
      <c r="BS123" s="528">
        <f t="shared" si="357"/>
        <v>3.9788855164838127E-2</v>
      </c>
      <c r="BT123" s="528">
        <f t="shared" si="358"/>
        <v>1.4444215979499467E-4</v>
      </c>
      <c r="BU123" s="528">
        <f t="shared" si="359"/>
        <v>2.6258901279086788</v>
      </c>
      <c r="BV123" s="528"/>
      <c r="BW123" s="625">
        <f t="shared" si="360"/>
        <v>0.42872340425531924</v>
      </c>
      <c r="BX123" s="460">
        <f t="shared" si="361"/>
        <v>3111.9210948911687</v>
      </c>
      <c r="BY123" s="173">
        <f t="shared" si="362"/>
        <v>4.8725565765029959</v>
      </c>
      <c r="BZ123" s="5">
        <f t="shared" si="363"/>
        <v>10.074999999999999</v>
      </c>
      <c r="CA123" s="173">
        <f t="shared" si="364"/>
        <v>0.67402320562797036</v>
      </c>
      <c r="CB123" s="5">
        <f t="shared" si="365"/>
        <v>67.40232056279703</v>
      </c>
      <c r="CC123">
        <f t="shared" si="366"/>
        <v>13</v>
      </c>
      <c r="CE123" s="562">
        <f t="shared" si="367"/>
        <v>-50</v>
      </c>
      <c r="CF123">
        <f t="shared" si="368"/>
        <v>-50</v>
      </c>
      <c r="CG123" s="173">
        <f t="shared" si="369"/>
        <v>0.19403517177904617</v>
      </c>
      <c r="CH123" s="173">
        <f t="shared" si="370"/>
        <v>6.2922743837344336E-2</v>
      </c>
      <c r="CI123" s="170">
        <v>13</v>
      </c>
      <c r="CJ123" s="217">
        <f t="shared" si="437"/>
        <v>0.32500000000000001</v>
      </c>
      <c r="CK123" s="217">
        <f t="shared" si="371"/>
        <v>3.2500000000000001E-2</v>
      </c>
      <c r="CL123" s="217">
        <f t="shared" si="372"/>
        <v>9.1</v>
      </c>
      <c r="CM123" s="217">
        <f t="shared" si="373"/>
        <v>0.97500000000000009</v>
      </c>
      <c r="CN123" s="541">
        <f t="shared" si="374"/>
        <v>19</v>
      </c>
      <c r="CO123" s="443">
        <f t="shared" si="375"/>
        <v>28.7</v>
      </c>
      <c r="CP123" s="443">
        <f t="shared" si="376"/>
        <v>47.7</v>
      </c>
      <c r="CQ123" s="443"/>
      <c r="CR123" s="217">
        <f t="shared" si="377"/>
        <v>0.59915611814345993</v>
      </c>
      <c r="CS123" s="172">
        <f t="shared" si="378"/>
        <v>85.685767433419556</v>
      </c>
      <c r="CT123" s="172">
        <f t="shared" si="379"/>
        <v>10.164255575647982</v>
      </c>
      <c r="CU123" s="217">
        <f t="shared" si="380"/>
        <v>3.0602059797649841</v>
      </c>
      <c r="CV123" s="217">
        <f t="shared" si="381"/>
        <v>2.8561922477806521</v>
      </c>
      <c r="CW123" s="217">
        <f t="shared" si="382"/>
        <v>28</v>
      </c>
      <c r="CX123" s="217">
        <f t="shared" si="383"/>
        <v>1.7700333580429946</v>
      </c>
      <c r="CY123" s="217">
        <f t="shared" si="384"/>
        <v>0.43785035698958286</v>
      </c>
      <c r="CZ123" s="217">
        <f t="shared" si="385"/>
        <v>0.28986608999310365</v>
      </c>
      <c r="DA123" s="197">
        <f t="shared" si="386"/>
        <v>350</v>
      </c>
      <c r="DB123" s="443">
        <f t="shared" si="387"/>
        <v>350</v>
      </c>
      <c r="DD123" s="217">
        <f t="shared" si="388"/>
        <v>6.9494625094785683</v>
      </c>
      <c r="DE123" s="173">
        <f t="shared" si="389"/>
        <v>1.1380652890086853</v>
      </c>
      <c r="DF123" s="173">
        <f t="shared" si="390"/>
        <v>1.2501230996965573</v>
      </c>
      <c r="DG123" s="173"/>
      <c r="DH123" s="173">
        <f t="shared" si="391"/>
        <v>0.54587688734030204</v>
      </c>
      <c r="DI123" s="545">
        <f t="shared" si="392"/>
        <v>357.22340425531917</v>
      </c>
      <c r="DJ123" s="528">
        <f t="shared" si="393"/>
        <v>0.31842818428184283</v>
      </c>
      <c r="DL123" s="173">
        <f t="shared" si="394"/>
        <v>3.4998914442565998</v>
      </c>
      <c r="DM123" s="173">
        <f t="shared" si="395"/>
        <v>3.4998914442565998</v>
      </c>
      <c r="DN123" s="173">
        <f t="shared" si="396"/>
        <v>1.3233763784616788</v>
      </c>
      <c r="DP123" s="545">
        <f t="shared" si="397"/>
        <v>325</v>
      </c>
      <c r="DQ123" s="460">
        <f t="shared" si="398"/>
        <v>350</v>
      </c>
      <c r="DS123" s="460">
        <f t="shared" si="399"/>
        <v>325</v>
      </c>
      <c r="DT123" s="460">
        <f t="shared" si="400"/>
        <v>350</v>
      </c>
      <c r="DV123" s="5">
        <f t="shared" si="401"/>
        <v>2.8571428571428572</v>
      </c>
      <c r="DW123" s="5">
        <f t="shared" si="402"/>
        <v>0.86576262042136942</v>
      </c>
      <c r="DX123" s="5">
        <f t="shared" si="403"/>
        <v>1.9913802367214877</v>
      </c>
      <c r="DY123" s="173">
        <f t="shared" si="404"/>
        <v>0.3030169171474793</v>
      </c>
      <c r="EA123" s="5">
        <f t="shared" si="405"/>
        <v>1.0049030415605182</v>
      </c>
      <c r="EB123" s="5">
        <f t="shared" si="406"/>
        <v>9.3790950545648358E-2</v>
      </c>
      <c r="EC123" s="5">
        <f t="shared" si="407"/>
        <v>0.68126165993103516</v>
      </c>
      <c r="ED123" s="5"/>
      <c r="EE123" s="173">
        <f t="shared" si="408"/>
        <v>1.1123139513405604</v>
      </c>
      <c r="EF123" s="173">
        <f t="shared" si="409"/>
        <v>1.6869610885198267</v>
      </c>
      <c r="EG123" s="173">
        <f t="shared" si="410"/>
        <v>0.17007886384257268</v>
      </c>
      <c r="EH123" s="173"/>
      <c r="EI123" s="528">
        <f t="shared" si="411"/>
        <v>1.4846907916162208E-2</v>
      </c>
      <c r="EJ123" s="528">
        <f t="shared" si="412"/>
        <v>1.1101830655754148</v>
      </c>
      <c r="EK123" s="528">
        <f t="shared" si="413"/>
        <v>4.0250000000000001E-2</v>
      </c>
      <c r="EL123" s="528">
        <f t="shared" si="414"/>
        <v>0.39220311375000005</v>
      </c>
      <c r="EM123">
        <f t="shared" si="415"/>
        <v>8.5500000000000003E-3</v>
      </c>
      <c r="EN123" s="460">
        <f t="shared" si="416"/>
        <v>48.800000000000004</v>
      </c>
      <c r="EP123" s="460">
        <f t="shared" si="438"/>
        <v>1566.0330872415771</v>
      </c>
      <c r="EQ123" s="173">
        <f t="shared" si="417"/>
        <v>0.22749999999999998</v>
      </c>
      <c r="ER123" s="173">
        <f t="shared" si="418"/>
        <v>1.55675E-2</v>
      </c>
      <c r="ES123" s="528"/>
      <c r="EU123" s="460">
        <f t="shared" si="419"/>
        <v>243.0675</v>
      </c>
      <c r="EV123" s="528">
        <f t="shared" si="420"/>
        <v>1.7321392568855908E-2</v>
      </c>
      <c r="EW123" s="528">
        <f t="shared" si="421"/>
        <v>3.9841727998519982E-2</v>
      </c>
      <c r="EX123" s="528">
        <f t="shared" si="422"/>
        <v>1.4463409962990189E-4</v>
      </c>
      <c r="EY123" s="528">
        <f t="shared" si="423"/>
        <v>2.6258901279086788</v>
      </c>
      <c r="EZ123" s="528"/>
      <c r="FA123" s="625">
        <f t="shared" si="424"/>
        <v>0.42872340425531924</v>
      </c>
      <c r="FB123" s="460">
        <f t="shared" si="425"/>
        <v>3111.9212868310042</v>
      </c>
      <c r="FC123" s="173">
        <f t="shared" si="426"/>
        <v>4.9210218740725811</v>
      </c>
      <c r="FD123" s="5">
        <f t="shared" si="427"/>
        <v>10.074999999999999</v>
      </c>
      <c r="FE123" s="173">
        <f t="shared" si="428"/>
        <v>0.67184484555995494</v>
      </c>
      <c r="FF123" s="5">
        <f t="shared" si="429"/>
        <v>67.184484555995496</v>
      </c>
      <c r="FG123">
        <f t="shared" si="430"/>
        <v>13</v>
      </c>
      <c r="FI123" s="562">
        <f t="shared" si="431"/>
        <v>-50</v>
      </c>
      <c r="FJ123">
        <f t="shared" si="432"/>
        <v>-50</v>
      </c>
    </row>
    <row r="124" spans="5:166">
      <c r="E124" s="170">
        <v>14</v>
      </c>
      <c r="F124" s="217">
        <f t="shared" si="433"/>
        <v>0.35000000000000003</v>
      </c>
      <c r="G124" s="217">
        <f t="shared" si="312"/>
        <v>3.5000000000000003E-2</v>
      </c>
      <c r="H124" s="217">
        <f t="shared" si="313"/>
        <v>9.8000000000000007</v>
      </c>
      <c r="I124" s="217">
        <f t="shared" si="314"/>
        <v>1.05</v>
      </c>
      <c r="J124" s="541">
        <f t="shared" si="315"/>
        <v>18.939997122485451</v>
      </c>
      <c r="K124" s="443">
        <f t="shared" si="316"/>
        <v>28.724334547720595</v>
      </c>
      <c r="L124" s="172">
        <f t="shared" si="317"/>
        <v>47.664331670206046</v>
      </c>
      <c r="M124" s="443"/>
      <c r="N124" s="217">
        <f t="shared" si="318"/>
        <v>0.60263793787075304</v>
      </c>
      <c r="O124" s="172">
        <f t="shared" si="319"/>
        <v>85.911532972267096</v>
      </c>
      <c r="P124" s="172">
        <f t="shared" si="320"/>
        <v>10.191036436761275</v>
      </c>
      <c r="Q124" s="217">
        <f t="shared" si="321"/>
        <v>3.0682690347238251</v>
      </c>
      <c r="R124" s="217">
        <f t="shared" si="322"/>
        <v>2.8637177657422366</v>
      </c>
      <c r="S124" s="217">
        <f t="shared" si="323"/>
        <v>28</v>
      </c>
      <c r="T124" s="217">
        <f t="shared" si="324"/>
        <v>1.9011805246922855</v>
      </c>
      <c r="U124" s="217">
        <f t="shared" si="325"/>
        <v>0.47178193366489546</v>
      </c>
      <c r="V124" s="217">
        <f t="shared" si="326"/>
        <v>0.31107938988834877</v>
      </c>
      <c r="W124" s="197">
        <f t="shared" si="327"/>
        <v>350</v>
      </c>
      <c r="X124" s="443">
        <f t="shared" si="434"/>
        <v>350</v>
      </c>
      <c r="Z124" s="217">
        <f t="shared" si="328"/>
        <v>6.9385779994970376</v>
      </c>
      <c r="AA124" s="173">
        <f t="shared" si="329"/>
        <v>1.1353201775121342</v>
      </c>
      <c r="AB124" s="173">
        <f t="shared" si="330"/>
        <v>1.2451544280563469</v>
      </c>
      <c r="AC124" s="173"/>
      <c r="AD124" s="173">
        <f t="shared" si="331"/>
        <v>0.54541443390582878</v>
      </c>
      <c r="AE124" s="545">
        <f t="shared" si="332"/>
        <v>385.02831415029732</v>
      </c>
      <c r="AF124" s="528">
        <f t="shared" si="333"/>
        <v>0.31815841977840009</v>
      </c>
      <c r="AH124" s="173">
        <f t="shared" si="334"/>
        <v>3.6320089980205346</v>
      </c>
      <c r="AI124" s="173">
        <f t="shared" si="335"/>
        <v>3.6320089980205346</v>
      </c>
      <c r="AJ124" s="173">
        <f t="shared" si="336"/>
        <v>1.4212412331016304</v>
      </c>
      <c r="AL124" s="545">
        <f t="shared" si="337"/>
        <v>350.00000000000006</v>
      </c>
      <c r="AM124" s="460">
        <f t="shared" si="338"/>
        <v>350</v>
      </c>
      <c r="AO124" s="460">
        <f t="shared" si="339"/>
        <v>350.00000000000006</v>
      </c>
      <c r="AP124" s="460">
        <f t="shared" si="340"/>
        <v>350</v>
      </c>
      <c r="AR124" s="5">
        <f t="shared" si="274"/>
        <v>2.8571428571428572</v>
      </c>
      <c r="AS124" s="5">
        <f t="shared" si="439"/>
        <v>0.90129064858360441</v>
      </c>
      <c r="AT124" s="5">
        <f t="shared" si="440"/>
        <v>1.9558522085592527</v>
      </c>
      <c r="AU124" s="173">
        <f t="shared" si="441"/>
        <v>0.31545172700426155</v>
      </c>
      <c r="AW124" s="5">
        <f t="shared" si="341"/>
        <v>1.1266133107295055</v>
      </c>
      <c r="AX124" s="5">
        <f t="shared" si="342"/>
        <v>0.10515057566808719</v>
      </c>
      <c r="AY124" s="5">
        <f t="shared" si="343"/>
        <v>0.72285995459106678</v>
      </c>
      <c r="AZ124" s="5"/>
      <c r="BA124" s="173">
        <f t="shared" si="344"/>
        <v>1.1777489971561965</v>
      </c>
      <c r="BB124" s="173">
        <f t="shared" si="345"/>
        <v>1.7349554519540116</v>
      </c>
      <c r="BC124" s="173">
        <f t="shared" si="346"/>
        <v>0.17491763982815037</v>
      </c>
      <c r="BD124" s="173"/>
      <c r="BE124" s="528">
        <f t="shared" si="347"/>
        <v>1.664511240362912E-2</v>
      </c>
      <c r="BF124" s="528">
        <f t="shared" si="348"/>
        <v>1.1057866356503849</v>
      </c>
      <c r="BG124" s="528">
        <f t="shared" si="349"/>
        <v>4.0250000000000001E-2</v>
      </c>
      <c r="BH124" s="528">
        <f t="shared" si="350"/>
        <v>0.39161678252618182</v>
      </c>
      <c r="BI124">
        <f t="shared" si="351"/>
        <v>8.5229987051184536E-3</v>
      </c>
      <c r="BJ124" s="460">
        <f t="shared" si="435"/>
        <v>48.772998705118454</v>
      </c>
      <c r="BK124">
        <f t="shared" si="352"/>
        <v>1.5245722090963709</v>
      </c>
      <c r="BL124" s="460">
        <f t="shared" si="436"/>
        <v>1562.8215292853142</v>
      </c>
      <c r="BM124" s="173">
        <f t="shared" si="353"/>
        <v>0.23470999999999997</v>
      </c>
      <c r="BN124" s="173">
        <f t="shared" si="354"/>
        <v>2.3470999999999999E-2</v>
      </c>
      <c r="BO124" s="528"/>
      <c r="BQ124" s="460">
        <f t="shared" si="355"/>
        <v>258.18099999999998</v>
      </c>
      <c r="BR124" s="528">
        <f t="shared" si="356"/>
        <v>1.9419297804233973E-2</v>
      </c>
      <c r="BS124" s="528">
        <f t="shared" si="357"/>
        <v>4.2140985883709278E-2</v>
      </c>
      <c r="BT124" s="528">
        <f t="shared" si="358"/>
        <v>1.5298090361525268E-4</v>
      </c>
      <c r="BU124" s="528">
        <f t="shared" si="359"/>
        <v>2.8807621659795424</v>
      </c>
      <c r="BV124" s="528"/>
      <c r="BW124" s="625">
        <f t="shared" si="360"/>
        <v>0.46170212765957447</v>
      </c>
      <c r="BX124" s="460">
        <f t="shared" si="361"/>
        <v>3404.1775582306755</v>
      </c>
      <c r="BY124" s="173">
        <f t="shared" si="362"/>
        <v>5.2251800875159891</v>
      </c>
      <c r="BZ124" s="5">
        <f t="shared" si="363"/>
        <v>10.850000000000001</v>
      </c>
      <c r="CA124" s="173">
        <f t="shared" si="364"/>
        <v>0.67495355827622294</v>
      </c>
      <c r="CB124" s="5">
        <f t="shared" si="365"/>
        <v>67.495355827622291</v>
      </c>
      <c r="CC124">
        <f t="shared" si="366"/>
        <v>14.000000000000002</v>
      </c>
      <c r="CE124" s="562">
        <f t="shared" si="367"/>
        <v>-50</v>
      </c>
      <c r="CF124">
        <f t="shared" si="368"/>
        <v>-50</v>
      </c>
      <c r="CG124" s="173">
        <f t="shared" si="369"/>
        <v>0.20135981388521229</v>
      </c>
      <c r="CH124" s="173">
        <f t="shared" si="370"/>
        <v>6.5298017220622215E-2</v>
      </c>
      <c r="CI124" s="170">
        <v>14</v>
      </c>
      <c r="CJ124" s="217">
        <f t="shared" si="437"/>
        <v>0.35000000000000003</v>
      </c>
      <c r="CK124" s="217">
        <f t="shared" si="371"/>
        <v>3.5000000000000003E-2</v>
      </c>
      <c r="CL124" s="217">
        <f t="shared" si="372"/>
        <v>9.8000000000000007</v>
      </c>
      <c r="CM124" s="217">
        <f t="shared" si="373"/>
        <v>1.05</v>
      </c>
      <c r="CN124" s="541">
        <f t="shared" si="374"/>
        <v>19</v>
      </c>
      <c r="CO124" s="443">
        <f t="shared" si="375"/>
        <v>28.7</v>
      </c>
      <c r="CP124" s="443">
        <f t="shared" si="376"/>
        <v>47.7</v>
      </c>
      <c r="CQ124" s="443"/>
      <c r="CR124" s="217">
        <f t="shared" si="377"/>
        <v>0.59915611814345993</v>
      </c>
      <c r="CS124" s="172">
        <f t="shared" si="378"/>
        <v>85.685767433419556</v>
      </c>
      <c r="CT124" s="172">
        <f t="shared" si="379"/>
        <v>10.164255575647982</v>
      </c>
      <c r="CU124" s="217">
        <f t="shared" si="380"/>
        <v>3.0602059797649841</v>
      </c>
      <c r="CV124" s="217">
        <f t="shared" si="381"/>
        <v>2.8561922477806521</v>
      </c>
      <c r="CW124" s="217">
        <f t="shared" si="382"/>
        <v>28</v>
      </c>
      <c r="CX124" s="217">
        <f t="shared" si="383"/>
        <v>1.9061897702001485</v>
      </c>
      <c r="CY124" s="217">
        <f t="shared" si="384"/>
        <v>0.47153115368108933</v>
      </c>
      <c r="CZ124" s="217">
        <f t="shared" si="385"/>
        <v>0.31216348153103474</v>
      </c>
      <c r="DA124" s="197">
        <f t="shared" si="386"/>
        <v>350</v>
      </c>
      <c r="DB124" s="443">
        <f t="shared" si="387"/>
        <v>350</v>
      </c>
      <c r="DD124" s="217">
        <f t="shared" si="388"/>
        <v>6.9494625094785683</v>
      </c>
      <c r="DE124" s="173">
        <f t="shared" si="389"/>
        <v>1.1380652890086853</v>
      </c>
      <c r="DF124" s="173">
        <f t="shared" si="390"/>
        <v>1.2501230996965573</v>
      </c>
      <c r="DG124" s="173"/>
      <c r="DH124" s="173">
        <f t="shared" si="391"/>
        <v>0.54587688734030204</v>
      </c>
      <c r="DI124" s="545">
        <f t="shared" si="392"/>
        <v>384.7021276595745</v>
      </c>
      <c r="DJ124" s="528">
        <f t="shared" si="393"/>
        <v>0.31842818428184283</v>
      </c>
      <c r="DL124" s="173">
        <f t="shared" si="394"/>
        <v>3.6320089980205346</v>
      </c>
      <c r="DM124" s="173">
        <f t="shared" si="395"/>
        <v>3.6320089980205346</v>
      </c>
      <c r="DN124" s="173">
        <f t="shared" si="396"/>
        <v>1.4212412331016304</v>
      </c>
      <c r="DP124" s="545">
        <f t="shared" si="397"/>
        <v>350.00000000000006</v>
      </c>
      <c r="DQ124" s="460">
        <f t="shared" si="398"/>
        <v>350</v>
      </c>
      <c r="DS124" s="460">
        <f t="shared" si="399"/>
        <v>350.00000000000006</v>
      </c>
      <c r="DT124" s="460">
        <f t="shared" si="400"/>
        <v>350</v>
      </c>
      <c r="DV124" s="5">
        <f t="shared" si="401"/>
        <v>2.8571428571428572</v>
      </c>
      <c r="DW124" s="5">
        <f t="shared" si="402"/>
        <v>0.89844433108929023</v>
      </c>
      <c r="DX124" s="5">
        <f t="shared" si="403"/>
        <v>1.958698526053567</v>
      </c>
      <c r="DY124" s="173">
        <f t="shared" si="404"/>
        <v>0.31445551588125159</v>
      </c>
      <c r="EA124" s="5">
        <f t="shared" si="405"/>
        <v>1.1230554138616129</v>
      </c>
      <c r="EB124" s="5">
        <f t="shared" si="406"/>
        <v>0.10481850529375054</v>
      </c>
      <c r="EC124" s="5">
        <f t="shared" si="407"/>
        <v>0.72162577275657724</v>
      </c>
      <c r="ED124" s="5"/>
      <c r="EE124" s="173">
        <f t="shared" si="408"/>
        <v>1.1758878337205587</v>
      </c>
      <c r="EF124" s="173">
        <f t="shared" si="409"/>
        <v>1.7362174181465142</v>
      </c>
      <c r="EG124" s="173">
        <f t="shared" si="410"/>
        <v>0.17504487084591908</v>
      </c>
      <c r="EH124" s="173"/>
      <c r="EI124" s="528">
        <f t="shared" si="411"/>
        <v>1.6592546369904343E-2</v>
      </c>
      <c r="EJ124" s="528">
        <f t="shared" si="412"/>
        <v>1.1520914142171037</v>
      </c>
      <c r="EK124" s="528">
        <f t="shared" si="413"/>
        <v>4.0250000000000001E-2</v>
      </c>
      <c r="EL124" s="528">
        <f t="shared" si="414"/>
        <v>0.39220311375000005</v>
      </c>
      <c r="EM124">
        <f t="shared" si="415"/>
        <v>8.5500000000000003E-3</v>
      </c>
      <c r="EN124" s="460">
        <f t="shared" si="416"/>
        <v>48.800000000000004</v>
      </c>
      <c r="EP124" s="460">
        <f t="shared" si="438"/>
        <v>1609.6870743370082</v>
      </c>
      <c r="EQ124" s="173">
        <f t="shared" si="417"/>
        <v>0.245</v>
      </c>
      <c r="ER124" s="173">
        <f t="shared" si="418"/>
        <v>1.6765000000000002E-2</v>
      </c>
      <c r="ES124" s="528"/>
      <c r="EU124" s="460">
        <f t="shared" si="419"/>
        <v>261.76500000000004</v>
      </c>
      <c r="EV124" s="528">
        <f t="shared" si="420"/>
        <v>1.9357970764888398E-2</v>
      </c>
      <c r="EW124" s="528">
        <f t="shared" si="421"/>
        <v>4.2202312923054867E-2</v>
      </c>
      <c r="EX124" s="528">
        <f t="shared" si="422"/>
        <v>1.5320353404732245E-4</v>
      </c>
      <c r="EY124" s="528">
        <f t="shared" si="423"/>
        <v>2.8807621659795424</v>
      </c>
      <c r="EZ124" s="528"/>
      <c r="FA124" s="625">
        <f t="shared" si="424"/>
        <v>0.46170212765957447</v>
      </c>
      <c r="FB124" s="460">
        <f t="shared" si="425"/>
        <v>3404.1777808611073</v>
      </c>
      <c r="FC124" s="173">
        <f t="shared" si="426"/>
        <v>5.2756298551981153</v>
      </c>
      <c r="FD124" s="5">
        <f t="shared" si="427"/>
        <v>10.850000000000001</v>
      </c>
      <c r="FE124" s="173">
        <f t="shared" si="428"/>
        <v>0.67284193531842051</v>
      </c>
      <c r="FF124" s="5">
        <f t="shared" si="429"/>
        <v>67.28419353184205</v>
      </c>
      <c r="FG124">
        <f t="shared" si="430"/>
        <v>14.000000000000002</v>
      </c>
      <c r="FI124" s="562">
        <f t="shared" si="431"/>
        <v>-50</v>
      </c>
      <c r="FJ124">
        <f t="shared" si="432"/>
        <v>-50</v>
      </c>
    </row>
    <row r="125" spans="5:166">
      <c r="E125" s="170">
        <v>15</v>
      </c>
      <c r="F125" s="217">
        <f t="shared" si="433"/>
        <v>0.375</v>
      </c>
      <c r="G125" s="217">
        <f t="shared" si="312"/>
        <v>3.7499999999999999E-2</v>
      </c>
      <c r="H125" s="217">
        <f t="shared" si="313"/>
        <v>10.5</v>
      </c>
      <c r="I125" s="217">
        <f t="shared" si="314"/>
        <v>1.125</v>
      </c>
      <c r="J125" s="541">
        <f t="shared" si="315"/>
        <v>18.937891121148656</v>
      </c>
      <c r="K125" s="443">
        <f t="shared" si="316"/>
        <v>28.725188649926235</v>
      </c>
      <c r="L125" s="172">
        <f t="shared" si="317"/>
        <v>47.663079771074891</v>
      </c>
      <c r="M125" s="443"/>
      <c r="N125" s="217">
        <f t="shared" si="318"/>
        <v>0.60267168609105659</v>
      </c>
      <c r="O125" s="172">
        <f t="shared" si="319"/>
        <v>85.906790764452239</v>
      </c>
      <c r="P125" s="172">
        <f t="shared" si="320"/>
        <v>10.190473904456708</v>
      </c>
      <c r="Q125" s="217">
        <f t="shared" si="321"/>
        <v>3.0680996701590084</v>
      </c>
      <c r="R125" s="217">
        <f t="shared" si="322"/>
        <v>2.8635596921484079</v>
      </c>
      <c r="S125" s="217">
        <f t="shared" si="323"/>
        <v>28</v>
      </c>
      <c r="T125" s="217">
        <f t="shared" si="324"/>
        <v>2.0370915784740742</v>
      </c>
      <c r="U125" s="217">
        <f t="shared" si="325"/>
        <v>0.50556476207301326</v>
      </c>
      <c r="V125" s="217">
        <f t="shared" si="326"/>
        <v>0.33330783430216865</v>
      </c>
      <c r="W125" s="197">
        <f t="shared" si="327"/>
        <v>350</v>
      </c>
      <c r="X125" s="443">
        <f t="shared" si="434"/>
        <v>350</v>
      </c>
      <c r="Z125" s="217">
        <f t="shared" si="328"/>
        <v>6.938194998779033</v>
      </c>
      <c r="AA125" s="173">
        <f t="shared" si="329"/>
        <v>1.1352237540255525</v>
      </c>
      <c r="AB125" s="173">
        <f t="shared" si="330"/>
        <v>1.2449799511647972</v>
      </c>
      <c r="AC125" s="173"/>
      <c r="AD125" s="173">
        <f t="shared" si="331"/>
        <v>0.54539821679141165</v>
      </c>
      <c r="AE125" s="545">
        <f t="shared" si="332"/>
        <v>412.54260295106826</v>
      </c>
      <c r="AF125" s="528">
        <f t="shared" si="333"/>
        <v>0.31814895979499014</v>
      </c>
      <c r="AH125" s="173">
        <f t="shared" si="334"/>
        <v>3.7594864811332553</v>
      </c>
      <c r="AI125" s="173">
        <f t="shared" si="335"/>
        <v>3.7594864811332553</v>
      </c>
      <c r="AJ125" s="173">
        <f t="shared" si="336"/>
        <v>1.5156689983703124</v>
      </c>
      <c r="AL125" s="545">
        <f t="shared" si="337"/>
        <v>375</v>
      </c>
      <c r="AM125" s="460">
        <f t="shared" si="338"/>
        <v>350</v>
      </c>
      <c r="AO125" s="460">
        <f t="shared" si="339"/>
        <v>375</v>
      </c>
      <c r="AP125" s="460">
        <f t="shared" si="340"/>
        <v>350</v>
      </c>
      <c r="AR125" s="5">
        <f t="shared" si="274"/>
        <v>2.8571428571428572</v>
      </c>
      <c r="AS125" s="5">
        <f t="shared" si="439"/>
        <v>0.93302819982917773</v>
      </c>
      <c r="AT125" s="5">
        <f t="shared" si="440"/>
        <v>1.9241146573136794</v>
      </c>
      <c r="AU125" s="173">
        <f t="shared" si="441"/>
        <v>0.32655986994021219</v>
      </c>
      <c r="AW125" s="5">
        <f t="shared" si="341"/>
        <v>1.2495913390569344</v>
      </c>
      <c r="AX125" s="5">
        <f t="shared" si="342"/>
        <v>0.1166285249786472</v>
      </c>
      <c r="AY125" s="5">
        <f t="shared" si="343"/>
        <v>0.76200986886745325</v>
      </c>
      <c r="AZ125" s="5"/>
      <c r="BA125" s="173">
        <f t="shared" si="344"/>
        <v>1.240364441011929</v>
      </c>
      <c r="BB125" s="173">
        <f t="shared" si="345"/>
        <v>1.7812193166707651</v>
      </c>
      <c r="BC125" s="173">
        <f t="shared" si="346"/>
        <v>0.1795819475004132</v>
      </c>
      <c r="BD125" s="173"/>
      <c r="BE125" s="528">
        <f t="shared" si="347"/>
        <v>1.846204735832202E-2</v>
      </c>
      <c r="BF125" s="528">
        <f t="shared" si="348"/>
        <v>1.144567847109998</v>
      </c>
      <c r="BG125" s="528">
        <f t="shared" si="349"/>
        <v>4.0250000000000001E-2</v>
      </c>
      <c r="BH125" s="528">
        <f t="shared" si="350"/>
        <v>0.39159621124135591</v>
      </c>
      <c r="BI125">
        <f t="shared" si="351"/>
        <v>8.5220510045168948E-3</v>
      </c>
      <c r="BJ125" s="460">
        <f t="shared" si="435"/>
        <v>48.772051004516896</v>
      </c>
      <c r="BK125">
        <f t="shared" si="352"/>
        <v>1.5664823625398361</v>
      </c>
      <c r="BL125" s="460">
        <f t="shared" si="436"/>
        <v>1603.3981567141927</v>
      </c>
      <c r="BM125" s="173">
        <f t="shared" si="353"/>
        <v>0.25147499999999995</v>
      </c>
      <c r="BN125" s="173">
        <f t="shared" si="354"/>
        <v>2.51475E-2</v>
      </c>
      <c r="BO125" s="528"/>
      <c r="BQ125" s="460">
        <f t="shared" si="355"/>
        <v>276.62249999999995</v>
      </c>
      <c r="BR125" s="528">
        <f t="shared" si="356"/>
        <v>2.1539055251375692E-2</v>
      </c>
      <c r="BS125" s="528">
        <f t="shared" si="357"/>
        <v>4.4418391557134944E-2</v>
      </c>
      <c r="BT125" s="528">
        <f t="shared" si="358"/>
        <v>1.6124837934020582E-4</v>
      </c>
      <c r="BU125" s="528">
        <f t="shared" si="359"/>
        <v>3.1402298235666453</v>
      </c>
      <c r="BV125" s="528"/>
      <c r="BW125" s="625">
        <f t="shared" si="360"/>
        <v>0.49468085106382981</v>
      </c>
      <c r="BX125" s="460">
        <f t="shared" si="361"/>
        <v>3701.0293698183259</v>
      </c>
      <c r="BY125" s="173">
        <f t="shared" si="362"/>
        <v>5.5810500265325187</v>
      </c>
      <c r="BZ125" s="5">
        <f t="shared" si="363"/>
        <v>11.625</v>
      </c>
      <c r="CA125" s="173">
        <f t="shared" si="364"/>
        <v>0.6756344414943416</v>
      </c>
      <c r="CB125" s="5">
        <f t="shared" si="365"/>
        <v>67.563444149434162</v>
      </c>
      <c r="CC125">
        <f t="shared" si="366"/>
        <v>15</v>
      </c>
      <c r="CE125" s="562">
        <f t="shared" si="367"/>
        <v>-50</v>
      </c>
      <c r="CF125">
        <f t="shared" si="368"/>
        <v>-50</v>
      </c>
      <c r="CG125" s="173">
        <f t="shared" si="369"/>
        <v>0.20842720889665703</v>
      </c>
      <c r="CH125" s="173">
        <f t="shared" si="370"/>
        <v>6.758986916594302E-2</v>
      </c>
      <c r="CI125" s="170">
        <v>15</v>
      </c>
      <c r="CJ125" s="217">
        <f t="shared" si="437"/>
        <v>0.375</v>
      </c>
      <c r="CK125" s="217">
        <f t="shared" si="371"/>
        <v>3.7499999999999999E-2</v>
      </c>
      <c r="CL125" s="217">
        <f t="shared" si="372"/>
        <v>10.5</v>
      </c>
      <c r="CM125" s="217">
        <f t="shared" si="373"/>
        <v>1.125</v>
      </c>
      <c r="CN125" s="541">
        <f t="shared" si="374"/>
        <v>19</v>
      </c>
      <c r="CO125" s="443">
        <f t="shared" si="375"/>
        <v>28.7</v>
      </c>
      <c r="CP125" s="443">
        <f t="shared" si="376"/>
        <v>47.7</v>
      </c>
      <c r="CQ125" s="443"/>
      <c r="CR125" s="217">
        <f t="shared" si="377"/>
        <v>0.59915611814345993</v>
      </c>
      <c r="CS125" s="172">
        <f t="shared" si="378"/>
        <v>85.685767433419556</v>
      </c>
      <c r="CT125" s="172">
        <f t="shared" si="379"/>
        <v>10.164255575647982</v>
      </c>
      <c r="CU125" s="217">
        <f t="shared" si="380"/>
        <v>3.0602059797649841</v>
      </c>
      <c r="CV125" s="217">
        <f t="shared" si="381"/>
        <v>2.8561922477806521</v>
      </c>
      <c r="CW125" s="217">
        <f t="shared" si="382"/>
        <v>28</v>
      </c>
      <c r="CX125" s="217">
        <f t="shared" si="383"/>
        <v>2.0423461823573015</v>
      </c>
      <c r="CY125" s="217">
        <f t="shared" si="384"/>
        <v>0.50521195037259559</v>
      </c>
      <c r="CZ125" s="217">
        <f t="shared" si="385"/>
        <v>0.33446087306896577</v>
      </c>
      <c r="DA125" s="197">
        <f t="shared" si="386"/>
        <v>350</v>
      </c>
      <c r="DB125" s="443">
        <f t="shared" si="387"/>
        <v>350</v>
      </c>
      <c r="DD125" s="217">
        <f t="shared" si="388"/>
        <v>6.9494625094785683</v>
      </c>
      <c r="DE125" s="173">
        <f t="shared" si="389"/>
        <v>1.1380652890086853</v>
      </c>
      <c r="DF125" s="173">
        <f t="shared" si="390"/>
        <v>1.2501230996965573</v>
      </c>
      <c r="DG125" s="173"/>
      <c r="DH125" s="173">
        <f t="shared" si="391"/>
        <v>0.54587688734030204</v>
      </c>
      <c r="DI125" s="545">
        <f t="shared" si="392"/>
        <v>412.18085106382978</v>
      </c>
      <c r="DJ125" s="528">
        <f t="shared" si="393"/>
        <v>0.31842818428184283</v>
      </c>
      <c r="DL125" s="173">
        <f t="shared" si="394"/>
        <v>3.7594864811332553</v>
      </c>
      <c r="DM125" s="173">
        <f t="shared" si="395"/>
        <v>3.7594864811332553</v>
      </c>
      <c r="DN125" s="173">
        <f t="shared" si="396"/>
        <v>1.5156689983703124</v>
      </c>
      <c r="DP125" s="545">
        <f t="shared" si="397"/>
        <v>375</v>
      </c>
      <c r="DQ125" s="460">
        <f t="shared" si="398"/>
        <v>350</v>
      </c>
      <c r="DS125" s="460">
        <f t="shared" si="399"/>
        <v>375</v>
      </c>
      <c r="DT125" s="460">
        <f t="shared" si="400"/>
        <v>350</v>
      </c>
      <c r="DV125" s="5">
        <f t="shared" si="401"/>
        <v>2.8571428571428572</v>
      </c>
      <c r="DW125" s="5">
        <f t="shared" si="402"/>
        <v>0.92997823480664732</v>
      </c>
      <c r="DX125" s="5">
        <f t="shared" si="403"/>
        <v>1.92716462233621</v>
      </c>
      <c r="DY125" s="173">
        <f t="shared" si="404"/>
        <v>0.32549238218232657</v>
      </c>
      <c r="EA125" s="5">
        <f t="shared" si="405"/>
        <v>1.2455065644731884</v>
      </c>
      <c r="EB125" s="5">
        <f t="shared" si="406"/>
        <v>0.1162472793508309</v>
      </c>
      <c r="EC125" s="5">
        <f t="shared" si="407"/>
        <v>0.7607228772379776</v>
      </c>
      <c r="ED125" s="5"/>
      <c r="EE125" s="173">
        <f t="shared" si="408"/>
        <v>1.2383354750968341</v>
      </c>
      <c r="EF125" s="173">
        <f t="shared" si="409"/>
        <v>1.7826304865912623</v>
      </c>
      <c r="EG125" s="173">
        <f t="shared" si="410"/>
        <v>0.17972422118911907</v>
      </c>
      <c r="EH125" s="173"/>
      <c r="EI125" s="528">
        <f t="shared" si="411"/>
        <v>1.8401696986599624E-2</v>
      </c>
      <c r="EJ125" s="528">
        <f t="shared" si="412"/>
        <v>1.1925279092478744</v>
      </c>
      <c r="EK125" s="528">
        <f t="shared" si="413"/>
        <v>4.0250000000000001E-2</v>
      </c>
      <c r="EL125" s="528">
        <f t="shared" si="414"/>
        <v>0.39220311375000005</v>
      </c>
      <c r="EM125">
        <f t="shared" si="415"/>
        <v>8.5500000000000003E-3</v>
      </c>
      <c r="EN125" s="460">
        <f t="shared" si="416"/>
        <v>48.800000000000004</v>
      </c>
      <c r="EP125" s="460">
        <f t="shared" si="438"/>
        <v>1651.9327199844743</v>
      </c>
      <c r="EQ125" s="173">
        <f t="shared" si="417"/>
        <v>0.26249999999999996</v>
      </c>
      <c r="ER125" s="173">
        <f t="shared" si="418"/>
        <v>1.7962499999999999E-2</v>
      </c>
      <c r="ES125" s="528"/>
      <c r="EU125" s="460">
        <f t="shared" si="419"/>
        <v>280.46249999999992</v>
      </c>
      <c r="EV125" s="528">
        <f t="shared" si="420"/>
        <v>2.1468646484366225E-2</v>
      </c>
      <c r="EW125" s="528">
        <f t="shared" si="421"/>
        <v>4.4488800324144415E-2</v>
      </c>
      <c r="EX125" s="528">
        <f t="shared" si="422"/>
        <v>1.6150397841017698E-4</v>
      </c>
      <c r="EY125" s="528">
        <f t="shared" si="423"/>
        <v>3.1402298235666453</v>
      </c>
      <c r="EZ125" s="528"/>
      <c r="FA125" s="625">
        <f t="shared" si="424"/>
        <v>0.49468085106382981</v>
      </c>
      <c r="FB125" s="460">
        <f t="shared" si="425"/>
        <v>3701.0296254173959</v>
      </c>
      <c r="FC125" s="173">
        <f t="shared" si="426"/>
        <v>5.6334248454018701</v>
      </c>
      <c r="FD125" s="5">
        <f t="shared" si="427"/>
        <v>11.625</v>
      </c>
      <c r="FE125" s="173">
        <f t="shared" si="428"/>
        <v>0.67358406715183095</v>
      </c>
      <c r="FF125" s="5">
        <f t="shared" si="429"/>
        <v>67.358406715183094</v>
      </c>
      <c r="FG125">
        <f t="shared" si="430"/>
        <v>15</v>
      </c>
      <c r="FI125" s="562">
        <f t="shared" si="431"/>
        <v>-50</v>
      </c>
      <c r="FJ125">
        <f t="shared" si="432"/>
        <v>-50</v>
      </c>
    </row>
    <row r="126" spans="5:166">
      <c r="E126" s="170">
        <v>16</v>
      </c>
      <c r="F126" s="217">
        <f t="shared" si="433"/>
        <v>0.4</v>
      </c>
      <c r="G126" s="217">
        <f t="shared" si="312"/>
        <v>0.04</v>
      </c>
      <c r="H126" s="217">
        <f t="shared" si="313"/>
        <v>11.200000000000001</v>
      </c>
      <c r="I126" s="217">
        <f t="shared" si="314"/>
        <v>1.2</v>
      </c>
      <c r="J126" s="541">
        <f t="shared" si="315"/>
        <v>18.935854225748571</v>
      </c>
      <c r="K126" s="443">
        <f t="shared" si="316"/>
        <v>28.726014725780733</v>
      </c>
      <c r="L126" s="172">
        <f t="shared" si="317"/>
        <v>47.6618689515293</v>
      </c>
      <c r="M126" s="443"/>
      <c r="N126" s="217">
        <f t="shared" si="318"/>
        <v>0.60270432859009859</v>
      </c>
      <c r="O126" s="172">
        <f t="shared" si="319"/>
        <v>85.902203389105836</v>
      </c>
      <c r="P126" s="172">
        <f t="shared" si="320"/>
        <v>10.189929738758726</v>
      </c>
      <c r="Q126" s="217">
        <f t="shared" si="321"/>
        <v>3.0679358353252084</v>
      </c>
      <c r="R126" s="217">
        <f t="shared" si="322"/>
        <v>2.8634067796368612</v>
      </c>
      <c r="S126" s="217">
        <f t="shared" si="323"/>
        <v>28</v>
      </c>
      <c r="T126" s="217">
        <f t="shared" si="324"/>
        <v>2.1730137214424454</v>
      </c>
      <c r="U126" s="217">
        <f t="shared" si="325"/>
        <v>0.53935588904628606</v>
      </c>
      <c r="V126" s="217">
        <f t="shared" si="326"/>
        <v>0.35553711812357619</v>
      </c>
      <c r="W126" s="197">
        <f t="shared" si="327"/>
        <v>350</v>
      </c>
      <c r="X126" s="443">
        <f t="shared" si="434"/>
        <v>350</v>
      </c>
      <c r="Z126" s="217">
        <f t="shared" si="328"/>
        <v>6.9378245029846637</v>
      </c>
      <c r="AA126" s="173">
        <f t="shared" si="329"/>
        <v>1.1351304897425756</v>
      </c>
      <c r="AB126" s="173">
        <f t="shared" si="330"/>
        <v>1.2448111940813873</v>
      </c>
      <c r="AC126" s="173"/>
      <c r="AD126" s="173">
        <f t="shared" si="331"/>
        <v>0.54538253273978543</v>
      </c>
      <c r="AE126" s="545">
        <f t="shared" si="332"/>
        <v>440.05809792685375</v>
      </c>
      <c r="AF126" s="528">
        <f t="shared" si="333"/>
        <v>0.31813981076487485</v>
      </c>
      <c r="AH126" s="173">
        <f t="shared" si="334"/>
        <v>3.8827809417922725</v>
      </c>
      <c r="AI126" s="173">
        <f t="shared" si="335"/>
        <v>3.8827809417922725</v>
      </c>
      <c r="AJ126" s="173">
        <f t="shared" si="336"/>
        <v>1.606998228488103</v>
      </c>
      <c r="AL126" s="545">
        <f t="shared" si="337"/>
        <v>400</v>
      </c>
      <c r="AM126" s="460">
        <f t="shared" si="338"/>
        <v>350</v>
      </c>
      <c r="AO126" s="460">
        <f t="shared" si="339"/>
        <v>400</v>
      </c>
      <c r="AP126" s="460">
        <f t="shared" si="340"/>
        <v>350</v>
      </c>
      <c r="AR126" s="5">
        <f t="shared" si="274"/>
        <v>2.8571428571428572</v>
      </c>
      <c r="AS126" s="5">
        <f t="shared" si="439"/>
        <v>0.96373103683957306</v>
      </c>
      <c r="AT126" s="5">
        <f t="shared" si="440"/>
        <v>1.8934118203032841</v>
      </c>
      <c r="AU126" s="173">
        <f t="shared" si="441"/>
        <v>0.33730586289385056</v>
      </c>
      <c r="AW126" s="5">
        <f t="shared" si="341"/>
        <v>1.376758624056533</v>
      </c>
      <c r="AX126" s="5">
        <f t="shared" si="342"/>
        <v>0.12849747157860972</v>
      </c>
      <c r="AY126" s="5">
        <f t="shared" si="343"/>
        <v>0.79992665669285223</v>
      </c>
      <c r="AZ126" s="5"/>
      <c r="BA126" s="173">
        <f t="shared" si="344"/>
        <v>1.301949703074144</v>
      </c>
      <c r="BB126" s="173">
        <f t="shared" si="345"/>
        <v>1.824898970166178</v>
      </c>
      <c r="BC126" s="173">
        <f t="shared" si="346"/>
        <v>0.18398571584462287</v>
      </c>
      <c r="BD126" s="173"/>
      <c r="BE126" s="528">
        <f t="shared" si="347"/>
        <v>2.0340876352018224E-2</v>
      </c>
      <c r="BF126" s="528">
        <f t="shared" si="348"/>
        <v>1.1820745596020823</v>
      </c>
      <c r="BG126" s="528">
        <f t="shared" si="349"/>
        <v>4.0250000000000001E-2</v>
      </c>
      <c r="BH126" s="528">
        <f t="shared" si="350"/>
        <v>0.39157631549285576</v>
      </c>
      <c r="BI126">
        <f t="shared" si="351"/>
        <v>8.5211344015868572E-3</v>
      </c>
      <c r="BJ126" s="460">
        <f t="shared" si="435"/>
        <v>48.771134401586856</v>
      </c>
      <c r="BK126">
        <f t="shared" si="352"/>
        <v>1.6072516226518523</v>
      </c>
      <c r="BL126" s="460">
        <f t="shared" si="436"/>
        <v>1642.762885848543</v>
      </c>
      <c r="BM126" s="173">
        <f t="shared" si="353"/>
        <v>0.26823999999999998</v>
      </c>
      <c r="BN126" s="173">
        <f t="shared" si="354"/>
        <v>2.6823999999999997E-2</v>
      </c>
      <c r="BO126" s="528"/>
      <c r="BQ126" s="460">
        <f t="shared" si="355"/>
        <v>295.06399999999996</v>
      </c>
      <c r="BR126" s="528">
        <f t="shared" si="356"/>
        <v>2.3731022410687929E-2</v>
      </c>
      <c r="BS126" s="528">
        <f t="shared" si="357"/>
        <v>4.6623587518390075E-2</v>
      </c>
      <c r="BT126" s="528">
        <f t="shared" si="358"/>
        <v>1.6925371817429153E-4</v>
      </c>
      <c r="BU126" s="528">
        <f t="shared" si="359"/>
        <v>3.4040610348501339</v>
      </c>
      <c r="BV126" s="528"/>
      <c r="BW126" s="625">
        <f t="shared" si="360"/>
        <v>0.52765957446808509</v>
      </c>
      <c r="BX126" s="460">
        <f t="shared" si="361"/>
        <v>4002.2444729654712</v>
      </c>
      <c r="BY126" s="173">
        <f t="shared" si="362"/>
        <v>5.9400713588140146</v>
      </c>
      <c r="BZ126" s="5">
        <f t="shared" si="363"/>
        <v>12.4</v>
      </c>
      <c r="CA126" s="173">
        <f t="shared" si="364"/>
        <v>0.67611514466876443</v>
      </c>
      <c r="CB126" s="5">
        <f t="shared" si="365"/>
        <v>67.611514466876443</v>
      </c>
      <c r="CC126">
        <f t="shared" si="366"/>
        <v>16</v>
      </c>
      <c r="CE126" s="562">
        <f t="shared" si="367"/>
        <v>-50</v>
      </c>
      <c r="CF126">
        <f t="shared" si="368"/>
        <v>-50</v>
      </c>
      <c r="CG126" s="173">
        <f t="shared" si="369"/>
        <v>0.21526269572086587</v>
      </c>
      <c r="CH126" s="173">
        <f t="shared" si="370"/>
        <v>6.9806516707209471E-2</v>
      </c>
      <c r="CI126" s="170">
        <v>16</v>
      </c>
      <c r="CJ126" s="217">
        <f t="shared" si="437"/>
        <v>0.4</v>
      </c>
      <c r="CK126" s="217">
        <f t="shared" si="371"/>
        <v>0.04</v>
      </c>
      <c r="CL126" s="217">
        <f t="shared" si="372"/>
        <v>11.200000000000001</v>
      </c>
      <c r="CM126" s="217">
        <f t="shared" si="373"/>
        <v>1.2</v>
      </c>
      <c r="CN126" s="541">
        <f t="shared" si="374"/>
        <v>19</v>
      </c>
      <c r="CO126" s="443">
        <f t="shared" si="375"/>
        <v>28.7</v>
      </c>
      <c r="CP126" s="443">
        <f t="shared" si="376"/>
        <v>47.7</v>
      </c>
      <c r="CQ126" s="443"/>
      <c r="CR126" s="217">
        <f t="shared" si="377"/>
        <v>0.59915611814345993</v>
      </c>
      <c r="CS126" s="172">
        <f t="shared" si="378"/>
        <v>85.685767433419556</v>
      </c>
      <c r="CT126" s="172">
        <f t="shared" si="379"/>
        <v>10.164255575647982</v>
      </c>
      <c r="CU126" s="217">
        <f t="shared" si="380"/>
        <v>3.0602059797649841</v>
      </c>
      <c r="CV126" s="217">
        <f t="shared" si="381"/>
        <v>2.8561922477806521</v>
      </c>
      <c r="CW126" s="217">
        <f t="shared" si="382"/>
        <v>28</v>
      </c>
      <c r="CX126" s="217">
        <f t="shared" si="383"/>
        <v>2.1785025945144549</v>
      </c>
      <c r="CY126" s="217">
        <f t="shared" si="384"/>
        <v>0.53889274706410206</v>
      </c>
      <c r="CZ126" s="217">
        <f t="shared" si="385"/>
        <v>0.3567582646068968</v>
      </c>
      <c r="DA126" s="197">
        <f t="shared" si="386"/>
        <v>350</v>
      </c>
      <c r="DB126" s="443">
        <f t="shared" si="387"/>
        <v>350</v>
      </c>
      <c r="DD126" s="217">
        <f t="shared" si="388"/>
        <v>6.9494625094785683</v>
      </c>
      <c r="DE126" s="173">
        <f t="shared" si="389"/>
        <v>1.1380652890086853</v>
      </c>
      <c r="DF126" s="173">
        <f t="shared" si="390"/>
        <v>1.2501230996965573</v>
      </c>
      <c r="DG126" s="173"/>
      <c r="DH126" s="173">
        <f t="shared" si="391"/>
        <v>0.54587688734030204</v>
      </c>
      <c r="DI126" s="545">
        <f t="shared" si="392"/>
        <v>439.65957446808511</v>
      </c>
      <c r="DJ126" s="528">
        <f t="shared" si="393"/>
        <v>0.31842818428184283</v>
      </c>
      <c r="DL126" s="173">
        <f t="shared" si="394"/>
        <v>3.8827809417922725</v>
      </c>
      <c r="DM126" s="173">
        <f t="shared" si="395"/>
        <v>3.8827809417922725</v>
      </c>
      <c r="DN126" s="173">
        <f t="shared" si="396"/>
        <v>1.606998228488103</v>
      </c>
      <c r="DP126" s="545">
        <f t="shared" si="397"/>
        <v>400</v>
      </c>
      <c r="DQ126" s="460">
        <f t="shared" si="398"/>
        <v>350</v>
      </c>
      <c r="DS126" s="460">
        <f t="shared" si="399"/>
        <v>400</v>
      </c>
      <c r="DT126" s="460">
        <f t="shared" si="400"/>
        <v>350</v>
      </c>
      <c r="DV126" s="5">
        <f t="shared" si="401"/>
        <v>2.8571428571428572</v>
      </c>
      <c r="DW126" s="5">
        <f t="shared" si="402"/>
        <v>0.9604773908644042</v>
      </c>
      <c r="DX126" s="5">
        <f t="shared" si="403"/>
        <v>1.896665466278453</v>
      </c>
      <c r="DY126" s="173">
        <f t="shared" si="404"/>
        <v>0.33616708680254148</v>
      </c>
      <c r="EA126" s="5">
        <f t="shared" si="405"/>
        <v>1.3721105583777204</v>
      </c>
      <c r="EB126" s="5">
        <f t="shared" si="406"/>
        <v>0.12806365211525389</v>
      </c>
      <c r="EC126" s="5">
        <f t="shared" si="407"/>
        <v>0.79859598580145397</v>
      </c>
      <c r="ED126" s="5"/>
      <c r="EE126" s="173">
        <f t="shared" si="408"/>
        <v>1.2997500930944741</v>
      </c>
      <c r="EF126" s="173">
        <f t="shared" si="409"/>
        <v>1.8264662537669114</v>
      </c>
      <c r="EG126" s="173">
        <f t="shared" si="410"/>
        <v>0.18414372886338531</v>
      </c>
      <c r="EH126" s="173"/>
      <c r="EI126" s="528">
        <f t="shared" si="411"/>
        <v>2.0272203653989129E-2</v>
      </c>
      <c r="EJ126" s="528">
        <f t="shared" si="412"/>
        <v>1.231637528641218</v>
      </c>
      <c r="EK126" s="528">
        <f t="shared" si="413"/>
        <v>4.0250000000000001E-2</v>
      </c>
      <c r="EL126" s="528">
        <f t="shared" si="414"/>
        <v>0.39220311375000005</v>
      </c>
      <c r="EM126">
        <f t="shared" si="415"/>
        <v>8.5500000000000003E-3</v>
      </c>
      <c r="EN126" s="460">
        <f t="shared" si="416"/>
        <v>48.800000000000004</v>
      </c>
      <c r="EP126" s="460">
        <f t="shared" si="438"/>
        <v>1692.9128460452071</v>
      </c>
      <c r="EQ126" s="173">
        <f t="shared" si="417"/>
        <v>0.27999999999999997</v>
      </c>
      <c r="ER126" s="173">
        <f t="shared" si="418"/>
        <v>1.916E-2</v>
      </c>
      <c r="ES126" s="528"/>
      <c r="EU126" s="460">
        <f t="shared" si="419"/>
        <v>299.15999999999997</v>
      </c>
      <c r="EV126" s="528">
        <f t="shared" si="420"/>
        <v>2.3650904262987316E-2</v>
      </c>
      <c r="EW126" s="528">
        <f t="shared" si="421"/>
        <v>4.6703705666090695E-2</v>
      </c>
      <c r="EX126" s="528">
        <f t="shared" si="422"/>
        <v>1.695445643985598E-4</v>
      </c>
      <c r="EY126" s="528">
        <f t="shared" si="423"/>
        <v>3.4040610348501339</v>
      </c>
      <c r="EZ126" s="528"/>
      <c r="FA126" s="625">
        <f t="shared" si="424"/>
        <v>0.52765957446808509</v>
      </c>
      <c r="FB126" s="460">
        <f t="shared" si="425"/>
        <v>4002.244763811696</v>
      </c>
      <c r="FC126" s="173">
        <f t="shared" si="426"/>
        <v>5.9943176098569033</v>
      </c>
      <c r="FD126" s="5">
        <f t="shared" si="427"/>
        <v>12.4</v>
      </c>
      <c r="FE126" s="173">
        <f t="shared" si="428"/>
        <v>0.67412122933852414</v>
      </c>
      <c r="FF126" s="5">
        <f t="shared" si="429"/>
        <v>67.412122933852416</v>
      </c>
      <c r="FG126">
        <f t="shared" si="430"/>
        <v>16</v>
      </c>
      <c r="FI126" s="562">
        <f t="shared" si="431"/>
        <v>-50</v>
      </c>
      <c r="FJ126">
        <f t="shared" si="432"/>
        <v>-50</v>
      </c>
    </row>
    <row r="127" spans="5:166">
      <c r="E127" s="170">
        <v>17</v>
      </c>
      <c r="F127" s="217">
        <f t="shared" si="433"/>
        <v>0.42500000000000004</v>
      </c>
      <c r="G127" s="217">
        <f t="shared" si="312"/>
        <v>4.2500000000000003E-2</v>
      </c>
      <c r="H127" s="217">
        <f t="shared" si="313"/>
        <v>11.900000000000002</v>
      </c>
      <c r="I127" s="217">
        <f t="shared" si="314"/>
        <v>1.2750000000000001</v>
      </c>
      <c r="J127" s="541">
        <f t="shared" si="315"/>
        <v>18.93388004933108</v>
      </c>
      <c r="K127" s="443">
        <f t="shared" si="316"/>
        <v>28.726815365553861</v>
      </c>
      <c r="L127" s="172">
        <f t="shared" si="317"/>
        <v>47.660695414884941</v>
      </c>
      <c r="M127" s="443"/>
      <c r="N127" s="217">
        <f t="shared" si="318"/>
        <v>0.6027359675616939</v>
      </c>
      <c r="O127" s="172">
        <f t="shared" si="319"/>
        <v>85.89775653614447</v>
      </c>
      <c r="P127" s="172">
        <f t="shared" si="320"/>
        <v>10.189402242170198</v>
      </c>
      <c r="Q127" s="217">
        <f t="shared" si="321"/>
        <v>3.0677770191480169</v>
      </c>
      <c r="R127" s="217">
        <f t="shared" si="322"/>
        <v>2.8632585512048156</v>
      </c>
      <c r="S127" s="217">
        <f t="shared" si="323"/>
        <v>28</v>
      </c>
      <c r="T127" s="217">
        <f t="shared" si="324"/>
        <v>2.3089466050242851</v>
      </c>
      <c r="U127" s="217">
        <f t="shared" si="325"/>
        <v>0.57315505407976508</v>
      </c>
      <c r="V127" s="217">
        <f t="shared" si="326"/>
        <v>0.37776721524888418</v>
      </c>
      <c r="W127" s="197">
        <f t="shared" si="327"/>
        <v>350</v>
      </c>
      <c r="X127" s="443">
        <f t="shared" si="434"/>
        <v>350</v>
      </c>
      <c r="Z127" s="217">
        <f t="shared" si="328"/>
        <v>6.9374653563711979</v>
      </c>
      <c r="AA127" s="173">
        <f t="shared" si="329"/>
        <v>1.1350400926808746</v>
      </c>
      <c r="AB127" s="173">
        <f t="shared" si="330"/>
        <v>1.2446476281684842</v>
      </c>
      <c r="AC127" s="173"/>
      <c r="AD127" s="173">
        <f t="shared" si="331"/>
        <v>0.54536733248379721</v>
      </c>
      <c r="AE127" s="545">
        <f t="shared" si="332"/>
        <v>467.57476073720642</v>
      </c>
      <c r="AF127" s="528">
        <f t="shared" si="333"/>
        <v>0.31813094394888175</v>
      </c>
      <c r="AH127" s="173">
        <f t="shared" si="334"/>
        <v>4.00227898603619</v>
      </c>
      <c r="AI127" s="173">
        <f t="shared" si="335"/>
        <v>4.00227898603619</v>
      </c>
      <c r="AJ127" s="173">
        <f t="shared" si="336"/>
        <v>1.6955152982984123</v>
      </c>
      <c r="AL127" s="545">
        <f t="shared" si="337"/>
        <v>425.00000000000006</v>
      </c>
      <c r="AM127" s="460">
        <f t="shared" si="338"/>
        <v>350</v>
      </c>
      <c r="AO127" s="460">
        <f t="shared" si="339"/>
        <v>425.00000000000006</v>
      </c>
      <c r="AP127" s="460">
        <f t="shared" si="340"/>
        <v>350</v>
      </c>
      <c r="AR127" s="5">
        <f t="shared" si="274"/>
        <v>2.8571428571428572</v>
      </c>
      <c r="AS127" s="5">
        <f t="shared" si="439"/>
        <v>0.9934947926869675</v>
      </c>
      <c r="AT127" s="5">
        <f t="shared" si="440"/>
        <v>1.8636480644558897</v>
      </c>
      <c r="AU127" s="173">
        <f t="shared" si="441"/>
        <v>0.34772317744043862</v>
      </c>
      <c r="AW127" s="5">
        <f t="shared" si="341"/>
        <v>1.5079831674712902</v>
      </c>
      <c r="AX127" s="5">
        <f t="shared" si="342"/>
        <v>0.14074509563065374</v>
      </c>
      <c r="AY127" s="5">
        <f t="shared" si="343"/>
        <v>0.83664882774171345</v>
      </c>
      <c r="AZ127" s="5"/>
      <c r="BA127" s="173">
        <f t="shared" si="344"/>
        <v>1.362584834688658</v>
      </c>
      <c r="BB127" s="173">
        <f t="shared" si="345"/>
        <v>1.8662194214414982</v>
      </c>
      <c r="BC127" s="173">
        <f t="shared" si="346"/>
        <v>0.1881516301945117</v>
      </c>
      <c r="BD127" s="173"/>
      <c r="BE127" s="528">
        <f t="shared" si="347"/>
        <v>2.2279649180682211E-2</v>
      </c>
      <c r="BF127" s="528">
        <f t="shared" si="348"/>
        <v>1.2184245657042529</v>
      </c>
      <c r="BG127" s="528">
        <f t="shared" si="349"/>
        <v>4.0250000000000001E-2</v>
      </c>
      <c r="BH127" s="528">
        <f t="shared" si="350"/>
        <v>0.39155703284582116</v>
      </c>
      <c r="BI127">
        <f t="shared" si="351"/>
        <v>8.5202460221989861E-3</v>
      </c>
      <c r="BJ127" s="460">
        <f t="shared" si="435"/>
        <v>48.77024602219899</v>
      </c>
      <c r="BK127">
        <f t="shared" si="352"/>
        <v>1.6469953611841566</v>
      </c>
      <c r="BL127" s="460">
        <f t="shared" si="436"/>
        <v>1681.0314937529552</v>
      </c>
      <c r="BM127" s="173">
        <f t="shared" si="353"/>
        <v>0.28500499999999995</v>
      </c>
      <c r="BN127" s="173">
        <f t="shared" si="354"/>
        <v>2.8500499999999998E-2</v>
      </c>
      <c r="BO127" s="528"/>
      <c r="BQ127" s="460">
        <f t="shared" si="355"/>
        <v>313.50549999999993</v>
      </c>
      <c r="BR127" s="528">
        <f t="shared" si="356"/>
        <v>2.5992924044129246E-2</v>
      </c>
      <c r="BS127" s="528">
        <f t="shared" si="357"/>
        <v>4.8758849005516164E-2</v>
      </c>
      <c r="BT127" s="528">
        <f t="shared" si="358"/>
        <v>1.7700517972426142E-4</v>
      </c>
      <c r="BU127" s="528">
        <f t="shared" si="359"/>
        <v>3.672049371821188</v>
      </c>
      <c r="BV127" s="528"/>
      <c r="BW127" s="625">
        <f t="shared" si="360"/>
        <v>0.56063829787234065</v>
      </c>
      <c r="BX127" s="460">
        <f t="shared" si="361"/>
        <v>4307.6164479228983</v>
      </c>
      <c r="BY127" s="173">
        <f t="shared" si="362"/>
        <v>6.3021534416758538</v>
      </c>
      <c r="BZ127" s="5">
        <f t="shared" si="363"/>
        <v>13.175000000000002</v>
      </c>
      <c r="CA127" s="173">
        <f t="shared" si="364"/>
        <v>0.67643354761528218</v>
      </c>
      <c r="CB127" s="5">
        <f t="shared" si="365"/>
        <v>67.643354761528215</v>
      </c>
      <c r="CC127">
        <f t="shared" si="366"/>
        <v>17</v>
      </c>
      <c r="CE127" s="562">
        <f t="shared" si="367"/>
        <v>-50</v>
      </c>
      <c r="CF127">
        <f t="shared" si="368"/>
        <v>-50</v>
      </c>
      <c r="CG127" s="173">
        <f t="shared" si="369"/>
        <v>0.22188770792808121</v>
      </c>
      <c r="CH127" s="173">
        <f t="shared" si="370"/>
        <v>7.1954910435067132E-2</v>
      </c>
      <c r="CI127" s="170">
        <v>17</v>
      </c>
      <c r="CJ127" s="217">
        <f t="shared" si="437"/>
        <v>0.42500000000000004</v>
      </c>
      <c r="CK127" s="217">
        <f t="shared" si="371"/>
        <v>4.2500000000000003E-2</v>
      </c>
      <c r="CL127" s="217">
        <f t="shared" si="372"/>
        <v>11.900000000000002</v>
      </c>
      <c r="CM127" s="217">
        <f t="shared" si="373"/>
        <v>1.2750000000000001</v>
      </c>
      <c r="CN127" s="541">
        <f t="shared" si="374"/>
        <v>19</v>
      </c>
      <c r="CO127" s="443">
        <f t="shared" si="375"/>
        <v>28.7</v>
      </c>
      <c r="CP127" s="443">
        <f t="shared" si="376"/>
        <v>47.7</v>
      </c>
      <c r="CQ127" s="443"/>
      <c r="CR127" s="217">
        <f t="shared" si="377"/>
        <v>0.59915611814345993</v>
      </c>
      <c r="CS127" s="172">
        <f t="shared" si="378"/>
        <v>85.685767433419556</v>
      </c>
      <c r="CT127" s="172">
        <f t="shared" si="379"/>
        <v>10.164255575647982</v>
      </c>
      <c r="CU127" s="217">
        <f t="shared" si="380"/>
        <v>3.0602059797649841</v>
      </c>
      <c r="CV127" s="217">
        <f t="shared" si="381"/>
        <v>2.8561922477806521</v>
      </c>
      <c r="CW127" s="217">
        <f t="shared" si="382"/>
        <v>28</v>
      </c>
      <c r="CX127" s="217">
        <f t="shared" si="383"/>
        <v>2.3146590066716088</v>
      </c>
      <c r="CY127" s="217">
        <f t="shared" si="384"/>
        <v>0.57257354375560854</v>
      </c>
      <c r="CZ127" s="217">
        <f t="shared" si="385"/>
        <v>0.37905565614482795</v>
      </c>
      <c r="DA127" s="197">
        <f t="shared" si="386"/>
        <v>350</v>
      </c>
      <c r="DB127" s="443">
        <f t="shared" si="387"/>
        <v>350</v>
      </c>
      <c r="DD127" s="217">
        <f t="shared" si="388"/>
        <v>6.9494625094785683</v>
      </c>
      <c r="DE127" s="173">
        <f t="shared" si="389"/>
        <v>1.1380652890086853</v>
      </c>
      <c r="DF127" s="173">
        <f t="shared" si="390"/>
        <v>1.2501230996965573</v>
      </c>
      <c r="DG127" s="173"/>
      <c r="DH127" s="173">
        <f t="shared" si="391"/>
        <v>0.54587688734030204</v>
      </c>
      <c r="DI127" s="545">
        <f t="shared" si="392"/>
        <v>467.1382978723405</v>
      </c>
      <c r="DJ127" s="528">
        <f t="shared" si="393"/>
        <v>0.31842818428184283</v>
      </c>
      <c r="DL127" s="173">
        <f t="shared" si="394"/>
        <v>4.00227898603619</v>
      </c>
      <c r="DM127" s="173">
        <f t="shared" si="395"/>
        <v>4.00227898603619</v>
      </c>
      <c r="DN127" s="173">
        <f t="shared" si="396"/>
        <v>1.6955152982984123</v>
      </c>
      <c r="DP127" s="545">
        <f t="shared" si="397"/>
        <v>425.00000000000006</v>
      </c>
      <c r="DQ127" s="460">
        <f t="shared" si="398"/>
        <v>350</v>
      </c>
      <c r="DS127" s="460">
        <f t="shared" si="399"/>
        <v>425.00000000000006</v>
      </c>
      <c r="DT127" s="460">
        <f t="shared" si="400"/>
        <v>350</v>
      </c>
      <c r="DV127" s="5">
        <f t="shared" si="401"/>
        <v>2.8571428571428572</v>
      </c>
      <c r="DW127" s="5">
        <f t="shared" si="402"/>
        <v>0.99003743338789962</v>
      </c>
      <c r="DX127" s="5">
        <f t="shared" si="403"/>
        <v>1.8671054237549576</v>
      </c>
      <c r="DY127" s="173">
        <f t="shared" si="404"/>
        <v>0.34651310168576488</v>
      </c>
      <c r="EA127" s="5">
        <f t="shared" si="405"/>
        <v>1.5027353899637763</v>
      </c>
      <c r="EB127" s="5">
        <f t="shared" si="406"/>
        <v>0.14025530306328579</v>
      </c>
      <c r="EC127" s="5">
        <f t="shared" si="407"/>
        <v>0.83528400536406</v>
      </c>
      <c r="ED127" s="5"/>
      <c r="EE127" s="173">
        <f t="shared" si="408"/>
        <v>1.3602118725704622</v>
      </c>
      <c r="EF127" s="173">
        <f t="shared" si="409"/>
        <v>1.8679496841208851</v>
      </c>
      <c r="EG127" s="173">
        <f t="shared" si="410"/>
        <v>0.18832607471054827</v>
      </c>
      <c r="EH127" s="173"/>
      <c r="EI127" s="528">
        <f t="shared" si="411"/>
        <v>2.2202116059379717E-2</v>
      </c>
      <c r="EJ127" s="528">
        <f t="shared" si="412"/>
        <v>1.26954290576561</v>
      </c>
      <c r="EK127" s="528">
        <f t="shared" si="413"/>
        <v>4.0250000000000001E-2</v>
      </c>
      <c r="EL127" s="528">
        <f t="shared" si="414"/>
        <v>0.39220311375000005</v>
      </c>
      <c r="EM127">
        <f t="shared" si="415"/>
        <v>8.5500000000000003E-3</v>
      </c>
      <c r="EN127" s="460">
        <f t="shared" si="416"/>
        <v>48.800000000000004</v>
      </c>
      <c r="EP127" s="460">
        <f t="shared" si="438"/>
        <v>1732.7481355749899</v>
      </c>
      <c r="EQ127" s="173">
        <f t="shared" si="417"/>
        <v>0.29749999999999999</v>
      </c>
      <c r="ER127" s="173">
        <f t="shared" si="418"/>
        <v>2.0357500000000001E-2</v>
      </c>
      <c r="ES127" s="528"/>
      <c r="EU127" s="460">
        <f t="shared" si="419"/>
        <v>317.85750000000002</v>
      </c>
      <c r="EV127" s="528">
        <f t="shared" si="420"/>
        <v>2.5902468735943006E-2</v>
      </c>
      <c r="EW127" s="528">
        <f t="shared" si="421"/>
        <v>4.8849304313702407E-2</v>
      </c>
      <c r="EX127" s="528">
        <f t="shared" si="422"/>
        <v>1.7733355207941504E-4</v>
      </c>
      <c r="EY127" s="528">
        <f t="shared" si="423"/>
        <v>3.672049371821188</v>
      </c>
      <c r="EZ127" s="528"/>
      <c r="FA127" s="625">
        <f t="shared" si="424"/>
        <v>0.56063829787234065</v>
      </c>
      <c r="FB127" s="460">
        <f t="shared" si="425"/>
        <v>4307.6167762952537</v>
      </c>
      <c r="FC127" s="173">
        <f t="shared" si="426"/>
        <v>6.3582224118702433</v>
      </c>
      <c r="FD127" s="5">
        <f t="shared" si="427"/>
        <v>13.175000000000002</v>
      </c>
      <c r="FE127" s="173">
        <f t="shared" si="428"/>
        <v>0.67449188475904609</v>
      </c>
      <c r="FF127" s="5">
        <f t="shared" si="429"/>
        <v>67.449188475904606</v>
      </c>
      <c r="FG127">
        <f t="shared" si="430"/>
        <v>17</v>
      </c>
      <c r="FI127" s="562">
        <f t="shared" si="431"/>
        <v>-50</v>
      </c>
      <c r="FJ127">
        <f t="shared" si="432"/>
        <v>-50</v>
      </c>
    </row>
    <row r="128" spans="5:166">
      <c r="E128" s="170">
        <v>18</v>
      </c>
      <c r="F128" s="217">
        <f t="shared" si="433"/>
        <v>0.44999999999999996</v>
      </c>
      <c r="G128" s="217">
        <f t="shared" si="312"/>
        <v>4.4999999999999998E-2</v>
      </c>
      <c r="H128" s="217">
        <f t="shared" si="313"/>
        <v>12.599999999999998</v>
      </c>
      <c r="I128" s="217">
        <f t="shared" si="314"/>
        <v>1.3499999999999999</v>
      </c>
      <c r="J128" s="541">
        <f t="shared" si="315"/>
        <v>18.93196313206353</v>
      </c>
      <c r="K128" s="443">
        <f t="shared" si="316"/>
        <v>28.727592783515398</v>
      </c>
      <c r="L128" s="172">
        <f t="shared" si="317"/>
        <v>47.659555915578927</v>
      </c>
      <c r="M128" s="443"/>
      <c r="N128" s="217">
        <f t="shared" si="318"/>
        <v>0.60276669036534058</v>
      </c>
      <c r="O128" s="172">
        <f t="shared" si="319"/>
        <v>85.893437972718374</v>
      </c>
      <c r="P128" s="172">
        <f t="shared" si="320"/>
        <v>10.18888996360052</v>
      </c>
      <c r="Q128" s="217">
        <f t="shared" si="321"/>
        <v>3.067622784739942</v>
      </c>
      <c r="R128" s="217">
        <f t="shared" si="322"/>
        <v>2.8631145990906126</v>
      </c>
      <c r="S128" s="217">
        <f t="shared" si="323"/>
        <v>28</v>
      </c>
      <c r="T128" s="217">
        <f t="shared" si="324"/>
        <v>2.4448899119243612</v>
      </c>
      <c r="U128" s="217">
        <f t="shared" si="325"/>
        <v>0.60696202004445865</v>
      </c>
      <c r="V128" s="217">
        <f t="shared" si="326"/>
        <v>0.39999810191678531</v>
      </c>
      <c r="W128" s="197">
        <f t="shared" si="327"/>
        <v>350</v>
      </c>
      <c r="X128" s="443">
        <f t="shared" si="434"/>
        <v>350</v>
      </c>
      <c r="Z128" s="217">
        <f t="shared" si="328"/>
        <v>6.9371165709620533</v>
      </c>
      <c r="AA128" s="173">
        <f t="shared" si="329"/>
        <v>1.1349523132418837</v>
      </c>
      <c r="AB128" s="173">
        <f t="shared" si="330"/>
        <v>1.2444888015247011</v>
      </c>
      <c r="AC128" s="173"/>
      <c r="AD128" s="173">
        <f t="shared" si="331"/>
        <v>0.54535257390784886</v>
      </c>
      <c r="AE128" s="545">
        <f t="shared" si="332"/>
        <v>495.09255648186104</v>
      </c>
      <c r="AF128" s="528">
        <f t="shared" si="333"/>
        <v>0.31812233477957852</v>
      </c>
      <c r="AH128" s="173">
        <f t="shared" si="334"/>
        <v>4.1183111007048083</v>
      </c>
      <c r="AI128" s="173">
        <f t="shared" si="335"/>
        <v>4.1183111007048083</v>
      </c>
      <c r="AJ128" s="173">
        <f t="shared" si="336"/>
        <v>1.7814650128677592</v>
      </c>
      <c r="AL128" s="545">
        <f t="shared" si="337"/>
        <v>449.99999999999994</v>
      </c>
      <c r="AM128" s="460">
        <f t="shared" si="338"/>
        <v>350</v>
      </c>
      <c r="AO128" s="460">
        <f t="shared" si="339"/>
        <v>449.99999999999994</v>
      </c>
      <c r="AP128" s="460">
        <f t="shared" si="340"/>
        <v>350</v>
      </c>
      <c r="AR128" s="5">
        <f t="shared" si="274"/>
        <v>2.8571428571428572</v>
      </c>
      <c r="AS128" s="5">
        <f t="shared" si="439"/>
        <v>1.0224012184204399</v>
      </c>
      <c r="AT128" s="5">
        <f t="shared" si="440"/>
        <v>1.8347416387224174</v>
      </c>
      <c r="AU128" s="173">
        <f t="shared" si="441"/>
        <v>0.35784042644715391</v>
      </c>
      <c r="AW128" s="5">
        <f t="shared" si="341"/>
        <v>1.6431448153185637</v>
      </c>
      <c r="AX128" s="5">
        <f t="shared" si="342"/>
        <v>0.15336018276306598</v>
      </c>
      <c r="AY128" s="5">
        <f t="shared" si="343"/>
        <v>0.87221143593585249</v>
      </c>
      <c r="AZ128" s="5"/>
      <c r="BA128" s="173">
        <f t="shared" si="344"/>
        <v>1.4223393474933042</v>
      </c>
      <c r="BB128" s="173">
        <f t="shared" si="345"/>
        <v>1.9053729874493877</v>
      </c>
      <c r="BC128" s="173">
        <f t="shared" si="346"/>
        <v>0.19209907988219238</v>
      </c>
      <c r="BD128" s="173"/>
      <c r="BE128" s="528">
        <f t="shared" si="347"/>
        <v>2.4276590633132138E-2</v>
      </c>
      <c r="BF128" s="528">
        <f t="shared" si="348"/>
        <v>1.253718559386185</v>
      </c>
      <c r="BG128" s="528">
        <f t="shared" si="349"/>
        <v>4.0250000000000001E-2</v>
      </c>
      <c r="BH128" s="528">
        <f t="shared" si="350"/>
        <v>0.39153830992834976</v>
      </c>
      <c r="BI128">
        <f t="shared" si="351"/>
        <v>8.5193834094285884E-3</v>
      </c>
      <c r="BJ128" s="460">
        <f t="shared" si="435"/>
        <v>48.769383409428585</v>
      </c>
      <c r="BK128">
        <f t="shared" si="352"/>
        <v>1.6858121024407842</v>
      </c>
      <c r="BL128" s="460">
        <f t="shared" si="436"/>
        <v>1718.3028433570955</v>
      </c>
      <c r="BM128" s="173">
        <f t="shared" si="353"/>
        <v>0.30176999999999993</v>
      </c>
      <c r="BN128" s="173">
        <f t="shared" si="354"/>
        <v>3.0176999999999999E-2</v>
      </c>
      <c r="BO128" s="528"/>
      <c r="BQ128" s="460">
        <f t="shared" si="355"/>
        <v>331.94699999999995</v>
      </c>
      <c r="BR128" s="528">
        <f t="shared" si="356"/>
        <v>2.8322689071987494E-2</v>
      </c>
      <c r="BS128" s="528">
        <f t="shared" si="357"/>
        <v>5.0826247098225266E-2</v>
      </c>
      <c r="BT128" s="528">
        <f t="shared" si="358"/>
        <v>1.8451028245792465E-4</v>
      </c>
      <c r="BU128" s="528">
        <f t="shared" si="359"/>
        <v>3.9440098549343094</v>
      </c>
      <c r="BV128" s="528"/>
      <c r="BW128" s="625">
        <f t="shared" si="360"/>
        <v>0.59361702127659588</v>
      </c>
      <c r="BX128" s="460">
        <f t="shared" si="361"/>
        <v>4616.9603226635754</v>
      </c>
      <c r="BY128" s="173">
        <f t="shared" si="362"/>
        <v>6.6672101660206717</v>
      </c>
      <c r="BZ128" s="5">
        <f t="shared" si="363"/>
        <v>13.949999999999998</v>
      </c>
      <c r="CA128" s="173">
        <f t="shared" si="364"/>
        <v>0.67661918793412046</v>
      </c>
      <c r="CB128" s="5">
        <f t="shared" si="365"/>
        <v>67.661918793412042</v>
      </c>
      <c r="CC128">
        <f t="shared" si="366"/>
        <v>18</v>
      </c>
      <c r="CE128" s="562">
        <f t="shared" si="367"/>
        <v>-50</v>
      </c>
      <c r="CF128">
        <f t="shared" si="368"/>
        <v>-50</v>
      </c>
      <c r="CG128" s="173">
        <f t="shared" si="369"/>
        <v>0.22832056782108098</v>
      </c>
      <c r="CH128" s="173">
        <f t="shared" si="370"/>
        <v>7.4040992002019759E-2</v>
      </c>
      <c r="CI128" s="170">
        <v>18</v>
      </c>
      <c r="CJ128" s="217">
        <f t="shared" si="437"/>
        <v>0.44999999999999996</v>
      </c>
      <c r="CK128" s="217">
        <f t="shared" si="371"/>
        <v>4.4999999999999998E-2</v>
      </c>
      <c r="CL128" s="217">
        <f t="shared" si="372"/>
        <v>12.599999999999998</v>
      </c>
      <c r="CM128" s="217">
        <f t="shared" si="373"/>
        <v>1.3499999999999999</v>
      </c>
      <c r="CN128" s="541">
        <f t="shared" si="374"/>
        <v>19</v>
      </c>
      <c r="CO128" s="443">
        <f t="shared" si="375"/>
        <v>28.7</v>
      </c>
      <c r="CP128" s="443">
        <f t="shared" si="376"/>
        <v>47.7</v>
      </c>
      <c r="CQ128" s="443"/>
      <c r="CR128" s="217">
        <f t="shared" si="377"/>
        <v>0.59915611814345993</v>
      </c>
      <c r="CS128" s="172">
        <f t="shared" si="378"/>
        <v>85.685767433419556</v>
      </c>
      <c r="CT128" s="172">
        <f t="shared" si="379"/>
        <v>10.164255575647982</v>
      </c>
      <c r="CU128" s="217">
        <f t="shared" si="380"/>
        <v>3.0602059797649841</v>
      </c>
      <c r="CV128" s="217">
        <f t="shared" si="381"/>
        <v>2.8561922477806521</v>
      </c>
      <c r="CW128" s="217">
        <f t="shared" si="382"/>
        <v>28</v>
      </c>
      <c r="CX128" s="217">
        <f t="shared" si="383"/>
        <v>2.4508154188287614</v>
      </c>
      <c r="CY128" s="217">
        <f t="shared" si="384"/>
        <v>0.60625434044711468</v>
      </c>
      <c r="CZ128" s="217">
        <f t="shared" si="385"/>
        <v>0.40135304768275881</v>
      </c>
      <c r="DA128" s="197">
        <f t="shared" si="386"/>
        <v>350</v>
      </c>
      <c r="DB128" s="443">
        <f t="shared" si="387"/>
        <v>350</v>
      </c>
      <c r="DD128" s="217">
        <f t="shared" si="388"/>
        <v>6.9494625094785683</v>
      </c>
      <c r="DE128" s="173">
        <f t="shared" si="389"/>
        <v>1.1380652890086853</v>
      </c>
      <c r="DF128" s="173">
        <f t="shared" si="390"/>
        <v>1.2501230996965573</v>
      </c>
      <c r="DG128" s="173"/>
      <c r="DH128" s="173">
        <f t="shared" si="391"/>
        <v>0.54587688734030204</v>
      </c>
      <c r="DI128" s="545">
        <f t="shared" si="392"/>
        <v>494.61702127659572</v>
      </c>
      <c r="DJ128" s="528">
        <f t="shared" si="393"/>
        <v>0.31842818428184283</v>
      </c>
      <c r="DL128" s="173">
        <f t="shared" si="394"/>
        <v>4.1183111007048083</v>
      </c>
      <c r="DM128" s="173">
        <f t="shared" si="395"/>
        <v>4.1183111007048083</v>
      </c>
      <c r="DN128" s="173">
        <f t="shared" si="396"/>
        <v>1.7814650128677592</v>
      </c>
      <c r="DP128" s="545">
        <f t="shared" si="397"/>
        <v>449.99999999999994</v>
      </c>
      <c r="DQ128" s="460">
        <f t="shared" si="398"/>
        <v>350</v>
      </c>
      <c r="DS128" s="460">
        <f t="shared" si="399"/>
        <v>449.99999999999994</v>
      </c>
      <c r="DT128" s="460">
        <f t="shared" si="400"/>
        <v>350</v>
      </c>
      <c r="DV128" s="5">
        <f t="shared" si="401"/>
        <v>2.8571428571428572</v>
      </c>
      <c r="DW128" s="5">
        <f t="shared" si="402"/>
        <v>1.0187401143848738</v>
      </c>
      <c r="DX128" s="5">
        <f t="shared" si="403"/>
        <v>1.8384027427579834</v>
      </c>
      <c r="DY128" s="173">
        <f t="shared" si="404"/>
        <v>0.35655904003470579</v>
      </c>
      <c r="EA128" s="5">
        <f t="shared" si="405"/>
        <v>1.637260898118547</v>
      </c>
      <c r="EB128" s="5">
        <f t="shared" si="406"/>
        <v>0.15281101715773104</v>
      </c>
      <c r="EC128" s="5">
        <f t="shared" si="407"/>
        <v>0.87082235183272871</v>
      </c>
      <c r="ED128" s="5"/>
      <c r="EE128" s="173">
        <f t="shared" si="408"/>
        <v>1.4197904448146883</v>
      </c>
      <c r="EF128" s="173">
        <f t="shared" si="409"/>
        <v>1.9072730621341016</v>
      </c>
      <c r="EG128" s="173">
        <f t="shared" si="410"/>
        <v>0.19229064478892993</v>
      </c>
      <c r="EH128" s="173"/>
      <c r="EI128" s="528">
        <f t="shared" si="411"/>
        <v>2.4189658886245087E-2</v>
      </c>
      <c r="EJ128" s="528">
        <f t="shared" si="412"/>
        <v>1.3063488726990689</v>
      </c>
      <c r="EK128" s="528">
        <f t="shared" si="413"/>
        <v>4.0250000000000001E-2</v>
      </c>
      <c r="EL128" s="528">
        <f t="shared" si="414"/>
        <v>0.39220311375000005</v>
      </c>
      <c r="EM128">
        <f t="shared" si="415"/>
        <v>8.5500000000000003E-3</v>
      </c>
      <c r="EN128" s="460">
        <f t="shared" si="416"/>
        <v>48.800000000000004</v>
      </c>
      <c r="EP128" s="460">
        <f t="shared" si="438"/>
        <v>1771.5416453353141</v>
      </c>
      <c r="EQ128" s="173">
        <f t="shared" si="417"/>
        <v>0.31499999999999995</v>
      </c>
      <c r="ER128" s="173">
        <f t="shared" si="418"/>
        <v>2.1554999999999998E-2</v>
      </c>
      <c r="ES128" s="528"/>
      <c r="EU128" s="460">
        <f t="shared" si="419"/>
        <v>336.55499999999995</v>
      </c>
      <c r="EV128" s="528">
        <f t="shared" si="420"/>
        <v>2.8221268700619268E-2</v>
      </c>
      <c r="EW128" s="528">
        <f t="shared" si="421"/>
        <v>5.0927667469593499E-2</v>
      </c>
      <c r="EX128" s="528">
        <f t="shared" si="422"/>
        <v>1.8487846036671215E-4</v>
      </c>
      <c r="EY128" s="528">
        <f t="shared" si="423"/>
        <v>3.9440098549343094</v>
      </c>
      <c r="EZ128" s="528"/>
      <c r="FA128" s="625">
        <f t="shared" si="424"/>
        <v>0.59361702127659588</v>
      </c>
      <c r="FB128" s="460">
        <f t="shared" si="425"/>
        <v>4616.9606908414844</v>
      </c>
      <c r="FC128" s="173">
        <f t="shared" si="426"/>
        <v>6.7250573361767989</v>
      </c>
      <c r="FD128" s="5">
        <f t="shared" si="427"/>
        <v>13.949999999999998</v>
      </c>
      <c r="FE128" s="173">
        <f t="shared" si="428"/>
        <v>0.67472606112634914</v>
      </c>
      <c r="FF128" s="5">
        <f t="shared" si="429"/>
        <v>67.472606112634921</v>
      </c>
      <c r="FG128">
        <f t="shared" si="430"/>
        <v>18</v>
      </c>
      <c r="FI128" s="562">
        <f t="shared" si="431"/>
        <v>-50</v>
      </c>
      <c r="FJ128">
        <f t="shared" si="432"/>
        <v>-50</v>
      </c>
    </row>
    <row r="129" spans="5:166">
      <c r="E129" s="170">
        <v>19</v>
      </c>
      <c r="F129" s="217">
        <f t="shared" si="433"/>
        <v>0.47499999999999998</v>
      </c>
      <c r="G129" s="217">
        <f t="shared" si="312"/>
        <v>4.7500000000000001E-2</v>
      </c>
      <c r="H129" s="217">
        <f t="shared" si="313"/>
        <v>13.299999999999999</v>
      </c>
      <c r="I129" s="217">
        <f t="shared" si="314"/>
        <v>1.425</v>
      </c>
      <c r="J129" s="541">
        <f t="shared" si="315"/>
        <v>18.93009876309571</v>
      </c>
      <c r="K129" s="443">
        <f t="shared" si="316"/>
        <v>28.728348890180534</v>
      </c>
      <c r="L129" s="172">
        <f t="shared" si="317"/>
        <v>47.658447653276241</v>
      </c>
      <c r="M129" s="443"/>
      <c r="N129" s="217">
        <f t="shared" si="318"/>
        <v>0.60279657237651607</v>
      </c>
      <c r="O129" s="172">
        <f t="shared" si="319"/>
        <v>85.889237144087261</v>
      </c>
      <c r="P129" s="172">
        <f t="shared" si="320"/>
        <v>10.188391651020556</v>
      </c>
      <c r="Q129" s="217">
        <f t="shared" si="321"/>
        <v>3.0674727551459737</v>
      </c>
      <c r="R129" s="217">
        <f t="shared" si="322"/>
        <v>2.8629745714695756</v>
      </c>
      <c r="S129" s="217">
        <f t="shared" si="323"/>
        <v>28</v>
      </c>
      <c r="T129" s="217">
        <f t="shared" si="324"/>
        <v>2.5808433517088996</v>
      </c>
      <c r="U129" s="217">
        <f t="shared" si="325"/>
        <v>0.64077656988664167</v>
      </c>
      <c r="V129" s="217">
        <f t="shared" si="326"/>
        <v>0.42222975637760712</v>
      </c>
      <c r="W129" s="197">
        <f t="shared" si="327"/>
        <v>350</v>
      </c>
      <c r="X129" s="443">
        <f t="shared" si="434"/>
        <v>350</v>
      </c>
      <c r="Z129" s="217">
        <f t="shared" si="328"/>
        <v>6.9367772943118675</v>
      </c>
      <c r="AA129" s="173">
        <f t="shared" si="329"/>
        <v>1.1348669360670973</v>
      </c>
      <c r="AB129" s="173">
        <f t="shared" si="330"/>
        <v>1.2443343242406464</v>
      </c>
      <c r="AC129" s="173"/>
      <c r="AD129" s="173">
        <f t="shared" si="331"/>
        <v>0.54533822067378179</v>
      </c>
      <c r="AE129" s="545">
        <f t="shared" si="332"/>
        <v>522.61145321498623</v>
      </c>
      <c r="AF129" s="528">
        <f t="shared" si="333"/>
        <v>0.31811396205970605</v>
      </c>
      <c r="AH129" s="173">
        <f t="shared" si="334"/>
        <v>4.2311624362945501</v>
      </c>
      <c r="AI129" s="173">
        <f t="shared" si="335"/>
        <v>4.2311624362945501</v>
      </c>
      <c r="AJ129" s="173">
        <f t="shared" si="336"/>
        <v>1.8650585947860865</v>
      </c>
      <c r="AL129" s="545">
        <f t="shared" si="337"/>
        <v>475</v>
      </c>
      <c r="AM129" s="460">
        <f t="shared" si="338"/>
        <v>350</v>
      </c>
      <c r="AO129" s="460">
        <f t="shared" si="339"/>
        <v>475</v>
      </c>
      <c r="AP129" s="460">
        <f t="shared" si="340"/>
        <v>350</v>
      </c>
      <c r="AR129" s="5">
        <f t="shared" si="274"/>
        <v>2.8571428571428572</v>
      </c>
      <c r="AS129" s="5">
        <f t="shared" si="439"/>
        <v>1.050520850390549</v>
      </c>
      <c r="AT129" s="5">
        <f t="shared" si="440"/>
        <v>1.8066220067523082</v>
      </c>
      <c r="AU129" s="173">
        <f t="shared" si="441"/>
        <v>0.36768229763669213</v>
      </c>
      <c r="AW129" s="5">
        <f t="shared" si="341"/>
        <v>1.7821335854839668</v>
      </c>
      <c r="AX129" s="5">
        <f t="shared" si="342"/>
        <v>0.1663324679785036</v>
      </c>
      <c r="AY129" s="5">
        <f t="shared" si="343"/>
        <v>0.90664656740228267</v>
      </c>
      <c r="AZ129" s="5"/>
      <c r="BA129" s="173">
        <f t="shared" si="344"/>
        <v>1.4812741075992957</v>
      </c>
      <c r="BB129" s="173">
        <f t="shared" si="345"/>
        <v>1.9425255568269677</v>
      </c>
      <c r="BC129" s="173">
        <f t="shared" si="346"/>
        <v>0.19584478974566971</v>
      </c>
      <c r="BD129" s="173"/>
      <c r="BE129" s="528">
        <f t="shared" si="347"/>
        <v>2.6330075782129075E-2</v>
      </c>
      <c r="BF129" s="528">
        <f t="shared" si="348"/>
        <v>1.2880434213704433</v>
      </c>
      <c r="BG129" s="528">
        <f t="shared" si="349"/>
        <v>4.0250000000000001E-2</v>
      </c>
      <c r="BH129" s="528">
        <f t="shared" si="350"/>
        <v>0.39152010069012233</v>
      </c>
      <c r="BI129">
        <f t="shared" si="351"/>
        <v>8.5185444433930699E-3</v>
      </c>
      <c r="BJ129" s="460">
        <f t="shared" si="435"/>
        <v>48.768544443393068</v>
      </c>
      <c r="BK129">
        <f t="shared" si="352"/>
        <v>1.7237867731854299</v>
      </c>
      <c r="BL129" s="460">
        <f t="shared" si="436"/>
        <v>1754.6621422860876</v>
      </c>
      <c r="BM129" s="173">
        <f t="shared" si="353"/>
        <v>0.31853499999999996</v>
      </c>
      <c r="BN129" s="173">
        <f t="shared" si="354"/>
        <v>3.1853499999999993E-2</v>
      </c>
      <c r="BO129" s="528"/>
      <c r="BQ129" s="460">
        <f t="shared" si="355"/>
        <v>350.38849999999991</v>
      </c>
      <c r="BR129" s="528">
        <f t="shared" si="356"/>
        <v>3.0718421745817254E-2</v>
      </c>
      <c r="BS129" s="528">
        <f t="shared" si="357"/>
        <v>5.2827677544962898E-2</v>
      </c>
      <c r="BT129" s="528">
        <f t="shared" si="358"/>
        <v>1.9177590835262788E-4</v>
      </c>
      <c r="BU129" s="528">
        <f t="shared" si="359"/>
        <v>4.2197756454136321</v>
      </c>
      <c r="BV129" s="528"/>
      <c r="BW129" s="625">
        <f t="shared" si="360"/>
        <v>0.62659574468085111</v>
      </c>
      <c r="BX129" s="460">
        <f t="shared" si="361"/>
        <v>4930.1092652936159</v>
      </c>
      <c r="BY129" s="173">
        <f t="shared" si="362"/>
        <v>7.0351599075797031</v>
      </c>
      <c r="BZ129" s="5">
        <f t="shared" si="363"/>
        <v>14.725</v>
      </c>
      <c r="CA129" s="173">
        <f t="shared" si="364"/>
        <v>0.67669539481972507</v>
      </c>
      <c r="CB129" s="5">
        <f t="shared" si="365"/>
        <v>67.669539481972507</v>
      </c>
      <c r="CC129">
        <f t="shared" si="366"/>
        <v>19</v>
      </c>
      <c r="CE129" s="562">
        <f t="shared" si="367"/>
        <v>-50</v>
      </c>
      <c r="CF129">
        <f t="shared" si="368"/>
        <v>-50</v>
      </c>
      <c r="CG129" s="173">
        <f t="shared" si="369"/>
        <v>0.23457708424034993</v>
      </c>
      <c r="CH129" s="173">
        <f t="shared" si="370"/>
        <v>7.6069887981827428E-2</v>
      </c>
      <c r="CI129" s="170">
        <v>19</v>
      </c>
      <c r="CJ129" s="217">
        <f t="shared" si="437"/>
        <v>0.47499999999999998</v>
      </c>
      <c r="CK129" s="217">
        <f t="shared" si="371"/>
        <v>4.7500000000000001E-2</v>
      </c>
      <c r="CL129" s="217">
        <f t="shared" si="372"/>
        <v>13.299999999999999</v>
      </c>
      <c r="CM129" s="217">
        <f t="shared" si="373"/>
        <v>1.425</v>
      </c>
      <c r="CN129" s="541">
        <f t="shared" si="374"/>
        <v>19</v>
      </c>
      <c r="CO129" s="443">
        <f t="shared" si="375"/>
        <v>28.7</v>
      </c>
      <c r="CP129" s="443">
        <f t="shared" si="376"/>
        <v>47.7</v>
      </c>
      <c r="CQ129" s="443"/>
      <c r="CR129" s="217">
        <f t="shared" si="377"/>
        <v>0.59915611814345993</v>
      </c>
      <c r="CS129" s="172">
        <f t="shared" si="378"/>
        <v>85.685767433419556</v>
      </c>
      <c r="CT129" s="172">
        <f t="shared" si="379"/>
        <v>10.164255575647982</v>
      </c>
      <c r="CU129" s="217">
        <f t="shared" si="380"/>
        <v>3.0602059797649841</v>
      </c>
      <c r="CV129" s="217">
        <f t="shared" si="381"/>
        <v>2.8561922477806521</v>
      </c>
      <c r="CW129" s="217">
        <f t="shared" si="382"/>
        <v>28</v>
      </c>
      <c r="CX129" s="217">
        <f t="shared" si="383"/>
        <v>2.5869718309859153</v>
      </c>
      <c r="CY129" s="217">
        <f t="shared" si="384"/>
        <v>0.63993513713862116</v>
      </c>
      <c r="CZ129" s="217">
        <f t="shared" si="385"/>
        <v>0.42365043922068996</v>
      </c>
      <c r="DA129" s="197">
        <f t="shared" si="386"/>
        <v>350</v>
      </c>
      <c r="DB129" s="443">
        <f t="shared" si="387"/>
        <v>350</v>
      </c>
      <c r="DD129" s="217">
        <f t="shared" si="388"/>
        <v>6.9494625094785683</v>
      </c>
      <c r="DE129" s="173">
        <f t="shared" si="389"/>
        <v>1.1380652890086853</v>
      </c>
      <c r="DF129" s="173">
        <f t="shared" si="390"/>
        <v>1.2501230996965573</v>
      </c>
      <c r="DG129" s="173"/>
      <c r="DH129" s="173">
        <f t="shared" si="391"/>
        <v>0.54587688734030204</v>
      </c>
      <c r="DI129" s="545">
        <f t="shared" si="392"/>
        <v>522.095744680851</v>
      </c>
      <c r="DJ129" s="528">
        <f t="shared" si="393"/>
        <v>0.31842818428184283</v>
      </c>
      <c r="DL129" s="173">
        <f t="shared" si="394"/>
        <v>4.2311624362945501</v>
      </c>
      <c r="DM129" s="173">
        <f t="shared" si="395"/>
        <v>4.2311624362945501</v>
      </c>
      <c r="DN129" s="173">
        <f t="shared" si="396"/>
        <v>1.8650585947860865</v>
      </c>
      <c r="DP129" s="545">
        <f t="shared" si="397"/>
        <v>475</v>
      </c>
      <c r="DQ129" s="460">
        <f t="shared" si="398"/>
        <v>350</v>
      </c>
      <c r="DS129" s="460">
        <f t="shared" si="399"/>
        <v>475</v>
      </c>
      <c r="DT129" s="460">
        <f t="shared" si="400"/>
        <v>350</v>
      </c>
      <c r="DV129" s="5">
        <f t="shared" si="401"/>
        <v>2.8571428571428572</v>
      </c>
      <c r="DW129" s="5">
        <f t="shared" si="402"/>
        <v>1.0466559710833889</v>
      </c>
      <c r="DX129" s="5">
        <f t="shared" si="403"/>
        <v>1.8104868860594683</v>
      </c>
      <c r="DY129" s="173">
        <f t="shared" si="404"/>
        <v>0.36632958987918612</v>
      </c>
      <c r="EA129" s="5">
        <f t="shared" si="405"/>
        <v>1.7755770938021775</v>
      </c>
      <c r="EB129" s="5">
        <f t="shared" si="406"/>
        <v>0.16572052875486992</v>
      </c>
      <c r="EC129" s="5">
        <f t="shared" si="407"/>
        <v>0.90524344302973392</v>
      </c>
      <c r="ED129" s="5"/>
      <c r="EE129" s="173">
        <f t="shared" si="408"/>
        <v>1.4785467838676998</v>
      </c>
      <c r="EF129" s="173">
        <f t="shared" si="409"/>
        <v>1.9446022546229071</v>
      </c>
      <c r="EG129" s="173">
        <f t="shared" si="410"/>
        <v>0.19605416173657178</v>
      </c>
      <c r="EH129" s="173"/>
      <c r="EI129" s="528">
        <f t="shared" si="411"/>
        <v>2.6233207105026222E-2</v>
      </c>
      <c r="EJ129" s="528">
        <f t="shared" si="412"/>
        <v>1.3421458806048132</v>
      </c>
      <c r="EK129" s="528">
        <f t="shared" si="413"/>
        <v>4.0250000000000001E-2</v>
      </c>
      <c r="EL129" s="528">
        <f t="shared" si="414"/>
        <v>0.39220311375000005</v>
      </c>
      <c r="EM129">
        <f t="shared" si="415"/>
        <v>8.5500000000000003E-3</v>
      </c>
      <c r="EN129" s="460">
        <f t="shared" si="416"/>
        <v>48.800000000000004</v>
      </c>
      <c r="EP129" s="460">
        <f t="shared" si="438"/>
        <v>1809.3822014598393</v>
      </c>
      <c r="EQ129" s="173">
        <f t="shared" si="417"/>
        <v>0.33249999999999996</v>
      </c>
      <c r="ER129" s="173">
        <f t="shared" si="418"/>
        <v>2.2752499999999998E-2</v>
      </c>
      <c r="ES129" s="528"/>
      <c r="EU129" s="460">
        <f t="shared" si="419"/>
        <v>355.2525</v>
      </c>
      <c r="EV129" s="528">
        <f t="shared" si="420"/>
        <v>3.0605408289197261E-2</v>
      </c>
      <c r="EW129" s="528">
        <f t="shared" si="421"/>
        <v>5.2940691001582919E-2</v>
      </c>
      <c r="EX129" s="528">
        <f t="shared" si="422"/>
        <v>1.9218617167114923E-4</v>
      </c>
      <c r="EY129" s="528">
        <f t="shared" si="423"/>
        <v>4.2197756454136321</v>
      </c>
      <c r="EZ129" s="528"/>
      <c r="FA129" s="625">
        <f t="shared" si="424"/>
        <v>0.62659574468085111</v>
      </c>
      <c r="FB129" s="460">
        <f t="shared" si="425"/>
        <v>4930.1096755569342</v>
      </c>
      <c r="FC129" s="173">
        <f t="shared" si="426"/>
        <v>7.0947443770167746</v>
      </c>
      <c r="FD129" s="5">
        <f t="shared" si="427"/>
        <v>14.725</v>
      </c>
      <c r="FE129" s="173">
        <f t="shared" si="428"/>
        <v>0.67484750259082649</v>
      </c>
      <c r="FF129" s="5">
        <f t="shared" si="429"/>
        <v>67.484750259082645</v>
      </c>
      <c r="FG129">
        <f t="shared" si="430"/>
        <v>19</v>
      </c>
      <c r="FI129" s="562">
        <f t="shared" si="431"/>
        <v>-50</v>
      </c>
      <c r="FJ129">
        <f t="shared" si="432"/>
        <v>-50</v>
      </c>
    </row>
    <row r="130" spans="5:166">
      <c r="E130" s="170">
        <v>20</v>
      </c>
      <c r="F130" s="217">
        <f t="shared" si="433"/>
        <v>0.5</v>
      </c>
      <c r="G130" s="217">
        <f t="shared" si="312"/>
        <v>0.05</v>
      </c>
      <c r="H130" s="217">
        <f t="shared" si="313"/>
        <v>14</v>
      </c>
      <c r="I130" s="217">
        <f t="shared" si="314"/>
        <v>1.5</v>
      </c>
      <c r="J130" s="541">
        <f t="shared" si="315"/>
        <v>18.928282844152221</v>
      </c>
      <c r="K130" s="443">
        <f t="shared" si="316"/>
        <v>28.729085347630868</v>
      </c>
      <c r="L130" s="172">
        <f t="shared" si="317"/>
        <v>47.657368191783092</v>
      </c>
      <c r="M130" s="443"/>
      <c r="N130" s="217">
        <f t="shared" si="318"/>
        <v>0.60282567916925445</v>
      </c>
      <c r="O130" s="172">
        <f t="shared" si="319"/>
        <v>85.885144867996431</v>
      </c>
      <c r="P130" s="172">
        <f t="shared" si="320"/>
        <v>10.187906215208759</v>
      </c>
      <c r="Q130" s="217">
        <f t="shared" si="321"/>
        <v>3.067326602428444</v>
      </c>
      <c r="R130" s="217">
        <f t="shared" si="322"/>
        <v>2.8628381622665477</v>
      </c>
      <c r="S130" s="217">
        <f t="shared" si="323"/>
        <v>28</v>
      </c>
      <c r="T130" s="217">
        <f t="shared" si="324"/>
        <v>2.7168066572160008</v>
      </c>
      <c r="U130" s="217">
        <f t="shared" si="325"/>
        <v>0.67459850394512177</v>
      </c>
      <c r="V130" s="217">
        <f t="shared" si="326"/>
        <v>0.44446215862448935</v>
      </c>
      <c r="W130" s="197">
        <f t="shared" si="327"/>
        <v>350</v>
      </c>
      <c r="X130" s="443">
        <f t="shared" si="434"/>
        <v>350</v>
      </c>
      <c r="Z130" s="217">
        <f t="shared" si="328"/>
        <v>6.9364467848229854</v>
      </c>
      <c r="AA130" s="173">
        <f t="shared" si="329"/>
        <v>1.1347837738021298</v>
      </c>
      <c r="AB130" s="173">
        <f t="shared" si="330"/>
        <v>1.2441838571086927</v>
      </c>
      <c r="AC130" s="173"/>
      <c r="AD130" s="173">
        <f t="shared" si="331"/>
        <v>0.54532424116866673</v>
      </c>
      <c r="AE130" s="545">
        <f t="shared" si="332"/>
        <v>550.13142155037826</v>
      </c>
      <c r="AF130" s="528">
        <f t="shared" si="333"/>
        <v>0.31810580734838895</v>
      </c>
      <c r="AH130" s="173">
        <f t="shared" si="334"/>
        <v>4.3410810637940882</v>
      </c>
      <c r="AI130" s="173">
        <f t="shared" si="335"/>
        <v>4.3410810637940882</v>
      </c>
      <c r="AJ130" s="173">
        <f t="shared" si="336"/>
        <v>1.9464798003412997</v>
      </c>
      <c r="AL130" s="545">
        <f t="shared" si="337"/>
        <v>500</v>
      </c>
      <c r="AM130" s="460">
        <f t="shared" si="338"/>
        <v>350</v>
      </c>
      <c r="AO130" s="460">
        <f t="shared" si="339"/>
        <v>500</v>
      </c>
      <c r="AP130" s="460">
        <f t="shared" si="340"/>
        <v>350</v>
      </c>
      <c r="AR130" s="5">
        <f t="shared" si="274"/>
        <v>2.8571428571428572</v>
      </c>
      <c r="AS130" s="5">
        <f t="shared" si="439"/>
        <v>1.0779150527188801</v>
      </c>
      <c r="AT130" s="5">
        <f t="shared" si="440"/>
        <v>1.7792278044239771</v>
      </c>
      <c r="AU130" s="173">
        <f t="shared" si="441"/>
        <v>0.37727026845160805</v>
      </c>
      <c r="AW130" s="5">
        <f t="shared" si="341"/>
        <v>1.9248483084265717</v>
      </c>
      <c r="AX130" s="5">
        <f t="shared" si="342"/>
        <v>0.17965250878648004</v>
      </c>
      <c r="AY130" s="5">
        <f t="shared" si="343"/>
        <v>0.93998373707399396</v>
      </c>
      <c r="AZ130" s="5"/>
      <c r="BA130" s="173">
        <f t="shared" si="344"/>
        <v>1.5394428077911664</v>
      </c>
      <c r="BB130" s="173">
        <f t="shared" si="345"/>
        <v>1.9778213878787407</v>
      </c>
      <c r="BC130" s="173">
        <f t="shared" si="346"/>
        <v>0.19940330385990584</v>
      </c>
      <c r="BD130" s="173"/>
      <c r="BE130" s="528">
        <f t="shared" si="347"/>
        <v>2.8438609901519401E-2</v>
      </c>
      <c r="BF130" s="528">
        <f t="shared" si="348"/>
        <v>1.3214747348561235</v>
      </c>
      <c r="BG130" s="528">
        <f t="shared" si="349"/>
        <v>4.0250000000000001E-2</v>
      </c>
      <c r="BH130" s="528">
        <f t="shared" si="350"/>
        <v>0.39150236506896746</v>
      </c>
      <c r="BI130">
        <f t="shared" si="351"/>
        <v>8.5177272798684991E-3</v>
      </c>
      <c r="BJ130" s="460">
        <f t="shared" si="435"/>
        <v>48.767727279868502</v>
      </c>
      <c r="BK130">
        <f t="shared" si="352"/>
        <v>1.7609931896301485</v>
      </c>
      <c r="BL130" s="460">
        <f t="shared" si="436"/>
        <v>1790.1834371064788</v>
      </c>
      <c r="BM130" s="173">
        <f t="shared" si="353"/>
        <v>0.33529999999999999</v>
      </c>
      <c r="BN130" s="173">
        <f t="shared" si="354"/>
        <v>3.3529999999999997E-2</v>
      </c>
      <c r="BO130" s="528"/>
      <c r="BQ130" s="460">
        <f t="shared" si="355"/>
        <v>368.83</v>
      </c>
      <c r="BR130" s="528">
        <f t="shared" si="356"/>
        <v>3.3178378218439303E-2</v>
      </c>
      <c r="BS130" s="528">
        <f t="shared" si="357"/>
        <v>5.4764884192908231E-2</v>
      </c>
      <c r="BT130" s="528">
        <f t="shared" si="358"/>
        <v>1.9880838795122973E-4</v>
      </c>
      <c r="BU130" s="528">
        <f t="shared" si="359"/>
        <v>4.4991953965603537</v>
      </c>
      <c r="BV130" s="528"/>
      <c r="BW130" s="625">
        <f t="shared" si="360"/>
        <v>0.65957446808510634</v>
      </c>
      <c r="BX130" s="460">
        <f t="shared" si="361"/>
        <v>5246.9119354447585</v>
      </c>
      <c r="BY130" s="173">
        <f t="shared" si="362"/>
        <v>7.4059253725512377</v>
      </c>
      <c r="BZ130" s="5">
        <f t="shared" si="363"/>
        <v>15.5</v>
      </c>
      <c r="CA130" s="173">
        <f t="shared" si="364"/>
        <v>0.67668080411080234</v>
      </c>
      <c r="CB130" s="5">
        <f t="shared" si="365"/>
        <v>67.66808041108024</v>
      </c>
      <c r="CC130">
        <f t="shared" si="366"/>
        <v>20</v>
      </c>
      <c r="CE130" s="562">
        <f t="shared" si="367"/>
        <v>-50</v>
      </c>
      <c r="CF130">
        <f t="shared" si="368"/>
        <v>-50</v>
      </c>
      <c r="CG130" s="173">
        <f t="shared" si="369"/>
        <v>0.24067101032585458</v>
      </c>
      <c r="CH130" s="173">
        <f t="shared" si="370"/>
        <v>7.8046058314897582E-2</v>
      </c>
      <c r="CI130" s="170">
        <v>20</v>
      </c>
      <c r="CJ130" s="217">
        <f t="shared" si="437"/>
        <v>0.5</v>
      </c>
      <c r="CK130" s="217">
        <f t="shared" si="371"/>
        <v>0.05</v>
      </c>
      <c r="CL130" s="217">
        <f t="shared" si="372"/>
        <v>14</v>
      </c>
      <c r="CM130" s="217">
        <f t="shared" si="373"/>
        <v>1.5</v>
      </c>
      <c r="CN130" s="541">
        <f t="shared" si="374"/>
        <v>19</v>
      </c>
      <c r="CO130" s="443">
        <f t="shared" si="375"/>
        <v>28.7</v>
      </c>
      <c r="CP130" s="443">
        <f t="shared" si="376"/>
        <v>47.7</v>
      </c>
      <c r="CQ130" s="443"/>
      <c r="CR130" s="217">
        <f t="shared" si="377"/>
        <v>0.59915611814345993</v>
      </c>
      <c r="CS130" s="172">
        <f t="shared" si="378"/>
        <v>85.685767433419556</v>
      </c>
      <c r="CT130" s="172">
        <f t="shared" si="379"/>
        <v>10.164255575647982</v>
      </c>
      <c r="CU130" s="217">
        <f t="shared" si="380"/>
        <v>3.0602059797649841</v>
      </c>
      <c r="CV130" s="217">
        <f t="shared" si="381"/>
        <v>2.8561922477806521</v>
      </c>
      <c r="CW130" s="217">
        <f t="shared" si="382"/>
        <v>28</v>
      </c>
      <c r="CX130" s="217">
        <f t="shared" si="383"/>
        <v>2.7231282431430688</v>
      </c>
      <c r="CY130" s="217">
        <f t="shared" si="384"/>
        <v>0.67361593383012752</v>
      </c>
      <c r="CZ130" s="217">
        <f t="shared" si="385"/>
        <v>0.44594783075862104</v>
      </c>
      <c r="DA130" s="197">
        <f t="shared" si="386"/>
        <v>350</v>
      </c>
      <c r="DB130" s="443">
        <f t="shared" si="387"/>
        <v>350</v>
      </c>
      <c r="DD130" s="217">
        <f t="shared" si="388"/>
        <v>6.9494625094785683</v>
      </c>
      <c r="DE130" s="173">
        <f t="shared" si="389"/>
        <v>1.1380652890086853</v>
      </c>
      <c r="DF130" s="173">
        <f t="shared" si="390"/>
        <v>1.2501230996965573</v>
      </c>
      <c r="DG130" s="173"/>
      <c r="DH130" s="173">
        <f t="shared" si="391"/>
        <v>0.54587688734030204</v>
      </c>
      <c r="DI130" s="545">
        <f t="shared" si="392"/>
        <v>549.57446808510633</v>
      </c>
      <c r="DJ130" s="528">
        <f t="shared" si="393"/>
        <v>0.31842818428184283</v>
      </c>
      <c r="DL130" s="173">
        <f t="shared" si="394"/>
        <v>4.3410810637940882</v>
      </c>
      <c r="DM130" s="173">
        <f t="shared" si="395"/>
        <v>4.3410810637940882</v>
      </c>
      <c r="DN130" s="173">
        <f t="shared" si="396"/>
        <v>1.9464798003412997</v>
      </c>
      <c r="DP130" s="545">
        <f t="shared" si="397"/>
        <v>500</v>
      </c>
      <c r="DQ130" s="460">
        <f t="shared" si="398"/>
        <v>350</v>
      </c>
      <c r="DS130" s="460">
        <f t="shared" si="399"/>
        <v>500</v>
      </c>
      <c r="DT130" s="460">
        <f t="shared" si="400"/>
        <v>350</v>
      </c>
      <c r="DV130" s="5">
        <f t="shared" si="401"/>
        <v>2.8571428571428572</v>
      </c>
      <c r="DW130" s="5">
        <f t="shared" si="402"/>
        <v>1.0738463684122217</v>
      </c>
      <c r="DX130" s="5">
        <f t="shared" si="403"/>
        <v>1.7832964887306355</v>
      </c>
      <c r="DY130" s="173">
        <f t="shared" si="404"/>
        <v>0.3758462289442776</v>
      </c>
      <c r="EA130" s="5">
        <f t="shared" si="405"/>
        <v>1.9175828007361102</v>
      </c>
      <c r="EB130" s="5">
        <f t="shared" si="406"/>
        <v>0.1789743947353703</v>
      </c>
      <c r="EC130" s="5">
        <f t="shared" si="407"/>
        <v>0.93857709933191336</v>
      </c>
      <c r="ED130" s="5"/>
      <c r="EE130" s="173">
        <f t="shared" si="408"/>
        <v>1.5365346804314943</v>
      </c>
      <c r="EF130" s="173">
        <f t="shared" si="409"/>
        <v>1.9800815075753377</v>
      </c>
      <c r="EG130" s="173">
        <f t="shared" si="410"/>
        <v>0.1996311683866939</v>
      </c>
      <c r="EH130" s="173"/>
      <c r="EI130" s="528">
        <f t="shared" si="411"/>
        <v>2.8331265890024576E-2</v>
      </c>
      <c r="EJ130" s="528">
        <f t="shared" si="412"/>
        <v>1.3770126188408038</v>
      </c>
      <c r="EK130" s="528">
        <f t="shared" si="413"/>
        <v>4.0250000000000001E-2</v>
      </c>
      <c r="EL130" s="528">
        <f t="shared" si="414"/>
        <v>0.39220311375000005</v>
      </c>
      <c r="EM130">
        <f t="shared" si="415"/>
        <v>8.5500000000000003E-3</v>
      </c>
      <c r="EN130" s="460">
        <f t="shared" si="416"/>
        <v>48.800000000000004</v>
      </c>
      <c r="EP130" s="460">
        <f t="shared" si="438"/>
        <v>1846.3469984808282</v>
      </c>
      <c r="EQ130" s="173">
        <f t="shared" si="417"/>
        <v>0.35</v>
      </c>
      <c r="ER130" s="173">
        <f t="shared" si="418"/>
        <v>2.3949999999999999E-2</v>
      </c>
      <c r="ES130" s="528"/>
      <c r="EU130" s="460">
        <f t="shared" si="419"/>
        <v>373.95</v>
      </c>
      <c r="EV130" s="528">
        <f t="shared" si="420"/>
        <v>3.3053143538362008E-2</v>
      </c>
      <c r="EW130" s="528">
        <f t="shared" si="421"/>
        <v>5.4890118872985519E-2</v>
      </c>
      <c r="EX130" s="528">
        <f t="shared" si="422"/>
        <v>1.9926301695718265E-4</v>
      </c>
      <c r="EY130" s="528">
        <f t="shared" si="423"/>
        <v>4.4991953965603537</v>
      </c>
      <c r="EZ130" s="528"/>
      <c r="FA130" s="625">
        <f t="shared" si="424"/>
        <v>0.65957446808510634</v>
      </c>
      <c r="FB130" s="460">
        <f t="shared" si="425"/>
        <v>5246.912390073765</v>
      </c>
      <c r="FC130" s="173">
        <f t="shared" si="426"/>
        <v>7.4672093885545934</v>
      </c>
      <c r="FD130" s="5">
        <f t="shared" si="427"/>
        <v>15.5</v>
      </c>
      <c r="FE130" s="173">
        <f t="shared" si="428"/>
        <v>0.67487519871370272</v>
      </c>
      <c r="FF130" s="5">
        <f t="shared" si="429"/>
        <v>67.487519871370267</v>
      </c>
      <c r="FG130">
        <f t="shared" si="430"/>
        <v>20</v>
      </c>
      <c r="FI130" s="562">
        <f t="shared" si="431"/>
        <v>-50</v>
      </c>
      <c r="FJ130">
        <f t="shared" si="432"/>
        <v>-50</v>
      </c>
    </row>
    <row r="131" spans="5:166">
      <c r="E131" s="170">
        <v>21</v>
      </c>
      <c r="F131" s="217">
        <f t="shared" si="433"/>
        <v>0.52500000000000002</v>
      </c>
      <c r="G131" s="217">
        <f t="shared" si="312"/>
        <v>5.2499999999999998E-2</v>
      </c>
      <c r="H131" s="217">
        <f t="shared" si="313"/>
        <v>14.700000000000001</v>
      </c>
      <c r="I131" s="217">
        <f t="shared" si="314"/>
        <v>1.575</v>
      </c>
      <c r="J131" s="541">
        <f t="shared" si="315"/>
        <v>18.926511783495318</v>
      </c>
      <c r="K131" s="443">
        <f t="shared" si="316"/>
        <v>28.729803612518435</v>
      </c>
      <c r="L131" s="172">
        <f t="shared" si="317"/>
        <v>47.656315396013753</v>
      </c>
      <c r="M131" s="443"/>
      <c r="N131" s="217">
        <f t="shared" si="318"/>
        <v>0.6028540682127842</v>
      </c>
      <c r="O131" s="172">
        <f t="shared" si="319"/>
        <v>85.881153097098348</v>
      </c>
      <c r="P131" s="172">
        <f t="shared" si="320"/>
        <v>10.187432701569064</v>
      </c>
      <c r="Q131" s="217">
        <f t="shared" si="321"/>
        <v>3.0671840391820839</v>
      </c>
      <c r="R131" s="217">
        <f t="shared" si="322"/>
        <v>2.8627051032366118</v>
      </c>
      <c r="S131" s="217">
        <f t="shared" si="323"/>
        <v>28</v>
      </c>
      <c r="T131" s="217">
        <f t="shared" si="324"/>
        <v>2.8527795816038926</v>
      </c>
      <c r="U131" s="217">
        <f t="shared" si="325"/>
        <v>0.70842763774520068</v>
      </c>
      <c r="V131" s="217">
        <f t="shared" si="326"/>
        <v>0.46669529017232819</v>
      </c>
      <c r="W131" s="197">
        <f t="shared" si="327"/>
        <v>350</v>
      </c>
      <c r="X131" s="443">
        <f t="shared" si="434"/>
        <v>350</v>
      </c>
      <c r="Z131" s="217">
        <f t="shared" si="328"/>
        <v>6.9361243925576606</v>
      </c>
      <c r="AA131" s="173">
        <f t="shared" si="329"/>
        <v>1.134702662249188</v>
      </c>
      <c r="AB131" s="173">
        <f t="shared" si="330"/>
        <v>1.2440371028464798</v>
      </c>
      <c r="AC131" s="173"/>
      <c r="AD131" s="173">
        <f t="shared" si="331"/>
        <v>0.54531060768686324</v>
      </c>
      <c r="AE131" s="545">
        <f t="shared" si="332"/>
        <v>577.65243433680678</v>
      </c>
      <c r="AF131" s="528">
        <f t="shared" si="333"/>
        <v>0.31809785448400363</v>
      </c>
      <c r="AH131" s="173">
        <f t="shared" si="334"/>
        <v>4.4482843931737541</v>
      </c>
      <c r="AI131" s="173">
        <f t="shared" si="335"/>
        <v>4.4482843931737541</v>
      </c>
      <c r="AJ131" s="173">
        <f t="shared" si="336"/>
        <v>2.0258896739558669</v>
      </c>
      <c r="AL131" s="545">
        <f t="shared" si="337"/>
        <v>525</v>
      </c>
      <c r="AM131" s="460">
        <f t="shared" si="338"/>
        <v>350</v>
      </c>
      <c r="AO131" s="460">
        <f t="shared" si="339"/>
        <v>525</v>
      </c>
      <c r="AP131" s="460">
        <f t="shared" si="340"/>
        <v>350</v>
      </c>
      <c r="AR131" s="5">
        <f t="shared" si="274"/>
        <v>2.8571428571428572</v>
      </c>
      <c r="AS131" s="5">
        <f t="shared" si="439"/>
        <v>1.104637605020717</v>
      </c>
      <c r="AT131" s="5">
        <f t="shared" si="440"/>
        <v>1.7525052521221403</v>
      </c>
      <c r="AU131" s="173">
        <f t="shared" si="441"/>
        <v>0.38662316175725092</v>
      </c>
      <c r="AW131" s="5">
        <f t="shared" si="341"/>
        <v>2.0711955094138443</v>
      </c>
      <c r="AX131" s="5">
        <f t="shared" si="342"/>
        <v>0.19331158087862546</v>
      </c>
      <c r="AY131" s="5">
        <f t="shared" si="343"/>
        <v>0.97225021481925444</v>
      </c>
      <c r="AZ131" s="5"/>
      <c r="BA131" s="173">
        <f t="shared" si="344"/>
        <v>1.5968931281254262</v>
      </c>
      <c r="BB131" s="173">
        <f t="shared" si="345"/>
        <v>2.0113868395206471</v>
      </c>
      <c r="BC131" s="173">
        <f t="shared" si="346"/>
        <v>0.20278736168937669</v>
      </c>
      <c r="BD131" s="173"/>
      <c r="BE131" s="528">
        <f t="shared" si="347"/>
        <v>3.0600811951850507E-2</v>
      </c>
      <c r="BF131" s="528">
        <f t="shared" si="348"/>
        <v>1.3540787411282729</v>
      </c>
      <c r="BG131" s="528">
        <f t="shared" si="349"/>
        <v>4.0250000000000001E-2</v>
      </c>
      <c r="BH131" s="528">
        <f t="shared" si="350"/>
        <v>0.39148506795430765</v>
      </c>
      <c r="BI131">
        <f t="shared" si="351"/>
        <v>8.5169303025728928E-3</v>
      </c>
      <c r="BJ131" s="460">
        <f t="shared" si="435"/>
        <v>48.766930302572895</v>
      </c>
      <c r="BK131">
        <f t="shared" si="352"/>
        <v>1.7974959894751632</v>
      </c>
      <c r="BL131" s="460">
        <f t="shared" si="436"/>
        <v>1824.9315513370038</v>
      </c>
      <c r="BM131" s="173">
        <f t="shared" si="353"/>
        <v>0.35206499999999996</v>
      </c>
      <c r="BN131" s="173">
        <f t="shared" si="354"/>
        <v>3.5206499999999995E-2</v>
      </c>
      <c r="BO131" s="528"/>
      <c r="BQ131" s="460">
        <f t="shared" si="355"/>
        <v>387.27149999999995</v>
      </c>
      <c r="BR131" s="528">
        <f t="shared" si="356"/>
        <v>3.5700947277158925E-2</v>
      </c>
      <c r="BS131" s="528">
        <f t="shared" si="357"/>
        <v>5.6639478254756008E-2</v>
      </c>
      <c r="BT131" s="528">
        <f t="shared" si="358"/>
        <v>2.0561357030469043E-4</v>
      </c>
      <c r="BU131" s="528">
        <f t="shared" si="359"/>
        <v>4.7821311060694471</v>
      </c>
      <c r="BV131" s="528"/>
      <c r="BW131" s="625">
        <f t="shared" si="360"/>
        <v>0.6925531914893619</v>
      </c>
      <c r="BX131" s="460">
        <f t="shared" si="361"/>
        <v>5567.2303366610286</v>
      </c>
      <c r="BY131" s="173">
        <f t="shared" si="362"/>
        <v>7.7794333879980329</v>
      </c>
      <c r="BZ131" s="5">
        <f t="shared" si="363"/>
        <v>16.275000000000002</v>
      </c>
      <c r="CA131" s="173">
        <f t="shared" si="364"/>
        <v>0.67659045372153381</v>
      </c>
      <c r="CB131" s="5">
        <f t="shared" si="365"/>
        <v>67.659045372153386</v>
      </c>
      <c r="CC131">
        <f t="shared" si="366"/>
        <v>21.000000000000004</v>
      </c>
      <c r="CE131" s="562">
        <f t="shared" si="367"/>
        <v>-50</v>
      </c>
      <c r="CF131">
        <f t="shared" si="368"/>
        <v>-50</v>
      </c>
      <c r="CG131" s="173">
        <f t="shared" si="369"/>
        <v>0.24661439936027862</v>
      </c>
      <c r="CH131" s="173">
        <f t="shared" si="370"/>
        <v>7.9973411702996711E-2</v>
      </c>
      <c r="CI131" s="170">
        <v>21</v>
      </c>
      <c r="CJ131" s="217">
        <f t="shared" si="437"/>
        <v>0.52500000000000002</v>
      </c>
      <c r="CK131" s="217">
        <f t="shared" si="371"/>
        <v>5.2499999999999998E-2</v>
      </c>
      <c r="CL131" s="217">
        <f t="shared" si="372"/>
        <v>14.700000000000001</v>
      </c>
      <c r="CM131" s="217">
        <f t="shared" si="373"/>
        <v>1.575</v>
      </c>
      <c r="CN131" s="541">
        <f t="shared" si="374"/>
        <v>19</v>
      </c>
      <c r="CO131" s="443">
        <f t="shared" si="375"/>
        <v>28.7</v>
      </c>
      <c r="CP131" s="443">
        <f t="shared" si="376"/>
        <v>47.7</v>
      </c>
      <c r="CQ131" s="443"/>
      <c r="CR131" s="217">
        <f t="shared" si="377"/>
        <v>0.59915611814345993</v>
      </c>
      <c r="CS131" s="172">
        <f t="shared" si="378"/>
        <v>85.685767433419556</v>
      </c>
      <c r="CT131" s="172">
        <f t="shared" si="379"/>
        <v>10.164255575647982</v>
      </c>
      <c r="CU131" s="217">
        <f t="shared" si="380"/>
        <v>3.0602059797649841</v>
      </c>
      <c r="CV131" s="217">
        <f t="shared" si="381"/>
        <v>2.8561922477806521</v>
      </c>
      <c r="CW131" s="217">
        <f t="shared" si="382"/>
        <v>28</v>
      </c>
      <c r="CX131" s="217">
        <f t="shared" si="383"/>
        <v>2.8592846553002227</v>
      </c>
      <c r="CY131" s="217">
        <f t="shared" si="384"/>
        <v>0.707296730521634</v>
      </c>
      <c r="CZ131" s="217">
        <f t="shared" si="385"/>
        <v>0.46824522229655213</v>
      </c>
      <c r="DA131" s="197">
        <f t="shared" si="386"/>
        <v>350</v>
      </c>
      <c r="DB131" s="443">
        <f t="shared" si="387"/>
        <v>350</v>
      </c>
      <c r="DD131" s="217">
        <f t="shared" si="388"/>
        <v>6.9494625094785683</v>
      </c>
      <c r="DE131" s="173">
        <f t="shared" si="389"/>
        <v>1.1380652890086853</v>
      </c>
      <c r="DF131" s="173">
        <f t="shared" si="390"/>
        <v>1.2501230996965573</v>
      </c>
      <c r="DG131" s="173"/>
      <c r="DH131" s="173">
        <f t="shared" si="391"/>
        <v>0.54587688734030204</v>
      </c>
      <c r="DI131" s="545">
        <f t="shared" si="392"/>
        <v>577.05319148936167</v>
      </c>
      <c r="DJ131" s="528">
        <f t="shared" si="393"/>
        <v>0.31842818428184283</v>
      </c>
      <c r="DL131" s="173">
        <f t="shared" si="394"/>
        <v>4.4482843931737541</v>
      </c>
      <c r="DM131" s="173">
        <f t="shared" si="395"/>
        <v>4.4482843931737541</v>
      </c>
      <c r="DN131" s="173">
        <f t="shared" si="396"/>
        <v>2.0258896739558669</v>
      </c>
      <c r="DP131" s="545">
        <f t="shared" si="397"/>
        <v>525</v>
      </c>
      <c r="DQ131" s="460">
        <f t="shared" si="398"/>
        <v>350</v>
      </c>
      <c r="DS131" s="460">
        <f t="shared" si="399"/>
        <v>525</v>
      </c>
      <c r="DT131" s="460">
        <f t="shared" si="400"/>
        <v>350</v>
      </c>
      <c r="DV131" s="5">
        <f t="shared" si="401"/>
        <v>2.8571428571428572</v>
      </c>
      <c r="DW131" s="5">
        <f t="shared" si="402"/>
        <v>1.1003650867324548</v>
      </c>
      <c r="DX131" s="5">
        <f t="shared" si="403"/>
        <v>1.7567777704104024</v>
      </c>
      <c r="DY131" s="173">
        <f t="shared" si="404"/>
        <v>0.3851277803563592</v>
      </c>
      <c r="EA131" s="5">
        <f t="shared" si="405"/>
        <v>2.0631845376233531</v>
      </c>
      <c r="EB131" s="5">
        <f t="shared" si="406"/>
        <v>0.1925638901781796</v>
      </c>
      <c r="EC131" s="5">
        <f t="shared" si="407"/>
        <v>0.97085087312153828</v>
      </c>
      <c r="ED131" s="5"/>
      <c r="EE131" s="173">
        <f t="shared" si="408"/>
        <v>1.5938019038555054</v>
      </c>
      <c r="EF131" s="173">
        <f t="shared" si="409"/>
        <v>2.0138371761683298</v>
      </c>
      <c r="EG131" s="173">
        <f t="shared" si="410"/>
        <v>0.20303440382680701</v>
      </c>
      <c r="EH131" s="173"/>
      <c r="EI131" s="528">
        <f t="shared" si="411"/>
        <v>3.0482454104801205E-2</v>
      </c>
      <c r="EJ131" s="528">
        <f t="shared" si="412"/>
        <v>1.4110180509366808</v>
      </c>
      <c r="EK131" s="528">
        <f t="shared" si="413"/>
        <v>4.0250000000000001E-2</v>
      </c>
      <c r="EL131" s="528">
        <f t="shared" si="414"/>
        <v>0.39220311375000005</v>
      </c>
      <c r="EM131">
        <f t="shared" si="415"/>
        <v>8.5500000000000003E-3</v>
      </c>
      <c r="EN131" s="460">
        <f t="shared" si="416"/>
        <v>48.800000000000004</v>
      </c>
      <c r="EP131" s="460">
        <f t="shared" si="438"/>
        <v>1882.5036187914818</v>
      </c>
      <c r="EQ131" s="173">
        <f t="shared" si="417"/>
        <v>0.36749999999999999</v>
      </c>
      <c r="ER131" s="173">
        <f t="shared" si="418"/>
        <v>2.51475E-2</v>
      </c>
      <c r="ES131" s="528"/>
      <c r="EU131" s="460">
        <f t="shared" si="419"/>
        <v>392.64749999999998</v>
      </c>
      <c r="EV131" s="528">
        <f t="shared" si="420"/>
        <v>3.5562863122268071E-2</v>
      </c>
      <c r="EW131" s="528">
        <f t="shared" si="421"/>
        <v>5.6777562409646862E-2</v>
      </c>
      <c r="EX131" s="528">
        <f t="shared" si="422"/>
        <v>2.0611484568653474E-4</v>
      </c>
      <c r="EY131" s="528">
        <f t="shared" si="423"/>
        <v>4.7821311060694471</v>
      </c>
      <c r="EZ131" s="528"/>
      <c r="FA131" s="625">
        <f t="shared" si="424"/>
        <v>0.6925531914893619</v>
      </c>
      <c r="FB131" s="460">
        <f t="shared" si="425"/>
        <v>5567.2308379364104</v>
      </c>
      <c r="FC131" s="173">
        <f t="shared" si="426"/>
        <v>7.842381956727893</v>
      </c>
      <c r="FD131" s="5">
        <f t="shared" si="427"/>
        <v>16.275000000000002</v>
      </c>
      <c r="FE131" s="173">
        <f t="shared" si="428"/>
        <v>0.67482449086725405</v>
      </c>
      <c r="FF131" s="5">
        <f t="shared" si="429"/>
        <v>67.48244908672541</v>
      </c>
      <c r="FG131">
        <f t="shared" si="430"/>
        <v>21.000000000000004</v>
      </c>
      <c r="FI131" s="562">
        <f t="shared" si="431"/>
        <v>-50</v>
      </c>
      <c r="FJ131">
        <f t="shared" si="432"/>
        <v>-50</v>
      </c>
    </row>
    <row r="132" spans="5:166">
      <c r="E132" s="170">
        <v>22</v>
      </c>
      <c r="F132" s="217">
        <f t="shared" si="433"/>
        <v>0.55000000000000004</v>
      </c>
      <c r="G132" s="217">
        <f t="shared" si="312"/>
        <v>5.5E-2</v>
      </c>
      <c r="H132" s="217">
        <f t="shared" si="313"/>
        <v>15.400000000000002</v>
      </c>
      <c r="I132" s="217">
        <f t="shared" si="314"/>
        <v>1.65</v>
      </c>
      <c r="J132" s="541">
        <f t="shared" si="315"/>
        <v>18.924782412381255</v>
      </c>
      <c r="K132" s="443">
        <f t="shared" si="316"/>
        <v>28.730504969947361</v>
      </c>
      <c r="L132" s="172">
        <f t="shared" si="317"/>
        <v>47.655287382328616</v>
      </c>
      <c r="M132" s="443"/>
      <c r="N132" s="217">
        <f t="shared" si="318"/>
        <v>0.6028817902082596</v>
      </c>
      <c r="O132" s="172">
        <f t="shared" si="319"/>
        <v>85.877254731771387</v>
      </c>
      <c r="P132" s="172">
        <f t="shared" si="320"/>
        <v>10.186970267926963</v>
      </c>
      <c r="Q132" s="217">
        <f t="shared" si="321"/>
        <v>3.0670448118489779</v>
      </c>
      <c r="R132" s="217">
        <f t="shared" si="322"/>
        <v>2.862575157725713</v>
      </c>
      <c r="S132" s="217">
        <f t="shared" si="323"/>
        <v>28</v>
      </c>
      <c r="T132" s="217">
        <f t="shared" si="324"/>
        <v>2.988761895898258</v>
      </c>
      <c r="U132" s="217">
        <f t="shared" si="325"/>
        <v>0.7422638001656312</v>
      </c>
      <c r="V132" s="217">
        <f t="shared" si="326"/>
        <v>0.48892913387409737</v>
      </c>
      <c r="W132" s="197">
        <f t="shared" si="327"/>
        <v>350</v>
      </c>
      <c r="X132" s="443">
        <f t="shared" si="434"/>
        <v>350</v>
      </c>
      <c r="Z132" s="217">
        <f t="shared" si="328"/>
        <v>6.9358095441204846</v>
      </c>
      <c r="AA132" s="173">
        <f t="shared" si="329"/>
        <v>1.1346234565478297</v>
      </c>
      <c r="AB132" s="173">
        <f t="shared" si="330"/>
        <v>1.243893799182139</v>
      </c>
      <c r="AC132" s="173"/>
      <c r="AD132" s="173">
        <f t="shared" si="331"/>
        <v>0.54529729578558706</v>
      </c>
      <c r="AE132" s="545">
        <f t="shared" si="332"/>
        <v>605.17446638825299</v>
      </c>
      <c r="AF132" s="528">
        <f t="shared" si="333"/>
        <v>0.31809008920825915</v>
      </c>
      <c r="AH132" s="173">
        <f t="shared" si="334"/>
        <v>4.552964230331134</v>
      </c>
      <c r="AI132" s="173">
        <f t="shared" si="335"/>
        <v>4.552964230331134</v>
      </c>
      <c r="AJ132" s="173">
        <f t="shared" si="336"/>
        <v>2.103430294072445</v>
      </c>
      <c r="AL132" s="545">
        <f t="shared" si="337"/>
        <v>550</v>
      </c>
      <c r="AM132" s="460">
        <f t="shared" si="338"/>
        <v>350</v>
      </c>
      <c r="AO132" s="460">
        <f t="shared" si="339"/>
        <v>550</v>
      </c>
      <c r="AP132" s="460">
        <f t="shared" si="340"/>
        <v>350</v>
      </c>
      <c r="AR132" s="5">
        <f t="shared" si="274"/>
        <v>2.8571428571428572</v>
      </c>
      <c r="AS132" s="5">
        <f t="shared" si="439"/>
        <v>1.1307359533262795</v>
      </c>
      <c r="AT132" s="5">
        <f t="shared" si="440"/>
        <v>1.7264069038165777</v>
      </c>
      <c r="AU132" s="173">
        <f t="shared" si="441"/>
        <v>0.39575758366419783</v>
      </c>
      <c r="AW132" s="5">
        <f t="shared" si="341"/>
        <v>2.2210884797480492</v>
      </c>
      <c r="AX132" s="5">
        <f t="shared" si="342"/>
        <v>0.20730159144315125</v>
      </c>
      <c r="AY132" s="5">
        <f t="shared" si="343"/>
        <v>1.0034712964286512</v>
      </c>
      <c r="AZ132" s="5"/>
      <c r="BA132" s="173">
        <f t="shared" si="344"/>
        <v>1.6536676625568545</v>
      </c>
      <c r="BB132" s="173">
        <f t="shared" si="345"/>
        <v>2.0433333117005996</v>
      </c>
      <c r="BC132" s="173">
        <f t="shared" si="346"/>
        <v>0.20600819454030636</v>
      </c>
      <c r="BD132" s="173"/>
      <c r="BE132" s="528">
        <f t="shared" si="347"/>
        <v>3.2815400858235012E-2</v>
      </c>
      <c r="BF132" s="528">
        <f t="shared" si="348"/>
        <v>1.3859138803270403</v>
      </c>
      <c r="BG132" s="528">
        <f t="shared" si="349"/>
        <v>4.0250000000000001E-2</v>
      </c>
      <c r="BH132" s="528">
        <f t="shared" si="350"/>
        <v>0.39146817837049014</v>
      </c>
      <c r="BI132">
        <f t="shared" si="351"/>
        <v>8.5161520855715645E-3</v>
      </c>
      <c r="BJ132" s="460">
        <f t="shared" si="435"/>
        <v>48.766152085571562</v>
      </c>
      <c r="BK132">
        <f t="shared" si="352"/>
        <v>1.8333521531382113</v>
      </c>
      <c r="BL132" s="460">
        <f t="shared" si="436"/>
        <v>1858.9636116413371</v>
      </c>
      <c r="BM132" s="173">
        <f t="shared" si="353"/>
        <v>0.36882999999999999</v>
      </c>
      <c r="BN132" s="173">
        <f t="shared" si="354"/>
        <v>3.6882999999999999E-2</v>
      </c>
      <c r="BO132" s="528"/>
      <c r="BQ132" s="460">
        <f t="shared" si="355"/>
        <v>405.71299999999997</v>
      </c>
      <c r="BR132" s="528">
        <f t="shared" si="356"/>
        <v>3.8284634334607513E-2</v>
      </c>
      <c r="BS132" s="528">
        <f t="shared" si="357"/>
        <v>5.8452954317874756E-2</v>
      </c>
      <c r="BT132" s="528">
        <f t="shared" si="358"/>
        <v>2.1219688108878356E-4</v>
      </c>
      <c r="BU132" s="528">
        <f t="shared" si="359"/>
        <v>5.0684563550314925</v>
      </c>
      <c r="BV132" s="528"/>
      <c r="BW132" s="625">
        <f t="shared" si="360"/>
        <v>0.72553191489361724</v>
      </c>
      <c r="BX132" s="460">
        <f t="shared" si="361"/>
        <v>5890.9380554586805</v>
      </c>
      <c r="BY132" s="173">
        <f t="shared" si="362"/>
        <v>8.1556146671000178</v>
      </c>
      <c r="BZ132" s="5">
        <f t="shared" si="363"/>
        <v>17.05</v>
      </c>
      <c r="CA132" s="173">
        <f t="shared" si="364"/>
        <v>0.67643658864049649</v>
      </c>
      <c r="CB132" s="5">
        <f t="shared" si="365"/>
        <v>67.643658864049655</v>
      </c>
      <c r="CC132">
        <f t="shared" si="366"/>
        <v>22.000000000000004</v>
      </c>
      <c r="CE132" s="562">
        <f t="shared" si="367"/>
        <v>-50</v>
      </c>
      <c r="CF132">
        <f t="shared" si="368"/>
        <v>-50</v>
      </c>
      <c r="CG132" s="173">
        <f t="shared" si="369"/>
        <v>0.25241788512780622</v>
      </c>
      <c r="CH132" s="173">
        <f t="shared" si="370"/>
        <v>8.1855396525468194E-2</v>
      </c>
      <c r="CI132" s="170">
        <v>22</v>
      </c>
      <c r="CJ132" s="217">
        <f t="shared" si="437"/>
        <v>0.55000000000000004</v>
      </c>
      <c r="CK132" s="217">
        <f t="shared" si="371"/>
        <v>5.5E-2</v>
      </c>
      <c r="CL132" s="217">
        <f t="shared" si="372"/>
        <v>15.400000000000002</v>
      </c>
      <c r="CM132" s="217">
        <f t="shared" si="373"/>
        <v>1.65</v>
      </c>
      <c r="CN132" s="541">
        <f t="shared" si="374"/>
        <v>19</v>
      </c>
      <c r="CO132" s="443">
        <f t="shared" si="375"/>
        <v>28.7</v>
      </c>
      <c r="CP132" s="443">
        <f t="shared" si="376"/>
        <v>47.7</v>
      </c>
      <c r="CQ132" s="443"/>
      <c r="CR132" s="217">
        <f t="shared" si="377"/>
        <v>0.59915611814345993</v>
      </c>
      <c r="CS132" s="172">
        <f t="shared" si="378"/>
        <v>85.685767433419556</v>
      </c>
      <c r="CT132" s="172">
        <f t="shared" si="379"/>
        <v>10.164255575647982</v>
      </c>
      <c r="CU132" s="217">
        <f t="shared" si="380"/>
        <v>3.0602059797649841</v>
      </c>
      <c r="CV132" s="217">
        <f t="shared" si="381"/>
        <v>2.8561922477806521</v>
      </c>
      <c r="CW132" s="217">
        <f t="shared" si="382"/>
        <v>28</v>
      </c>
      <c r="CX132" s="217">
        <f t="shared" si="383"/>
        <v>2.9954410674573757</v>
      </c>
      <c r="CY132" s="217">
        <f t="shared" si="384"/>
        <v>0.74097752721314025</v>
      </c>
      <c r="CZ132" s="217">
        <f t="shared" si="385"/>
        <v>0.49054261383448311</v>
      </c>
      <c r="DA132" s="197">
        <f t="shared" si="386"/>
        <v>350</v>
      </c>
      <c r="DB132" s="443">
        <f t="shared" si="387"/>
        <v>350</v>
      </c>
      <c r="DD132" s="217">
        <f t="shared" si="388"/>
        <v>6.9494625094785683</v>
      </c>
      <c r="DE132" s="173">
        <f t="shared" si="389"/>
        <v>1.1380652890086853</v>
      </c>
      <c r="DF132" s="173">
        <f t="shared" si="390"/>
        <v>1.2501230996965573</v>
      </c>
      <c r="DG132" s="173"/>
      <c r="DH132" s="173">
        <f t="shared" si="391"/>
        <v>0.54587688734030204</v>
      </c>
      <c r="DI132" s="545">
        <f t="shared" si="392"/>
        <v>604.531914893617</v>
      </c>
      <c r="DJ132" s="528">
        <f t="shared" si="393"/>
        <v>0.31842818428184283</v>
      </c>
      <c r="DL132" s="173">
        <f t="shared" si="394"/>
        <v>4.552964230331134</v>
      </c>
      <c r="DM132" s="173">
        <f t="shared" si="395"/>
        <v>4.552964230331134</v>
      </c>
      <c r="DN132" s="173">
        <f t="shared" si="396"/>
        <v>2.103430294072445</v>
      </c>
      <c r="DP132" s="545">
        <f t="shared" si="397"/>
        <v>550</v>
      </c>
      <c r="DQ132" s="460">
        <f t="shared" si="398"/>
        <v>350</v>
      </c>
      <c r="DS132" s="460">
        <f t="shared" si="399"/>
        <v>550</v>
      </c>
      <c r="DT132" s="460">
        <f t="shared" si="400"/>
        <v>350</v>
      </c>
      <c r="DV132" s="5">
        <f t="shared" si="401"/>
        <v>2.8571428571428572</v>
      </c>
      <c r="DW132" s="5">
        <f t="shared" si="402"/>
        <v>1.1262595727661224</v>
      </c>
      <c r="DX132" s="5">
        <f t="shared" si="403"/>
        <v>1.7308832843767348</v>
      </c>
      <c r="DY132" s="173">
        <f t="shared" si="404"/>
        <v>0.39419085046814284</v>
      </c>
      <c r="EA132" s="5">
        <f t="shared" si="405"/>
        <v>2.2122955893620264</v>
      </c>
      <c r="EB132" s="5">
        <f t="shared" si="406"/>
        <v>0.20648092167378912</v>
      </c>
      <c r="EC132" s="5">
        <f t="shared" si="407"/>
        <v>1.0020903225338991</v>
      </c>
      <c r="ED132" s="5"/>
      <c r="EE132" s="173">
        <f t="shared" si="408"/>
        <v>1.650391129900497</v>
      </c>
      <c r="EF132" s="173">
        <f t="shared" si="409"/>
        <v>2.0459806644338925</v>
      </c>
      <c r="EG132" s="173">
        <f t="shared" si="410"/>
        <v>0.20627509977489242</v>
      </c>
      <c r="EH132" s="173"/>
      <c r="EI132" s="528">
        <f t="shared" si="411"/>
        <v>3.2685490579850873E-2</v>
      </c>
      <c r="EJ132" s="528">
        <f t="shared" si="412"/>
        <v>1.4442230186821876</v>
      </c>
      <c r="EK132" s="528">
        <f t="shared" si="413"/>
        <v>4.0250000000000001E-2</v>
      </c>
      <c r="EL132" s="528">
        <f t="shared" si="414"/>
        <v>0.39220311375000005</v>
      </c>
      <c r="EM132">
        <f t="shared" si="415"/>
        <v>8.5500000000000003E-3</v>
      </c>
      <c r="EN132" s="460">
        <f t="shared" si="416"/>
        <v>48.800000000000004</v>
      </c>
      <c r="EP132" s="460">
        <f t="shared" si="438"/>
        <v>1917.9116230120385</v>
      </c>
      <c r="EQ132" s="173">
        <f t="shared" si="417"/>
        <v>0.38500000000000001</v>
      </c>
      <c r="ER132" s="173">
        <f t="shared" si="418"/>
        <v>2.6345E-2</v>
      </c>
      <c r="ES132" s="528"/>
      <c r="EU132" s="460">
        <f t="shared" si="419"/>
        <v>411.34500000000003</v>
      </c>
      <c r="EV132" s="528">
        <f t="shared" si="420"/>
        <v>3.8133072343159345E-2</v>
      </c>
      <c r="EW132" s="528">
        <f t="shared" si="421"/>
        <v>5.8604516309322931E-2</v>
      </c>
      <c r="EX132" s="528">
        <f t="shared" si="422"/>
        <v>2.1274708393570913E-4</v>
      </c>
      <c r="EY132" s="528">
        <f t="shared" si="423"/>
        <v>5.0684563550314925</v>
      </c>
      <c r="EZ132" s="528"/>
      <c r="FA132" s="625">
        <f t="shared" si="424"/>
        <v>0.72553191489361724</v>
      </c>
      <c r="FB132" s="460">
        <f t="shared" si="425"/>
        <v>5890.9386056615276</v>
      </c>
      <c r="FC132" s="173">
        <f t="shared" si="426"/>
        <v>8.2201952286735658</v>
      </c>
      <c r="FD132" s="5">
        <f t="shared" si="427"/>
        <v>17.05</v>
      </c>
      <c r="FE132" s="173">
        <f t="shared" si="428"/>
        <v>0.67470788593883602</v>
      </c>
      <c r="FF132" s="5">
        <f t="shared" si="429"/>
        <v>67.470788593883597</v>
      </c>
      <c r="FG132">
        <f t="shared" si="430"/>
        <v>22.000000000000004</v>
      </c>
      <c r="FI132" s="562">
        <f t="shared" si="431"/>
        <v>-50</v>
      </c>
      <c r="FJ132">
        <f t="shared" si="432"/>
        <v>-50</v>
      </c>
    </row>
    <row r="133" spans="5:166">
      <c r="E133" s="170">
        <v>23</v>
      </c>
      <c r="F133" s="217">
        <f t="shared" si="433"/>
        <v>0.57500000000000007</v>
      </c>
      <c r="G133" s="217">
        <f t="shared" si="312"/>
        <v>5.7500000000000002E-2</v>
      </c>
      <c r="H133" s="217">
        <f t="shared" si="313"/>
        <v>16.100000000000001</v>
      </c>
      <c r="I133" s="217">
        <f t="shared" si="314"/>
        <v>1.7250000000000001</v>
      </c>
      <c r="J133" s="541">
        <f t="shared" si="315"/>
        <v>18.923091918439422</v>
      </c>
      <c r="K133" s="443">
        <f t="shared" si="316"/>
        <v>28.731190560492394</v>
      </c>
      <c r="L133" s="172">
        <f t="shared" si="317"/>
        <v>47.654282478931819</v>
      </c>
      <c r="M133" s="443"/>
      <c r="N133" s="217">
        <f t="shared" si="318"/>
        <v>0.60290889015472193</v>
      </c>
      <c r="O133" s="172">
        <f t="shared" si="319"/>
        <v>85.873443470854511</v>
      </c>
      <c r="P133" s="172">
        <f t="shared" si="320"/>
        <v>10.186518166823303</v>
      </c>
      <c r="Q133" s="217">
        <f t="shared" si="321"/>
        <v>3.066908695387661</v>
      </c>
      <c r="R133" s="217">
        <f t="shared" si="322"/>
        <v>2.8624481156951505</v>
      </c>
      <c r="S133" s="217">
        <f t="shared" si="323"/>
        <v>28</v>
      </c>
      <c r="T133" s="217">
        <f t="shared" si="324"/>
        <v>3.1247533869351103</v>
      </c>
      <c r="U133" s="217">
        <f t="shared" si="325"/>
        <v>0.77610683190118934</v>
      </c>
      <c r="V133" s="217">
        <f t="shared" si="326"/>
        <v>0.51116367376679028</v>
      </c>
      <c r="W133" s="197">
        <f t="shared" si="327"/>
        <v>350</v>
      </c>
      <c r="X133" s="443">
        <f t="shared" si="434"/>
        <v>350</v>
      </c>
      <c r="Z133" s="217">
        <f t="shared" si="328"/>
        <v>6.9355017306031002</v>
      </c>
      <c r="AA133" s="173">
        <f t="shared" si="329"/>
        <v>1.1345460281293658</v>
      </c>
      <c r="AB133" s="173">
        <f t="shared" si="330"/>
        <v>1.2437537133402079</v>
      </c>
      <c r="AC133" s="173"/>
      <c r="AD133" s="173">
        <f t="shared" si="331"/>
        <v>0.5452842837710159</v>
      </c>
      <c r="AE133" s="545">
        <f t="shared" si="332"/>
        <v>632.69749425765167</v>
      </c>
      <c r="AF133" s="528">
        <f t="shared" si="333"/>
        <v>0.31808249886642598</v>
      </c>
      <c r="AH133" s="173">
        <f t="shared" si="334"/>
        <v>4.6552908096913077</v>
      </c>
      <c r="AI133" s="173">
        <f t="shared" si="335"/>
        <v>4.6552908096913077</v>
      </c>
      <c r="AJ133" s="173">
        <f t="shared" si="336"/>
        <v>2.179227760265166</v>
      </c>
      <c r="AL133" s="545">
        <f t="shared" si="337"/>
        <v>575.00000000000011</v>
      </c>
      <c r="AM133" s="460">
        <f t="shared" si="338"/>
        <v>350</v>
      </c>
      <c r="AO133" s="460">
        <f t="shared" si="339"/>
        <v>575.00000000000011</v>
      </c>
      <c r="AP133" s="460">
        <f t="shared" si="340"/>
        <v>350</v>
      </c>
      <c r="AR133" s="5">
        <f t="shared" si="274"/>
        <v>2.8571428571428572</v>
      </c>
      <c r="AS133" s="5">
        <f t="shared" si="439"/>
        <v>1.1562522076124635</v>
      </c>
      <c r="AT133" s="5">
        <f t="shared" si="440"/>
        <v>1.7008906495303937</v>
      </c>
      <c r="AU133" s="173">
        <f t="shared" si="441"/>
        <v>0.40468827266436219</v>
      </c>
      <c r="AW133" s="5">
        <f t="shared" si="341"/>
        <v>2.3744464977755948</v>
      </c>
      <c r="AX133" s="5">
        <f t="shared" si="342"/>
        <v>0.22161500645905552</v>
      </c>
      <c r="AY133" s="5">
        <f t="shared" si="343"/>
        <v>1.0336705308998284</v>
      </c>
      <c r="AZ133" s="5"/>
      <c r="BA133" s="173">
        <f t="shared" si="344"/>
        <v>1.7098046672348801</v>
      </c>
      <c r="BB133" s="173">
        <f t="shared" si="345"/>
        <v>2.0737595908961914</v>
      </c>
      <c r="BC133" s="173">
        <f t="shared" si="346"/>
        <v>0.20907576203297668</v>
      </c>
      <c r="BD133" s="173"/>
      <c r="BE133" s="528">
        <f t="shared" si="347"/>
        <v>3.5081184001178149E-2</v>
      </c>
      <c r="BF133" s="528">
        <f t="shared" si="348"/>
        <v>1.4170320201154383</v>
      </c>
      <c r="BG133" s="528">
        <f t="shared" si="349"/>
        <v>4.0250000000000001E-2</v>
      </c>
      <c r="BH133" s="528">
        <f t="shared" si="350"/>
        <v>0.39145166882554261</v>
      </c>
      <c r="BI133">
        <f t="shared" si="351"/>
        <v>8.5153913632977397E-3</v>
      </c>
      <c r="BJ133" s="460">
        <f t="shared" si="435"/>
        <v>48.765391363297745</v>
      </c>
      <c r="BK133">
        <f t="shared" si="352"/>
        <v>1.8686122160678222</v>
      </c>
      <c r="BL133" s="460">
        <f t="shared" si="436"/>
        <v>1892.3302643054569</v>
      </c>
      <c r="BM133" s="173">
        <f t="shared" si="353"/>
        <v>0.38559500000000002</v>
      </c>
      <c r="BN133" s="173">
        <f t="shared" si="354"/>
        <v>3.8559499999999997E-2</v>
      </c>
      <c r="BO133" s="528"/>
      <c r="BQ133" s="460">
        <f t="shared" si="355"/>
        <v>424.15449999999998</v>
      </c>
      <c r="BR133" s="528">
        <f t="shared" si="356"/>
        <v>4.0928048001374513E-2</v>
      </c>
      <c r="BS133" s="528">
        <f t="shared" si="357"/>
        <v>6.0206703771675155E-2</v>
      </c>
      <c r="BT133" s="528">
        <f t="shared" si="358"/>
        <v>2.1856337134834946E-4</v>
      </c>
      <c r="BU133" s="528">
        <f t="shared" si="359"/>
        <v>5.3580548494391858</v>
      </c>
      <c r="BV133" s="528"/>
      <c r="BW133" s="625">
        <f t="shared" si="360"/>
        <v>0.75851063829787235</v>
      </c>
      <c r="BX133" s="460">
        <f t="shared" si="361"/>
        <v>6217.9188028814569</v>
      </c>
      <c r="BY133" s="173">
        <f t="shared" si="362"/>
        <v>8.5344035671869136</v>
      </c>
      <c r="BZ133" s="5">
        <f t="shared" si="363"/>
        <v>17.825000000000003</v>
      </c>
      <c r="CA133" s="173">
        <f t="shared" si="364"/>
        <v>0.67622926120335936</v>
      </c>
      <c r="CB133" s="5">
        <f t="shared" si="365"/>
        <v>67.622926120335933</v>
      </c>
      <c r="CC133">
        <f t="shared" si="366"/>
        <v>23.000000000000004</v>
      </c>
      <c r="CE133" s="562">
        <f t="shared" si="367"/>
        <v>-50</v>
      </c>
      <c r="CF133">
        <f t="shared" si="368"/>
        <v>-50</v>
      </c>
      <c r="CG133" s="173">
        <f t="shared" si="369"/>
        <v>0.25809090548285069</v>
      </c>
      <c r="CH133" s="173">
        <f t="shared" si="370"/>
        <v>8.3695073339272785E-2</v>
      </c>
      <c r="CI133" s="170">
        <v>23</v>
      </c>
      <c r="CJ133" s="217">
        <f t="shared" si="437"/>
        <v>0.57500000000000007</v>
      </c>
      <c r="CK133" s="217">
        <f t="shared" si="371"/>
        <v>5.7500000000000002E-2</v>
      </c>
      <c r="CL133" s="217">
        <f t="shared" si="372"/>
        <v>16.100000000000001</v>
      </c>
      <c r="CM133" s="217">
        <f t="shared" si="373"/>
        <v>1.7250000000000001</v>
      </c>
      <c r="CN133" s="541">
        <f t="shared" si="374"/>
        <v>19</v>
      </c>
      <c r="CO133" s="443">
        <f t="shared" si="375"/>
        <v>28.7</v>
      </c>
      <c r="CP133" s="443">
        <f t="shared" si="376"/>
        <v>47.7</v>
      </c>
      <c r="CQ133" s="443"/>
      <c r="CR133" s="217">
        <f t="shared" si="377"/>
        <v>0.59915611814345993</v>
      </c>
      <c r="CS133" s="172">
        <f t="shared" si="378"/>
        <v>85.685767433419556</v>
      </c>
      <c r="CT133" s="172">
        <f t="shared" si="379"/>
        <v>10.164255575647982</v>
      </c>
      <c r="CU133" s="217">
        <f t="shared" si="380"/>
        <v>3.0602059797649841</v>
      </c>
      <c r="CV133" s="217">
        <f t="shared" si="381"/>
        <v>2.8561922477806521</v>
      </c>
      <c r="CW133" s="217">
        <f t="shared" si="382"/>
        <v>28</v>
      </c>
      <c r="CX133" s="217">
        <f t="shared" si="383"/>
        <v>3.1315974796145296</v>
      </c>
      <c r="CY133" s="217">
        <f t="shared" si="384"/>
        <v>0.77465832390464684</v>
      </c>
      <c r="CZ133" s="217">
        <f t="shared" si="385"/>
        <v>0.51284000537241425</v>
      </c>
      <c r="DA133" s="197">
        <f t="shared" si="386"/>
        <v>350</v>
      </c>
      <c r="DB133" s="443">
        <f t="shared" si="387"/>
        <v>350</v>
      </c>
      <c r="DD133" s="217">
        <f t="shared" si="388"/>
        <v>6.9494625094785683</v>
      </c>
      <c r="DE133" s="173">
        <f t="shared" si="389"/>
        <v>1.1380652890086853</v>
      </c>
      <c r="DF133" s="173">
        <f t="shared" si="390"/>
        <v>1.2501230996965573</v>
      </c>
      <c r="DG133" s="173"/>
      <c r="DH133" s="173">
        <f t="shared" si="391"/>
        <v>0.54587688734030204</v>
      </c>
      <c r="DI133" s="545">
        <f t="shared" si="392"/>
        <v>632.01063829787233</v>
      </c>
      <c r="DJ133" s="528">
        <f t="shared" si="393"/>
        <v>0.31842818428184283</v>
      </c>
      <c r="DL133" s="173">
        <f t="shared" si="394"/>
        <v>4.6552908096913077</v>
      </c>
      <c r="DM133" s="173">
        <f t="shared" si="395"/>
        <v>4.6552908096913077</v>
      </c>
      <c r="DN133" s="173">
        <f t="shared" si="396"/>
        <v>2.179227760265166</v>
      </c>
      <c r="DP133" s="545">
        <f t="shared" si="397"/>
        <v>575.00000000000011</v>
      </c>
      <c r="DQ133" s="460">
        <f t="shared" si="398"/>
        <v>350</v>
      </c>
      <c r="DS133" s="460">
        <f t="shared" si="399"/>
        <v>575.00000000000011</v>
      </c>
      <c r="DT133" s="460">
        <f t="shared" si="400"/>
        <v>350</v>
      </c>
      <c r="DV133" s="5">
        <f t="shared" si="401"/>
        <v>2.8571428571428572</v>
      </c>
      <c r="DW133" s="5">
        <f t="shared" si="402"/>
        <v>1.1515719371341657</v>
      </c>
      <c r="DX133" s="5">
        <f t="shared" si="403"/>
        <v>1.7055709200086915</v>
      </c>
      <c r="DY133" s="173">
        <f t="shared" si="404"/>
        <v>0.40305017799695797</v>
      </c>
      <c r="EA133" s="5">
        <f t="shared" si="405"/>
        <v>2.3648352280433764</v>
      </c>
      <c r="EB133" s="5">
        <f t="shared" si="406"/>
        <v>0.22071795461738175</v>
      </c>
      <c r="EC133" s="5">
        <f t="shared" si="407"/>
        <v>1.0323192410578923</v>
      </c>
      <c r="ED133" s="5"/>
      <c r="EE133" s="173">
        <f t="shared" si="408"/>
        <v>1.7063406899771933</v>
      </c>
      <c r="EF133" s="173">
        <f t="shared" si="409"/>
        <v>2.0766107701397183</v>
      </c>
      <c r="EG133" s="173">
        <f t="shared" si="410"/>
        <v>0.20936321698949614</v>
      </c>
      <c r="EH133" s="173"/>
      <c r="EI133" s="528">
        <f t="shared" si="411"/>
        <v>3.4939182603262134E-2</v>
      </c>
      <c r="EJ133" s="528">
        <f t="shared" si="412"/>
        <v>1.4766815212881312</v>
      </c>
      <c r="EK133" s="528">
        <f t="shared" si="413"/>
        <v>4.0250000000000001E-2</v>
      </c>
      <c r="EL133" s="528">
        <f t="shared" si="414"/>
        <v>0.39220311375000005</v>
      </c>
      <c r="EM133">
        <f t="shared" si="415"/>
        <v>8.5500000000000003E-3</v>
      </c>
      <c r="EN133" s="460">
        <f t="shared" si="416"/>
        <v>48.800000000000004</v>
      </c>
      <c r="EP133" s="460">
        <f t="shared" si="438"/>
        <v>1952.6238176413933</v>
      </c>
      <c r="EQ133" s="173">
        <f t="shared" si="417"/>
        <v>0.40250000000000002</v>
      </c>
      <c r="ER133" s="173">
        <f t="shared" si="418"/>
        <v>2.7542500000000001E-2</v>
      </c>
      <c r="ES133" s="528"/>
      <c r="EU133" s="460">
        <f t="shared" si="419"/>
        <v>430.04250000000008</v>
      </c>
      <c r="EV133" s="528">
        <f t="shared" si="420"/>
        <v>4.0762379703805821E-2</v>
      </c>
      <c r="EW133" s="528">
        <f t="shared" si="421"/>
        <v>6.037237206924384E-2</v>
      </c>
      <c r="EX133" s="528">
        <f t="shared" si="422"/>
        <v>2.1916478314095423E-4</v>
      </c>
      <c r="EY133" s="528">
        <f t="shared" si="423"/>
        <v>5.3580548494391858</v>
      </c>
      <c r="EZ133" s="528"/>
      <c r="FA133" s="625">
        <f t="shared" si="424"/>
        <v>0.75851063829787235</v>
      </c>
      <c r="FB133" s="460">
        <f t="shared" si="425"/>
        <v>6217.9194042932486</v>
      </c>
      <c r="FC133" s="173">
        <f t="shared" si="426"/>
        <v>8.6005857219346424</v>
      </c>
      <c r="FD133" s="5">
        <f t="shared" si="427"/>
        <v>17.825000000000003</v>
      </c>
      <c r="FE133" s="173">
        <f t="shared" si="428"/>
        <v>0.67453566356352523</v>
      </c>
      <c r="FF133" s="5">
        <f t="shared" si="429"/>
        <v>67.453566356352525</v>
      </c>
      <c r="FG133">
        <f t="shared" si="430"/>
        <v>23.000000000000004</v>
      </c>
      <c r="FI133" s="562">
        <f t="shared" si="431"/>
        <v>-50</v>
      </c>
      <c r="FJ133">
        <f t="shared" si="432"/>
        <v>-50</v>
      </c>
    </row>
    <row r="134" spans="5:166">
      <c r="E134" s="170">
        <v>24</v>
      </c>
      <c r="F134" s="217">
        <f t="shared" si="433"/>
        <v>0.6</v>
      </c>
      <c r="G134" s="217">
        <f t="shared" si="312"/>
        <v>0.06</v>
      </c>
      <c r="H134" s="217">
        <f t="shared" si="313"/>
        <v>16.8</v>
      </c>
      <c r="I134" s="217">
        <f t="shared" si="314"/>
        <v>1.7999999999999998</v>
      </c>
      <c r="J134" s="541">
        <f t="shared" si="315"/>
        <v>18.921437791964117</v>
      </c>
      <c r="K134" s="443">
        <f t="shared" si="316"/>
        <v>28.731861401980613</v>
      </c>
      <c r="L134" s="172">
        <f t="shared" si="317"/>
        <v>47.653299193944733</v>
      </c>
      <c r="M134" s="443"/>
      <c r="N134" s="217">
        <f t="shared" si="318"/>
        <v>0.60293540820845304</v>
      </c>
      <c r="O134" s="172">
        <f t="shared" si="319"/>
        <v>85.869713691313066</v>
      </c>
      <c r="P134" s="172">
        <f t="shared" si="320"/>
        <v>10.186075731239942</v>
      </c>
      <c r="Q134" s="217">
        <f t="shared" si="321"/>
        <v>3.0667754889754666</v>
      </c>
      <c r="R134" s="217">
        <f t="shared" si="322"/>
        <v>2.8623237897104357</v>
      </c>
      <c r="S134" s="217">
        <f t="shared" si="323"/>
        <v>28</v>
      </c>
      <c r="T134" s="217">
        <f t="shared" si="324"/>
        <v>3.260753855620762</v>
      </c>
      <c r="U134" s="217">
        <f t="shared" si="325"/>
        <v>0.80995658416224037</v>
      </c>
      <c r="V134" s="217">
        <f t="shared" si="326"/>
        <v>0.5333988949411097</v>
      </c>
      <c r="W134" s="197">
        <f t="shared" si="327"/>
        <v>350</v>
      </c>
      <c r="X134" s="443">
        <f t="shared" si="434"/>
        <v>350</v>
      </c>
      <c r="Z134" s="217">
        <f t="shared" si="328"/>
        <v>6.935200497865492</v>
      </c>
      <c r="AA134" s="173">
        <f t="shared" si="329"/>
        <v>1.1344702622615626</v>
      </c>
      <c r="AB134" s="173">
        <f t="shared" si="330"/>
        <v>1.2436166375962878</v>
      </c>
      <c r="AC134" s="173"/>
      <c r="AD134" s="173">
        <f t="shared" si="331"/>
        <v>0.54527155228399837</v>
      </c>
      <c r="AE134" s="545">
        <f t="shared" si="332"/>
        <v>660.2214960455118</v>
      </c>
      <c r="AF134" s="528">
        <f t="shared" si="333"/>
        <v>0.31807507216566577</v>
      </c>
      <c r="AH134" s="173">
        <f t="shared" si="334"/>
        <v>4.7554160451970899</v>
      </c>
      <c r="AI134" s="173">
        <f t="shared" si="335"/>
        <v>4.7554160451970899</v>
      </c>
      <c r="AJ134" s="173">
        <f t="shared" si="336"/>
        <v>2.2533946013805601</v>
      </c>
      <c r="AL134" s="545">
        <f t="shared" si="337"/>
        <v>600</v>
      </c>
      <c r="AM134" s="460">
        <f t="shared" si="338"/>
        <v>350</v>
      </c>
      <c r="AO134" s="460">
        <f t="shared" si="339"/>
        <v>600</v>
      </c>
      <c r="AP134" s="460">
        <f t="shared" si="340"/>
        <v>350</v>
      </c>
      <c r="AR134" s="5">
        <f t="shared" ref="AR134:AR197" si="442">1/AM134*1000</f>
        <v>2.8571428571428572</v>
      </c>
      <c r="AS134" s="5">
        <f t="shared" si="439"/>
        <v>1.1812239459899025</v>
      </c>
      <c r="AT134" s="5">
        <f t="shared" si="440"/>
        <v>1.6759189111529547</v>
      </c>
      <c r="AU134" s="173">
        <f t="shared" si="441"/>
        <v>0.4134283810964659</v>
      </c>
      <c r="AW134" s="5">
        <f t="shared" si="341"/>
        <v>2.5311941699783627</v>
      </c>
      <c r="AX134" s="5">
        <f t="shared" si="342"/>
        <v>0.23624478919798053</v>
      </c>
      <c r="AY134" s="5">
        <f t="shared" si="343"/>
        <v>1.0628699126858401</v>
      </c>
      <c r="AZ134" s="5"/>
      <c r="BA134" s="173">
        <f t="shared" si="344"/>
        <v>1.7653386710381442</v>
      </c>
      <c r="BB134" s="173">
        <f t="shared" si="345"/>
        <v>2.1027537415279807</v>
      </c>
      <c r="BC134" s="173">
        <f t="shared" si="346"/>
        <v>0.21199894279339479</v>
      </c>
      <c r="BD134" s="173"/>
      <c r="BE134" s="528">
        <f t="shared" si="347"/>
        <v>3.7397047481552655E-2</v>
      </c>
      <c r="BF134" s="528">
        <f t="shared" si="348"/>
        <v>1.4474794462032408</v>
      </c>
      <c r="BG134" s="528">
        <f t="shared" si="349"/>
        <v>4.0250000000000001E-2</v>
      </c>
      <c r="BH134" s="528">
        <f t="shared" si="350"/>
        <v>0.3914355147861549</v>
      </c>
      <c r="BI134">
        <f t="shared" si="351"/>
        <v>8.514647006383852E-3</v>
      </c>
      <c r="BJ134" s="460">
        <f t="shared" si="435"/>
        <v>48.764647006383854</v>
      </c>
      <c r="BK134">
        <f t="shared" si="352"/>
        <v>1.9033212454603845</v>
      </c>
      <c r="BL134" s="460">
        <f t="shared" si="436"/>
        <v>1925.0766554773322</v>
      </c>
      <c r="BM134" s="173">
        <f t="shared" si="353"/>
        <v>0.40236</v>
      </c>
      <c r="BN134" s="173">
        <f t="shared" si="354"/>
        <v>4.0235999999999994E-2</v>
      </c>
      <c r="BO134" s="528"/>
      <c r="BQ134" s="460">
        <f t="shared" si="355"/>
        <v>442.596</v>
      </c>
      <c r="BR134" s="528">
        <f t="shared" si="356"/>
        <v>4.3629888728478096E-2</v>
      </c>
      <c r="BS134" s="528">
        <f t="shared" si="357"/>
        <v>6.1902026165138908E-2</v>
      </c>
      <c r="BT134" s="528">
        <f t="shared" si="358"/>
        <v>2.2471775872758538E-4</v>
      </c>
      <c r="BU134" s="528">
        <f t="shared" si="359"/>
        <v>5.6508192012375176</v>
      </c>
      <c r="BV134" s="528"/>
      <c r="BW134" s="625">
        <f t="shared" si="360"/>
        <v>0.79148936170212769</v>
      </c>
      <c r="BX134" s="460">
        <f t="shared" si="361"/>
        <v>6548.0651955919902</v>
      </c>
      <c r="BY134" s="173">
        <f t="shared" si="362"/>
        <v>8.9157378510693217</v>
      </c>
      <c r="BZ134" s="5">
        <f t="shared" si="363"/>
        <v>18.600000000000001</v>
      </c>
      <c r="CA134" s="173">
        <f t="shared" si="364"/>
        <v>0.6759767846558824</v>
      </c>
      <c r="CB134" s="5">
        <f t="shared" si="365"/>
        <v>67.597678465588245</v>
      </c>
      <c r="CC134">
        <f t="shared" si="366"/>
        <v>24</v>
      </c>
      <c r="CE134" s="562">
        <f t="shared" si="367"/>
        <v>-50</v>
      </c>
      <c r="CF134">
        <f t="shared" si="368"/>
        <v>-50</v>
      </c>
      <c r="CG134" s="173">
        <f t="shared" si="369"/>
        <v>0.26364188258605864</v>
      </c>
      <c r="CH134" s="173">
        <f t="shared" si="370"/>
        <v>8.5495173326866056E-2</v>
      </c>
      <c r="CI134" s="170">
        <v>24</v>
      </c>
      <c r="CJ134" s="217">
        <f t="shared" si="437"/>
        <v>0.6</v>
      </c>
      <c r="CK134" s="217">
        <f t="shared" si="371"/>
        <v>0.06</v>
      </c>
      <c r="CL134" s="217">
        <f t="shared" si="372"/>
        <v>16.8</v>
      </c>
      <c r="CM134" s="217">
        <f t="shared" si="373"/>
        <v>1.7999999999999998</v>
      </c>
      <c r="CN134" s="541">
        <f t="shared" si="374"/>
        <v>19</v>
      </c>
      <c r="CO134" s="443">
        <f t="shared" si="375"/>
        <v>28.7</v>
      </c>
      <c r="CP134" s="443">
        <f t="shared" si="376"/>
        <v>47.7</v>
      </c>
      <c r="CQ134" s="443"/>
      <c r="CR134" s="217">
        <f t="shared" si="377"/>
        <v>0.59915611814345993</v>
      </c>
      <c r="CS134" s="172">
        <f t="shared" si="378"/>
        <v>85.685767433419556</v>
      </c>
      <c r="CT134" s="172">
        <f t="shared" si="379"/>
        <v>10.164255575647982</v>
      </c>
      <c r="CU134" s="217">
        <f t="shared" si="380"/>
        <v>3.0602059797649841</v>
      </c>
      <c r="CV134" s="217">
        <f t="shared" si="381"/>
        <v>2.8561922477806521</v>
      </c>
      <c r="CW134" s="217">
        <f t="shared" si="382"/>
        <v>28</v>
      </c>
      <c r="CX134" s="217">
        <f t="shared" si="383"/>
        <v>3.2677538917716826</v>
      </c>
      <c r="CY134" s="217">
        <f t="shared" si="384"/>
        <v>0.80833912059615309</v>
      </c>
      <c r="CZ134" s="217">
        <f t="shared" si="385"/>
        <v>0.53513739691034523</v>
      </c>
      <c r="DA134" s="197">
        <f t="shared" si="386"/>
        <v>350</v>
      </c>
      <c r="DB134" s="443">
        <f t="shared" si="387"/>
        <v>350</v>
      </c>
      <c r="DD134" s="217">
        <f t="shared" si="388"/>
        <v>6.9494625094785683</v>
      </c>
      <c r="DE134" s="173">
        <f t="shared" si="389"/>
        <v>1.1380652890086853</v>
      </c>
      <c r="DF134" s="173">
        <f t="shared" si="390"/>
        <v>1.2501230996965573</v>
      </c>
      <c r="DG134" s="173"/>
      <c r="DH134" s="173">
        <f t="shared" si="391"/>
        <v>0.54587688734030204</v>
      </c>
      <c r="DI134" s="545">
        <f t="shared" si="392"/>
        <v>659.48936170212767</v>
      </c>
      <c r="DJ134" s="528">
        <f t="shared" si="393"/>
        <v>0.31842818428184283</v>
      </c>
      <c r="DL134" s="173">
        <f t="shared" si="394"/>
        <v>4.7554160451970899</v>
      </c>
      <c r="DM134" s="173">
        <f t="shared" si="395"/>
        <v>4.7554160451970899</v>
      </c>
      <c r="DN134" s="173">
        <f t="shared" si="396"/>
        <v>2.2533946013805601</v>
      </c>
      <c r="DP134" s="545">
        <f t="shared" si="397"/>
        <v>600</v>
      </c>
      <c r="DQ134" s="460">
        <f t="shared" si="398"/>
        <v>350</v>
      </c>
      <c r="DS134" s="460">
        <f t="shared" si="399"/>
        <v>600</v>
      </c>
      <c r="DT134" s="460">
        <f t="shared" si="400"/>
        <v>350</v>
      </c>
      <c r="DV134" s="5">
        <f t="shared" si="401"/>
        <v>2.8571428571428572</v>
      </c>
      <c r="DW134" s="5">
        <f t="shared" si="402"/>
        <v>1.1763397585487538</v>
      </c>
      <c r="DX134" s="5">
        <f t="shared" si="403"/>
        <v>1.6808030985941034</v>
      </c>
      <c r="DY134" s="173">
        <f t="shared" si="404"/>
        <v>0.41171891549206385</v>
      </c>
      <c r="EA134" s="5">
        <f t="shared" si="405"/>
        <v>2.5207280540330439</v>
      </c>
      <c r="EB134" s="5">
        <f t="shared" si="406"/>
        <v>0.23526795170975073</v>
      </c>
      <c r="EC134" s="5">
        <f t="shared" si="407"/>
        <v>1.0615598517436442</v>
      </c>
      <c r="ED134" s="5"/>
      <c r="EE134" s="173">
        <f t="shared" si="408"/>
        <v>1.7616851824683739</v>
      </c>
      <c r="EF134" s="173">
        <f t="shared" si="409"/>
        <v>2.1058155756960337</v>
      </c>
      <c r="EG134" s="173">
        <f t="shared" si="410"/>
        <v>0.21230763591033783</v>
      </c>
      <c r="EH134" s="173"/>
      <c r="EI134" s="528">
        <f t="shared" si="411"/>
        <v>3.7242416185543539E-2</v>
      </c>
      <c r="EJ134" s="528">
        <f t="shared" si="412"/>
        <v>1.5084417466167432</v>
      </c>
      <c r="EK134" s="528">
        <f t="shared" si="413"/>
        <v>4.0250000000000001E-2</v>
      </c>
      <c r="EL134" s="528">
        <f t="shared" si="414"/>
        <v>0.39220311375000005</v>
      </c>
      <c r="EM134">
        <f t="shared" si="415"/>
        <v>8.5500000000000003E-3</v>
      </c>
      <c r="EN134" s="460">
        <f t="shared" si="416"/>
        <v>48.800000000000004</v>
      </c>
      <c r="EP134" s="460">
        <f t="shared" si="438"/>
        <v>1986.6872765522867</v>
      </c>
      <c r="EQ134" s="173">
        <f t="shared" si="417"/>
        <v>0.42</v>
      </c>
      <c r="ER134" s="173">
        <f t="shared" si="418"/>
        <v>2.8739999999999998E-2</v>
      </c>
      <c r="ES134" s="528"/>
      <c r="EU134" s="460">
        <f t="shared" si="419"/>
        <v>448.73999999999995</v>
      </c>
      <c r="EV134" s="528">
        <f t="shared" si="420"/>
        <v>4.3449485549800791E-2</v>
      </c>
      <c r="EW134" s="528">
        <f t="shared" si="421"/>
        <v>6.2082429343816248E-2</v>
      </c>
      <c r="EX134" s="528">
        <f t="shared" si="422"/>
        <v>2.2537266132918285E-4</v>
      </c>
      <c r="EY134" s="528">
        <f t="shared" si="423"/>
        <v>5.6508192012375176</v>
      </c>
      <c r="EZ134" s="528"/>
      <c r="FA134" s="625">
        <f t="shared" si="424"/>
        <v>0.79148936170212769</v>
      </c>
      <c r="FB134" s="460">
        <f t="shared" si="425"/>
        <v>6548.0658504945914</v>
      </c>
      <c r="FC134" s="173">
        <f t="shared" si="426"/>
        <v>8.983493127046879</v>
      </c>
      <c r="FD134" s="5">
        <f t="shared" si="427"/>
        <v>18.600000000000001</v>
      </c>
      <c r="FE134" s="173">
        <f t="shared" si="428"/>
        <v>0.67431633529264101</v>
      </c>
      <c r="FF134" s="5">
        <f t="shared" si="429"/>
        <v>67.431633529264104</v>
      </c>
      <c r="FG134">
        <f t="shared" si="430"/>
        <v>24</v>
      </c>
      <c r="FI134" s="562">
        <f t="shared" si="431"/>
        <v>-50</v>
      </c>
      <c r="FJ134">
        <f t="shared" si="432"/>
        <v>-50</v>
      </c>
    </row>
    <row r="135" spans="5:166">
      <c r="E135" s="170">
        <v>25</v>
      </c>
      <c r="F135" s="217">
        <f t="shared" si="433"/>
        <v>0.625</v>
      </c>
      <c r="G135" s="217">
        <f t="shared" si="312"/>
        <v>6.25E-2</v>
      </c>
      <c r="H135" s="217">
        <f t="shared" si="313"/>
        <v>17.5</v>
      </c>
      <c r="I135" s="217">
        <f t="shared" si="314"/>
        <v>1.875</v>
      </c>
      <c r="J135" s="541">
        <f t="shared" si="315"/>
        <v>18.91981778218571</v>
      </c>
      <c r="K135" s="443">
        <f t="shared" si="316"/>
        <v>28.732518407225918</v>
      </c>
      <c r="L135" s="172">
        <f t="shared" si="317"/>
        <v>47.652336189411628</v>
      </c>
      <c r="M135" s="443"/>
      <c r="N135" s="217">
        <f t="shared" si="318"/>
        <v>0.60296138038265368</v>
      </c>
      <c r="O135" s="172">
        <f t="shared" si="319"/>
        <v>85.86606035026324</v>
      </c>
      <c r="P135" s="172">
        <f t="shared" si="320"/>
        <v>10.185642362977655</v>
      </c>
      <c r="Q135" s="217">
        <f t="shared" si="321"/>
        <v>3.0666450125094014</v>
      </c>
      <c r="R135" s="217">
        <f t="shared" si="322"/>
        <v>2.8622020116754414</v>
      </c>
      <c r="S135" s="217">
        <f t="shared" si="323"/>
        <v>28</v>
      </c>
      <c r="T135" s="217">
        <f t="shared" si="324"/>
        <v>3.3967631154487052</v>
      </c>
      <c r="U135" s="217">
        <f t="shared" si="325"/>
        <v>0.84381291756630139</v>
      </c>
      <c r="V135" s="217">
        <f t="shared" si="326"/>
        <v>0.55563478343039863</v>
      </c>
      <c r="W135" s="197">
        <f t="shared" si="327"/>
        <v>350</v>
      </c>
      <c r="X135" s="443">
        <f t="shared" si="434"/>
        <v>350</v>
      </c>
      <c r="Z135" s="217">
        <f t="shared" si="328"/>
        <v>6.9349054386230833</v>
      </c>
      <c r="AA135" s="173">
        <f t="shared" si="329"/>
        <v>1.1343960560495607</v>
      </c>
      <c r="AB135" s="173">
        <f t="shared" si="330"/>
        <v>1.2434823856576873</v>
      </c>
      <c r="AC135" s="173"/>
      <c r="AD135" s="173">
        <f t="shared" si="331"/>
        <v>0.54525908396274336</v>
      </c>
      <c r="AE135" s="545">
        <f t="shared" si="332"/>
        <v>687.74645123679068</v>
      </c>
      <c r="AF135" s="528">
        <f t="shared" si="333"/>
        <v>0.31806779897826698</v>
      </c>
      <c r="AH135" s="173">
        <f t="shared" si="334"/>
        <v>4.8534761772403412</v>
      </c>
      <c r="AI135" s="173">
        <f t="shared" si="335"/>
        <v>4.8534761772403412</v>
      </c>
      <c r="AJ135" s="173">
        <f t="shared" si="336"/>
        <v>2.3260317362274132</v>
      </c>
      <c r="AL135" s="545">
        <f t="shared" si="337"/>
        <v>625</v>
      </c>
      <c r="AM135" s="460">
        <f t="shared" si="338"/>
        <v>350</v>
      </c>
      <c r="AO135" s="460">
        <f t="shared" si="339"/>
        <v>625</v>
      </c>
      <c r="AP135" s="460">
        <f t="shared" si="340"/>
        <v>350</v>
      </c>
      <c r="AR135" s="5">
        <f t="shared" si="442"/>
        <v>2.8571428571428572</v>
      </c>
      <c r="AS135" s="5">
        <f t="shared" si="439"/>
        <v>1.2056848694657103</v>
      </c>
      <c r="AT135" s="5">
        <f t="shared" si="440"/>
        <v>1.6514579876771469</v>
      </c>
      <c r="AU135" s="173">
        <f t="shared" si="441"/>
        <v>0.42198970431299859</v>
      </c>
      <c r="AW135" s="5">
        <f t="shared" si="341"/>
        <v>2.691260869343103</v>
      </c>
      <c r="AX135" s="5">
        <f t="shared" si="342"/>
        <v>0.25118434780535631</v>
      </c>
      <c r="AY135" s="5">
        <f t="shared" si="343"/>
        <v>1.0910900455606569</v>
      </c>
      <c r="AZ135" s="5"/>
      <c r="BA135" s="173">
        <f t="shared" si="344"/>
        <v>1.8203009783825435</v>
      </c>
      <c r="BB135" s="173">
        <f t="shared" si="345"/>
        <v>2.1303946463302821</v>
      </c>
      <c r="BC135" s="173">
        <f t="shared" si="346"/>
        <v>0.21478568975297105</v>
      </c>
      <c r="BD135" s="173"/>
      <c r="BE135" s="528">
        <f t="shared" si="347"/>
        <v>3.9761947822805337E-2</v>
      </c>
      <c r="BF135" s="528">
        <f t="shared" si="348"/>
        <v>1.4772976688239412</v>
      </c>
      <c r="BG135" s="528">
        <f t="shared" si="349"/>
        <v>4.0250000000000001E-2</v>
      </c>
      <c r="BH135" s="528">
        <f t="shared" si="350"/>
        <v>0.39141969425021378</v>
      </c>
      <c r="BI135">
        <f t="shared" si="351"/>
        <v>8.5139180019835701E-3</v>
      </c>
      <c r="BJ135" s="460">
        <f t="shared" si="435"/>
        <v>48.763918001983569</v>
      </c>
      <c r="BK135">
        <f t="shared" si="352"/>
        <v>1.9375196349897097</v>
      </c>
      <c r="BL135" s="460">
        <f t="shared" si="436"/>
        <v>1957.2432288989437</v>
      </c>
      <c r="BM135" s="173">
        <f t="shared" si="353"/>
        <v>0.41912499999999997</v>
      </c>
      <c r="BN135" s="173">
        <f t="shared" si="354"/>
        <v>4.1912499999999998E-2</v>
      </c>
      <c r="BO135" s="528"/>
      <c r="BQ135" s="460">
        <f t="shared" si="355"/>
        <v>461.03749999999997</v>
      </c>
      <c r="BR135" s="528">
        <f t="shared" si="356"/>
        <v>4.638893912660623E-2</v>
      </c>
      <c r="BS135" s="528">
        <f t="shared" si="357"/>
        <v>6.3540138887578188E-2</v>
      </c>
      <c r="BT135" s="528">
        <f t="shared" si="358"/>
        <v>2.3066446261329768E-4</v>
      </c>
      <c r="BU135" s="528">
        <f t="shared" si="359"/>
        <v>5.9466499011587368</v>
      </c>
      <c r="BV135" s="528"/>
      <c r="BW135" s="625">
        <f t="shared" si="360"/>
        <v>0.82446808510638325</v>
      </c>
      <c r="BX135" s="460">
        <f t="shared" si="361"/>
        <v>6881.2777287419176</v>
      </c>
      <c r="BY135" s="173">
        <f t="shared" si="362"/>
        <v>9.2995584576408614</v>
      </c>
      <c r="BZ135" s="5">
        <f t="shared" si="363"/>
        <v>19.375</v>
      </c>
      <c r="CA135" s="173">
        <f t="shared" si="364"/>
        <v>0.67568608000089969</v>
      </c>
      <c r="CB135" s="5">
        <f t="shared" si="365"/>
        <v>67.568608000089966</v>
      </c>
      <c r="CC135">
        <f t="shared" si="366"/>
        <v>25</v>
      </c>
      <c r="CE135" s="562">
        <f t="shared" si="367"/>
        <v>-50</v>
      </c>
      <c r="CF135">
        <f t="shared" si="368"/>
        <v>-50</v>
      </c>
      <c r="CG135" s="173">
        <f t="shared" si="369"/>
        <v>0.26907836965108234</v>
      </c>
      <c r="CH135" s="173">
        <f t="shared" si="370"/>
        <v>8.7258145884011831E-2</v>
      </c>
      <c r="CI135" s="170">
        <v>25</v>
      </c>
      <c r="CJ135" s="217">
        <f t="shared" si="437"/>
        <v>0.625</v>
      </c>
      <c r="CK135" s="217">
        <f t="shared" si="371"/>
        <v>6.25E-2</v>
      </c>
      <c r="CL135" s="217">
        <f t="shared" si="372"/>
        <v>17.5</v>
      </c>
      <c r="CM135" s="217">
        <f t="shared" si="373"/>
        <v>1.875</v>
      </c>
      <c r="CN135" s="541">
        <f t="shared" si="374"/>
        <v>19</v>
      </c>
      <c r="CO135" s="443">
        <f t="shared" si="375"/>
        <v>28.7</v>
      </c>
      <c r="CP135" s="443">
        <f t="shared" si="376"/>
        <v>47.7</v>
      </c>
      <c r="CQ135" s="443"/>
      <c r="CR135" s="217">
        <f t="shared" si="377"/>
        <v>0.59915611814345993</v>
      </c>
      <c r="CS135" s="172">
        <f t="shared" si="378"/>
        <v>85.685767433419556</v>
      </c>
      <c r="CT135" s="172">
        <f t="shared" si="379"/>
        <v>10.164255575647982</v>
      </c>
      <c r="CU135" s="217">
        <f t="shared" si="380"/>
        <v>3.0602059797649841</v>
      </c>
      <c r="CV135" s="217">
        <f t="shared" si="381"/>
        <v>2.8561922477806521</v>
      </c>
      <c r="CW135" s="217">
        <f t="shared" si="382"/>
        <v>28</v>
      </c>
      <c r="CX135" s="217">
        <f t="shared" si="383"/>
        <v>3.4039103039288361</v>
      </c>
      <c r="CY135" s="217">
        <f t="shared" si="384"/>
        <v>0.84201991728765946</v>
      </c>
      <c r="CZ135" s="217">
        <f t="shared" si="385"/>
        <v>0.55743478844827632</v>
      </c>
      <c r="DA135" s="197">
        <f t="shared" si="386"/>
        <v>350</v>
      </c>
      <c r="DB135" s="443">
        <f t="shared" si="387"/>
        <v>350</v>
      </c>
      <c r="DD135" s="217">
        <f t="shared" si="388"/>
        <v>6.9494625094785683</v>
      </c>
      <c r="DE135" s="173">
        <f t="shared" si="389"/>
        <v>1.1380652890086853</v>
      </c>
      <c r="DF135" s="173">
        <f t="shared" si="390"/>
        <v>1.2501230996965573</v>
      </c>
      <c r="DG135" s="173"/>
      <c r="DH135" s="173">
        <f t="shared" si="391"/>
        <v>0.54587688734030204</v>
      </c>
      <c r="DI135" s="545">
        <f t="shared" si="392"/>
        <v>686.968085106383</v>
      </c>
      <c r="DJ135" s="528">
        <f t="shared" si="393"/>
        <v>0.31842818428184283</v>
      </c>
      <c r="DL135" s="173">
        <f t="shared" si="394"/>
        <v>4.8534761772403412</v>
      </c>
      <c r="DM135" s="173">
        <f t="shared" si="395"/>
        <v>4.8534761772403412</v>
      </c>
      <c r="DN135" s="173">
        <f t="shared" si="396"/>
        <v>2.3260317362274132</v>
      </c>
      <c r="DP135" s="545">
        <f t="shared" si="397"/>
        <v>625</v>
      </c>
      <c r="DQ135" s="460">
        <f t="shared" si="398"/>
        <v>350</v>
      </c>
      <c r="DS135" s="460">
        <f t="shared" si="399"/>
        <v>625</v>
      </c>
      <c r="DT135" s="460">
        <f t="shared" si="400"/>
        <v>350</v>
      </c>
      <c r="DV135" s="5">
        <f t="shared" si="401"/>
        <v>2.8571428571428572</v>
      </c>
      <c r="DW135" s="5">
        <f t="shared" si="402"/>
        <v>1.2005967385805054</v>
      </c>
      <c r="DX135" s="5">
        <f t="shared" si="403"/>
        <v>1.6565461185623518</v>
      </c>
      <c r="DY135" s="173">
        <f t="shared" si="404"/>
        <v>0.42020885850317691</v>
      </c>
      <c r="EA135" s="5">
        <f t="shared" si="405"/>
        <v>2.6799034343314854</v>
      </c>
      <c r="EB135" s="5">
        <f t="shared" si="406"/>
        <v>0.2501243205376053</v>
      </c>
      <c r="EC135" s="5">
        <f t="shared" si="407"/>
        <v>1.0898329727383893</v>
      </c>
      <c r="ED135" s="5"/>
      <c r="EE135" s="173">
        <f t="shared" si="408"/>
        <v>1.8164559762005776</v>
      </c>
      <c r="EF135" s="173">
        <f t="shared" si="409"/>
        <v>2.1336739881102686</v>
      </c>
      <c r="EG135" s="173">
        <f t="shared" si="410"/>
        <v>0.21511631191603528</v>
      </c>
      <c r="EH135" s="173"/>
      <c r="EI135" s="528">
        <f t="shared" si="411"/>
        <v>3.9594147761697528E-2</v>
      </c>
      <c r="EJ135" s="528">
        <f t="shared" si="412"/>
        <v>1.5395469108015225</v>
      </c>
      <c r="EK135" s="528">
        <f t="shared" si="413"/>
        <v>4.0250000000000001E-2</v>
      </c>
      <c r="EL135" s="528">
        <f t="shared" si="414"/>
        <v>0.39220311375000005</v>
      </c>
      <c r="EM135">
        <f t="shared" si="415"/>
        <v>8.5500000000000003E-3</v>
      </c>
      <c r="EN135" s="460">
        <f t="shared" si="416"/>
        <v>48.800000000000004</v>
      </c>
      <c r="EP135" s="460">
        <f t="shared" si="438"/>
        <v>2020.1441723132198</v>
      </c>
      <c r="EQ135" s="173">
        <f t="shared" si="417"/>
        <v>0.4375</v>
      </c>
      <c r="ER135" s="173">
        <f t="shared" si="418"/>
        <v>2.9937499999999999E-2</v>
      </c>
      <c r="ES135" s="528"/>
      <c r="EU135" s="460">
        <f t="shared" si="419"/>
        <v>467.4375</v>
      </c>
      <c r="EV135" s="528">
        <f t="shared" si="420"/>
        <v>4.6193172388647112E-2</v>
      </c>
      <c r="EW135" s="528">
        <f t="shared" si="421"/>
        <v>6.3735905625537298E-2</v>
      </c>
      <c r="EX135" s="528">
        <f t="shared" si="422"/>
        <v>2.3137513826178491E-4</v>
      </c>
      <c r="EY135" s="528">
        <f t="shared" si="423"/>
        <v>5.9466499011587368</v>
      </c>
      <c r="EZ135" s="528"/>
      <c r="FA135" s="625">
        <f t="shared" si="424"/>
        <v>0.82446808510638325</v>
      </c>
      <c r="FB135" s="460">
        <f t="shared" si="425"/>
        <v>6881.2784394175651</v>
      </c>
      <c r="FC135" s="173">
        <f t="shared" si="426"/>
        <v>9.3688601117307861</v>
      </c>
      <c r="FD135" s="5">
        <f t="shared" si="427"/>
        <v>19.375</v>
      </c>
      <c r="FE135" s="173">
        <f t="shared" si="428"/>
        <v>0.6740569959875633</v>
      </c>
      <c r="FF135" s="5">
        <f t="shared" si="429"/>
        <v>67.405699598756328</v>
      </c>
      <c r="FG135">
        <f t="shared" si="430"/>
        <v>25</v>
      </c>
      <c r="FI135" s="562">
        <f t="shared" si="431"/>
        <v>-50</v>
      </c>
      <c r="FJ135">
        <f t="shared" si="432"/>
        <v>-50</v>
      </c>
    </row>
    <row r="136" spans="5:166">
      <c r="E136" s="170">
        <v>26</v>
      </c>
      <c r="F136" s="217">
        <f t="shared" si="433"/>
        <v>0.65</v>
      </c>
      <c r="G136" s="217">
        <f t="shared" si="312"/>
        <v>6.5000000000000002E-2</v>
      </c>
      <c r="H136" s="217">
        <f t="shared" si="313"/>
        <v>18.2</v>
      </c>
      <c r="I136" s="217">
        <f t="shared" si="314"/>
        <v>1.9500000000000002</v>
      </c>
      <c r="J136" s="541">
        <f t="shared" si="315"/>
        <v>18.918229861344358</v>
      </c>
      <c r="K136" s="443">
        <f t="shared" si="316"/>
        <v>28.73316239859918</v>
      </c>
      <c r="L136" s="172">
        <f t="shared" si="317"/>
        <v>47.651392259943535</v>
      </c>
      <c r="M136" s="443"/>
      <c r="N136" s="217">
        <f t="shared" si="318"/>
        <v>0.60298683912227891</v>
      </c>
      <c r="O136" s="172">
        <f t="shared" si="319"/>
        <v>85.862478904478721</v>
      </c>
      <c r="P136" s="172">
        <f t="shared" si="320"/>
        <v>10.185217523107806</v>
      </c>
      <c r="Q136" s="217">
        <f t="shared" si="321"/>
        <v>3.0665171037313828</v>
      </c>
      <c r="R136" s="217">
        <f t="shared" si="322"/>
        <v>2.8620826301492905</v>
      </c>
      <c r="S136" s="217">
        <f t="shared" si="323"/>
        <v>28</v>
      </c>
      <c r="T136" s="217">
        <f t="shared" si="324"/>
        <v>3.5327809912265531</v>
      </c>
      <c r="U136" s="217">
        <f t="shared" si="325"/>
        <v>0.87767570118660609</v>
      </c>
      <c r="V136" s="217">
        <f t="shared" si="326"/>
        <v>0.57787132611530057</v>
      </c>
      <c r="W136" s="197">
        <f t="shared" si="327"/>
        <v>350</v>
      </c>
      <c r="X136" s="443">
        <f t="shared" si="434"/>
        <v>350</v>
      </c>
      <c r="Z136" s="217">
        <f t="shared" si="328"/>
        <v>6.9346161859457398</v>
      </c>
      <c r="AA136" s="173">
        <f t="shared" si="329"/>
        <v>1.1343233167934885</v>
      </c>
      <c r="AB136" s="173">
        <f t="shared" si="330"/>
        <v>1.2433507896898623</v>
      </c>
      <c r="AC136" s="173"/>
      <c r="AD136" s="173">
        <f t="shared" si="331"/>
        <v>0.54524686316569393</v>
      </c>
      <c r="AE136" s="545">
        <f t="shared" si="332"/>
        <v>715.2723405608732</v>
      </c>
      <c r="AF136" s="528">
        <f t="shared" si="333"/>
        <v>0.31806067017998813</v>
      </c>
      <c r="AH136" s="173">
        <f t="shared" si="334"/>
        <v>4.949593947301242</v>
      </c>
      <c r="AI136" s="173">
        <f t="shared" si="335"/>
        <v>4.949593947301242</v>
      </c>
      <c r="AJ136" s="173">
        <f t="shared" si="336"/>
        <v>2.3972300844206731</v>
      </c>
      <c r="AL136" s="545">
        <f t="shared" si="337"/>
        <v>650</v>
      </c>
      <c r="AM136" s="460">
        <f t="shared" si="338"/>
        <v>350</v>
      </c>
      <c r="AO136" s="460">
        <f t="shared" si="339"/>
        <v>650</v>
      </c>
      <c r="AP136" s="460">
        <f t="shared" si="340"/>
        <v>350</v>
      </c>
      <c r="AR136" s="5">
        <f t="shared" si="442"/>
        <v>2.8571428571428572</v>
      </c>
      <c r="AS136" s="5">
        <f t="shared" si="439"/>
        <v>1.2296653398767152</v>
      </c>
      <c r="AT136" s="5">
        <f t="shared" si="440"/>
        <v>1.627477517266142</v>
      </c>
      <c r="AU136" s="173">
        <f t="shared" si="441"/>
        <v>0.4303828689568503</v>
      </c>
      <c r="AW136" s="5">
        <f t="shared" si="341"/>
        <v>2.8545802532852318</v>
      </c>
      <c r="AX136" s="5">
        <f t="shared" si="342"/>
        <v>0.26642749030662166</v>
      </c>
      <c r="AY136" s="5">
        <f t="shared" si="343"/>
        <v>1.1183502832730874</v>
      </c>
      <c r="AZ136" s="5"/>
      <c r="BA136" s="173">
        <f t="shared" si="344"/>
        <v>1.8747200868515796</v>
      </c>
      <c r="BB136" s="173">
        <f t="shared" si="345"/>
        <v>2.1567532721683538</v>
      </c>
      <c r="BC136" s="173">
        <f t="shared" si="346"/>
        <v>0.21744315776779305</v>
      </c>
      <c r="BD136" s="173"/>
      <c r="BE136" s="528">
        <f t="shared" si="347"/>
        <v>4.2174904848537531E-2</v>
      </c>
      <c r="BF136" s="528">
        <f t="shared" si="348"/>
        <v>1.5065240853120014</v>
      </c>
      <c r="BG136" s="528">
        <f t="shared" si="349"/>
        <v>4.0250000000000001E-2</v>
      </c>
      <c r="BH136" s="528">
        <f t="shared" si="350"/>
        <v>0.39140418739560973</v>
      </c>
      <c r="BI136">
        <f t="shared" si="351"/>
        <v>8.5132034376049614E-3</v>
      </c>
      <c r="BJ136" s="460">
        <f t="shared" si="435"/>
        <v>48.763203437604965</v>
      </c>
      <c r="BK136">
        <f t="shared" si="352"/>
        <v>1.9712437573178552</v>
      </c>
      <c r="BL136" s="460">
        <f t="shared" si="436"/>
        <v>1988.8663809937536</v>
      </c>
      <c r="BM136" s="173">
        <f t="shared" si="353"/>
        <v>0.43588999999999994</v>
      </c>
      <c r="BN136" s="173">
        <f t="shared" si="354"/>
        <v>4.3588999999999996E-2</v>
      </c>
      <c r="BO136" s="528"/>
      <c r="BQ136" s="460">
        <f t="shared" si="355"/>
        <v>479.47899999999993</v>
      </c>
      <c r="BR136" s="528">
        <f t="shared" si="356"/>
        <v>4.9204055656627124E-2</v>
      </c>
      <c r="BS136" s="528">
        <f t="shared" si="357"/>
        <v>6.5122185478124622E-2</v>
      </c>
      <c r="BT136" s="528">
        <f t="shared" si="358"/>
        <v>2.364076343001467E-4</v>
      </c>
      <c r="BU136" s="528">
        <f t="shared" si="359"/>
        <v>6.2454544466488064</v>
      </c>
      <c r="BV136" s="528"/>
      <c r="BW136" s="625">
        <f t="shared" si="360"/>
        <v>0.85744680851063815</v>
      </c>
      <c r="BX136" s="460">
        <f t="shared" si="361"/>
        <v>7217.4639039284966</v>
      </c>
      <c r="BY136" s="173">
        <f t="shared" si="362"/>
        <v>9.6858092849222501</v>
      </c>
      <c r="BZ136" s="5">
        <f t="shared" si="363"/>
        <v>20.149999999999999</v>
      </c>
      <c r="CA136" s="173">
        <f t="shared" si="364"/>
        <v>0.67536294415794351</v>
      </c>
      <c r="CB136" s="5">
        <f t="shared" si="365"/>
        <v>67.536294415794345</v>
      </c>
      <c r="CC136">
        <f t="shared" si="366"/>
        <v>26</v>
      </c>
      <c r="CE136" s="562">
        <f t="shared" si="367"/>
        <v>-50</v>
      </c>
      <c r="CF136">
        <f t="shared" si="368"/>
        <v>-50</v>
      </c>
      <c r="CG136" s="173">
        <f t="shared" si="369"/>
        <v>0.2744071715073203</v>
      </c>
      <c r="CH136" s="173">
        <f t="shared" si="370"/>
        <v>8.8986197716500459E-2</v>
      </c>
      <c r="CI136" s="170">
        <v>26</v>
      </c>
      <c r="CJ136" s="217">
        <f t="shared" si="437"/>
        <v>0.65</v>
      </c>
      <c r="CK136" s="217">
        <f t="shared" si="371"/>
        <v>6.5000000000000002E-2</v>
      </c>
      <c r="CL136" s="217">
        <f t="shared" si="372"/>
        <v>18.2</v>
      </c>
      <c r="CM136" s="217">
        <f t="shared" si="373"/>
        <v>1.9500000000000002</v>
      </c>
      <c r="CN136" s="541">
        <f t="shared" si="374"/>
        <v>19</v>
      </c>
      <c r="CO136" s="443">
        <f t="shared" si="375"/>
        <v>28.7</v>
      </c>
      <c r="CP136" s="443">
        <f t="shared" si="376"/>
        <v>47.7</v>
      </c>
      <c r="CQ136" s="443"/>
      <c r="CR136" s="217">
        <f t="shared" si="377"/>
        <v>0.59915611814345993</v>
      </c>
      <c r="CS136" s="172">
        <f t="shared" si="378"/>
        <v>85.685767433419556</v>
      </c>
      <c r="CT136" s="172">
        <f t="shared" si="379"/>
        <v>10.164255575647982</v>
      </c>
      <c r="CU136" s="217">
        <f t="shared" si="380"/>
        <v>3.0602059797649841</v>
      </c>
      <c r="CV136" s="217">
        <f t="shared" si="381"/>
        <v>2.8561922477806521</v>
      </c>
      <c r="CW136" s="217">
        <f t="shared" si="382"/>
        <v>28</v>
      </c>
      <c r="CX136" s="217">
        <f t="shared" si="383"/>
        <v>3.5400667160859891</v>
      </c>
      <c r="CY136" s="217">
        <f t="shared" si="384"/>
        <v>0.87570071397916571</v>
      </c>
      <c r="CZ136" s="217">
        <f t="shared" si="385"/>
        <v>0.5797321799862073</v>
      </c>
      <c r="DA136" s="197">
        <f t="shared" si="386"/>
        <v>350</v>
      </c>
      <c r="DB136" s="443">
        <f t="shared" si="387"/>
        <v>350</v>
      </c>
      <c r="DD136" s="217">
        <f t="shared" si="388"/>
        <v>6.9494625094785683</v>
      </c>
      <c r="DE136" s="173">
        <f t="shared" si="389"/>
        <v>1.1380652890086853</v>
      </c>
      <c r="DF136" s="173">
        <f t="shared" si="390"/>
        <v>1.2501230996965573</v>
      </c>
      <c r="DG136" s="173"/>
      <c r="DH136" s="173">
        <f t="shared" si="391"/>
        <v>0.54587688734030204</v>
      </c>
      <c r="DI136" s="545">
        <f t="shared" si="392"/>
        <v>714.44680851063833</v>
      </c>
      <c r="DJ136" s="528">
        <f t="shared" si="393"/>
        <v>0.31842818428184283</v>
      </c>
      <c r="DL136" s="173">
        <f t="shared" si="394"/>
        <v>4.949593947301242</v>
      </c>
      <c r="DM136" s="173">
        <f t="shared" si="395"/>
        <v>4.949593947301242</v>
      </c>
      <c r="DN136" s="173">
        <f t="shared" si="396"/>
        <v>2.3972300844206731</v>
      </c>
      <c r="DP136" s="545">
        <f t="shared" si="397"/>
        <v>650</v>
      </c>
      <c r="DQ136" s="460">
        <f t="shared" si="398"/>
        <v>350</v>
      </c>
      <c r="DS136" s="460">
        <f t="shared" si="399"/>
        <v>650</v>
      </c>
      <c r="DT136" s="460">
        <f t="shared" si="400"/>
        <v>350</v>
      </c>
      <c r="DV136" s="5">
        <f t="shared" si="401"/>
        <v>2.8571428571428572</v>
      </c>
      <c r="DW136" s="5">
        <f t="shared" si="402"/>
        <v>1.2243732395955704</v>
      </c>
      <c r="DX136" s="5">
        <f t="shared" si="403"/>
        <v>1.6327696175472868</v>
      </c>
      <c r="DY136" s="173">
        <f t="shared" si="404"/>
        <v>0.42853063385844964</v>
      </c>
      <c r="EA136" s="5">
        <f t="shared" si="405"/>
        <v>2.8422950204897175</v>
      </c>
      <c r="EB136" s="5">
        <f t="shared" si="406"/>
        <v>0.26528086857904032</v>
      </c>
      <c r="EC136" s="5">
        <f t="shared" si="407"/>
        <v>1.1171581593744593</v>
      </c>
      <c r="ED136" s="5"/>
      <c r="EE136" s="173">
        <f t="shared" si="408"/>
        <v>1.8706816286379435</v>
      </c>
      <c r="EF136" s="173">
        <f t="shared" si="409"/>
        <v>2.1602570044627067</v>
      </c>
      <c r="EG136" s="173">
        <f t="shared" si="410"/>
        <v>0.21779640290894506</v>
      </c>
      <c r="EH136" s="173"/>
      <c r="EI136" s="528">
        <f t="shared" si="411"/>
        <v>4.199339706868211E-2</v>
      </c>
      <c r="EJ136" s="528">
        <f t="shared" si="412"/>
        <v>1.5700359480536907</v>
      </c>
      <c r="EK136" s="528">
        <f t="shared" si="413"/>
        <v>4.0250000000000001E-2</v>
      </c>
      <c r="EL136" s="528">
        <f t="shared" si="414"/>
        <v>0.39220311375000005</v>
      </c>
      <c r="EM136">
        <f t="shared" si="415"/>
        <v>8.5500000000000003E-3</v>
      </c>
      <c r="EN136" s="460">
        <f t="shared" si="416"/>
        <v>48.800000000000004</v>
      </c>
      <c r="EP136" s="460">
        <f t="shared" si="438"/>
        <v>2053.0324588723729</v>
      </c>
      <c r="EQ136" s="173">
        <f t="shared" si="417"/>
        <v>0.45499999999999996</v>
      </c>
      <c r="ER136" s="173">
        <f t="shared" si="418"/>
        <v>3.1134999999999999E-2</v>
      </c>
      <c r="ES136" s="528"/>
      <c r="EU136" s="460">
        <f t="shared" si="419"/>
        <v>486.13499999999999</v>
      </c>
      <c r="EV136" s="528">
        <f t="shared" si="420"/>
        <v>4.8992296580129123E-2</v>
      </c>
      <c r="EW136" s="528">
        <f t="shared" si="421"/>
        <v>6.5333944554622617E-2</v>
      </c>
      <c r="EX136" s="528">
        <f t="shared" si="422"/>
        <v>2.3717636560037766E-4</v>
      </c>
      <c r="EY136" s="528">
        <f t="shared" si="423"/>
        <v>6.2454544466488064</v>
      </c>
      <c r="EZ136" s="528"/>
      <c r="FA136" s="625">
        <f t="shared" si="424"/>
        <v>0.85744680851063815</v>
      </c>
      <c r="FB136" s="460">
        <f t="shared" si="425"/>
        <v>7217.4646726597966</v>
      </c>
      <c r="FC136" s="173">
        <f t="shared" si="426"/>
        <v>9.756632131532168</v>
      </c>
      <c r="FD136" s="5">
        <f t="shared" si="427"/>
        <v>20.149999999999999</v>
      </c>
      <c r="FE136" s="173">
        <f t="shared" si="428"/>
        <v>0.67376359569270161</v>
      </c>
      <c r="FF136" s="5">
        <f t="shared" si="429"/>
        <v>67.376359569270164</v>
      </c>
      <c r="FG136">
        <f t="shared" si="430"/>
        <v>26</v>
      </c>
      <c r="FI136" s="562">
        <f t="shared" si="431"/>
        <v>-50</v>
      </c>
      <c r="FJ136">
        <f t="shared" si="432"/>
        <v>-50</v>
      </c>
    </row>
    <row r="137" spans="5:166">
      <c r="E137" s="170">
        <v>27</v>
      </c>
      <c r="F137" s="217">
        <f t="shared" si="433"/>
        <v>0.67500000000000004</v>
      </c>
      <c r="G137" s="217">
        <f t="shared" si="312"/>
        <v>6.7500000000000004E-2</v>
      </c>
      <c r="H137" s="217">
        <f t="shared" si="313"/>
        <v>18.900000000000002</v>
      </c>
      <c r="I137" s="217">
        <f t="shared" si="314"/>
        <v>2.0250000000000004</v>
      </c>
      <c r="J137" s="541">
        <f t="shared" si="315"/>
        <v>18.916672194929259</v>
      </c>
      <c r="K137" s="443">
        <f t="shared" si="316"/>
        <v>28.733794120097901</v>
      </c>
      <c r="L137" s="172">
        <f t="shared" si="317"/>
        <v>47.65046631502716</v>
      </c>
      <c r="M137" s="443"/>
      <c r="N137" s="217">
        <f t="shared" si="318"/>
        <v>0.60301181378022206</v>
      </c>
      <c r="O137" s="172">
        <f t="shared" si="319"/>
        <v>85.858965243711097</v>
      </c>
      <c r="P137" s="172">
        <f t="shared" si="320"/>
        <v>10.184800724062669</v>
      </c>
      <c r="Q137" s="217">
        <f t="shared" si="321"/>
        <v>3.066391615846825</v>
      </c>
      <c r="R137" s="217">
        <f t="shared" si="322"/>
        <v>2.8619655081237032</v>
      </c>
      <c r="S137" s="217">
        <f t="shared" si="323"/>
        <v>28</v>
      </c>
      <c r="T137" s="217">
        <f t="shared" si="324"/>
        <v>3.6688073179763006</v>
      </c>
      <c r="U137" s="217">
        <f t="shared" si="325"/>
        <v>0.9115448117301953</v>
      </c>
      <c r="V137" s="217">
        <f t="shared" si="326"/>
        <v>0.60010851064140158</v>
      </c>
      <c r="W137" s="197">
        <f t="shared" si="327"/>
        <v>350</v>
      </c>
      <c r="X137" s="443">
        <f t="shared" si="434"/>
        <v>350</v>
      </c>
      <c r="Z137" s="217">
        <f t="shared" si="328"/>
        <v>6.9343324078724535</v>
      </c>
      <c r="AA137" s="173">
        <f t="shared" si="329"/>
        <v>1.1342519606279369</v>
      </c>
      <c r="AB137" s="173">
        <f t="shared" si="330"/>
        <v>1.2432216978531725</v>
      </c>
      <c r="AC137" s="173"/>
      <c r="AD137" s="173">
        <f t="shared" si="331"/>
        <v>0.54523487574196094</v>
      </c>
      <c r="AE137" s="545">
        <f t="shared" si="332"/>
        <v>742.79914587061592</v>
      </c>
      <c r="AF137" s="528">
        <f t="shared" si="333"/>
        <v>0.31805367751614388</v>
      </c>
      <c r="AH137" s="173">
        <f t="shared" si="334"/>
        <v>5.0438803993832648</v>
      </c>
      <c r="AI137" s="173">
        <f t="shared" si="335"/>
        <v>5.0438803993832648</v>
      </c>
      <c r="AJ137" s="173">
        <f t="shared" si="336"/>
        <v>2.4670719007777269</v>
      </c>
      <c r="AL137" s="545">
        <f t="shared" si="337"/>
        <v>675</v>
      </c>
      <c r="AM137" s="460">
        <f t="shared" si="338"/>
        <v>350</v>
      </c>
      <c r="AO137" s="460">
        <f t="shared" si="339"/>
        <v>675</v>
      </c>
      <c r="AP137" s="460">
        <f t="shared" si="340"/>
        <v>350</v>
      </c>
      <c r="AR137" s="5">
        <f t="shared" si="442"/>
        <v>2.8571428571428572</v>
      </c>
      <c r="AS137" s="5">
        <f t="shared" si="439"/>
        <v>1.2531928255042639</v>
      </c>
      <c r="AT137" s="5">
        <f t="shared" si="440"/>
        <v>1.6039500316385933</v>
      </c>
      <c r="AU137" s="173">
        <f t="shared" si="441"/>
        <v>0.43861748892649238</v>
      </c>
      <c r="AW137" s="5">
        <f t="shared" si="341"/>
        <v>3.0210898471977794</v>
      </c>
      <c r="AX137" s="5">
        <f t="shared" si="342"/>
        <v>0.28196838573845939</v>
      </c>
      <c r="AY137" s="5">
        <f t="shared" si="343"/>
        <v>1.1446688510532699</v>
      </c>
      <c r="AZ137" s="5"/>
      <c r="BA137" s="173">
        <f t="shared" si="344"/>
        <v>1.9286220367934228</v>
      </c>
      <c r="BB137" s="173">
        <f t="shared" si="345"/>
        <v>2.1818937188344019</v>
      </c>
      <c r="BC137" s="173">
        <f t="shared" si="346"/>
        <v>0.21997780935789465</v>
      </c>
      <c r="BD137" s="173"/>
      <c r="BE137" s="528">
        <f t="shared" si="347"/>
        <v>4.4634995529662533E-2</v>
      </c>
      <c r="BF137" s="528">
        <f t="shared" si="348"/>
        <v>1.5351925289708153</v>
      </c>
      <c r="BG137" s="528">
        <f t="shared" si="349"/>
        <v>4.0250000000000001E-2</v>
      </c>
      <c r="BH137" s="528">
        <f t="shared" si="350"/>
        <v>0.3913889762893154</v>
      </c>
      <c r="BI137">
        <f t="shared" si="351"/>
        <v>8.5125024877181661E-3</v>
      </c>
      <c r="BJ137" s="460">
        <f t="shared" si="435"/>
        <v>48.762502487718173</v>
      </c>
      <c r="BK137">
        <f t="shared" si="352"/>
        <v>2.004526504280904</v>
      </c>
      <c r="BL137" s="460">
        <f t="shared" si="436"/>
        <v>2019.9790032775113</v>
      </c>
      <c r="BM137" s="173">
        <f t="shared" si="353"/>
        <v>0.45265499999999997</v>
      </c>
      <c r="BN137" s="173">
        <f t="shared" si="354"/>
        <v>4.52655E-2</v>
      </c>
      <c r="BO137" s="528"/>
      <c r="BQ137" s="460">
        <f t="shared" si="355"/>
        <v>497.9205</v>
      </c>
      <c r="BR137" s="528">
        <f t="shared" si="356"/>
        <v>5.207416145127295E-2</v>
      </c>
      <c r="BS137" s="528">
        <f t="shared" si="357"/>
        <v>6.664924280404623E-2</v>
      </c>
      <c r="BT137" s="528">
        <f t="shared" si="358"/>
        <v>2.4195118304949124E-4</v>
      </c>
      <c r="BU137" s="528">
        <f t="shared" si="359"/>
        <v>6.5471465963635351</v>
      </c>
      <c r="BV137" s="528"/>
      <c r="BW137" s="625">
        <f t="shared" si="360"/>
        <v>0.89042553191489404</v>
      </c>
      <c r="BX137" s="460">
        <f t="shared" si="361"/>
        <v>7556.5374837167974</v>
      </c>
      <c r="BY137" s="173">
        <f t="shared" si="362"/>
        <v>10.074436986994311</v>
      </c>
      <c r="BZ137" s="5">
        <f t="shared" si="363"/>
        <v>20.925000000000004</v>
      </c>
      <c r="CA137" s="173">
        <f t="shared" si="364"/>
        <v>0.67501225937680742</v>
      </c>
      <c r="CB137" s="5">
        <f t="shared" si="365"/>
        <v>67.501225937680744</v>
      </c>
      <c r="CC137">
        <f t="shared" si="366"/>
        <v>27</v>
      </c>
      <c r="CE137" s="562">
        <f t="shared" si="367"/>
        <v>-50</v>
      </c>
      <c r="CF137">
        <f t="shared" si="368"/>
        <v>-50</v>
      </c>
      <c r="CG137" s="173">
        <f t="shared" si="369"/>
        <v>0.27963444447208446</v>
      </c>
      <c r="CH137" s="173">
        <f t="shared" si="370"/>
        <v>9.0681325227219362E-2</v>
      </c>
      <c r="CI137" s="170">
        <v>27</v>
      </c>
      <c r="CJ137" s="217">
        <f t="shared" si="437"/>
        <v>0.67500000000000004</v>
      </c>
      <c r="CK137" s="217">
        <f t="shared" si="371"/>
        <v>6.7500000000000004E-2</v>
      </c>
      <c r="CL137" s="217">
        <f t="shared" si="372"/>
        <v>18.900000000000002</v>
      </c>
      <c r="CM137" s="217">
        <f t="shared" si="373"/>
        <v>2.0250000000000004</v>
      </c>
      <c r="CN137" s="541">
        <f t="shared" si="374"/>
        <v>19</v>
      </c>
      <c r="CO137" s="443">
        <f t="shared" si="375"/>
        <v>28.7</v>
      </c>
      <c r="CP137" s="443">
        <f t="shared" si="376"/>
        <v>47.7</v>
      </c>
      <c r="CQ137" s="443"/>
      <c r="CR137" s="217">
        <f t="shared" si="377"/>
        <v>0.59915611814345993</v>
      </c>
      <c r="CS137" s="172">
        <f t="shared" si="378"/>
        <v>85.685767433419556</v>
      </c>
      <c r="CT137" s="172">
        <f t="shared" si="379"/>
        <v>10.164255575647982</v>
      </c>
      <c r="CU137" s="217">
        <f t="shared" si="380"/>
        <v>3.0602059797649841</v>
      </c>
      <c r="CV137" s="217">
        <f t="shared" si="381"/>
        <v>2.8561922477806521</v>
      </c>
      <c r="CW137" s="217">
        <f t="shared" si="382"/>
        <v>28</v>
      </c>
      <c r="CX137" s="217">
        <f t="shared" si="383"/>
        <v>3.6762231282431435</v>
      </c>
      <c r="CY137" s="217">
        <f t="shared" si="384"/>
        <v>0.9093815106706723</v>
      </c>
      <c r="CZ137" s="217">
        <f t="shared" si="385"/>
        <v>0.60202957152413838</v>
      </c>
      <c r="DA137" s="197">
        <f t="shared" si="386"/>
        <v>350</v>
      </c>
      <c r="DB137" s="443">
        <f t="shared" si="387"/>
        <v>350</v>
      </c>
      <c r="DD137" s="217">
        <f t="shared" si="388"/>
        <v>6.9494625094785683</v>
      </c>
      <c r="DE137" s="173">
        <f t="shared" si="389"/>
        <v>1.1380652890086853</v>
      </c>
      <c r="DF137" s="173">
        <f t="shared" si="390"/>
        <v>1.2501230996965573</v>
      </c>
      <c r="DG137" s="173"/>
      <c r="DH137" s="173">
        <f t="shared" si="391"/>
        <v>0.54587688734030204</v>
      </c>
      <c r="DI137" s="545">
        <f t="shared" si="392"/>
        <v>741.92553191489367</v>
      </c>
      <c r="DJ137" s="528">
        <f t="shared" si="393"/>
        <v>0.31842818428184283</v>
      </c>
      <c r="DL137" s="173">
        <f t="shared" si="394"/>
        <v>5.0438803993832648</v>
      </c>
      <c r="DM137" s="173">
        <f t="shared" si="395"/>
        <v>5.0438803993832648</v>
      </c>
      <c r="DN137" s="173">
        <f t="shared" si="396"/>
        <v>2.4670719007777269</v>
      </c>
      <c r="DP137" s="545">
        <f t="shared" si="397"/>
        <v>675</v>
      </c>
      <c r="DQ137" s="460">
        <f t="shared" si="398"/>
        <v>350</v>
      </c>
      <c r="DS137" s="460">
        <f t="shared" si="399"/>
        <v>675</v>
      </c>
      <c r="DT137" s="460">
        <f t="shared" si="400"/>
        <v>350</v>
      </c>
      <c r="DV137" s="5">
        <f t="shared" si="401"/>
        <v>2.8571428571428572</v>
      </c>
      <c r="DW137" s="5">
        <f t="shared" si="402"/>
        <v>1.2476967303737549</v>
      </c>
      <c r="DX137" s="5">
        <f t="shared" si="403"/>
        <v>1.6094461267691023</v>
      </c>
      <c r="DY137" s="173">
        <f t="shared" si="404"/>
        <v>0.4366938556308142</v>
      </c>
      <c r="EA137" s="5">
        <f t="shared" si="405"/>
        <v>3.0078403321510168</v>
      </c>
      <c r="EB137" s="5">
        <f t="shared" si="406"/>
        <v>0.28073176433409486</v>
      </c>
      <c r="EC137" s="5">
        <f t="shared" si="407"/>
        <v>1.1435538269148884</v>
      </c>
      <c r="ED137" s="5"/>
      <c r="EE137" s="173">
        <f t="shared" si="408"/>
        <v>1.9243882359609981</v>
      </c>
      <c r="EF137" s="173">
        <f t="shared" si="409"/>
        <v>2.1856287604232207</v>
      </c>
      <c r="EG137" s="173">
        <f t="shared" si="410"/>
        <v>0.22035437502627558</v>
      </c>
      <c r="EH137" s="173"/>
      <c r="EI137" s="528">
        <f t="shared" si="411"/>
        <v>4.4439240992460979E-2</v>
      </c>
      <c r="EJ137" s="528">
        <f t="shared" si="412"/>
        <v>1.5999440820863686</v>
      </c>
      <c r="EK137" s="528">
        <f t="shared" si="413"/>
        <v>4.0250000000000001E-2</v>
      </c>
      <c r="EL137" s="528">
        <f t="shared" si="414"/>
        <v>0.39220311375000005</v>
      </c>
      <c r="EM137">
        <f t="shared" si="415"/>
        <v>8.5500000000000003E-3</v>
      </c>
      <c r="EN137" s="460">
        <f t="shared" si="416"/>
        <v>48.800000000000004</v>
      </c>
      <c r="EP137" s="460">
        <f t="shared" si="438"/>
        <v>2085.3864368288296</v>
      </c>
      <c r="EQ137" s="173">
        <f t="shared" si="417"/>
        <v>0.47249999999999998</v>
      </c>
      <c r="ER137" s="173">
        <f t="shared" si="418"/>
        <v>3.23325E-2</v>
      </c>
      <c r="ES137" s="528"/>
      <c r="EU137" s="460">
        <f t="shared" si="419"/>
        <v>504.83250000000004</v>
      </c>
      <c r="EV137" s="528">
        <f t="shared" si="420"/>
        <v>5.1845781157871147E-2</v>
      </c>
      <c r="EW137" s="528">
        <f t="shared" si="421"/>
        <v>6.6877623097448033E-2</v>
      </c>
      <c r="EX137" s="528">
        <f t="shared" si="422"/>
        <v>2.4278025296610252E-4</v>
      </c>
      <c r="EY137" s="528">
        <f t="shared" si="423"/>
        <v>6.5471465963635351</v>
      </c>
      <c r="EZ137" s="528"/>
      <c r="FA137" s="625">
        <f t="shared" si="424"/>
        <v>0.89042553191489404</v>
      </c>
      <c r="FB137" s="460">
        <f t="shared" si="425"/>
        <v>7556.5383127867144</v>
      </c>
      <c r="FC137" s="173">
        <f t="shared" si="426"/>
        <v>10.146757249615545</v>
      </c>
      <c r="FD137" s="5">
        <f t="shared" si="427"/>
        <v>20.925000000000004</v>
      </c>
      <c r="FE137" s="173">
        <f t="shared" si="428"/>
        <v>0.67344115210152489</v>
      </c>
      <c r="FF137" s="5">
        <f t="shared" si="429"/>
        <v>67.344115210152495</v>
      </c>
      <c r="FG137">
        <f t="shared" si="430"/>
        <v>27</v>
      </c>
      <c r="FI137" s="562">
        <f t="shared" si="431"/>
        <v>-50</v>
      </c>
      <c r="FJ137">
        <f t="shared" si="432"/>
        <v>-50</v>
      </c>
    </row>
    <row r="138" spans="5:166">
      <c r="E138" s="170">
        <v>28</v>
      </c>
      <c r="F138" s="217">
        <f t="shared" si="433"/>
        <v>0.70000000000000007</v>
      </c>
      <c r="G138" s="217">
        <f t="shared" si="312"/>
        <v>7.0000000000000007E-2</v>
      </c>
      <c r="H138" s="217">
        <f t="shared" si="313"/>
        <v>19.600000000000001</v>
      </c>
      <c r="I138" s="217">
        <f t="shared" si="314"/>
        <v>2.1</v>
      </c>
      <c r="J138" s="541">
        <f t="shared" si="315"/>
        <v>18.915143116837513</v>
      </c>
      <c r="K138" s="443">
        <f t="shared" si="316"/>
        <v>28.734414247420681</v>
      </c>
      <c r="L138" s="172">
        <f t="shared" si="317"/>
        <v>47.649557364258193</v>
      </c>
      <c r="M138" s="443"/>
      <c r="N138" s="217">
        <f t="shared" si="318"/>
        <v>0.60303633101478271</v>
      </c>
      <c r="O138" s="172">
        <f t="shared" si="319"/>
        <v>85.855515635032816</v>
      </c>
      <c r="P138" s="172">
        <f t="shared" si="320"/>
        <v>10.184391523033229</v>
      </c>
      <c r="Q138" s="217">
        <f t="shared" si="321"/>
        <v>3.0662684155368862</v>
      </c>
      <c r="R138" s="217">
        <f t="shared" si="322"/>
        <v>2.8618505211677605</v>
      </c>
      <c r="S138" s="217">
        <f t="shared" si="323"/>
        <v>28</v>
      </c>
      <c r="T138" s="217">
        <f t="shared" si="324"/>
        <v>3.8048419399786635</v>
      </c>
      <c r="U138" s="217">
        <f t="shared" si="325"/>
        <v>0.94542013282369486</v>
      </c>
      <c r="V138" s="217">
        <f t="shared" si="326"/>
        <v>0.62234632534766043</v>
      </c>
      <c r="W138" s="197">
        <f t="shared" si="327"/>
        <v>350</v>
      </c>
      <c r="X138" s="443">
        <f t="shared" si="434"/>
        <v>350</v>
      </c>
      <c r="Z138" s="217">
        <f t="shared" si="328"/>
        <v>6.9340538029162406</v>
      </c>
      <c r="AA138" s="173">
        <f t="shared" si="329"/>
        <v>1.1341819113863354</v>
      </c>
      <c r="AB138" s="173">
        <f t="shared" si="330"/>
        <v>1.2430949722468203</v>
      </c>
      <c r="AC138" s="173"/>
      <c r="AD138" s="173">
        <f t="shared" si="331"/>
        <v>0.54522310883970682</v>
      </c>
      <c r="AE138" s="545">
        <f t="shared" si="332"/>
        <v>770.32685003723532</v>
      </c>
      <c r="AF138" s="528">
        <f t="shared" si="333"/>
        <v>0.31804681348982899</v>
      </c>
      <c r="AH138" s="173">
        <f t="shared" si="334"/>
        <v>5.1364363836617555</v>
      </c>
      <c r="AI138" s="173">
        <f t="shared" si="335"/>
        <v>5.1364363836617555</v>
      </c>
      <c r="AJ138" s="173">
        <f t="shared" si="336"/>
        <v>2.5356318891321648</v>
      </c>
      <c r="AL138" s="545">
        <f t="shared" si="337"/>
        <v>700.00000000000011</v>
      </c>
      <c r="AM138" s="460">
        <f t="shared" si="338"/>
        <v>350</v>
      </c>
      <c r="AO138" s="460">
        <f t="shared" si="339"/>
        <v>700.00000000000011</v>
      </c>
      <c r="AP138" s="460">
        <f t="shared" si="340"/>
        <v>350</v>
      </c>
      <c r="AR138" s="5">
        <f t="shared" si="442"/>
        <v>2.8571428571428572</v>
      </c>
      <c r="AS138" s="5">
        <f t="shared" si="439"/>
        <v>1.2762922730265076</v>
      </c>
      <c r="AT138" s="5">
        <f t="shared" si="440"/>
        <v>1.5808505841163496</v>
      </c>
      <c r="AU138" s="173">
        <f t="shared" si="441"/>
        <v>0.44670229555927765</v>
      </c>
      <c r="AW138" s="5">
        <f t="shared" si="341"/>
        <v>3.1907306825662691</v>
      </c>
      <c r="AX138" s="5">
        <f t="shared" si="342"/>
        <v>0.29780153037285179</v>
      </c>
      <c r="AY138" s="5">
        <f t="shared" si="343"/>
        <v>1.1700629511984999</v>
      </c>
      <c r="AZ138" s="5"/>
      <c r="BA138" s="173">
        <f t="shared" si="344"/>
        <v>1.9820307060719538</v>
      </c>
      <c r="BB138" s="173">
        <f t="shared" si="345"/>
        <v>2.2058740946216</v>
      </c>
      <c r="BC138" s="173">
        <f t="shared" si="346"/>
        <v>0.22239550298234165</v>
      </c>
      <c r="BD138" s="173"/>
      <c r="BE138" s="528">
        <f t="shared" si="347"/>
        <v>4.7141348637745051E-2</v>
      </c>
      <c r="BF138" s="528">
        <f t="shared" si="348"/>
        <v>1.5633337272099945</v>
      </c>
      <c r="BG138" s="528">
        <f t="shared" si="349"/>
        <v>4.0250000000000001E-2</v>
      </c>
      <c r="BH138" s="528">
        <f t="shared" si="350"/>
        <v>0.39137404464455261</v>
      </c>
      <c r="BI138">
        <f t="shared" si="351"/>
        <v>8.511814402576881E-3</v>
      </c>
      <c r="BJ138" s="460">
        <f t="shared" si="435"/>
        <v>48.761814402576881</v>
      </c>
      <c r="BK138">
        <f t="shared" si="352"/>
        <v>2.0373977374932073</v>
      </c>
      <c r="BL138" s="460">
        <f t="shared" si="436"/>
        <v>2050.6109348948689</v>
      </c>
      <c r="BM138" s="173">
        <f t="shared" si="353"/>
        <v>0.46941999999999995</v>
      </c>
      <c r="BN138" s="173">
        <f t="shared" si="354"/>
        <v>4.6941999999999998E-2</v>
      </c>
      <c r="BO138" s="528"/>
      <c r="BQ138" s="460">
        <f t="shared" si="355"/>
        <v>516.36199999999997</v>
      </c>
      <c r="BR138" s="528">
        <f t="shared" si="356"/>
        <v>5.4998240077369226E-2</v>
      </c>
      <c r="BS138" s="528">
        <f t="shared" si="357"/>
        <v>6.8122327298517291E-2</v>
      </c>
      <c r="BT138" s="528">
        <f t="shared" si="358"/>
        <v>2.4729879873384368E-4</v>
      </c>
      <c r="BU138" s="528">
        <f t="shared" si="359"/>
        <v>6.8516457288270409</v>
      </c>
      <c r="BV138" s="528"/>
      <c r="BW138" s="625">
        <f t="shared" si="360"/>
        <v>0.92340425531914894</v>
      </c>
      <c r="BX138" s="460">
        <f t="shared" si="361"/>
        <v>7898.4178503208095</v>
      </c>
      <c r="BY138" s="173">
        <f t="shared" si="362"/>
        <v>10.465390785215678</v>
      </c>
      <c r="BZ138" s="5">
        <f t="shared" si="363"/>
        <v>21.700000000000003</v>
      </c>
      <c r="CA138" s="173">
        <f t="shared" si="364"/>
        <v>0.67463815828950136</v>
      </c>
      <c r="CB138" s="5">
        <f t="shared" si="365"/>
        <v>67.463815828950132</v>
      </c>
      <c r="CC138">
        <f t="shared" si="366"/>
        <v>28.000000000000004</v>
      </c>
      <c r="CE138" s="562">
        <f t="shared" si="367"/>
        <v>-50</v>
      </c>
      <c r="CF138">
        <f t="shared" si="368"/>
        <v>-50</v>
      </c>
      <c r="CG138" s="173">
        <f t="shared" si="369"/>
        <v>0.28476577971338951</v>
      </c>
      <c r="CH138" s="173">
        <f t="shared" si="370"/>
        <v>9.2345341549475837E-2</v>
      </c>
      <c r="CI138" s="170">
        <v>28</v>
      </c>
      <c r="CJ138" s="217">
        <f t="shared" si="437"/>
        <v>0.70000000000000007</v>
      </c>
      <c r="CK138" s="217">
        <f t="shared" si="371"/>
        <v>7.0000000000000007E-2</v>
      </c>
      <c r="CL138" s="217">
        <f t="shared" si="372"/>
        <v>19.600000000000001</v>
      </c>
      <c r="CM138" s="217">
        <f t="shared" si="373"/>
        <v>2.1</v>
      </c>
      <c r="CN138" s="541">
        <f t="shared" si="374"/>
        <v>19</v>
      </c>
      <c r="CO138" s="443">
        <f t="shared" si="375"/>
        <v>28.7</v>
      </c>
      <c r="CP138" s="443">
        <f t="shared" si="376"/>
        <v>47.7</v>
      </c>
      <c r="CQ138" s="443"/>
      <c r="CR138" s="217">
        <f t="shared" si="377"/>
        <v>0.59915611814345993</v>
      </c>
      <c r="CS138" s="172">
        <f t="shared" si="378"/>
        <v>85.685767433419556</v>
      </c>
      <c r="CT138" s="172">
        <f t="shared" si="379"/>
        <v>10.164255575647982</v>
      </c>
      <c r="CU138" s="217">
        <f t="shared" si="380"/>
        <v>3.0602059797649841</v>
      </c>
      <c r="CV138" s="217">
        <f t="shared" si="381"/>
        <v>2.8561922477806521</v>
      </c>
      <c r="CW138" s="217">
        <f t="shared" si="382"/>
        <v>28</v>
      </c>
      <c r="CX138" s="217">
        <f t="shared" si="383"/>
        <v>3.8123795404002969</v>
      </c>
      <c r="CY138" s="217">
        <f t="shared" si="384"/>
        <v>0.94306230736217866</v>
      </c>
      <c r="CZ138" s="217">
        <f t="shared" si="385"/>
        <v>0.62432696306206947</v>
      </c>
      <c r="DA138" s="197">
        <f t="shared" si="386"/>
        <v>350</v>
      </c>
      <c r="DB138" s="443">
        <f t="shared" si="387"/>
        <v>350</v>
      </c>
      <c r="DD138" s="217">
        <f t="shared" si="388"/>
        <v>6.9494625094785683</v>
      </c>
      <c r="DE138" s="173">
        <f t="shared" si="389"/>
        <v>1.1380652890086853</v>
      </c>
      <c r="DF138" s="173">
        <f t="shared" si="390"/>
        <v>1.2501230996965573</v>
      </c>
      <c r="DG138" s="173"/>
      <c r="DH138" s="173">
        <f t="shared" si="391"/>
        <v>0.54587688734030204</v>
      </c>
      <c r="DI138" s="545">
        <f t="shared" si="392"/>
        <v>769.404255319149</v>
      </c>
      <c r="DJ138" s="528">
        <f t="shared" si="393"/>
        <v>0.31842818428184283</v>
      </c>
      <c r="DL138" s="173">
        <f t="shared" si="394"/>
        <v>5.1364363836617555</v>
      </c>
      <c r="DM138" s="173">
        <f t="shared" si="395"/>
        <v>5.1364363836617555</v>
      </c>
      <c r="DN138" s="173">
        <f t="shared" si="396"/>
        <v>2.5356318891321648</v>
      </c>
      <c r="DP138" s="545">
        <f t="shared" si="397"/>
        <v>700.00000000000011</v>
      </c>
      <c r="DQ138" s="460">
        <f t="shared" si="398"/>
        <v>350</v>
      </c>
      <c r="DS138" s="460">
        <f t="shared" si="399"/>
        <v>700.00000000000011</v>
      </c>
      <c r="DT138" s="460">
        <f t="shared" si="400"/>
        <v>350</v>
      </c>
      <c r="DV138" s="5">
        <f t="shared" si="401"/>
        <v>2.8571428571428572</v>
      </c>
      <c r="DW138" s="5">
        <f t="shared" si="402"/>
        <v>1.2705921580636974</v>
      </c>
      <c r="DX138" s="5">
        <f t="shared" si="403"/>
        <v>1.5865506990791598</v>
      </c>
      <c r="DY138" s="173">
        <f t="shared" si="404"/>
        <v>0.4447072553222941</v>
      </c>
      <c r="EA138" s="5">
        <f t="shared" si="405"/>
        <v>3.1764803951592442</v>
      </c>
      <c r="EB138" s="5">
        <f t="shared" si="406"/>
        <v>0.29647150354819612</v>
      </c>
      <c r="EC138" s="5">
        <f t="shared" si="407"/>
        <v>1.1690373572162231</v>
      </c>
      <c r="ED138" s="5"/>
      <c r="EE138" s="173">
        <f t="shared" si="408"/>
        <v>1.9775997282321471</v>
      </c>
      <c r="EF138" s="173">
        <f t="shared" si="409"/>
        <v>2.2098474055986057</v>
      </c>
      <c r="EG138" s="173">
        <f t="shared" si="410"/>
        <v>0.22279609089231844</v>
      </c>
      <c r="EH138" s="173"/>
      <c r="EI138" s="528">
        <f t="shared" si="411"/>
        <v>4.6930808221246352E-2</v>
      </c>
      <c r="EJ138" s="528">
        <f t="shared" si="412"/>
        <v>1.6293033030794275</v>
      </c>
      <c r="EK138" s="528">
        <f t="shared" si="413"/>
        <v>4.0250000000000001E-2</v>
      </c>
      <c r="EL138" s="528">
        <f t="shared" si="414"/>
        <v>0.39220311375000005</v>
      </c>
      <c r="EM138">
        <f t="shared" si="415"/>
        <v>8.5500000000000003E-3</v>
      </c>
      <c r="EN138" s="460">
        <f t="shared" si="416"/>
        <v>48.800000000000004</v>
      </c>
      <c r="EP138" s="460">
        <f t="shared" si="438"/>
        <v>2117.2372250506737</v>
      </c>
      <c r="EQ138" s="173">
        <f t="shared" si="417"/>
        <v>0.49</v>
      </c>
      <c r="ER138" s="173">
        <f t="shared" si="418"/>
        <v>3.3530000000000004E-2</v>
      </c>
      <c r="ES138" s="528"/>
      <c r="EU138" s="460">
        <f t="shared" si="419"/>
        <v>523.53000000000009</v>
      </c>
      <c r="EV138" s="528">
        <f t="shared" si="420"/>
        <v>5.4752609591454074E-2</v>
      </c>
      <c r="EW138" s="528">
        <f t="shared" si="421"/>
        <v>6.8367957784432443E-2</v>
      </c>
      <c r="EX138" s="528">
        <f t="shared" si="422"/>
        <v>2.4819049058449107E-4</v>
      </c>
      <c r="EY138" s="528">
        <f t="shared" si="423"/>
        <v>6.8516457288270409</v>
      </c>
      <c r="EZ138" s="528"/>
      <c r="FA138" s="625">
        <f t="shared" si="424"/>
        <v>0.92340425531914894</v>
      </c>
      <c r="FB138" s="460">
        <f t="shared" si="425"/>
        <v>7898.4187420126609</v>
      </c>
      <c r="FC138" s="173">
        <f t="shared" si="426"/>
        <v>10.539185967063334</v>
      </c>
      <c r="FD138" s="5">
        <f t="shared" si="427"/>
        <v>21.700000000000003</v>
      </c>
      <c r="FE138" s="173">
        <f t="shared" si="428"/>
        <v>0.67309391813333852</v>
      </c>
      <c r="FF138" s="5">
        <f t="shared" si="429"/>
        <v>67.309391813333846</v>
      </c>
      <c r="FG138">
        <f t="shared" si="430"/>
        <v>28.000000000000004</v>
      </c>
      <c r="FI138" s="562">
        <f t="shared" si="431"/>
        <v>-50</v>
      </c>
      <c r="FJ138">
        <f t="shared" si="432"/>
        <v>-50</v>
      </c>
    </row>
    <row r="139" spans="5:166">
      <c r="E139" s="170">
        <v>29</v>
      </c>
      <c r="F139" s="217">
        <f t="shared" si="433"/>
        <v>0.72499999999999998</v>
      </c>
      <c r="G139" s="217">
        <f t="shared" si="312"/>
        <v>7.2499999999999995E-2</v>
      </c>
      <c r="H139" s="217">
        <f t="shared" si="313"/>
        <v>20.3</v>
      </c>
      <c r="I139" s="217">
        <f t="shared" si="314"/>
        <v>2.1749999999999998</v>
      </c>
      <c r="J139" s="541">
        <f t="shared" si="315"/>
        <v>18.9136411084937</v>
      </c>
      <c r="K139" s="443">
        <f t="shared" si="316"/>
        <v>28.735023396435416</v>
      </c>
      <c r="L139" s="172">
        <f t="shared" si="317"/>
        <v>47.648664504929116</v>
      </c>
      <c r="M139" s="443"/>
      <c r="N139" s="217">
        <f t="shared" si="318"/>
        <v>0.60306041512376196</v>
      </c>
      <c r="O139" s="172">
        <f t="shared" si="319"/>
        <v>85.852126676054212</v>
      </c>
      <c r="P139" s="172">
        <f t="shared" si="320"/>
        <v>10.183989516419695</v>
      </c>
      <c r="Q139" s="217">
        <f t="shared" si="321"/>
        <v>3.0661473812876503</v>
      </c>
      <c r="R139" s="217">
        <f t="shared" si="322"/>
        <v>2.8617375558684737</v>
      </c>
      <c r="S139" s="217">
        <f t="shared" si="323"/>
        <v>28</v>
      </c>
      <c r="T139" s="217">
        <f t="shared" si="324"/>
        <v>3.9408847099381283</v>
      </c>
      <c r="U139" s="217">
        <f t="shared" si="325"/>
        <v>0.97930155438929789</v>
      </c>
      <c r="V139" s="217">
        <f t="shared" si="326"/>
        <v>0.6445847592038807</v>
      </c>
      <c r="W139" s="197">
        <f t="shared" si="327"/>
        <v>350</v>
      </c>
      <c r="X139" s="443">
        <f t="shared" si="434"/>
        <v>350</v>
      </c>
      <c r="Z139" s="217">
        <f t="shared" si="328"/>
        <v>6.9337800962857514</v>
      </c>
      <c r="AA139" s="173">
        <f t="shared" si="329"/>
        <v>1.1341130996463942</v>
      </c>
      <c r="AB139" s="173">
        <f t="shared" si="330"/>
        <v>1.2429704871806138</v>
      </c>
      <c r="AC139" s="173"/>
      <c r="AD139" s="173">
        <f t="shared" si="331"/>
        <v>0.54521155074507854</v>
      </c>
      <c r="AE139" s="545">
        <f t="shared" si="332"/>
        <v>797.85543685847267</v>
      </c>
      <c r="AF139" s="528">
        <f t="shared" si="333"/>
        <v>0.31804007126796247</v>
      </c>
      <c r="AH139" s="173">
        <f t="shared" si="334"/>
        <v>5.2273538203880783</v>
      </c>
      <c r="AI139" s="173">
        <f t="shared" si="335"/>
        <v>5.2273538203880783</v>
      </c>
      <c r="AJ139" s="173">
        <f t="shared" si="336"/>
        <v>2.6029781385590702</v>
      </c>
      <c r="AL139" s="545">
        <f t="shared" si="337"/>
        <v>725</v>
      </c>
      <c r="AM139" s="460">
        <f t="shared" si="338"/>
        <v>350</v>
      </c>
      <c r="AO139" s="460">
        <f t="shared" si="339"/>
        <v>725</v>
      </c>
      <c r="AP139" s="460">
        <f t="shared" si="340"/>
        <v>350</v>
      </c>
      <c r="AR139" s="5">
        <f t="shared" si="442"/>
        <v>2.8571428571428572</v>
      </c>
      <c r="AS139" s="5">
        <f t="shared" si="439"/>
        <v>1.2989864201658541</v>
      </c>
      <c r="AT139" s="5">
        <f t="shared" si="440"/>
        <v>1.5581564369770031</v>
      </c>
      <c r="AU139" s="173">
        <f t="shared" si="441"/>
        <v>0.45464524705804893</v>
      </c>
      <c r="AW139" s="5">
        <f t="shared" si="341"/>
        <v>3.3634469807865859</v>
      </c>
      <c r="AX139" s="5">
        <f t="shared" si="342"/>
        <v>0.31392171820674808</v>
      </c>
      <c r="AY139" s="5">
        <f t="shared" si="343"/>
        <v>1.1945488553243409</v>
      </c>
      <c r="AZ139" s="5"/>
      <c r="BA139" s="173">
        <f t="shared" si="344"/>
        <v>2.0349680602239362</v>
      </c>
      <c r="BB139" s="173">
        <f t="shared" si="345"/>
        <v>2.2287472523917353</v>
      </c>
      <c r="BC139" s="173">
        <f t="shared" si="346"/>
        <v>0.22470156724933069</v>
      </c>
      <c r="BD139" s="173"/>
      <c r="BE139" s="528">
        <f t="shared" si="347"/>
        <v>4.9693140073578841E-2</v>
      </c>
      <c r="BF139" s="528">
        <f t="shared" si="348"/>
        <v>1.5909756866364257</v>
      </c>
      <c r="BG139" s="528">
        <f t="shared" si="349"/>
        <v>4.0250000000000001E-2</v>
      </c>
      <c r="BH139" s="528">
        <f t="shared" si="350"/>
        <v>0.39135937761667999</v>
      </c>
      <c r="BI139">
        <f t="shared" si="351"/>
        <v>8.5111384988221638E-3</v>
      </c>
      <c r="BJ139" s="460">
        <f t="shared" si="435"/>
        <v>48.76113849882217</v>
      </c>
      <c r="BK139">
        <f t="shared" si="352"/>
        <v>2.0698846668665229</v>
      </c>
      <c r="BL139" s="460">
        <f t="shared" si="436"/>
        <v>2080.789342825507</v>
      </c>
      <c r="BM139" s="173">
        <f t="shared" si="353"/>
        <v>0.48618499999999992</v>
      </c>
      <c r="BN139" s="173">
        <f t="shared" si="354"/>
        <v>4.8618499999999995E-2</v>
      </c>
      <c r="BO139" s="528"/>
      <c r="BQ139" s="460">
        <f t="shared" si="355"/>
        <v>534.80349999999987</v>
      </c>
      <c r="BR139" s="528">
        <f t="shared" si="356"/>
        <v>5.7975330085841978E-2</v>
      </c>
      <c r="BS139" s="528">
        <f t="shared" si="357"/>
        <v>6.9542400410611938E-2</v>
      </c>
      <c r="BT139" s="528">
        <f t="shared" si="358"/>
        <v>2.5245397162152741E-4</v>
      </c>
      <c r="BU139" s="528">
        <f t="shared" si="359"/>
        <v>7.1588762874759642</v>
      </c>
      <c r="BV139" s="528"/>
      <c r="BW139" s="625">
        <f t="shared" si="360"/>
        <v>0.95638297872340439</v>
      </c>
      <c r="BX139" s="460">
        <f t="shared" si="361"/>
        <v>8243.0294506674454</v>
      </c>
      <c r="BY139" s="173">
        <f t="shared" si="362"/>
        <v>10.858622293492949</v>
      </c>
      <c r="BZ139" s="5">
        <f t="shared" si="363"/>
        <v>22.475000000000001</v>
      </c>
      <c r="CA139" s="173">
        <f t="shared" si="364"/>
        <v>0.67424415510903957</v>
      </c>
      <c r="CB139" s="5">
        <f t="shared" si="365"/>
        <v>67.424415510903955</v>
      </c>
      <c r="CC139">
        <f t="shared" si="366"/>
        <v>28.999999999999996</v>
      </c>
      <c r="CE139" s="562">
        <f t="shared" si="367"/>
        <v>-50</v>
      </c>
      <c r="CF139">
        <f t="shared" si="368"/>
        <v>-50</v>
      </c>
      <c r="CG139" s="173">
        <f t="shared" si="369"/>
        <v>0.28980627332122755</v>
      </c>
      <c r="CH139" s="173">
        <f t="shared" si="370"/>
        <v>9.3979899270077785E-2</v>
      </c>
      <c r="CI139" s="170">
        <v>29</v>
      </c>
      <c r="CJ139" s="217">
        <f t="shared" si="437"/>
        <v>0.72499999999999998</v>
      </c>
      <c r="CK139" s="217">
        <f t="shared" si="371"/>
        <v>7.2499999999999995E-2</v>
      </c>
      <c r="CL139" s="217">
        <f t="shared" si="372"/>
        <v>20.3</v>
      </c>
      <c r="CM139" s="217">
        <f t="shared" si="373"/>
        <v>2.1749999999999998</v>
      </c>
      <c r="CN139" s="541">
        <f t="shared" si="374"/>
        <v>19</v>
      </c>
      <c r="CO139" s="443">
        <f t="shared" si="375"/>
        <v>28.7</v>
      </c>
      <c r="CP139" s="443">
        <f t="shared" si="376"/>
        <v>47.7</v>
      </c>
      <c r="CQ139" s="443"/>
      <c r="CR139" s="217">
        <f t="shared" si="377"/>
        <v>0.59915611814345993</v>
      </c>
      <c r="CS139" s="172">
        <f t="shared" si="378"/>
        <v>85.685767433419556</v>
      </c>
      <c r="CT139" s="172">
        <f t="shared" si="379"/>
        <v>10.164255575647982</v>
      </c>
      <c r="CU139" s="217">
        <f t="shared" si="380"/>
        <v>3.0602059797649841</v>
      </c>
      <c r="CV139" s="217">
        <f t="shared" si="381"/>
        <v>2.8561922477806521</v>
      </c>
      <c r="CW139" s="217">
        <f t="shared" si="382"/>
        <v>28</v>
      </c>
      <c r="CX139" s="217">
        <f t="shared" si="383"/>
        <v>3.9485359525574499</v>
      </c>
      <c r="CY139" s="217">
        <f t="shared" si="384"/>
        <v>0.97674310405368492</v>
      </c>
      <c r="CZ139" s="217">
        <f t="shared" si="385"/>
        <v>0.64662435460000045</v>
      </c>
      <c r="DA139" s="197">
        <f t="shared" si="386"/>
        <v>350</v>
      </c>
      <c r="DB139" s="443">
        <f t="shared" si="387"/>
        <v>350</v>
      </c>
      <c r="DD139" s="217">
        <f t="shared" si="388"/>
        <v>6.9494625094785683</v>
      </c>
      <c r="DE139" s="173">
        <f t="shared" si="389"/>
        <v>1.1380652890086853</v>
      </c>
      <c r="DF139" s="173">
        <f t="shared" si="390"/>
        <v>1.2501230996965573</v>
      </c>
      <c r="DG139" s="173"/>
      <c r="DH139" s="173">
        <f t="shared" si="391"/>
        <v>0.54587688734030204</v>
      </c>
      <c r="DI139" s="545">
        <f t="shared" si="392"/>
        <v>796.88297872340422</v>
      </c>
      <c r="DJ139" s="528">
        <f t="shared" si="393"/>
        <v>0.31842818428184283</v>
      </c>
      <c r="DL139" s="173">
        <f t="shared" si="394"/>
        <v>5.2273538203880783</v>
      </c>
      <c r="DM139" s="173">
        <f t="shared" si="395"/>
        <v>5.2273538203880783</v>
      </c>
      <c r="DN139" s="173">
        <f t="shared" si="396"/>
        <v>2.6029781385590702</v>
      </c>
      <c r="DP139" s="545">
        <f t="shared" si="397"/>
        <v>725</v>
      </c>
      <c r="DQ139" s="460">
        <f t="shared" si="398"/>
        <v>350</v>
      </c>
      <c r="DS139" s="460">
        <f t="shared" si="399"/>
        <v>725</v>
      </c>
      <c r="DT139" s="460">
        <f t="shared" si="400"/>
        <v>350</v>
      </c>
      <c r="DV139" s="5">
        <f t="shared" si="401"/>
        <v>2.8571428571428572</v>
      </c>
      <c r="DW139" s="5">
        <f t="shared" si="402"/>
        <v>1.2930822608328405</v>
      </c>
      <c r="DX139" s="5">
        <f t="shared" si="403"/>
        <v>1.5640605963100167</v>
      </c>
      <c r="DY139" s="173">
        <f t="shared" si="404"/>
        <v>0.45257879129149414</v>
      </c>
      <c r="EA139" s="5">
        <f t="shared" si="405"/>
        <v>3.3481594253707474</v>
      </c>
      <c r="EB139" s="5">
        <f t="shared" si="406"/>
        <v>0.31249487970126977</v>
      </c>
      <c r="EC139" s="5">
        <f t="shared" si="407"/>
        <v>1.1936251919208021</v>
      </c>
      <c r="ED139" s="5"/>
      <c r="EE139" s="173">
        <f t="shared" si="408"/>
        <v>2.0303381199114807</v>
      </c>
      <c r="EF139" s="173">
        <f t="shared" si="409"/>
        <v>2.2329658394184162</v>
      </c>
      <c r="EG139" s="173">
        <f t="shared" si="410"/>
        <v>0.22512688381021739</v>
      </c>
      <c r="EH139" s="173"/>
      <c r="EI139" s="528">
        <f t="shared" si="411"/>
        <v>4.9467274573988231E-2</v>
      </c>
      <c r="EJ139" s="528">
        <f t="shared" si="412"/>
        <v>1.6581427685962005</v>
      </c>
      <c r="EK139" s="528">
        <f t="shared" si="413"/>
        <v>4.0250000000000001E-2</v>
      </c>
      <c r="EL139" s="528">
        <f t="shared" si="414"/>
        <v>0.39220311375000005</v>
      </c>
      <c r="EM139">
        <f t="shared" si="415"/>
        <v>8.5500000000000003E-3</v>
      </c>
      <c r="EN139" s="460">
        <f t="shared" si="416"/>
        <v>48.800000000000004</v>
      </c>
      <c r="EP139" s="460">
        <f t="shared" si="438"/>
        <v>2148.6131569201884</v>
      </c>
      <c r="EQ139" s="173">
        <f t="shared" si="417"/>
        <v>0.50749999999999995</v>
      </c>
      <c r="ER139" s="173">
        <f t="shared" si="418"/>
        <v>3.4727499999999994E-2</v>
      </c>
      <c r="ES139" s="528"/>
      <c r="EU139" s="460">
        <f t="shared" si="419"/>
        <v>542.22749999999996</v>
      </c>
      <c r="EV139" s="528">
        <f t="shared" si="420"/>
        <v>5.7711820336319601E-2</v>
      </c>
      <c r="EW139" s="528">
        <f t="shared" si="421"/>
        <v>6.9805910160134294E-2</v>
      </c>
      <c r="EX139" s="528">
        <f t="shared" si="422"/>
        <v>2.5341056907049562E-4</v>
      </c>
      <c r="EY139" s="528">
        <f t="shared" si="423"/>
        <v>7.1588762874759642</v>
      </c>
      <c r="EZ139" s="528"/>
      <c r="FA139" s="625">
        <f t="shared" si="424"/>
        <v>0.95638297872340439</v>
      </c>
      <c r="FB139" s="460">
        <f t="shared" si="425"/>
        <v>8243.0304072648923</v>
      </c>
      <c r="FC139" s="173">
        <f t="shared" si="426"/>
        <v>10.93387106418508</v>
      </c>
      <c r="FD139" s="5">
        <f t="shared" si="427"/>
        <v>22.475000000000001</v>
      </c>
      <c r="FE139" s="173">
        <f t="shared" si="428"/>
        <v>0.67272551523279733</v>
      </c>
      <c r="FF139" s="5">
        <f t="shared" si="429"/>
        <v>67.272551523279731</v>
      </c>
      <c r="FG139">
        <f t="shared" si="430"/>
        <v>28.999999999999996</v>
      </c>
      <c r="FI139" s="562">
        <f t="shared" si="431"/>
        <v>-50</v>
      </c>
      <c r="FJ139">
        <f t="shared" si="432"/>
        <v>-50</v>
      </c>
    </row>
    <row r="140" spans="5:166">
      <c r="E140" s="170">
        <v>30</v>
      </c>
      <c r="F140" s="217">
        <f t="shared" si="433"/>
        <v>0.75</v>
      </c>
      <c r="G140" s="217">
        <f t="shared" si="312"/>
        <v>7.4999999999999997E-2</v>
      </c>
      <c r="H140" s="217">
        <f t="shared" si="313"/>
        <v>21</v>
      </c>
      <c r="I140" s="217">
        <f t="shared" si="314"/>
        <v>2.25</v>
      </c>
      <c r="J140" s="541">
        <f t="shared" si="315"/>
        <v>18.912164781184643</v>
      </c>
      <c r="K140" s="443">
        <f t="shared" si="316"/>
        <v>28.735622130343547</v>
      </c>
      <c r="L140" s="172">
        <f t="shared" si="317"/>
        <v>47.647786911528186</v>
      </c>
      <c r="M140" s="443"/>
      <c r="N140" s="217">
        <f t="shared" si="318"/>
        <v>0.60308408832711347</v>
      </c>
      <c r="O140" s="172">
        <f t="shared" si="319"/>
        <v>85.848795255344299</v>
      </c>
      <c r="P140" s="172">
        <f t="shared" si="320"/>
        <v>10.183594335136505</v>
      </c>
      <c r="Q140" s="217">
        <f t="shared" si="321"/>
        <v>3.066028401976582</v>
      </c>
      <c r="R140" s="217">
        <f t="shared" si="322"/>
        <v>2.8616265085114767</v>
      </c>
      <c r="S140" s="217">
        <f t="shared" si="323"/>
        <v>28</v>
      </c>
      <c r="T140" s="217">
        <f t="shared" si="324"/>
        <v>4.0769354882497515</v>
      </c>
      <c r="U140" s="217">
        <f t="shared" si="325"/>
        <v>1.0131889720968033</v>
      </c>
      <c r="V140" s="217">
        <f t="shared" si="326"/>
        <v>0.66682380175580158</v>
      </c>
      <c r="W140" s="197">
        <f t="shared" si="327"/>
        <v>350</v>
      </c>
      <c r="X140" s="443">
        <f t="shared" si="434"/>
        <v>350</v>
      </c>
      <c r="Z140" s="217">
        <f t="shared" si="328"/>
        <v>6.9335110366886825</v>
      </c>
      <c r="AA140" s="173">
        <f t="shared" si="329"/>
        <v>1.1340454619225329</v>
      </c>
      <c r="AB140" s="173">
        <f t="shared" si="330"/>
        <v>1.2428481277128491</v>
      </c>
      <c r="AC140" s="173"/>
      <c r="AD140" s="173">
        <f t="shared" si="331"/>
        <v>0.54520019074594384</v>
      </c>
      <c r="AE140" s="545">
        <f t="shared" si="332"/>
        <v>825.38489097795298</v>
      </c>
      <c r="AF140" s="528">
        <f t="shared" si="333"/>
        <v>0.31803344460180061</v>
      </c>
      <c r="AH140" s="173">
        <f t="shared" si="334"/>
        <v>5.3167167691769528</v>
      </c>
      <c r="AI140" s="173">
        <f t="shared" si="335"/>
        <v>5.3167167691769528</v>
      </c>
      <c r="AJ140" s="173">
        <f t="shared" si="336"/>
        <v>2.6691729154397184</v>
      </c>
      <c r="AL140" s="545">
        <f t="shared" si="337"/>
        <v>750</v>
      </c>
      <c r="AM140" s="460">
        <f t="shared" si="338"/>
        <v>350</v>
      </c>
      <c r="AO140" s="460">
        <f t="shared" si="339"/>
        <v>750</v>
      </c>
      <c r="AP140" s="460">
        <f t="shared" si="340"/>
        <v>350</v>
      </c>
      <c r="AR140" s="5">
        <f t="shared" si="442"/>
        <v>2.8571428571428572</v>
      </c>
      <c r="AS140" s="5">
        <f t="shared" si="439"/>
        <v>1.3212960601946706</v>
      </c>
      <c r="AT140" s="5">
        <f t="shared" si="440"/>
        <v>1.5358467969481866</v>
      </c>
      <c r="AU140" s="173">
        <f t="shared" si="441"/>
        <v>0.4624536210681347</v>
      </c>
      <c r="AW140" s="5">
        <f t="shared" si="341"/>
        <v>3.5391858755214392</v>
      </c>
      <c r="AX140" s="5">
        <f t="shared" si="342"/>
        <v>0.3303240150486676</v>
      </c>
      <c r="AY140" s="5">
        <f t="shared" si="343"/>
        <v>1.218141985371372</v>
      </c>
      <c r="AZ140" s="5"/>
      <c r="BA140" s="173">
        <f t="shared" si="344"/>
        <v>2.0874543660710843</v>
      </c>
      <c r="BB140" s="173">
        <f t="shared" si="345"/>
        <v>2.2505614123561641</v>
      </c>
      <c r="BC140" s="173">
        <f t="shared" si="346"/>
        <v>0.22690086370476084</v>
      </c>
      <c r="BD140" s="173"/>
      <c r="BE140" s="528">
        <f t="shared" si="347"/>
        <v>5.2289588765150788E-2</v>
      </c>
      <c r="BF140" s="528">
        <f t="shared" si="348"/>
        <v>1.6181440188487455</v>
      </c>
      <c r="BG140" s="528">
        <f t="shared" si="349"/>
        <v>4.0250000000000001E-2</v>
      </c>
      <c r="BH140" s="528">
        <f t="shared" si="350"/>
        <v>0.39134496163050764</v>
      </c>
      <c r="BI140">
        <f t="shared" si="351"/>
        <v>8.5104741515330887E-3</v>
      </c>
      <c r="BJ140" s="460">
        <f t="shared" si="435"/>
        <v>48.760474151533089</v>
      </c>
      <c r="BK140">
        <f t="shared" si="352"/>
        <v>2.1020121706419679</v>
      </c>
      <c r="BL140" s="460">
        <f t="shared" si="436"/>
        <v>2110.5390433959369</v>
      </c>
      <c r="BM140" s="173">
        <f t="shared" si="353"/>
        <v>0.5029499999999999</v>
      </c>
      <c r="BN140" s="173">
        <f t="shared" si="354"/>
        <v>5.0294999999999999E-2</v>
      </c>
      <c r="BO140" s="528"/>
      <c r="BQ140" s="460">
        <f t="shared" si="355"/>
        <v>553.24499999999989</v>
      </c>
      <c r="BR140" s="528">
        <f t="shared" si="356"/>
        <v>6.1004520226009253E-2</v>
      </c>
      <c r="BS140" s="528">
        <f t="shared" si="357"/>
        <v>7.0910373391012013E-2</v>
      </c>
      <c r="BT140" s="528">
        <f t="shared" si="358"/>
        <v>2.574200097498323E-4</v>
      </c>
      <c r="BU140" s="528">
        <f t="shared" si="359"/>
        <v>7.4687672978583883</v>
      </c>
      <c r="BV140" s="528"/>
      <c r="BW140" s="625">
        <f t="shared" si="360"/>
        <v>0.98936170212765961</v>
      </c>
      <c r="BX140" s="460">
        <f t="shared" si="361"/>
        <v>8590.3013136128193</v>
      </c>
      <c r="BY140" s="173">
        <f t="shared" si="362"/>
        <v>11.254085357008757</v>
      </c>
      <c r="BZ140" s="5">
        <f t="shared" si="363"/>
        <v>23.25</v>
      </c>
      <c r="CA140" s="173">
        <f t="shared" si="364"/>
        <v>0.67383325074221301</v>
      </c>
      <c r="CB140" s="5">
        <f t="shared" si="365"/>
        <v>67.383325074221304</v>
      </c>
      <c r="CC140">
        <f t="shared" si="366"/>
        <v>30</v>
      </c>
      <c r="CE140" s="562">
        <f t="shared" si="367"/>
        <v>-50</v>
      </c>
      <c r="CF140">
        <f t="shared" si="368"/>
        <v>-50</v>
      </c>
      <c r="CG140" s="173">
        <f t="shared" si="369"/>
        <v>0.29476058558922263</v>
      </c>
      <c r="CH140" s="173">
        <f t="shared" si="370"/>
        <v>9.5586509653499699E-2</v>
      </c>
      <c r="CI140" s="170">
        <v>30</v>
      </c>
      <c r="CJ140" s="217">
        <f t="shared" si="437"/>
        <v>0.75</v>
      </c>
      <c r="CK140" s="217">
        <f t="shared" si="371"/>
        <v>7.4999999999999997E-2</v>
      </c>
      <c r="CL140" s="217">
        <f t="shared" si="372"/>
        <v>21</v>
      </c>
      <c r="CM140" s="217">
        <f t="shared" si="373"/>
        <v>2.25</v>
      </c>
      <c r="CN140" s="541">
        <f t="shared" si="374"/>
        <v>19</v>
      </c>
      <c r="CO140" s="443">
        <f t="shared" si="375"/>
        <v>28.7</v>
      </c>
      <c r="CP140" s="443">
        <f t="shared" si="376"/>
        <v>47.7</v>
      </c>
      <c r="CQ140" s="443"/>
      <c r="CR140" s="217">
        <f t="shared" si="377"/>
        <v>0.59915611814345993</v>
      </c>
      <c r="CS140" s="172">
        <f t="shared" si="378"/>
        <v>85.685767433419556</v>
      </c>
      <c r="CT140" s="172">
        <f t="shared" si="379"/>
        <v>10.164255575647982</v>
      </c>
      <c r="CU140" s="217">
        <f t="shared" si="380"/>
        <v>3.0602059797649841</v>
      </c>
      <c r="CV140" s="217">
        <f t="shared" si="381"/>
        <v>2.8561922477806521</v>
      </c>
      <c r="CW140" s="217">
        <f t="shared" si="382"/>
        <v>28</v>
      </c>
      <c r="CX140" s="217">
        <f t="shared" si="383"/>
        <v>4.084692364714603</v>
      </c>
      <c r="CY140" s="217">
        <f t="shared" si="384"/>
        <v>1.0104239007451912</v>
      </c>
      <c r="CZ140" s="217">
        <f t="shared" si="385"/>
        <v>0.66892174613793154</v>
      </c>
      <c r="DA140" s="197">
        <f t="shared" si="386"/>
        <v>350</v>
      </c>
      <c r="DB140" s="443">
        <f t="shared" si="387"/>
        <v>350</v>
      </c>
      <c r="DD140" s="217">
        <f t="shared" si="388"/>
        <v>6.9494625094785683</v>
      </c>
      <c r="DE140" s="173">
        <f t="shared" si="389"/>
        <v>1.1380652890086853</v>
      </c>
      <c r="DF140" s="173">
        <f t="shared" si="390"/>
        <v>1.2501230996965573</v>
      </c>
      <c r="DG140" s="173"/>
      <c r="DH140" s="173">
        <f t="shared" si="391"/>
        <v>0.54587688734030204</v>
      </c>
      <c r="DI140" s="545">
        <f t="shared" si="392"/>
        <v>824.36170212765956</v>
      </c>
      <c r="DJ140" s="528">
        <f t="shared" si="393"/>
        <v>0.31842818428184283</v>
      </c>
      <c r="DL140" s="173">
        <f t="shared" si="394"/>
        <v>5.3167167691769528</v>
      </c>
      <c r="DM140" s="173">
        <f t="shared" si="395"/>
        <v>5.3167167691769528</v>
      </c>
      <c r="DN140" s="173">
        <f t="shared" si="396"/>
        <v>2.6691729154397184</v>
      </c>
      <c r="DP140" s="545">
        <f t="shared" si="397"/>
        <v>750</v>
      </c>
      <c r="DQ140" s="460">
        <f t="shared" si="398"/>
        <v>350</v>
      </c>
      <c r="DS140" s="460">
        <f t="shared" si="399"/>
        <v>750</v>
      </c>
      <c r="DT140" s="460">
        <f t="shared" si="400"/>
        <v>350</v>
      </c>
      <c r="DV140" s="5">
        <f t="shared" si="401"/>
        <v>2.8571428571428572</v>
      </c>
      <c r="DW140" s="5">
        <f t="shared" si="402"/>
        <v>1.3151878323753514</v>
      </c>
      <c r="DX140" s="5">
        <f t="shared" si="403"/>
        <v>1.5419550247675058</v>
      </c>
      <c r="DY140" s="173">
        <f t="shared" si="404"/>
        <v>0.46031574133137299</v>
      </c>
      <c r="EA140" s="5">
        <f t="shared" si="405"/>
        <v>3.5228245510054053</v>
      </c>
      <c r="EB140" s="5">
        <f t="shared" si="406"/>
        <v>0.32879695809383785</v>
      </c>
      <c r="EC140" s="5">
        <f t="shared" si="407"/>
        <v>1.2173329142901361</v>
      </c>
      <c r="ED140" s="5"/>
      <c r="EE140" s="173">
        <f t="shared" si="408"/>
        <v>2.0826237237808662</v>
      </c>
      <c r="EF140" s="173">
        <f t="shared" si="409"/>
        <v>2.2550323337728271</v>
      </c>
      <c r="EG140" s="173">
        <f t="shared" si="410"/>
        <v>0.22735162053611291</v>
      </c>
      <c r="EH140" s="173"/>
      <c r="EI140" s="528">
        <f t="shared" si="411"/>
        <v>5.2047858898258588E-2</v>
      </c>
      <c r="EJ140" s="528">
        <f t="shared" si="412"/>
        <v>1.6864891427667754</v>
      </c>
      <c r="EK140" s="528">
        <f t="shared" si="413"/>
        <v>4.0250000000000001E-2</v>
      </c>
      <c r="EL140" s="528">
        <f t="shared" si="414"/>
        <v>0.39220311375000005</v>
      </c>
      <c r="EM140">
        <f t="shared" si="415"/>
        <v>8.5500000000000003E-3</v>
      </c>
      <c r="EN140" s="460">
        <f t="shared" si="416"/>
        <v>48.800000000000004</v>
      </c>
      <c r="EP140" s="460">
        <f t="shared" si="438"/>
        <v>2179.5401154150341</v>
      </c>
      <c r="EQ140" s="173">
        <f t="shared" si="417"/>
        <v>0.52499999999999991</v>
      </c>
      <c r="ER140" s="173">
        <f t="shared" si="418"/>
        <v>3.5924999999999999E-2</v>
      </c>
      <c r="ES140" s="528"/>
      <c r="EU140" s="460">
        <f t="shared" si="419"/>
        <v>560.92499999999984</v>
      </c>
      <c r="EV140" s="528">
        <f t="shared" si="420"/>
        <v>6.0722502047968349E-2</v>
      </c>
      <c r="EW140" s="528">
        <f t="shared" si="421"/>
        <v>7.1192391569052924E-2</v>
      </c>
      <c r="EX140" s="528">
        <f t="shared" si="422"/>
        <v>2.5844379680198341E-4</v>
      </c>
      <c r="EY140" s="528">
        <f t="shared" si="423"/>
        <v>7.4687672978583883</v>
      </c>
      <c r="EZ140" s="528"/>
      <c r="FA140" s="625">
        <f t="shared" si="424"/>
        <v>0.98936170212765961</v>
      </c>
      <c r="FB140" s="460">
        <f t="shared" si="425"/>
        <v>8590.3023373998712</v>
      </c>
      <c r="FC140" s="173">
        <f t="shared" si="426"/>
        <v>11.330767452814905</v>
      </c>
      <c r="FD140" s="5">
        <f t="shared" si="427"/>
        <v>23.25</v>
      </c>
      <c r="FE140" s="173">
        <f t="shared" si="428"/>
        <v>0.67233904024034119</v>
      </c>
      <c r="FF140" s="5">
        <f t="shared" si="429"/>
        <v>67.233904024034118</v>
      </c>
      <c r="FG140">
        <f t="shared" si="430"/>
        <v>30</v>
      </c>
      <c r="FI140" s="562">
        <f t="shared" si="431"/>
        <v>-50</v>
      </c>
      <c r="FJ140">
        <f t="shared" si="432"/>
        <v>-50</v>
      </c>
    </row>
    <row r="141" spans="5:166">
      <c r="E141" s="170">
        <v>31</v>
      </c>
      <c r="F141" s="217">
        <f t="shared" si="433"/>
        <v>0.77500000000000002</v>
      </c>
      <c r="G141" s="217">
        <f t="shared" si="312"/>
        <v>7.7499999999999999E-2</v>
      </c>
      <c r="H141" s="217">
        <f t="shared" si="313"/>
        <v>21.7</v>
      </c>
      <c r="I141" s="217">
        <f t="shared" si="314"/>
        <v>2.3250000000000002</v>
      </c>
      <c r="J141" s="541">
        <f t="shared" si="315"/>
        <v>18.910712861024187</v>
      </c>
      <c r="K141" s="443">
        <f t="shared" si="316"/>
        <v>28.736210965777691</v>
      </c>
      <c r="L141" s="172">
        <f t="shared" si="317"/>
        <v>47.646923826801881</v>
      </c>
      <c r="M141" s="443"/>
      <c r="N141" s="217">
        <f t="shared" si="318"/>
        <v>0.60310737100751255</v>
      </c>
      <c r="O141" s="172">
        <f t="shared" si="319"/>
        <v>85.845518518743845</v>
      </c>
      <c r="P141" s="172">
        <f t="shared" si="320"/>
        <v>10.183205640616299</v>
      </c>
      <c r="Q141" s="217">
        <f t="shared" si="321"/>
        <v>3.065911375669423</v>
      </c>
      <c r="R141" s="217">
        <f t="shared" si="322"/>
        <v>2.8615172839581282</v>
      </c>
      <c r="S141" s="217">
        <f t="shared" si="323"/>
        <v>28</v>
      </c>
      <c r="T141" s="217">
        <f t="shared" si="324"/>
        <v>4.2129941423523345</v>
      </c>
      <c r="U141" s="217">
        <f t="shared" si="325"/>
        <v>1.0470822868801977</v>
      </c>
      <c r="V141" s="217">
        <f t="shared" si="326"/>
        <v>0.68906344307665734</v>
      </c>
      <c r="W141" s="197">
        <f t="shared" si="327"/>
        <v>350</v>
      </c>
      <c r="X141" s="443">
        <f t="shared" si="434"/>
        <v>350</v>
      </c>
      <c r="Z141" s="217">
        <f t="shared" si="328"/>
        <v>6.9332463936110962</v>
      </c>
      <c r="AA141" s="173">
        <f t="shared" si="329"/>
        <v>1.1339789399785354</v>
      </c>
      <c r="AB141" s="173">
        <f t="shared" si="330"/>
        <v>1.2427277884058663</v>
      </c>
      <c r="AC141" s="173"/>
      <c r="AD141" s="173">
        <f t="shared" si="331"/>
        <v>0.54518901901591321</v>
      </c>
      <c r="AE141" s="545">
        <f t="shared" si="332"/>
        <v>852.91519781403997</v>
      </c>
      <c r="AF141" s="528">
        <f t="shared" si="333"/>
        <v>0.31802692775928271</v>
      </c>
      <c r="AH141" s="173">
        <f t="shared" si="334"/>
        <v>5.4046023390966518</v>
      </c>
      <c r="AI141" s="173">
        <f t="shared" si="335"/>
        <v>5.4046023390966518</v>
      </c>
      <c r="AJ141" s="173">
        <f t="shared" si="336"/>
        <v>2.7342733376024579</v>
      </c>
      <c r="AL141" s="545">
        <f t="shared" si="337"/>
        <v>775</v>
      </c>
      <c r="AM141" s="460">
        <f t="shared" si="338"/>
        <v>350</v>
      </c>
      <c r="AO141" s="460">
        <f t="shared" si="339"/>
        <v>775</v>
      </c>
      <c r="AP141" s="460">
        <f t="shared" si="340"/>
        <v>350</v>
      </c>
      <c r="AR141" s="5">
        <f t="shared" si="442"/>
        <v>2.8571428571428572</v>
      </c>
      <c r="AS141" s="5">
        <f t="shared" si="439"/>
        <v>1.3432402670609074</v>
      </c>
      <c r="AT141" s="5">
        <f t="shared" si="440"/>
        <v>1.5139025900819498</v>
      </c>
      <c r="AU141" s="173">
        <f t="shared" si="441"/>
        <v>0.47013409347131757</v>
      </c>
      <c r="AW141" s="5">
        <f t="shared" si="341"/>
        <v>3.7178971677578687</v>
      </c>
      <c r="AX141" s="5">
        <f t="shared" si="342"/>
        <v>0.34700373565740106</v>
      </c>
      <c r="AY141" s="5">
        <f t="shared" si="343"/>
        <v>1.2408569850708075</v>
      </c>
      <c r="AZ141" s="5"/>
      <c r="BA141" s="173">
        <f t="shared" si="344"/>
        <v>2.1395083751636736</v>
      </c>
      <c r="BB141" s="173">
        <f t="shared" si="345"/>
        <v>2.2713606921536766</v>
      </c>
      <c r="BC141" s="173">
        <f t="shared" si="346"/>
        <v>0.22899784027451001</v>
      </c>
      <c r="BD141" s="173"/>
      <c r="BE141" s="528">
        <f t="shared" si="347"/>
        <v>5.4929953048746039E-2</v>
      </c>
      <c r="BF141" s="528">
        <f t="shared" si="348"/>
        <v>1.6448622177270342</v>
      </c>
      <c r="BG141" s="528">
        <f t="shared" si="349"/>
        <v>4.0250000000000001E-2</v>
      </c>
      <c r="BH141" s="528">
        <f t="shared" si="350"/>
        <v>0.39133078423332335</v>
      </c>
      <c r="BI141">
        <f t="shared" si="351"/>
        <v>8.5098207874608842E-3</v>
      </c>
      <c r="BJ141" s="460">
        <f t="shared" si="435"/>
        <v>48.759820787460882</v>
      </c>
      <c r="BK141">
        <f t="shared" si="352"/>
        <v>2.1338030676031914</v>
      </c>
      <c r="BL141" s="460">
        <f t="shared" si="436"/>
        <v>2139.8827757965646</v>
      </c>
      <c r="BM141" s="173">
        <f t="shared" si="353"/>
        <v>0.51971499999999993</v>
      </c>
      <c r="BN141" s="173">
        <f t="shared" si="354"/>
        <v>5.1971499999999997E-2</v>
      </c>
      <c r="BO141" s="528"/>
      <c r="BQ141" s="460">
        <f t="shared" si="355"/>
        <v>571.68649999999991</v>
      </c>
      <c r="BR141" s="528">
        <f t="shared" si="356"/>
        <v>6.4084945223537054E-2</v>
      </c>
      <c r="BS141" s="528">
        <f t="shared" si="357"/>
        <v>7.2227111514051603E-2</v>
      </c>
      <c r="BT141" s="528">
        <f t="shared" si="358"/>
        <v>2.6220005425194997E-4</v>
      </c>
      <c r="BU141" s="528">
        <f t="shared" si="359"/>
        <v>7.7812519455003404</v>
      </c>
      <c r="BV141" s="528"/>
      <c r="BW141" s="625">
        <f t="shared" si="360"/>
        <v>1.0223404255319151</v>
      </c>
      <c r="BX141" s="460">
        <f t="shared" si="361"/>
        <v>8940.1666278240955</v>
      </c>
      <c r="BY141" s="173">
        <f t="shared" si="362"/>
        <v>11.651735903620661</v>
      </c>
      <c r="BZ141" s="5">
        <f t="shared" si="363"/>
        <v>24.024999999999999</v>
      </c>
      <c r="CA141" s="173">
        <f t="shared" si="364"/>
        <v>0.67340801761973457</v>
      </c>
      <c r="CB141" s="5">
        <f t="shared" si="365"/>
        <v>67.340801761973452</v>
      </c>
      <c r="CC141">
        <f t="shared" si="366"/>
        <v>31</v>
      </c>
      <c r="CE141" s="562">
        <f t="shared" si="367"/>
        <v>-50</v>
      </c>
      <c r="CF141">
        <f t="shared" si="368"/>
        <v>-50</v>
      </c>
      <c r="CG141" s="173">
        <f t="shared" si="369"/>
        <v>0.29963299147033995</v>
      </c>
      <c r="CH141" s="173">
        <f t="shared" si="370"/>
        <v>9.7166559003924846E-2</v>
      </c>
      <c r="CI141" s="170">
        <v>31</v>
      </c>
      <c r="CJ141" s="217">
        <f t="shared" si="437"/>
        <v>0.77500000000000002</v>
      </c>
      <c r="CK141" s="217">
        <f t="shared" si="371"/>
        <v>7.7499999999999999E-2</v>
      </c>
      <c r="CL141" s="217">
        <f t="shared" si="372"/>
        <v>21.7</v>
      </c>
      <c r="CM141" s="217">
        <f t="shared" si="373"/>
        <v>2.3250000000000002</v>
      </c>
      <c r="CN141" s="541">
        <f t="shared" si="374"/>
        <v>19</v>
      </c>
      <c r="CO141" s="443">
        <f t="shared" si="375"/>
        <v>28.7</v>
      </c>
      <c r="CP141" s="443">
        <f t="shared" si="376"/>
        <v>47.7</v>
      </c>
      <c r="CQ141" s="443"/>
      <c r="CR141" s="217">
        <f t="shared" si="377"/>
        <v>0.59915611814345993</v>
      </c>
      <c r="CS141" s="172">
        <f t="shared" si="378"/>
        <v>85.685767433419556</v>
      </c>
      <c r="CT141" s="172">
        <f t="shared" si="379"/>
        <v>10.164255575647982</v>
      </c>
      <c r="CU141" s="217">
        <f t="shared" si="380"/>
        <v>3.0602059797649841</v>
      </c>
      <c r="CV141" s="217">
        <f t="shared" si="381"/>
        <v>2.8561922477806521</v>
      </c>
      <c r="CW141" s="217">
        <f t="shared" si="382"/>
        <v>28</v>
      </c>
      <c r="CX141" s="217">
        <f t="shared" si="383"/>
        <v>4.2208487768717564</v>
      </c>
      <c r="CY141" s="217">
        <f t="shared" si="384"/>
        <v>1.0441046974366976</v>
      </c>
      <c r="CZ141" s="217">
        <f t="shared" si="385"/>
        <v>0.69121913767586263</v>
      </c>
      <c r="DA141" s="197">
        <f t="shared" si="386"/>
        <v>350</v>
      </c>
      <c r="DB141" s="443">
        <f t="shared" si="387"/>
        <v>350</v>
      </c>
      <c r="DD141" s="217">
        <f t="shared" si="388"/>
        <v>6.9494625094785683</v>
      </c>
      <c r="DE141" s="173">
        <f t="shared" si="389"/>
        <v>1.1380652890086853</v>
      </c>
      <c r="DF141" s="173">
        <f t="shared" si="390"/>
        <v>1.2501230996965573</v>
      </c>
      <c r="DG141" s="173"/>
      <c r="DH141" s="173">
        <f t="shared" si="391"/>
        <v>0.54587688734030204</v>
      </c>
      <c r="DI141" s="545">
        <f t="shared" si="392"/>
        <v>851.84042553191489</v>
      </c>
      <c r="DJ141" s="528">
        <f t="shared" si="393"/>
        <v>0.31842818428184283</v>
      </c>
      <c r="DL141" s="173">
        <f t="shared" si="394"/>
        <v>5.4046023390966518</v>
      </c>
      <c r="DM141" s="173">
        <f t="shared" si="395"/>
        <v>5.4046023390966518</v>
      </c>
      <c r="DN141" s="173">
        <f t="shared" si="396"/>
        <v>2.7342733376024579</v>
      </c>
      <c r="DP141" s="545">
        <f t="shared" si="397"/>
        <v>775</v>
      </c>
      <c r="DQ141" s="460">
        <f t="shared" si="398"/>
        <v>350</v>
      </c>
      <c r="DS141" s="460">
        <f t="shared" si="399"/>
        <v>775</v>
      </c>
      <c r="DT141" s="460">
        <f t="shared" si="400"/>
        <v>350</v>
      </c>
      <c r="DV141" s="5">
        <f t="shared" si="401"/>
        <v>2.8571428571428572</v>
      </c>
      <c r="DW141" s="5">
        <f t="shared" si="402"/>
        <v>1.336927947039698</v>
      </c>
      <c r="DX141" s="5">
        <f t="shared" si="403"/>
        <v>1.5202149101031592</v>
      </c>
      <c r="DY141" s="173">
        <f t="shared" si="404"/>
        <v>0.46792478146389427</v>
      </c>
      <c r="EA141" s="5">
        <f t="shared" si="405"/>
        <v>3.7004255676991638</v>
      </c>
      <c r="EB141" s="5">
        <f t="shared" si="406"/>
        <v>0.34537305298525534</v>
      </c>
      <c r="EC141" s="5">
        <f t="shared" si="407"/>
        <v>1.2401753213999456</v>
      </c>
      <c r="ED141" s="5"/>
      <c r="EE141" s="173">
        <f t="shared" si="408"/>
        <v>2.1344753346603893</v>
      </c>
      <c r="EF141" s="173">
        <f t="shared" si="409"/>
        <v>2.2760910629811697</v>
      </c>
      <c r="EG141" s="173">
        <f t="shared" si="410"/>
        <v>0.22947475471039666</v>
      </c>
      <c r="EH141" s="173"/>
      <c r="EI141" s="528">
        <f t="shared" si="411"/>
        <v>5.4671819451282966E-2</v>
      </c>
      <c r="EJ141" s="528">
        <f t="shared" si="412"/>
        <v>1.7143668849731535</v>
      </c>
      <c r="EK141" s="528">
        <f t="shared" si="413"/>
        <v>4.0250000000000001E-2</v>
      </c>
      <c r="EL141" s="528">
        <f t="shared" si="414"/>
        <v>0.39220311375000005</v>
      </c>
      <c r="EM141">
        <f t="shared" si="415"/>
        <v>8.5500000000000003E-3</v>
      </c>
      <c r="EN141" s="460">
        <f t="shared" si="416"/>
        <v>48.800000000000004</v>
      </c>
      <c r="EP141" s="460">
        <f t="shared" si="438"/>
        <v>2210.0418181744367</v>
      </c>
      <c r="EQ141" s="173">
        <f t="shared" si="417"/>
        <v>0.54249999999999998</v>
      </c>
      <c r="ER141" s="173">
        <f t="shared" si="418"/>
        <v>3.7122499999999996E-2</v>
      </c>
      <c r="ES141" s="528"/>
      <c r="EU141" s="460">
        <f t="shared" si="419"/>
        <v>579.62249999999995</v>
      </c>
      <c r="EV141" s="528">
        <f t="shared" si="420"/>
        <v>6.3783789359830131E-2</v>
      </c>
      <c r="EW141" s="528">
        <f t="shared" si="421"/>
        <v>7.2528267377758512E-2</v>
      </c>
      <c r="EX141" s="528">
        <f t="shared" si="422"/>
        <v>2.6329331524698358E-4</v>
      </c>
      <c r="EY141" s="528">
        <f t="shared" si="423"/>
        <v>7.7812519455003404</v>
      </c>
      <c r="EZ141" s="528"/>
      <c r="FA141" s="625">
        <f t="shared" si="424"/>
        <v>1.0223404255319151</v>
      </c>
      <c r="FB141" s="460">
        <f t="shared" si="425"/>
        <v>8940.1677210850903</v>
      </c>
      <c r="FC141" s="173">
        <f t="shared" si="426"/>
        <v>11.729832039259527</v>
      </c>
      <c r="FD141" s="5">
        <f t="shared" si="427"/>
        <v>24.024999999999999</v>
      </c>
      <c r="FE141" s="173">
        <f t="shared" si="428"/>
        <v>0.6719371517007845</v>
      </c>
      <c r="FF141" s="5">
        <f t="shared" si="429"/>
        <v>67.193715170078448</v>
      </c>
      <c r="FG141">
        <f t="shared" si="430"/>
        <v>31</v>
      </c>
      <c r="FI141" s="562">
        <f t="shared" si="431"/>
        <v>-50</v>
      </c>
      <c r="FJ141">
        <f t="shared" si="432"/>
        <v>-50</v>
      </c>
    </row>
    <row r="142" spans="5:166">
      <c r="E142" s="170">
        <v>32</v>
      </c>
      <c r="F142" s="217">
        <f t="shared" si="433"/>
        <v>0.8</v>
      </c>
      <c r="G142" s="217">
        <f t="shared" ref="G142:G173" si="443">IF(PLOT_TYPE=1, E142/100*Iout2, min_I*EXP(Q142*rr/100))</f>
        <v>0.08</v>
      </c>
      <c r="H142" s="217">
        <f t="shared" ref="H142:H173" si="444">F142*Vout</f>
        <v>22.400000000000002</v>
      </c>
      <c r="I142" s="217">
        <f t="shared" ref="I142:I173" si="445">Vout2*G142</f>
        <v>2.4</v>
      </c>
      <c r="J142" s="541">
        <f t="shared" ref="J142:J173" si="446">VIN_min-(F142/CG142/Nps+G142/CH142/(Nps/Nsec1sec2))*(Rdcr_pri+RON/1000)</f>
        <v>18.909284176084704</v>
      </c>
      <c r="K142" s="443">
        <f t="shared" ref="K142:K173" si="447">MAX((S142+Vfwd2+Rdcr_sec*F142/CG142)*Nps,(Vout2+Vfwd22+Rdcr_sec2*G142/CH142)*Nps/Nsec1sec2)</f>
        <v>28.73679037802053</v>
      </c>
      <c r="L142" s="172">
        <f t="shared" ref="L142:L173" si="448">MAX((Vout+Vfwd2+F142/CG142*Rdcr_sec)*Nps+J142, (Vout2+Vfwd22+G142/CH142*Rdcr_sec2)*Nps/Nsec1sec2+J142)</f>
        <v>47.646074554105233</v>
      </c>
      <c r="M142" s="443"/>
      <c r="N142" s="217">
        <f t="shared" ref="N142:N173" si="449">MAX((Vout+Vfwd2+F142/CG142*Rdcr_sec)*Nps/((Vout+Vfwd2+F142/CG142*Rdcr_sec)*Nps+J142), (Vout2+Vfwd22+G142/CH142*Rdcr_sec2)*Nps/Nsec1sec2/((Vout2+Vfwd22+G142/CH142*Rdcr_sec2)*Nps/Nsec1sec2+J142))</f>
        <v>0.60313028191625784</v>
      </c>
      <c r="O142" s="172">
        <f t="shared" ref="O142:O173" si="450">N142*J142*Isw_max*0.5*Efficiency*Pout/(Pout+Pout2)</f>
        <v>85.842293840533557</v>
      </c>
      <c r="P142" s="172">
        <f t="shared" ref="P142:P173" si="451">N142*J142*Isw_max*0.5*Efficiency*(Pout2/Pout_total)</f>
        <v>10.182823121389822</v>
      </c>
      <c r="Q142" s="217">
        <f t="shared" si="321"/>
        <v>3.0657962085904842</v>
      </c>
      <c r="R142" s="217">
        <f t="shared" ref="R142:R173" si="452">O142/Vout2</f>
        <v>2.8614097946844521</v>
      </c>
      <c r="S142" s="217">
        <f t="shared" ref="S142:S173" si="453">MIN(Vout,O142/F142)</f>
        <v>28</v>
      </c>
      <c r="T142" s="217">
        <f t="shared" ref="T142:T173" si="454">MIN(2*(Vout*F142+Vout2*G142)/(Efficiency*J142*N142), Isw_max)</f>
        <v>4.3490605461552851</v>
      </c>
      <c r="U142" s="217">
        <f t="shared" si="325"/>
        <v>1.0809814045093167</v>
      </c>
      <c r="V142" s="217">
        <f t="shared" si="326"/>
        <v>0.71130367372425551</v>
      </c>
      <c r="W142" s="197">
        <f t="shared" si="327"/>
        <v>350</v>
      </c>
      <c r="X142" s="443">
        <f t="shared" si="434"/>
        <v>350</v>
      </c>
      <c r="Z142" s="217">
        <f t="shared" si="328"/>
        <v>6.9329859549888155</v>
      </c>
      <c r="AA142" s="173">
        <f t="shared" si="329"/>
        <v>1.1339134802392634</v>
      </c>
      <c r="AB142" s="173">
        <f t="shared" ref="AB142:AB173" si="455">0.5*AA142*Z142*Nps*W142/1000*(Pout/(Pout+Pout2))</f>
        <v>1.2426093722609475</v>
      </c>
      <c r="AC142" s="173"/>
      <c r="AD142" s="173">
        <f t="shared" si="331"/>
        <v>0.5451780265150763</v>
      </c>
      <c r="AE142" s="545">
        <f t="shared" ref="AE142:AE173" si="456">MAX(10, F142/(0.5*AD142/1000000*Isw_min*Nps)/1000*Pout_total/Pout)</f>
        <v>880.44634349679927</v>
      </c>
      <c r="AF142" s="528">
        <f t="shared" ref="AF142:AF173" si="457">0.5*AD142/1000000*Isw_min*Nps*W142*1000*(Pout/Pout_total)</f>
        <v>0.3180205154671279</v>
      </c>
      <c r="AH142" s="173">
        <f t="shared" ref="AH142:AH173" si="458">SQRT((H142+I142)/(0.5*L*Fsw_DCM))</f>
        <v>5.4910814676064108</v>
      </c>
      <c r="AI142" s="173">
        <f t="shared" ref="AI142:AI173" si="459">MAX(IF(F142&gt;AB142,T142,AH142),Isw_min)</f>
        <v>5.4910814676064108</v>
      </c>
      <c r="AJ142" s="173">
        <f t="shared" ref="AJ142:AJ173" si="460">IF(F142&gt;AF142, (AI142-Isw_min)/1.08*0.8+1.2, AE142*0.2/350+1)</f>
        <v>2.7983319513133909</v>
      </c>
      <c r="AL142" s="545">
        <f t="shared" ref="AL142:AL173" si="461">F142*1000</f>
        <v>800</v>
      </c>
      <c r="AM142" s="460">
        <f t="shared" ref="AM142:AM173" si="462">IF(F142&gt;AF142, X142, AE142)</f>
        <v>350</v>
      </c>
      <c r="AO142" s="460">
        <f t="shared" si="339"/>
        <v>800</v>
      </c>
      <c r="AP142" s="460">
        <f t="shared" si="340"/>
        <v>350</v>
      </c>
      <c r="AR142" s="5">
        <f t="shared" si="442"/>
        <v>2.8571428571428572</v>
      </c>
      <c r="AS142" s="5">
        <f t="shared" si="439"/>
        <v>1.3648365880708802</v>
      </c>
      <c r="AT142" s="5">
        <f t="shared" si="440"/>
        <v>1.4923062690719771</v>
      </c>
      <c r="AU142" s="173">
        <f t="shared" si="441"/>
        <v>0.47769280582480805</v>
      </c>
      <c r="AW142" s="5">
        <f t="shared" si="341"/>
        <v>3.8995331087739431</v>
      </c>
      <c r="AX142" s="5">
        <f t="shared" si="342"/>
        <v>0.36395642348556806</v>
      </c>
      <c r="AY142" s="5">
        <f t="shared" si="343"/>
        <v>1.2627077832671034</v>
      </c>
      <c r="AZ142" s="5"/>
      <c r="BA142" s="173">
        <f t="shared" si="344"/>
        <v>2.1911474821501691</v>
      </c>
      <c r="BB142" s="173">
        <f t="shared" si="345"/>
        <v>2.2911855605262166</v>
      </c>
      <c r="BC142" s="173">
        <f t="shared" si="346"/>
        <v>0.23099657700387269</v>
      </c>
      <c r="BD142" s="173"/>
      <c r="BE142" s="528">
        <f t="shared" si="347"/>
        <v>5.7613527462396306E-2</v>
      </c>
      <c r="BF142" s="528">
        <f t="shared" ref="BF142:BF173" si="463">0.5*L142*AI142*AM142*1000*Tfall</f>
        <v>1.6711518967623871</v>
      </c>
      <c r="BG142" s="528">
        <f t="shared" si="349"/>
        <v>4.0250000000000001E-2</v>
      </c>
      <c r="BH142" s="528">
        <f t="shared" si="350"/>
        <v>0.39131683396909672</v>
      </c>
      <c r="BI142">
        <f t="shared" si="351"/>
        <v>8.5091778792381161E-3</v>
      </c>
      <c r="BJ142" s="460">
        <f t="shared" si="435"/>
        <v>48.759177879238116</v>
      </c>
      <c r="BK142">
        <f t="shared" ref="BK142:BK173" si="464">(BF142+BG142*0+BH142+BI142*0+BE142*(1+RdsonTC*(Ta-25)))/(1-BE142*RdsonTC*ThetaJA)</f>
        <v>2.1652783499142676</v>
      </c>
      <c r="BL142" s="460">
        <f t="shared" si="436"/>
        <v>2168.8414360731181</v>
      </c>
      <c r="BM142" s="173">
        <f t="shared" ref="BM142:BM173" si="465">Vfwd2*F142*(1+Diode_TC/1000*(Ta-25))</f>
        <v>0.53647999999999996</v>
      </c>
      <c r="BN142" s="173">
        <f t="shared" ref="BN142:BN173" si="466">Vfwd2*G142*(1+Diode_TC/1000*(Ta-25))</f>
        <v>5.3647999999999994E-2</v>
      </c>
      <c r="BO142" s="528"/>
      <c r="BQ142" s="460">
        <f t="shared" si="355"/>
        <v>590.12799999999993</v>
      </c>
      <c r="BR142" s="528">
        <f t="shared" si="356"/>
        <v>6.7215782039462352E-2</v>
      </c>
      <c r="BS142" s="528">
        <f t="shared" si="357"/>
        <v>7.3493437818693663E-2</v>
      </c>
      <c r="BT142" s="528">
        <f t="shared" si="358"/>
        <v>2.6679709293753043E-4</v>
      </c>
      <c r="BU142" s="528">
        <f t="shared" si="359"/>
        <v>8.0962672050946107</v>
      </c>
      <c r="BV142" s="528"/>
      <c r="BW142" s="625">
        <f t="shared" ref="BW142:BW173" si="467">0.5*Lleak*0.000000001*AI142^2*AM142*1000</f>
        <v>1.0553191489361702</v>
      </c>
      <c r="BX142" s="460">
        <f t="shared" si="361"/>
        <v>9292.5623709818756</v>
      </c>
      <c r="BY142" s="173">
        <f t="shared" si="362"/>
        <v>12.051531807054992</v>
      </c>
      <c r="BZ142" s="5">
        <f t="shared" si="363"/>
        <v>24.8</v>
      </c>
      <c r="CA142" s="173">
        <f t="shared" si="364"/>
        <v>0.67297066862366339</v>
      </c>
      <c r="CB142" s="5">
        <f t="shared" si="365"/>
        <v>67.297066862366336</v>
      </c>
      <c r="CC142">
        <f t="shared" si="366"/>
        <v>32</v>
      </c>
      <c r="CE142" s="562">
        <f t="shared" ref="CE142:CE173" si="468">IF(ABS(F142-Ioutmax_Vinmin)&lt;Iout/200, AM142, -50)</f>
        <v>-50</v>
      </c>
      <c r="CF142">
        <f t="shared" ref="CF142:CF173" si="469">IF(ABS(F142-Ioutmax_Vinmin)&lt;Iout/200, (O142+P142)*CA142, -50)</f>
        <v>-50</v>
      </c>
      <c r="CG142" s="173">
        <f t="shared" si="369"/>
        <v>0.30442742376144138</v>
      </c>
      <c r="CH142" s="173">
        <f t="shared" ref="CH142:CH173" si="470">MIN(SQRT(2*DT142*1000*Ls2_*(CM142+CK142*Vfwd22))/(Vout2+Vfwd22), 1-DY142)</f>
        <v>9.8721322669359679E-2</v>
      </c>
      <c r="CI142" s="170">
        <v>32</v>
      </c>
      <c r="CJ142" s="217">
        <f t="shared" si="437"/>
        <v>0.8</v>
      </c>
      <c r="CK142" s="217">
        <f t="shared" si="371"/>
        <v>0.08</v>
      </c>
      <c r="CL142" s="217">
        <f t="shared" si="372"/>
        <v>22.400000000000002</v>
      </c>
      <c r="CM142" s="217">
        <f t="shared" si="373"/>
        <v>2.4</v>
      </c>
      <c r="CN142" s="541">
        <f t="shared" si="374"/>
        <v>19</v>
      </c>
      <c r="CO142" s="443">
        <f t="shared" ref="CO142:CO173" si="471">(CW142+Vfwd2)*Nps</f>
        <v>28.7</v>
      </c>
      <c r="CP142" s="443">
        <f t="shared" ref="CP142:CP173" si="472">(Vout+Vfwd2)*Nps+CN142</f>
        <v>47.7</v>
      </c>
      <c r="CQ142" s="443"/>
      <c r="CR142" s="217">
        <f t="shared" si="377"/>
        <v>0.59915611814345993</v>
      </c>
      <c r="CS142" s="172">
        <f t="shared" si="378"/>
        <v>85.685767433419556</v>
      </c>
      <c r="CT142" s="172">
        <f t="shared" si="379"/>
        <v>10.164255575647982</v>
      </c>
      <c r="CU142" s="217">
        <f t="shared" si="380"/>
        <v>3.0602059797649841</v>
      </c>
      <c r="CV142" s="217">
        <f t="shared" si="381"/>
        <v>2.8561922477806521</v>
      </c>
      <c r="CW142" s="217">
        <f t="shared" si="382"/>
        <v>28</v>
      </c>
      <c r="CX142" s="217">
        <f t="shared" si="383"/>
        <v>4.3570051890289099</v>
      </c>
      <c r="CY142" s="217">
        <f t="shared" si="384"/>
        <v>1.0777854941282041</v>
      </c>
      <c r="CZ142" s="217">
        <f t="shared" si="385"/>
        <v>0.7135165292137936</v>
      </c>
      <c r="DA142" s="197">
        <f t="shared" si="386"/>
        <v>350</v>
      </c>
      <c r="DB142" s="443">
        <f t="shared" si="387"/>
        <v>350</v>
      </c>
      <c r="DD142" s="217">
        <f t="shared" si="388"/>
        <v>6.9494625094785683</v>
      </c>
      <c r="DE142" s="173">
        <f t="shared" si="389"/>
        <v>1.1380652890086853</v>
      </c>
      <c r="DF142" s="173">
        <f t="shared" si="390"/>
        <v>1.2501230996965573</v>
      </c>
      <c r="DG142" s="173"/>
      <c r="DH142" s="173">
        <f t="shared" si="391"/>
        <v>0.54587688734030204</v>
      </c>
      <c r="DI142" s="545">
        <f t="shared" si="392"/>
        <v>879.31914893617022</v>
      </c>
      <c r="DJ142" s="528">
        <f t="shared" si="393"/>
        <v>0.31842818428184283</v>
      </c>
      <c r="DL142" s="173">
        <f t="shared" si="394"/>
        <v>5.4910814676064108</v>
      </c>
      <c r="DM142" s="173">
        <f t="shared" si="395"/>
        <v>5.4910814676064108</v>
      </c>
      <c r="DN142" s="173">
        <f t="shared" si="396"/>
        <v>2.7983319513133909</v>
      </c>
      <c r="DP142" s="545">
        <f t="shared" si="397"/>
        <v>800</v>
      </c>
      <c r="DQ142" s="460">
        <f t="shared" si="398"/>
        <v>350</v>
      </c>
      <c r="DS142" s="460">
        <f t="shared" si="399"/>
        <v>800</v>
      </c>
      <c r="DT142" s="460">
        <f t="shared" si="400"/>
        <v>350</v>
      </c>
      <c r="DV142" s="5">
        <f t="shared" si="401"/>
        <v>2.8571428571428572</v>
      </c>
      <c r="DW142" s="5">
        <f t="shared" si="402"/>
        <v>1.3583201525131647</v>
      </c>
      <c r="DX142" s="5">
        <f t="shared" si="403"/>
        <v>1.4988227046296925</v>
      </c>
      <c r="DY142" s="173">
        <f t="shared" si="404"/>
        <v>0.47541205337960762</v>
      </c>
      <c r="EA142" s="5">
        <f t="shared" si="405"/>
        <v>3.8809147214661848</v>
      </c>
      <c r="EB142" s="5">
        <f t="shared" si="406"/>
        <v>0.36221870733684391</v>
      </c>
      <c r="EC142" s="5">
        <f t="shared" si="407"/>
        <v>1.2621664881092147</v>
      </c>
      <c r="ED142" s="5"/>
      <c r="EE142" s="173">
        <f t="shared" si="408"/>
        <v>2.1859103880176498</v>
      </c>
      <c r="EF142" s="173">
        <f t="shared" si="409"/>
        <v>2.2961825573881067</v>
      </c>
      <c r="EG142" s="173">
        <f t="shared" si="410"/>
        <v>0.23150037258912884</v>
      </c>
      <c r="EH142" s="173"/>
      <c r="EI142" s="528">
        <f t="shared" si="411"/>
        <v>5.733845069332167E-2</v>
      </c>
      <c r="EJ142" s="528">
        <f t="shared" si="412"/>
        <v>1.7417984969320919</v>
      </c>
      <c r="EK142" s="528">
        <f t="shared" si="413"/>
        <v>4.0250000000000001E-2</v>
      </c>
      <c r="EL142" s="528">
        <f t="shared" si="414"/>
        <v>0.39220311375000005</v>
      </c>
      <c r="EM142">
        <f t="shared" si="415"/>
        <v>8.5500000000000003E-3</v>
      </c>
      <c r="EN142" s="460">
        <f t="shared" si="416"/>
        <v>48.800000000000004</v>
      </c>
      <c r="EP142" s="460">
        <f t="shared" si="438"/>
        <v>2240.1400613754136</v>
      </c>
      <c r="EQ142" s="173">
        <f t="shared" si="417"/>
        <v>0.55999999999999994</v>
      </c>
      <c r="ER142" s="173">
        <f t="shared" ref="ER142:ER173" si="473">Vfwd22*CK142*(1+Diode_TC/1000*(Ta-25))</f>
        <v>3.832E-2</v>
      </c>
      <c r="ES142" s="528"/>
      <c r="EU142" s="460">
        <f t="shared" si="419"/>
        <v>598.31999999999994</v>
      </c>
      <c r="EV142" s="528">
        <f t="shared" si="420"/>
        <v>6.6894859142208621E-2</v>
      </c>
      <c r="EW142" s="528">
        <f t="shared" si="421"/>
        <v>7.3814360715947408E-2</v>
      </c>
      <c r="EX142" s="528">
        <f t="shared" si="422"/>
        <v>2.6796211254452736E-4</v>
      </c>
      <c r="EY142" s="528">
        <f t="shared" si="423"/>
        <v>8.0962672050946107</v>
      </c>
      <c r="EZ142" s="528"/>
      <c r="FA142" s="625">
        <f t="shared" si="424"/>
        <v>1.0553191489361702</v>
      </c>
      <c r="FB142" s="460">
        <f t="shared" si="425"/>
        <v>9292.5635360014821</v>
      </c>
      <c r="FC142" s="173">
        <f t="shared" si="426"/>
        <v>12.131023597376895</v>
      </c>
      <c r="FD142" s="5">
        <f t="shared" si="427"/>
        <v>24.8</v>
      </c>
      <c r="FE142" s="173">
        <f t="shared" si="428"/>
        <v>0.67152214004058841</v>
      </c>
      <c r="FF142" s="5">
        <f t="shared" si="429"/>
        <v>67.152214004058834</v>
      </c>
      <c r="FG142">
        <f t="shared" si="430"/>
        <v>32</v>
      </c>
      <c r="FI142" s="562">
        <f t="shared" si="431"/>
        <v>-50</v>
      </c>
      <c r="FJ142">
        <f t="shared" si="432"/>
        <v>-50</v>
      </c>
    </row>
    <row r="143" spans="5:166">
      <c r="E143" s="170">
        <v>33</v>
      </c>
      <c r="F143" s="217">
        <f t="shared" ref="F143:F174" si="474">IF(PLOT_TYPE=1, E143/100*Iout_max, min_I*EXP(O143*rr/100))</f>
        <v>0.82500000000000007</v>
      </c>
      <c r="G143" s="217">
        <f t="shared" si="443"/>
        <v>8.2500000000000004E-2</v>
      </c>
      <c r="H143" s="217">
        <f t="shared" si="444"/>
        <v>23.1</v>
      </c>
      <c r="I143" s="217">
        <f t="shared" si="445"/>
        <v>2.4750000000000001</v>
      </c>
      <c r="J143" s="541">
        <f t="shared" si="446"/>
        <v>18.907877645325492</v>
      </c>
      <c r="K143" s="443">
        <f t="shared" si="447"/>
        <v>28.737360805494983</v>
      </c>
      <c r="L143" s="172">
        <f t="shared" si="448"/>
        <v>47.645238450820472</v>
      </c>
      <c r="M143" s="443"/>
      <c r="N143" s="217">
        <f t="shared" si="449"/>
        <v>0.60315283835042099</v>
      </c>
      <c r="O143" s="172">
        <f t="shared" si="450"/>
        <v>85.839118798627752</v>
      </c>
      <c r="P143" s="172">
        <f t="shared" si="451"/>
        <v>10.182446490143343</v>
      </c>
      <c r="Q143" s="217">
        <f t="shared" si="321"/>
        <v>3.0656828142367054</v>
      </c>
      <c r="R143" s="217">
        <f t="shared" si="452"/>
        <v>2.8613039599542582</v>
      </c>
      <c r="S143" s="217">
        <f t="shared" si="453"/>
        <v>28</v>
      </c>
      <c r="T143" s="217">
        <f t="shared" si="454"/>
        <v>4.4851345795287303</v>
      </c>
      <c r="U143" s="217">
        <f t="shared" si="325"/>
        <v>1.1148862352087716</v>
      </c>
      <c r="V143" s="217">
        <f t="shared" si="326"/>
        <v>0.7335444847027921</v>
      </c>
      <c r="W143" s="197">
        <f t="shared" si="327"/>
        <v>350</v>
      </c>
      <c r="X143" s="443">
        <f t="shared" si="434"/>
        <v>350</v>
      </c>
      <c r="Z143" s="217">
        <f t="shared" si="328"/>
        <v>6.9327295252039773</v>
      </c>
      <c r="AA143" s="173">
        <f t="shared" si="329"/>
        <v>1.1338490332845115</v>
      </c>
      <c r="AB143" s="173">
        <f t="shared" si="455"/>
        <v>1.2424927898019371</v>
      </c>
      <c r="AC143" s="173"/>
      <c r="AD143" s="173">
        <f t="shared" si="331"/>
        <v>0.54516720490459869</v>
      </c>
      <c r="AE143" s="545">
        <f t="shared" si="456"/>
        <v>907.97831481191599</v>
      </c>
      <c r="AF143" s="528">
        <f t="shared" si="457"/>
        <v>0.31801420286101595</v>
      </c>
      <c r="AH143" s="173">
        <f t="shared" si="458"/>
        <v>5.5762195907274092</v>
      </c>
      <c r="AI143" s="173">
        <f t="shared" si="459"/>
        <v>5.5762195907274092</v>
      </c>
      <c r="AJ143" s="173">
        <f t="shared" si="460"/>
        <v>2.8613972276993156</v>
      </c>
      <c r="AL143" s="545">
        <f t="shared" si="461"/>
        <v>825.00000000000011</v>
      </c>
      <c r="AM143" s="460">
        <f t="shared" si="462"/>
        <v>350</v>
      </c>
      <c r="AO143" s="460">
        <f t="shared" si="339"/>
        <v>825.00000000000011</v>
      </c>
      <c r="AP143" s="460">
        <f t="shared" si="340"/>
        <v>350</v>
      </c>
      <c r="AR143" s="5">
        <f t="shared" si="442"/>
        <v>2.8571428571428572</v>
      </c>
      <c r="AS143" s="5">
        <f t="shared" si="439"/>
        <v>1.3861012096668694</v>
      </c>
      <c r="AT143" s="5">
        <f t="shared" si="440"/>
        <v>1.4710416474759878</v>
      </c>
      <c r="AU143" s="173">
        <f t="shared" si="441"/>
        <v>0.48513542338340432</v>
      </c>
      <c r="AW143" s="5">
        <f t="shared" si="341"/>
        <v>4.0840482070541695</v>
      </c>
      <c r="AX143" s="5">
        <f t="shared" si="342"/>
        <v>0.38117783265838912</v>
      </c>
      <c r="AY143" s="5">
        <f t="shared" si="343"/>
        <v>1.2837076502530944</v>
      </c>
      <c r="AZ143" s="5"/>
      <c r="BA143" s="173">
        <f t="shared" si="344"/>
        <v>2.2423878621750104</v>
      </c>
      <c r="BB143" s="173">
        <f t="shared" si="345"/>
        <v>2.3100732276072056</v>
      </c>
      <c r="BC143" s="173">
        <f t="shared" si="346"/>
        <v>0.23290082540630025</v>
      </c>
      <c r="BD143" s="173"/>
      <c r="BE143" s="528">
        <f t="shared" si="347"/>
        <v>6.033963989315777E-2</v>
      </c>
      <c r="BF143" s="528">
        <f t="shared" si="463"/>
        <v>1.6970329932471224</v>
      </c>
      <c r="BG143" s="528">
        <f t="shared" si="349"/>
        <v>4.0250000000000001E-2</v>
      </c>
      <c r="BH143" s="528">
        <f t="shared" si="350"/>
        <v>0.39130310027025145</v>
      </c>
      <c r="BI143">
        <f t="shared" si="351"/>
        <v>8.5085449403964706E-3</v>
      </c>
      <c r="BJ143" s="460">
        <f t="shared" si="435"/>
        <v>48.758544940396469</v>
      </c>
      <c r="BK143">
        <f t="shared" si="464"/>
        <v>2.1964573833196055</v>
      </c>
      <c r="BL143" s="460">
        <f t="shared" si="436"/>
        <v>2197.4342783509278</v>
      </c>
      <c r="BM143" s="173">
        <f t="shared" si="465"/>
        <v>0.55324499999999999</v>
      </c>
      <c r="BN143" s="173">
        <f t="shared" si="466"/>
        <v>5.5324499999999992E-2</v>
      </c>
      <c r="BO143" s="528"/>
      <c r="BQ143" s="460">
        <f t="shared" si="355"/>
        <v>608.56949999999995</v>
      </c>
      <c r="BR143" s="528">
        <f t="shared" si="356"/>
        <v>7.0396246542017399E-2</v>
      </c>
      <c r="BS143" s="528">
        <f t="shared" si="357"/>
        <v>7.4710136436706015E-2</v>
      </c>
      <c r="BT143" s="528">
        <f t="shared" si="358"/>
        <v>2.7121397237467976E-4</v>
      </c>
      <c r="BU143" s="528">
        <f t="shared" si="359"/>
        <v>8.4137535133553207</v>
      </c>
      <c r="BV143" s="528"/>
      <c r="BW143" s="625">
        <f t="shared" si="467"/>
        <v>1.0882978723404255</v>
      </c>
      <c r="BX143" s="460">
        <f t="shared" si="361"/>
        <v>9647.428982646843</v>
      </c>
      <c r="BY143" s="173">
        <f t="shared" si="362"/>
        <v>12.453432760997771</v>
      </c>
      <c r="BZ143" s="5">
        <f t="shared" si="363"/>
        <v>25.575000000000003</v>
      </c>
      <c r="CA143" s="173">
        <f t="shared" si="364"/>
        <v>0.67252311344867999</v>
      </c>
      <c r="CB143" s="5">
        <f t="shared" si="365"/>
        <v>67.252311344868005</v>
      </c>
      <c r="CC143">
        <f t="shared" si="366"/>
        <v>33</v>
      </c>
      <c r="CE143" s="562">
        <f t="shared" si="468"/>
        <v>-50</v>
      </c>
      <c r="CF143">
        <f t="shared" si="469"/>
        <v>-50</v>
      </c>
      <c r="CG143" s="173">
        <f t="shared" si="369"/>
        <v>0.30914751025779191</v>
      </c>
      <c r="CH143" s="173">
        <f t="shared" si="470"/>
        <v>0.10025197709029207</v>
      </c>
      <c r="CI143" s="170">
        <v>33</v>
      </c>
      <c r="CJ143" s="217">
        <f t="shared" si="437"/>
        <v>0.82500000000000007</v>
      </c>
      <c r="CK143" s="217">
        <f t="shared" si="371"/>
        <v>8.2500000000000004E-2</v>
      </c>
      <c r="CL143" s="217">
        <f t="shared" si="372"/>
        <v>23.1</v>
      </c>
      <c r="CM143" s="217">
        <f t="shared" si="373"/>
        <v>2.4750000000000001</v>
      </c>
      <c r="CN143" s="541">
        <f t="shared" si="374"/>
        <v>19</v>
      </c>
      <c r="CO143" s="443">
        <f t="shared" si="471"/>
        <v>28.7</v>
      </c>
      <c r="CP143" s="443">
        <f t="shared" si="472"/>
        <v>47.7</v>
      </c>
      <c r="CQ143" s="443"/>
      <c r="CR143" s="217">
        <f t="shared" si="377"/>
        <v>0.59915611814345993</v>
      </c>
      <c r="CS143" s="172">
        <f t="shared" si="378"/>
        <v>85.685767433419556</v>
      </c>
      <c r="CT143" s="172">
        <f t="shared" si="379"/>
        <v>10.164255575647982</v>
      </c>
      <c r="CU143" s="217">
        <f t="shared" si="380"/>
        <v>3.0602059797649841</v>
      </c>
      <c r="CV143" s="217">
        <f t="shared" si="381"/>
        <v>2.8561922477806521</v>
      </c>
      <c r="CW143" s="217">
        <f t="shared" si="382"/>
        <v>28</v>
      </c>
      <c r="CX143" s="217">
        <f t="shared" si="383"/>
        <v>4.4931616011860642</v>
      </c>
      <c r="CY143" s="217">
        <f t="shared" si="384"/>
        <v>1.1114662908197106</v>
      </c>
      <c r="CZ143" s="217">
        <f t="shared" si="385"/>
        <v>0.7358139207517248</v>
      </c>
      <c r="DA143" s="197">
        <f t="shared" si="386"/>
        <v>350</v>
      </c>
      <c r="DB143" s="443">
        <f t="shared" si="387"/>
        <v>350</v>
      </c>
      <c r="DD143" s="217">
        <f t="shared" si="388"/>
        <v>6.9494625094785683</v>
      </c>
      <c r="DE143" s="173">
        <f t="shared" si="389"/>
        <v>1.1380652890086853</v>
      </c>
      <c r="DF143" s="173">
        <f t="shared" si="390"/>
        <v>1.2501230996965573</v>
      </c>
      <c r="DG143" s="173"/>
      <c r="DH143" s="173">
        <f t="shared" si="391"/>
        <v>0.54587688734030204</v>
      </c>
      <c r="DI143" s="545">
        <f t="shared" si="392"/>
        <v>906.79787234042567</v>
      </c>
      <c r="DJ143" s="528">
        <f t="shared" si="393"/>
        <v>0.31842818428184283</v>
      </c>
      <c r="DL143" s="173">
        <f t="shared" si="394"/>
        <v>5.5762195907274092</v>
      </c>
      <c r="DM143" s="173">
        <f t="shared" si="395"/>
        <v>5.5762195907274092</v>
      </c>
      <c r="DN143" s="173">
        <f t="shared" si="396"/>
        <v>2.8613972276993156</v>
      </c>
      <c r="DP143" s="545">
        <f t="shared" si="397"/>
        <v>825.00000000000011</v>
      </c>
      <c r="DQ143" s="460">
        <f t="shared" si="398"/>
        <v>350</v>
      </c>
      <c r="DS143" s="460">
        <f t="shared" si="399"/>
        <v>825.00000000000011</v>
      </c>
      <c r="DT143" s="460">
        <f t="shared" si="400"/>
        <v>350</v>
      </c>
      <c r="DV143" s="5">
        <f t="shared" si="401"/>
        <v>2.8571428571428572</v>
      </c>
      <c r="DW143" s="5">
        <f t="shared" si="402"/>
        <v>1.3793806356009906</v>
      </c>
      <c r="DX143" s="5">
        <f t="shared" si="403"/>
        <v>1.4777622215418666</v>
      </c>
      <c r="DY143" s="173">
        <f t="shared" si="404"/>
        <v>0.48278322246034666</v>
      </c>
      <c r="EA143" s="5">
        <f t="shared" si="405"/>
        <v>4.064246515610062</v>
      </c>
      <c r="EB143" s="5">
        <f t="shared" si="406"/>
        <v>0.37932967479027241</v>
      </c>
      <c r="EC143" s="5">
        <f t="shared" si="407"/>
        <v>1.2833198239705683</v>
      </c>
      <c r="ED143" s="5"/>
      <c r="EE143" s="173">
        <f t="shared" si="408"/>
        <v>2.2369450975770069</v>
      </c>
      <c r="EF143" s="173">
        <f t="shared" si="409"/>
        <v>2.315344093598958</v>
      </c>
      <c r="EG143" s="173">
        <f t="shared" si="410"/>
        <v>0.23343223238743593</v>
      </c>
      <c r="EH143" s="173"/>
      <c r="EI143" s="528">
        <f t="shared" si="411"/>
        <v>6.0047080434885658E-2</v>
      </c>
      <c r="EJ143" s="528">
        <f t="shared" si="412"/>
        <v>1.768804735276688</v>
      </c>
      <c r="EK143" s="528">
        <f t="shared" si="413"/>
        <v>4.0250000000000001E-2</v>
      </c>
      <c r="EL143" s="528">
        <f t="shared" si="414"/>
        <v>0.39220311375000005</v>
      </c>
      <c r="EM143">
        <f t="shared" si="415"/>
        <v>8.5500000000000003E-3</v>
      </c>
      <c r="EN143" s="460">
        <f t="shared" si="416"/>
        <v>48.800000000000004</v>
      </c>
      <c r="EP143" s="460">
        <f t="shared" si="438"/>
        <v>2269.8549294615736</v>
      </c>
      <c r="EQ143" s="173">
        <f t="shared" si="417"/>
        <v>0.57750000000000001</v>
      </c>
      <c r="ER143" s="173">
        <f t="shared" si="473"/>
        <v>3.9517499999999997E-2</v>
      </c>
      <c r="ES143" s="528"/>
      <c r="EU143" s="460">
        <f t="shared" si="419"/>
        <v>617.01750000000004</v>
      </c>
      <c r="EV143" s="528">
        <f t="shared" si="420"/>
        <v>7.0054927174033263E-2</v>
      </c>
      <c r="EW143" s="528">
        <f t="shared" si="421"/>
        <v>7.5051455804690137E-2</v>
      </c>
      <c r="EX143" s="528">
        <f t="shared" si="422"/>
        <v>2.7245303558690948E-4</v>
      </c>
      <c r="EY143" s="528">
        <f t="shared" si="423"/>
        <v>8.4137535133553207</v>
      </c>
      <c r="EZ143" s="528"/>
      <c r="FA143" s="625">
        <f t="shared" si="424"/>
        <v>1.0882978723404255</v>
      </c>
      <c r="FB143" s="460">
        <f t="shared" si="425"/>
        <v>9647.4302217100558</v>
      </c>
      <c r="FC143" s="173">
        <f t="shared" si="426"/>
        <v>12.534302651171632</v>
      </c>
      <c r="FD143" s="5">
        <f t="shared" si="427"/>
        <v>25.575000000000003</v>
      </c>
      <c r="FE143" s="173">
        <f t="shared" si="428"/>
        <v>0.67109598499078615</v>
      </c>
      <c r="FF143" s="5">
        <f t="shared" si="429"/>
        <v>67.109598499078615</v>
      </c>
      <c r="FG143">
        <f t="shared" si="430"/>
        <v>33</v>
      </c>
      <c r="FI143" s="562">
        <f t="shared" si="431"/>
        <v>-50</v>
      </c>
      <c r="FJ143">
        <f t="shared" si="432"/>
        <v>-50</v>
      </c>
    </row>
    <row r="144" spans="5:166">
      <c r="E144" s="170">
        <v>34</v>
      </c>
      <c r="F144" s="217">
        <f t="shared" si="474"/>
        <v>0.85000000000000009</v>
      </c>
      <c r="G144" s="217">
        <f t="shared" si="443"/>
        <v>8.5000000000000006E-2</v>
      </c>
      <c r="H144" s="217">
        <f t="shared" si="444"/>
        <v>23.800000000000004</v>
      </c>
      <c r="I144" s="217">
        <f t="shared" si="445"/>
        <v>2.5500000000000003</v>
      </c>
      <c r="J144" s="541">
        <f t="shared" si="446"/>
        <v>18.906492269020575</v>
      </c>
      <c r="K144" s="443">
        <f t="shared" si="447"/>
        <v>28.737922653646262</v>
      </c>
      <c r="L144" s="172">
        <f t="shared" si="448"/>
        <v>47.64441492266684</v>
      </c>
      <c r="M144" s="443"/>
      <c r="N144" s="217">
        <f t="shared" si="449"/>
        <v>0.60317505630600554</v>
      </c>
      <c r="O144" s="172">
        <f t="shared" si="450"/>
        <v>85.83599115312775</v>
      </c>
      <c r="P144" s="172">
        <f t="shared" si="451"/>
        <v>10.182075481174593</v>
      </c>
      <c r="Q144" s="217">
        <f t="shared" si="321"/>
        <v>3.0655711126117056</v>
      </c>
      <c r="R144" s="217">
        <f t="shared" si="452"/>
        <v>2.8611997051042581</v>
      </c>
      <c r="S144" s="217">
        <f t="shared" si="453"/>
        <v>28</v>
      </c>
      <c r="T144" s="217">
        <f t="shared" si="454"/>
        <v>4.6212161278481698</v>
      </c>
      <c r="U144" s="217">
        <f t="shared" si="325"/>
        <v>1.1487966933176419</v>
      </c>
      <c r="V144" s="217">
        <f t="shared" si="326"/>
        <v>0.7557858674287512</v>
      </c>
      <c r="W144" s="197">
        <f t="shared" si="327"/>
        <v>350</v>
      </c>
      <c r="X144" s="443">
        <f t="shared" si="434"/>
        <v>350</v>
      </c>
      <c r="Z144" s="217">
        <f t="shared" si="328"/>
        <v>6.9324769233529135</v>
      </c>
      <c r="AA144" s="173">
        <f t="shared" si="329"/>
        <v>1.1337855534114125</v>
      </c>
      <c r="AB144" s="173">
        <f t="shared" si="455"/>
        <v>1.2423779582829708</v>
      </c>
      <c r="AC144" s="173"/>
      <c r="AD144" s="173">
        <f t="shared" si="331"/>
        <v>0.54515654647288447</v>
      </c>
      <c r="AE144" s="545">
        <f t="shared" si="456"/>
        <v>935.51109915061238</v>
      </c>
      <c r="AF144" s="528">
        <f t="shared" si="457"/>
        <v>0.31800798544251591</v>
      </c>
      <c r="AH144" s="173">
        <f t="shared" si="458"/>
        <v>5.6600772224532188</v>
      </c>
      <c r="AI144" s="173">
        <f t="shared" si="459"/>
        <v>5.6600772224532188</v>
      </c>
      <c r="AJ144" s="173">
        <f t="shared" si="460"/>
        <v>2.9235139919406556</v>
      </c>
      <c r="AL144" s="545">
        <f t="shared" si="461"/>
        <v>850.00000000000011</v>
      </c>
      <c r="AM144" s="460">
        <f t="shared" si="462"/>
        <v>350</v>
      </c>
      <c r="AO144" s="460">
        <f t="shared" si="339"/>
        <v>850.00000000000011</v>
      </c>
      <c r="AP144" s="460">
        <f t="shared" si="340"/>
        <v>350</v>
      </c>
      <c r="AR144" s="5">
        <f t="shared" si="442"/>
        <v>2.8571428571428572</v>
      </c>
      <c r="AS144" s="5">
        <f t="shared" si="439"/>
        <v>1.4070491007535912</v>
      </c>
      <c r="AT144" s="5">
        <f t="shared" si="440"/>
        <v>1.450093756389266</v>
      </c>
      <c r="AU144" s="173">
        <f t="shared" si="441"/>
        <v>0.49246718526375693</v>
      </c>
      <c r="AW144" s="5">
        <f t="shared" si="341"/>
        <v>4.2713990558591171</v>
      </c>
      <c r="AX144" s="5">
        <f t="shared" si="342"/>
        <v>0.39866391188018419</v>
      </c>
      <c r="AY144" s="5">
        <f t="shared" si="343"/>
        <v>1.3038692480789069</v>
      </c>
      <c r="AZ144" s="5"/>
      <c r="BA144" s="173">
        <f t="shared" si="344"/>
        <v>2.2932445906317982</v>
      </c>
      <c r="BB144" s="173">
        <f t="shared" si="345"/>
        <v>2.3280579822925178</v>
      </c>
      <c r="BC144" s="173">
        <f t="shared" si="346"/>
        <v>0.23471404247703254</v>
      </c>
      <c r="BD144" s="173"/>
      <c r="BE144" s="528">
        <f t="shared" si="347"/>
        <v>6.310764902954405E-2</v>
      </c>
      <c r="BF144" s="528">
        <f t="shared" si="463"/>
        <v>1.7225239448117287</v>
      </c>
      <c r="BG144" s="528">
        <f t="shared" si="349"/>
        <v>4.0250000000000001E-2</v>
      </c>
      <c r="BH144" s="528">
        <f t="shared" si="350"/>
        <v>0.39128957336409331</v>
      </c>
      <c r="BI144">
        <f t="shared" si="351"/>
        <v>8.5079215210592581E-3</v>
      </c>
      <c r="BJ144" s="460">
        <f t="shared" si="435"/>
        <v>48.757921521059259</v>
      </c>
      <c r="BK144">
        <f t="shared" si="464"/>
        <v>2.2273580801226216</v>
      </c>
      <c r="BL144" s="460">
        <f t="shared" si="436"/>
        <v>2225.6790887264251</v>
      </c>
      <c r="BM144" s="173">
        <f t="shared" si="465"/>
        <v>0.57000999999999991</v>
      </c>
      <c r="BN144" s="173">
        <f t="shared" si="466"/>
        <v>5.7000999999999996E-2</v>
      </c>
      <c r="BO144" s="528"/>
      <c r="BQ144" s="460">
        <f t="shared" si="355"/>
        <v>627.01099999999985</v>
      </c>
      <c r="BR144" s="528">
        <f t="shared" si="356"/>
        <v>7.3625590534468044E-2</v>
      </c>
      <c r="BS144" s="528">
        <f t="shared" si="357"/>
        <v>7.5877955564822727E-2</v>
      </c>
      <c r="BT144" s="528">
        <f t="shared" si="358"/>
        <v>2.7545340867955119E-4</v>
      </c>
      <c r="BU144" s="528">
        <f t="shared" si="359"/>
        <v>8.7336544792220554</v>
      </c>
      <c r="BV144" s="528"/>
      <c r="BW144" s="625">
        <f t="shared" si="467"/>
        <v>1.1212765957446811</v>
      </c>
      <c r="BX144" s="460">
        <f t="shared" si="361"/>
        <v>10004.710074474708</v>
      </c>
      <c r="BY144" s="173">
        <f t="shared" si="362"/>
        <v>12.857400163201131</v>
      </c>
      <c r="BZ144" s="5">
        <f t="shared" si="363"/>
        <v>26.350000000000005</v>
      </c>
      <c r="CA144" s="173">
        <f t="shared" si="364"/>
        <v>0.67206700496125493</v>
      </c>
      <c r="CB144" s="5">
        <f t="shared" si="365"/>
        <v>67.206700496125492</v>
      </c>
      <c r="CC144">
        <f t="shared" si="366"/>
        <v>34</v>
      </c>
      <c r="CE144" s="562">
        <f t="shared" si="468"/>
        <v>-50</v>
      </c>
      <c r="CF144">
        <f t="shared" si="469"/>
        <v>-50</v>
      </c>
      <c r="CG144" s="173">
        <f t="shared" si="369"/>
        <v>0.31379660587577257</v>
      </c>
      <c r="CH144" s="173">
        <f t="shared" si="470"/>
        <v>0.10175961021661328</v>
      </c>
      <c r="CI144" s="170">
        <v>34</v>
      </c>
      <c r="CJ144" s="217">
        <f t="shared" si="437"/>
        <v>0.85000000000000009</v>
      </c>
      <c r="CK144" s="217">
        <f t="shared" si="371"/>
        <v>8.5000000000000006E-2</v>
      </c>
      <c r="CL144" s="217">
        <f t="shared" si="372"/>
        <v>23.800000000000004</v>
      </c>
      <c r="CM144" s="217">
        <f t="shared" si="373"/>
        <v>2.5500000000000003</v>
      </c>
      <c r="CN144" s="541">
        <f t="shared" si="374"/>
        <v>19</v>
      </c>
      <c r="CO144" s="443">
        <f t="shared" si="471"/>
        <v>28.7</v>
      </c>
      <c r="CP144" s="443">
        <f t="shared" si="472"/>
        <v>47.7</v>
      </c>
      <c r="CQ144" s="443"/>
      <c r="CR144" s="217">
        <f t="shared" si="377"/>
        <v>0.59915611814345993</v>
      </c>
      <c r="CS144" s="172">
        <f t="shared" si="378"/>
        <v>85.685767433419556</v>
      </c>
      <c r="CT144" s="172">
        <f t="shared" si="379"/>
        <v>10.164255575647982</v>
      </c>
      <c r="CU144" s="217">
        <f t="shared" si="380"/>
        <v>3.0602059797649841</v>
      </c>
      <c r="CV144" s="217">
        <f t="shared" si="381"/>
        <v>2.8561922477806521</v>
      </c>
      <c r="CW144" s="217">
        <f t="shared" si="382"/>
        <v>28</v>
      </c>
      <c r="CX144" s="217">
        <f t="shared" si="383"/>
        <v>4.6293180133432177</v>
      </c>
      <c r="CY144" s="217">
        <f t="shared" si="384"/>
        <v>1.1451470875112171</v>
      </c>
      <c r="CZ144" s="217">
        <f t="shared" si="385"/>
        <v>0.75811131228965589</v>
      </c>
      <c r="DA144" s="197">
        <f t="shared" si="386"/>
        <v>350</v>
      </c>
      <c r="DB144" s="443">
        <f t="shared" si="387"/>
        <v>350</v>
      </c>
      <c r="DD144" s="217">
        <f t="shared" si="388"/>
        <v>6.9494625094785683</v>
      </c>
      <c r="DE144" s="173">
        <f t="shared" si="389"/>
        <v>1.1380652890086853</v>
      </c>
      <c r="DF144" s="173">
        <f t="shared" si="390"/>
        <v>1.2501230996965573</v>
      </c>
      <c r="DG144" s="173"/>
      <c r="DH144" s="173">
        <f t="shared" si="391"/>
        <v>0.54587688734030204</v>
      </c>
      <c r="DI144" s="545">
        <f t="shared" si="392"/>
        <v>934.276595744681</v>
      </c>
      <c r="DJ144" s="528">
        <f t="shared" si="393"/>
        <v>0.31842818428184283</v>
      </c>
      <c r="DL144" s="173">
        <f t="shared" si="394"/>
        <v>5.6600772224532188</v>
      </c>
      <c r="DM144" s="173">
        <f t="shared" si="395"/>
        <v>5.6600772224532188</v>
      </c>
      <c r="DN144" s="173">
        <f t="shared" si="396"/>
        <v>2.9235139919406556</v>
      </c>
      <c r="DP144" s="545">
        <f t="shared" si="397"/>
        <v>850.00000000000011</v>
      </c>
      <c r="DQ144" s="460">
        <f t="shared" si="398"/>
        <v>350</v>
      </c>
      <c r="DS144" s="460">
        <f t="shared" si="399"/>
        <v>850.00000000000011</v>
      </c>
      <c r="DT144" s="460">
        <f t="shared" si="400"/>
        <v>350</v>
      </c>
      <c r="DV144" s="5">
        <f t="shared" si="401"/>
        <v>2.8571428571428572</v>
      </c>
      <c r="DW144" s="5">
        <f t="shared" si="402"/>
        <v>1.4001243655542173</v>
      </c>
      <c r="DX144" s="5">
        <f t="shared" si="403"/>
        <v>1.4570184915886399</v>
      </c>
      <c r="DY144" s="173">
        <f t="shared" si="404"/>
        <v>0.49004352794397604</v>
      </c>
      <c r="EA144" s="5">
        <f t="shared" si="405"/>
        <v>4.2503775382895883</v>
      </c>
      <c r="EB144" s="5">
        <f t="shared" si="406"/>
        <v>0.39670190357369495</v>
      </c>
      <c r="EC144" s="5">
        <f t="shared" si="407"/>
        <v>1.3036481240529936</v>
      </c>
      <c r="ED144" s="5"/>
      <c r="EE144" s="173">
        <f t="shared" si="408"/>
        <v>2.2875945752600875</v>
      </c>
      <c r="EF144" s="173">
        <f t="shared" si="409"/>
        <v>2.3336100318216269</v>
      </c>
      <c r="EG144" s="173">
        <f t="shared" si="410"/>
        <v>0.23527379829021322</v>
      </c>
      <c r="EH144" s="173"/>
      <c r="EI144" s="528">
        <f t="shared" si="411"/>
        <v>6.2797067289112565E-2</v>
      </c>
      <c r="EJ144" s="528">
        <f t="shared" si="412"/>
        <v>1.7954047953482737</v>
      </c>
      <c r="EK144" s="528">
        <f t="shared" si="413"/>
        <v>4.0250000000000001E-2</v>
      </c>
      <c r="EL144" s="528">
        <f t="shared" si="414"/>
        <v>0.39220311375000005</v>
      </c>
      <c r="EM144">
        <f t="shared" si="415"/>
        <v>8.5500000000000003E-3</v>
      </c>
      <c r="EN144" s="460">
        <f t="shared" si="416"/>
        <v>48.800000000000004</v>
      </c>
      <c r="EP144" s="460">
        <f t="shared" si="438"/>
        <v>2299.2049763873861</v>
      </c>
      <c r="EQ144" s="173">
        <f t="shared" si="417"/>
        <v>0.59499999999999997</v>
      </c>
      <c r="ER144" s="173">
        <f t="shared" si="473"/>
        <v>4.0715000000000001E-2</v>
      </c>
      <c r="ES144" s="528"/>
      <c r="EU144" s="460">
        <f t="shared" si="419"/>
        <v>635.71500000000003</v>
      </c>
      <c r="EV144" s="528">
        <f t="shared" si="420"/>
        <v>7.3263245170631319E-2</v>
      </c>
      <c r="EW144" s="528">
        <f t="shared" si="421"/>
        <v>7.624030092865948E-2</v>
      </c>
      <c r="EX144" s="528">
        <f t="shared" si="422"/>
        <v>2.7676880080951971E-4</v>
      </c>
      <c r="EY144" s="528">
        <f t="shared" si="423"/>
        <v>8.7336544792220554</v>
      </c>
      <c r="EZ144" s="528"/>
      <c r="FA144" s="625">
        <f t="shared" si="424"/>
        <v>1.1212765957446811</v>
      </c>
      <c r="FB144" s="460">
        <f t="shared" si="425"/>
        <v>10004.711389866838</v>
      </c>
      <c r="FC144" s="173">
        <f t="shared" si="426"/>
        <v>12.939631366254222</v>
      </c>
      <c r="FD144" s="5">
        <f t="shared" si="427"/>
        <v>26.350000000000005</v>
      </c>
      <c r="FE144" s="173">
        <f t="shared" si="428"/>
        <v>0.67066040285203488</v>
      </c>
      <c r="FF144" s="5">
        <f t="shared" si="429"/>
        <v>67.066040285203485</v>
      </c>
      <c r="FG144">
        <f t="shared" si="430"/>
        <v>34</v>
      </c>
      <c r="FI144" s="562">
        <f t="shared" si="431"/>
        <v>-50</v>
      </c>
      <c r="FJ144">
        <f t="shared" si="432"/>
        <v>-50</v>
      </c>
    </row>
    <row r="145" spans="5:166">
      <c r="E145" s="170">
        <v>35</v>
      </c>
      <c r="F145" s="217">
        <f t="shared" si="474"/>
        <v>0.875</v>
      </c>
      <c r="G145" s="217">
        <f t="shared" si="443"/>
        <v>8.7499999999999994E-2</v>
      </c>
      <c r="H145" s="217">
        <f t="shared" si="444"/>
        <v>24.5</v>
      </c>
      <c r="I145" s="217">
        <f t="shared" si="445"/>
        <v>2.625</v>
      </c>
      <c r="J145" s="541">
        <f t="shared" si="446"/>
        <v>18.905127120444959</v>
      </c>
      <c r="K145" s="443">
        <f t="shared" si="447"/>
        <v>28.738476298313572</v>
      </c>
      <c r="L145" s="172">
        <f t="shared" si="448"/>
        <v>47.643603418758531</v>
      </c>
      <c r="M145" s="443"/>
      <c r="N145" s="217">
        <f t="shared" si="449"/>
        <v>0.60319695061097089</v>
      </c>
      <c r="O145" s="172">
        <f t="shared" si="450"/>
        <v>85.832908827694794</v>
      </c>
      <c r="P145" s="172">
        <f t="shared" si="451"/>
        <v>10.181709848183184</v>
      </c>
      <c r="Q145" s="217">
        <f t="shared" si="321"/>
        <v>3.0654610295605282</v>
      </c>
      <c r="R145" s="217">
        <f t="shared" si="452"/>
        <v>2.86109696092316</v>
      </c>
      <c r="S145" s="217">
        <f t="shared" si="453"/>
        <v>28</v>
      </c>
      <c r="T145" s="217">
        <f t="shared" si="454"/>
        <v>4.7573050815863853</v>
      </c>
      <c r="U145" s="217">
        <f t="shared" si="325"/>
        <v>1.1827126969844861</v>
      </c>
      <c r="V145" s="217">
        <f t="shared" si="326"/>
        <v>0.77802781370034213</v>
      </c>
      <c r="W145" s="197">
        <f t="shared" si="327"/>
        <v>350</v>
      </c>
      <c r="X145" s="443">
        <f t="shared" si="434"/>
        <v>350</v>
      </c>
      <c r="Z145" s="217">
        <f t="shared" si="328"/>
        <v>6.9322279817417405</v>
      </c>
      <c r="AA145" s="173">
        <f t="shared" si="329"/>
        <v>1.1337229982543688</v>
      </c>
      <c r="AB145" s="173">
        <f t="shared" si="455"/>
        <v>1.2422648010003574</v>
      </c>
      <c r="AC145" s="173"/>
      <c r="AD145" s="173">
        <f t="shared" si="331"/>
        <v>0.54514604407144629</v>
      </c>
      <c r="AE145" s="545">
        <f t="shared" si="456"/>
        <v>963.04468446476324</v>
      </c>
      <c r="AF145" s="528">
        <f t="shared" si="457"/>
        <v>0.31800185904167705</v>
      </c>
      <c r="AH145" s="173">
        <f t="shared" si="458"/>
        <v>5.7427104579854378</v>
      </c>
      <c r="AI145" s="173">
        <f t="shared" si="459"/>
        <v>5.7427104579854378</v>
      </c>
      <c r="AJ145" s="173">
        <f t="shared" si="460"/>
        <v>2.9847237960385957</v>
      </c>
      <c r="AL145" s="545">
        <f t="shared" si="461"/>
        <v>875</v>
      </c>
      <c r="AM145" s="460">
        <f t="shared" si="462"/>
        <v>350</v>
      </c>
      <c r="AO145" s="460">
        <f t="shared" si="339"/>
        <v>875</v>
      </c>
      <c r="AP145" s="460">
        <f t="shared" si="340"/>
        <v>350</v>
      </c>
      <c r="AR145" s="5">
        <f t="shared" si="442"/>
        <v>2.8571428571428572</v>
      </c>
      <c r="AS145" s="5">
        <f t="shared" si="439"/>
        <v>1.4276941371815697</v>
      </c>
      <c r="AT145" s="5">
        <f t="shared" si="440"/>
        <v>1.4294487199612875</v>
      </c>
      <c r="AU145" s="173">
        <f t="shared" si="441"/>
        <v>0.49969294801354935</v>
      </c>
      <c r="AW145" s="5">
        <f t="shared" si="341"/>
        <v>4.4615441786924048</v>
      </c>
      <c r="AX145" s="5">
        <f t="shared" si="342"/>
        <v>0.41641079001129111</v>
      </c>
      <c r="AY145" s="5">
        <f t="shared" si="343"/>
        <v>1.323204675639005</v>
      </c>
      <c r="AZ145" s="5"/>
      <c r="BA145" s="173">
        <f t="shared" si="344"/>
        <v>2.3437317479890751</v>
      </c>
      <c r="BB145" s="173">
        <f t="shared" si="345"/>
        <v>2.345171485176833</v>
      </c>
      <c r="BC145" s="173">
        <f t="shared" si="346"/>
        <v>0.23643942022684467</v>
      </c>
      <c r="BD145" s="173"/>
      <c r="BE145" s="528">
        <f t="shared" si="347"/>
        <v>6.5916942078383112E-2</v>
      </c>
      <c r="BF145" s="528">
        <f t="shared" si="463"/>
        <v>1.7476418427525857</v>
      </c>
      <c r="BG145" s="528">
        <f t="shared" si="349"/>
        <v>4.0250000000000001E-2</v>
      </c>
      <c r="BH145" s="528">
        <f t="shared" si="350"/>
        <v>0.39127624419153911</v>
      </c>
      <c r="BI145">
        <f t="shared" si="351"/>
        <v>8.5073072042002318E-3</v>
      </c>
      <c r="BJ145" s="460">
        <f t="shared" si="435"/>
        <v>48.757307204200231</v>
      </c>
      <c r="BK145">
        <f t="shared" si="464"/>
        <v>2.2579970493292696</v>
      </c>
      <c r="BL145" s="460">
        <f t="shared" si="436"/>
        <v>2253.5923362267081</v>
      </c>
      <c r="BM145" s="173">
        <f t="shared" si="465"/>
        <v>0.58677499999999994</v>
      </c>
      <c r="BN145" s="173">
        <f t="shared" si="466"/>
        <v>5.8677499999999987E-2</v>
      </c>
      <c r="BO145" s="528"/>
      <c r="BQ145" s="460">
        <f t="shared" si="355"/>
        <v>645.45249999999987</v>
      </c>
      <c r="BR145" s="528">
        <f t="shared" si="356"/>
        <v>7.6903099091446964E-2</v>
      </c>
      <c r="BS145" s="528">
        <f t="shared" si="357"/>
        <v>7.6997610128411179E-2</v>
      </c>
      <c r="BT145" s="528">
        <f t="shared" si="358"/>
        <v>2.7951799718603222E-4</v>
      </c>
      <c r="BU145" s="528">
        <f t="shared" si="359"/>
        <v>9.055916626171248</v>
      </c>
      <c r="BV145" s="528"/>
      <c r="BW145" s="625">
        <f t="shared" si="467"/>
        <v>1.1542553191489362</v>
      </c>
      <c r="BX145" s="460">
        <f t="shared" si="361"/>
        <v>10364.352172537227</v>
      </c>
      <c r="BY145" s="173">
        <f t="shared" si="362"/>
        <v>13.263397008763937</v>
      </c>
      <c r="BZ145" s="5">
        <f t="shared" si="363"/>
        <v>27.125</v>
      </c>
      <c r="CA145" s="173">
        <f t="shared" si="364"/>
        <v>0.67160377754319156</v>
      </c>
      <c r="CB145" s="5">
        <f t="shared" si="365"/>
        <v>67.160377754319157</v>
      </c>
      <c r="CC145">
        <f t="shared" si="366"/>
        <v>35</v>
      </c>
      <c r="CE145" s="562">
        <f t="shared" si="468"/>
        <v>-50</v>
      </c>
      <c r="CF145">
        <f t="shared" si="469"/>
        <v>-50</v>
      </c>
      <c r="CG145" s="173">
        <f t="shared" si="369"/>
        <v>0.31837782055243469</v>
      </c>
      <c r="CH145" s="173">
        <f t="shared" si="470"/>
        <v>0.10324523055503187</v>
      </c>
      <c r="CI145" s="170">
        <v>35</v>
      </c>
      <c r="CJ145" s="217">
        <f t="shared" si="437"/>
        <v>0.875</v>
      </c>
      <c r="CK145" s="217">
        <f t="shared" si="371"/>
        <v>8.7499999999999994E-2</v>
      </c>
      <c r="CL145" s="217">
        <f t="shared" si="372"/>
        <v>24.5</v>
      </c>
      <c r="CM145" s="217">
        <f t="shared" si="373"/>
        <v>2.625</v>
      </c>
      <c r="CN145" s="541">
        <f t="shared" si="374"/>
        <v>19</v>
      </c>
      <c r="CO145" s="443">
        <f t="shared" si="471"/>
        <v>28.7</v>
      </c>
      <c r="CP145" s="443">
        <f t="shared" si="472"/>
        <v>47.7</v>
      </c>
      <c r="CQ145" s="443"/>
      <c r="CR145" s="217">
        <f t="shared" si="377"/>
        <v>0.59915611814345993</v>
      </c>
      <c r="CS145" s="172">
        <f t="shared" si="378"/>
        <v>85.685767433419556</v>
      </c>
      <c r="CT145" s="172">
        <f t="shared" si="379"/>
        <v>10.164255575647982</v>
      </c>
      <c r="CU145" s="217">
        <f t="shared" si="380"/>
        <v>3.0602059797649841</v>
      </c>
      <c r="CV145" s="217">
        <f t="shared" si="381"/>
        <v>2.8561922477806521</v>
      </c>
      <c r="CW145" s="217">
        <f t="shared" si="382"/>
        <v>28</v>
      </c>
      <c r="CX145" s="217">
        <f t="shared" si="383"/>
        <v>4.7654744255003703</v>
      </c>
      <c r="CY145" s="217">
        <f t="shared" si="384"/>
        <v>1.1788278842027231</v>
      </c>
      <c r="CZ145" s="217">
        <f t="shared" si="385"/>
        <v>0.78040870382758676</v>
      </c>
      <c r="DA145" s="197">
        <f t="shared" si="386"/>
        <v>350</v>
      </c>
      <c r="DB145" s="443">
        <f t="shared" si="387"/>
        <v>350</v>
      </c>
      <c r="DD145" s="217">
        <f t="shared" si="388"/>
        <v>6.9494625094785683</v>
      </c>
      <c r="DE145" s="173">
        <f t="shared" si="389"/>
        <v>1.1380652890086853</v>
      </c>
      <c r="DF145" s="173">
        <f t="shared" si="390"/>
        <v>1.2501230996965573</v>
      </c>
      <c r="DG145" s="173"/>
      <c r="DH145" s="173">
        <f t="shared" si="391"/>
        <v>0.54587688734030204</v>
      </c>
      <c r="DI145" s="545">
        <f t="shared" si="392"/>
        <v>961.75531914893611</v>
      </c>
      <c r="DJ145" s="528">
        <f t="shared" si="393"/>
        <v>0.31842818428184283</v>
      </c>
      <c r="DL145" s="173">
        <f t="shared" si="394"/>
        <v>5.7427104579854378</v>
      </c>
      <c r="DM145" s="173">
        <f t="shared" si="395"/>
        <v>5.7427104579854378</v>
      </c>
      <c r="DN145" s="173">
        <f t="shared" si="396"/>
        <v>2.9847237960385957</v>
      </c>
      <c r="DP145" s="545">
        <f t="shared" si="397"/>
        <v>875</v>
      </c>
      <c r="DQ145" s="460">
        <f t="shared" si="398"/>
        <v>350</v>
      </c>
      <c r="DS145" s="460">
        <f t="shared" si="399"/>
        <v>875</v>
      </c>
      <c r="DT145" s="460">
        <f t="shared" si="400"/>
        <v>350</v>
      </c>
      <c r="DV145" s="5">
        <f t="shared" si="401"/>
        <v>2.8571428571428572</v>
      </c>
      <c r="DW145" s="5">
        <f t="shared" si="402"/>
        <v>1.4205652185542925</v>
      </c>
      <c r="DX145" s="5">
        <f t="shared" si="403"/>
        <v>1.4365776385885647</v>
      </c>
      <c r="DY145" s="173">
        <f t="shared" si="404"/>
        <v>0.49719782649400235</v>
      </c>
      <c r="EA145" s="5">
        <f t="shared" si="405"/>
        <v>4.4392663079821642</v>
      </c>
      <c r="EB145" s="5">
        <f t="shared" si="406"/>
        <v>0.41433152207833529</v>
      </c>
      <c r="EC145" s="5">
        <f t="shared" si="407"/>
        <v>1.3231636144894674</v>
      </c>
      <c r="ED145" s="5"/>
      <c r="EE145" s="173">
        <f t="shared" si="408"/>
        <v>2.3378729361781425</v>
      </c>
      <c r="EF145" s="173">
        <f t="shared" si="409"/>
        <v>2.3510121087957478</v>
      </c>
      <c r="EG145" s="173">
        <f t="shared" si="410"/>
        <v>0.23702826998514506</v>
      </c>
      <c r="EH145" s="173"/>
      <c r="EI145" s="528">
        <f t="shared" si="411"/>
        <v>6.5587798388570512E-2</v>
      </c>
      <c r="EJ145" s="528">
        <f t="shared" si="412"/>
        <v>1.8216164708252711</v>
      </c>
      <c r="EK145" s="528">
        <f t="shared" si="413"/>
        <v>4.0250000000000001E-2</v>
      </c>
      <c r="EL145" s="528">
        <f t="shared" si="414"/>
        <v>0.39220311375000005</v>
      </c>
      <c r="EM145">
        <f t="shared" si="415"/>
        <v>8.5500000000000003E-3</v>
      </c>
      <c r="EN145" s="460">
        <f t="shared" si="416"/>
        <v>48.800000000000004</v>
      </c>
      <c r="EP145" s="460">
        <f t="shared" si="438"/>
        <v>2328.2073829638416</v>
      </c>
      <c r="EQ145" s="173">
        <f t="shared" si="417"/>
        <v>0.61249999999999993</v>
      </c>
      <c r="ER145" s="173">
        <f t="shared" si="473"/>
        <v>4.1912499999999998E-2</v>
      </c>
      <c r="ES145" s="528"/>
      <c r="EU145" s="460">
        <f t="shared" si="419"/>
        <v>654.41249999999991</v>
      </c>
      <c r="EV145" s="528">
        <f t="shared" si="420"/>
        <v>7.6519098119998935E-2</v>
      </c>
      <c r="EW145" s="528">
        <f t="shared" si="421"/>
        <v>7.7381611099859207E-2</v>
      </c>
      <c r="EX145" s="528">
        <f t="shared" si="422"/>
        <v>2.8091200386075413E-4</v>
      </c>
      <c r="EY145" s="528">
        <f t="shared" si="423"/>
        <v>9.055916626171248</v>
      </c>
      <c r="EZ145" s="528"/>
      <c r="FA145" s="625">
        <f t="shared" si="424"/>
        <v>1.1542553191489362</v>
      </c>
      <c r="FB145" s="460">
        <f t="shared" si="425"/>
        <v>10364.353566543903</v>
      </c>
      <c r="FC145" s="173">
        <f t="shared" si="426"/>
        <v>13.346973449507745</v>
      </c>
      <c r="FD145" s="5">
        <f t="shared" si="427"/>
        <v>27.125</v>
      </c>
      <c r="FE145" s="173">
        <f t="shared" si="428"/>
        <v>0.67021688561445525</v>
      </c>
      <c r="FF145" s="5">
        <f t="shared" si="429"/>
        <v>67.021688561445529</v>
      </c>
      <c r="FG145">
        <f t="shared" si="430"/>
        <v>35</v>
      </c>
      <c r="FI145" s="562">
        <f t="shared" si="431"/>
        <v>-50</v>
      </c>
      <c r="FJ145">
        <f t="shared" si="432"/>
        <v>-50</v>
      </c>
    </row>
    <row r="146" spans="5:166">
      <c r="E146" s="170">
        <v>36</v>
      </c>
      <c r="F146" s="217">
        <f t="shared" si="474"/>
        <v>0.89999999999999991</v>
      </c>
      <c r="G146" s="217">
        <f t="shared" si="443"/>
        <v>0.09</v>
      </c>
      <c r="H146" s="217">
        <f t="shared" si="444"/>
        <v>25.199999999999996</v>
      </c>
      <c r="I146" s="217">
        <f t="shared" si="445"/>
        <v>2.6999999999999997</v>
      </c>
      <c r="J146" s="541">
        <f t="shared" si="446"/>
        <v>18.903781338622853</v>
      </c>
      <c r="K146" s="443">
        <f t="shared" si="447"/>
        <v>28.739022088671099</v>
      </c>
      <c r="L146" s="172">
        <f t="shared" si="448"/>
        <v>47.642803427293956</v>
      </c>
      <c r="M146" s="443"/>
      <c r="N146" s="217">
        <f t="shared" si="449"/>
        <v>0.60321853504126244</v>
      </c>
      <c r="O146" s="172">
        <f t="shared" si="450"/>
        <v>85.829869893302188</v>
      </c>
      <c r="P146" s="172">
        <f t="shared" si="451"/>
        <v>10.181349362343243</v>
      </c>
      <c r="Q146" s="217">
        <f t="shared" si="321"/>
        <v>3.0653524961893637</v>
      </c>
      <c r="R146" s="217">
        <f t="shared" si="452"/>
        <v>2.860995663110073</v>
      </c>
      <c r="S146" s="217">
        <f t="shared" si="453"/>
        <v>28</v>
      </c>
      <c r="T146" s="217">
        <f t="shared" si="454"/>
        <v>4.8934013359465096</v>
      </c>
      <c r="U146" s="217">
        <f t="shared" si="325"/>
        <v>1.2166341678931036</v>
      </c>
      <c r="V146" s="217">
        <f t="shared" si="326"/>
        <v>0.80027031567002327</v>
      </c>
      <c r="W146" s="197">
        <f t="shared" si="327"/>
        <v>350</v>
      </c>
      <c r="X146" s="443">
        <f t="shared" si="434"/>
        <v>350</v>
      </c>
      <c r="Z146" s="217">
        <f t="shared" si="328"/>
        <v>6.9319825445741232</v>
      </c>
      <c r="AA146" s="173">
        <f t="shared" si="329"/>
        <v>1.1336613284535355</v>
      </c>
      <c r="AB146" s="173">
        <f t="shared" si="455"/>
        <v>1.2421532466923624</v>
      </c>
      <c r="AC146" s="173"/>
      <c r="AD146" s="173">
        <f t="shared" si="331"/>
        <v>0.54513569105896809</v>
      </c>
      <c r="AE146" s="545">
        <f t="shared" si="456"/>
        <v>990.57905922653572</v>
      </c>
      <c r="AF146" s="528">
        <f t="shared" si="457"/>
        <v>0.31799581978439806</v>
      </c>
      <c r="AH146" s="173">
        <f t="shared" si="458"/>
        <v>5.8241714126884085</v>
      </c>
      <c r="AI146" s="173">
        <f t="shared" si="459"/>
        <v>5.8241714126884085</v>
      </c>
      <c r="AJ146" s="173">
        <f t="shared" si="460"/>
        <v>3.0450652439667221</v>
      </c>
      <c r="AL146" s="545">
        <f t="shared" si="461"/>
        <v>899.99999999999989</v>
      </c>
      <c r="AM146" s="460">
        <f t="shared" si="462"/>
        <v>350</v>
      </c>
      <c r="AO146" s="460">
        <f t="shared" si="339"/>
        <v>899.99999999999989</v>
      </c>
      <c r="AP146" s="460">
        <f t="shared" si="340"/>
        <v>350</v>
      </c>
      <c r="AR146" s="5">
        <f t="shared" si="442"/>
        <v>2.8571428571428572</v>
      </c>
      <c r="AS146" s="5">
        <f t="shared" si="439"/>
        <v>1.4480492103295615</v>
      </c>
      <c r="AT146" s="5">
        <f t="shared" si="440"/>
        <v>1.4090936468132957</v>
      </c>
      <c r="AU146" s="173">
        <f t="shared" si="441"/>
        <v>0.50681722361534653</v>
      </c>
      <c r="AW146" s="5">
        <f t="shared" si="341"/>
        <v>4.6544438903450187</v>
      </c>
      <c r="AX146" s="5">
        <f t="shared" si="342"/>
        <v>0.43441476309886845</v>
      </c>
      <c r="AY146" s="5">
        <f t="shared" si="343"/>
        <v>1.3417255092142888</v>
      </c>
      <c r="AZ146" s="5"/>
      <c r="BA146" s="173">
        <f t="shared" si="344"/>
        <v>2.3938625119219092</v>
      </c>
      <c r="BB146" s="173">
        <f t="shared" si="345"/>
        <v>2.3614430239736657</v>
      </c>
      <c r="BC146" s="173">
        <f t="shared" si="346"/>
        <v>0.23807991143341056</v>
      </c>
      <c r="BD146" s="173"/>
      <c r="BE146" s="528">
        <f t="shared" si="347"/>
        <v>6.8766932711820883E-2</v>
      </c>
      <c r="BF146" s="528">
        <f t="shared" si="463"/>
        <v>1.7724025657743347</v>
      </c>
      <c r="BG146" s="528">
        <f t="shared" si="349"/>
        <v>4.0250000000000001E-2</v>
      </c>
      <c r="BH146" s="528">
        <f t="shared" si="350"/>
        <v>0.39126310433622929</v>
      </c>
      <c r="BI146">
        <f t="shared" si="351"/>
        <v>8.506701602380283E-3</v>
      </c>
      <c r="BJ146" s="460">
        <f t="shared" si="435"/>
        <v>48.756701602380282</v>
      </c>
      <c r="BK146">
        <f t="shared" si="464"/>
        <v>2.2883897275315692</v>
      </c>
      <c r="BL146" s="460">
        <f t="shared" si="436"/>
        <v>2281.1893044247654</v>
      </c>
      <c r="BM146" s="173">
        <f t="shared" si="465"/>
        <v>0.60353999999999985</v>
      </c>
      <c r="BN146" s="173">
        <f t="shared" si="466"/>
        <v>6.0353999999999998E-2</v>
      </c>
      <c r="BO146" s="528"/>
      <c r="BQ146" s="460">
        <f t="shared" si="355"/>
        <v>663.89399999999989</v>
      </c>
      <c r="BR146" s="528">
        <f t="shared" si="356"/>
        <v>8.0228088163791025E-2</v>
      </c>
      <c r="BS146" s="528">
        <f t="shared" si="357"/>
        <v>7.806978417663446E-2</v>
      </c>
      <c r="BT146" s="528">
        <f t="shared" si="358"/>
        <v>2.8341022114070308E-4</v>
      </c>
      <c r="BU146" s="528">
        <f t="shared" si="359"/>
        <v>9.3804891622574527</v>
      </c>
      <c r="BV146" s="528"/>
      <c r="BW146" s="625">
        <f t="shared" si="467"/>
        <v>1.1872340425531913</v>
      </c>
      <c r="BX146" s="460">
        <f t="shared" si="361"/>
        <v>10726.30448737221</v>
      </c>
      <c r="BY146" s="173">
        <f t="shared" si="362"/>
        <v>13.671387791796976</v>
      </c>
      <c r="BZ146" s="5">
        <f t="shared" si="363"/>
        <v>27.899999999999995</v>
      </c>
      <c r="CA146" s="173">
        <f t="shared" si="364"/>
        <v>0.67113467897035983</v>
      </c>
      <c r="CB146" s="5">
        <f t="shared" si="365"/>
        <v>67.113467897035989</v>
      </c>
      <c r="CC146">
        <f t="shared" si="366"/>
        <v>36</v>
      </c>
      <c r="CE146" s="562">
        <f t="shared" si="468"/>
        <v>-50</v>
      </c>
      <c r="CF146">
        <f t="shared" si="469"/>
        <v>-50</v>
      </c>
      <c r="CG146" s="173">
        <f t="shared" si="369"/>
        <v>0.32289404358129881</v>
      </c>
      <c r="CH146" s="173">
        <f t="shared" si="470"/>
        <v>0.10470977506081418</v>
      </c>
      <c r="CI146" s="170">
        <v>36</v>
      </c>
      <c r="CJ146" s="217">
        <f t="shared" si="437"/>
        <v>0.89999999999999991</v>
      </c>
      <c r="CK146" s="217">
        <f t="shared" si="371"/>
        <v>0.09</v>
      </c>
      <c r="CL146" s="217">
        <f t="shared" si="372"/>
        <v>25.199999999999996</v>
      </c>
      <c r="CM146" s="217">
        <f t="shared" si="373"/>
        <v>2.6999999999999997</v>
      </c>
      <c r="CN146" s="541">
        <f t="shared" si="374"/>
        <v>19</v>
      </c>
      <c r="CO146" s="443">
        <f t="shared" si="471"/>
        <v>28.7</v>
      </c>
      <c r="CP146" s="443">
        <f t="shared" si="472"/>
        <v>47.7</v>
      </c>
      <c r="CQ146" s="443"/>
      <c r="CR146" s="217">
        <f t="shared" si="377"/>
        <v>0.59915611814345993</v>
      </c>
      <c r="CS146" s="172">
        <f t="shared" si="378"/>
        <v>85.685767433419556</v>
      </c>
      <c r="CT146" s="172">
        <f t="shared" si="379"/>
        <v>10.164255575647982</v>
      </c>
      <c r="CU146" s="217">
        <f t="shared" si="380"/>
        <v>3.0602059797649841</v>
      </c>
      <c r="CV146" s="217">
        <f t="shared" si="381"/>
        <v>2.8561922477806521</v>
      </c>
      <c r="CW146" s="217">
        <f t="shared" si="382"/>
        <v>28</v>
      </c>
      <c r="CX146" s="217">
        <f t="shared" si="383"/>
        <v>4.9016308376575228</v>
      </c>
      <c r="CY146" s="217">
        <f t="shared" si="384"/>
        <v>1.2125086808942294</v>
      </c>
      <c r="CZ146" s="217">
        <f t="shared" si="385"/>
        <v>0.80270609536551762</v>
      </c>
      <c r="DA146" s="197">
        <f t="shared" si="386"/>
        <v>350</v>
      </c>
      <c r="DB146" s="443">
        <f t="shared" si="387"/>
        <v>350</v>
      </c>
      <c r="DD146" s="217">
        <f t="shared" si="388"/>
        <v>6.9494625094785683</v>
      </c>
      <c r="DE146" s="173">
        <f t="shared" si="389"/>
        <v>1.1380652890086853</v>
      </c>
      <c r="DF146" s="173">
        <f t="shared" si="390"/>
        <v>1.2501230996965573</v>
      </c>
      <c r="DG146" s="173"/>
      <c r="DH146" s="173">
        <f t="shared" si="391"/>
        <v>0.54587688734030204</v>
      </c>
      <c r="DI146" s="545">
        <f t="shared" si="392"/>
        <v>989.23404255319144</v>
      </c>
      <c r="DJ146" s="528">
        <f t="shared" si="393"/>
        <v>0.31842818428184283</v>
      </c>
      <c r="DL146" s="173">
        <f t="shared" si="394"/>
        <v>5.8241714126884085</v>
      </c>
      <c r="DM146" s="173">
        <f t="shared" si="395"/>
        <v>5.8241714126884085</v>
      </c>
      <c r="DN146" s="173">
        <f t="shared" si="396"/>
        <v>3.0450652439667221</v>
      </c>
      <c r="DP146" s="545">
        <f t="shared" si="397"/>
        <v>899.99999999999989</v>
      </c>
      <c r="DQ146" s="460">
        <f t="shared" si="398"/>
        <v>350</v>
      </c>
      <c r="DS146" s="460">
        <f t="shared" si="399"/>
        <v>899.99999999999989</v>
      </c>
      <c r="DT146" s="460">
        <f t="shared" si="400"/>
        <v>350</v>
      </c>
      <c r="DV146" s="5">
        <f t="shared" si="401"/>
        <v>2.8571428571428572</v>
      </c>
      <c r="DW146" s="5">
        <f t="shared" si="402"/>
        <v>1.4407160862966064</v>
      </c>
      <c r="DX146" s="5">
        <f t="shared" si="403"/>
        <v>1.4164267708462508</v>
      </c>
      <c r="DY146" s="173">
        <f t="shared" si="404"/>
        <v>0.50425063020381222</v>
      </c>
      <c r="EA146" s="5">
        <f t="shared" si="405"/>
        <v>4.6308731345248058</v>
      </c>
      <c r="EB146" s="5">
        <f t="shared" si="406"/>
        <v>0.43221482588898191</v>
      </c>
      <c r="EC146" s="5">
        <f t="shared" si="407"/>
        <v>1.3418779934332898</v>
      </c>
      <c r="ED146" s="5"/>
      <c r="EE146" s="173">
        <f t="shared" si="408"/>
        <v>2.3877933909122961</v>
      </c>
      <c r="EF146" s="173">
        <f t="shared" si="409"/>
        <v>2.3675796932256628</v>
      </c>
      <c r="EG146" s="173">
        <f t="shared" si="410"/>
        <v>0.23869860841537419</v>
      </c>
      <c r="EH146" s="173"/>
      <c r="EI146" s="528">
        <f t="shared" si="411"/>
        <v>6.8418687332213304E-2</v>
      </c>
      <c r="EJ146" s="528">
        <f t="shared" si="412"/>
        <v>1.8474562929618268</v>
      </c>
      <c r="EK146" s="528">
        <f t="shared" si="413"/>
        <v>4.0250000000000001E-2</v>
      </c>
      <c r="EL146" s="528">
        <f t="shared" si="414"/>
        <v>0.39220311375000005</v>
      </c>
      <c r="EM146">
        <f t="shared" si="415"/>
        <v>8.5500000000000003E-3</v>
      </c>
      <c r="EN146" s="460">
        <f t="shared" si="416"/>
        <v>48.800000000000004</v>
      </c>
      <c r="EP146" s="460">
        <f t="shared" si="438"/>
        <v>2356.8780940440402</v>
      </c>
      <c r="EQ146" s="173">
        <f t="shared" si="417"/>
        <v>0.62999999999999989</v>
      </c>
      <c r="ER146" s="173">
        <f t="shared" si="473"/>
        <v>4.3109999999999996E-2</v>
      </c>
      <c r="ES146" s="528"/>
      <c r="EU146" s="460">
        <f t="shared" si="419"/>
        <v>673.1099999999999</v>
      </c>
      <c r="EV146" s="528">
        <f t="shared" si="420"/>
        <v>7.9821801887582186E-2</v>
      </c>
      <c r="EW146" s="528">
        <f t="shared" si="421"/>
        <v>7.8476070452843327E-2</v>
      </c>
      <c r="EX146" s="528">
        <f t="shared" si="422"/>
        <v>2.8488512829718073E-4</v>
      </c>
      <c r="EY146" s="528">
        <f t="shared" si="423"/>
        <v>9.3804891622574527</v>
      </c>
      <c r="EZ146" s="528"/>
      <c r="FA146" s="625">
        <f t="shared" si="424"/>
        <v>1.1872340425531913</v>
      </c>
      <c r="FB146" s="460">
        <f t="shared" si="425"/>
        <v>10726.305962279368</v>
      </c>
      <c r="FC146" s="173">
        <f t="shared" si="426"/>
        <v>13.756294056323407</v>
      </c>
      <c r="FD146" s="5">
        <f t="shared" si="427"/>
        <v>27.899999999999995</v>
      </c>
      <c r="FE146" s="173">
        <f t="shared" si="428"/>
        <v>0.66976673350434035</v>
      </c>
      <c r="FF146" s="5">
        <f t="shared" si="429"/>
        <v>66.976673350434041</v>
      </c>
      <c r="FG146">
        <f t="shared" si="430"/>
        <v>36</v>
      </c>
      <c r="FI146" s="562">
        <f t="shared" si="431"/>
        <v>-50</v>
      </c>
      <c r="FJ146">
        <f t="shared" si="432"/>
        <v>-50</v>
      </c>
    </row>
    <row r="147" spans="5:166">
      <c r="E147" s="170">
        <v>37</v>
      </c>
      <c r="F147" s="217">
        <f t="shared" si="474"/>
        <v>0.92500000000000004</v>
      </c>
      <c r="G147" s="217">
        <f t="shared" si="443"/>
        <v>9.2499999999999999E-2</v>
      </c>
      <c r="H147" s="217">
        <f t="shared" si="444"/>
        <v>25.900000000000002</v>
      </c>
      <c r="I147" s="217">
        <f t="shared" si="445"/>
        <v>2.7749999999999999</v>
      </c>
      <c r="J147" s="541">
        <f t="shared" si="446"/>
        <v>18.902454121976607</v>
      </c>
      <c r="K147" s="443">
        <f t="shared" si="447"/>
        <v>28.739560349803757</v>
      </c>
      <c r="L147" s="172">
        <f t="shared" si="448"/>
        <v>47.642014471780364</v>
      </c>
      <c r="M147" s="443"/>
      <c r="N147" s="217">
        <f t="shared" si="449"/>
        <v>0.60323982242243268</v>
      </c>
      <c r="O147" s="172">
        <f t="shared" si="450"/>
        <v>85.82687255400586</v>
      </c>
      <c r="P147" s="172">
        <f t="shared" si="451"/>
        <v>10.180993810615492</v>
      </c>
      <c r="Q147" s="217">
        <f t="shared" si="321"/>
        <v>3.0652454483573521</v>
      </c>
      <c r="R147" s="217">
        <f t="shared" si="452"/>
        <v>2.8608957518001952</v>
      </c>
      <c r="S147" s="217">
        <f t="shared" si="453"/>
        <v>28</v>
      </c>
      <c r="T147" s="217">
        <f t="shared" si="454"/>
        <v>5.0295047905310071</v>
      </c>
      <c r="U147" s="217">
        <f t="shared" si="325"/>
        <v>1.2505610310151551</v>
      </c>
      <c r="V147" s="217">
        <f t="shared" si="326"/>
        <v>0.82251336581970869</v>
      </c>
      <c r="W147" s="197">
        <f t="shared" si="327"/>
        <v>350</v>
      </c>
      <c r="X147" s="443">
        <f t="shared" si="434"/>
        <v>350</v>
      </c>
      <c r="Z147" s="217">
        <f t="shared" si="328"/>
        <v>6.9317404668020357</v>
      </c>
      <c r="AA147" s="173">
        <f t="shared" si="329"/>
        <v>1.1336005073644779</v>
      </c>
      <c r="AB147" s="173">
        <f t="shared" si="455"/>
        <v>1.2420432290135415</v>
      </c>
      <c r="AC147" s="173"/>
      <c r="AD147" s="173">
        <f t="shared" si="331"/>
        <v>0.54512548125231297</v>
      </c>
      <c r="AE147" s="545">
        <f t="shared" si="456"/>
        <v>1018.1142123919843</v>
      </c>
      <c r="AF147" s="528">
        <f t="shared" si="457"/>
        <v>0.31798986406384927</v>
      </c>
      <c r="AH147" s="173">
        <f t="shared" si="458"/>
        <v>5.9045086065225174</v>
      </c>
      <c r="AI147" s="173">
        <f t="shared" si="459"/>
        <v>5.9045086065225174</v>
      </c>
      <c r="AJ147" s="173">
        <f t="shared" si="460"/>
        <v>3.1045742764364324</v>
      </c>
      <c r="AL147" s="545">
        <f t="shared" si="461"/>
        <v>925</v>
      </c>
      <c r="AM147" s="460">
        <f t="shared" si="462"/>
        <v>350</v>
      </c>
      <c r="AO147" s="460">
        <f t="shared" si="339"/>
        <v>925</v>
      </c>
      <c r="AP147" s="460">
        <f t="shared" si="340"/>
        <v>350</v>
      </c>
      <c r="AR147" s="5">
        <f t="shared" si="442"/>
        <v>2.8571428571428572</v>
      </c>
      <c r="AS147" s="5">
        <f t="shared" si="439"/>
        <v>1.4681263222002161</v>
      </c>
      <c r="AT147" s="5">
        <f t="shared" si="440"/>
        <v>1.3890165349426411</v>
      </c>
      <c r="AU147" s="173">
        <f t="shared" si="441"/>
        <v>0.51384421277007564</v>
      </c>
      <c r="AW147" s="5">
        <f t="shared" si="341"/>
        <v>4.8500601715542855</v>
      </c>
      <c r="AX147" s="5">
        <f t="shared" si="342"/>
        <v>0.45267228267839993</v>
      </c>
      <c r="AY147" s="5">
        <f t="shared" si="343"/>
        <v>1.3594428390418849</v>
      </c>
      <c r="AZ147" s="5"/>
      <c r="BA147" s="173">
        <f t="shared" si="344"/>
        <v>2.4436492385957385</v>
      </c>
      <c r="BB147" s="173">
        <f t="shared" si="345"/>
        <v>2.3768997370966161</v>
      </c>
      <c r="BC147" s="173">
        <f t="shared" si="346"/>
        <v>0.23963825218269164</v>
      </c>
      <c r="BD147" s="173"/>
      <c r="BE147" s="528">
        <f t="shared" si="347"/>
        <v>7.1657059215474384E-2</v>
      </c>
      <c r="BF147" s="528">
        <f t="shared" si="463"/>
        <v>1.7968208971204556</v>
      </c>
      <c r="BG147" s="528">
        <f t="shared" si="349"/>
        <v>4.0250000000000001E-2</v>
      </c>
      <c r="BH147" s="528">
        <f t="shared" si="350"/>
        <v>0.39125014596244317</v>
      </c>
      <c r="BI147">
        <f t="shared" si="351"/>
        <v>8.5061043548894724E-3</v>
      </c>
      <c r="BJ147" s="460">
        <f t="shared" si="435"/>
        <v>48.756104354889473</v>
      </c>
      <c r="BK147">
        <f t="shared" si="464"/>
        <v>2.3185504934635452</v>
      </c>
      <c r="BL147" s="460">
        <f t="shared" si="436"/>
        <v>2308.4842066532624</v>
      </c>
      <c r="BM147" s="173">
        <f t="shared" si="465"/>
        <v>0.620305</v>
      </c>
      <c r="BN147" s="173">
        <f t="shared" si="466"/>
        <v>6.2030500000000002E-2</v>
      </c>
      <c r="BO147" s="528"/>
      <c r="BQ147" s="460">
        <f t="shared" si="355"/>
        <v>682.33550000000002</v>
      </c>
      <c r="BR147" s="528">
        <f t="shared" si="356"/>
        <v>8.3599902418053457E-2</v>
      </c>
      <c r="BS147" s="528">
        <f t="shared" si="357"/>
        <v>7.9095133042939483E-2</v>
      </c>
      <c r="BT147" s="528">
        <f t="shared" si="358"/>
        <v>2.8713245954587656E-4</v>
      </c>
      <c r="BU147" s="528">
        <f t="shared" si="359"/>
        <v>9.7073237742098115</v>
      </c>
      <c r="BV147" s="528"/>
      <c r="BW147" s="625">
        <f t="shared" si="467"/>
        <v>1.2202127659574469</v>
      </c>
      <c r="BX147" s="460">
        <f t="shared" si="361"/>
        <v>11090.518708087797</v>
      </c>
      <c r="BY147" s="173">
        <f t="shared" si="362"/>
        <v>14.08133841474106</v>
      </c>
      <c r="BZ147" s="5">
        <f t="shared" si="363"/>
        <v>28.675000000000001</v>
      </c>
      <c r="CA147" s="173">
        <f t="shared" si="364"/>
        <v>0.67066079704602932</v>
      </c>
      <c r="CB147" s="5">
        <f t="shared" si="365"/>
        <v>67.066079704602927</v>
      </c>
      <c r="CC147">
        <f t="shared" si="366"/>
        <v>37</v>
      </c>
      <c r="CE147" s="562">
        <f t="shared" si="468"/>
        <v>-50</v>
      </c>
      <c r="CF147">
        <f t="shared" si="469"/>
        <v>-50</v>
      </c>
      <c r="CG147" s="173">
        <f t="shared" si="369"/>
        <v>0.32734796492546747</v>
      </c>
      <c r="CH147" s="173">
        <f t="shared" si="470"/>
        <v>0.10615411604931259</v>
      </c>
      <c r="CI147" s="170">
        <v>37</v>
      </c>
      <c r="CJ147" s="217">
        <f t="shared" si="437"/>
        <v>0.92500000000000004</v>
      </c>
      <c r="CK147" s="217">
        <f t="shared" si="371"/>
        <v>9.2499999999999999E-2</v>
      </c>
      <c r="CL147" s="217">
        <f t="shared" si="372"/>
        <v>25.900000000000002</v>
      </c>
      <c r="CM147" s="217">
        <f t="shared" si="373"/>
        <v>2.7749999999999999</v>
      </c>
      <c r="CN147" s="541">
        <f t="shared" si="374"/>
        <v>19</v>
      </c>
      <c r="CO147" s="443">
        <f t="shared" si="471"/>
        <v>28.7</v>
      </c>
      <c r="CP147" s="443">
        <f t="shared" si="472"/>
        <v>47.7</v>
      </c>
      <c r="CQ147" s="443"/>
      <c r="CR147" s="217">
        <f t="shared" si="377"/>
        <v>0.59915611814345993</v>
      </c>
      <c r="CS147" s="172">
        <f t="shared" si="378"/>
        <v>85.685767433419556</v>
      </c>
      <c r="CT147" s="172">
        <f t="shared" si="379"/>
        <v>10.164255575647982</v>
      </c>
      <c r="CU147" s="217">
        <f t="shared" si="380"/>
        <v>3.0602059797649841</v>
      </c>
      <c r="CV147" s="217">
        <f t="shared" si="381"/>
        <v>2.8561922477806521</v>
      </c>
      <c r="CW147" s="217">
        <f t="shared" si="382"/>
        <v>28</v>
      </c>
      <c r="CX147" s="217">
        <f t="shared" si="383"/>
        <v>5.0377872498146772</v>
      </c>
      <c r="CY147" s="217">
        <f t="shared" si="384"/>
        <v>1.2461894775857358</v>
      </c>
      <c r="CZ147" s="217">
        <f t="shared" si="385"/>
        <v>0.82500348690344882</v>
      </c>
      <c r="DA147" s="197">
        <f t="shared" si="386"/>
        <v>350</v>
      </c>
      <c r="DB147" s="443">
        <f t="shared" si="387"/>
        <v>350</v>
      </c>
      <c r="DD147" s="217">
        <f t="shared" si="388"/>
        <v>6.9494625094785683</v>
      </c>
      <c r="DE147" s="173">
        <f t="shared" si="389"/>
        <v>1.1380652890086853</v>
      </c>
      <c r="DF147" s="173">
        <f t="shared" si="390"/>
        <v>1.2501230996965573</v>
      </c>
      <c r="DG147" s="173"/>
      <c r="DH147" s="173">
        <f t="shared" si="391"/>
        <v>0.54587688734030204</v>
      </c>
      <c r="DI147" s="545">
        <f t="shared" si="392"/>
        <v>1016.7127659574467</v>
      </c>
      <c r="DJ147" s="528">
        <f t="shared" si="393"/>
        <v>0.31842818428184283</v>
      </c>
      <c r="DL147" s="173">
        <f t="shared" si="394"/>
        <v>5.9045086065225174</v>
      </c>
      <c r="DM147" s="173">
        <f t="shared" si="395"/>
        <v>5.9045086065225174</v>
      </c>
      <c r="DN147" s="173">
        <f t="shared" si="396"/>
        <v>3.1045742764364324</v>
      </c>
      <c r="DP147" s="545">
        <f t="shared" si="397"/>
        <v>925</v>
      </c>
      <c r="DQ147" s="460">
        <f t="shared" si="398"/>
        <v>350</v>
      </c>
      <c r="DS147" s="460">
        <f t="shared" si="399"/>
        <v>925</v>
      </c>
      <c r="DT147" s="460">
        <f t="shared" si="400"/>
        <v>350</v>
      </c>
      <c r="DV147" s="5">
        <f t="shared" si="401"/>
        <v>2.8571428571428572</v>
      </c>
      <c r="DW147" s="5">
        <f t="shared" si="402"/>
        <v>1.4605889710871491</v>
      </c>
      <c r="DX147" s="5">
        <f t="shared" si="403"/>
        <v>1.3965538860557081</v>
      </c>
      <c r="DY147" s="173">
        <f t="shared" si="404"/>
        <v>0.51120613988050223</v>
      </c>
      <c r="EA147" s="5">
        <f t="shared" si="405"/>
        <v>4.8251599937700469</v>
      </c>
      <c r="EB147" s="5">
        <f t="shared" si="406"/>
        <v>0.45034826608520429</v>
      </c>
      <c r="EC147" s="5">
        <f t="shared" si="407"/>
        <v>1.3598024680016103</v>
      </c>
      <c r="ED147" s="5"/>
      <c r="EE147" s="173">
        <f t="shared" si="408"/>
        <v>2.4373683269304975</v>
      </c>
      <c r="EF147" s="173">
        <f t="shared" si="409"/>
        <v>2.3833400093934398</v>
      </c>
      <c r="EG147" s="173">
        <f t="shared" si="410"/>
        <v>0.24028755832409268</v>
      </c>
      <c r="EH147" s="173"/>
      <c r="EI147" s="528">
        <f t="shared" si="411"/>
        <v>7.128917233348768E-2</v>
      </c>
      <c r="EJ147" s="528">
        <f t="shared" si="412"/>
        <v>1.8729396525319753</v>
      </c>
      <c r="EK147" s="528">
        <f t="shared" si="413"/>
        <v>4.0250000000000001E-2</v>
      </c>
      <c r="EL147" s="528">
        <f t="shared" si="414"/>
        <v>0.39220311375000005</v>
      </c>
      <c r="EM147">
        <f t="shared" si="415"/>
        <v>8.5500000000000003E-3</v>
      </c>
      <c r="EN147" s="460">
        <f t="shared" si="416"/>
        <v>48.800000000000004</v>
      </c>
      <c r="EP147" s="460">
        <f t="shared" si="438"/>
        <v>2385.2319386154627</v>
      </c>
      <c r="EQ147" s="173">
        <f t="shared" si="417"/>
        <v>0.64749999999999996</v>
      </c>
      <c r="ER147" s="173">
        <f t="shared" si="473"/>
        <v>4.43075E-2</v>
      </c>
      <c r="ES147" s="528"/>
      <c r="EU147" s="460">
        <f t="shared" si="419"/>
        <v>691.80749999999989</v>
      </c>
      <c r="EV147" s="528">
        <f t="shared" si="420"/>
        <v>8.3170701055735624E-2</v>
      </c>
      <c r="EW147" s="528">
        <f t="shared" si="421"/>
        <v>7.9524334405257316E-2</v>
      </c>
      <c r="EX147" s="528">
        <f t="shared" si="422"/>
        <v>2.8869055342677124E-4</v>
      </c>
      <c r="EY147" s="528">
        <f t="shared" si="423"/>
        <v>9.7073237742098115</v>
      </c>
      <c r="EZ147" s="528"/>
      <c r="FA147" s="625">
        <f t="shared" si="424"/>
        <v>1.2202127659574469</v>
      </c>
      <c r="FB147" s="460">
        <f t="shared" si="425"/>
        <v>11090.520266181677</v>
      </c>
      <c r="FC147" s="173">
        <f t="shared" si="426"/>
        <v>14.16755970479714</v>
      </c>
      <c r="FD147" s="5">
        <f t="shared" si="427"/>
        <v>28.675000000000001</v>
      </c>
      <c r="FE147" s="173">
        <f t="shared" si="428"/>
        <v>0.66931108219449409</v>
      </c>
      <c r="FF147" s="5">
        <f t="shared" si="429"/>
        <v>66.931108219449413</v>
      </c>
      <c r="FG147">
        <f t="shared" si="430"/>
        <v>37</v>
      </c>
      <c r="FI147" s="562">
        <f t="shared" si="431"/>
        <v>-50</v>
      </c>
      <c r="FJ147">
        <f t="shared" si="432"/>
        <v>-50</v>
      </c>
    </row>
    <row r="148" spans="5:166">
      <c r="E148" s="170">
        <v>38</v>
      </c>
      <c r="F148" s="217">
        <f t="shared" si="474"/>
        <v>0.95</v>
      </c>
      <c r="G148" s="217">
        <f t="shared" si="443"/>
        <v>9.5000000000000001E-2</v>
      </c>
      <c r="H148" s="217">
        <f t="shared" si="444"/>
        <v>26.599999999999998</v>
      </c>
      <c r="I148" s="217">
        <f t="shared" si="445"/>
        <v>2.85</v>
      </c>
      <c r="J148" s="541">
        <f t="shared" si="446"/>
        <v>18.901144722743297</v>
      </c>
      <c r="K148" s="443">
        <f t="shared" si="447"/>
        <v>28.740091384971539</v>
      </c>
      <c r="L148" s="172">
        <f t="shared" si="448"/>
        <v>47.641236107714832</v>
      </c>
      <c r="M148" s="443"/>
      <c r="N148" s="217">
        <f t="shared" si="449"/>
        <v>0.60326082471897668</v>
      </c>
      <c r="O148" s="172">
        <f t="shared" si="450"/>
        <v>85.823915134434401</v>
      </c>
      <c r="P148" s="172">
        <f t="shared" si="451"/>
        <v>10.180642994263264</v>
      </c>
      <c r="Q148" s="217">
        <f t="shared" si="321"/>
        <v>3.0651398262298</v>
      </c>
      <c r="R148" s="217">
        <f t="shared" si="452"/>
        <v>2.8607971711478135</v>
      </c>
      <c r="S148" s="217">
        <f t="shared" si="453"/>
        <v>28</v>
      </c>
      <c r="T148" s="217">
        <f t="shared" si="454"/>
        <v>5.1656153490422447</v>
      </c>
      <c r="U148" s="217">
        <f t="shared" si="325"/>
        <v>1.2844932143863721</v>
      </c>
      <c r="V148" s="217">
        <f t="shared" si="326"/>
        <v>0.84475695693834663</v>
      </c>
      <c r="W148" s="197">
        <f t="shared" si="327"/>
        <v>350</v>
      </c>
      <c r="X148" s="443">
        <f t="shared" si="434"/>
        <v>350</v>
      </c>
      <c r="Z148" s="217">
        <f t="shared" si="328"/>
        <v>6.9315016131154126</v>
      </c>
      <c r="AA148" s="173">
        <f t="shared" si="329"/>
        <v>1.133540500802924</v>
      </c>
      <c r="AB148" s="173">
        <f t="shared" si="455"/>
        <v>1.2419346860726093</v>
      </c>
      <c r="AC148" s="173"/>
      <c r="AD148" s="173">
        <f t="shared" si="331"/>
        <v>0.54511540888345644</v>
      </c>
      <c r="AE148" s="545">
        <f t="shared" si="456"/>
        <v>1045.6501333681135</v>
      </c>
      <c r="AF148" s="528">
        <f t="shared" si="457"/>
        <v>0.31798398851534965</v>
      </c>
      <c r="AH148" s="173">
        <f t="shared" si="458"/>
        <v>5.9837673020113389</v>
      </c>
      <c r="AI148" s="173">
        <f t="shared" si="459"/>
        <v>5.9837673020113389</v>
      </c>
      <c r="AJ148" s="173">
        <f t="shared" si="460"/>
        <v>3.1632844212429667</v>
      </c>
      <c r="AL148" s="545">
        <f t="shared" si="461"/>
        <v>950</v>
      </c>
      <c r="AM148" s="460">
        <f t="shared" si="462"/>
        <v>350</v>
      </c>
      <c r="AO148" s="460">
        <f t="shared" si="339"/>
        <v>950</v>
      </c>
      <c r="AP148" s="460">
        <f t="shared" si="340"/>
        <v>350</v>
      </c>
      <c r="AR148" s="5">
        <f t="shared" si="442"/>
        <v>2.8571428571428572</v>
      </c>
      <c r="AS148" s="5">
        <f t="shared" si="439"/>
        <v>1.4879366690215703</v>
      </c>
      <c r="AT148" s="5">
        <f t="shared" si="440"/>
        <v>1.3692061881212869</v>
      </c>
      <c r="AU148" s="173">
        <f t="shared" si="441"/>
        <v>0.52077783415754964</v>
      </c>
      <c r="AW148" s="5">
        <f t="shared" si="341"/>
        <v>5.0483565556088994</v>
      </c>
      <c r="AX148" s="5">
        <f t="shared" si="342"/>
        <v>0.47117994519016387</v>
      </c>
      <c r="AY148" s="5">
        <f t="shared" si="343"/>
        <v>1.3763673023994847</v>
      </c>
      <c r="AZ148" s="5"/>
      <c r="BA148" s="173">
        <f t="shared" si="344"/>
        <v>2.4931035346377892</v>
      </c>
      <c r="BB148" s="173">
        <f t="shared" si="345"/>
        <v>2.3915668100884364</v>
      </c>
      <c r="BC148" s="173">
        <f t="shared" si="346"/>
        <v>0.24111698167285056</v>
      </c>
      <c r="BD148" s="173"/>
      <c r="BE148" s="528">
        <f t="shared" si="347"/>
        <v>7.4586782813081259E-2</v>
      </c>
      <c r="BF148" s="528">
        <f t="shared" si="463"/>
        <v>1.8209106275463649</v>
      </c>
      <c r="BG148" s="528">
        <f t="shared" si="349"/>
        <v>4.0250000000000001E-2</v>
      </c>
      <c r="BH148" s="528">
        <f t="shared" si="350"/>
        <v>0.39123736176051904</v>
      </c>
      <c r="BI148">
        <f t="shared" si="351"/>
        <v>8.5055151252344825E-3</v>
      </c>
      <c r="BJ148" s="460">
        <f t="shared" si="435"/>
        <v>48.755515125234481</v>
      </c>
      <c r="BK148">
        <f t="shared" si="464"/>
        <v>2.3484927686489154</v>
      </c>
      <c r="BL148" s="460">
        <f t="shared" si="436"/>
        <v>2335.4902872451999</v>
      </c>
      <c r="BM148" s="173">
        <f t="shared" si="465"/>
        <v>0.63706999999999991</v>
      </c>
      <c r="BN148" s="173">
        <f t="shared" si="466"/>
        <v>6.3706999999999986E-2</v>
      </c>
      <c r="BO148" s="528"/>
      <c r="BQ148" s="460">
        <f t="shared" si="355"/>
        <v>700.77699999999982</v>
      </c>
      <c r="BR148" s="528">
        <f t="shared" si="356"/>
        <v>8.701791328192815E-2</v>
      </c>
      <c r="BS148" s="528">
        <f t="shared" si="357"/>
        <v>8.0074285299632106E-2</v>
      </c>
      <c r="BT148" s="528">
        <f t="shared" si="358"/>
        <v>2.9068699425512876E-4</v>
      </c>
      <c r="BU148" s="528">
        <f t="shared" si="359"/>
        <v>10.036374442482177</v>
      </c>
      <c r="BV148" s="528"/>
      <c r="BW148" s="625">
        <f t="shared" si="467"/>
        <v>1.253191489361702</v>
      </c>
      <c r="BX148" s="460">
        <f t="shared" si="361"/>
        <v>11456.948817419696</v>
      </c>
      <c r="BY148" s="173">
        <f t="shared" si="362"/>
        <v>14.493216104664894</v>
      </c>
      <c r="BZ148" s="5">
        <f t="shared" si="363"/>
        <v>29.45</v>
      </c>
      <c r="CA148" s="173">
        <f t="shared" si="364"/>
        <v>0.67018308195411458</v>
      </c>
      <c r="CB148" s="5">
        <f t="shared" si="365"/>
        <v>67.018308195411464</v>
      </c>
      <c r="CC148">
        <f t="shared" si="366"/>
        <v>38</v>
      </c>
      <c r="CE148" s="562">
        <f t="shared" si="468"/>
        <v>-50</v>
      </c>
      <c r="CF148">
        <f t="shared" si="469"/>
        <v>-50</v>
      </c>
      <c r="CG148" s="173">
        <f t="shared" si="369"/>
        <v>0.33174209395463888</v>
      </c>
      <c r="CH148" s="173">
        <f t="shared" si="470"/>
        <v>0.10757906727210245</v>
      </c>
      <c r="CI148" s="170">
        <v>38</v>
      </c>
      <c r="CJ148" s="217">
        <f t="shared" si="437"/>
        <v>0.95</v>
      </c>
      <c r="CK148" s="217">
        <f t="shared" si="371"/>
        <v>9.5000000000000001E-2</v>
      </c>
      <c r="CL148" s="217">
        <f t="shared" si="372"/>
        <v>26.599999999999998</v>
      </c>
      <c r="CM148" s="217">
        <f t="shared" si="373"/>
        <v>2.85</v>
      </c>
      <c r="CN148" s="541">
        <f t="shared" si="374"/>
        <v>19</v>
      </c>
      <c r="CO148" s="443">
        <f t="shared" si="471"/>
        <v>28.7</v>
      </c>
      <c r="CP148" s="443">
        <f t="shared" si="472"/>
        <v>47.7</v>
      </c>
      <c r="CQ148" s="443"/>
      <c r="CR148" s="217">
        <f t="shared" si="377"/>
        <v>0.59915611814345993</v>
      </c>
      <c r="CS148" s="172">
        <f t="shared" si="378"/>
        <v>85.685767433419556</v>
      </c>
      <c r="CT148" s="172">
        <f t="shared" si="379"/>
        <v>10.164255575647982</v>
      </c>
      <c r="CU148" s="217">
        <f t="shared" si="380"/>
        <v>3.0602059797649841</v>
      </c>
      <c r="CV148" s="217">
        <f t="shared" si="381"/>
        <v>2.8561922477806521</v>
      </c>
      <c r="CW148" s="217">
        <f t="shared" si="382"/>
        <v>28</v>
      </c>
      <c r="CX148" s="217">
        <f t="shared" si="383"/>
        <v>5.1739436619718306</v>
      </c>
      <c r="CY148" s="217">
        <f t="shared" si="384"/>
        <v>1.2798702742772423</v>
      </c>
      <c r="CZ148" s="217">
        <f t="shared" si="385"/>
        <v>0.84730087844137991</v>
      </c>
      <c r="DA148" s="197">
        <f t="shared" si="386"/>
        <v>350</v>
      </c>
      <c r="DB148" s="443">
        <f t="shared" si="387"/>
        <v>350</v>
      </c>
      <c r="DD148" s="217">
        <f t="shared" si="388"/>
        <v>6.9494625094785683</v>
      </c>
      <c r="DE148" s="173">
        <f t="shared" si="389"/>
        <v>1.1380652890086853</v>
      </c>
      <c r="DF148" s="173">
        <f t="shared" si="390"/>
        <v>1.2501230996965573</v>
      </c>
      <c r="DG148" s="173"/>
      <c r="DH148" s="173">
        <f t="shared" si="391"/>
        <v>0.54587688734030204</v>
      </c>
      <c r="DI148" s="545">
        <f t="shared" si="392"/>
        <v>1044.191489361702</v>
      </c>
      <c r="DJ148" s="528">
        <f t="shared" si="393"/>
        <v>0.31842818428184283</v>
      </c>
      <c r="DL148" s="173">
        <f t="shared" si="394"/>
        <v>5.9837673020113389</v>
      </c>
      <c r="DM148" s="173">
        <f t="shared" si="395"/>
        <v>5.9837673020113389</v>
      </c>
      <c r="DN148" s="173">
        <f t="shared" si="396"/>
        <v>3.1632844212429667</v>
      </c>
      <c r="DP148" s="545">
        <f t="shared" si="397"/>
        <v>950</v>
      </c>
      <c r="DQ148" s="460">
        <f t="shared" si="398"/>
        <v>350</v>
      </c>
      <c r="DS148" s="460">
        <f t="shared" si="399"/>
        <v>950</v>
      </c>
      <c r="DT148" s="460">
        <f t="shared" si="400"/>
        <v>350</v>
      </c>
      <c r="DV148" s="5">
        <f t="shared" si="401"/>
        <v>2.8571428571428572</v>
      </c>
      <c r="DW148" s="5">
        <f t="shared" si="402"/>
        <v>1.48019506944491</v>
      </c>
      <c r="DX148" s="5">
        <f t="shared" si="403"/>
        <v>1.3769477876979472</v>
      </c>
      <c r="DY148" s="173">
        <f t="shared" si="404"/>
        <v>0.51806827430571845</v>
      </c>
      <c r="EA148" s="5">
        <f t="shared" si="405"/>
        <v>5.0220904141880878</v>
      </c>
      <c r="EB148" s="5">
        <f t="shared" si="406"/>
        <v>0.46872843865755487</v>
      </c>
      <c r="EC148" s="5">
        <f t="shared" si="407"/>
        <v>1.376947787697947</v>
      </c>
      <c r="ED148" s="5"/>
      <c r="EE148" s="173">
        <f t="shared" si="408"/>
        <v>2.4866093806785141</v>
      </c>
      <c r="EF148" s="173">
        <f t="shared" si="409"/>
        <v>2.3983183336374756</v>
      </c>
      <c r="EG148" s="173">
        <f t="shared" si="410"/>
        <v>0.24179766806345038</v>
      </c>
      <c r="EH148" s="173"/>
      <c r="EI148" s="528">
        <f t="shared" si="411"/>
        <v>7.4198714544940605E-2</v>
      </c>
      <c r="EJ148" s="528">
        <f t="shared" si="412"/>
        <v>1.898080907034507</v>
      </c>
      <c r="EK148" s="528">
        <f t="shared" si="413"/>
        <v>4.0250000000000001E-2</v>
      </c>
      <c r="EL148" s="528">
        <f t="shared" si="414"/>
        <v>0.39220311375000005</v>
      </c>
      <c r="EM148">
        <f t="shared" si="415"/>
        <v>8.5500000000000003E-3</v>
      </c>
      <c r="EN148" s="460">
        <f t="shared" si="416"/>
        <v>48.800000000000004</v>
      </c>
      <c r="EP148" s="460">
        <f t="shared" si="438"/>
        <v>2413.2827353294479</v>
      </c>
      <c r="EQ148" s="173">
        <f t="shared" si="417"/>
        <v>0.66499999999999992</v>
      </c>
      <c r="ER148" s="173">
        <f t="shared" si="473"/>
        <v>4.5504999999999997E-2</v>
      </c>
      <c r="ES148" s="528"/>
      <c r="EU148" s="460">
        <f t="shared" si="419"/>
        <v>710.505</v>
      </c>
      <c r="EV148" s="528">
        <f t="shared" si="420"/>
        <v>8.6565166969097371E-2</v>
      </c>
      <c r="EW148" s="528">
        <f t="shared" si="421"/>
        <v>8.0527031612462927E-2</v>
      </c>
      <c r="EX148" s="528">
        <f t="shared" si="422"/>
        <v>2.9233056140461267E-4</v>
      </c>
      <c r="EY148" s="528">
        <f t="shared" si="423"/>
        <v>10.036374442482177</v>
      </c>
      <c r="EZ148" s="528"/>
      <c r="FA148" s="625">
        <f t="shared" si="424"/>
        <v>1.253191489361702</v>
      </c>
      <c r="FB148" s="460">
        <f t="shared" si="425"/>
        <v>11456.950460986844</v>
      </c>
      <c r="FC148" s="173">
        <f t="shared" si="426"/>
        <v>14.580738196316291</v>
      </c>
      <c r="FD148" s="5">
        <f t="shared" si="427"/>
        <v>29.45</v>
      </c>
      <c r="FE148" s="173">
        <f t="shared" si="428"/>
        <v>0.6688509256577454</v>
      </c>
      <c r="FF148" s="5">
        <f t="shared" si="429"/>
        <v>66.885092565774542</v>
      </c>
      <c r="FG148">
        <f t="shared" si="430"/>
        <v>38</v>
      </c>
      <c r="FI148" s="562">
        <f t="shared" si="431"/>
        <v>-50</v>
      </c>
      <c r="FJ148">
        <f t="shared" si="432"/>
        <v>-50</v>
      </c>
    </row>
    <row r="149" spans="5:166">
      <c r="E149" s="170">
        <v>39</v>
      </c>
      <c r="F149" s="217">
        <f t="shared" si="474"/>
        <v>0.97500000000000009</v>
      </c>
      <c r="G149" s="217">
        <f t="shared" si="443"/>
        <v>9.7500000000000003E-2</v>
      </c>
      <c r="H149" s="217">
        <f t="shared" si="444"/>
        <v>27.300000000000004</v>
      </c>
      <c r="I149" s="217">
        <f t="shared" si="445"/>
        <v>2.9250000000000003</v>
      </c>
      <c r="J149" s="541">
        <f t="shared" si="446"/>
        <v>18.899852442048523</v>
      </c>
      <c r="K149" s="443">
        <f t="shared" si="447"/>
        <v>28.740615477607392</v>
      </c>
      <c r="L149" s="172">
        <f t="shared" si="448"/>
        <v>47.640467919655919</v>
      </c>
      <c r="M149" s="443"/>
      <c r="N149" s="217">
        <f t="shared" si="449"/>
        <v>0.60328155311315357</v>
      </c>
      <c r="O149" s="172">
        <f t="shared" si="450"/>
        <v>85.820996068751867</v>
      </c>
      <c r="P149" s="172">
        <f t="shared" si="451"/>
        <v>10.180296727543269</v>
      </c>
      <c r="Q149" s="217">
        <f t="shared" si="321"/>
        <v>3.0650355738839954</v>
      </c>
      <c r="R149" s="217">
        <f t="shared" si="452"/>
        <v>2.8606998689583958</v>
      </c>
      <c r="S149" s="217">
        <f t="shared" si="453"/>
        <v>28</v>
      </c>
      <c r="T149" s="217">
        <f t="shared" si="454"/>
        <v>5.3017329190108224</v>
      </c>
      <c r="U149" s="217">
        <f t="shared" si="325"/>
        <v>1.3184306489035227</v>
      </c>
      <c r="V149" s="217">
        <f t="shared" si="326"/>
        <v>0.86700108210157434</v>
      </c>
      <c r="W149" s="197">
        <f t="shared" si="327"/>
        <v>350</v>
      </c>
      <c r="X149" s="443">
        <f t="shared" si="434"/>
        <v>350</v>
      </c>
      <c r="Z149" s="217">
        <f t="shared" si="328"/>
        <v>6.9312658570507377</v>
      </c>
      <c r="AA149" s="173">
        <f t="shared" si="329"/>
        <v>1.133481276819561</v>
      </c>
      <c r="AB149" s="173">
        <f t="shared" si="455"/>
        <v>1.2418275600247071</v>
      </c>
      <c r="AC149" s="173"/>
      <c r="AD149" s="173">
        <f t="shared" si="331"/>
        <v>0.54510546856148578</v>
      </c>
      <c r="AE149" s="545">
        <f t="shared" si="456"/>
        <v>1073.1868119829994</v>
      </c>
      <c r="AF149" s="528">
        <f t="shared" si="457"/>
        <v>0.31797818999420008</v>
      </c>
      <c r="AH149" s="173">
        <f t="shared" si="458"/>
        <v>6.0619898024280481</v>
      </c>
      <c r="AI149" s="173">
        <f t="shared" si="459"/>
        <v>6.0619898024280481</v>
      </c>
      <c r="AJ149" s="173">
        <f t="shared" si="460"/>
        <v>3.2212270141442332</v>
      </c>
      <c r="AL149" s="545">
        <f t="shared" si="461"/>
        <v>975.00000000000011</v>
      </c>
      <c r="AM149" s="460">
        <f t="shared" si="462"/>
        <v>350</v>
      </c>
      <c r="AO149" s="460">
        <f t="shared" si="339"/>
        <v>975.00000000000011</v>
      </c>
      <c r="AP149" s="460">
        <f t="shared" si="340"/>
        <v>350</v>
      </c>
      <c r="AR149" s="5">
        <f t="shared" si="442"/>
        <v>2.8571428571428572</v>
      </c>
      <c r="AS149" s="5">
        <f t="shared" si="439"/>
        <v>1.5074907150081271</v>
      </c>
      <c r="AT149" s="5">
        <f t="shared" si="440"/>
        <v>1.3496521421347301</v>
      </c>
      <c r="AU149" s="173">
        <f t="shared" si="441"/>
        <v>0.52762175025284452</v>
      </c>
      <c r="AW149" s="5">
        <f t="shared" si="341"/>
        <v>5.2492980254747295</v>
      </c>
      <c r="AX149" s="5">
        <f t="shared" si="342"/>
        <v>0.48993448237764131</v>
      </c>
      <c r="AY149" s="5">
        <f t="shared" si="343"/>
        <v>1.3925091136200771</v>
      </c>
      <c r="AZ149" s="5"/>
      <c r="BA149" s="173">
        <f t="shared" si="344"/>
        <v>2.5422363210794736</v>
      </c>
      <c r="BB149" s="173">
        <f t="shared" si="345"/>
        <v>2.4054676487878304</v>
      </c>
      <c r="BC149" s="173">
        <f t="shared" si="346"/>
        <v>0.24251845967287144</v>
      </c>
      <c r="BD149" s="173"/>
      <c r="BE149" s="528">
        <f t="shared" si="347"/>
        <v>7.7555586146588362E-2</v>
      </c>
      <c r="BF149" s="528">
        <f t="shared" si="463"/>
        <v>1.8446846461719726</v>
      </c>
      <c r="BG149" s="528">
        <f t="shared" si="349"/>
        <v>4.0250000000000001E-2</v>
      </c>
      <c r="BH149" s="528">
        <f t="shared" si="350"/>
        <v>0.39122474489869896</v>
      </c>
      <c r="BI149">
        <f t="shared" si="351"/>
        <v>8.504933598921835E-3</v>
      </c>
      <c r="BJ149" s="460">
        <f t="shared" si="435"/>
        <v>48.754933598921838</v>
      </c>
      <c r="BK149">
        <f t="shared" si="464"/>
        <v>2.3782291061476326</v>
      </c>
      <c r="BL149" s="460">
        <f t="shared" si="436"/>
        <v>2362.2199108161822</v>
      </c>
      <c r="BM149" s="173">
        <f t="shared" si="465"/>
        <v>0.65383499999999994</v>
      </c>
      <c r="BN149" s="173">
        <f t="shared" si="466"/>
        <v>6.5383499999999983E-2</v>
      </c>
      <c r="BO149" s="528"/>
      <c r="BQ149" s="460">
        <f t="shared" si="355"/>
        <v>719.21849999999995</v>
      </c>
      <c r="BR149" s="528">
        <f t="shared" si="356"/>
        <v>9.0481517171019751E-2</v>
      </c>
      <c r="BS149" s="528">
        <f t="shared" si="357"/>
        <v>8.1007844531107931E-2</v>
      </c>
      <c r="BT149" s="528">
        <f t="shared" si="358"/>
        <v>2.9407601641051086E-4</v>
      </c>
      <c r="BU149" s="528">
        <f t="shared" si="359"/>
        <v>10.367597274627316</v>
      </c>
      <c r="BV149" s="528"/>
      <c r="BW149" s="625">
        <f t="shared" si="467"/>
        <v>1.2861702127659578</v>
      </c>
      <c r="BX149" s="460">
        <f t="shared" si="361"/>
        <v>11825.550925111813</v>
      </c>
      <c r="BY149" s="173">
        <f t="shared" si="362"/>
        <v>14.906989335927994</v>
      </c>
      <c r="BZ149" s="5">
        <f t="shared" si="363"/>
        <v>30.225000000000005</v>
      </c>
      <c r="CA149" s="173">
        <f t="shared" si="364"/>
        <v>0.66970236510135261</v>
      </c>
      <c r="CB149" s="5">
        <f t="shared" si="365"/>
        <v>66.970236510135265</v>
      </c>
      <c r="CC149">
        <f t="shared" si="366"/>
        <v>39</v>
      </c>
      <c r="CE149" s="562">
        <f t="shared" si="468"/>
        <v>-50</v>
      </c>
      <c r="CF149">
        <f t="shared" si="469"/>
        <v>-50</v>
      </c>
      <c r="CG149" s="173">
        <f t="shared" si="369"/>
        <v>0.33607877597666275</v>
      </c>
      <c r="CH149" s="173">
        <f t="shared" si="470"/>
        <v>0.10898538927792187</v>
      </c>
      <c r="CI149" s="170">
        <v>39</v>
      </c>
      <c r="CJ149" s="217">
        <f t="shared" si="437"/>
        <v>0.97500000000000009</v>
      </c>
      <c r="CK149" s="217">
        <f t="shared" si="371"/>
        <v>9.7500000000000003E-2</v>
      </c>
      <c r="CL149" s="217">
        <f t="shared" si="372"/>
        <v>27.300000000000004</v>
      </c>
      <c r="CM149" s="217">
        <f t="shared" si="373"/>
        <v>2.9250000000000003</v>
      </c>
      <c r="CN149" s="541">
        <f t="shared" si="374"/>
        <v>19</v>
      </c>
      <c r="CO149" s="443">
        <f t="shared" si="471"/>
        <v>28.7</v>
      </c>
      <c r="CP149" s="443">
        <f t="shared" si="472"/>
        <v>47.7</v>
      </c>
      <c r="CQ149" s="443"/>
      <c r="CR149" s="217">
        <f t="shared" si="377"/>
        <v>0.59915611814345993</v>
      </c>
      <c r="CS149" s="172">
        <f t="shared" si="378"/>
        <v>85.685767433419556</v>
      </c>
      <c r="CT149" s="172">
        <f t="shared" si="379"/>
        <v>10.164255575647982</v>
      </c>
      <c r="CU149" s="217">
        <f t="shared" si="380"/>
        <v>3.0602059797649841</v>
      </c>
      <c r="CV149" s="217">
        <f t="shared" si="381"/>
        <v>2.8561922477806521</v>
      </c>
      <c r="CW149" s="217">
        <f t="shared" si="382"/>
        <v>28</v>
      </c>
      <c r="CX149" s="217">
        <f t="shared" si="383"/>
        <v>5.310100074128985</v>
      </c>
      <c r="CY149" s="217">
        <f t="shared" si="384"/>
        <v>1.3135510709687488</v>
      </c>
      <c r="CZ149" s="217">
        <f t="shared" si="385"/>
        <v>0.86959826997931111</v>
      </c>
      <c r="DA149" s="197">
        <f t="shared" si="386"/>
        <v>350</v>
      </c>
      <c r="DB149" s="443">
        <f t="shared" si="387"/>
        <v>350</v>
      </c>
      <c r="DD149" s="217">
        <f t="shared" si="388"/>
        <v>6.9494625094785683</v>
      </c>
      <c r="DE149" s="173">
        <f t="shared" si="389"/>
        <v>1.1380652890086853</v>
      </c>
      <c r="DF149" s="173">
        <f t="shared" si="390"/>
        <v>1.2501230996965573</v>
      </c>
      <c r="DG149" s="173"/>
      <c r="DH149" s="173">
        <f t="shared" si="391"/>
        <v>0.54587688734030204</v>
      </c>
      <c r="DI149" s="545">
        <f t="shared" si="392"/>
        <v>1071.6702127659576</v>
      </c>
      <c r="DJ149" s="528">
        <f t="shared" si="393"/>
        <v>0.31842818428184283</v>
      </c>
      <c r="DL149" s="173">
        <f t="shared" si="394"/>
        <v>6.0619898024280481</v>
      </c>
      <c r="DM149" s="173">
        <f t="shared" si="395"/>
        <v>6.0619898024280481</v>
      </c>
      <c r="DN149" s="173">
        <f t="shared" si="396"/>
        <v>3.2212270141442332</v>
      </c>
      <c r="DP149" s="545">
        <f t="shared" si="397"/>
        <v>975.00000000000011</v>
      </c>
      <c r="DQ149" s="460">
        <f t="shared" si="398"/>
        <v>350</v>
      </c>
      <c r="DS149" s="460">
        <f t="shared" si="399"/>
        <v>975.00000000000011</v>
      </c>
      <c r="DT149" s="460">
        <f t="shared" si="400"/>
        <v>350</v>
      </c>
      <c r="DV149" s="5">
        <f t="shared" si="401"/>
        <v>2.8571428571428572</v>
      </c>
      <c r="DW149" s="5">
        <f t="shared" si="402"/>
        <v>1.4995448458637801</v>
      </c>
      <c r="DX149" s="5">
        <f t="shared" si="403"/>
        <v>1.3575980112790771</v>
      </c>
      <c r="DY149" s="173">
        <f t="shared" si="404"/>
        <v>0.52484069605232297</v>
      </c>
      <c r="EA149" s="5">
        <f t="shared" si="405"/>
        <v>5.2216293739899493</v>
      </c>
      <c r="EB149" s="5">
        <f t="shared" si="406"/>
        <v>0.48735207490572852</v>
      </c>
      <c r="EC149" s="5">
        <f t="shared" si="407"/>
        <v>1.3933242747337897</v>
      </c>
      <c r="ED149" s="5"/>
      <c r="EE149" s="173">
        <f t="shared" si="408"/>
        <v>2.5355275016300607</v>
      </c>
      <c r="EF149" s="173">
        <f t="shared" si="409"/>
        <v>2.412538167585784</v>
      </c>
      <c r="EG149" s="173">
        <f t="shared" si="410"/>
        <v>0.24323130705987822</v>
      </c>
      <c r="EH149" s="173"/>
      <c r="EI149" s="528">
        <f t="shared" si="411"/>
        <v>7.7146796538268531E-2</v>
      </c>
      <c r="EJ149" s="528">
        <f t="shared" si="412"/>
        <v>1.9228934752791891</v>
      </c>
      <c r="EK149" s="528">
        <f t="shared" si="413"/>
        <v>4.0250000000000001E-2</v>
      </c>
      <c r="EL149" s="528">
        <f t="shared" si="414"/>
        <v>0.39220311375000005</v>
      </c>
      <c r="EM149">
        <f t="shared" si="415"/>
        <v>8.5500000000000003E-3</v>
      </c>
      <c r="EN149" s="460">
        <f t="shared" si="416"/>
        <v>48.800000000000004</v>
      </c>
      <c r="EP149" s="460">
        <f t="shared" si="438"/>
        <v>2441.0433855674578</v>
      </c>
      <c r="EQ149" s="173">
        <f t="shared" si="417"/>
        <v>0.6825</v>
      </c>
      <c r="ER149" s="173">
        <f t="shared" si="473"/>
        <v>4.6702500000000001E-2</v>
      </c>
      <c r="ES149" s="528"/>
      <c r="EU149" s="460">
        <f t="shared" si="419"/>
        <v>729.20249999999999</v>
      </c>
      <c r="EV149" s="528">
        <f t="shared" si="420"/>
        <v>9.0004595961313286E-2</v>
      </c>
      <c r="EW149" s="528">
        <f t="shared" si="421"/>
        <v>8.148476574081441E-2</v>
      </c>
      <c r="EX149" s="528">
        <f t="shared" si="422"/>
        <v>2.9580734367028384E-4</v>
      </c>
      <c r="EY149" s="528">
        <f t="shared" si="423"/>
        <v>10.367597274627316</v>
      </c>
      <c r="EZ149" s="528"/>
      <c r="FA149" s="625">
        <f t="shared" si="424"/>
        <v>1.2861702127659578</v>
      </c>
      <c r="FB149" s="460">
        <f t="shared" si="425"/>
        <v>11825.552656439071</v>
      </c>
      <c r="FC149" s="173">
        <f t="shared" si="426"/>
        <v>14.995798542006529</v>
      </c>
      <c r="FD149" s="5">
        <f t="shared" si="427"/>
        <v>30.225000000000005</v>
      </c>
      <c r="FE149" s="173">
        <f t="shared" si="428"/>
        <v>0.66838713544439909</v>
      </c>
      <c r="FF149" s="5">
        <f t="shared" si="429"/>
        <v>66.838713544439912</v>
      </c>
      <c r="FG149">
        <f t="shared" si="430"/>
        <v>39</v>
      </c>
      <c r="FI149" s="562">
        <f t="shared" si="431"/>
        <v>-50</v>
      </c>
      <c r="FJ149">
        <f t="shared" si="432"/>
        <v>-50</v>
      </c>
    </row>
    <row r="150" spans="5:166">
      <c r="E150" s="170">
        <v>40</v>
      </c>
      <c r="F150" s="217">
        <f t="shared" si="474"/>
        <v>1</v>
      </c>
      <c r="G150" s="217">
        <f t="shared" si="443"/>
        <v>0.1</v>
      </c>
      <c r="H150" s="217">
        <f t="shared" si="444"/>
        <v>28</v>
      </c>
      <c r="I150" s="217">
        <f t="shared" si="445"/>
        <v>3</v>
      </c>
      <c r="J150" s="541">
        <f t="shared" si="446"/>
        <v>18.89857662554525</v>
      </c>
      <c r="K150" s="443">
        <f t="shared" si="447"/>
        <v>28.741132893085911</v>
      </c>
      <c r="L150" s="172">
        <f t="shared" si="448"/>
        <v>47.639709518631165</v>
      </c>
      <c r="M150" s="443"/>
      <c r="N150" s="217">
        <f t="shared" si="449"/>
        <v>0.60330201807476791</v>
      </c>
      <c r="O150" s="172">
        <f t="shared" si="450"/>
        <v>85.818113890886679</v>
      </c>
      <c r="P150" s="172">
        <f t="shared" si="451"/>
        <v>10.179954836546505</v>
      </c>
      <c r="Q150" s="217">
        <f t="shared" si="321"/>
        <v>3.0649326389602387</v>
      </c>
      <c r="R150" s="217">
        <f t="shared" si="452"/>
        <v>2.8606037963628892</v>
      </c>
      <c r="S150" s="217">
        <f t="shared" si="453"/>
        <v>28</v>
      </c>
      <c r="T150" s="217">
        <f t="shared" si="454"/>
        <v>5.4378574115484453</v>
      </c>
      <c r="U150" s="217">
        <f t="shared" si="325"/>
        <v>1.3523732681397276</v>
      </c>
      <c r="V150" s="217">
        <f t="shared" si="326"/>
        <v>0.889245734653209</v>
      </c>
      <c r="W150" s="197">
        <f t="shared" si="327"/>
        <v>350</v>
      </c>
      <c r="X150" s="443">
        <f t="shared" si="434"/>
        <v>350</v>
      </c>
      <c r="Z150" s="217">
        <f t="shared" si="328"/>
        <v>6.9310330802018765</v>
      </c>
      <c r="AA150" s="173">
        <f t="shared" si="329"/>
        <v>1.133422805500663</v>
      </c>
      <c r="AB150" s="173">
        <f t="shared" si="455"/>
        <v>1.2417217967104366</v>
      </c>
      <c r="AC150" s="173"/>
      <c r="AD150" s="173">
        <f t="shared" si="331"/>
        <v>0.5450956552389592</v>
      </c>
      <c r="AE150" s="545">
        <f t="shared" si="456"/>
        <v>1100.7242384586093</v>
      </c>
      <c r="AF150" s="528">
        <f t="shared" si="457"/>
        <v>0.31797246555605957</v>
      </c>
      <c r="AH150" s="173">
        <f t="shared" si="458"/>
        <v>6.1392157157786222</v>
      </c>
      <c r="AI150" s="173">
        <f t="shared" si="459"/>
        <v>6.1392157157786222</v>
      </c>
      <c r="AJ150" s="173">
        <f t="shared" si="460"/>
        <v>3.278431394403917</v>
      </c>
      <c r="AL150" s="545">
        <f t="shared" si="461"/>
        <v>1000</v>
      </c>
      <c r="AM150" s="460">
        <f t="shared" si="462"/>
        <v>350</v>
      </c>
      <c r="AO150" s="460">
        <f t="shared" si="339"/>
        <v>1000</v>
      </c>
      <c r="AP150" s="460">
        <f t="shared" si="340"/>
        <v>350</v>
      </c>
      <c r="AR150" s="5">
        <f t="shared" si="442"/>
        <v>2.8571428571428572</v>
      </c>
      <c r="AS150" s="5">
        <f t="shared" si="439"/>
        <v>1.5267982576612189</v>
      </c>
      <c r="AT150" s="5">
        <f t="shared" si="440"/>
        <v>1.3303445994816383</v>
      </c>
      <c r="AU150" s="173">
        <f t="shared" si="441"/>
        <v>0.53437939018142655</v>
      </c>
      <c r="AW150" s="5">
        <f t="shared" si="341"/>
        <v>5.4528509202186388</v>
      </c>
      <c r="AX150" s="5">
        <f t="shared" si="342"/>
        <v>0.50893275255373971</v>
      </c>
      <c r="AY150" s="5">
        <f t="shared" si="343"/>
        <v>1.4078780913938338</v>
      </c>
      <c r="AZ150" s="5"/>
      <c r="BA150" s="173">
        <f t="shared" si="344"/>
        <v>2.5910578903479631</v>
      </c>
      <c r="BB150" s="173">
        <f t="shared" si="345"/>
        <v>2.4186240324793427</v>
      </c>
      <c r="BC150" s="173">
        <f t="shared" si="346"/>
        <v>0.24384488196308127</v>
      </c>
      <c r="BD150" s="173"/>
      <c r="BE150" s="528">
        <f t="shared" si="347"/>
        <v>8.056297189361325E-2</v>
      </c>
      <c r="BF150" s="528">
        <f t="shared" si="463"/>
        <v>1.8681550209130682</v>
      </c>
      <c r="BG150" s="528">
        <f t="shared" si="349"/>
        <v>4.0250000000000001E-2</v>
      </c>
      <c r="BH150" s="528">
        <f t="shared" si="350"/>
        <v>0.39121228898049604</v>
      </c>
      <c r="BI150">
        <f t="shared" si="351"/>
        <v>8.5043594814953622E-3</v>
      </c>
      <c r="BJ150" s="460">
        <f t="shared" si="435"/>
        <v>48.754359481495364</v>
      </c>
      <c r="BK150">
        <f t="shared" si="464"/>
        <v>2.4077712690750883</v>
      </c>
      <c r="BL150" s="460">
        <f t="shared" si="436"/>
        <v>2388.6846412686727</v>
      </c>
      <c r="BM150" s="173">
        <f t="shared" si="465"/>
        <v>0.67059999999999997</v>
      </c>
      <c r="BN150" s="173">
        <f t="shared" si="466"/>
        <v>6.7059999999999995E-2</v>
      </c>
      <c r="BO150" s="528"/>
      <c r="BQ150" s="460">
        <f t="shared" si="355"/>
        <v>737.66</v>
      </c>
      <c r="BR150" s="528">
        <f t="shared" si="356"/>
        <v>9.399013387588212E-2</v>
      </c>
      <c r="BS150" s="528">
        <f t="shared" si="357"/>
        <v>8.1896390946812905E-2</v>
      </c>
      <c r="BT150" s="528">
        <f t="shared" si="358"/>
        <v>2.9730163229794515E-4</v>
      </c>
      <c r="BU150" s="528">
        <f t="shared" si="359"/>
        <v>10.700950354754124</v>
      </c>
      <c r="BV150" s="528"/>
      <c r="BW150" s="625">
        <f t="shared" si="467"/>
        <v>1.3191489361702127</v>
      </c>
      <c r="BX150" s="460">
        <f t="shared" si="361"/>
        <v>12196.283117379331</v>
      </c>
      <c r="BY150" s="173">
        <f t="shared" si="362"/>
        <v>15.322627758648004</v>
      </c>
      <c r="BZ150" s="5">
        <f t="shared" si="363"/>
        <v>31</v>
      </c>
      <c r="CA150" s="173">
        <f t="shared" si="364"/>
        <v>0.6692193750647617</v>
      </c>
      <c r="CB150" s="5">
        <f t="shared" si="365"/>
        <v>66.921937506476169</v>
      </c>
      <c r="CC150">
        <f t="shared" si="366"/>
        <v>40</v>
      </c>
      <c r="CE150" s="562">
        <f t="shared" si="468"/>
        <v>-50</v>
      </c>
      <c r="CF150">
        <f t="shared" si="469"/>
        <v>-50</v>
      </c>
      <c r="CG150" s="173">
        <f t="shared" si="369"/>
        <v>0.34036020687285878</v>
      </c>
      <c r="CH150" s="173">
        <f t="shared" si="470"/>
        <v>0.11037379415868961</v>
      </c>
      <c r="CI150" s="170">
        <v>40</v>
      </c>
      <c r="CJ150" s="217">
        <f t="shared" si="437"/>
        <v>1</v>
      </c>
      <c r="CK150" s="217">
        <f t="shared" si="371"/>
        <v>0.1</v>
      </c>
      <c r="CL150" s="217">
        <f t="shared" si="372"/>
        <v>28</v>
      </c>
      <c r="CM150" s="217">
        <f t="shared" si="373"/>
        <v>3</v>
      </c>
      <c r="CN150" s="541">
        <f t="shared" si="374"/>
        <v>19</v>
      </c>
      <c r="CO150" s="443">
        <f t="shared" si="471"/>
        <v>28.7</v>
      </c>
      <c r="CP150" s="443">
        <f t="shared" si="472"/>
        <v>47.7</v>
      </c>
      <c r="CQ150" s="443"/>
      <c r="CR150" s="217">
        <f t="shared" si="377"/>
        <v>0.59915611814345993</v>
      </c>
      <c r="CS150" s="172">
        <f t="shared" si="378"/>
        <v>85.685767433419556</v>
      </c>
      <c r="CT150" s="172">
        <f t="shared" si="379"/>
        <v>10.164255575647982</v>
      </c>
      <c r="CU150" s="217">
        <f t="shared" si="380"/>
        <v>3.0602059797649841</v>
      </c>
      <c r="CV150" s="217">
        <f t="shared" si="381"/>
        <v>2.8561922477806521</v>
      </c>
      <c r="CW150" s="217">
        <f t="shared" si="382"/>
        <v>28</v>
      </c>
      <c r="CX150" s="217">
        <f t="shared" si="383"/>
        <v>5.4462564862861376</v>
      </c>
      <c r="CY150" s="217">
        <f t="shared" si="384"/>
        <v>1.347231867660255</v>
      </c>
      <c r="CZ150" s="217">
        <f t="shared" si="385"/>
        <v>0.89189566151724209</v>
      </c>
      <c r="DA150" s="197">
        <f t="shared" si="386"/>
        <v>350</v>
      </c>
      <c r="DB150" s="443">
        <f t="shared" si="387"/>
        <v>350</v>
      </c>
      <c r="DD150" s="217">
        <f t="shared" si="388"/>
        <v>6.9494625094785683</v>
      </c>
      <c r="DE150" s="173">
        <f t="shared" si="389"/>
        <v>1.1380652890086853</v>
      </c>
      <c r="DF150" s="173">
        <f t="shared" si="390"/>
        <v>1.2501230996965573</v>
      </c>
      <c r="DG150" s="173"/>
      <c r="DH150" s="173">
        <f t="shared" si="391"/>
        <v>0.54587688734030204</v>
      </c>
      <c r="DI150" s="545">
        <f t="shared" si="392"/>
        <v>1099.1489361702127</v>
      </c>
      <c r="DJ150" s="528">
        <f t="shared" si="393"/>
        <v>0.31842818428184283</v>
      </c>
      <c r="DL150" s="173">
        <f t="shared" si="394"/>
        <v>6.1392157157786222</v>
      </c>
      <c r="DM150" s="173">
        <f t="shared" si="395"/>
        <v>6.1392157157786222</v>
      </c>
      <c r="DN150" s="173">
        <f t="shared" si="396"/>
        <v>3.278431394403917</v>
      </c>
      <c r="DP150" s="545">
        <f t="shared" si="397"/>
        <v>1000</v>
      </c>
      <c r="DQ150" s="460">
        <f t="shared" si="398"/>
        <v>350</v>
      </c>
      <c r="DS150" s="460">
        <f t="shared" si="399"/>
        <v>1000</v>
      </c>
      <c r="DT150" s="460">
        <f t="shared" si="400"/>
        <v>350</v>
      </c>
      <c r="DV150" s="5">
        <f t="shared" si="401"/>
        <v>2.8571428571428572</v>
      </c>
      <c r="DW150" s="5">
        <f t="shared" si="402"/>
        <v>1.5186480981136592</v>
      </c>
      <c r="DX150" s="5">
        <f t="shared" si="403"/>
        <v>1.338494759029198</v>
      </c>
      <c r="DY150" s="173">
        <f t="shared" si="404"/>
        <v>0.53152683433978065</v>
      </c>
      <c r="EA150" s="5">
        <f t="shared" si="405"/>
        <v>5.4237432075487826</v>
      </c>
      <c r="EB150" s="5">
        <f t="shared" si="406"/>
        <v>0.50621603270455318</v>
      </c>
      <c r="EC150" s="5">
        <f t="shared" si="407"/>
        <v>1.4089418516096819</v>
      </c>
      <c r="ED150" s="5"/>
      <c r="EE150" s="173">
        <f t="shared" si="408"/>
        <v>2.5841330093757104</v>
      </c>
      <c r="EF150" s="173">
        <f t="shared" si="409"/>
        <v>2.4260213913887707</v>
      </c>
      <c r="EG150" s="173">
        <f t="shared" si="410"/>
        <v>0.24459068126296624</v>
      </c>
      <c r="EH150" s="173"/>
      <c r="EI150" s="528">
        <f t="shared" si="411"/>
        <v>8.0132920921741985E-2</v>
      </c>
      <c r="EJ150" s="528">
        <f t="shared" si="412"/>
        <v>1.9473899211235579</v>
      </c>
      <c r="EK150" s="528">
        <f t="shared" si="413"/>
        <v>4.0250000000000001E-2</v>
      </c>
      <c r="EL150" s="528">
        <f t="shared" si="414"/>
        <v>0.39220311375000005</v>
      </c>
      <c r="EM150">
        <f t="shared" si="415"/>
        <v>8.5500000000000003E-3</v>
      </c>
      <c r="EN150" s="460">
        <f t="shared" si="416"/>
        <v>48.800000000000004</v>
      </c>
      <c r="EP150" s="460">
        <f t="shared" si="438"/>
        <v>2468.5259557953</v>
      </c>
      <c r="EQ150" s="173">
        <f t="shared" si="417"/>
        <v>0.7</v>
      </c>
      <c r="ER150" s="173">
        <f t="shared" si="473"/>
        <v>4.7899999999999998E-2</v>
      </c>
      <c r="ES150" s="528"/>
      <c r="EU150" s="460">
        <f t="shared" si="419"/>
        <v>747.9</v>
      </c>
      <c r="EV150" s="528">
        <f t="shared" si="420"/>
        <v>9.348840774203232E-2</v>
      </c>
      <c r="EW150" s="528">
        <f t="shared" si="421"/>
        <v>8.2398117080662706E-2</v>
      </c>
      <c r="EX150" s="528">
        <f t="shared" si="422"/>
        <v>2.9912300680340971E-4</v>
      </c>
      <c r="EY150" s="528">
        <f t="shared" si="423"/>
        <v>10.700950354754124</v>
      </c>
      <c r="EZ150" s="528"/>
      <c r="FA150" s="625">
        <f t="shared" si="424"/>
        <v>1.3191489361702127</v>
      </c>
      <c r="FB150" s="460">
        <f t="shared" si="425"/>
        <v>12196.284938753834</v>
      </c>
      <c r="FC150" s="173">
        <f t="shared" si="426"/>
        <v>15.412710894549136</v>
      </c>
      <c r="FD150" s="5">
        <f t="shared" si="427"/>
        <v>31</v>
      </c>
      <c r="FE150" s="173">
        <f t="shared" si="428"/>
        <v>0.66792047700968793</v>
      </c>
      <c r="FF150" s="5">
        <f t="shared" si="429"/>
        <v>66.792047700968794</v>
      </c>
      <c r="FG150">
        <f t="shared" si="430"/>
        <v>40</v>
      </c>
      <c r="FI150" s="562">
        <f t="shared" si="431"/>
        <v>-50</v>
      </c>
      <c r="FJ150">
        <f t="shared" si="432"/>
        <v>-50</v>
      </c>
    </row>
    <row r="151" spans="5:166">
      <c r="E151" s="170">
        <v>41</v>
      </c>
      <c r="F151" s="217">
        <f t="shared" si="474"/>
        <v>1.0249999999999999</v>
      </c>
      <c r="G151" s="217">
        <f t="shared" si="443"/>
        <v>0.10249999999999999</v>
      </c>
      <c r="H151" s="217">
        <f t="shared" si="444"/>
        <v>28.699999999999996</v>
      </c>
      <c r="I151" s="217">
        <f t="shared" si="445"/>
        <v>3.0749999999999997</v>
      </c>
      <c r="J151" s="541">
        <f t="shared" si="446"/>
        <v>18.897316659540444</v>
      </c>
      <c r="K151" s="443">
        <f t="shared" si="447"/>
        <v>28.741643880294198</v>
      </c>
      <c r="L151" s="172">
        <f t="shared" si="448"/>
        <v>47.638960539834642</v>
      </c>
      <c r="M151" s="443"/>
      <c r="N151" s="217">
        <f t="shared" si="449"/>
        <v>0.60332222942314351</v>
      </c>
      <c r="O151" s="172">
        <f t="shared" si="450"/>
        <v>85.815267225853091</v>
      </c>
      <c r="P151" s="172">
        <f t="shared" si="451"/>
        <v>10.179617158168798</v>
      </c>
      <c r="Q151" s="217">
        <f t="shared" si="321"/>
        <v>3.0648309723518961</v>
      </c>
      <c r="R151" s="217">
        <f t="shared" si="452"/>
        <v>2.8605089075284362</v>
      </c>
      <c r="S151" s="217">
        <f t="shared" si="453"/>
        <v>28</v>
      </c>
      <c r="T151" s="217">
        <f t="shared" si="454"/>
        <v>5.5739887411226112</v>
      </c>
      <c r="U151" s="217">
        <f t="shared" si="325"/>
        <v>1.3863210081760551</v>
      </c>
      <c r="V151" s="217">
        <f t="shared" si="326"/>
        <v>0.91149090818837719</v>
      </c>
      <c r="W151" s="197">
        <f t="shared" si="327"/>
        <v>350</v>
      </c>
      <c r="X151" s="443">
        <f t="shared" si="434"/>
        <v>350</v>
      </c>
      <c r="Z151" s="217">
        <f t="shared" si="328"/>
        <v>6.9308031715191802</v>
      </c>
      <c r="AA151" s="173">
        <f t="shared" si="329"/>
        <v>1.1333650587910185</v>
      </c>
      <c r="AB151" s="173">
        <f t="shared" si="455"/>
        <v>1.241617345335267</v>
      </c>
      <c r="AC151" s="173"/>
      <c r="AD151" s="173">
        <f t="shared" si="331"/>
        <v>0.54508596418202859</v>
      </c>
      <c r="AE151" s="545">
        <f t="shared" si="456"/>
        <v>1128.2624033860168</v>
      </c>
      <c r="AF151" s="528">
        <f t="shared" si="457"/>
        <v>0.31796681243951674</v>
      </c>
      <c r="AH151" s="173">
        <f t="shared" si="458"/>
        <v>6.2154821892581111</v>
      </c>
      <c r="AI151" s="173">
        <f t="shared" si="459"/>
        <v>6.2154821892581111</v>
      </c>
      <c r="AJ151" s="173">
        <f t="shared" si="460"/>
        <v>3.3349250784627982</v>
      </c>
      <c r="AL151" s="545">
        <f t="shared" si="461"/>
        <v>1025</v>
      </c>
      <c r="AM151" s="460">
        <f t="shared" si="462"/>
        <v>350</v>
      </c>
      <c r="AO151" s="460">
        <f t="shared" si="339"/>
        <v>1025</v>
      </c>
      <c r="AP151" s="460">
        <f t="shared" si="340"/>
        <v>350</v>
      </c>
      <c r="AR151" s="5">
        <f t="shared" si="442"/>
        <v>2.8571428571428572</v>
      </c>
      <c r="AS151" s="5">
        <f t="shared" si="439"/>
        <v>1.5458684857654037</v>
      </c>
      <c r="AT151" s="5">
        <f t="shared" si="440"/>
        <v>1.3112743713774535</v>
      </c>
      <c r="AU151" s="173">
        <f t="shared" si="441"/>
        <v>0.54105397001789124</v>
      </c>
      <c r="AW151" s="5">
        <f t="shared" si="341"/>
        <v>5.6589828496769234</v>
      </c>
      <c r="AX151" s="5">
        <f t="shared" si="342"/>
        <v>0.52817173263651285</v>
      </c>
      <c r="AY151" s="5">
        <f t="shared" si="343"/>
        <v>1.4224836836645092</v>
      </c>
      <c r="AZ151" s="5"/>
      <c r="BA151" s="173">
        <f t="shared" si="344"/>
        <v>2.6395779572170888</v>
      </c>
      <c r="BB151" s="173">
        <f t="shared" si="345"/>
        <v>2.4310562497472699</v>
      </c>
      <c r="BC151" s="173">
        <f t="shared" si="346"/>
        <v>0.2450982940318969</v>
      </c>
      <c r="BD151" s="173"/>
      <c r="BE151" s="528">
        <f t="shared" si="347"/>
        <v>8.3608461506716081E-2</v>
      </c>
      <c r="BF151" s="528">
        <f t="shared" si="463"/>
        <v>1.8913330699163415</v>
      </c>
      <c r="BG151" s="528">
        <f t="shared" si="349"/>
        <v>4.0250000000000001E-2</v>
      </c>
      <c r="BH151" s="528">
        <f t="shared" si="350"/>
        <v>0.39119998800683209</v>
      </c>
      <c r="BI151">
        <f t="shared" si="351"/>
        <v>8.5037924967931999E-3</v>
      </c>
      <c r="BJ151" s="460">
        <f t="shared" si="435"/>
        <v>48.753792496793203</v>
      </c>
      <c r="BK151">
        <f t="shared" si="464"/>
        <v>2.4371303002967561</v>
      </c>
      <c r="BL151" s="460">
        <f t="shared" si="436"/>
        <v>2414.895311926683</v>
      </c>
      <c r="BM151" s="173">
        <f t="shared" si="465"/>
        <v>0.68736499999999989</v>
      </c>
      <c r="BN151" s="173">
        <f t="shared" si="466"/>
        <v>6.8736499999999992E-2</v>
      </c>
      <c r="BO151" s="528"/>
      <c r="BQ151" s="460">
        <f t="shared" si="355"/>
        <v>756.10149999999987</v>
      </c>
      <c r="BR151" s="528">
        <f t="shared" si="356"/>
        <v>9.7543205091168761E-2</v>
      </c>
      <c r="BS151" s="528">
        <f t="shared" si="357"/>
        <v>8.2740482852093636E-2</v>
      </c>
      <c r="BT151" s="528">
        <f t="shared" si="358"/>
        <v>3.0036586868673092E-4</v>
      </c>
      <c r="BU151" s="528">
        <f t="shared" si="359"/>
        <v>11.03639360715089</v>
      </c>
      <c r="BV151" s="528"/>
      <c r="BW151" s="625">
        <f t="shared" si="467"/>
        <v>1.3521276595744682</v>
      </c>
      <c r="BX151" s="460">
        <f t="shared" si="361"/>
        <v>12569.105320537308</v>
      </c>
      <c r="BY151" s="173">
        <f t="shared" si="362"/>
        <v>15.740102132463988</v>
      </c>
      <c r="BZ151" s="5">
        <f t="shared" si="363"/>
        <v>31.774999999999995</v>
      </c>
      <c r="CA151" s="173">
        <f t="shared" si="364"/>
        <v>0.66873475114115777</v>
      </c>
      <c r="CB151" s="5">
        <f t="shared" si="365"/>
        <v>66.873475114115777</v>
      </c>
      <c r="CC151">
        <f t="shared" si="366"/>
        <v>41</v>
      </c>
      <c r="CE151" s="562">
        <f t="shared" si="468"/>
        <v>-50</v>
      </c>
      <c r="CF151">
        <f t="shared" si="469"/>
        <v>-50</v>
      </c>
      <c r="CG151" s="173">
        <f t="shared" si="369"/>
        <v>0.34458844609635214</v>
      </c>
      <c r="CH151" s="173">
        <f t="shared" si="470"/>
        <v>0.1117449497646735</v>
      </c>
      <c r="CI151" s="170">
        <v>41</v>
      </c>
      <c r="CJ151" s="217">
        <f t="shared" si="437"/>
        <v>1.0249999999999999</v>
      </c>
      <c r="CK151" s="217">
        <f t="shared" si="371"/>
        <v>0.10249999999999999</v>
      </c>
      <c r="CL151" s="217">
        <f t="shared" si="372"/>
        <v>28.699999999999996</v>
      </c>
      <c r="CM151" s="217">
        <f t="shared" si="373"/>
        <v>3.0749999999999997</v>
      </c>
      <c r="CN151" s="541">
        <f t="shared" si="374"/>
        <v>19</v>
      </c>
      <c r="CO151" s="443">
        <f t="shared" si="471"/>
        <v>28.7</v>
      </c>
      <c r="CP151" s="443">
        <f t="shared" si="472"/>
        <v>47.7</v>
      </c>
      <c r="CQ151" s="443"/>
      <c r="CR151" s="217">
        <f t="shared" si="377"/>
        <v>0.59915611814345993</v>
      </c>
      <c r="CS151" s="172">
        <f t="shared" si="378"/>
        <v>85.685767433419556</v>
      </c>
      <c r="CT151" s="172">
        <f t="shared" si="379"/>
        <v>10.164255575647982</v>
      </c>
      <c r="CU151" s="217">
        <f t="shared" si="380"/>
        <v>3.0602059797649841</v>
      </c>
      <c r="CV151" s="217">
        <f t="shared" si="381"/>
        <v>2.8561922477806521</v>
      </c>
      <c r="CW151" s="217">
        <f t="shared" si="382"/>
        <v>28</v>
      </c>
      <c r="CX151" s="217">
        <f t="shared" si="383"/>
        <v>5.5824128984432901</v>
      </c>
      <c r="CY151" s="217">
        <f t="shared" si="384"/>
        <v>1.3809126643517613</v>
      </c>
      <c r="CZ151" s="217">
        <f t="shared" si="385"/>
        <v>0.91419305305517296</v>
      </c>
      <c r="DA151" s="197">
        <f t="shared" si="386"/>
        <v>350</v>
      </c>
      <c r="DB151" s="443">
        <f t="shared" si="387"/>
        <v>350</v>
      </c>
      <c r="DD151" s="217">
        <f t="shared" si="388"/>
        <v>6.9494625094785683</v>
      </c>
      <c r="DE151" s="173">
        <f t="shared" si="389"/>
        <v>1.1380652890086853</v>
      </c>
      <c r="DF151" s="173">
        <f t="shared" si="390"/>
        <v>1.2501230996965573</v>
      </c>
      <c r="DG151" s="173"/>
      <c r="DH151" s="173">
        <f t="shared" si="391"/>
        <v>0.54587688734030204</v>
      </c>
      <c r="DI151" s="545">
        <f t="shared" si="392"/>
        <v>1126.627659574468</v>
      </c>
      <c r="DJ151" s="528">
        <f t="shared" si="393"/>
        <v>0.31842818428184283</v>
      </c>
      <c r="DL151" s="173">
        <f t="shared" si="394"/>
        <v>6.2154821892581111</v>
      </c>
      <c r="DM151" s="173">
        <f t="shared" si="395"/>
        <v>6.2154821892581111</v>
      </c>
      <c r="DN151" s="173">
        <f t="shared" si="396"/>
        <v>3.3349250784627982</v>
      </c>
      <c r="DP151" s="545">
        <f t="shared" si="397"/>
        <v>1025</v>
      </c>
      <c r="DQ151" s="460">
        <f t="shared" si="398"/>
        <v>350</v>
      </c>
      <c r="DS151" s="460">
        <f t="shared" si="399"/>
        <v>1025</v>
      </c>
      <c r="DT151" s="460">
        <f t="shared" si="400"/>
        <v>350</v>
      </c>
      <c r="DV151" s="5">
        <f t="shared" si="401"/>
        <v>2.8571428571428572</v>
      </c>
      <c r="DW151" s="5">
        <f t="shared" si="402"/>
        <v>1.5375140152375328</v>
      </c>
      <c r="DX151" s="5">
        <f t="shared" si="403"/>
        <v>1.3196288419053244</v>
      </c>
      <c r="DY151" s="173">
        <f t="shared" si="404"/>
        <v>0.53812990533313643</v>
      </c>
      <c r="EA151" s="5">
        <f t="shared" si="405"/>
        <v>5.628399520065968</v>
      </c>
      <c r="EB151" s="5">
        <f t="shared" si="406"/>
        <v>0.52531728853949033</v>
      </c>
      <c r="EC151" s="5">
        <f t="shared" si="407"/>
        <v>1.4238100662662707</v>
      </c>
      <c r="ED151" s="5"/>
      <c r="EE151" s="173">
        <f t="shared" si="408"/>
        <v>2.6324356446619723</v>
      </c>
      <c r="EF151" s="173">
        <f t="shared" si="409"/>
        <v>2.4387883996719983</v>
      </c>
      <c r="EG151" s="173">
        <f t="shared" si="410"/>
        <v>0.2458778468521769</v>
      </c>
      <c r="EH151" s="173"/>
      <c r="EI151" s="528">
        <f t="shared" si="411"/>
        <v>8.3156609079442723E-2</v>
      </c>
      <c r="EJ151" s="528">
        <f t="shared" si="412"/>
        <v>1.9715820278436189</v>
      </c>
      <c r="EK151" s="528">
        <f t="shared" si="413"/>
        <v>4.0250000000000001E-2</v>
      </c>
      <c r="EL151" s="528">
        <f t="shared" si="414"/>
        <v>0.39220311375000005</v>
      </c>
      <c r="EM151">
        <f t="shared" si="415"/>
        <v>8.5500000000000003E-3</v>
      </c>
      <c r="EN151" s="460">
        <f t="shared" si="416"/>
        <v>48.800000000000004</v>
      </c>
      <c r="EP151" s="460">
        <f t="shared" si="438"/>
        <v>2495.7417506730617</v>
      </c>
      <c r="EQ151" s="173">
        <f t="shared" si="417"/>
        <v>0.71749999999999992</v>
      </c>
      <c r="ER151" s="173">
        <f t="shared" si="473"/>
        <v>4.9097499999999995E-2</v>
      </c>
      <c r="ES151" s="528"/>
      <c r="EU151" s="460">
        <f t="shared" si="419"/>
        <v>766.59749999999997</v>
      </c>
      <c r="EV151" s="528">
        <f t="shared" si="420"/>
        <v>9.701604392601651E-2</v>
      </c>
      <c r="EW151" s="528">
        <f t="shared" si="421"/>
        <v>8.3267644017245901E-2</v>
      </c>
      <c r="EX151" s="528">
        <f t="shared" si="422"/>
        <v>3.0227957786331278E-4</v>
      </c>
      <c r="EY151" s="528">
        <f t="shared" si="423"/>
        <v>11.03639360715089</v>
      </c>
      <c r="EZ151" s="528"/>
      <c r="FA151" s="625">
        <f t="shared" si="424"/>
        <v>1.3521276595744682</v>
      </c>
      <c r="FB151" s="460">
        <f t="shared" si="425"/>
        <v>12569.107234246485</v>
      </c>
      <c r="FC151" s="173">
        <f t="shared" si="426"/>
        <v>15.831446484919546</v>
      </c>
      <c r="FD151" s="5">
        <f t="shared" si="427"/>
        <v>31.774999999999995</v>
      </c>
      <c r="FE151" s="173">
        <f t="shared" si="428"/>
        <v>0.66745162359609156</v>
      </c>
      <c r="FF151" s="5">
        <f t="shared" si="429"/>
        <v>66.745162359609154</v>
      </c>
      <c r="FG151">
        <f t="shared" si="430"/>
        <v>41</v>
      </c>
      <c r="FI151" s="562">
        <f t="shared" si="431"/>
        <v>-50</v>
      </c>
      <c r="FJ151">
        <f t="shared" si="432"/>
        <v>-50</v>
      </c>
    </row>
    <row r="152" spans="5:166">
      <c r="E152" s="170">
        <v>42</v>
      </c>
      <c r="F152" s="217">
        <f t="shared" si="474"/>
        <v>1.05</v>
      </c>
      <c r="G152" s="217">
        <f t="shared" si="443"/>
        <v>0.105</v>
      </c>
      <c r="H152" s="217">
        <f t="shared" si="444"/>
        <v>29.400000000000002</v>
      </c>
      <c r="I152" s="217">
        <f t="shared" si="445"/>
        <v>3.15</v>
      </c>
      <c r="J152" s="541">
        <f t="shared" si="446"/>
        <v>18.896071967544469</v>
      </c>
      <c r="K152" s="443">
        <f t="shared" si="447"/>
        <v>28.742148673031281</v>
      </c>
      <c r="L152" s="172">
        <f t="shared" si="448"/>
        <v>47.638220640575753</v>
      </c>
      <c r="M152" s="443"/>
      <c r="N152" s="217">
        <f t="shared" si="449"/>
        <v>0.60334219638233544</v>
      </c>
      <c r="O152" s="172">
        <f t="shared" si="450"/>
        <v>85.812454782020126</v>
      </c>
      <c r="P152" s="172">
        <f t="shared" si="451"/>
        <v>10.179283539193714</v>
      </c>
      <c r="Q152" s="217">
        <f t="shared" si="321"/>
        <v>3.06473052792929</v>
      </c>
      <c r="R152" s="217">
        <f t="shared" si="452"/>
        <v>2.860415159400671</v>
      </c>
      <c r="S152" s="217">
        <f t="shared" si="453"/>
        <v>28</v>
      </c>
      <c r="T152" s="217">
        <f t="shared" si="454"/>
        <v>5.7101268253506188</v>
      </c>
      <c r="U152" s="217">
        <f t="shared" si="325"/>
        <v>1.420273807447582</v>
      </c>
      <c r="V152" s="217">
        <f t="shared" si="326"/>
        <v>0.93373659653808649</v>
      </c>
      <c r="W152" s="197">
        <f t="shared" si="327"/>
        <v>350</v>
      </c>
      <c r="X152" s="443">
        <f t="shared" si="434"/>
        <v>350</v>
      </c>
      <c r="Z152" s="217">
        <f t="shared" si="328"/>
        <v>6.9305760266850811</v>
      </c>
      <c r="AA152" s="173">
        <f t="shared" si="329"/>
        <v>1.1333080103361843</v>
      </c>
      <c r="AB152" s="173">
        <f t="shared" si="455"/>
        <v>1.2415141581839362</v>
      </c>
      <c r="AC152" s="173"/>
      <c r="AD152" s="173">
        <f t="shared" si="331"/>
        <v>0.54507639094382243</v>
      </c>
      <c r="AE152" s="545">
        <f t="shared" si="456"/>
        <v>1155.8012977027474</v>
      </c>
      <c r="AF152" s="528">
        <f t="shared" si="457"/>
        <v>0.31796122805056309</v>
      </c>
      <c r="AH152" s="173">
        <f t="shared" si="458"/>
        <v>6.2908241181188966</v>
      </c>
      <c r="AI152" s="173">
        <f t="shared" si="459"/>
        <v>6.2908241181188966</v>
      </c>
      <c r="AJ152" s="173">
        <f t="shared" si="460"/>
        <v>3.3907339146559723</v>
      </c>
      <c r="AL152" s="545">
        <f t="shared" si="461"/>
        <v>1050</v>
      </c>
      <c r="AM152" s="460">
        <f t="shared" si="462"/>
        <v>350</v>
      </c>
      <c r="AO152" s="460">
        <f t="shared" si="339"/>
        <v>1050</v>
      </c>
      <c r="AP152" s="460">
        <f t="shared" si="340"/>
        <v>350</v>
      </c>
      <c r="AR152" s="5">
        <f t="shared" si="442"/>
        <v>2.8571428571428572</v>
      </c>
      <c r="AS152" s="5">
        <f t="shared" si="439"/>
        <v>1.5647100310552537</v>
      </c>
      <c r="AT152" s="5">
        <f t="shared" si="440"/>
        <v>1.2924328260876035</v>
      </c>
      <c r="AU152" s="173">
        <f t="shared" si="441"/>
        <v>0.54764851086933874</v>
      </c>
      <c r="AW152" s="5">
        <f t="shared" si="341"/>
        <v>5.867662616457201</v>
      </c>
      <c r="AX152" s="5">
        <f t="shared" si="342"/>
        <v>0.54764851086933874</v>
      </c>
      <c r="AY152" s="5">
        <f t="shared" si="343"/>
        <v>1.4363349903861864</v>
      </c>
      <c r="AZ152" s="5"/>
      <c r="BA152" s="173">
        <f t="shared" si="344"/>
        <v>2.6878057044892394</v>
      </c>
      <c r="BB152" s="173">
        <f t="shared" si="345"/>
        <v>2.4427832193252916</v>
      </c>
      <c r="BC152" s="173">
        <f t="shared" si="346"/>
        <v>0.24628060325984497</v>
      </c>
      <c r="BD152" s="173"/>
      <c r="BE152" s="528">
        <f t="shared" si="347"/>
        <v>8.669159406101877E-2</v>
      </c>
      <c r="BF152" s="528">
        <f t="shared" si="463"/>
        <v>1.9142294251981467</v>
      </c>
      <c r="BG152" s="528">
        <f t="shared" si="349"/>
        <v>4.0250000000000001E-2</v>
      </c>
      <c r="BH152" s="528">
        <f t="shared" si="350"/>
        <v>0.39118783634230564</v>
      </c>
      <c r="BI152">
        <f t="shared" si="351"/>
        <v>8.5032323853950105E-3</v>
      </c>
      <c r="BJ152" s="460">
        <f t="shared" si="435"/>
        <v>48.753232385395016</v>
      </c>
      <c r="BK152">
        <f t="shared" si="464"/>
        <v>2.4663165844793786</v>
      </c>
      <c r="BL152" s="460">
        <f t="shared" si="436"/>
        <v>2440.8620879868658</v>
      </c>
      <c r="BM152" s="173">
        <f t="shared" si="465"/>
        <v>0.70412999999999992</v>
      </c>
      <c r="BN152" s="173">
        <f t="shared" si="466"/>
        <v>7.0412999999999989E-2</v>
      </c>
      <c r="BO152" s="528"/>
      <c r="BQ152" s="460">
        <f t="shared" si="355"/>
        <v>774.54299999999989</v>
      </c>
      <c r="BR152" s="528">
        <f t="shared" si="356"/>
        <v>0.10114019307118856</v>
      </c>
      <c r="BS152" s="528">
        <f t="shared" si="357"/>
        <v>8.3540657992641307E-2</v>
      </c>
      <c r="BT152" s="528">
        <f t="shared" si="358"/>
        <v>3.0327067771016578E-4</v>
      </c>
      <c r="BU152" s="528">
        <f t="shared" si="359"/>
        <v>11.37388867242724</v>
      </c>
      <c r="BV152" s="528"/>
      <c r="BW152" s="625">
        <f t="shared" si="467"/>
        <v>1.385106382978724</v>
      </c>
      <c r="BX152" s="460">
        <f t="shared" si="361"/>
        <v>12943.979177147505</v>
      </c>
      <c r="BY152" s="173">
        <f t="shared" si="362"/>
        <v>16.159384265134371</v>
      </c>
      <c r="BZ152" s="5">
        <f t="shared" si="363"/>
        <v>32.550000000000004</v>
      </c>
      <c r="CA152" s="173">
        <f t="shared" si="364"/>
        <v>0.66824905490129394</v>
      </c>
      <c r="CB152" s="5">
        <f t="shared" si="365"/>
        <v>66.824905490129396</v>
      </c>
      <c r="CC152">
        <f t="shared" si="366"/>
        <v>42.000000000000007</v>
      </c>
      <c r="CE152" s="562">
        <f t="shared" si="468"/>
        <v>-50</v>
      </c>
      <c r="CF152">
        <f t="shared" si="469"/>
        <v>-50</v>
      </c>
      <c r="CG152" s="173">
        <f t="shared" si="369"/>
        <v>0.34876542825180079</v>
      </c>
      <c r="CH152" s="173">
        <f t="shared" si="470"/>
        <v>0.11309948345962517</v>
      </c>
      <c r="CI152" s="170">
        <v>42</v>
      </c>
      <c r="CJ152" s="217">
        <f t="shared" si="437"/>
        <v>1.05</v>
      </c>
      <c r="CK152" s="217">
        <f t="shared" si="371"/>
        <v>0.105</v>
      </c>
      <c r="CL152" s="217">
        <f t="shared" si="372"/>
        <v>29.400000000000002</v>
      </c>
      <c r="CM152" s="217">
        <f t="shared" si="373"/>
        <v>3.15</v>
      </c>
      <c r="CN152" s="541">
        <f t="shared" si="374"/>
        <v>19</v>
      </c>
      <c r="CO152" s="443">
        <f t="shared" si="471"/>
        <v>28.7</v>
      </c>
      <c r="CP152" s="443">
        <f t="shared" si="472"/>
        <v>47.7</v>
      </c>
      <c r="CQ152" s="443"/>
      <c r="CR152" s="217">
        <f t="shared" si="377"/>
        <v>0.59915611814345993</v>
      </c>
      <c r="CS152" s="172">
        <f t="shared" si="378"/>
        <v>85.685767433419556</v>
      </c>
      <c r="CT152" s="172">
        <f t="shared" si="379"/>
        <v>10.164255575647982</v>
      </c>
      <c r="CU152" s="217">
        <f t="shared" si="380"/>
        <v>3.0602059797649841</v>
      </c>
      <c r="CV152" s="217">
        <f t="shared" si="381"/>
        <v>2.8561922477806521</v>
      </c>
      <c r="CW152" s="217">
        <f t="shared" si="382"/>
        <v>28</v>
      </c>
      <c r="CX152" s="217">
        <f t="shared" si="383"/>
        <v>5.7185693106004454</v>
      </c>
      <c r="CY152" s="217">
        <f t="shared" si="384"/>
        <v>1.414593461043268</v>
      </c>
      <c r="CZ152" s="217">
        <f t="shared" si="385"/>
        <v>0.93649044459310427</v>
      </c>
      <c r="DA152" s="197">
        <f t="shared" si="386"/>
        <v>350</v>
      </c>
      <c r="DB152" s="443">
        <f t="shared" si="387"/>
        <v>350</v>
      </c>
      <c r="DD152" s="217">
        <f t="shared" si="388"/>
        <v>6.9494625094785683</v>
      </c>
      <c r="DE152" s="173">
        <f t="shared" si="389"/>
        <v>1.1380652890086853</v>
      </c>
      <c r="DF152" s="173">
        <f t="shared" si="390"/>
        <v>1.2501230996965573</v>
      </c>
      <c r="DG152" s="173"/>
      <c r="DH152" s="173">
        <f t="shared" si="391"/>
        <v>0.54587688734030204</v>
      </c>
      <c r="DI152" s="545">
        <f t="shared" si="392"/>
        <v>1154.1063829787233</v>
      </c>
      <c r="DJ152" s="528">
        <f t="shared" si="393"/>
        <v>0.31842818428184283</v>
      </c>
      <c r="DL152" s="173">
        <f t="shared" si="394"/>
        <v>6.2908241181188966</v>
      </c>
      <c r="DM152" s="173">
        <f t="shared" si="395"/>
        <v>6.2908241181188966</v>
      </c>
      <c r="DN152" s="173">
        <f t="shared" si="396"/>
        <v>3.3907339146559723</v>
      </c>
      <c r="DP152" s="545">
        <f t="shared" si="397"/>
        <v>1050</v>
      </c>
      <c r="DQ152" s="460">
        <f t="shared" si="398"/>
        <v>350</v>
      </c>
      <c r="DS152" s="460">
        <f t="shared" si="399"/>
        <v>1050</v>
      </c>
      <c r="DT152" s="460">
        <f t="shared" si="400"/>
        <v>350</v>
      </c>
      <c r="DV152" s="5">
        <f t="shared" si="401"/>
        <v>2.8571428571428572</v>
      </c>
      <c r="DW152" s="5">
        <f t="shared" si="402"/>
        <v>1.556151229218885</v>
      </c>
      <c r="DX152" s="5">
        <f t="shared" si="403"/>
        <v>1.3009916279239722</v>
      </c>
      <c r="DY152" s="173">
        <f t="shared" si="404"/>
        <v>0.54465293022660977</v>
      </c>
      <c r="EA152" s="5">
        <f t="shared" si="405"/>
        <v>5.8355671095708193</v>
      </c>
      <c r="EB152" s="5">
        <f t="shared" si="406"/>
        <v>0.54465293022660966</v>
      </c>
      <c r="EC152" s="5">
        <f t="shared" si="407"/>
        <v>1.4379381150738639</v>
      </c>
      <c r="ED152" s="5"/>
      <c r="EE152" s="173">
        <f t="shared" si="408"/>
        <v>2.6804446151532799</v>
      </c>
      <c r="EF152" s="173">
        <f t="shared" si="409"/>
        <v>2.4508582225004196</v>
      </c>
      <c r="EG152" s="173">
        <f t="shared" si="410"/>
        <v>0.24709472243241937</v>
      </c>
      <c r="EH152" s="173"/>
      <c r="EI152" s="528">
        <f t="shared" si="411"/>
        <v>8.6217400018850587E-2</v>
      </c>
      <c r="EJ152" s="528">
        <f t="shared" si="412"/>
        <v>1.995480864387905</v>
      </c>
      <c r="EK152" s="528">
        <f t="shared" si="413"/>
        <v>4.0250000000000001E-2</v>
      </c>
      <c r="EL152" s="528">
        <f t="shared" si="414"/>
        <v>0.39220311375000005</v>
      </c>
      <c r="EM152">
        <f t="shared" si="415"/>
        <v>8.5500000000000003E-3</v>
      </c>
      <c r="EN152" s="460">
        <f t="shared" si="416"/>
        <v>48.800000000000004</v>
      </c>
      <c r="EP152" s="460">
        <f t="shared" si="438"/>
        <v>2522.7013781567553</v>
      </c>
      <c r="EQ152" s="173">
        <f t="shared" si="417"/>
        <v>0.73499999999999999</v>
      </c>
      <c r="ER152" s="173">
        <f t="shared" si="473"/>
        <v>5.0294999999999999E-2</v>
      </c>
      <c r="ES152" s="528"/>
      <c r="EU152" s="460">
        <f t="shared" si="419"/>
        <v>785.29499999999996</v>
      </c>
      <c r="EV152" s="528">
        <f t="shared" si="420"/>
        <v>0.100586966688659</v>
      </c>
      <c r="EW152" s="528">
        <f t="shared" si="421"/>
        <v>8.4093884375170833E-2</v>
      </c>
      <c r="EX152" s="528">
        <f t="shared" si="422"/>
        <v>3.0527900926977184E-4</v>
      </c>
      <c r="EY152" s="528">
        <f t="shared" si="423"/>
        <v>11.37388867242724</v>
      </c>
      <c r="EZ152" s="528"/>
      <c r="FA152" s="625">
        <f t="shared" si="424"/>
        <v>1.385106382978724</v>
      </c>
      <c r="FB152" s="460">
        <f t="shared" si="425"/>
        <v>12943.981185479064</v>
      </c>
      <c r="FC152" s="173">
        <f t="shared" si="426"/>
        <v>16.251977563635819</v>
      </c>
      <c r="FD152" s="5">
        <f t="shared" si="427"/>
        <v>32.550000000000004</v>
      </c>
      <c r="FE152" s="173">
        <f t="shared" si="428"/>
        <v>0.66698116807984076</v>
      </c>
      <c r="FF152" s="5">
        <f t="shared" si="429"/>
        <v>66.698116807984078</v>
      </c>
      <c r="FG152">
        <f t="shared" si="430"/>
        <v>42.000000000000007</v>
      </c>
      <c r="FI152" s="562">
        <f t="shared" si="431"/>
        <v>-50</v>
      </c>
      <c r="FJ152">
        <f t="shared" si="432"/>
        <v>-50</v>
      </c>
    </row>
    <row r="153" spans="5:166">
      <c r="E153" s="170">
        <v>43</v>
      </c>
      <c r="F153" s="217">
        <f t="shared" si="474"/>
        <v>1.075</v>
      </c>
      <c r="G153" s="217">
        <f t="shared" si="443"/>
        <v>0.1075</v>
      </c>
      <c r="H153" s="217">
        <f t="shared" si="444"/>
        <v>30.099999999999998</v>
      </c>
      <c r="I153" s="217">
        <f t="shared" si="445"/>
        <v>3.2250000000000001</v>
      </c>
      <c r="J153" s="541">
        <f t="shared" si="446"/>
        <v>18.894842007188121</v>
      </c>
      <c r="K153" s="443">
        <f t="shared" si="447"/>
        <v>28.742647491258435</v>
      </c>
      <c r="L153" s="172">
        <f t="shared" si="448"/>
        <v>47.637489498446556</v>
      </c>
      <c r="M153" s="443"/>
      <c r="N153" s="217">
        <f t="shared" si="449"/>
        <v>0.60336192763045848</v>
      </c>
      <c r="O153" s="172">
        <f t="shared" si="450"/>
        <v>85.809675344204194</v>
      </c>
      <c r="P153" s="172">
        <f t="shared" si="451"/>
        <v>10.178953835473202</v>
      </c>
      <c r="Q153" s="217">
        <f t="shared" si="321"/>
        <v>3.0646312622930068</v>
      </c>
      <c r="R153" s="217">
        <f t="shared" si="452"/>
        <v>2.8603225114734729</v>
      </c>
      <c r="S153" s="217">
        <f t="shared" si="453"/>
        <v>28</v>
      </c>
      <c r="T153" s="217">
        <f t="shared" si="454"/>
        <v>5.8462715848108662</v>
      </c>
      <c r="U153" s="217">
        <f t="shared" si="325"/>
        <v>1.4542316066023668</v>
      </c>
      <c r="V153" s="217">
        <f t="shared" si="326"/>
        <v>0.95598279375509365</v>
      </c>
      <c r="W153" s="197">
        <f t="shared" si="327"/>
        <v>350</v>
      </c>
      <c r="X153" s="443">
        <f t="shared" si="434"/>
        <v>350</v>
      </c>
      <c r="Z153" s="217">
        <f t="shared" si="328"/>
        <v>6.9303515475562216</v>
      </c>
      <c r="AA153" s="173">
        <f t="shared" si="329"/>
        <v>1.1332516353415472</v>
      </c>
      <c r="AB153" s="173">
        <f t="shared" si="455"/>
        <v>1.2414121903652759</v>
      </c>
      <c r="AC153" s="173"/>
      <c r="AD153" s="173">
        <f t="shared" si="331"/>
        <v>0.54506693134066397</v>
      </c>
      <c r="AE153" s="545">
        <f t="shared" si="456"/>
        <v>1183.3409126720226</v>
      </c>
      <c r="AF153" s="528">
        <f t="shared" si="457"/>
        <v>0.31795570994872063</v>
      </c>
      <c r="AH153" s="173">
        <f t="shared" si="458"/>
        <v>6.3652743322835628</v>
      </c>
      <c r="AI153" s="173">
        <f t="shared" si="459"/>
        <v>6.3652743322835628</v>
      </c>
      <c r="AJ153" s="173">
        <f t="shared" si="460"/>
        <v>3.4458822214446139</v>
      </c>
      <c r="AL153" s="545">
        <f t="shared" si="461"/>
        <v>1075</v>
      </c>
      <c r="AM153" s="460">
        <f t="shared" si="462"/>
        <v>350</v>
      </c>
      <c r="AO153" s="460">
        <f t="shared" si="339"/>
        <v>1075</v>
      </c>
      <c r="AP153" s="460">
        <f t="shared" si="340"/>
        <v>350</v>
      </c>
      <c r="AR153" s="5">
        <f t="shared" si="442"/>
        <v>2.8571428571428572</v>
      </c>
      <c r="AS153" s="5">
        <f t="shared" si="439"/>
        <v>1.5833310143769166</v>
      </c>
      <c r="AT153" s="5">
        <f t="shared" si="440"/>
        <v>1.2738118427659406</v>
      </c>
      <c r="AU153" s="173">
        <f t="shared" si="441"/>
        <v>0.55416585503192084</v>
      </c>
      <c r="AW153" s="5">
        <f t="shared" si="341"/>
        <v>6.0788601444828041</v>
      </c>
      <c r="AX153" s="5">
        <f t="shared" si="342"/>
        <v>0.56736028015172846</v>
      </c>
      <c r="AY153" s="5">
        <f t="shared" si="343"/>
        <v>1.4494407843711508</v>
      </c>
      <c r="AZ153" s="5"/>
      <c r="BA153" s="173">
        <f t="shared" si="344"/>
        <v>2.7357498240653997</v>
      </c>
      <c r="BB153" s="173">
        <f t="shared" si="345"/>
        <v>2.4538225978804555</v>
      </c>
      <c r="BC153" s="173">
        <f t="shared" si="346"/>
        <v>0.24739358978630821</v>
      </c>
      <c r="BD153" s="173"/>
      <c r="BE153" s="528">
        <f t="shared" si="347"/>
        <v>8.9811925198486381E-2</v>
      </c>
      <c r="BF153" s="528">
        <f t="shared" si="463"/>
        <v>1.9368540895024076</v>
      </c>
      <c r="BG153" s="528">
        <f t="shared" si="349"/>
        <v>4.0250000000000001E-2</v>
      </c>
      <c r="BH153" s="528">
        <f t="shared" si="350"/>
        <v>0.39117582868505518</v>
      </c>
      <c r="BI153">
        <f t="shared" si="351"/>
        <v>8.5026789032346534E-3</v>
      </c>
      <c r="BJ153" s="460">
        <f t="shared" si="435"/>
        <v>48.752678903234653</v>
      </c>
      <c r="BK153">
        <f t="shared" si="464"/>
        <v>2.4953399034975754</v>
      </c>
      <c r="BL153" s="460">
        <f t="shared" si="436"/>
        <v>2466.5945222891837</v>
      </c>
      <c r="BM153" s="173">
        <f t="shared" si="465"/>
        <v>0.72089499999999995</v>
      </c>
      <c r="BN153" s="173">
        <f t="shared" si="466"/>
        <v>7.2089500000000001E-2</v>
      </c>
      <c r="BO153" s="528"/>
      <c r="BQ153" s="460">
        <f t="shared" si="355"/>
        <v>792.98450000000003</v>
      </c>
      <c r="BR153" s="528">
        <f t="shared" si="356"/>
        <v>0.10478057939823411</v>
      </c>
      <c r="BS153" s="528">
        <f t="shared" si="357"/>
        <v>8.4297434786163028E-2</v>
      </c>
      <c r="BT153" s="528">
        <f t="shared" si="358"/>
        <v>3.0601794133678072E-4</v>
      </c>
      <c r="BU153" s="528">
        <f t="shared" si="359"/>
        <v>11.713398794753626</v>
      </c>
      <c r="BV153" s="528"/>
      <c r="BW153" s="625">
        <f t="shared" si="467"/>
        <v>1.4180851063829787</v>
      </c>
      <c r="BX153" s="460">
        <f t="shared" si="361"/>
        <v>13320.867933262338</v>
      </c>
      <c r="BY153" s="173">
        <f t="shared" si="362"/>
        <v>16.580446955551523</v>
      </c>
      <c r="BZ153" s="5">
        <f t="shared" si="363"/>
        <v>33.324999999999996</v>
      </c>
      <c r="CA153" s="173">
        <f t="shared" si="364"/>
        <v>0.66776278007651224</v>
      </c>
      <c r="CB153" s="5">
        <f t="shared" si="365"/>
        <v>66.776278007651229</v>
      </c>
      <c r="CC153">
        <f t="shared" si="366"/>
        <v>43</v>
      </c>
      <c r="CE153" s="562">
        <f t="shared" si="468"/>
        <v>-50</v>
      </c>
      <c r="CF153">
        <f t="shared" si="469"/>
        <v>-50</v>
      </c>
      <c r="CG153" s="173">
        <f t="shared" si="369"/>
        <v>0.35289297344127635</v>
      </c>
      <c r="CH153" s="173">
        <f t="shared" si="470"/>
        <v>0.11443798547579664</v>
      </c>
      <c r="CI153" s="170">
        <v>43</v>
      </c>
      <c r="CJ153" s="217">
        <f t="shared" si="437"/>
        <v>1.075</v>
      </c>
      <c r="CK153" s="217">
        <f t="shared" si="371"/>
        <v>0.1075</v>
      </c>
      <c r="CL153" s="217">
        <f t="shared" si="372"/>
        <v>30.099999999999998</v>
      </c>
      <c r="CM153" s="217">
        <f t="shared" si="373"/>
        <v>3.2250000000000001</v>
      </c>
      <c r="CN153" s="541">
        <f t="shared" si="374"/>
        <v>19</v>
      </c>
      <c r="CO153" s="443">
        <f t="shared" si="471"/>
        <v>28.7</v>
      </c>
      <c r="CP153" s="443">
        <f t="shared" si="472"/>
        <v>47.7</v>
      </c>
      <c r="CQ153" s="443"/>
      <c r="CR153" s="217">
        <f t="shared" si="377"/>
        <v>0.59915611814345993</v>
      </c>
      <c r="CS153" s="172">
        <f t="shared" si="378"/>
        <v>85.685767433419556</v>
      </c>
      <c r="CT153" s="172">
        <f t="shared" si="379"/>
        <v>10.164255575647982</v>
      </c>
      <c r="CU153" s="217">
        <f t="shared" si="380"/>
        <v>3.0602059797649841</v>
      </c>
      <c r="CV153" s="217">
        <f t="shared" si="381"/>
        <v>2.8561922477806521</v>
      </c>
      <c r="CW153" s="217">
        <f t="shared" si="382"/>
        <v>28</v>
      </c>
      <c r="CX153" s="217">
        <f t="shared" si="383"/>
        <v>5.8547257227575971</v>
      </c>
      <c r="CY153" s="217">
        <f t="shared" si="384"/>
        <v>1.448274257734774</v>
      </c>
      <c r="CZ153" s="217">
        <f t="shared" si="385"/>
        <v>0.95878783613103513</v>
      </c>
      <c r="DA153" s="197">
        <f t="shared" si="386"/>
        <v>350</v>
      </c>
      <c r="DB153" s="443">
        <f t="shared" si="387"/>
        <v>350</v>
      </c>
      <c r="DD153" s="217">
        <f t="shared" si="388"/>
        <v>6.9494625094785683</v>
      </c>
      <c r="DE153" s="173">
        <f t="shared" si="389"/>
        <v>1.1380652890086853</v>
      </c>
      <c r="DF153" s="173">
        <f t="shared" si="390"/>
        <v>1.2501230996965573</v>
      </c>
      <c r="DG153" s="173"/>
      <c r="DH153" s="173">
        <f t="shared" si="391"/>
        <v>0.54587688734030204</v>
      </c>
      <c r="DI153" s="545">
        <f t="shared" si="392"/>
        <v>1181.5851063829787</v>
      </c>
      <c r="DJ153" s="528">
        <f t="shared" si="393"/>
        <v>0.31842818428184283</v>
      </c>
      <c r="DL153" s="173">
        <f t="shared" si="394"/>
        <v>6.3652743322835628</v>
      </c>
      <c r="DM153" s="173">
        <f t="shared" si="395"/>
        <v>6.3652743322835628</v>
      </c>
      <c r="DN153" s="173">
        <f t="shared" si="396"/>
        <v>3.4458822214446139</v>
      </c>
      <c r="DP153" s="545">
        <f t="shared" si="397"/>
        <v>1075</v>
      </c>
      <c r="DQ153" s="460">
        <f t="shared" si="398"/>
        <v>350</v>
      </c>
      <c r="DS153" s="460">
        <f t="shared" si="399"/>
        <v>1075</v>
      </c>
      <c r="DT153" s="460">
        <f t="shared" si="400"/>
        <v>350</v>
      </c>
      <c r="DV153" s="5">
        <f t="shared" si="401"/>
        <v>2.8571428571428572</v>
      </c>
      <c r="DW153" s="5">
        <f t="shared" si="402"/>
        <v>1.5745678611438287</v>
      </c>
      <c r="DX153" s="5">
        <f t="shared" si="403"/>
        <v>1.2825749959990285</v>
      </c>
      <c r="DY153" s="173">
        <f t="shared" si="404"/>
        <v>0.55109875140034004</v>
      </c>
      <c r="EA153" s="5">
        <f t="shared" si="405"/>
        <v>6.0452158954629143</v>
      </c>
      <c r="EB153" s="5">
        <f t="shared" si="406"/>
        <v>0.56422015024320527</v>
      </c>
      <c r="EC153" s="5">
        <f t="shared" si="407"/>
        <v>1.4513348638936372</v>
      </c>
      <c r="ED153" s="5"/>
      <c r="EE153" s="173">
        <f t="shared" si="408"/>
        <v>2.7281686365749489</v>
      </c>
      <c r="EF153" s="173">
        <f t="shared" si="409"/>
        <v>2.4622486332926323</v>
      </c>
      <c r="EG153" s="173">
        <f t="shared" si="410"/>
        <v>0.24824309991392929</v>
      </c>
      <c r="EH153" s="173"/>
      <c r="EI153" s="528">
        <f t="shared" si="411"/>
        <v>8.9314849315094591E-2</v>
      </c>
      <c r="EJ153" s="528">
        <f t="shared" si="412"/>
        <v>2.0190968445720081</v>
      </c>
      <c r="EK153" s="528">
        <f t="shared" si="413"/>
        <v>4.0250000000000001E-2</v>
      </c>
      <c r="EL153" s="528">
        <f t="shared" si="414"/>
        <v>0.39220311375000005</v>
      </c>
      <c r="EM153">
        <f t="shared" si="415"/>
        <v>8.5500000000000003E-3</v>
      </c>
      <c r="EN153" s="460">
        <f t="shared" si="416"/>
        <v>48.800000000000004</v>
      </c>
      <c r="EP153" s="460">
        <f t="shared" si="438"/>
        <v>2549.4148076371025</v>
      </c>
      <c r="EQ153" s="173">
        <f t="shared" si="417"/>
        <v>0.75249999999999995</v>
      </c>
      <c r="ER153" s="173">
        <f t="shared" si="473"/>
        <v>5.1492499999999997E-2</v>
      </c>
      <c r="ES153" s="528"/>
      <c r="EU153" s="460">
        <f t="shared" si="419"/>
        <v>803.99249999999984</v>
      </c>
      <c r="EV153" s="528">
        <f t="shared" si="420"/>
        <v>0.10420065753427703</v>
      </c>
      <c r="EW153" s="528">
        <f t="shared" si="421"/>
        <v>8.4877356650120098E-2</v>
      </c>
      <c r="EX153" s="528">
        <f t="shared" si="422"/>
        <v>3.081231832743854E-4</v>
      </c>
      <c r="EY153" s="528">
        <f t="shared" si="423"/>
        <v>11.713398794753626</v>
      </c>
      <c r="EZ153" s="528"/>
      <c r="FA153" s="625">
        <f t="shared" si="424"/>
        <v>1.4180851063829787</v>
      </c>
      <c r="FB153" s="460">
        <f t="shared" si="425"/>
        <v>13320.870038504276</v>
      </c>
      <c r="FC153" s="173">
        <f t="shared" si="426"/>
        <v>16.67427734614138</v>
      </c>
      <c r="FD153" s="5">
        <f t="shared" si="427"/>
        <v>33.324999999999996</v>
      </c>
      <c r="FE153" s="173">
        <f t="shared" si="428"/>
        <v>0.66650963311516354</v>
      </c>
      <c r="FF153" s="5">
        <f t="shared" si="429"/>
        <v>66.65096331151635</v>
      </c>
      <c r="FG153">
        <f t="shared" si="430"/>
        <v>43</v>
      </c>
      <c r="FI153" s="562">
        <f t="shared" si="431"/>
        <v>-50</v>
      </c>
      <c r="FJ153">
        <f t="shared" si="432"/>
        <v>-50</v>
      </c>
    </row>
    <row r="154" spans="5:166">
      <c r="E154" s="170">
        <v>44</v>
      </c>
      <c r="F154" s="217">
        <f t="shared" si="474"/>
        <v>1.1000000000000001</v>
      </c>
      <c r="G154" s="217">
        <f t="shared" si="443"/>
        <v>0.11</v>
      </c>
      <c r="H154" s="217">
        <f t="shared" si="444"/>
        <v>30.800000000000004</v>
      </c>
      <c r="I154" s="217">
        <f t="shared" si="445"/>
        <v>3.3</v>
      </c>
      <c r="J154" s="541">
        <f t="shared" si="446"/>
        <v>18.893626267460583</v>
      </c>
      <c r="K154" s="443">
        <f t="shared" si="447"/>
        <v>28.74314054221934</v>
      </c>
      <c r="L154" s="172">
        <f t="shared" si="448"/>
        <v>47.636766809679926</v>
      </c>
      <c r="M154" s="443"/>
      <c r="N154" s="217">
        <f t="shared" si="449"/>
        <v>0.60338143134388067</v>
      </c>
      <c r="O154" s="172">
        <f t="shared" si="450"/>
        <v>85.806927767480616</v>
      </c>
      <c r="P154" s="172">
        <f t="shared" si="451"/>
        <v>10.178627911193489</v>
      </c>
      <c r="Q154" s="217">
        <f t="shared" si="321"/>
        <v>3.064533134552879</v>
      </c>
      <c r="R154" s="217">
        <f t="shared" si="452"/>
        <v>2.860230925582687</v>
      </c>
      <c r="S154" s="217">
        <f t="shared" si="453"/>
        <v>28</v>
      </c>
      <c r="T154" s="217">
        <f t="shared" si="454"/>
        <v>5.9824229428696336</v>
      </c>
      <c r="U154" s="217">
        <f t="shared" si="325"/>
        <v>1.4881943483719826</v>
      </c>
      <c r="V154" s="217">
        <f t="shared" si="326"/>
        <v>0.97822949410093418</v>
      </c>
      <c r="W154" s="197">
        <f t="shared" si="327"/>
        <v>350</v>
      </c>
      <c r="X154" s="443">
        <f t="shared" si="434"/>
        <v>350</v>
      </c>
      <c r="Z154" s="217">
        <f t="shared" si="328"/>
        <v>6.930129641663652</v>
      </c>
      <c r="AA154" s="173">
        <f t="shared" si="329"/>
        <v>1.1331959104460552</v>
      </c>
      <c r="AB154" s="173">
        <f t="shared" si="455"/>
        <v>1.2413113995836051</v>
      </c>
      <c r="AC154" s="173"/>
      <c r="AD154" s="173">
        <f t="shared" si="331"/>
        <v>0.54505758143076588</v>
      </c>
      <c r="AE154" s="545">
        <f t="shared" si="456"/>
        <v>1210.8812398637085</v>
      </c>
      <c r="AF154" s="528">
        <f t="shared" si="457"/>
        <v>0.31795025583461345</v>
      </c>
      <c r="AH154" s="173">
        <f t="shared" si="458"/>
        <v>6.4388637635338695</v>
      </c>
      <c r="AI154" s="173">
        <f t="shared" si="459"/>
        <v>6.4388637635338695</v>
      </c>
      <c r="AJ154" s="173">
        <f t="shared" si="460"/>
        <v>3.5003929112596559</v>
      </c>
      <c r="AL154" s="545">
        <f t="shared" si="461"/>
        <v>1100</v>
      </c>
      <c r="AM154" s="460">
        <f t="shared" si="462"/>
        <v>350</v>
      </c>
      <c r="AO154" s="460">
        <f t="shared" si="339"/>
        <v>1100</v>
      </c>
      <c r="AP154" s="460">
        <f t="shared" si="340"/>
        <v>350</v>
      </c>
      <c r="AR154" s="5">
        <f t="shared" si="442"/>
        <v>2.8571428571428572</v>
      </c>
      <c r="AS154" s="5">
        <f t="shared" si="439"/>
        <v>1.6017390870448645</v>
      </c>
      <c r="AT154" s="5">
        <f t="shared" si="440"/>
        <v>1.2554037700979928</v>
      </c>
      <c r="AU154" s="173">
        <f t="shared" si="441"/>
        <v>0.56060868046570256</v>
      </c>
      <c r="AW154" s="5">
        <f t="shared" si="341"/>
        <v>6.2925464133905402</v>
      </c>
      <c r="AX154" s="5">
        <f t="shared" si="342"/>
        <v>0.58730433191645037</v>
      </c>
      <c r="AY154" s="5">
        <f t="shared" si="343"/>
        <v>1.4618095304299668</v>
      </c>
      <c r="AZ154" s="5"/>
      <c r="BA154" s="173">
        <f t="shared" si="344"/>
        <v>2.7834185539651468</v>
      </c>
      <c r="BB154" s="173">
        <f t="shared" si="345"/>
        <v>2.4641908763782383</v>
      </c>
      <c r="BC154" s="173">
        <f t="shared" si="346"/>
        <v>0.24843891622501912</v>
      </c>
      <c r="BD154" s="173"/>
      <c r="BE154" s="528">
        <f t="shared" si="347"/>
        <v>9.2969026158689155E-2</v>
      </c>
      <c r="BF154" s="528">
        <f t="shared" si="463"/>
        <v>1.9592164872403859</v>
      </c>
      <c r="BG154" s="528">
        <f t="shared" si="349"/>
        <v>4.0250000000000001E-2</v>
      </c>
      <c r="BH154" s="528">
        <f t="shared" si="350"/>
        <v>0.39116396003975945</v>
      </c>
      <c r="BI154">
        <f t="shared" si="351"/>
        <v>8.5021318203572626E-3</v>
      </c>
      <c r="BJ154" s="460">
        <f t="shared" si="435"/>
        <v>48.752131820357263</v>
      </c>
      <c r="BK154">
        <f t="shared" si="464"/>
        <v>2.5242094860442434</v>
      </c>
      <c r="BL154" s="460">
        <f t="shared" si="436"/>
        <v>2492.1016052591917</v>
      </c>
      <c r="BM154" s="173">
        <f t="shared" si="465"/>
        <v>0.73765999999999998</v>
      </c>
      <c r="BN154" s="173">
        <f t="shared" si="466"/>
        <v>7.3765999999999998E-2</v>
      </c>
      <c r="BO154" s="528"/>
      <c r="BQ154" s="460">
        <f t="shared" si="355"/>
        <v>811.42599999999993</v>
      </c>
      <c r="BR154" s="528">
        <f t="shared" si="356"/>
        <v>0.10846386385180401</v>
      </c>
      <c r="BS154" s="528">
        <f t="shared" si="357"/>
        <v>8.50113134531605E-2</v>
      </c>
      <c r="BT154" s="528">
        <f t="shared" si="358"/>
        <v>3.0860947547531033E-4</v>
      </c>
      <c r="BU154" s="528">
        <f t="shared" si="359"/>
        <v>12.054888718968424</v>
      </c>
      <c r="BV154" s="528"/>
      <c r="BW154" s="625">
        <f t="shared" si="467"/>
        <v>1.4510638297872345</v>
      </c>
      <c r="BX154" s="460">
        <f t="shared" si="361"/>
        <v>13699.736335536098</v>
      </c>
      <c r="BY154" s="173">
        <f t="shared" si="362"/>
        <v>17.003263940795289</v>
      </c>
      <c r="BZ154" s="5">
        <f t="shared" si="363"/>
        <v>34.1</v>
      </c>
      <c r="CA154" s="173">
        <f t="shared" si="364"/>
        <v>0.66727636104625154</v>
      </c>
      <c r="CB154" s="5">
        <f t="shared" si="365"/>
        <v>66.727636104625148</v>
      </c>
      <c r="CC154">
        <f t="shared" si="366"/>
        <v>44.000000000000007</v>
      </c>
      <c r="CE154" s="562">
        <f t="shared" si="468"/>
        <v>-50</v>
      </c>
      <c r="CF154">
        <f t="shared" si="469"/>
        <v>-50</v>
      </c>
      <c r="CG154" s="173">
        <f t="shared" si="369"/>
        <v>0.35697279653327757</v>
      </c>
      <c r="CH154" s="173">
        <f t="shared" si="470"/>
        <v>0.11576101191974464</v>
      </c>
      <c r="CI154" s="170">
        <v>44</v>
      </c>
      <c r="CJ154" s="217">
        <f t="shared" si="437"/>
        <v>1.1000000000000001</v>
      </c>
      <c r="CK154" s="217">
        <f t="shared" si="371"/>
        <v>0.11</v>
      </c>
      <c r="CL154" s="217">
        <f t="shared" si="372"/>
        <v>30.800000000000004</v>
      </c>
      <c r="CM154" s="217">
        <f t="shared" si="373"/>
        <v>3.3</v>
      </c>
      <c r="CN154" s="541">
        <f t="shared" si="374"/>
        <v>19</v>
      </c>
      <c r="CO154" s="443">
        <f t="shared" si="471"/>
        <v>28.7</v>
      </c>
      <c r="CP154" s="443">
        <f t="shared" si="472"/>
        <v>47.7</v>
      </c>
      <c r="CQ154" s="443"/>
      <c r="CR154" s="217">
        <f t="shared" si="377"/>
        <v>0.59915611814345993</v>
      </c>
      <c r="CS154" s="172">
        <f t="shared" si="378"/>
        <v>85.685767433419556</v>
      </c>
      <c r="CT154" s="172">
        <f t="shared" si="379"/>
        <v>10.164255575647982</v>
      </c>
      <c r="CU154" s="217">
        <f t="shared" si="380"/>
        <v>3.0602059797649841</v>
      </c>
      <c r="CV154" s="217">
        <f t="shared" si="381"/>
        <v>2.8561922477806521</v>
      </c>
      <c r="CW154" s="217">
        <f t="shared" si="382"/>
        <v>28</v>
      </c>
      <c r="CX154" s="217">
        <f t="shared" si="383"/>
        <v>5.9908821349147514</v>
      </c>
      <c r="CY154" s="217">
        <f t="shared" si="384"/>
        <v>1.4819550544262805</v>
      </c>
      <c r="CZ154" s="217">
        <f t="shared" si="385"/>
        <v>0.98108522766896622</v>
      </c>
      <c r="DA154" s="197">
        <f t="shared" si="386"/>
        <v>350</v>
      </c>
      <c r="DB154" s="443">
        <f t="shared" si="387"/>
        <v>350</v>
      </c>
      <c r="DD154" s="217">
        <f t="shared" si="388"/>
        <v>6.9494625094785683</v>
      </c>
      <c r="DE154" s="173">
        <f t="shared" si="389"/>
        <v>1.1380652890086853</v>
      </c>
      <c r="DF154" s="173">
        <f t="shared" si="390"/>
        <v>1.2501230996965573</v>
      </c>
      <c r="DG154" s="173"/>
      <c r="DH154" s="173">
        <f t="shared" si="391"/>
        <v>0.54587688734030204</v>
      </c>
      <c r="DI154" s="545">
        <f t="shared" si="392"/>
        <v>1209.063829787234</v>
      </c>
      <c r="DJ154" s="528">
        <f t="shared" si="393"/>
        <v>0.31842818428184283</v>
      </c>
      <c r="DL154" s="173">
        <f t="shared" si="394"/>
        <v>6.4388637635338695</v>
      </c>
      <c r="DM154" s="173">
        <f t="shared" si="395"/>
        <v>6.4388637635338695</v>
      </c>
      <c r="DN154" s="173">
        <f t="shared" si="396"/>
        <v>3.5003929112596559</v>
      </c>
      <c r="DP154" s="545">
        <f t="shared" si="397"/>
        <v>1100</v>
      </c>
      <c r="DQ154" s="460">
        <f t="shared" si="398"/>
        <v>350</v>
      </c>
      <c r="DS154" s="460">
        <f t="shared" si="399"/>
        <v>1100</v>
      </c>
      <c r="DT154" s="460">
        <f t="shared" si="400"/>
        <v>350</v>
      </c>
      <c r="DV154" s="5">
        <f t="shared" si="401"/>
        <v>2.8571428571428572</v>
      </c>
      <c r="DW154" s="5">
        <f t="shared" si="402"/>
        <v>1.592771562558378</v>
      </c>
      <c r="DX154" s="5">
        <f t="shared" si="403"/>
        <v>1.2643712945844792</v>
      </c>
      <c r="DY154" s="173">
        <f t="shared" si="404"/>
        <v>0.55747004689543234</v>
      </c>
      <c r="EA154" s="5">
        <f t="shared" si="405"/>
        <v>6.2573168529079144</v>
      </c>
      <c r="EB154" s="5">
        <f t="shared" si="406"/>
        <v>0.58401623960473859</v>
      </c>
      <c r="EC154" s="5">
        <f t="shared" si="407"/>
        <v>1.4640088674136076</v>
      </c>
      <c r="ED154" s="5"/>
      <c r="EE154" s="173">
        <f t="shared" si="408"/>
        <v>2.7756159697997109</v>
      </c>
      <c r="EF154" s="173">
        <f t="shared" si="409"/>
        <v>2.4729762453319259</v>
      </c>
      <c r="EG154" s="173">
        <f t="shared" si="410"/>
        <v>0.24932465424248107</v>
      </c>
      <c r="EH154" s="173"/>
      <c r="EI154" s="528">
        <f t="shared" si="411"/>
        <v>9.2448528141686276E-2</v>
      </c>
      <c r="EJ154" s="528">
        <f t="shared" si="412"/>
        <v>2.0424397801117613</v>
      </c>
      <c r="EK154" s="528">
        <f t="shared" si="413"/>
        <v>4.0250000000000001E-2</v>
      </c>
      <c r="EL154" s="528">
        <f t="shared" si="414"/>
        <v>0.39220311375000005</v>
      </c>
      <c r="EM154">
        <f t="shared" si="415"/>
        <v>8.5500000000000003E-3</v>
      </c>
      <c r="EN154" s="460">
        <f t="shared" si="416"/>
        <v>48.800000000000004</v>
      </c>
      <c r="EP154" s="460">
        <f t="shared" si="438"/>
        <v>2575.8914220034476</v>
      </c>
      <c r="EQ154" s="173">
        <f t="shared" si="417"/>
        <v>0.77</v>
      </c>
      <c r="ER154" s="173">
        <f t="shared" si="473"/>
        <v>5.2690000000000001E-2</v>
      </c>
      <c r="ES154" s="528"/>
      <c r="EU154" s="460">
        <f t="shared" si="419"/>
        <v>822.69</v>
      </c>
      <c r="EV154" s="528">
        <f t="shared" si="420"/>
        <v>0.10785661616530065</v>
      </c>
      <c r="EW154" s="528">
        <f t="shared" si="421"/>
        <v>8.561856113966386E-2</v>
      </c>
      <c r="EX154" s="528">
        <f t="shared" si="422"/>
        <v>3.1081391606566365E-4</v>
      </c>
      <c r="EY154" s="528">
        <f t="shared" si="423"/>
        <v>12.054888718968424</v>
      </c>
      <c r="EZ154" s="528"/>
      <c r="FA154" s="625">
        <f t="shared" si="424"/>
        <v>1.4510638297872345</v>
      </c>
      <c r="FB154" s="460">
        <f t="shared" si="425"/>
        <v>13699.73853997669</v>
      </c>
      <c r="FC154" s="173">
        <f t="shared" si="426"/>
        <v>17.098319961980138</v>
      </c>
      <c r="FD154" s="5">
        <f t="shared" si="427"/>
        <v>34.1</v>
      </c>
      <c r="FE154" s="173">
        <f t="shared" si="428"/>
        <v>0.66603747984939066</v>
      </c>
      <c r="FF154" s="5">
        <f t="shared" si="429"/>
        <v>66.603747984939062</v>
      </c>
      <c r="FG154">
        <f t="shared" si="430"/>
        <v>44.000000000000007</v>
      </c>
      <c r="FI154" s="562">
        <f t="shared" si="431"/>
        <v>-50</v>
      </c>
      <c r="FJ154">
        <f t="shared" si="432"/>
        <v>-50</v>
      </c>
    </row>
    <row r="155" spans="5:166">
      <c r="E155" s="170">
        <v>45</v>
      </c>
      <c r="F155" s="217">
        <f t="shared" si="474"/>
        <v>1.125</v>
      </c>
      <c r="G155" s="217">
        <f t="shared" si="443"/>
        <v>0.1125</v>
      </c>
      <c r="H155" s="217">
        <f t="shared" si="444"/>
        <v>31.5</v>
      </c>
      <c r="I155" s="217">
        <f t="shared" si="445"/>
        <v>3.375</v>
      </c>
      <c r="J155" s="541">
        <f t="shared" si="446"/>
        <v>18.892424266228335</v>
      </c>
      <c r="K155" s="443">
        <f t="shared" si="447"/>
        <v>28.743628021446302</v>
      </c>
      <c r="L155" s="172">
        <f t="shared" si="448"/>
        <v>47.636052287674637</v>
      </c>
      <c r="M155" s="443"/>
      <c r="N155" s="217">
        <f t="shared" si="449"/>
        <v>0.60340071523692218</v>
      </c>
      <c r="O155" s="172">
        <f t="shared" si="450"/>
        <v>85.80421097162467</v>
      </c>
      <c r="P155" s="172">
        <f t="shared" si="451"/>
        <v>10.178305638215681</v>
      </c>
      <c r="Q155" s="217">
        <f t="shared" si="321"/>
        <v>3.0644361061294525</v>
      </c>
      <c r="R155" s="217">
        <f t="shared" si="452"/>
        <v>2.8601403657208224</v>
      </c>
      <c r="S155" s="217">
        <f t="shared" si="453"/>
        <v>28</v>
      </c>
      <c r="T155" s="217">
        <f t="shared" si="454"/>
        <v>6.1185808255216845</v>
      </c>
      <c r="U155" s="217">
        <f t="shared" si="325"/>
        <v>1.5221619774524047</v>
      </c>
      <c r="V155" s="217">
        <f t="shared" si="326"/>
        <v>1.0004766920339838</v>
      </c>
      <c r="W155" s="197">
        <f t="shared" si="327"/>
        <v>350</v>
      </c>
      <c r="X155" s="443">
        <f t="shared" si="434"/>
        <v>350</v>
      </c>
      <c r="Z155" s="217">
        <f t="shared" si="328"/>
        <v>6.9299102217638691</v>
      </c>
      <c r="AA155" s="173">
        <f t="shared" si="329"/>
        <v>1.1331408136087937</v>
      </c>
      <c r="AB155" s="173">
        <f t="shared" si="455"/>
        <v>1.2412117459333707</v>
      </c>
      <c r="AC155" s="173"/>
      <c r="AD155" s="173">
        <f t="shared" si="331"/>
        <v>0.54504833749509263</v>
      </c>
      <c r="AE155" s="545">
        <f t="shared" si="456"/>
        <v>1238.4222711367822</v>
      </c>
      <c r="AF155" s="528">
        <f t="shared" si="457"/>
        <v>0.31794486353880408</v>
      </c>
      <c r="AH155" s="173">
        <f t="shared" si="458"/>
        <v>6.5116215956911319</v>
      </c>
      <c r="AI155" s="173">
        <f t="shared" si="459"/>
        <v>6.5116215956911319</v>
      </c>
      <c r="AJ155" s="173">
        <f t="shared" si="460"/>
        <v>3.554287601746517</v>
      </c>
      <c r="AL155" s="545">
        <f t="shared" si="461"/>
        <v>1125</v>
      </c>
      <c r="AM155" s="460">
        <f t="shared" si="462"/>
        <v>350</v>
      </c>
      <c r="AO155" s="460">
        <f t="shared" si="339"/>
        <v>1125</v>
      </c>
      <c r="AP155" s="460">
        <f t="shared" si="340"/>
        <v>350</v>
      </c>
      <c r="AR155" s="5">
        <f t="shared" si="442"/>
        <v>2.8571428571428572</v>
      </c>
      <c r="AS155" s="5">
        <f t="shared" si="439"/>
        <v>1.6199414679912962</v>
      </c>
      <c r="AT155" s="5">
        <f t="shared" si="440"/>
        <v>1.237201389151561</v>
      </c>
      <c r="AU155" s="173">
        <f t="shared" si="441"/>
        <v>0.56697951379695366</v>
      </c>
      <c r="AW155" s="5">
        <f t="shared" si="341"/>
        <v>6.5086933981793154</v>
      </c>
      <c r="AX155" s="5">
        <f t="shared" si="342"/>
        <v>0.6074780504967362</v>
      </c>
      <c r="AY155" s="5">
        <f t="shared" si="343"/>
        <v>1.4734494029795295</v>
      </c>
      <c r="AZ155" s="5"/>
      <c r="BA155" s="173">
        <f t="shared" si="344"/>
        <v>2.8308197117787701</v>
      </c>
      <c r="BB155" s="173">
        <f t="shared" si="345"/>
        <v>2.4739034664328488</v>
      </c>
      <c r="BC155" s="173">
        <f t="shared" si="346"/>
        <v>0.24941813636986923</v>
      </c>
      <c r="BD155" s="173"/>
      <c r="BE155" s="528">
        <f t="shared" si="347"/>
        <v>9.6162482887142867E-2</v>
      </c>
      <c r="BF155" s="528">
        <f t="shared" si="463"/>
        <v>1.981325510248199</v>
      </c>
      <c r="BG155" s="528">
        <f t="shared" si="349"/>
        <v>4.0250000000000001E-2</v>
      </c>
      <c r="BH155" s="528">
        <f t="shared" si="350"/>
        <v>0.39115222569338315</v>
      </c>
      <c r="BI155">
        <f t="shared" si="351"/>
        <v>8.5015909198027512E-3</v>
      </c>
      <c r="BJ155" s="460">
        <f t="shared" si="435"/>
        <v>48.751590919802752</v>
      </c>
      <c r="BK155">
        <f t="shared" si="464"/>
        <v>2.5529340521680735</v>
      </c>
      <c r="BL155" s="460">
        <f t="shared" si="436"/>
        <v>2517.3918097485275</v>
      </c>
      <c r="BM155" s="173">
        <f t="shared" si="465"/>
        <v>0.7544249999999999</v>
      </c>
      <c r="BN155" s="173">
        <f t="shared" si="466"/>
        <v>7.5442499999999996E-2</v>
      </c>
      <c r="BO155" s="528"/>
      <c r="BQ155" s="460">
        <f t="shared" si="355"/>
        <v>829.86749999999984</v>
      </c>
      <c r="BR155" s="528">
        <f t="shared" si="356"/>
        <v>0.11218956336833334</v>
      </c>
      <c r="BS155" s="528">
        <f t="shared" si="357"/>
        <v>8.5682777057198511E-2</v>
      </c>
      <c r="BT155" s="528">
        <f t="shared" si="358"/>
        <v>3.1104703375109345E-4</v>
      </c>
      <c r="BU155" s="528">
        <f t="shared" si="359"/>
        <v>12.398324596483359</v>
      </c>
      <c r="BV155" s="528"/>
      <c r="BW155" s="625">
        <f t="shared" si="467"/>
        <v>1.4840425531914896</v>
      </c>
      <c r="BX155" s="460">
        <f t="shared" si="361"/>
        <v>14080.550537134131</v>
      </c>
      <c r="BY155" s="173">
        <f t="shared" si="362"/>
        <v>17.42780984688266</v>
      </c>
      <c r="BZ155" s="5">
        <f t="shared" si="363"/>
        <v>34.875</v>
      </c>
      <c r="CA155" s="173">
        <f t="shared" si="364"/>
        <v>0.66679018014705405</v>
      </c>
      <c r="CB155" s="5">
        <f t="shared" si="365"/>
        <v>66.679018014705406</v>
      </c>
      <c r="CC155">
        <f t="shared" si="366"/>
        <v>45</v>
      </c>
      <c r="CE155" s="562">
        <f t="shared" si="468"/>
        <v>-50</v>
      </c>
      <c r="CF155">
        <f t="shared" si="469"/>
        <v>-50</v>
      </c>
      <c r="CG155" s="173">
        <f t="shared" si="369"/>
        <v>0.36100651548878188</v>
      </c>
      <c r="CH155" s="173">
        <f t="shared" si="470"/>
        <v>0.11706908747234634</v>
      </c>
      <c r="CI155" s="170">
        <v>45</v>
      </c>
      <c r="CJ155" s="217">
        <f t="shared" si="437"/>
        <v>1.125</v>
      </c>
      <c r="CK155" s="217">
        <f t="shared" si="371"/>
        <v>0.1125</v>
      </c>
      <c r="CL155" s="217">
        <f t="shared" si="372"/>
        <v>31.5</v>
      </c>
      <c r="CM155" s="217">
        <f t="shared" si="373"/>
        <v>3.375</v>
      </c>
      <c r="CN155" s="541">
        <f t="shared" si="374"/>
        <v>19</v>
      </c>
      <c r="CO155" s="443">
        <f t="shared" si="471"/>
        <v>28.7</v>
      </c>
      <c r="CP155" s="443">
        <f t="shared" si="472"/>
        <v>47.7</v>
      </c>
      <c r="CQ155" s="443"/>
      <c r="CR155" s="217">
        <f t="shared" si="377"/>
        <v>0.59915611814345993</v>
      </c>
      <c r="CS155" s="172">
        <f t="shared" si="378"/>
        <v>85.685767433419556</v>
      </c>
      <c r="CT155" s="172">
        <f t="shared" si="379"/>
        <v>10.164255575647982</v>
      </c>
      <c r="CU155" s="217">
        <f t="shared" si="380"/>
        <v>3.0602059797649841</v>
      </c>
      <c r="CV155" s="217">
        <f t="shared" si="381"/>
        <v>2.8561922477806521</v>
      </c>
      <c r="CW155" s="217">
        <f t="shared" si="382"/>
        <v>28</v>
      </c>
      <c r="CX155" s="217">
        <f t="shared" si="383"/>
        <v>6.1270385470719049</v>
      </c>
      <c r="CY155" s="217">
        <f t="shared" si="384"/>
        <v>1.515635851117787</v>
      </c>
      <c r="CZ155" s="217">
        <f t="shared" si="385"/>
        <v>1.0033826192068973</v>
      </c>
      <c r="DA155" s="197">
        <f t="shared" si="386"/>
        <v>350</v>
      </c>
      <c r="DB155" s="443">
        <f t="shared" si="387"/>
        <v>350</v>
      </c>
      <c r="DD155" s="217">
        <f t="shared" si="388"/>
        <v>6.9494625094785683</v>
      </c>
      <c r="DE155" s="173">
        <f t="shared" si="389"/>
        <v>1.1380652890086853</v>
      </c>
      <c r="DF155" s="173">
        <f t="shared" si="390"/>
        <v>1.2501230996965573</v>
      </c>
      <c r="DG155" s="173"/>
      <c r="DH155" s="173">
        <f t="shared" si="391"/>
        <v>0.54587688734030204</v>
      </c>
      <c r="DI155" s="545">
        <f t="shared" si="392"/>
        <v>1236.5425531914893</v>
      </c>
      <c r="DJ155" s="528">
        <f t="shared" si="393"/>
        <v>0.31842818428184283</v>
      </c>
      <c r="DL155" s="173">
        <f t="shared" si="394"/>
        <v>6.5116215956911319</v>
      </c>
      <c r="DM155" s="173">
        <f t="shared" si="395"/>
        <v>6.5116215956911319</v>
      </c>
      <c r="DN155" s="173">
        <f t="shared" si="396"/>
        <v>3.554287601746517</v>
      </c>
      <c r="DP155" s="545">
        <f t="shared" si="397"/>
        <v>1125</v>
      </c>
      <c r="DQ155" s="460">
        <f t="shared" si="398"/>
        <v>350</v>
      </c>
      <c r="DS155" s="460">
        <f t="shared" si="399"/>
        <v>1125</v>
      </c>
      <c r="DT155" s="460">
        <f t="shared" si="400"/>
        <v>350</v>
      </c>
      <c r="DV155" s="5">
        <f t="shared" si="401"/>
        <v>2.8571428571428572</v>
      </c>
      <c r="DW155" s="5">
        <f t="shared" si="402"/>
        <v>1.6107695526183325</v>
      </c>
      <c r="DX155" s="5">
        <f t="shared" si="403"/>
        <v>1.2463733045245247</v>
      </c>
      <c r="DY155" s="173">
        <f t="shared" si="404"/>
        <v>0.56376934341641638</v>
      </c>
      <c r="EA155" s="5">
        <f t="shared" si="405"/>
        <v>6.4718419524843718</v>
      </c>
      <c r="EB155" s="5">
        <f t="shared" si="406"/>
        <v>0.60403858223187468</v>
      </c>
      <c r="EC155" s="5">
        <f t="shared" si="407"/>
        <v>1.4759683869369371</v>
      </c>
      <c r="ED155" s="5"/>
      <c r="EE155" s="173">
        <f t="shared" si="408"/>
        <v>2.8227944543606802</v>
      </c>
      <c r="EF155" s="173">
        <f t="shared" si="409"/>
        <v>2.48305659827848</v>
      </c>
      <c r="EG155" s="173">
        <f t="shared" si="410"/>
        <v>0.25034095212151891</v>
      </c>
      <c r="EH155" s="173"/>
      <c r="EI155" s="528">
        <f t="shared" si="411"/>
        <v>9.561802237883292E-2</v>
      </c>
      <c r="EJ155" s="528">
        <f t="shared" si="412"/>
        <v>2.0655189282612056</v>
      </c>
      <c r="EK155" s="528">
        <f t="shared" si="413"/>
        <v>4.0250000000000001E-2</v>
      </c>
      <c r="EL155" s="528">
        <f t="shared" si="414"/>
        <v>0.39220311375000005</v>
      </c>
      <c r="EM155">
        <f t="shared" si="415"/>
        <v>8.5500000000000003E-3</v>
      </c>
      <c r="EN155" s="460">
        <f t="shared" si="416"/>
        <v>48.800000000000004</v>
      </c>
      <c r="EP155" s="460">
        <f t="shared" si="438"/>
        <v>2602.1400643900383</v>
      </c>
      <c r="EQ155" s="173">
        <f t="shared" si="417"/>
        <v>0.78749999999999998</v>
      </c>
      <c r="ER155" s="173">
        <f t="shared" si="473"/>
        <v>5.3887499999999998E-2</v>
      </c>
      <c r="ES155" s="528"/>
      <c r="EU155" s="460">
        <f t="shared" si="419"/>
        <v>841.38749999999993</v>
      </c>
      <c r="EV155" s="528">
        <f t="shared" si="420"/>
        <v>0.11155435944197174</v>
      </c>
      <c r="EW155" s="528">
        <f t="shared" si="421"/>
        <v>8.6317980983560166E-2</v>
      </c>
      <c r="EX155" s="528">
        <f t="shared" si="422"/>
        <v>3.1335296154554314E-4</v>
      </c>
      <c r="EY155" s="528">
        <f t="shared" si="423"/>
        <v>12.398324596483359</v>
      </c>
      <c r="EZ155" s="528"/>
      <c r="FA155" s="625">
        <f t="shared" si="424"/>
        <v>1.4840425531914896</v>
      </c>
      <c r="FB155" s="460">
        <f t="shared" si="425"/>
        <v>14080.552843061927</v>
      </c>
      <c r="FC155" s="173">
        <f t="shared" si="426"/>
        <v>17.524080407451965</v>
      </c>
      <c r="FD155" s="5">
        <f t="shared" si="427"/>
        <v>34.875</v>
      </c>
      <c r="FE155" s="173">
        <f t="shared" si="428"/>
        <v>0.6655651154335952</v>
      </c>
      <c r="FF155" s="5">
        <f t="shared" si="429"/>
        <v>66.55651154335952</v>
      </c>
      <c r="FG155">
        <f t="shared" si="430"/>
        <v>45</v>
      </c>
      <c r="FI155" s="562">
        <f t="shared" si="431"/>
        <v>-50</v>
      </c>
      <c r="FJ155">
        <f t="shared" si="432"/>
        <v>-50</v>
      </c>
    </row>
    <row r="156" spans="5:166" s="76" customFormat="1">
      <c r="E156" s="189">
        <v>46</v>
      </c>
      <c r="F156" s="329">
        <f t="shared" si="474"/>
        <v>1.1500000000000001</v>
      </c>
      <c r="G156" s="217">
        <f t="shared" si="443"/>
        <v>0.115</v>
      </c>
      <c r="H156" s="329">
        <f t="shared" si="444"/>
        <v>32.200000000000003</v>
      </c>
      <c r="I156" s="217">
        <f t="shared" si="445"/>
        <v>3.45</v>
      </c>
      <c r="J156" s="541">
        <f t="shared" si="446"/>
        <v>18.891235548000935</v>
      </c>
      <c r="K156" s="443">
        <f t="shared" si="447"/>
        <v>28.744110113666363</v>
      </c>
      <c r="L156" s="172">
        <f t="shared" si="448"/>
        <v>47.635345661667301</v>
      </c>
      <c r="M156" s="443"/>
      <c r="N156" s="217">
        <f t="shared" si="449"/>
        <v>0.60341978659760354</v>
      </c>
      <c r="O156" s="172">
        <f t="shared" si="450"/>
        <v>85.801523936105923</v>
      </c>
      <c r="P156" s="172">
        <f t="shared" si="451"/>
        <v>10.177986895481952</v>
      </c>
      <c r="Q156" s="329">
        <f t="shared" si="321"/>
        <v>3.0643401405752115</v>
      </c>
      <c r="R156" s="217">
        <f t="shared" si="452"/>
        <v>2.8600507978701972</v>
      </c>
      <c r="S156" s="329">
        <f t="shared" si="453"/>
        <v>28</v>
      </c>
      <c r="T156" s="217">
        <f t="shared" si="454"/>
        <v>6.2547451612433829</v>
      </c>
      <c r="U156" s="329">
        <f t="shared" si="325"/>
        <v>1.5561344403942234</v>
      </c>
      <c r="V156" s="329">
        <f t="shared" si="326"/>
        <v>1.0227243821984586</v>
      </c>
      <c r="W156" s="537">
        <f t="shared" si="327"/>
        <v>350</v>
      </c>
      <c r="X156" s="443">
        <f t="shared" si="434"/>
        <v>350</v>
      </c>
      <c r="Z156" s="329">
        <f t="shared" si="328"/>
        <v>6.9296932054345204</v>
      </c>
      <c r="AA156" s="538">
        <f t="shared" si="329"/>
        <v>1.1330863240068467</v>
      </c>
      <c r="AB156" s="173">
        <f t="shared" si="455"/>
        <v>1.2411131917142262</v>
      </c>
      <c r="AC156" s="538"/>
      <c r="AD156" s="538">
        <f t="shared" si="331"/>
        <v>0.5450391960201254</v>
      </c>
      <c r="AE156" s="545">
        <f t="shared" si="456"/>
        <v>1265.9639986231782</v>
      </c>
      <c r="AF156" s="528">
        <f t="shared" si="457"/>
        <v>0.31793953101173977</v>
      </c>
      <c r="AH156" s="173">
        <f t="shared" si="458"/>
        <v>6.5835753998562749</v>
      </c>
      <c r="AI156" s="538">
        <f t="shared" si="459"/>
        <v>6.5835753998562749</v>
      </c>
      <c r="AJ156" s="538">
        <f t="shared" si="460"/>
        <v>3.6075867159429196</v>
      </c>
      <c r="AL156" s="563">
        <f t="shared" si="461"/>
        <v>1150.0000000000002</v>
      </c>
      <c r="AM156" s="564">
        <f t="shared" si="462"/>
        <v>350</v>
      </c>
      <c r="AO156" s="76">
        <f t="shared" si="339"/>
        <v>1150.0000000000002</v>
      </c>
      <c r="AP156" s="76">
        <f t="shared" si="340"/>
        <v>350</v>
      </c>
      <c r="AR156" s="534">
        <f t="shared" si="442"/>
        <v>2.8571428571428572</v>
      </c>
      <c r="AS156" s="5">
        <f t="shared" si="439"/>
        <v>1.6379449772198118</v>
      </c>
      <c r="AT156" s="5">
        <f t="shared" si="440"/>
        <v>1.2191978799230454</v>
      </c>
      <c r="AU156" s="173">
        <f t="shared" si="441"/>
        <v>0.57328074202693413</v>
      </c>
      <c r="AW156" s="5">
        <f t="shared" si="341"/>
        <v>6.7272740135813702</v>
      </c>
      <c r="AX156" s="5">
        <f t="shared" si="342"/>
        <v>0.62787890793426115</v>
      </c>
      <c r="AY156" s="5">
        <f t="shared" si="343"/>
        <v>1.4843683022732406</v>
      </c>
      <c r="AZ156" s="5"/>
      <c r="BA156" s="173">
        <f t="shared" si="344"/>
        <v>2.8779607249668917</v>
      </c>
      <c r="BB156" s="173">
        <f t="shared" si="345"/>
        <v>2.4829747778445674</v>
      </c>
      <c r="BC156" s="173">
        <f t="shared" si="346"/>
        <v>0.25033270301219818</v>
      </c>
      <c r="BD156" s="173"/>
      <c r="BE156" s="528">
        <f t="shared" si="347"/>
        <v>9.9391895213423481E-2</v>
      </c>
      <c r="BF156" s="528">
        <f t="shared" si="463"/>
        <v>2.0031895589922679</v>
      </c>
      <c r="BG156" s="528">
        <f t="shared" si="349"/>
        <v>4.0250000000000001E-2</v>
      </c>
      <c r="BH156" s="528">
        <f t="shared" si="350"/>
        <v>0.39114062119333737</v>
      </c>
      <c r="BI156">
        <f t="shared" si="351"/>
        <v>8.5010559966004207E-3</v>
      </c>
      <c r="BJ156" s="460">
        <f t="shared" si="435"/>
        <v>48.751055996600421</v>
      </c>
      <c r="BK156">
        <f t="shared" si="464"/>
        <v>2.5815218533573714</v>
      </c>
      <c r="BL156" s="460">
        <f t="shared" si="436"/>
        <v>2542.473131395629</v>
      </c>
      <c r="BM156" s="173">
        <f t="shared" si="465"/>
        <v>0.77119000000000004</v>
      </c>
      <c r="BN156" s="173">
        <f t="shared" si="466"/>
        <v>7.7118999999999993E-2</v>
      </c>
      <c r="BO156" s="528"/>
      <c r="BP156"/>
      <c r="BQ156" s="460">
        <f t="shared" si="355"/>
        <v>848.30899999999997</v>
      </c>
      <c r="BR156" s="528">
        <f t="shared" si="356"/>
        <v>0.11595721108232739</v>
      </c>
      <c r="BS156" s="528">
        <f t="shared" si="357"/>
        <v>8.6312292463771909E-2</v>
      </c>
      <c r="BT156" s="528">
        <f t="shared" si="358"/>
        <v>3.1333231098696707E-4</v>
      </c>
      <c r="BU156" s="528">
        <f t="shared" si="359"/>
        <v>12.743673899055834</v>
      </c>
      <c r="BV156" s="528"/>
      <c r="BW156" s="625">
        <f t="shared" si="467"/>
        <v>1.5170212765957451</v>
      </c>
      <c r="BX156" s="460">
        <f t="shared" si="361"/>
        <v>14463.278011508664</v>
      </c>
      <c r="BY156" s="173">
        <f t="shared" si="362"/>
        <v>17.854060142904295</v>
      </c>
      <c r="BZ156" s="5">
        <f t="shared" si="363"/>
        <v>35.650000000000006</v>
      </c>
      <c r="CA156" s="173">
        <f t="shared" si="364"/>
        <v>0.66630457398526799</v>
      </c>
      <c r="CB156" s="5">
        <f t="shared" si="365"/>
        <v>66.630457398526801</v>
      </c>
      <c r="CC156">
        <f t="shared" si="366"/>
        <v>46.000000000000007</v>
      </c>
      <c r="CE156" s="562">
        <f t="shared" si="468"/>
        <v>-50</v>
      </c>
      <c r="CF156">
        <f t="shared" si="469"/>
        <v>-50</v>
      </c>
      <c r="CG156" s="173">
        <f t="shared" si="369"/>
        <v>0.36499565885900004</v>
      </c>
      <c r="CH156" s="173">
        <f t="shared" si="470"/>
        <v>0.11836270782021042</v>
      </c>
      <c r="CI156" s="189">
        <v>46</v>
      </c>
      <c r="CJ156" s="329">
        <f t="shared" si="437"/>
        <v>1.1500000000000001</v>
      </c>
      <c r="CK156" s="217">
        <f t="shared" si="371"/>
        <v>0.115</v>
      </c>
      <c r="CL156" s="329">
        <f t="shared" si="372"/>
        <v>32.200000000000003</v>
      </c>
      <c r="CM156" s="217">
        <f t="shared" si="373"/>
        <v>3.45</v>
      </c>
      <c r="CN156" s="541">
        <f t="shared" si="374"/>
        <v>19</v>
      </c>
      <c r="CO156" s="443">
        <f t="shared" si="471"/>
        <v>28.7</v>
      </c>
      <c r="CP156" s="443">
        <f t="shared" si="472"/>
        <v>47.7</v>
      </c>
      <c r="CQ156" s="535"/>
      <c r="CR156" s="329">
        <f t="shared" si="377"/>
        <v>0.59915611814345993</v>
      </c>
      <c r="CS156" s="172">
        <f t="shared" si="378"/>
        <v>85.685767433419556</v>
      </c>
      <c r="CT156" s="172">
        <f t="shared" si="379"/>
        <v>10.164255575647982</v>
      </c>
      <c r="CU156" s="329">
        <f t="shared" si="380"/>
        <v>3.0602059797649841</v>
      </c>
      <c r="CV156" s="217">
        <f t="shared" si="381"/>
        <v>2.8561922477806521</v>
      </c>
      <c r="CW156" s="329">
        <f t="shared" si="382"/>
        <v>28</v>
      </c>
      <c r="CX156" s="217">
        <f t="shared" si="383"/>
        <v>6.2631949592290592</v>
      </c>
      <c r="CY156" s="329">
        <f t="shared" si="384"/>
        <v>1.5493166478092937</v>
      </c>
      <c r="CZ156" s="329">
        <f t="shared" si="385"/>
        <v>1.0256800107448285</v>
      </c>
      <c r="DA156" s="537">
        <f t="shared" si="386"/>
        <v>350</v>
      </c>
      <c r="DB156" s="535">
        <f t="shared" si="387"/>
        <v>350</v>
      </c>
      <c r="DD156" s="329">
        <f t="shared" si="388"/>
        <v>6.9494625094785683</v>
      </c>
      <c r="DE156" s="538">
        <f t="shared" si="389"/>
        <v>1.1380652890086853</v>
      </c>
      <c r="DF156" s="173">
        <f t="shared" si="390"/>
        <v>1.2501230996965573</v>
      </c>
      <c r="DG156" s="538"/>
      <c r="DH156" s="538">
        <f t="shared" si="391"/>
        <v>0.54587688734030204</v>
      </c>
      <c r="DI156" s="545">
        <f t="shared" si="392"/>
        <v>1264.0212765957447</v>
      </c>
      <c r="DJ156" s="528">
        <f t="shared" si="393"/>
        <v>0.31842818428184283</v>
      </c>
      <c r="DL156" s="173">
        <f t="shared" si="394"/>
        <v>6.5835753998562749</v>
      </c>
      <c r="DM156" s="538">
        <f t="shared" si="395"/>
        <v>6.5835753998562749</v>
      </c>
      <c r="DN156" s="538">
        <f t="shared" si="396"/>
        <v>3.6075867159429196</v>
      </c>
      <c r="DP156" s="563">
        <f t="shared" si="397"/>
        <v>1150.0000000000002</v>
      </c>
      <c r="DQ156" s="564">
        <f t="shared" si="398"/>
        <v>350</v>
      </c>
      <c r="DS156" s="76">
        <f t="shared" si="399"/>
        <v>1150.0000000000002</v>
      </c>
      <c r="DT156" s="76">
        <f t="shared" si="400"/>
        <v>350</v>
      </c>
      <c r="DV156" s="534">
        <f t="shared" si="401"/>
        <v>2.8571428571428572</v>
      </c>
      <c r="DW156" s="5">
        <f t="shared" si="402"/>
        <v>1.6285686515433941</v>
      </c>
      <c r="DX156" s="5">
        <f t="shared" si="403"/>
        <v>1.2285742055994631</v>
      </c>
      <c r="DY156" s="173">
        <f t="shared" si="404"/>
        <v>0.56999902804018798</v>
      </c>
      <c r="EA156" s="5">
        <f t="shared" si="405"/>
        <v>6.6887641045532273</v>
      </c>
      <c r="EB156" s="5">
        <f t="shared" si="406"/>
        <v>0.62428464975830111</v>
      </c>
      <c r="EC156" s="5">
        <f t="shared" si="407"/>
        <v>1.4872214067782974</v>
      </c>
      <c r="ED156" s="5"/>
      <c r="EE156" s="173">
        <f t="shared" si="408"/>
        <v>2.8697115388067438</v>
      </c>
      <c r="EF156" s="173">
        <f t="shared" si="409"/>
        <v>2.4925042358847995</v>
      </c>
      <c r="EG156" s="173">
        <f t="shared" si="410"/>
        <v>0.25129345984740187</v>
      </c>
      <c r="EH156" s="173"/>
      <c r="EI156" s="528">
        <f t="shared" si="411"/>
        <v>9.8822931791526833E-2</v>
      </c>
      <c r="EJ156" s="528">
        <f t="shared" si="412"/>
        <v>2.0883430347114098</v>
      </c>
      <c r="EK156" s="528">
        <f t="shared" si="413"/>
        <v>4.0250000000000001E-2</v>
      </c>
      <c r="EL156" s="528">
        <f t="shared" si="414"/>
        <v>0.39220311375000005</v>
      </c>
      <c r="EM156">
        <f t="shared" si="415"/>
        <v>8.5500000000000003E-3</v>
      </c>
      <c r="EN156" s="460">
        <f t="shared" si="416"/>
        <v>48.800000000000004</v>
      </c>
      <c r="EO156"/>
      <c r="EP156" s="460">
        <f t="shared" si="438"/>
        <v>2628.1690802529365</v>
      </c>
      <c r="EQ156" s="173">
        <f t="shared" si="417"/>
        <v>0.80500000000000005</v>
      </c>
      <c r="ER156" s="173">
        <f t="shared" si="473"/>
        <v>5.5085000000000002E-2</v>
      </c>
      <c r="ES156" s="528"/>
      <c r="ET156"/>
      <c r="EU156" s="460">
        <f t="shared" si="419"/>
        <v>860.08500000000015</v>
      </c>
      <c r="EV156" s="528">
        <f t="shared" si="420"/>
        <v>0.11529342042344798</v>
      </c>
      <c r="EW156" s="528">
        <f t="shared" si="421"/>
        <v>8.6976083122651357E-2</v>
      </c>
      <c r="EX156" s="528">
        <f t="shared" si="422"/>
        <v>3.1574201481038885E-4</v>
      </c>
      <c r="EY156" s="528">
        <f t="shared" si="423"/>
        <v>12.743673899055834</v>
      </c>
      <c r="EZ156" s="528"/>
      <c r="FA156" s="625">
        <f t="shared" si="424"/>
        <v>1.5170212765957451</v>
      </c>
      <c r="FB156" s="460">
        <f t="shared" si="425"/>
        <v>14463.280421212488</v>
      </c>
      <c r="FC156" s="173">
        <f t="shared" si="426"/>
        <v>17.951534501465424</v>
      </c>
      <c r="FD156" s="5">
        <f t="shared" si="427"/>
        <v>35.650000000000006</v>
      </c>
      <c r="FE156" s="173">
        <f t="shared" si="428"/>
        <v>0.66509289951438533</v>
      </c>
      <c r="FF156" s="5">
        <f t="shared" si="429"/>
        <v>66.509289951438532</v>
      </c>
      <c r="FG156">
        <f t="shared" si="430"/>
        <v>46.000000000000007</v>
      </c>
      <c r="FI156" s="562">
        <f t="shared" si="431"/>
        <v>-50</v>
      </c>
      <c r="FJ156">
        <f t="shared" si="432"/>
        <v>-50</v>
      </c>
    </row>
    <row r="157" spans="5:166">
      <c r="E157" s="170">
        <v>47</v>
      </c>
      <c r="F157" s="217">
        <f t="shared" si="474"/>
        <v>1.1749999999999998</v>
      </c>
      <c r="G157" s="217">
        <f t="shared" si="443"/>
        <v>0.11749999999999999</v>
      </c>
      <c r="H157" s="217">
        <f t="shared" si="444"/>
        <v>32.899999999999991</v>
      </c>
      <c r="I157" s="217">
        <f t="shared" si="445"/>
        <v>3.5249999999999999</v>
      </c>
      <c r="J157" s="541">
        <f t="shared" si="446"/>
        <v>18.890059681914224</v>
      </c>
      <c r="K157" s="443">
        <f t="shared" si="447"/>
        <v>28.744586993619215</v>
      </c>
      <c r="L157" s="172">
        <f t="shared" si="448"/>
        <v>47.634646675533439</v>
      </c>
      <c r="M157" s="443"/>
      <c r="N157" s="217">
        <f t="shared" si="449"/>
        <v>0.603438652319915</v>
      </c>
      <c r="O157" s="172">
        <f t="shared" si="450"/>
        <v>85.798865695569447</v>
      </c>
      <c r="P157" s="172">
        <f t="shared" si="451"/>
        <v>10.177671568479537</v>
      </c>
      <c r="Q157" s="217">
        <f t="shared" si="321"/>
        <v>3.0642452034131944</v>
      </c>
      <c r="R157" s="217">
        <f t="shared" si="452"/>
        <v>2.8599621898523151</v>
      </c>
      <c r="S157" s="217">
        <f t="shared" si="453"/>
        <v>28</v>
      </c>
      <c r="T157" s="217">
        <f t="shared" si="454"/>
        <v>6.390915880857019</v>
      </c>
      <c r="U157" s="217">
        <f t="shared" si="325"/>
        <v>1.5901116855012583</v>
      </c>
      <c r="V157" s="217">
        <f t="shared" si="326"/>
        <v>1.0449725594142554</v>
      </c>
      <c r="W157" s="197">
        <f t="shared" si="327"/>
        <v>350</v>
      </c>
      <c r="X157" s="443">
        <f t="shared" si="434"/>
        <v>350</v>
      </c>
      <c r="Z157" s="217">
        <f t="shared" si="328"/>
        <v>6.9294785147094728</v>
      </c>
      <c r="AA157" s="173">
        <f t="shared" si="329"/>
        <v>1.1330324219431005</v>
      </c>
      <c r="AB157" s="173">
        <f t="shared" si="455"/>
        <v>1.2410157012641085</v>
      </c>
      <c r="AC157" s="173"/>
      <c r="AD157" s="173">
        <f t="shared" si="331"/>
        <v>0.54503015368230501</v>
      </c>
      <c r="AE157" s="545">
        <f t="shared" si="456"/>
        <v>1293.5064147128644</v>
      </c>
      <c r="AF157" s="528">
        <f t="shared" si="457"/>
        <v>0.31793425631467792</v>
      </c>
      <c r="AH157" s="173">
        <f t="shared" si="458"/>
        <v>6.6547512564869225</v>
      </c>
      <c r="AI157" s="173">
        <f t="shared" si="459"/>
        <v>6.6547512564869225</v>
      </c>
      <c r="AJ157" s="173">
        <f t="shared" si="460"/>
        <v>3.6603095727063621</v>
      </c>
      <c r="AL157" s="545">
        <f t="shared" si="461"/>
        <v>1174.9999999999998</v>
      </c>
      <c r="AM157" s="460">
        <f t="shared" si="462"/>
        <v>350</v>
      </c>
      <c r="AO157">
        <f t="shared" si="339"/>
        <v>1174.9999999999998</v>
      </c>
      <c r="AP157">
        <f t="shared" si="340"/>
        <v>350</v>
      </c>
      <c r="AR157" s="5">
        <f t="shared" si="442"/>
        <v>2.8571428571428572</v>
      </c>
      <c r="AS157" s="5">
        <f t="shared" si="439"/>
        <v>1.6557560660030191</v>
      </c>
      <c r="AT157" s="5">
        <f t="shared" si="440"/>
        <v>1.2013867911398382</v>
      </c>
      <c r="AU157" s="173">
        <f t="shared" si="441"/>
        <v>0.57951462310105661</v>
      </c>
      <c r="AW157" s="5">
        <f t="shared" si="341"/>
        <v>6.9482620626912395</v>
      </c>
      <c r="AX157" s="5">
        <f t="shared" si="342"/>
        <v>0.64850445918451571</v>
      </c>
      <c r="AY157" s="5">
        <f t="shared" si="343"/>
        <v>1.4945738693889208</v>
      </c>
      <c r="AZ157" s="5"/>
      <c r="BA157" s="173">
        <f t="shared" si="344"/>
        <v>2.9248486583666047</v>
      </c>
      <c r="BB157" s="173">
        <f t="shared" si="345"/>
        <v>2.4914182883562184</v>
      </c>
      <c r="BC157" s="173">
        <f t="shared" si="346"/>
        <v>0.25118397497361877</v>
      </c>
      <c r="BD157" s="173"/>
      <c r="BE157" s="528">
        <f t="shared" si="347"/>
        <v>0.10265687609218713</v>
      </c>
      <c r="BF157" s="528">
        <f t="shared" si="463"/>
        <v>2.0248165797642237</v>
      </c>
      <c r="BG157" s="528">
        <f t="shared" si="349"/>
        <v>4.0250000000000001E-2</v>
      </c>
      <c r="BH157" s="528">
        <f t="shared" si="350"/>
        <v>0.39112914232776391</v>
      </c>
      <c r="BI157">
        <f t="shared" si="351"/>
        <v>8.5005268568614008E-3</v>
      </c>
      <c r="BJ157" s="460">
        <f t="shared" si="435"/>
        <v>48.750526856861406</v>
      </c>
      <c r="BK157">
        <f t="shared" si="464"/>
        <v>2.6099807087020404</v>
      </c>
      <c r="BL157" s="460">
        <f t="shared" si="436"/>
        <v>2567.3531250410365</v>
      </c>
      <c r="BM157" s="173">
        <f t="shared" si="465"/>
        <v>0.78795499999999974</v>
      </c>
      <c r="BN157" s="173">
        <f t="shared" si="466"/>
        <v>7.8795499999999991E-2</v>
      </c>
      <c r="BO157" s="528"/>
      <c r="BQ157" s="460">
        <f t="shared" si="355"/>
        <v>866.75049999999976</v>
      </c>
      <c r="BR157" s="528">
        <f t="shared" si="356"/>
        <v>0.11976635544088497</v>
      </c>
      <c r="BS157" s="528">
        <f t="shared" si="357"/>
        <v>8.690031122578161E-2</v>
      </c>
      <c r="BT157" s="528">
        <f t="shared" si="358"/>
        <v>3.1546694641773772E-4</v>
      </c>
      <c r="BU157" s="528">
        <f t="shared" si="359"/>
        <v>13.09090533961275</v>
      </c>
      <c r="BV157" s="528"/>
      <c r="BW157" s="625">
        <f t="shared" si="467"/>
        <v>1.5499999999999996</v>
      </c>
      <c r="BX157" s="460">
        <f t="shared" si="361"/>
        <v>14847.887473225834</v>
      </c>
      <c r="BY157" s="173">
        <f t="shared" si="362"/>
        <v>18.281991098266872</v>
      </c>
      <c r="BZ157" s="5">
        <f t="shared" si="363"/>
        <v>36.42499999999999</v>
      </c>
      <c r="CA157" s="173">
        <f t="shared" si="364"/>
        <v>0.66581983890453711</v>
      </c>
      <c r="CB157" s="5">
        <f t="shared" si="365"/>
        <v>66.581983890453714</v>
      </c>
      <c r="CC157">
        <f t="shared" si="366"/>
        <v>46.999999999999993</v>
      </c>
      <c r="CE157" s="562">
        <f t="shared" si="468"/>
        <v>-50</v>
      </c>
      <c r="CF157">
        <f t="shared" si="469"/>
        <v>-50</v>
      </c>
      <c r="CG157" s="173">
        <f t="shared" si="369"/>
        <v>0.36894167255337107</v>
      </c>
      <c r="CH157" s="173">
        <f t="shared" si="470"/>
        <v>0.11964234185043822</v>
      </c>
      <c r="CI157" s="170">
        <v>47</v>
      </c>
      <c r="CJ157" s="217">
        <f t="shared" si="437"/>
        <v>1.1749999999999998</v>
      </c>
      <c r="CK157" s="217">
        <f t="shared" si="371"/>
        <v>0.11749999999999999</v>
      </c>
      <c r="CL157" s="217">
        <f t="shared" si="372"/>
        <v>32.899999999999991</v>
      </c>
      <c r="CM157" s="217">
        <f t="shared" si="373"/>
        <v>3.5249999999999999</v>
      </c>
      <c r="CN157" s="541">
        <f t="shared" si="374"/>
        <v>19</v>
      </c>
      <c r="CO157" s="443">
        <f t="shared" si="471"/>
        <v>28.7</v>
      </c>
      <c r="CP157" s="443">
        <f t="shared" si="472"/>
        <v>47.7</v>
      </c>
      <c r="CQ157" s="443"/>
      <c r="CR157" s="217">
        <f t="shared" si="377"/>
        <v>0.59915611814345993</v>
      </c>
      <c r="CS157" s="172">
        <f t="shared" si="378"/>
        <v>85.685767433419556</v>
      </c>
      <c r="CT157" s="172">
        <f t="shared" si="379"/>
        <v>10.164255575647982</v>
      </c>
      <c r="CU157" s="217">
        <f t="shared" si="380"/>
        <v>3.0602059797649841</v>
      </c>
      <c r="CV157" s="217">
        <f t="shared" si="381"/>
        <v>2.8561922477806521</v>
      </c>
      <c r="CW157" s="217">
        <f t="shared" si="382"/>
        <v>28</v>
      </c>
      <c r="CX157" s="217">
        <f t="shared" si="383"/>
        <v>6.39935137138621</v>
      </c>
      <c r="CY157" s="217">
        <f t="shared" si="384"/>
        <v>1.5829974445007993</v>
      </c>
      <c r="CZ157" s="217">
        <f t="shared" si="385"/>
        <v>1.047977402282759</v>
      </c>
      <c r="DA157" s="197">
        <f t="shared" si="386"/>
        <v>350</v>
      </c>
      <c r="DB157" s="443">
        <f t="shared" si="387"/>
        <v>350</v>
      </c>
      <c r="DD157" s="217">
        <f t="shared" si="388"/>
        <v>6.9494625094785683</v>
      </c>
      <c r="DE157" s="173">
        <f t="shared" si="389"/>
        <v>1.1380652890086853</v>
      </c>
      <c r="DF157" s="173">
        <f t="shared" si="390"/>
        <v>1.2501230996965573</v>
      </c>
      <c r="DG157" s="173"/>
      <c r="DH157" s="173">
        <f t="shared" si="391"/>
        <v>0.54587688734030204</v>
      </c>
      <c r="DI157" s="545">
        <f t="shared" si="392"/>
        <v>1291.4999999999998</v>
      </c>
      <c r="DJ157" s="528">
        <f t="shared" si="393"/>
        <v>0.31842818428184283</v>
      </c>
      <c r="DL157" s="173">
        <f t="shared" si="394"/>
        <v>6.6547512564869225</v>
      </c>
      <c r="DM157" s="173">
        <f t="shared" si="395"/>
        <v>6.6547512564869225</v>
      </c>
      <c r="DN157" s="173">
        <f t="shared" si="396"/>
        <v>3.6603095727063621</v>
      </c>
      <c r="DP157" s="545">
        <f t="shared" si="397"/>
        <v>1174.9999999999998</v>
      </c>
      <c r="DQ157" s="460">
        <f t="shared" si="398"/>
        <v>350</v>
      </c>
      <c r="DS157">
        <f t="shared" si="399"/>
        <v>1174.9999999999998</v>
      </c>
      <c r="DT157">
        <f t="shared" si="400"/>
        <v>350</v>
      </c>
      <c r="DV157" s="5">
        <f t="shared" si="401"/>
        <v>2.8571428571428572</v>
      </c>
      <c r="DW157" s="5">
        <f t="shared" si="402"/>
        <v>1.646175310815186</v>
      </c>
      <c r="DX157" s="5">
        <f t="shared" si="403"/>
        <v>1.2109675463276712</v>
      </c>
      <c r="DY157" s="173">
        <f t="shared" si="404"/>
        <v>0.57616135878531505</v>
      </c>
      <c r="EA157" s="5">
        <f t="shared" si="405"/>
        <v>6.9080571078851545</v>
      </c>
      <c r="EB157" s="5">
        <f t="shared" si="406"/>
        <v>0.64475199673594785</v>
      </c>
      <c r="EC157" s="5">
        <f t="shared" si="407"/>
        <v>1.497775649405277</v>
      </c>
      <c r="ED157" s="5"/>
      <c r="EE157" s="173">
        <f t="shared" si="408"/>
        <v>2.9163743082599081</v>
      </c>
      <c r="EF157" s="173">
        <f t="shared" si="409"/>
        <v>2.5013327759469153</v>
      </c>
      <c r="EG157" s="173">
        <f t="shared" si="410"/>
        <v>0.25218355036186113</v>
      </c>
      <c r="EH157" s="173"/>
      <c r="EI157" s="528">
        <f t="shared" si="411"/>
        <v>0.10206286927054149</v>
      </c>
      <c r="EJ157" s="528">
        <f t="shared" si="412"/>
        <v>2.1109203723139345</v>
      </c>
      <c r="EK157" s="528">
        <f t="shared" si="413"/>
        <v>4.0250000000000001E-2</v>
      </c>
      <c r="EL157" s="528">
        <f t="shared" si="414"/>
        <v>0.39220311375000005</v>
      </c>
      <c r="EM157">
        <f t="shared" si="415"/>
        <v>8.5500000000000003E-3</v>
      </c>
      <c r="EN157" s="460">
        <f t="shared" si="416"/>
        <v>48.800000000000004</v>
      </c>
      <c r="EP157" s="460">
        <f t="shared" si="438"/>
        <v>2653.9863553344758</v>
      </c>
      <c r="EQ157" s="173">
        <f t="shared" si="417"/>
        <v>0.82249999999999979</v>
      </c>
      <c r="ER157" s="173">
        <f t="shared" si="473"/>
        <v>5.6282499999999992E-2</v>
      </c>
      <c r="ES157" s="528"/>
      <c r="EU157" s="460">
        <f t="shared" si="419"/>
        <v>878.7824999999998</v>
      </c>
      <c r="EV157" s="528">
        <f t="shared" si="420"/>
        <v>0.11907334748229841</v>
      </c>
      <c r="EW157" s="528">
        <f t="shared" si="421"/>
        <v>8.7593319184368218E-2</v>
      </c>
      <c r="EX157" s="528">
        <f t="shared" si="422"/>
        <v>3.1798271536556677E-4</v>
      </c>
      <c r="EY157" s="528">
        <f t="shared" si="423"/>
        <v>13.09090533961275</v>
      </c>
      <c r="EZ157" s="528"/>
      <c r="FA157" s="625">
        <f t="shared" si="424"/>
        <v>1.5499999999999996</v>
      </c>
      <c r="FB157" s="460">
        <f t="shared" si="425"/>
        <v>14847.889988994781</v>
      </c>
      <c r="FC157" s="173">
        <f t="shared" si="426"/>
        <v>18.380658844329258</v>
      </c>
      <c r="FD157" s="5">
        <f t="shared" si="427"/>
        <v>36.42499999999999</v>
      </c>
      <c r="FE157" s="173">
        <f t="shared" si="428"/>
        <v>0.66462114986085774</v>
      </c>
      <c r="FF157" s="5">
        <f t="shared" si="429"/>
        <v>66.46211498608578</v>
      </c>
      <c r="FG157">
        <f t="shared" si="430"/>
        <v>46.999999999999993</v>
      </c>
      <c r="FI157" s="562">
        <f t="shared" si="431"/>
        <v>-50</v>
      </c>
      <c r="FJ157">
        <f t="shared" si="432"/>
        <v>-50</v>
      </c>
    </row>
    <row r="158" spans="5:166">
      <c r="E158" s="170">
        <v>48</v>
      </c>
      <c r="F158" s="217">
        <f t="shared" si="474"/>
        <v>1.2</v>
      </c>
      <c r="G158" s="217">
        <f t="shared" si="443"/>
        <v>0.12</v>
      </c>
      <c r="H158" s="217">
        <f t="shared" si="444"/>
        <v>33.6</v>
      </c>
      <c r="I158" s="217">
        <f t="shared" si="445"/>
        <v>3.5999999999999996</v>
      </c>
      <c r="J158" s="541">
        <f t="shared" si="446"/>
        <v>18.888896259905678</v>
      </c>
      <c r="K158" s="443">
        <f t="shared" si="447"/>
        <v>28.745058826797202</v>
      </c>
      <c r="L158" s="172">
        <f t="shared" si="448"/>
        <v>47.633955086702883</v>
      </c>
      <c r="M158" s="443"/>
      <c r="N158" s="217">
        <f t="shared" si="449"/>
        <v>0.60345731893301136</v>
      </c>
      <c r="O158" s="172">
        <f t="shared" si="450"/>
        <v>85.796235335747596</v>
      </c>
      <c r="P158" s="172">
        <f t="shared" si="451"/>
        <v>10.177359548755772</v>
      </c>
      <c r="Q158" s="217">
        <f t="shared" si="321"/>
        <v>3.0641512619909856</v>
      </c>
      <c r="R158" s="217">
        <f t="shared" si="452"/>
        <v>2.8598745111915864</v>
      </c>
      <c r="S158" s="217">
        <f t="shared" si="453"/>
        <v>28</v>
      </c>
      <c r="T158" s="217">
        <f t="shared" si="454"/>
        <v>6.5270929174053425</v>
      </c>
      <c r="U158" s="217">
        <f t="shared" si="325"/>
        <v>1.6240936627367712</v>
      </c>
      <c r="V158" s="217">
        <f t="shared" si="326"/>
        <v>1.0672212186675565</v>
      </c>
      <c r="W158" s="197">
        <f t="shared" si="327"/>
        <v>350</v>
      </c>
      <c r="X158" s="443">
        <f t="shared" si="434"/>
        <v>345.86340160719345</v>
      </c>
      <c r="Z158" s="217">
        <f t="shared" si="328"/>
        <v>6.929266075748612</v>
      </c>
      <c r="AA158" s="173">
        <f t="shared" si="329"/>
        <v>1.1329790887628242</v>
      </c>
      <c r="AB158" s="173">
        <f t="shared" si="455"/>
        <v>1.2409192408082057</v>
      </c>
      <c r="AC158" s="173"/>
      <c r="AD158" s="173">
        <f t="shared" si="331"/>
        <v>0.54502120733395831</v>
      </c>
      <c r="AE158" s="545">
        <f t="shared" si="456"/>
        <v>1321.0495120400417</v>
      </c>
      <c r="AF158" s="528">
        <f t="shared" si="457"/>
        <v>0.31792903761147567</v>
      </c>
      <c r="AH158" s="173">
        <f t="shared" si="458"/>
        <v>6.7251738658443525</v>
      </c>
      <c r="AI158" s="173">
        <f t="shared" si="459"/>
        <v>6.7251738658443525</v>
      </c>
      <c r="AJ158" s="173">
        <f t="shared" si="460"/>
        <v>3.7124744685266808</v>
      </c>
      <c r="AL158" s="545">
        <f t="shared" si="461"/>
        <v>1200</v>
      </c>
      <c r="AM158" s="460">
        <f t="shared" si="462"/>
        <v>345.86340160719345</v>
      </c>
      <c r="AO158">
        <f t="shared" si="339"/>
        <v>1200</v>
      </c>
      <c r="AP158">
        <f t="shared" si="340"/>
        <v>345.86340160719345</v>
      </c>
      <c r="AR158" s="5">
        <f t="shared" si="442"/>
        <v>2.8913148814043277</v>
      </c>
      <c r="AS158" s="5">
        <f t="shared" si="439"/>
        <v>1.6733808442032438</v>
      </c>
      <c r="AT158" s="5">
        <f t="shared" si="440"/>
        <v>1.2179340372010838</v>
      </c>
      <c r="AU158" s="173">
        <f t="shared" si="441"/>
        <v>0.57876119096045098</v>
      </c>
      <c r="AW158" s="5">
        <f t="shared" si="341"/>
        <v>7.1716321894424739</v>
      </c>
      <c r="AX158" s="5">
        <f t="shared" si="342"/>
        <v>0.66935233768129754</v>
      </c>
      <c r="AY158" s="5">
        <f t="shared" si="343"/>
        <v>1.5474920551536753</v>
      </c>
      <c r="AZ158" s="5"/>
      <c r="BA158" s="173">
        <f t="shared" si="344"/>
        <v>2.9538782436501232</v>
      </c>
      <c r="BB158" s="173">
        <f t="shared" si="345"/>
        <v>2.52003792900737</v>
      </c>
      <c r="BC158" s="173">
        <f t="shared" si="346"/>
        <v>0.25406939776057913</v>
      </c>
      <c r="BD158" s="173"/>
      <c r="BE158" s="528">
        <f t="shared" si="347"/>
        <v>0.10470476013971444</v>
      </c>
      <c r="BF158" s="528">
        <f t="shared" si="463"/>
        <v>2.0220301956165851</v>
      </c>
      <c r="BG158" s="528">
        <f t="shared" si="349"/>
        <v>3.9774291184827247E-2</v>
      </c>
      <c r="BH158" s="528">
        <f t="shared" si="350"/>
        <v>0.38649522167548644</v>
      </c>
      <c r="BI158">
        <f t="shared" si="351"/>
        <v>8.5000033169575547E-3</v>
      </c>
      <c r="BJ158" s="460">
        <f t="shared" si="435"/>
        <v>48.274294501784802</v>
      </c>
      <c r="BK158">
        <f t="shared" si="464"/>
        <v>2.6063406161985121</v>
      </c>
      <c r="BL158" s="460">
        <f t="shared" si="436"/>
        <v>2561.504471933571</v>
      </c>
      <c r="BM158" s="173">
        <f t="shared" si="465"/>
        <v>0.80471999999999999</v>
      </c>
      <c r="BN158" s="173">
        <f t="shared" si="466"/>
        <v>8.0471999999999988E-2</v>
      </c>
      <c r="BO158" s="528"/>
      <c r="BQ158" s="460">
        <f t="shared" si="355"/>
        <v>885.19200000000001</v>
      </c>
      <c r="BR158" s="528">
        <f t="shared" si="356"/>
        <v>0.12215555349633352</v>
      </c>
      <c r="BS158" s="528">
        <f t="shared" si="357"/>
        <v>8.8908276290900562E-2</v>
      </c>
      <c r="BT158" s="528">
        <f t="shared" si="358"/>
        <v>3.2275629439211691E-4</v>
      </c>
      <c r="BU158" s="528">
        <f t="shared" si="359"/>
        <v>13.04638880652209</v>
      </c>
      <c r="BV158" s="528"/>
      <c r="BW158" s="625">
        <f t="shared" si="467"/>
        <v>1.5642697312811671</v>
      </c>
      <c r="BX158" s="460">
        <f t="shared" si="361"/>
        <v>14822.045123884884</v>
      </c>
      <c r="BY158" s="173">
        <f t="shared" si="362"/>
        <v>18.268741595818454</v>
      </c>
      <c r="BZ158" s="5">
        <f t="shared" si="363"/>
        <v>37.200000000000003</v>
      </c>
      <c r="CA158" s="173">
        <f t="shared" si="364"/>
        <v>0.67064798893516531</v>
      </c>
      <c r="CB158" s="5">
        <f t="shared" si="365"/>
        <v>67.064798893516524</v>
      </c>
      <c r="CC158">
        <f t="shared" si="366"/>
        <v>48</v>
      </c>
      <c r="CE158" s="562">
        <f t="shared" si="468"/>
        <v>-50</v>
      </c>
      <c r="CF158">
        <f t="shared" si="469"/>
        <v>-50</v>
      </c>
      <c r="CG158" s="173">
        <f t="shared" si="369"/>
        <v>0.37284592596277921</v>
      </c>
      <c r="CH158" s="173">
        <f t="shared" si="470"/>
        <v>0.12090843363629247</v>
      </c>
      <c r="CI158" s="170">
        <v>48</v>
      </c>
      <c r="CJ158" s="217">
        <f t="shared" si="437"/>
        <v>1.2</v>
      </c>
      <c r="CK158" s="217">
        <f t="shared" si="371"/>
        <v>0.12</v>
      </c>
      <c r="CL158" s="217">
        <f t="shared" si="372"/>
        <v>33.6</v>
      </c>
      <c r="CM158" s="217">
        <f t="shared" si="373"/>
        <v>3.5999999999999996</v>
      </c>
      <c r="CN158" s="541">
        <f t="shared" si="374"/>
        <v>19</v>
      </c>
      <c r="CO158" s="443">
        <f t="shared" si="471"/>
        <v>28.7</v>
      </c>
      <c r="CP158" s="443">
        <f t="shared" si="472"/>
        <v>47.7</v>
      </c>
      <c r="CQ158" s="443"/>
      <c r="CR158" s="217">
        <f t="shared" si="377"/>
        <v>0.59915611814345993</v>
      </c>
      <c r="CS158" s="172">
        <f t="shared" si="378"/>
        <v>85.685767433419556</v>
      </c>
      <c r="CT158" s="172">
        <f t="shared" si="379"/>
        <v>10.164255575647982</v>
      </c>
      <c r="CU158" s="217">
        <f t="shared" si="380"/>
        <v>3.0602059797649841</v>
      </c>
      <c r="CV158" s="217">
        <f t="shared" si="381"/>
        <v>2.8561922477806521</v>
      </c>
      <c r="CW158" s="217">
        <f t="shared" si="382"/>
        <v>28</v>
      </c>
      <c r="CX158" s="217">
        <f t="shared" si="383"/>
        <v>6.5355077835433653</v>
      </c>
      <c r="CY158" s="217">
        <f t="shared" si="384"/>
        <v>1.6166782411923062</v>
      </c>
      <c r="CZ158" s="217">
        <f t="shared" si="385"/>
        <v>1.0702747938206905</v>
      </c>
      <c r="DA158" s="197">
        <f t="shared" si="386"/>
        <v>350</v>
      </c>
      <c r="DB158" s="443">
        <f t="shared" si="387"/>
        <v>350</v>
      </c>
      <c r="DD158" s="217">
        <f t="shared" si="388"/>
        <v>6.9494625094785683</v>
      </c>
      <c r="DE158" s="173">
        <f t="shared" si="389"/>
        <v>1.1380652890086853</v>
      </c>
      <c r="DF158" s="173">
        <f t="shared" si="390"/>
        <v>1.2501230996965573</v>
      </c>
      <c r="DG158" s="173"/>
      <c r="DH158" s="173">
        <f t="shared" si="391"/>
        <v>0.54587688734030204</v>
      </c>
      <c r="DI158" s="545">
        <f t="shared" si="392"/>
        <v>1318.9787234042553</v>
      </c>
      <c r="DJ158" s="528">
        <f t="shared" si="393"/>
        <v>0.31842818428184283</v>
      </c>
      <c r="DL158" s="173">
        <f t="shared" si="394"/>
        <v>6.7251738658443525</v>
      </c>
      <c r="DM158" s="173">
        <f t="shared" si="395"/>
        <v>6.7251738658443525</v>
      </c>
      <c r="DN158" s="173">
        <f t="shared" si="396"/>
        <v>3.7124744685266808</v>
      </c>
      <c r="DP158" s="545">
        <f t="shared" si="397"/>
        <v>1200</v>
      </c>
      <c r="DQ158" s="460">
        <f t="shared" si="398"/>
        <v>350</v>
      </c>
      <c r="DS158">
        <f t="shared" si="399"/>
        <v>1200</v>
      </c>
      <c r="DT158">
        <f t="shared" si="400"/>
        <v>350</v>
      </c>
      <c r="DV158" s="5">
        <f t="shared" si="401"/>
        <v>2.8571428571428572</v>
      </c>
      <c r="DW158" s="5">
        <f t="shared" si="402"/>
        <v>1.6635956404983399</v>
      </c>
      <c r="DX158" s="5">
        <f t="shared" si="403"/>
        <v>1.1935472166445174</v>
      </c>
      <c r="DY158" s="173">
        <f t="shared" si="404"/>
        <v>0.58225847417441889</v>
      </c>
      <c r="EA158" s="5">
        <f t="shared" si="405"/>
        <v>7.129695602135742</v>
      </c>
      <c r="EB158" s="5">
        <f t="shared" si="406"/>
        <v>0.66543825619933594</v>
      </c>
      <c r="EC158" s="5">
        <f t="shared" si="407"/>
        <v>1.5076385894457061</v>
      </c>
      <c r="ED158" s="5"/>
      <c r="EE158" s="173">
        <f t="shared" si="408"/>
        <v>2.9627895094864831</v>
      </c>
      <c r="EF158" s="173">
        <f t="shared" si="409"/>
        <v>2.5095549733811642</v>
      </c>
      <c r="EG158" s="173">
        <f t="shared" si="410"/>
        <v>0.25301250961137961</v>
      </c>
      <c r="EH158" s="173"/>
      <c r="EI158" s="528">
        <f t="shared" si="411"/>
        <v>0.10533746013027785</v>
      </c>
      <c r="EJ158" s="528">
        <f t="shared" si="412"/>
        <v>2.133258776115158</v>
      </c>
      <c r="EK158" s="528">
        <f t="shared" si="413"/>
        <v>4.0250000000000001E-2</v>
      </c>
      <c r="EL158" s="528">
        <f t="shared" si="414"/>
        <v>0.39220311375000005</v>
      </c>
      <c r="EM158">
        <f t="shared" si="415"/>
        <v>8.5500000000000003E-3</v>
      </c>
      <c r="EN158" s="460">
        <f t="shared" si="416"/>
        <v>48.800000000000004</v>
      </c>
      <c r="EP158" s="460">
        <f t="shared" si="438"/>
        <v>2679.5993499954357</v>
      </c>
      <c r="EQ158" s="173">
        <f t="shared" si="417"/>
        <v>0.84</v>
      </c>
      <c r="ER158" s="173">
        <f t="shared" si="473"/>
        <v>5.7479999999999996E-2</v>
      </c>
      <c r="ES158" s="528"/>
      <c r="EU158" s="460">
        <f t="shared" si="419"/>
        <v>897.4799999999999</v>
      </c>
      <c r="EV158" s="528">
        <f t="shared" si="420"/>
        <v>0.12289370348532416</v>
      </c>
      <c r="EW158" s="528">
        <f t="shared" si="421"/>
        <v>8.8170126301909901E-2</v>
      </c>
      <c r="EX158" s="528">
        <f t="shared" si="422"/>
        <v>3.2007665009924232E-4</v>
      </c>
      <c r="EY158" s="528">
        <f t="shared" si="423"/>
        <v>13.439988799411294</v>
      </c>
      <c r="EZ158" s="528"/>
      <c r="FA158" s="625">
        <f t="shared" si="424"/>
        <v>1.5829787234042556</v>
      </c>
      <c r="FB158" s="460">
        <f t="shared" si="425"/>
        <v>15234.351429252883</v>
      </c>
      <c r="FC158" s="173">
        <f t="shared" si="426"/>
        <v>18.811430779248319</v>
      </c>
      <c r="FD158" s="5">
        <f t="shared" si="427"/>
        <v>37.200000000000003</v>
      </c>
      <c r="FE158" s="173">
        <f t="shared" si="428"/>
        <v>0.664150147254982</v>
      </c>
      <c r="FF158" s="5">
        <f t="shared" si="429"/>
        <v>66.415014725498196</v>
      </c>
      <c r="FG158">
        <f t="shared" si="430"/>
        <v>48</v>
      </c>
      <c r="FI158" s="562">
        <f t="shared" si="431"/>
        <v>-50</v>
      </c>
      <c r="FJ158">
        <f t="shared" si="432"/>
        <v>-50</v>
      </c>
    </row>
    <row r="159" spans="5:166">
      <c r="E159" s="170">
        <v>49</v>
      </c>
      <c r="F159" s="217">
        <f t="shared" si="474"/>
        <v>1.2250000000000001</v>
      </c>
      <c r="G159" s="217">
        <f t="shared" si="443"/>
        <v>0.1225</v>
      </c>
      <c r="H159" s="217">
        <f t="shared" si="444"/>
        <v>34.300000000000004</v>
      </c>
      <c r="I159" s="217">
        <f t="shared" si="445"/>
        <v>3.6749999999999998</v>
      </c>
      <c r="J159" s="541">
        <f t="shared" si="446"/>
        <v>18.887744895059996</v>
      </c>
      <c r="K159" s="443">
        <f t="shared" si="447"/>
        <v>28.745525770116284</v>
      </c>
      <c r="L159" s="172">
        <f t="shared" si="448"/>
        <v>47.633270665176283</v>
      </c>
      <c r="M159" s="443"/>
      <c r="N159" s="217">
        <f t="shared" si="449"/>
        <v>0.60347579262768436</v>
      </c>
      <c r="O159" s="172">
        <f t="shared" si="450"/>
        <v>85.793631989753564</v>
      </c>
      <c r="P159" s="172">
        <f t="shared" si="451"/>
        <v>10.177050733478421</v>
      </c>
      <c r="Q159" s="217">
        <f t="shared" si="321"/>
        <v>3.0640582853483416</v>
      </c>
      <c r="R159" s="217">
        <f t="shared" si="452"/>
        <v>2.8597877329917853</v>
      </c>
      <c r="S159" s="217">
        <f t="shared" si="453"/>
        <v>28</v>
      </c>
      <c r="T159" s="217">
        <f t="shared" si="454"/>
        <v>6.6632762060352171</v>
      </c>
      <c r="U159" s="217">
        <f t="shared" si="325"/>
        <v>1.6580803236365418</v>
      </c>
      <c r="V159" s="217">
        <f t="shared" si="326"/>
        <v>1.0894703551021125</v>
      </c>
      <c r="W159" s="197">
        <f t="shared" si="327"/>
        <v>350</v>
      </c>
      <c r="X159" s="443">
        <f t="shared" si="434"/>
        <v>339.26473502668671</v>
      </c>
      <c r="Z159" s="217">
        <f t="shared" si="328"/>
        <v>6.9290558185384992</v>
      </c>
      <c r="AA159" s="173">
        <f t="shared" si="329"/>
        <v>1.1329263067780446</v>
      </c>
      <c r="AB159" s="173">
        <f t="shared" si="455"/>
        <v>1.2408237783220366</v>
      </c>
      <c r="AC159" s="173"/>
      <c r="AD159" s="173">
        <f t="shared" si="331"/>
        <v>0.54501235399053516</v>
      </c>
      <c r="AE159" s="545">
        <f t="shared" si="456"/>
        <v>1348.5932834703492</v>
      </c>
      <c r="AF159" s="528">
        <f t="shared" si="457"/>
        <v>0.31792387316114551</v>
      </c>
      <c r="AH159" s="173">
        <f t="shared" si="458"/>
        <v>6.7948666481364777</v>
      </c>
      <c r="AI159" s="173">
        <f t="shared" si="459"/>
        <v>6.7948666481364777</v>
      </c>
      <c r="AJ159" s="173">
        <f t="shared" si="460"/>
        <v>3.7640987517060323</v>
      </c>
      <c r="AL159" s="545">
        <f t="shared" si="461"/>
        <v>1225</v>
      </c>
      <c r="AM159" s="460">
        <f t="shared" si="462"/>
        <v>339.26473502668671</v>
      </c>
      <c r="AO159">
        <f t="shared" si="339"/>
        <v>1225</v>
      </c>
      <c r="AP159">
        <f t="shared" si="340"/>
        <v>339.26473502668671</v>
      </c>
      <c r="AR159" s="5">
        <f t="shared" si="442"/>
        <v>2.9475506787386538</v>
      </c>
      <c r="AS159" s="5">
        <f t="shared" si="439"/>
        <v>1.6908251050443892</v>
      </c>
      <c r="AT159" s="5">
        <f t="shared" si="440"/>
        <v>1.2567255736942646</v>
      </c>
      <c r="AU159" s="173">
        <f t="shared" si="441"/>
        <v>0.57363733123935445</v>
      </c>
      <c r="AW159" s="5">
        <f t="shared" si="341"/>
        <v>7.3973598345692029</v>
      </c>
      <c r="AX159" s="5">
        <f t="shared" si="342"/>
        <v>0.69042025122645889</v>
      </c>
      <c r="AY159" s="5">
        <f t="shared" si="343"/>
        <v>1.6301457228788816</v>
      </c>
      <c r="AZ159" s="5"/>
      <c r="BA159" s="173">
        <f t="shared" si="344"/>
        <v>2.9712487629399758</v>
      </c>
      <c r="BB159" s="173">
        <f t="shared" si="345"/>
        <v>2.5615916362124311</v>
      </c>
      <c r="BC159" s="173">
        <f t="shared" si="346"/>
        <v>0.25825882889682711</v>
      </c>
      <c r="BD159" s="173"/>
      <c r="BE159" s="528">
        <f t="shared" si="347"/>
        <v>0.10593983053526805</v>
      </c>
      <c r="BF159" s="528">
        <f t="shared" si="463"/>
        <v>2.0039779035772773</v>
      </c>
      <c r="BG159" s="528">
        <f t="shared" si="349"/>
        <v>3.9015444528068974E-2</v>
      </c>
      <c r="BH159" s="528">
        <f t="shared" si="350"/>
        <v>0.379110453175379</v>
      </c>
      <c r="BI159">
        <f t="shared" si="351"/>
        <v>8.4994852027769976E-3</v>
      </c>
      <c r="BJ159" s="460">
        <f t="shared" si="435"/>
        <v>47.514929730845971</v>
      </c>
      <c r="BK159">
        <f t="shared" si="464"/>
        <v>2.5826403666398745</v>
      </c>
      <c r="BL159" s="460">
        <f t="shared" si="436"/>
        <v>2536.5431170187703</v>
      </c>
      <c r="BM159" s="173">
        <f t="shared" si="465"/>
        <v>0.82148500000000002</v>
      </c>
      <c r="BN159" s="173">
        <f t="shared" si="466"/>
        <v>8.2148499999999985E-2</v>
      </c>
      <c r="BO159" s="528"/>
      <c r="BQ159" s="460">
        <f t="shared" si="355"/>
        <v>903.63350000000003</v>
      </c>
      <c r="BR159" s="528">
        <f t="shared" si="356"/>
        <v>0.12359646895781272</v>
      </c>
      <c r="BS159" s="528">
        <f t="shared" si="357"/>
        <v>9.186452394998873E-2</v>
      </c>
      <c r="BT159" s="528">
        <f t="shared" si="358"/>
        <v>3.3348811351580315E-4</v>
      </c>
      <c r="BU159" s="528">
        <f t="shared" si="359"/>
        <v>12.757604870864219</v>
      </c>
      <c r="BV159" s="528"/>
      <c r="BW159" s="625">
        <f t="shared" si="467"/>
        <v>1.5663925000168304</v>
      </c>
      <c r="BX159" s="460">
        <f t="shared" si="361"/>
        <v>14539.791851902366</v>
      </c>
      <c r="BY159" s="173">
        <f t="shared" si="362"/>
        <v>17.97996846892114</v>
      </c>
      <c r="BZ159" s="5">
        <f t="shared" si="363"/>
        <v>37.975000000000001</v>
      </c>
      <c r="CA159" s="173">
        <f t="shared" si="364"/>
        <v>0.67867074254705939</v>
      </c>
      <c r="CB159" s="5">
        <f t="shared" si="365"/>
        <v>67.86707425470594</v>
      </c>
      <c r="CC159">
        <f t="shared" si="366"/>
        <v>49.000000000000007</v>
      </c>
      <c r="CE159" s="562">
        <f t="shared" si="468"/>
        <v>-50</v>
      </c>
      <c r="CF159">
        <f t="shared" si="469"/>
        <v>-50</v>
      </c>
      <c r="CG159" s="173">
        <f t="shared" si="369"/>
        <v>0.37670971751151533</v>
      </c>
      <c r="CH159" s="173">
        <f t="shared" si="470"/>
        <v>0.12216140423761655</v>
      </c>
      <c r="CI159" s="170">
        <v>49</v>
      </c>
      <c r="CJ159" s="217">
        <f t="shared" si="437"/>
        <v>1.2250000000000001</v>
      </c>
      <c r="CK159" s="217">
        <f t="shared" si="371"/>
        <v>0.1225</v>
      </c>
      <c r="CL159" s="217">
        <f t="shared" si="372"/>
        <v>34.300000000000004</v>
      </c>
      <c r="CM159" s="217">
        <f t="shared" si="373"/>
        <v>3.6749999999999998</v>
      </c>
      <c r="CN159" s="541">
        <f t="shared" si="374"/>
        <v>19</v>
      </c>
      <c r="CO159" s="443">
        <f t="shared" si="471"/>
        <v>28.7</v>
      </c>
      <c r="CP159" s="443">
        <f t="shared" si="472"/>
        <v>47.7</v>
      </c>
      <c r="CQ159" s="443"/>
      <c r="CR159" s="217">
        <f t="shared" si="377"/>
        <v>0.59915611814345993</v>
      </c>
      <c r="CS159" s="172">
        <f t="shared" si="378"/>
        <v>85.685767433419556</v>
      </c>
      <c r="CT159" s="172">
        <f t="shared" si="379"/>
        <v>10.164255575647982</v>
      </c>
      <c r="CU159" s="217">
        <f t="shared" si="380"/>
        <v>3.0602059797649841</v>
      </c>
      <c r="CV159" s="217">
        <f t="shared" si="381"/>
        <v>2.8561922477806521</v>
      </c>
      <c r="CW159" s="217">
        <f t="shared" si="382"/>
        <v>28</v>
      </c>
      <c r="CX159" s="217">
        <f t="shared" si="383"/>
        <v>6.6716641957005187</v>
      </c>
      <c r="CY159" s="217">
        <f t="shared" si="384"/>
        <v>1.6503590378838127</v>
      </c>
      <c r="CZ159" s="217">
        <f t="shared" si="385"/>
        <v>1.0925721853586217</v>
      </c>
      <c r="DA159" s="197">
        <f t="shared" si="386"/>
        <v>350</v>
      </c>
      <c r="DB159" s="443">
        <f t="shared" si="387"/>
        <v>350</v>
      </c>
      <c r="DD159" s="217">
        <f t="shared" si="388"/>
        <v>6.9494625094785683</v>
      </c>
      <c r="DE159" s="173">
        <f t="shared" si="389"/>
        <v>1.1380652890086853</v>
      </c>
      <c r="DF159" s="173">
        <f t="shared" si="390"/>
        <v>1.2501230996965573</v>
      </c>
      <c r="DG159" s="173"/>
      <c r="DH159" s="173">
        <f t="shared" si="391"/>
        <v>0.54587688734030204</v>
      </c>
      <c r="DI159" s="545">
        <f t="shared" si="392"/>
        <v>1346.4574468085107</v>
      </c>
      <c r="DJ159" s="528">
        <f t="shared" si="393"/>
        <v>0.31842818428184283</v>
      </c>
      <c r="DL159" s="173">
        <f t="shared" si="394"/>
        <v>6.7948666481364777</v>
      </c>
      <c r="DM159" s="173">
        <f t="shared" si="395"/>
        <v>6.7948666481364777</v>
      </c>
      <c r="DN159" s="173">
        <f t="shared" si="396"/>
        <v>3.7640987517060323</v>
      </c>
      <c r="DP159" s="545">
        <f t="shared" si="397"/>
        <v>1225</v>
      </c>
      <c r="DQ159" s="460">
        <f t="shared" si="398"/>
        <v>350</v>
      </c>
      <c r="DS159">
        <f t="shared" si="399"/>
        <v>1225</v>
      </c>
      <c r="DT159">
        <f t="shared" si="400"/>
        <v>350</v>
      </c>
      <c r="DV159" s="5">
        <f t="shared" si="401"/>
        <v>2.8571428571428572</v>
      </c>
      <c r="DW159" s="5">
        <f t="shared" si="402"/>
        <v>1.6808354340127074</v>
      </c>
      <c r="DX159" s="5">
        <f t="shared" si="403"/>
        <v>1.1763074231301498</v>
      </c>
      <c r="DY159" s="173">
        <f t="shared" si="404"/>
        <v>0.58829240190444754</v>
      </c>
      <c r="EA159" s="5">
        <f t="shared" si="405"/>
        <v>7.3536550238055964</v>
      </c>
      <c r="EB159" s="5">
        <f t="shared" si="406"/>
        <v>0.68634113555518883</v>
      </c>
      <c r="EC159" s="5">
        <f t="shared" si="407"/>
        <v>1.5168174666678247</v>
      </c>
      <c r="ED159" s="5"/>
      <c r="EE159" s="173">
        <f t="shared" si="408"/>
        <v>3.0089635737533995</v>
      </c>
      <c r="EF159" s="173">
        <f t="shared" si="409"/>
        <v>2.5171827771957651</v>
      </c>
      <c r="EG159" s="173">
        <f t="shared" si="410"/>
        <v>0.25378154229104849</v>
      </c>
      <c r="EH159" s="173"/>
      <c r="EI159" s="528">
        <f t="shared" si="411"/>
        <v>0.10864634145809796</v>
      </c>
      <c r="EJ159" s="528">
        <f t="shared" si="412"/>
        <v>2.1553656751221317</v>
      </c>
      <c r="EK159" s="528">
        <f t="shared" si="413"/>
        <v>4.0250000000000001E-2</v>
      </c>
      <c r="EL159" s="528">
        <f t="shared" si="414"/>
        <v>0.39220311375000005</v>
      </c>
      <c r="EM159">
        <f t="shared" si="415"/>
        <v>8.5500000000000003E-3</v>
      </c>
      <c r="EN159" s="460">
        <f t="shared" si="416"/>
        <v>48.800000000000004</v>
      </c>
      <c r="EP159" s="460">
        <f t="shared" si="438"/>
        <v>2705.0151303302296</v>
      </c>
      <c r="EQ159" s="173">
        <f t="shared" si="417"/>
        <v>0.85750000000000004</v>
      </c>
      <c r="ER159" s="173">
        <f t="shared" si="473"/>
        <v>5.8677499999999994E-2</v>
      </c>
      <c r="ES159" s="528"/>
      <c r="EU159" s="460">
        <f t="shared" si="419"/>
        <v>916.17750000000012</v>
      </c>
      <c r="EV159" s="528">
        <f t="shared" si="420"/>
        <v>0.12675406503444761</v>
      </c>
      <c r="EW159" s="528">
        <f t="shared" si="421"/>
        <v>8.8706927873353783E-2</v>
      </c>
      <c r="EX159" s="528">
        <f t="shared" si="422"/>
        <v>3.2202535603811618E-4</v>
      </c>
      <c r="EY159" s="528">
        <f t="shared" si="423"/>
        <v>13.790895260907281</v>
      </c>
      <c r="EZ159" s="528"/>
      <c r="FA159" s="625">
        <f t="shared" si="424"/>
        <v>1.6159574468085112</v>
      </c>
      <c r="FB159" s="460">
        <f t="shared" si="425"/>
        <v>15622.635725979633</v>
      </c>
      <c r="FC159" s="173">
        <f t="shared" si="426"/>
        <v>19.243828356309862</v>
      </c>
      <c r="FD159" s="5">
        <f t="shared" si="427"/>
        <v>37.975000000000001</v>
      </c>
      <c r="FE159" s="173">
        <f t="shared" si="428"/>
        <v>0.66368013975267404</v>
      </c>
      <c r="FF159" s="5">
        <f t="shared" si="429"/>
        <v>66.368013975267402</v>
      </c>
      <c r="FG159">
        <f t="shared" si="430"/>
        <v>49.000000000000007</v>
      </c>
      <c r="FI159" s="562">
        <f t="shared" si="431"/>
        <v>-50</v>
      </c>
      <c r="FJ159">
        <f t="shared" si="432"/>
        <v>-50</v>
      </c>
    </row>
    <row r="160" spans="5:166">
      <c r="E160" s="170">
        <v>50</v>
      </c>
      <c r="F160" s="217">
        <f t="shared" si="474"/>
        <v>1.25</v>
      </c>
      <c r="G160" s="217">
        <f t="shared" si="443"/>
        <v>0.125</v>
      </c>
      <c r="H160" s="217">
        <f t="shared" si="444"/>
        <v>35</v>
      </c>
      <c r="I160" s="217">
        <f t="shared" si="445"/>
        <v>3.75</v>
      </c>
      <c r="J160" s="541">
        <f t="shared" si="446"/>
        <v>18.886605220105881</v>
      </c>
      <c r="K160" s="443">
        <f t="shared" si="447"/>
        <v>28.745987972525665</v>
      </c>
      <c r="L160" s="172">
        <f t="shared" si="448"/>
        <v>47.632593192631546</v>
      </c>
      <c r="M160" s="443"/>
      <c r="N160" s="217">
        <f t="shared" si="449"/>
        <v>0.60349407928041343</v>
      </c>
      <c r="O160" s="172">
        <f t="shared" si="450"/>
        <v>85.791054834713066</v>
      </c>
      <c r="P160" s="172">
        <f t="shared" si="451"/>
        <v>10.176745025036116</v>
      </c>
      <c r="Q160" s="217">
        <f t="shared" si="321"/>
        <v>3.0639662440968953</v>
      </c>
      <c r="R160" s="217">
        <f t="shared" si="452"/>
        <v>2.8597018278237689</v>
      </c>
      <c r="S160" s="217">
        <f t="shared" si="453"/>
        <v>28</v>
      </c>
      <c r="T160" s="217">
        <f t="shared" si="454"/>
        <v>6.7994656838897267</v>
      </c>
      <c r="U160" s="217">
        <f t="shared" si="325"/>
        <v>1.692071621228209</v>
      </c>
      <c r="V160" s="217">
        <f t="shared" si="326"/>
        <v>1.1117199640111686</v>
      </c>
      <c r="W160" s="197">
        <f t="shared" si="327"/>
        <v>350</v>
      </c>
      <c r="X160" s="443">
        <f t="shared" si="434"/>
        <v>332.91257786125936</v>
      </c>
      <c r="Z160" s="217">
        <f t="shared" si="328"/>
        <v>6.9288476766203342</v>
      </c>
      <c r="AA160" s="173">
        <f t="shared" si="329"/>
        <v>1.1328740591988187</v>
      </c>
      <c r="AB160" s="173">
        <f t="shared" si="455"/>
        <v>1.2407292834070189</v>
      </c>
      <c r="AC160" s="173"/>
      <c r="AD160" s="173">
        <f t="shared" si="331"/>
        <v>0.54500359081901373</v>
      </c>
      <c r="AE160" s="545">
        <f t="shared" si="456"/>
        <v>1376.1377220889945</v>
      </c>
      <c r="AF160" s="528">
        <f t="shared" si="457"/>
        <v>0.31791876131109137</v>
      </c>
      <c r="AH160" s="173">
        <f t="shared" si="458"/>
        <v>6.8638518345080142</v>
      </c>
      <c r="AI160" s="173">
        <f t="shared" si="459"/>
        <v>6.7994656838897267</v>
      </c>
      <c r="AJ160" s="173">
        <f t="shared" si="460"/>
        <v>3.7675054448565879</v>
      </c>
      <c r="AL160" s="545">
        <f t="shared" si="461"/>
        <v>1250</v>
      </c>
      <c r="AM160" s="460">
        <f t="shared" si="462"/>
        <v>332.91257786125936</v>
      </c>
      <c r="AO160">
        <f t="shared" si="339"/>
        <v>1250</v>
      </c>
      <c r="AP160">
        <f t="shared" si="340"/>
        <v>332.91257786125936</v>
      </c>
      <c r="AR160" s="5">
        <f t="shared" si="442"/>
        <v>3.0037915852393779</v>
      </c>
      <c r="AS160" s="5">
        <f t="shared" si="439"/>
        <v>1.692071621228209</v>
      </c>
      <c r="AT160" s="5">
        <f t="shared" si="440"/>
        <v>1.311719964011169</v>
      </c>
      <c r="AU160" s="173">
        <f t="shared" si="441"/>
        <v>0.56331192534896346</v>
      </c>
      <c r="AW160" s="5">
        <f t="shared" si="341"/>
        <v>7.5538911661973627</v>
      </c>
      <c r="AX160" s="5">
        <f t="shared" si="342"/>
        <v>0.70502984217842046</v>
      </c>
      <c r="AY160" s="5">
        <f t="shared" si="343"/>
        <v>1.7363098724258388</v>
      </c>
      <c r="AZ160" s="5"/>
      <c r="BA160" s="173">
        <f t="shared" si="344"/>
        <v>2.9463791434401472</v>
      </c>
      <c r="BB160" s="173">
        <f t="shared" si="345"/>
        <v>2.594178316647791</v>
      </c>
      <c r="BC160" s="173">
        <f t="shared" si="346"/>
        <v>0.26154420733416256</v>
      </c>
      <c r="BD160" s="173"/>
      <c r="BE160" s="528">
        <f t="shared" si="347"/>
        <v>0.10417380068278916</v>
      </c>
      <c r="BF160" s="528">
        <f t="shared" si="463"/>
        <v>1.967759802651073</v>
      </c>
      <c r="BG160" s="528">
        <f t="shared" si="349"/>
        <v>3.828494645404483E-2</v>
      </c>
      <c r="BH160" s="528">
        <f t="shared" si="350"/>
        <v>0.3720016705258215</v>
      </c>
      <c r="BI160">
        <f t="shared" si="351"/>
        <v>8.4989723490476472E-3</v>
      </c>
      <c r="BJ160" s="460">
        <f t="shared" si="435"/>
        <v>46.783918803092476</v>
      </c>
      <c r="BK160">
        <f t="shared" si="464"/>
        <v>2.5348028676154257</v>
      </c>
      <c r="BL160" s="460">
        <f t="shared" si="436"/>
        <v>2490.7191926627761</v>
      </c>
      <c r="BM160" s="173">
        <f t="shared" si="465"/>
        <v>0.83824999999999994</v>
      </c>
      <c r="BN160" s="173">
        <f t="shared" si="466"/>
        <v>8.3824999999999997E-2</v>
      </c>
      <c r="BO160" s="528"/>
      <c r="BQ160" s="460">
        <f t="shared" si="355"/>
        <v>922.07499999999993</v>
      </c>
      <c r="BR160" s="528">
        <f t="shared" si="356"/>
        <v>0.12153610079658735</v>
      </c>
      <c r="BS160" s="528">
        <f t="shared" si="357"/>
        <v>9.4216655939917932E-2</v>
      </c>
      <c r="BT160" s="528">
        <f t="shared" si="358"/>
        <v>3.4202686195027704E-4</v>
      </c>
      <c r="BU160" s="528">
        <f t="shared" si="359"/>
        <v>12.189404221001316</v>
      </c>
      <c r="BV160" s="528"/>
      <c r="BW160" s="625">
        <f t="shared" si="467"/>
        <v>1.5391458519819252</v>
      </c>
      <c r="BX160" s="460">
        <f t="shared" si="361"/>
        <v>13944.644856581697</v>
      </c>
      <c r="BY160" s="173">
        <f t="shared" si="362"/>
        <v>17.357439049244473</v>
      </c>
      <c r="BZ160" s="5">
        <f t="shared" si="363"/>
        <v>38.75</v>
      </c>
      <c r="CA160" s="173">
        <f t="shared" si="364"/>
        <v>0.69063925669446136</v>
      </c>
      <c r="CB160" s="5">
        <f t="shared" si="365"/>
        <v>69.063925669446135</v>
      </c>
      <c r="CC160">
        <f t="shared" si="366"/>
        <v>50</v>
      </c>
      <c r="CE160" s="562">
        <f t="shared" si="468"/>
        <v>-50</v>
      </c>
      <c r="CF160">
        <f t="shared" si="469"/>
        <v>-50</v>
      </c>
      <c r="CG160" s="173">
        <f t="shared" si="369"/>
        <v>0.3805342797018017</v>
      </c>
      <c r="CH160" s="173">
        <f t="shared" si="470"/>
        <v>0.1234016533366996</v>
      </c>
      <c r="CI160" s="170">
        <v>50</v>
      </c>
      <c r="CJ160" s="217">
        <f t="shared" si="437"/>
        <v>1.25</v>
      </c>
      <c r="CK160" s="217">
        <f t="shared" si="371"/>
        <v>0.125</v>
      </c>
      <c r="CL160" s="217">
        <f t="shared" si="372"/>
        <v>35</v>
      </c>
      <c r="CM160" s="217">
        <f t="shared" si="373"/>
        <v>3.75</v>
      </c>
      <c r="CN160" s="541">
        <f t="shared" si="374"/>
        <v>19</v>
      </c>
      <c r="CO160" s="443">
        <f t="shared" si="471"/>
        <v>28.7</v>
      </c>
      <c r="CP160" s="443">
        <f t="shared" si="472"/>
        <v>47.7</v>
      </c>
      <c r="CQ160" s="443"/>
      <c r="CR160" s="217">
        <f t="shared" si="377"/>
        <v>0.59915611814345993</v>
      </c>
      <c r="CS160" s="172">
        <f t="shared" si="378"/>
        <v>85.685767433419556</v>
      </c>
      <c r="CT160" s="172">
        <f t="shared" si="379"/>
        <v>10.164255575647982</v>
      </c>
      <c r="CU160" s="217">
        <f t="shared" si="380"/>
        <v>3.0602059797649841</v>
      </c>
      <c r="CV160" s="217">
        <f t="shared" si="381"/>
        <v>2.8561922477806521</v>
      </c>
      <c r="CW160" s="217">
        <f t="shared" si="382"/>
        <v>28</v>
      </c>
      <c r="CX160" s="217">
        <f t="shared" si="383"/>
        <v>6.8078206078576722</v>
      </c>
      <c r="CY160" s="217">
        <f t="shared" si="384"/>
        <v>1.6840398345753189</v>
      </c>
      <c r="CZ160" s="217">
        <f t="shared" si="385"/>
        <v>1.1148695768965526</v>
      </c>
      <c r="DA160" s="197">
        <f t="shared" si="386"/>
        <v>350</v>
      </c>
      <c r="DB160" s="443">
        <f t="shared" si="387"/>
        <v>350</v>
      </c>
      <c r="DD160" s="217">
        <f t="shared" si="388"/>
        <v>6.9494625094785683</v>
      </c>
      <c r="DE160" s="173">
        <f t="shared" si="389"/>
        <v>1.1380652890086853</v>
      </c>
      <c r="DF160" s="173">
        <f t="shared" si="390"/>
        <v>1.2501230996965573</v>
      </c>
      <c r="DG160" s="173"/>
      <c r="DH160" s="173">
        <f t="shared" si="391"/>
        <v>0.54587688734030204</v>
      </c>
      <c r="DI160" s="545">
        <f t="shared" si="392"/>
        <v>1373.936170212766</v>
      </c>
      <c r="DJ160" s="528">
        <f t="shared" si="393"/>
        <v>0.31842818428184283</v>
      </c>
      <c r="DL160" s="173">
        <f t="shared" si="394"/>
        <v>6.8638518345080142</v>
      </c>
      <c r="DM160" s="173">
        <f t="shared" si="395"/>
        <v>6.8638518345080142</v>
      </c>
      <c r="DN160" s="173">
        <f t="shared" si="396"/>
        <v>3.8151988897590225</v>
      </c>
      <c r="DP160" s="545">
        <f t="shared" si="397"/>
        <v>1250</v>
      </c>
      <c r="DQ160" s="460">
        <f t="shared" si="398"/>
        <v>350</v>
      </c>
      <c r="DS160">
        <f t="shared" si="399"/>
        <v>1250</v>
      </c>
      <c r="DT160">
        <f t="shared" si="400"/>
        <v>350</v>
      </c>
      <c r="DV160" s="5">
        <f t="shared" si="401"/>
        <v>2.8571428571428572</v>
      </c>
      <c r="DW160" s="5">
        <f t="shared" si="402"/>
        <v>1.6979001906414561</v>
      </c>
      <c r="DX160" s="5">
        <f t="shared" si="403"/>
        <v>1.1592426665014011</v>
      </c>
      <c r="DY160" s="173">
        <f t="shared" si="404"/>
        <v>0.59426506672450963</v>
      </c>
      <c r="EA160" s="5">
        <f t="shared" si="405"/>
        <v>7.5799115653636431</v>
      </c>
      <c r="EB160" s="5">
        <f t="shared" si="406"/>
        <v>0.70745841276727339</v>
      </c>
      <c r="EC160" s="5">
        <f t="shared" si="407"/>
        <v>1.5253192980281591</v>
      </c>
      <c r="ED160" s="5"/>
      <c r="EE160" s="173">
        <f t="shared" si="408"/>
        <v>3.0549026377065047</v>
      </c>
      <c r="EF160" s="173">
        <f t="shared" si="409"/>
        <v>2.5242273820240886</v>
      </c>
      <c r="EG160" s="173">
        <f t="shared" si="410"/>
        <v>0.25449177704013354</v>
      </c>
      <c r="EH160" s="173"/>
      <c r="EI160" s="528">
        <f t="shared" si="411"/>
        <v>0.11198916151039393</v>
      </c>
      <c r="EJ160" s="528">
        <f t="shared" si="412"/>
        <v>2.1772481211651145</v>
      </c>
      <c r="EK160" s="528">
        <f t="shared" si="413"/>
        <v>4.0250000000000001E-2</v>
      </c>
      <c r="EL160" s="528">
        <f t="shared" si="414"/>
        <v>0.39220311375000005</v>
      </c>
      <c r="EM160">
        <f t="shared" si="415"/>
        <v>8.5500000000000003E-3</v>
      </c>
      <c r="EN160" s="460">
        <f t="shared" si="416"/>
        <v>48.800000000000004</v>
      </c>
      <c r="EP160" s="460">
        <f t="shared" si="438"/>
        <v>2730.2403964255082</v>
      </c>
      <c r="EQ160" s="173">
        <f t="shared" si="417"/>
        <v>0.875</v>
      </c>
      <c r="ER160" s="173">
        <f t="shared" si="473"/>
        <v>5.9874999999999998E-2</v>
      </c>
      <c r="ES160" s="528"/>
      <c r="EU160" s="460">
        <f t="shared" si="419"/>
        <v>934.875</v>
      </c>
      <c r="EV160" s="528">
        <f t="shared" si="420"/>
        <v>0.13065402176212626</v>
      </c>
      <c r="EW160" s="528">
        <f t="shared" si="421"/>
        <v>8.9204134266242574E-2</v>
      </c>
      <c r="EX160" s="528">
        <f t="shared" si="422"/>
        <v>3.2383032290522523E-4</v>
      </c>
      <c r="EY160" s="528">
        <f t="shared" si="423"/>
        <v>14.143596745776396</v>
      </c>
      <c r="EZ160" s="528"/>
      <c r="FA160" s="625">
        <f t="shared" si="424"/>
        <v>1.6489361702127665</v>
      </c>
      <c r="FB160" s="460">
        <f t="shared" si="425"/>
        <v>16012.714902340438</v>
      </c>
      <c r="FC160" s="173">
        <f t="shared" si="426"/>
        <v>19.677830298765944</v>
      </c>
      <c r="FD160" s="5">
        <f t="shared" si="427"/>
        <v>38.75</v>
      </c>
      <c r="FE160" s="173">
        <f t="shared" si="428"/>
        <v>0.66321134640555779</v>
      </c>
      <c r="FF160" s="5">
        <f t="shared" si="429"/>
        <v>66.321134640555783</v>
      </c>
      <c r="FG160">
        <f t="shared" si="430"/>
        <v>50</v>
      </c>
      <c r="FI160" s="562">
        <f t="shared" si="431"/>
        <v>-50</v>
      </c>
      <c r="FJ160">
        <f t="shared" si="432"/>
        <v>-50</v>
      </c>
    </row>
    <row r="161" spans="5:166">
      <c r="E161" s="170">
        <v>51</v>
      </c>
      <c r="F161" s="217">
        <f t="shared" si="474"/>
        <v>1.2749999999999999</v>
      </c>
      <c r="G161" s="217">
        <f t="shared" si="443"/>
        <v>0.1275</v>
      </c>
      <c r="H161" s="217">
        <f t="shared" si="444"/>
        <v>35.699999999999996</v>
      </c>
      <c r="I161" s="217">
        <f t="shared" si="445"/>
        <v>3.8250000000000002</v>
      </c>
      <c r="J161" s="541">
        <f t="shared" si="446"/>
        <v>18.885476886047485</v>
      </c>
      <c r="K161" s="443">
        <f t="shared" si="447"/>
        <v>28.74644557556282</v>
      </c>
      <c r="L161" s="172">
        <f t="shared" si="448"/>
        <v>47.631922461610301</v>
      </c>
      <c r="M161" s="443"/>
      <c r="N161" s="217">
        <f t="shared" si="449"/>
        <v>0.60351218447526389</v>
      </c>
      <c r="O161" s="172">
        <f t="shared" si="450"/>
        <v>85.788503088698235</v>
      </c>
      <c r="P161" s="172">
        <f t="shared" si="451"/>
        <v>10.176442330674663</v>
      </c>
      <c r="Q161" s="217">
        <f t="shared" si="321"/>
        <v>3.0638751103106512</v>
      </c>
      <c r="R161" s="217">
        <f t="shared" si="452"/>
        <v>2.8596167696232744</v>
      </c>
      <c r="S161" s="217">
        <f t="shared" si="453"/>
        <v>28</v>
      </c>
      <c r="T161" s="217">
        <f t="shared" si="454"/>
        <v>6.935661290007813</v>
      </c>
      <c r="U161" s="217">
        <f t="shared" si="325"/>
        <v>1.7260675099562726</v>
      </c>
      <c r="V161" s="217">
        <f t="shared" si="326"/>
        <v>1.1339700408299436</v>
      </c>
      <c r="W161" s="197">
        <f t="shared" si="327"/>
        <v>350</v>
      </c>
      <c r="X161" s="443">
        <f t="shared" si="434"/>
        <v>326.79337537641322</v>
      </c>
      <c r="Z161" s="217">
        <f t="shared" si="328"/>
        <v>6.9286415868423221</v>
      </c>
      <c r="AA161" s="173">
        <f t="shared" si="329"/>
        <v>1.1328223300706748</v>
      </c>
      <c r="AB161" s="173">
        <f t="shared" si="455"/>
        <v>1.240635727177205</v>
      </c>
      <c r="AC161" s="173"/>
      <c r="AD161" s="173">
        <f t="shared" si="331"/>
        <v>0.54499491512734388</v>
      </c>
      <c r="AE161" s="545">
        <f t="shared" si="456"/>
        <v>1403.6828211897162</v>
      </c>
      <c r="AF161" s="528">
        <f t="shared" si="457"/>
        <v>0.31791370049095058</v>
      </c>
      <c r="AH161" s="173">
        <f t="shared" si="458"/>
        <v>6.9321505498799292</v>
      </c>
      <c r="AI161" s="173">
        <f t="shared" si="459"/>
        <v>6.935661290007813</v>
      </c>
      <c r="AJ161" s="173">
        <f t="shared" si="460"/>
        <v>3.8683910790181333</v>
      </c>
      <c r="AL161" s="545">
        <f t="shared" si="461"/>
        <v>1275</v>
      </c>
      <c r="AM161" s="460">
        <f t="shared" si="462"/>
        <v>326.79337537641322</v>
      </c>
      <c r="AO161">
        <f t="shared" si="339"/>
        <v>1275</v>
      </c>
      <c r="AP161">
        <f t="shared" si="340"/>
        <v>326.79337537641322</v>
      </c>
      <c r="AR161" s="5">
        <f t="shared" si="442"/>
        <v>3.0600375507862161</v>
      </c>
      <c r="AS161" s="5">
        <f t="shared" si="439"/>
        <v>1.7260675099562726</v>
      </c>
      <c r="AT161" s="5">
        <f t="shared" si="440"/>
        <v>1.3339700408299435</v>
      </c>
      <c r="AU161" s="173">
        <f t="shared" si="441"/>
        <v>0.56406742770617102</v>
      </c>
      <c r="AW161" s="5">
        <f t="shared" si="341"/>
        <v>7.8597716971223113</v>
      </c>
      <c r="AX161" s="5">
        <f t="shared" si="342"/>
        <v>0.73357869173141588</v>
      </c>
      <c r="AY161" s="5">
        <f t="shared" si="343"/>
        <v>1.8011849129578832</v>
      </c>
      <c r="AZ161" s="5"/>
      <c r="BA161" s="173">
        <f t="shared" si="344"/>
        <v>3.0074108304050351</v>
      </c>
      <c r="BB161" s="173">
        <f t="shared" si="345"/>
        <v>2.6438505896514108</v>
      </c>
      <c r="BC161" s="173">
        <f t="shared" si="346"/>
        <v>0.26655214961239637</v>
      </c>
      <c r="BD161" s="173"/>
      <c r="BE161" s="528">
        <f t="shared" si="347"/>
        <v>0.10853423883405004</v>
      </c>
      <c r="BF161" s="528">
        <f t="shared" si="463"/>
        <v>1.9702534607096449</v>
      </c>
      <c r="BG161" s="528">
        <f t="shared" si="349"/>
        <v>3.7581238168287526E-2</v>
      </c>
      <c r="BH161" s="528">
        <f t="shared" si="350"/>
        <v>0.36515369496917505</v>
      </c>
      <c r="BI161">
        <f t="shared" si="351"/>
        <v>8.4984645987213683E-3</v>
      </c>
      <c r="BJ161" s="460">
        <f t="shared" si="435"/>
        <v>46.079702767008897</v>
      </c>
      <c r="BK161">
        <f t="shared" si="464"/>
        <v>2.5387133053300035</v>
      </c>
      <c r="BL161" s="460">
        <f t="shared" si="436"/>
        <v>2490.0210972798786</v>
      </c>
      <c r="BM161" s="173">
        <f t="shared" si="465"/>
        <v>0.85501499999999986</v>
      </c>
      <c r="BN161" s="173">
        <f t="shared" si="466"/>
        <v>8.5501499999999994E-2</v>
      </c>
      <c r="BO161" s="528"/>
      <c r="BQ161" s="460">
        <f t="shared" si="355"/>
        <v>940.51649999999984</v>
      </c>
      <c r="BR161" s="528">
        <f t="shared" si="356"/>
        <v>0.12662327863972506</v>
      </c>
      <c r="BS161" s="528">
        <f t="shared" si="357"/>
        <v>9.7859243165601587E-2</v>
      </c>
      <c r="BT161" s="528">
        <f t="shared" si="358"/>
        <v>3.5525024231494674E-4</v>
      </c>
      <c r="BU161" s="528">
        <f t="shared" si="359"/>
        <v>12.228489192175962</v>
      </c>
      <c r="BV161" s="528"/>
      <c r="BW161" s="625">
        <f t="shared" si="467"/>
        <v>1.5719871645808279</v>
      </c>
      <c r="BX161" s="460">
        <f t="shared" si="361"/>
        <v>14025.31412880443</v>
      </c>
      <c r="BY161" s="173">
        <f t="shared" si="362"/>
        <v>17.455851726084312</v>
      </c>
      <c r="BZ161" s="5">
        <f t="shared" si="363"/>
        <v>39.524999999999999</v>
      </c>
      <c r="CA161" s="173">
        <f t="shared" si="364"/>
        <v>0.69365407505670029</v>
      </c>
      <c r="CB161" s="5">
        <f t="shared" si="365"/>
        <v>69.365407505670035</v>
      </c>
      <c r="CC161">
        <f t="shared" si="366"/>
        <v>51</v>
      </c>
      <c r="CE161" s="562">
        <f t="shared" si="468"/>
        <v>-50</v>
      </c>
      <c r="CF161">
        <f t="shared" si="469"/>
        <v>-50</v>
      </c>
      <c r="CG161" s="173">
        <f t="shared" si="369"/>
        <v>0.38432078370644018</v>
      </c>
      <c r="CH161" s="173">
        <f t="shared" si="470"/>
        <v>0.12462956072760427</v>
      </c>
      <c r="CI161" s="170">
        <v>51</v>
      </c>
      <c r="CJ161" s="217">
        <f t="shared" si="437"/>
        <v>1.2749999999999999</v>
      </c>
      <c r="CK161" s="217">
        <f t="shared" si="371"/>
        <v>0.1275</v>
      </c>
      <c r="CL161" s="217">
        <f t="shared" si="372"/>
        <v>35.699999999999996</v>
      </c>
      <c r="CM161" s="217">
        <f t="shared" si="373"/>
        <v>3.8250000000000002</v>
      </c>
      <c r="CN161" s="541">
        <f t="shared" si="374"/>
        <v>19</v>
      </c>
      <c r="CO161" s="443">
        <f t="shared" si="471"/>
        <v>28.7</v>
      </c>
      <c r="CP161" s="443">
        <f t="shared" si="472"/>
        <v>47.7</v>
      </c>
      <c r="CQ161" s="443"/>
      <c r="CR161" s="217">
        <f t="shared" si="377"/>
        <v>0.59915611814345993</v>
      </c>
      <c r="CS161" s="172">
        <f t="shared" si="378"/>
        <v>85.685767433419556</v>
      </c>
      <c r="CT161" s="172">
        <f t="shared" si="379"/>
        <v>10.164255575647982</v>
      </c>
      <c r="CU161" s="217">
        <f t="shared" si="380"/>
        <v>3.0602059797649841</v>
      </c>
      <c r="CV161" s="217">
        <f t="shared" si="381"/>
        <v>2.8561922477806521</v>
      </c>
      <c r="CW161" s="217">
        <f t="shared" si="382"/>
        <v>28</v>
      </c>
      <c r="CX161" s="217">
        <f t="shared" si="383"/>
        <v>6.9439770200148248</v>
      </c>
      <c r="CY161" s="217">
        <f t="shared" si="384"/>
        <v>1.7177206312668249</v>
      </c>
      <c r="CZ161" s="217">
        <f t="shared" si="385"/>
        <v>1.1371669684344836</v>
      </c>
      <c r="DA161" s="197">
        <f t="shared" si="386"/>
        <v>350</v>
      </c>
      <c r="DB161" s="443">
        <f t="shared" si="387"/>
        <v>350</v>
      </c>
      <c r="DD161" s="217">
        <f t="shared" si="388"/>
        <v>6.9494625094785683</v>
      </c>
      <c r="DE161" s="173">
        <f t="shared" si="389"/>
        <v>1.1380652890086853</v>
      </c>
      <c r="DF161" s="173">
        <f t="shared" si="390"/>
        <v>1.2501230996965573</v>
      </c>
      <c r="DG161" s="173"/>
      <c r="DH161" s="173">
        <f t="shared" si="391"/>
        <v>0.54587688734030204</v>
      </c>
      <c r="DI161" s="545">
        <f t="shared" si="392"/>
        <v>1401.4148936170211</v>
      </c>
      <c r="DJ161" s="528">
        <f t="shared" si="393"/>
        <v>0.31842818428184283</v>
      </c>
      <c r="DL161" s="173">
        <f t="shared" si="394"/>
        <v>6.9321505498799292</v>
      </c>
      <c r="DM161" s="173">
        <f t="shared" si="395"/>
        <v>6.9439770200148248</v>
      </c>
      <c r="DN161" s="173">
        <f t="shared" si="396"/>
        <v>3.8745508790233272</v>
      </c>
      <c r="DP161" s="545">
        <f t="shared" si="397"/>
        <v>1275</v>
      </c>
      <c r="DQ161" s="460">
        <f t="shared" si="398"/>
        <v>350</v>
      </c>
      <c r="DS161">
        <f t="shared" si="399"/>
        <v>1275</v>
      </c>
      <c r="DT161">
        <f t="shared" si="400"/>
        <v>350</v>
      </c>
      <c r="DV161" s="5">
        <f t="shared" si="401"/>
        <v>2.8571428571428572</v>
      </c>
      <c r="DW161" s="5">
        <f t="shared" si="402"/>
        <v>1.7177206312668249</v>
      </c>
      <c r="DX161" s="5">
        <f t="shared" si="403"/>
        <v>1.1394222258760323</v>
      </c>
      <c r="DY161" s="173">
        <f t="shared" si="404"/>
        <v>0.60120222094338871</v>
      </c>
      <c r="EA161" s="5">
        <f t="shared" si="405"/>
        <v>7.8217635888042922</v>
      </c>
      <c r="EB161" s="5">
        <f t="shared" si="406"/>
        <v>0.73003126828840059</v>
      </c>
      <c r="EC161" s="5">
        <f t="shared" si="407"/>
        <v>1.5292245663073061</v>
      </c>
      <c r="ED161" s="5"/>
      <c r="EE161" s="173">
        <f t="shared" si="408"/>
        <v>3.1085505617133031</v>
      </c>
      <c r="EF161" s="173">
        <f t="shared" si="409"/>
        <v>2.5317686222816445</v>
      </c>
      <c r="EG161" s="173">
        <f t="shared" si="410"/>
        <v>0.25525208241036246</v>
      </c>
      <c r="EH161" s="173"/>
      <c r="EI161" s="528">
        <f t="shared" si="411"/>
        <v>0.11595703913673711</v>
      </c>
      <c r="EJ161" s="528">
        <f t="shared" si="412"/>
        <v>2.2026642306338027</v>
      </c>
      <c r="EK161" s="528">
        <f t="shared" si="413"/>
        <v>4.0250000000000001E-2</v>
      </c>
      <c r="EL161" s="528">
        <f t="shared" si="414"/>
        <v>0.39220311375000005</v>
      </c>
      <c r="EM161">
        <f t="shared" si="415"/>
        <v>8.5500000000000003E-3</v>
      </c>
      <c r="EN161" s="460">
        <f t="shared" si="416"/>
        <v>48.800000000000004</v>
      </c>
      <c r="EP161" s="460">
        <f t="shared" si="438"/>
        <v>2759.6243835205401</v>
      </c>
      <c r="EQ161" s="173">
        <f t="shared" si="417"/>
        <v>0.89249999999999985</v>
      </c>
      <c r="ER161" s="173">
        <f t="shared" si="473"/>
        <v>6.1072500000000002E-2</v>
      </c>
      <c r="ES161" s="528"/>
      <c r="EU161" s="460">
        <f t="shared" si="419"/>
        <v>953.57249999999988</v>
      </c>
      <c r="EV161" s="528">
        <f t="shared" si="420"/>
        <v>0.13528321232619331</v>
      </c>
      <c r="EW161" s="528">
        <f t="shared" si="421"/>
        <v>8.9737932994778544E-2</v>
      </c>
      <c r="EX161" s="528">
        <f t="shared" si="422"/>
        <v>3.2576812787413239E-4</v>
      </c>
      <c r="EY161" s="528">
        <f t="shared" si="423"/>
        <v>14.559980809628623</v>
      </c>
      <c r="EZ161" s="528"/>
      <c r="FA161" s="625">
        <f t="shared" si="424"/>
        <v>1.6876585899072889</v>
      </c>
      <c r="FB161" s="460">
        <f t="shared" si="425"/>
        <v>16472.986312984758</v>
      </c>
      <c r="FC161" s="173">
        <f t="shared" si="426"/>
        <v>20.186183196505301</v>
      </c>
      <c r="FD161" s="5">
        <f t="shared" si="427"/>
        <v>39.524999999999999</v>
      </c>
      <c r="FE161" s="173">
        <f t="shared" si="428"/>
        <v>0.661936305464355</v>
      </c>
      <c r="FF161" s="5">
        <f t="shared" si="429"/>
        <v>66.1936305464355</v>
      </c>
      <c r="FG161">
        <f t="shared" si="430"/>
        <v>51</v>
      </c>
      <c r="FI161" s="562">
        <f t="shared" si="431"/>
        <v>-50</v>
      </c>
      <c r="FJ161">
        <f t="shared" si="432"/>
        <v>-50</v>
      </c>
    </row>
    <row r="162" spans="5:166">
      <c r="E162" s="170">
        <v>52</v>
      </c>
      <c r="F162" s="217">
        <f t="shared" si="474"/>
        <v>1.3</v>
      </c>
      <c r="G162" s="217">
        <f t="shared" si="443"/>
        <v>0.13</v>
      </c>
      <c r="H162" s="217">
        <f t="shared" si="444"/>
        <v>36.4</v>
      </c>
      <c r="I162" s="217">
        <f t="shared" si="445"/>
        <v>3.9000000000000004</v>
      </c>
      <c r="J162" s="541">
        <f t="shared" si="446"/>
        <v>18.88327742898651</v>
      </c>
      <c r="K162" s="443">
        <f t="shared" si="447"/>
        <v>28.74733757933042</v>
      </c>
      <c r="L162" s="172">
        <f t="shared" si="448"/>
        <v>47.63061500831693</v>
      </c>
      <c r="M162" s="443"/>
      <c r="N162" s="217">
        <f t="shared" si="449"/>
        <v>0.60354747832482869</v>
      </c>
      <c r="O162" s="172">
        <f t="shared" si="450"/>
        <v>85.783528304742745</v>
      </c>
      <c r="P162" s="172">
        <f t="shared" si="451"/>
        <v>10.175852209618718</v>
      </c>
      <c r="Q162" s="217">
        <f t="shared" si="321"/>
        <v>3.063697439455098</v>
      </c>
      <c r="R162" s="217">
        <f t="shared" si="452"/>
        <v>2.8594509434914248</v>
      </c>
      <c r="S162" s="217">
        <f t="shared" si="453"/>
        <v>28</v>
      </c>
      <c r="T162" s="217">
        <f t="shared" si="454"/>
        <v>7.072064750140683</v>
      </c>
      <c r="U162" s="217">
        <f t="shared" si="325"/>
        <v>1.7602190324566542</v>
      </c>
      <c r="V162" s="217">
        <f t="shared" si="326"/>
        <v>1.1562359204199879</v>
      </c>
      <c r="W162" s="197">
        <f t="shared" si="327"/>
        <v>350</v>
      </c>
      <c r="X162" s="443">
        <f t="shared" si="434"/>
        <v>320.87741203412884</v>
      </c>
      <c r="Z162" s="217">
        <f t="shared" si="328"/>
        <v>6.9282398022935938</v>
      </c>
      <c r="AA162" s="173">
        <f t="shared" si="329"/>
        <v>1.1327214905004894</v>
      </c>
      <c r="AB162" s="173">
        <f t="shared" si="455"/>
        <v>1.240453353724329</v>
      </c>
      <c r="AC162" s="173"/>
      <c r="AD162" s="173">
        <f t="shared" si="331"/>
        <v>0.54497800443026534</v>
      </c>
      <c r="AE162" s="545">
        <f t="shared" si="456"/>
        <v>1431.2504241624081</v>
      </c>
      <c r="AF162" s="528">
        <f t="shared" si="457"/>
        <v>0.31790383591765475</v>
      </c>
      <c r="AH162" s="173">
        <f t="shared" si="458"/>
        <v>6.9997828885131996</v>
      </c>
      <c r="AI162" s="173">
        <f t="shared" si="459"/>
        <v>7.072064750140683</v>
      </c>
      <c r="AJ162" s="173">
        <f t="shared" si="460"/>
        <v>3.969430679116555</v>
      </c>
      <c r="AL162" s="545">
        <f t="shared" si="461"/>
        <v>1300</v>
      </c>
      <c r="AM162" s="460">
        <f t="shared" si="462"/>
        <v>320.87741203412884</v>
      </c>
      <c r="AO162">
        <f t="shared" si="339"/>
        <v>1300</v>
      </c>
      <c r="AP162">
        <f t="shared" si="340"/>
        <v>320.87741203412884</v>
      </c>
      <c r="AR162" s="5">
        <f t="shared" si="442"/>
        <v>3.1164549528766425</v>
      </c>
      <c r="AS162" s="5">
        <f t="shared" si="439"/>
        <v>1.7602190324566542</v>
      </c>
      <c r="AT162" s="5">
        <f t="shared" si="440"/>
        <v>1.3562359204199883</v>
      </c>
      <c r="AU162" s="173">
        <f t="shared" si="441"/>
        <v>0.56481452774790941</v>
      </c>
      <c r="AW162" s="5">
        <f t="shared" si="341"/>
        <v>8.1724455078344658</v>
      </c>
      <c r="AX162" s="5">
        <f t="shared" si="342"/>
        <v>0.7627615807312168</v>
      </c>
      <c r="AY162" s="5">
        <f t="shared" si="343"/>
        <v>1.8673736094556896</v>
      </c>
      <c r="AZ162" s="5"/>
      <c r="BA162" s="173">
        <f t="shared" si="344"/>
        <v>3.0685876325719876</v>
      </c>
      <c r="BB162" s="173">
        <f t="shared" si="345"/>
        <v>2.6935360683100282</v>
      </c>
      <c r="BC162" s="173">
        <f t="shared" si="346"/>
        <v>0.27156142328043731</v>
      </c>
      <c r="BD162" s="173"/>
      <c r="BE162" s="528">
        <f t="shared" si="347"/>
        <v>0.11299476070528508</v>
      </c>
      <c r="BF162" s="528">
        <f t="shared" si="463"/>
        <v>1.9725791237199417</v>
      </c>
      <c r="BG162" s="528">
        <f t="shared" si="349"/>
        <v>3.6900902383924822E-2</v>
      </c>
      <c r="BH162" s="528">
        <f t="shared" si="350"/>
        <v>0.35852360896741986</v>
      </c>
      <c r="BI162">
        <f t="shared" si="351"/>
        <v>8.4974748430439295E-3</v>
      </c>
      <c r="BJ162" s="460">
        <f t="shared" si="435"/>
        <v>45.398377226968755</v>
      </c>
      <c r="BK162">
        <f t="shared" si="464"/>
        <v>2.5428760846900702</v>
      </c>
      <c r="BL162" s="460">
        <f t="shared" si="436"/>
        <v>2489.4958706196153</v>
      </c>
      <c r="BM162" s="173">
        <f t="shared" si="465"/>
        <v>0.87177999999999989</v>
      </c>
      <c r="BN162" s="173">
        <f t="shared" si="466"/>
        <v>8.7177999999999992E-2</v>
      </c>
      <c r="BO162" s="528"/>
      <c r="BQ162" s="460">
        <f t="shared" si="355"/>
        <v>958.95799999999986</v>
      </c>
      <c r="BR162" s="528">
        <f t="shared" si="356"/>
        <v>0.1318272208228326</v>
      </c>
      <c r="BS162" s="528">
        <f t="shared" si="357"/>
        <v>0.10157191171801863</v>
      </c>
      <c r="BT162" s="528">
        <f t="shared" si="358"/>
        <v>3.687280330704842E-4</v>
      </c>
      <c r="BU162" s="528">
        <f t="shared" si="359"/>
        <v>12.265448712896227</v>
      </c>
      <c r="BV162" s="528"/>
      <c r="BW162" s="625">
        <f t="shared" si="467"/>
        <v>1.6048394918725493</v>
      </c>
      <c r="BX162" s="460">
        <f t="shared" si="361"/>
        <v>14104.056065342698</v>
      </c>
      <c r="BY162" s="173">
        <f t="shared" si="362"/>
        <v>17.552509935962313</v>
      </c>
      <c r="BZ162" s="5">
        <f t="shared" si="363"/>
        <v>40.299999999999997</v>
      </c>
      <c r="CA162" s="173">
        <f t="shared" si="364"/>
        <v>0.69659899016669435</v>
      </c>
      <c r="CB162" s="5">
        <f t="shared" si="365"/>
        <v>69.659899016669442</v>
      </c>
      <c r="CC162">
        <f t="shared" si="366"/>
        <v>52</v>
      </c>
      <c r="CE162" s="562">
        <f t="shared" si="468"/>
        <v>-50</v>
      </c>
      <c r="CF162">
        <f t="shared" si="469"/>
        <v>-50</v>
      </c>
      <c r="CG162" s="173">
        <f t="shared" si="369"/>
        <v>0.38447255346461451</v>
      </c>
      <c r="CH162" s="173">
        <f t="shared" si="470"/>
        <v>0.12467877742130107</v>
      </c>
      <c r="CI162" s="170">
        <v>52</v>
      </c>
      <c r="CJ162" s="217">
        <f t="shared" si="437"/>
        <v>1.3</v>
      </c>
      <c r="CK162" s="217">
        <f t="shared" si="371"/>
        <v>0.13</v>
      </c>
      <c r="CL162" s="217">
        <f t="shared" si="372"/>
        <v>36.4</v>
      </c>
      <c r="CM162" s="217">
        <f t="shared" si="373"/>
        <v>3.9000000000000004</v>
      </c>
      <c r="CN162" s="541">
        <f t="shared" si="374"/>
        <v>19</v>
      </c>
      <c r="CO162" s="443">
        <f t="shared" si="471"/>
        <v>28.7</v>
      </c>
      <c r="CP162" s="443">
        <f t="shared" si="472"/>
        <v>47.7</v>
      </c>
      <c r="CQ162" s="443"/>
      <c r="CR162" s="217">
        <f t="shared" si="377"/>
        <v>0.59915611814345993</v>
      </c>
      <c r="CS162" s="172">
        <f t="shared" si="378"/>
        <v>85.685767433419556</v>
      </c>
      <c r="CT162" s="172">
        <f t="shared" si="379"/>
        <v>10.164255575647982</v>
      </c>
      <c r="CU162" s="217">
        <f t="shared" si="380"/>
        <v>3.0602059797649841</v>
      </c>
      <c r="CV162" s="217">
        <f t="shared" si="381"/>
        <v>2.8561922477806521</v>
      </c>
      <c r="CW162" s="217">
        <f t="shared" si="382"/>
        <v>28</v>
      </c>
      <c r="CX162" s="217">
        <f t="shared" si="383"/>
        <v>7.0801334321719782</v>
      </c>
      <c r="CY162" s="217">
        <f t="shared" si="384"/>
        <v>1.7514014279583314</v>
      </c>
      <c r="CZ162" s="217">
        <f t="shared" si="385"/>
        <v>1.1594643599724146</v>
      </c>
      <c r="DA162" s="197">
        <f t="shared" si="386"/>
        <v>350</v>
      </c>
      <c r="DB162" s="443">
        <f t="shared" si="387"/>
        <v>343.54040098525888</v>
      </c>
      <c r="DD162" s="217">
        <f t="shared" si="388"/>
        <v>6.9494625094785683</v>
      </c>
      <c r="DE162" s="173">
        <f t="shared" si="389"/>
        <v>1.1380652890086853</v>
      </c>
      <c r="DF162" s="173">
        <f t="shared" si="390"/>
        <v>1.2501230996965573</v>
      </c>
      <c r="DG162" s="173"/>
      <c r="DH162" s="173">
        <f t="shared" si="391"/>
        <v>0.54587688734030204</v>
      </c>
      <c r="DI162" s="545">
        <f t="shared" si="392"/>
        <v>1428.8936170212767</v>
      </c>
      <c r="DJ162" s="528">
        <f t="shared" si="393"/>
        <v>0.31842818428184283</v>
      </c>
      <c r="DL162" s="173">
        <f t="shared" si="394"/>
        <v>6.9997828885131996</v>
      </c>
      <c r="DM162" s="173">
        <f t="shared" si="395"/>
        <v>7.0801334321719782</v>
      </c>
      <c r="DN162" s="173">
        <f t="shared" si="396"/>
        <v>3.9754074806212181</v>
      </c>
      <c r="DP162" s="545">
        <f t="shared" si="397"/>
        <v>1300</v>
      </c>
      <c r="DQ162" s="460">
        <f t="shared" si="398"/>
        <v>343.54040098525888</v>
      </c>
      <c r="DS162">
        <f t="shared" si="399"/>
        <v>1300</v>
      </c>
      <c r="DT162">
        <f t="shared" si="400"/>
        <v>343.54040098525888</v>
      </c>
      <c r="DV162" s="5">
        <f t="shared" si="401"/>
        <v>2.9108657879307458</v>
      </c>
      <c r="DW162" s="5">
        <f t="shared" si="402"/>
        <v>1.7514014279583314</v>
      </c>
      <c r="DX162" s="5">
        <f t="shared" si="403"/>
        <v>1.1594643599724144</v>
      </c>
      <c r="DY162" s="173">
        <f t="shared" si="404"/>
        <v>0.60167714884696022</v>
      </c>
      <c r="EA162" s="5">
        <f t="shared" si="405"/>
        <v>8.131506629806541</v>
      </c>
      <c r="EB162" s="5">
        <f t="shared" si="406"/>
        <v>0.75894061878194363</v>
      </c>
      <c r="EC162" s="5">
        <f t="shared" si="407"/>
        <v>1.5866354399622509</v>
      </c>
      <c r="ED162" s="5"/>
      <c r="EE162" s="173">
        <f t="shared" si="408"/>
        <v>3.1707541822733609</v>
      </c>
      <c r="EF162" s="173">
        <f t="shared" si="409"/>
        <v>2.5798735863182221</v>
      </c>
      <c r="EG162" s="173">
        <f t="shared" si="410"/>
        <v>0.26010200911241088</v>
      </c>
      <c r="EH162" s="173"/>
      <c r="EI162" s="528">
        <f t="shared" si="411"/>
        <v>0.12064418501284811</v>
      </c>
      <c r="EJ162" s="528">
        <f t="shared" si="412"/>
        <v>2.2044042553191492</v>
      </c>
      <c r="EK162" s="528">
        <f t="shared" si="413"/>
        <v>3.9507146113304775E-2</v>
      </c>
      <c r="EL162" s="528">
        <f t="shared" si="414"/>
        <v>0.38496461418669181</v>
      </c>
      <c r="EM162">
        <f t="shared" si="415"/>
        <v>8.5500000000000003E-3</v>
      </c>
      <c r="EN162" s="460">
        <f t="shared" si="416"/>
        <v>48.057146113304775</v>
      </c>
      <c r="EP162" s="460">
        <f t="shared" si="438"/>
        <v>2758.0702006319943</v>
      </c>
      <c r="EQ162" s="173">
        <f t="shared" si="417"/>
        <v>0.90999999999999992</v>
      </c>
      <c r="ER162" s="173">
        <f t="shared" si="473"/>
        <v>6.2269999999999999E-2</v>
      </c>
      <c r="ES162" s="528"/>
      <c r="EU162" s="460">
        <f t="shared" si="419"/>
        <v>972.27</v>
      </c>
      <c r="EV162" s="528">
        <f t="shared" si="420"/>
        <v>0.14075154918165614</v>
      </c>
      <c r="EW162" s="528">
        <f t="shared" si="421"/>
        <v>9.3180468099354236E-2</v>
      </c>
      <c r="EX162" s="528">
        <f t="shared" si="422"/>
        <v>3.3826527572156339E-4</v>
      </c>
      <c r="EY162" s="528">
        <f t="shared" si="423"/>
        <v>14.588752487337148</v>
      </c>
      <c r="EZ162" s="528"/>
      <c r="FA162" s="625">
        <f t="shared" si="424"/>
        <v>1.7221092647144742</v>
      </c>
      <c r="FB162" s="460">
        <f t="shared" si="425"/>
        <v>16545.132034608356</v>
      </c>
      <c r="FC162" s="173">
        <f t="shared" si="426"/>
        <v>20.27547223524035</v>
      </c>
      <c r="FD162" s="5">
        <f t="shared" si="427"/>
        <v>40.299999999999997</v>
      </c>
      <c r="FE162" s="173">
        <f t="shared" si="428"/>
        <v>0.66528577513185438</v>
      </c>
      <c r="FF162" s="5">
        <f t="shared" si="429"/>
        <v>66.528577513185439</v>
      </c>
      <c r="FG162">
        <f t="shared" si="430"/>
        <v>52</v>
      </c>
      <c r="FI162" s="562">
        <f t="shared" si="431"/>
        <v>-50</v>
      </c>
      <c r="FJ162">
        <f t="shared" si="432"/>
        <v>-50</v>
      </c>
    </row>
    <row r="163" spans="5:166">
      <c r="E163" s="170">
        <v>53</v>
      </c>
      <c r="F163" s="217">
        <f t="shared" si="474"/>
        <v>1.3250000000000002</v>
      </c>
      <c r="G163" s="217">
        <f t="shared" si="443"/>
        <v>0.13250000000000001</v>
      </c>
      <c r="H163" s="217">
        <f t="shared" si="444"/>
        <v>37.100000000000009</v>
      </c>
      <c r="I163" s="217">
        <f t="shared" si="445"/>
        <v>3.9750000000000001</v>
      </c>
      <c r="J163" s="541">
        <f t="shared" si="446"/>
        <v>18.881032764159325</v>
      </c>
      <c r="K163" s="443">
        <f t="shared" si="447"/>
        <v>28.748247917394465</v>
      </c>
      <c r="L163" s="172">
        <f t="shared" si="448"/>
        <v>47.629280681553794</v>
      </c>
      <c r="M163" s="443"/>
      <c r="N163" s="217">
        <f t="shared" si="449"/>
        <v>0.6035834996040218</v>
      </c>
      <c r="O163" s="172">
        <f t="shared" si="450"/>
        <v>85.778450347856335</v>
      </c>
      <c r="P163" s="172">
        <f t="shared" si="451"/>
        <v>10.175249849937039</v>
      </c>
      <c r="Q163" s="217">
        <f t="shared" si="321"/>
        <v>3.0635160838520119</v>
      </c>
      <c r="R163" s="217">
        <f t="shared" si="452"/>
        <v>2.859281678261878</v>
      </c>
      <c r="S163" s="217">
        <f t="shared" si="453"/>
        <v>28</v>
      </c>
      <c r="T163" s="217">
        <f t="shared" si="454"/>
        <v>7.2084927021392167</v>
      </c>
      <c r="U163" s="217">
        <f t="shared" si="325"/>
        <v>1.7943889046348367</v>
      </c>
      <c r="V163" s="217">
        <f t="shared" si="326"/>
        <v>1.1785036708117045</v>
      </c>
      <c r="W163" s="197">
        <f t="shared" si="327"/>
        <v>350</v>
      </c>
      <c r="X163" s="443">
        <f t="shared" si="434"/>
        <v>315.16982570998761</v>
      </c>
      <c r="Z163" s="217">
        <f t="shared" si="328"/>
        <v>6.9278296850635153</v>
      </c>
      <c r="AA163" s="173">
        <f t="shared" si="329"/>
        <v>1.1326185725599376</v>
      </c>
      <c r="AB163" s="173">
        <f t="shared" si="455"/>
        <v>1.2402672253965001</v>
      </c>
      <c r="AC163" s="173"/>
      <c r="AD163" s="173">
        <f t="shared" si="331"/>
        <v>0.54496074723174226</v>
      </c>
      <c r="AE163" s="545">
        <f t="shared" si="456"/>
        <v>1458.8206655954427</v>
      </c>
      <c r="AF163" s="528">
        <f t="shared" si="457"/>
        <v>0.31789376921851631</v>
      </c>
      <c r="AH163" s="173">
        <f t="shared" si="458"/>
        <v>7.0667679830629631</v>
      </c>
      <c r="AI163" s="173">
        <f t="shared" si="459"/>
        <v>7.2084927021392167</v>
      </c>
      <c r="AJ163" s="173">
        <f t="shared" si="460"/>
        <v>4.0704884213376911</v>
      </c>
      <c r="AL163" s="545">
        <f t="shared" si="461"/>
        <v>1325.0000000000002</v>
      </c>
      <c r="AM163" s="460">
        <f t="shared" si="462"/>
        <v>315.16982570998761</v>
      </c>
      <c r="AO163">
        <f t="shared" si="339"/>
        <v>1325.0000000000002</v>
      </c>
      <c r="AP163">
        <f t="shared" si="340"/>
        <v>315.16982570998761</v>
      </c>
      <c r="AR163" s="5">
        <f t="shared" si="442"/>
        <v>3.1728925754465407</v>
      </c>
      <c r="AS163" s="5">
        <f t="shared" si="439"/>
        <v>1.7943889046348367</v>
      </c>
      <c r="AT163" s="5">
        <f t="shared" si="440"/>
        <v>1.378503670811704</v>
      </c>
      <c r="AU163" s="173">
        <f t="shared" si="441"/>
        <v>0.56553723832969705</v>
      </c>
      <c r="AW163" s="5">
        <f t="shared" si="341"/>
        <v>8.4913046380041397</v>
      </c>
      <c r="AX163" s="5">
        <f t="shared" si="342"/>
        <v>0.79252176621371961</v>
      </c>
      <c r="AY163" s="5">
        <f t="shared" si="343"/>
        <v>1.9347642543078161</v>
      </c>
      <c r="AZ163" s="5"/>
      <c r="BA163" s="173">
        <f t="shared" si="344"/>
        <v>3.1297845267186664</v>
      </c>
      <c r="BB163" s="173">
        <f t="shared" si="345"/>
        <v>2.7432166936968718</v>
      </c>
      <c r="BC163" s="173">
        <f t="shared" si="346"/>
        <v>0.27657020764320922</v>
      </c>
      <c r="BD163" s="173"/>
      <c r="BE163" s="528">
        <f t="shared" si="347"/>
        <v>0.11754661420425103</v>
      </c>
      <c r="BF163" s="528">
        <f t="shared" si="463"/>
        <v>1.9748130392623273</v>
      </c>
      <c r="BG163" s="528">
        <f t="shared" si="349"/>
        <v>3.6244529956648577E-2</v>
      </c>
      <c r="BH163" s="528">
        <f t="shared" si="350"/>
        <v>0.35212666351525024</v>
      </c>
      <c r="BI163">
        <f t="shared" si="351"/>
        <v>8.4964647438716956E-3</v>
      </c>
      <c r="BJ163" s="460">
        <f t="shared" si="435"/>
        <v>44.740994700520275</v>
      </c>
      <c r="BK163">
        <f t="shared" si="464"/>
        <v>2.547369580238851</v>
      </c>
      <c r="BL163" s="460">
        <f t="shared" si="436"/>
        <v>2489.227311682349</v>
      </c>
      <c r="BM163" s="173">
        <f t="shared" si="465"/>
        <v>0.88854500000000003</v>
      </c>
      <c r="BN163" s="173">
        <f t="shared" si="466"/>
        <v>8.8854499999999989E-2</v>
      </c>
      <c r="BO163" s="528"/>
      <c r="BQ163" s="460">
        <f t="shared" si="355"/>
        <v>977.39949999999999</v>
      </c>
      <c r="BR163" s="528">
        <f t="shared" si="356"/>
        <v>0.13713771657162621</v>
      </c>
      <c r="BS163" s="528">
        <f t="shared" si="357"/>
        <v>0.10535332960008076</v>
      </c>
      <c r="BT163" s="528">
        <f t="shared" si="358"/>
        <v>3.8245539877903933E-4</v>
      </c>
      <c r="BU163" s="528">
        <f t="shared" si="359"/>
        <v>12.301065782740803</v>
      </c>
      <c r="BV163" s="528"/>
      <c r="BW163" s="625">
        <f t="shared" si="467"/>
        <v>1.6376970162464881</v>
      </c>
      <c r="BX163" s="460">
        <f t="shared" si="361"/>
        <v>14181.636300557777</v>
      </c>
      <c r="BY163" s="173">
        <f t="shared" si="362"/>
        <v>17.648263112240127</v>
      </c>
      <c r="BZ163" s="5">
        <f t="shared" si="363"/>
        <v>41.07500000000001</v>
      </c>
      <c r="CA163" s="173">
        <f t="shared" si="364"/>
        <v>0.69946726089610711</v>
      </c>
      <c r="CB163" s="5">
        <f t="shared" si="365"/>
        <v>69.946726089610706</v>
      </c>
      <c r="CC163">
        <f t="shared" si="366"/>
        <v>53</v>
      </c>
      <c r="CE163" s="562">
        <f t="shared" si="468"/>
        <v>-50</v>
      </c>
      <c r="CF163">
        <f t="shared" si="469"/>
        <v>-50</v>
      </c>
      <c r="CG163" s="173">
        <f t="shared" si="369"/>
        <v>0.38447255346461451</v>
      </c>
      <c r="CH163" s="173">
        <f t="shared" si="470"/>
        <v>0.12467877742130104</v>
      </c>
      <c r="CI163" s="170">
        <v>53</v>
      </c>
      <c r="CJ163" s="217">
        <f t="shared" si="437"/>
        <v>1.3250000000000002</v>
      </c>
      <c r="CK163" s="217">
        <f t="shared" si="371"/>
        <v>0.13250000000000001</v>
      </c>
      <c r="CL163" s="217">
        <f t="shared" si="372"/>
        <v>37.100000000000009</v>
      </c>
      <c r="CM163" s="217">
        <f t="shared" si="373"/>
        <v>3.9750000000000001</v>
      </c>
      <c r="CN163" s="541">
        <f t="shared" si="374"/>
        <v>19</v>
      </c>
      <c r="CO163" s="443">
        <f t="shared" si="471"/>
        <v>28.7</v>
      </c>
      <c r="CP163" s="443">
        <f t="shared" si="472"/>
        <v>47.7</v>
      </c>
      <c r="CQ163" s="443"/>
      <c r="CR163" s="217">
        <f t="shared" si="377"/>
        <v>0.59915611814345993</v>
      </c>
      <c r="CS163" s="172">
        <f t="shared" si="378"/>
        <v>85.685767433419556</v>
      </c>
      <c r="CT163" s="172">
        <f t="shared" si="379"/>
        <v>10.164255575647982</v>
      </c>
      <c r="CU163" s="217">
        <f t="shared" si="380"/>
        <v>3.0602059797649841</v>
      </c>
      <c r="CV163" s="217">
        <f t="shared" si="381"/>
        <v>2.8561922477806521</v>
      </c>
      <c r="CW163" s="217">
        <f t="shared" si="382"/>
        <v>28</v>
      </c>
      <c r="CX163" s="217">
        <f t="shared" si="383"/>
        <v>7.2162898443291335</v>
      </c>
      <c r="CY163" s="217">
        <f t="shared" si="384"/>
        <v>1.7850822246498381</v>
      </c>
      <c r="CZ163" s="217">
        <f t="shared" si="385"/>
        <v>1.181761751510346</v>
      </c>
      <c r="DA163" s="197">
        <f t="shared" si="386"/>
        <v>350</v>
      </c>
      <c r="DB163" s="443">
        <f t="shared" si="387"/>
        <v>337.05850662704631</v>
      </c>
      <c r="DD163" s="217">
        <f t="shared" si="388"/>
        <v>6.9494625094785683</v>
      </c>
      <c r="DE163" s="173">
        <f t="shared" si="389"/>
        <v>1.1380652890086853</v>
      </c>
      <c r="DF163" s="173">
        <f t="shared" si="390"/>
        <v>1.2501230996965573</v>
      </c>
      <c r="DG163" s="173"/>
      <c r="DH163" s="173">
        <f t="shared" si="391"/>
        <v>0.54587688734030204</v>
      </c>
      <c r="DI163" s="545">
        <f t="shared" si="392"/>
        <v>1456.372340425532</v>
      </c>
      <c r="DJ163" s="528">
        <f t="shared" si="393"/>
        <v>0.31842818428184283</v>
      </c>
      <c r="DL163" s="173">
        <f t="shared" si="394"/>
        <v>7.0667679830629631</v>
      </c>
      <c r="DM163" s="173">
        <f t="shared" si="395"/>
        <v>7.2162898443291335</v>
      </c>
      <c r="DN163" s="173">
        <f t="shared" si="396"/>
        <v>4.0762640822191107</v>
      </c>
      <c r="DP163" s="545">
        <f t="shared" si="397"/>
        <v>1325.0000000000002</v>
      </c>
      <c r="DQ163" s="460">
        <f t="shared" si="398"/>
        <v>337.05850662704631</v>
      </c>
      <c r="DS163">
        <f t="shared" si="399"/>
        <v>1325.0000000000002</v>
      </c>
      <c r="DT163">
        <f t="shared" si="400"/>
        <v>337.05850662704631</v>
      </c>
      <c r="DV163" s="5">
        <f t="shared" si="401"/>
        <v>2.9668439761601846</v>
      </c>
      <c r="DW163" s="5">
        <f t="shared" si="402"/>
        <v>1.7850822246498381</v>
      </c>
      <c r="DX163" s="5">
        <f t="shared" si="403"/>
        <v>1.1817617515103465</v>
      </c>
      <c r="DY163" s="173">
        <f t="shared" si="404"/>
        <v>0.60167714884696</v>
      </c>
      <c r="EA163" s="5">
        <f t="shared" si="405"/>
        <v>8.4472640987894128</v>
      </c>
      <c r="EB163" s="5">
        <f t="shared" si="406"/>
        <v>0.78841131588701185</v>
      </c>
      <c r="EC163" s="5">
        <f t="shared" si="407"/>
        <v>1.6482466534223255</v>
      </c>
      <c r="ED163" s="5"/>
      <c r="EE163" s="173">
        <f t="shared" si="408"/>
        <v>3.2317302242401564</v>
      </c>
      <c r="EF163" s="173">
        <f t="shared" si="409"/>
        <v>2.6294865399012659</v>
      </c>
      <c r="EG163" s="173">
        <f t="shared" si="410"/>
        <v>0.2651039708261112</v>
      </c>
      <c r="EH163" s="173"/>
      <c r="EI163" s="528">
        <f t="shared" si="411"/>
        <v>0.12532896290720796</v>
      </c>
      <c r="EJ163" s="528">
        <f t="shared" si="412"/>
        <v>2.2044042553191492</v>
      </c>
      <c r="EK163" s="528">
        <f t="shared" si="413"/>
        <v>3.8761728262110329E-2</v>
      </c>
      <c r="EL163" s="528">
        <f t="shared" si="414"/>
        <v>0.37770113090015028</v>
      </c>
      <c r="EM163">
        <f t="shared" si="415"/>
        <v>8.5500000000000003E-3</v>
      </c>
      <c r="EN163" s="460">
        <f t="shared" si="416"/>
        <v>47.311728262110329</v>
      </c>
      <c r="EP163" s="460">
        <f t="shared" si="438"/>
        <v>2754.7460773886178</v>
      </c>
      <c r="EQ163" s="173">
        <f t="shared" si="417"/>
        <v>0.9275000000000001</v>
      </c>
      <c r="ER163" s="173">
        <f t="shared" si="473"/>
        <v>6.3467499999999996E-2</v>
      </c>
      <c r="ES163" s="528"/>
      <c r="EU163" s="460">
        <f t="shared" si="419"/>
        <v>990.96750000000009</v>
      </c>
      <c r="EV163" s="528">
        <f t="shared" si="420"/>
        <v>0.14621712339174264</v>
      </c>
      <c r="EW163" s="528">
        <f t="shared" si="421"/>
        <v>9.6798792489307048E-2</v>
      </c>
      <c r="EX163" s="528">
        <f t="shared" si="422"/>
        <v>3.5140057673885809E-4</v>
      </c>
      <c r="EY163" s="528">
        <f t="shared" si="423"/>
        <v>14.588752487337175</v>
      </c>
      <c r="EZ163" s="528"/>
      <c r="FA163" s="625">
        <f t="shared" si="424"/>
        <v>1.7552267505743682</v>
      </c>
      <c r="FB163" s="460">
        <f t="shared" si="425"/>
        <v>16587.346554369331</v>
      </c>
      <c r="FC163" s="173">
        <f t="shared" si="426"/>
        <v>20.33306013175795</v>
      </c>
      <c r="FD163" s="5">
        <f t="shared" si="427"/>
        <v>41.07500000000001</v>
      </c>
      <c r="FE163" s="173">
        <f t="shared" si="428"/>
        <v>0.66888613501010996</v>
      </c>
      <c r="FF163" s="5">
        <f t="shared" si="429"/>
        <v>66.888613501010994</v>
      </c>
      <c r="FG163">
        <f t="shared" si="430"/>
        <v>53</v>
      </c>
      <c r="FI163" s="562">
        <f t="shared" si="431"/>
        <v>-50</v>
      </c>
      <c r="FJ163">
        <f t="shared" si="432"/>
        <v>-50</v>
      </c>
    </row>
    <row r="164" spans="5:166">
      <c r="E164" s="170">
        <v>54</v>
      </c>
      <c r="F164" s="217">
        <f t="shared" si="474"/>
        <v>1.35</v>
      </c>
      <c r="G164" s="217">
        <f t="shared" si="443"/>
        <v>0.13500000000000001</v>
      </c>
      <c r="H164" s="217">
        <f t="shared" si="444"/>
        <v>37.800000000000004</v>
      </c>
      <c r="I164" s="217">
        <f t="shared" si="445"/>
        <v>4.0500000000000007</v>
      </c>
      <c r="J164" s="541">
        <f t="shared" si="446"/>
        <v>18.878788099332144</v>
      </c>
      <c r="K164" s="443">
        <f t="shared" si="447"/>
        <v>28.749158255458511</v>
      </c>
      <c r="L164" s="172">
        <f t="shared" si="448"/>
        <v>47.627946354790652</v>
      </c>
      <c r="M164" s="443"/>
      <c r="N164" s="217">
        <f t="shared" si="449"/>
        <v>0.60361952290153231</v>
      </c>
      <c r="O164" s="172">
        <f t="shared" si="450"/>
        <v>85.773371460587057</v>
      </c>
      <c r="P164" s="172">
        <f t="shared" si="451"/>
        <v>10.174647379891066</v>
      </c>
      <c r="Q164" s="217">
        <f t="shared" si="321"/>
        <v>3.0633346950209663</v>
      </c>
      <c r="R164" s="217">
        <f t="shared" si="452"/>
        <v>2.8591123820195685</v>
      </c>
      <c r="S164" s="217">
        <f t="shared" si="453"/>
        <v>28</v>
      </c>
      <c r="T164" s="217">
        <f t="shared" si="454"/>
        <v>7.3449368874288181</v>
      </c>
      <c r="U164" s="217">
        <f t="shared" si="325"/>
        <v>1.8285709437109825</v>
      </c>
      <c r="V164" s="217">
        <f t="shared" si="326"/>
        <v>1.2007726648609272</v>
      </c>
      <c r="W164" s="197">
        <f t="shared" si="327"/>
        <v>350</v>
      </c>
      <c r="X164" s="443">
        <f t="shared" si="434"/>
        <v>309.6604515374637</v>
      </c>
      <c r="Z164" s="217">
        <f t="shared" si="328"/>
        <v>6.92741949269179</v>
      </c>
      <c r="AA164" s="173">
        <f t="shared" si="329"/>
        <v>1.1325156488527648</v>
      </c>
      <c r="AB164" s="173">
        <f t="shared" si="455"/>
        <v>1.2400810906465016</v>
      </c>
      <c r="AC164" s="173"/>
      <c r="AD164" s="173">
        <f t="shared" si="331"/>
        <v>0.54494349112611284</v>
      </c>
      <c r="AE164" s="545">
        <f t="shared" si="456"/>
        <v>1486.3926502290249</v>
      </c>
      <c r="AF164" s="528">
        <f t="shared" si="457"/>
        <v>0.31788370315689918</v>
      </c>
      <c r="AH164" s="173">
        <f t="shared" si="458"/>
        <v>7.1331240677956362</v>
      </c>
      <c r="AI164" s="173">
        <f t="shared" si="459"/>
        <v>7.3449368874288181</v>
      </c>
      <c r="AJ164" s="173">
        <f t="shared" si="460"/>
        <v>4.1715581882188779</v>
      </c>
      <c r="AL164" s="545">
        <f t="shared" si="461"/>
        <v>1350</v>
      </c>
      <c r="AM164" s="460">
        <f t="shared" si="462"/>
        <v>309.6604515374637</v>
      </c>
      <c r="AO164">
        <f t="shared" si="339"/>
        <v>1350</v>
      </c>
      <c r="AP164">
        <f t="shared" si="340"/>
        <v>309.6604515374637</v>
      </c>
      <c r="AR164" s="5">
        <f t="shared" si="442"/>
        <v>3.2293436085719098</v>
      </c>
      <c r="AS164" s="5">
        <f t="shared" si="439"/>
        <v>1.8285709437109825</v>
      </c>
      <c r="AT164" s="5">
        <f t="shared" si="440"/>
        <v>1.4007726648609273</v>
      </c>
      <c r="AU164" s="173">
        <f t="shared" si="441"/>
        <v>0.56623610409782899</v>
      </c>
      <c r="AW164" s="5">
        <f t="shared" si="341"/>
        <v>8.8163241928922371</v>
      </c>
      <c r="AX164" s="5">
        <f t="shared" si="342"/>
        <v>0.82285692466994209</v>
      </c>
      <c r="AY164" s="5">
        <f t="shared" si="343"/>
        <v>2.0033522147845382</v>
      </c>
      <c r="AZ164" s="5"/>
      <c r="BA164" s="173">
        <f t="shared" si="344"/>
        <v>3.1909957049608884</v>
      </c>
      <c r="BB164" s="173">
        <f t="shared" si="345"/>
        <v>2.7928919965438466</v>
      </c>
      <c r="BC164" s="173">
        <f t="shared" si="346"/>
        <v>0.28157845538925663</v>
      </c>
      <c r="BD164" s="173"/>
      <c r="BE164" s="528">
        <f t="shared" si="347"/>
        <v>0.12218944306894604</v>
      </c>
      <c r="BF164" s="528">
        <f t="shared" si="463"/>
        <v>1.9769629744679966</v>
      </c>
      <c r="BG164" s="528">
        <f t="shared" si="349"/>
        <v>3.5610951926808326E-2</v>
      </c>
      <c r="BH164" s="528">
        <f t="shared" si="350"/>
        <v>0.3459518753182933</v>
      </c>
      <c r="BI164">
        <f t="shared" si="351"/>
        <v>8.4954546446994652E-3</v>
      </c>
      <c r="BJ164" s="460">
        <f t="shared" si="435"/>
        <v>44.10640657150779</v>
      </c>
      <c r="BK164">
        <f t="shared" si="464"/>
        <v>2.5521911975618994</v>
      </c>
      <c r="BL164" s="460">
        <f t="shared" si="436"/>
        <v>2489.2106994267438</v>
      </c>
      <c r="BM164" s="173">
        <f t="shared" si="465"/>
        <v>0.90530999999999995</v>
      </c>
      <c r="BN164" s="173">
        <f t="shared" si="466"/>
        <v>9.0531E-2</v>
      </c>
      <c r="BO164" s="528"/>
      <c r="BQ164" s="460">
        <f t="shared" si="355"/>
        <v>995.84100000000001</v>
      </c>
      <c r="BR164" s="528">
        <f t="shared" si="356"/>
        <v>0.14255435024710369</v>
      </c>
      <c r="BS164" s="528">
        <f t="shared" si="357"/>
        <v>0.10920343986102142</v>
      </c>
      <c r="BT164" s="528">
        <f t="shared" si="358"/>
        <v>3.9643213269699792E-4</v>
      </c>
      <c r="BU164" s="528">
        <f t="shared" si="359"/>
        <v>12.335436788812428</v>
      </c>
      <c r="BV164" s="528"/>
      <c r="BW164" s="625">
        <f t="shared" si="467"/>
        <v>1.6705592349204872</v>
      </c>
      <c r="BX164" s="460">
        <f t="shared" si="361"/>
        <v>14258.150245973738</v>
      </c>
      <c r="BY164" s="173">
        <f t="shared" si="362"/>
        <v>17.743201945400479</v>
      </c>
      <c r="BZ164" s="5">
        <f t="shared" si="363"/>
        <v>41.850000000000009</v>
      </c>
      <c r="CA164" s="173">
        <f t="shared" si="364"/>
        <v>0.70226130890471594</v>
      </c>
      <c r="CB164" s="5">
        <f t="shared" si="365"/>
        <v>70.226130890471595</v>
      </c>
      <c r="CC164">
        <f t="shared" si="366"/>
        <v>54</v>
      </c>
      <c r="CE164" s="562">
        <f t="shared" si="468"/>
        <v>-50</v>
      </c>
      <c r="CF164">
        <f t="shared" si="469"/>
        <v>-50</v>
      </c>
      <c r="CG164" s="173">
        <f t="shared" si="369"/>
        <v>0.38447255346461445</v>
      </c>
      <c r="CH164" s="173">
        <f t="shared" si="470"/>
        <v>0.12467877742130107</v>
      </c>
      <c r="CI164" s="170">
        <v>54</v>
      </c>
      <c r="CJ164" s="217">
        <f t="shared" si="437"/>
        <v>1.35</v>
      </c>
      <c r="CK164" s="217">
        <f t="shared" si="371"/>
        <v>0.13500000000000001</v>
      </c>
      <c r="CL164" s="217">
        <f t="shared" si="372"/>
        <v>37.800000000000004</v>
      </c>
      <c r="CM164" s="217">
        <f t="shared" si="373"/>
        <v>4.0500000000000007</v>
      </c>
      <c r="CN164" s="541">
        <f t="shared" si="374"/>
        <v>19</v>
      </c>
      <c r="CO164" s="443">
        <f t="shared" si="471"/>
        <v>28.7</v>
      </c>
      <c r="CP164" s="443">
        <f t="shared" si="472"/>
        <v>47.7</v>
      </c>
      <c r="CQ164" s="443"/>
      <c r="CR164" s="217">
        <f t="shared" si="377"/>
        <v>0.59915611814345993</v>
      </c>
      <c r="CS164" s="172">
        <f t="shared" si="378"/>
        <v>85.685767433419556</v>
      </c>
      <c r="CT164" s="172">
        <f t="shared" si="379"/>
        <v>10.164255575647982</v>
      </c>
      <c r="CU164" s="217">
        <f t="shared" si="380"/>
        <v>3.0602059797649841</v>
      </c>
      <c r="CV164" s="217">
        <f t="shared" si="381"/>
        <v>2.8561922477806521</v>
      </c>
      <c r="CW164" s="217">
        <f t="shared" si="382"/>
        <v>28</v>
      </c>
      <c r="CX164" s="217">
        <f t="shared" si="383"/>
        <v>7.3524462564862869</v>
      </c>
      <c r="CY164" s="217">
        <f t="shared" si="384"/>
        <v>1.8187630213413446</v>
      </c>
      <c r="CZ164" s="217">
        <f t="shared" si="385"/>
        <v>1.2040591430482768</v>
      </c>
      <c r="DA164" s="197">
        <f t="shared" si="386"/>
        <v>350</v>
      </c>
      <c r="DB164" s="443">
        <f t="shared" si="387"/>
        <v>330.81668243024922</v>
      </c>
      <c r="DD164" s="217">
        <f t="shared" si="388"/>
        <v>6.9494625094785683</v>
      </c>
      <c r="DE164" s="173">
        <f t="shared" si="389"/>
        <v>1.1380652890086853</v>
      </c>
      <c r="DF164" s="173">
        <f t="shared" si="390"/>
        <v>1.2501230996965573</v>
      </c>
      <c r="DG164" s="173"/>
      <c r="DH164" s="173">
        <f t="shared" si="391"/>
        <v>0.54587688734030204</v>
      </c>
      <c r="DI164" s="545">
        <f t="shared" si="392"/>
        <v>1483.8510638297873</v>
      </c>
      <c r="DJ164" s="528">
        <f t="shared" si="393"/>
        <v>0.31842818428184283</v>
      </c>
      <c r="DL164" s="173">
        <f t="shared" si="394"/>
        <v>7.1331240677956362</v>
      </c>
      <c r="DM164" s="173">
        <f t="shared" si="395"/>
        <v>7.3524462564862869</v>
      </c>
      <c r="DN164" s="173">
        <f t="shared" si="396"/>
        <v>4.1771206838170025</v>
      </c>
      <c r="DP164" s="545">
        <f t="shared" si="397"/>
        <v>1350</v>
      </c>
      <c r="DQ164" s="460">
        <f t="shared" si="398"/>
        <v>330.81668243024922</v>
      </c>
      <c r="DS164">
        <f t="shared" si="399"/>
        <v>1350</v>
      </c>
      <c r="DT164">
        <f t="shared" si="400"/>
        <v>330.81668243024922</v>
      </c>
      <c r="DV164" s="5">
        <f t="shared" si="401"/>
        <v>3.0228221643896216</v>
      </c>
      <c r="DW164" s="5">
        <f t="shared" si="402"/>
        <v>1.8187630213413446</v>
      </c>
      <c r="DX164" s="5">
        <f t="shared" si="403"/>
        <v>1.204059143048277</v>
      </c>
      <c r="DY164" s="173">
        <f t="shared" si="404"/>
        <v>0.60167714884696011</v>
      </c>
      <c r="EA164" s="5">
        <f t="shared" si="405"/>
        <v>8.7690359957529118</v>
      </c>
      <c r="EB164" s="5">
        <f t="shared" si="406"/>
        <v>0.81844335960360515</v>
      </c>
      <c r="EC164" s="5">
        <f t="shared" si="407"/>
        <v>1.7110314138054463</v>
      </c>
      <c r="ED164" s="5"/>
      <c r="EE164" s="173">
        <f t="shared" si="408"/>
        <v>3.2927062662069519</v>
      </c>
      <c r="EF164" s="173">
        <f t="shared" si="409"/>
        <v>2.679099493484308</v>
      </c>
      <c r="EG164" s="173">
        <f t="shared" si="410"/>
        <v>0.27010593253981136</v>
      </c>
      <c r="EH164" s="173"/>
      <c r="EI164" s="528">
        <f t="shared" si="411"/>
        <v>0.13010297466622231</v>
      </c>
      <c r="EJ164" s="528">
        <f t="shared" si="412"/>
        <v>2.2044042553191496</v>
      </c>
      <c r="EK164" s="528">
        <f t="shared" si="413"/>
        <v>3.8043918479478668E-2</v>
      </c>
      <c r="EL164" s="528">
        <f t="shared" si="414"/>
        <v>0.37070666551311054</v>
      </c>
      <c r="EM164">
        <f t="shared" si="415"/>
        <v>8.5500000000000003E-3</v>
      </c>
      <c r="EN164" s="460">
        <f t="shared" si="416"/>
        <v>46.593918479478667</v>
      </c>
      <c r="EP164" s="460">
        <f t="shared" si="438"/>
        <v>2751.8078139779614</v>
      </c>
      <c r="EQ164" s="173">
        <f t="shared" si="417"/>
        <v>0.94499999999999995</v>
      </c>
      <c r="ER164" s="173">
        <f t="shared" si="473"/>
        <v>6.4665E-2</v>
      </c>
      <c r="ES164" s="528"/>
      <c r="EU164" s="460">
        <f t="shared" si="419"/>
        <v>1009.6650000000001</v>
      </c>
      <c r="EV164" s="528">
        <f t="shared" si="420"/>
        <v>0.15178680377725937</v>
      </c>
      <c r="EW164" s="528">
        <f t="shared" si="421"/>
        <v>0.10048603734383026</v>
      </c>
      <c r="EX164" s="528">
        <f t="shared" si="422"/>
        <v>3.647860739660056E-4</v>
      </c>
      <c r="EY164" s="528">
        <f t="shared" si="423"/>
        <v>14.588752487337132</v>
      </c>
      <c r="EZ164" s="528"/>
      <c r="FA164" s="625">
        <f t="shared" si="424"/>
        <v>1.7883442364342625</v>
      </c>
      <c r="FB164" s="460">
        <f t="shared" si="425"/>
        <v>16629.73435096645</v>
      </c>
      <c r="FC164" s="173">
        <f t="shared" si="426"/>
        <v>20.391207164944412</v>
      </c>
      <c r="FD164" s="5">
        <f t="shared" si="427"/>
        <v>41.850000000000009</v>
      </c>
      <c r="FE164" s="173">
        <f t="shared" si="428"/>
        <v>0.6723841311286588</v>
      </c>
      <c r="FF164" s="5">
        <f t="shared" si="429"/>
        <v>67.238413112865885</v>
      </c>
      <c r="FG164">
        <f t="shared" si="430"/>
        <v>54</v>
      </c>
      <c r="FI164" s="562">
        <f t="shared" si="431"/>
        <v>-50</v>
      </c>
      <c r="FJ164">
        <f t="shared" si="432"/>
        <v>-50</v>
      </c>
    </row>
    <row r="165" spans="5:166">
      <c r="E165" s="170">
        <v>55</v>
      </c>
      <c r="F165" s="217">
        <f t="shared" si="474"/>
        <v>1.375</v>
      </c>
      <c r="G165" s="217">
        <f t="shared" si="443"/>
        <v>0.13750000000000001</v>
      </c>
      <c r="H165" s="217">
        <f t="shared" si="444"/>
        <v>38.5</v>
      </c>
      <c r="I165" s="217">
        <f t="shared" si="445"/>
        <v>4.125</v>
      </c>
      <c r="J165" s="541">
        <f t="shared" si="446"/>
        <v>18.876543434504963</v>
      </c>
      <c r="K165" s="443">
        <f t="shared" si="447"/>
        <v>28.75006859352256</v>
      </c>
      <c r="L165" s="172">
        <f t="shared" si="448"/>
        <v>47.626612028027523</v>
      </c>
      <c r="M165" s="443"/>
      <c r="N165" s="217">
        <f t="shared" si="449"/>
        <v>0.60365554821752998</v>
      </c>
      <c r="O165" s="172">
        <f t="shared" si="450"/>
        <v>85.768291642856752</v>
      </c>
      <c r="P165" s="172">
        <f t="shared" si="451"/>
        <v>10.174044799471528</v>
      </c>
      <c r="Q165" s="217">
        <f t="shared" si="321"/>
        <v>3.0631532729591697</v>
      </c>
      <c r="R165" s="217">
        <f t="shared" si="452"/>
        <v>2.8589430547618919</v>
      </c>
      <c r="S165" s="217">
        <f t="shared" si="453"/>
        <v>28</v>
      </c>
      <c r="T165" s="217">
        <f t="shared" si="454"/>
        <v>7.4813973133404277</v>
      </c>
      <c r="U165" s="217">
        <f t="shared" si="325"/>
        <v>1.8627651558507987</v>
      </c>
      <c r="V165" s="217">
        <f t="shared" si="326"/>
        <v>1.2230429036479655</v>
      </c>
      <c r="W165" s="197">
        <f t="shared" si="327"/>
        <v>350</v>
      </c>
      <c r="X165" s="443">
        <f t="shared" si="434"/>
        <v>304.33914029431946</v>
      </c>
      <c r="Z165" s="217">
        <f t="shared" si="328"/>
        <v>6.9270092251721032</v>
      </c>
      <c r="AA165" s="173">
        <f t="shared" si="329"/>
        <v>1.1324127193784861</v>
      </c>
      <c r="AB165" s="173">
        <f t="shared" si="455"/>
        <v>1.2398949494774614</v>
      </c>
      <c r="AC165" s="173"/>
      <c r="AD165" s="173">
        <f t="shared" si="331"/>
        <v>0.54492623611327295</v>
      </c>
      <c r="AE165" s="545">
        <f t="shared" si="456"/>
        <v>1513.9663780631561</v>
      </c>
      <c r="AF165" s="528">
        <f t="shared" si="457"/>
        <v>0.31787363773274252</v>
      </c>
      <c r="AH165" s="173">
        <f t="shared" si="458"/>
        <v>7.1988685365609317</v>
      </c>
      <c r="AI165" s="173">
        <f t="shared" si="459"/>
        <v>7.4813973133404277</v>
      </c>
      <c r="AJ165" s="173">
        <f t="shared" si="460"/>
        <v>4.2726399851904402</v>
      </c>
      <c r="AL165" s="545">
        <f t="shared" si="461"/>
        <v>1375</v>
      </c>
      <c r="AM165" s="460">
        <f t="shared" si="462"/>
        <v>304.33914029431946</v>
      </c>
      <c r="AO165">
        <f t="shared" si="339"/>
        <v>1375</v>
      </c>
      <c r="AP165">
        <f t="shared" si="340"/>
        <v>304.33914029431946</v>
      </c>
      <c r="AR165" s="5">
        <f t="shared" si="442"/>
        <v>3.2858080594987644</v>
      </c>
      <c r="AS165" s="5">
        <f t="shared" si="439"/>
        <v>1.8627651558507987</v>
      </c>
      <c r="AT165" s="5">
        <f t="shared" si="440"/>
        <v>1.4230429036479657</v>
      </c>
      <c r="AU165" s="173">
        <f t="shared" si="441"/>
        <v>0.56691234610184604</v>
      </c>
      <c r="AW165" s="5">
        <f t="shared" si="341"/>
        <v>9.1475074617673169</v>
      </c>
      <c r="AX165" s="5">
        <f t="shared" si="342"/>
        <v>0.85376736309828283</v>
      </c>
      <c r="AY165" s="5">
        <f t="shared" si="343"/>
        <v>2.0731380184141921</v>
      </c>
      <c r="AZ165" s="5"/>
      <c r="BA165" s="173">
        <f t="shared" si="344"/>
        <v>3.2522209981702193</v>
      </c>
      <c r="BB165" s="173">
        <f t="shared" si="345"/>
        <v>2.8425623122598083</v>
      </c>
      <c r="BC165" s="173">
        <f t="shared" si="346"/>
        <v>0.28658620033439053</v>
      </c>
      <c r="BD165" s="173"/>
      <c r="BE165" s="528">
        <f t="shared" si="347"/>
        <v>0.12692329705127156</v>
      </c>
      <c r="BF165" s="528">
        <f t="shared" si="463"/>
        <v>1.9790332286388381</v>
      </c>
      <c r="BG165" s="528">
        <f t="shared" si="349"/>
        <v>3.4999001133846741E-2</v>
      </c>
      <c r="BH165" s="528">
        <f t="shared" si="350"/>
        <v>0.33998786907383455</v>
      </c>
      <c r="BI165">
        <f t="shared" si="351"/>
        <v>8.4944445455272331E-3</v>
      </c>
      <c r="BJ165" s="460">
        <f t="shared" si="435"/>
        <v>43.49344567937397</v>
      </c>
      <c r="BK165">
        <f t="shared" si="464"/>
        <v>2.5573351789976475</v>
      </c>
      <c r="BL165" s="460">
        <f t="shared" si="436"/>
        <v>2489.4378404433182</v>
      </c>
      <c r="BM165" s="173">
        <f t="shared" si="465"/>
        <v>0.92207499999999987</v>
      </c>
      <c r="BN165" s="173">
        <f t="shared" si="466"/>
        <v>9.2207499999999998E-2</v>
      </c>
      <c r="BO165" s="528"/>
      <c r="BQ165" s="460">
        <f t="shared" si="355"/>
        <v>1014.2824999999998</v>
      </c>
      <c r="BR165" s="528">
        <f t="shared" si="356"/>
        <v>0.14807717989315017</v>
      </c>
      <c r="BS165" s="528">
        <f t="shared" si="357"/>
        <v>0.11312224698711759</v>
      </c>
      <c r="BT165" s="528">
        <f t="shared" si="358"/>
        <v>4.1065825111051709E-4</v>
      </c>
      <c r="BU165" s="528">
        <f t="shared" si="359"/>
        <v>12.36862226393459</v>
      </c>
      <c r="BV165" s="528"/>
      <c r="BW165" s="625">
        <f t="shared" si="467"/>
        <v>1.7034259076166351</v>
      </c>
      <c r="BX165" s="460">
        <f t="shared" si="361"/>
        <v>14333.658256682604</v>
      </c>
      <c r="BY165" s="173">
        <f t="shared" si="362"/>
        <v>17.83737859712592</v>
      </c>
      <c r="BZ165" s="5">
        <f t="shared" si="363"/>
        <v>42.625</v>
      </c>
      <c r="CA165" s="173">
        <f t="shared" si="364"/>
        <v>0.70498384266387726</v>
      </c>
      <c r="CB165" s="5">
        <f t="shared" si="365"/>
        <v>70.498384266387731</v>
      </c>
      <c r="CC165">
        <f t="shared" si="366"/>
        <v>55.000000000000007</v>
      </c>
      <c r="CE165" s="562">
        <f t="shared" si="468"/>
        <v>-50</v>
      </c>
      <c r="CF165">
        <f t="shared" si="469"/>
        <v>-50</v>
      </c>
      <c r="CG165" s="173">
        <f t="shared" si="369"/>
        <v>0.38447255346461451</v>
      </c>
      <c r="CH165" s="173">
        <f t="shared" si="470"/>
        <v>0.12467877742130105</v>
      </c>
      <c r="CI165" s="170">
        <v>55</v>
      </c>
      <c r="CJ165" s="217">
        <f t="shared" si="437"/>
        <v>1.375</v>
      </c>
      <c r="CK165" s="217">
        <f t="shared" si="371"/>
        <v>0.13750000000000001</v>
      </c>
      <c r="CL165" s="217">
        <f t="shared" si="372"/>
        <v>38.5</v>
      </c>
      <c r="CM165" s="217">
        <f t="shared" si="373"/>
        <v>4.125</v>
      </c>
      <c r="CN165" s="541">
        <f t="shared" si="374"/>
        <v>19</v>
      </c>
      <c r="CO165" s="443">
        <f t="shared" si="471"/>
        <v>28.7</v>
      </c>
      <c r="CP165" s="443">
        <f t="shared" si="472"/>
        <v>47.7</v>
      </c>
      <c r="CQ165" s="443"/>
      <c r="CR165" s="217">
        <f t="shared" si="377"/>
        <v>0.59915611814345993</v>
      </c>
      <c r="CS165" s="172">
        <f t="shared" si="378"/>
        <v>85.685767433419556</v>
      </c>
      <c r="CT165" s="172">
        <f t="shared" si="379"/>
        <v>10.164255575647982</v>
      </c>
      <c r="CU165" s="217">
        <f t="shared" si="380"/>
        <v>3.0602059797649841</v>
      </c>
      <c r="CV165" s="217">
        <f t="shared" si="381"/>
        <v>2.8561922477806521</v>
      </c>
      <c r="CW165" s="217">
        <f t="shared" si="382"/>
        <v>28</v>
      </c>
      <c r="CX165" s="217">
        <f t="shared" si="383"/>
        <v>7.4886026686434386</v>
      </c>
      <c r="CY165" s="217">
        <f t="shared" si="384"/>
        <v>1.8524438180328506</v>
      </c>
      <c r="CZ165" s="217">
        <f t="shared" si="385"/>
        <v>1.2263565345862077</v>
      </c>
      <c r="DA165" s="197">
        <f t="shared" si="386"/>
        <v>350</v>
      </c>
      <c r="DB165" s="443">
        <f t="shared" si="387"/>
        <v>324.8018336587902</v>
      </c>
      <c r="DD165" s="217">
        <f t="shared" si="388"/>
        <v>6.9494625094785683</v>
      </c>
      <c r="DE165" s="173">
        <f t="shared" si="389"/>
        <v>1.1380652890086853</v>
      </c>
      <c r="DF165" s="173">
        <f t="shared" si="390"/>
        <v>1.2501230996965573</v>
      </c>
      <c r="DG165" s="173"/>
      <c r="DH165" s="173">
        <f t="shared" si="391"/>
        <v>0.54587688734030204</v>
      </c>
      <c r="DI165" s="545">
        <f t="shared" si="392"/>
        <v>1511.3297872340424</v>
      </c>
      <c r="DJ165" s="528">
        <f t="shared" si="393"/>
        <v>0.31842818428184283</v>
      </c>
      <c r="DL165" s="173">
        <f t="shared" si="394"/>
        <v>7.1988685365609317</v>
      </c>
      <c r="DM165" s="173">
        <f t="shared" si="395"/>
        <v>7.4886026686434386</v>
      </c>
      <c r="DN165" s="173">
        <f t="shared" si="396"/>
        <v>4.2779772854148925</v>
      </c>
      <c r="DP165" s="545">
        <f t="shared" si="397"/>
        <v>1375</v>
      </c>
      <c r="DQ165" s="460">
        <f t="shared" si="398"/>
        <v>324.8018336587902</v>
      </c>
      <c r="DS165">
        <f t="shared" si="399"/>
        <v>1375</v>
      </c>
      <c r="DT165">
        <f t="shared" si="400"/>
        <v>324.8018336587902</v>
      </c>
      <c r="DV165" s="5">
        <f t="shared" si="401"/>
        <v>3.0788003526190586</v>
      </c>
      <c r="DW165" s="5">
        <f t="shared" si="402"/>
        <v>1.8524438180328506</v>
      </c>
      <c r="DX165" s="5">
        <f t="shared" si="403"/>
        <v>1.226356534586208</v>
      </c>
      <c r="DY165" s="173">
        <f t="shared" si="404"/>
        <v>0.60167714884696011</v>
      </c>
      <c r="EA165" s="5">
        <f t="shared" si="405"/>
        <v>9.0968223206970347</v>
      </c>
      <c r="EB165" s="5">
        <f t="shared" si="406"/>
        <v>0.84903674993172318</v>
      </c>
      <c r="EC165" s="5">
        <f t="shared" si="407"/>
        <v>1.7749897211116163</v>
      </c>
      <c r="ED165" s="5"/>
      <c r="EE165" s="173">
        <f t="shared" si="408"/>
        <v>3.3536823081737466</v>
      </c>
      <c r="EF165" s="173">
        <f t="shared" si="409"/>
        <v>2.7287124470673501</v>
      </c>
      <c r="EG165" s="173">
        <f t="shared" si="410"/>
        <v>0.27510789425351156</v>
      </c>
      <c r="EH165" s="173"/>
      <c r="EI165" s="528">
        <f t="shared" si="411"/>
        <v>0.13496622028989105</v>
      </c>
      <c r="EJ165" s="528">
        <f t="shared" si="412"/>
        <v>2.2044042553191492</v>
      </c>
      <c r="EK165" s="528">
        <f t="shared" si="413"/>
        <v>3.7352210870760877E-2</v>
      </c>
      <c r="EL165" s="528">
        <f t="shared" si="414"/>
        <v>0.36396654432196313</v>
      </c>
      <c r="EM165">
        <f t="shared" si="415"/>
        <v>8.5500000000000003E-3</v>
      </c>
      <c r="EN165" s="460">
        <f t="shared" si="416"/>
        <v>45.902210870760882</v>
      </c>
      <c r="EP165" s="460">
        <f t="shared" si="438"/>
        <v>2749.2392308017643</v>
      </c>
      <c r="EQ165" s="173">
        <f t="shared" si="417"/>
        <v>0.96249999999999991</v>
      </c>
      <c r="ER165" s="173">
        <f t="shared" si="473"/>
        <v>6.5862500000000004E-2</v>
      </c>
      <c r="ES165" s="528"/>
      <c r="EU165" s="460">
        <f t="shared" si="419"/>
        <v>1028.3625</v>
      </c>
      <c r="EV165" s="528">
        <f t="shared" si="420"/>
        <v>0.15746059033820622</v>
      </c>
      <c r="EW165" s="528">
        <f t="shared" si="421"/>
        <v>0.10424220266292401</v>
      </c>
      <c r="EX165" s="528">
        <f t="shared" si="422"/>
        <v>3.7842176740300653E-4</v>
      </c>
      <c r="EY165" s="528">
        <f t="shared" si="423"/>
        <v>14.588752487337159</v>
      </c>
      <c r="EZ165" s="528"/>
      <c r="FA165" s="625">
        <f t="shared" si="424"/>
        <v>1.8214617222941554</v>
      </c>
      <c r="FB165" s="460">
        <f t="shared" si="425"/>
        <v>16672.29542439985</v>
      </c>
      <c r="FC165" s="173">
        <f t="shared" si="426"/>
        <v>20.449897155201612</v>
      </c>
      <c r="FD165" s="5">
        <f t="shared" si="427"/>
        <v>42.625</v>
      </c>
      <c r="FE165" s="173">
        <f t="shared" si="428"/>
        <v>0.67578390013252421</v>
      </c>
      <c r="FF165" s="5">
        <f t="shared" si="429"/>
        <v>67.578390013252417</v>
      </c>
      <c r="FG165">
        <f t="shared" si="430"/>
        <v>55.000000000000007</v>
      </c>
      <c r="FI165" s="562">
        <f t="shared" si="431"/>
        <v>-50</v>
      </c>
      <c r="FJ165">
        <f t="shared" si="432"/>
        <v>-50</v>
      </c>
    </row>
    <row r="166" spans="5:166">
      <c r="E166" s="170">
        <v>56</v>
      </c>
      <c r="F166" s="217">
        <f t="shared" si="474"/>
        <v>1.4000000000000001</v>
      </c>
      <c r="G166" s="217">
        <f t="shared" si="443"/>
        <v>0.14000000000000001</v>
      </c>
      <c r="H166" s="217">
        <f t="shared" si="444"/>
        <v>39.200000000000003</v>
      </c>
      <c r="I166" s="217">
        <f t="shared" si="445"/>
        <v>4.2</v>
      </c>
      <c r="J166" s="541">
        <f t="shared" si="446"/>
        <v>18.874298769677779</v>
      </c>
      <c r="K166" s="443">
        <f t="shared" si="447"/>
        <v>28.750978931586605</v>
      </c>
      <c r="L166" s="172">
        <f t="shared" si="448"/>
        <v>47.62527770126438</v>
      </c>
      <c r="M166" s="443"/>
      <c r="N166" s="217">
        <f t="shared" si="449"/>
        <v>0.60369157555218433</v>
      </c>
      <c r="O166" s="172">
        <f t="shared" si="450"/>
        <v>85.763210894587132</v>
      </c>
      <c r="P166" s="172">
        <f t="shared" si="451"/>
        <v>10.173442108669137</v>
      </c>
      <c r="Q166" s="217">
        <f t="shared" si="321"/>
        <v>3.0629718176638261</v>
      </c>
      <c r="R166" s="217">
        <f t="shared" si="452"/>
        <v>2.8587736964862378</v>
      </c>
      <c r="S166" s="217">
        <f t="shared" si="453"/>
        <v>28</v>
      </c>
      <c r="T166" s="217">
        <f t="shared" si="454"/>
        <v>7.6178739872082843</v>
      </c>
      <c r="U166" s="217">
        <f t="shared" si="325"/>
        <v>1.8969715472237476</v>
      </c>
      <c r="V166" s="217">
        <f t="shared" si="326"/>
        <v>1.2453143882535309</v>
      </c>
      <c r="W166" s="197">
        <f t="shared" si="327"/>
        <v>350</v>
      </c>
      <c r="X166" s="443">
        <f t="shared" si="434"/>
        <v>299.19642403581486</v>
      </c>
      <c r="Z166" s="217">
        <f t="shared" si="328"/>
        <v>6.9265988824981353</v>
      </c>
      <c r="AA166" s="173">
        <f t="shared" si="329"/>
        <v>1.1323097841366163</v>
      </c>
      <c r="AB166" s="173">
        <f t="shared" si="455"/>
        <v>1.2397088018925071</v>
      </c>
      <c r="AC166" s="173"/>
      <c r="AD166" s="173">
        <f t="shared" si="331"/>
        <v>0.54490898219311912</v>
      </c>
      <c r="AE166" s="545">
        <f t="shared" si="456"/>
        <v>1541.5418490978352</v>
      </c>
      <c r="AF166" s="528">
        <f t="shared" si="457"/>
        <v>0.31786357294598616</v>
      </c>
      <c r="AH166" s="173">
        <f t="shared" si="458"/>
        <v>7.2640179960410691</v>
      </c>
      <c r="AI166" s="173">
        <f t="shared" si="459"/>
        <v>7.6178739872082843</v>
      </c>
      <c r="AJ166" s="173">
        <f t="shared" si="460"/>
        <v>4.3737338176851486</v>
      </c>
      <c r="AL166" s="545">
        <f t="shared" si="461"/>
        <v>1400.0000000000002</v>
      </c>
      <c r="AM166" s="460">
        <f t="shared" si="462"/>
        <v>299.19642403581486</v>
      </c>
      <c r="AO166">
        <f t="shared" si="339"/>
        <v>1400.0000000000002</v>
      </c>
      <c r="AP166">
        <f t="shared" si="340"/>
        <v>299.19642403581486</v>
      </c>
      <c r="AR166" s="5">
        <f t="shared" si="442"/>
        <v>3.3422859354772787</v>
      </c>
      <c r="AS166" s="5">
        <f t="shared" si="439"/>
        <v>1.8969715472237476</v>
      </c>
      <c r="AT166" s="5">
        <f t="shared" si="440"/>
        <v>1.4453143882535311</v>
      </c>
      <c r="AU166" s="173">
        <f t="shared" si="441"/>
        <v>0.5675671034270322</v>
      </c>
      <c r="AW166" s="5">
        <f t="shared" si="341"/>
        <v>9.4848577361187392</v>
      </c>
      <c r="AX166" s="5">
        <f t="shared" si="342"/>
        <v>0.88525338870441561</v>
      </c>
      <c r="AY166" s="5">
        <f t="shared" si="343"/>
        <v>2.1441221930911367</v>
      </c>
      <c r="AZ166" s="5"/>
      <c r="BA166" s="173">
        <f t="shared" si="344"/>
        <v>3.3134602489733918</v>
      </c>
      <c r="BB166" s="173">
        <f t="shared" si="345"/>
        <v>2.8922279543865033</v>
      </c>
      <c r="BC166" s="173">
        <f t="shared" si="346"/>
        <v>0.29159347408978681</v>
      </c>
      <c r="BD166" s="173"/>
      <c r="BE166" s="528">
        <f t="shared" si="347"/>
        <v>0.13174822585832174</v>
      </c>
      <c r="BF166" s="528">
        <f t="shared" si="463"/>
        <v>1.9810278124814582</v>
      </c>
      <c r="BG166" s="528">
        <f t="shared" si="349"/>
        <v>3.4407588764118716E-2</v>
      </c>
      <c r="BH166" s="528">
        <f t="shared" si="350"/>
        <v>0.33422403305863113</v>
      </c>
      <c r="BI166">
        <f t="shared" si="351"/>
        <v>8.4934344463550009E-3</v>
      </c>
      <c r="BJ166" s="460">
        <f t="shared" si="435"/>
        <v>42.901023210473717</v>
      </c>
      <c r="BK166">
        <f t="shared" si="464"/>
        <v>2.5627962740734476</v>
      </c>
      <c r="BL166" s="460">
        <f t="shared" si="436"/>
        <v>2489.9010946088847</v>
      </c>
      <c r="BM166" s="173">
        <f t="shared" si="465"/>
        <v>0.9388399999999999</v>
      </c>
      <c r="BN166" s="173">
        <f t="shared" si="466"/>
        <v>9.3883999999999995E-2</v>
      </c>
      <c r="BO166" s="528"/>
      <c r="BQ166" s="460">
        <f t="shared" si="355"/>
        <v>1032.7239999999999</v>
      </c>
      <c r="BR166" s="528">
        <f t="shared" si="356"/>
        <v>0.15370626350137537</v>
      </c>
      <c r="BS166" s="528">
        <f t="shared" si="357"/>
        <v>0.11710975556188631</v>
      </c>
      <c r="BT166" s="528">
        <f t="shared" si="358"/>
        <v>4.251337706587559E-4</v>
      </c>
      <c r="BU166" s="528">
        <f t="shared" si="359"/>
        <v>12.40067889041956</v>
      </c>
      <c r="BV166" s="528"/>
      <c r="BW166" s="625">
        <f t="shared" si="467"/>
        <v>1.7362968101859209</v>
      </c>
      <c r="BX166" s="460">
        <f t="shared" si="361"/>
        <v>14408.2168534394</v>
      </c>
      <c r="BY166" s="173">
        <f t="shared" si="362"/>
        <v>17.930841948048286</v>
      </c>
      <c r="BZ166" s="5">
        <f t="shared" si="363"/>
        <v>43.400000000000006</v>
      </c>
      <c r="CA166" s="173">
        <f t="shared" si="364"/>
        <v>0.70763744017672192</v>
      </c>
      <c r="CB166" s="5">
        <f t="shared" si="365"/>
        <v>70.763744017672195</v>
      </c>
      <c r="CC166">
        <f t="shared" si="366"/>
        <v>56.000000000000007</v>
      </c>
      <c r="CE166" s="562">
        <f t="shared" si="468"/>
        <v>-50</v>
      </c>
      <c r="CF166">
        <f t="shared" si="469"/>
        <v>-50</v>
      </c>
      <c r="CG166" s="173">
        <f t="shared" si="369"/>
        <v>0.38447255346461445</v>
      </c>
      <c r="CH166" s="173">
        <f t="shared" si="470"/>
        <v>0.12467877742130105</v>
      </c>
      <c r="CI166" s="170">
        <v>56</v>
      </c>
      <c r="CJ166" s="217">
        <f t="shared" si="437"/>
        <v>1.4000000000000001</v>
      </c>
      <c r="CK166" s="217">
        <f t="shared" si="371"/>
        <v>0.14000000000000001</v>
      </c>
      <c r="CL166" s="217">
        <f t="shared" si="372"/>
        <v>39.200000000000003</v>
      </c>
      <c r="CM166" s="217">
        <f t="shared" si="373"/>
        <v>4.2</v>
      </c>
      <c r="CN166" s="541">
        <f t="shared" si="374"/>
        <v>19</v>
      </c>
      <c r="CO166" s="443">
        <f t="shared" si="471"/>
        <v>28.7</v>
      </c>
      <c r="CP166" s="443">
        <f t="shared" si="472"/>
        <v>47.7</v>
      </c>
      <c r="CQ166" s="443"/>
      <c r="CR166" s="217">
        <f t="shared" si="377"/>
        <v>0.59915611814345993</v>
      </c>
      <c r="CS166" s="172">
        <f t="shared" si="378"/>
        <v>85.685767433419556</v>
      </c>
      <c r="CT166" s="172">
        <f t="shared" si="379"/>
        <v>10.164255575647982</v>
      </c>
      <c r="CU166" s="217">
        <f t="shared" si="380"/>
        <v>3.0602059797649841</v>
      </c>
      <c r="CV166" s="217">
        <f t="shared" si="381"/>
        <v>2.8561922477806521</v>
      </c>
      <c r="CW166" s="217">
        <f t="shared" si="382"/>
        <v>28</v>
      </c>
      <c r="CX166" s="217">
        <f t="shared" si="383"/>
        <v>7.6247590808005938</v>
      </c>
      <c r="CY166" s="217">
        <f t="shared" si="384"/>
        <v>1.8861246147243573</v>
      </c>
      <c r="CZ166" s="217">
        <f t="shared" si="385"/>
        <v>1.2486539261241389</v>
      </c>
      <c r="DA166" s="197">
        <f t="shared" si="386"/>
        <v>350</v>
      </c>
      <c r="DB166" s="443">
        <f t="shared" si="387"/>
        <v>319.00180091488318</v>
      </c>
      <c r="DD166" s="217">
        <f t="shared" si="388"/>
        <v>6.9494625094785683</v>
      </c>
      <c r="DE166" s="173">
        <f t="shared" si="389"/>
        <v>1.1380652890086853</v>
      </c>
      <c r="DF166" s="173">
        <f t="shared" si="390"/>
        <v>1.2501230996965573</v>
      </c>
      <c r="DG166" s="173"/>
      <c r="DH166" s="173">
        <f t="shared" si="391"/>
        <v>0.54587688734030204</v>
      </c>
      <c r="DI166" s="545">
        <f t="shared" si="392"/>
        <v>1538.808510638298</v>
      </c>
      <c r="DJ166" s="528">
        <f t="shared" si="393"/>
        <v>0.31842818428184283</v>
      </c>
      <c r="DL166" s="173">
        <f t="shared" si="394"/>
        <v>7.2640179960410691</v>
      </c>
      <c r="DM166" s="173">
        <f t="shared" si="395"/>
        <v>7.6247590808005938</v>
      </c>
      <c r="DN166" s="173">
        <f t="shared" si="396"/>
        <v>4.3788338870127852</v>
      </c>
      <c r="DP166" s="545">
        <f t="shared" si="397"/>
        <v>1400.0000000000002</v>
      </c>
      <c r="DQ166" s="460">
        <f t="shared" si="398"/>
        <v>319.00180091488318</v>
      </c>
      <c r="DS166">
        <f t="shared" si="399"/>
        <v>1400.0000000000002</v>
      </c>
      <c r="DT166">
        <f t="shared" si="400"/>
        <v>319.00180091488318</v>
      </c>
      <c r="DV166" s="5">
        <f t="shared" si="401"/>
        <v>3.1347785408484961</v>
      </c>
      <c r="DW166" s="5">
        <f t="shared" si="402"/>
        <v>1.8861246147243573</v>
      </c>
      <c r="DX166" s="5">
        <f t="shared" si="403"/>
        <v>1.2486539261241387</v>
      </c>
      <c r="DY166" s="173">
        <f t="shared" si="404"/>
        <v>0.60167714884696022</v>
      </c>
      <c r="EA166" s="5">
        <f t="shared" si="405"/>
        <v>9.4306230736217884</v>
      </c>
      <c r="EB166" s="5">
        <f t="shared" si="406"/>
        <v>0.88019148687136695</v>
      </c>
      <c r="EC166" s="5">
        <f t="shared" si="407"/>
        <v>1.840121575340836</v>
      </c>
      <c r="ED166" s="5"/>
      <c r="EE166" s="173">
        <f t="shared" si="408"/>
        <v>3.4146583501405434</v>
      </c>
      <c r="EF166" s="173">
        <f t="shared" si="409"/>
        <v>2.7783254006503935</v>
      </c>
      <c r="EG166" s="173">
        <f t="shared" si="410"/>
        <v>0.28010985596721183</v>
      </c>
      <c r="EH166" s="173"/>
      <c r="EI166" s="528">
        <f t="shared" si="411"/>
        <v>0.13991869977821444</v>
      </c>
      <c r="EJ166" s="528">
        <f t="shared" si="412"/>
        <v>2.2044042553191496</v>
      </c>
      <c r="EK166" s="528">
        <f t="shared" si="413"/>
        <v>3.6685207105211566E-2</v>
      </c>
      <c r="EL166" s="528">
        <f t="shared" si="414"/>
        <v>0.35746714174478517</v>
      </c>
      <c r="EM166">
        <f t="shared" si="415"/>
        <v>8.5500000000000003E-3</v>
      </c>
      <c r="EN166" s="460">
        <f t="shared" si="416"/>
        <v>45.235207105211565</v>
      </c>
      <c r="EP166" s="460">
        <f t="shared" si="438"/>
        <v>2747.0253039473605</v>
      </c>
      <c r="EQ166" s="173">
        <f t="shared" si="417"/>
        <v>0.98</v>
      </c>
      <c r="ER166" s="173">
        <f t="shared" si="473"/>
        <v>6.7060000000000008E-2</v>
      </c>
      <c r="ES166" s="528"/>
      <c r="EU166" s="460">
        <f t="shared" si="419"/>
        <v>1047.0600000000002</v>
      </c>
      <c r="EV166" s="528">
        <f t="shared" si="420"/>
        <v>0.16323848307458352</v>
      </c>
      <c r="EW166" s="528">
        <f t="shared" si="421"/>
        <v>0.10806728844658837</v>
      </c>
      <c r="EX166" s="528">
        <f t="shared" si="422"/>
        <v>3.923076570498608E-4</v>
      </c>
      <c r="EY166" s="528">
        <f t="shared" si="423"/>
        <v>14.588752487337159</v>
      </c>
      <c r="EZ166" s="528"/>
      <c r="FA166" s="625">
        <f t="shared" si="424"/>
        <v>1.85457920815405</v>
      </c>
      <c r="FB166" s="460">
        <f t="shared" si="425"/>
        <v>16715.02977466943</v>
      </c>
      <c r="FC166" s="173">
        <f t="shared" si="426"/>
        <v>20.509115078616791</v>
      </c>
      <c r="FD166" s="5">
        <f t="shared" si="427"/>
        <v>43.400000000000006</v>
      </c>
      <c r="FE166" s="173">
        <f t="shared" si="428"/>
        <v>0.6790893591096071</v>
      </c>
      <c r="FF166" s="5">
        <f t="shared" si="429"/>
        <v>67.908935910960707</v>
      </c>
      <c r="FG166">
        <f t="shared" si="430"/>
        <v>56.000000000000007</v>
      </c>
      <c r="FI166" s="562">
        <f t="shared" si="431"/>
        <v>-50</v>
      </c>
      <c r="FJ166">
        <f t="shared" si="432"/>
        <v>-50</v>
      </c>
    </row>
    <row r="167" spans="5:166">
      <c r="E167" s="170">
        <v>57</v>
      </c>
      <c r="F167" s="217">
        <f t="shared" si="474"/>
        <v>1.4249999999999998</v>
      </c>
      <c r="G167" s="217">
        <f t="shared" si="443"/>
        <v>0.14249999999999999</v>
      </c>
      <c r="H167" s="217">
        <f t="shared" si="444"/>
        <v>39.899999999999991</v>
      </c>
      <c r="I167" s="217">
        <f t="shared" si="445"/>
        <v>4.2749999999999995</v>
      </c>
      <c r="J167" s="541">
        <f t="shared" si="446"/>
        <v>18.872054104850598</v>
      </c>
      <c r="K167" s="443">
        <f t="shared" si="447"/>
        <v>28.751889269650651</v>
      </c>
      <c r="L167" s="172">
        <f t="shared" si="448"/>
        <v>47.623943374501252</v>
      </c>
      <c r="M167" s="443"/>
      <c r="N167" s="217">
        <f t="shared" si="449"/>
        <v>0.60372760490566491</v>
      </c>
      <c r="O167" s="172">
        <f t="shared" si="450"/>
        <v>85.758129215700009</v>
      </c>
      <c r="P167" s="172">
        <f t="shared" si="451"/>
        <v>10.17283930747462</v>
      </c>
      <c r="Q167" s="217">
        <f t="shared" si="321"/>
        <v>3.062790329132143</v>
      </c>
      <c r="R167" s="217">
        <f t="shared" si="452"/>
        <v>2.8586043071900002</v>
      </c>
      <c r="S167" s="217">
        <f t="shared" si="453"/>
        <v>28</v>
      </c>
      <c r="T167" s="217">
        <f t="shared" si="454"/>
        <v>7.754366916369908</v>
      </c>
      <c r="U167" s="217">
        <f t="shared" si="325"/>
        <v>1.9311901240030434</v>
      </c>
      <c r="V167" s="217">
        <f t="shared" si="326"/>
        <v>1.2675871197587358</v>
      </c>
      <c r="W167" s="197">
        <f t="shared" si="327"/>
        <v>350</v>
      </c>
      <c r="X167" s="443">
        <f t="shared" si="434"/>
        <v>294.22345987382101</v>
      </c>
      <c r="Z167" s="217">
        <f t="shared" si="328"/>
        <v>6.9261884646635714</v>
      </c>
      <c r="AA167" s="173">
        <f t="shared" si="329"/>
        <v>1.1322068431266716</v>
      </c>
      <c r="AB167" s="173">
        <f t="shared" si="455"/>
        <v>1.239522647894769</v>
      </c>
      <c r="AC167" s="173"/>
      <c r="AD167" s="173">
        <f t="shared" si="331"/>
        <v>0.54489172936554742</v>
      </c>
      <c r="AE167" s="545">
        <f t="shared" si="456"/>
        <v>1569.1190633330618</v>
      </c>
      <c r="AF167" s="528">
        <f t="shared" si="457"/>
        <v>0.31785350879656932</v>
      </c>
      <c r="AH167" s="173">
        <f t="shared" si="458"/>
        <v>7.328588314739072</v>
      </c>
      <c r="AI167" s="173">
        <f t="shared" si="459"/>
        <v>7.754366916369908</v>
      </c>
      <c r="AJ167" s="173">
        <f t="shared" si="460"/>
        <v>4.4748396911382038</v>
      </c>
      <c r="AL167" s="545">
        <f t="shared" si="461"/>
        <v>1424.9999999999998</v>
      </c>
      <c r="AM167" s="460">
        <f t="shared" si="462"/>
        <v>294.22345987382101</v>
      </c>
      <c r="AO167">
        <f t="shared" si="339"/>
        <v>1424.9999999999998</v>
      </c>
      <c r="AP167">
        <f t="shared" si="340"/>
        <v>294.22345987382101</v>
      </c>
      <c r="AR167" s="5">
        <f t="shared" si="442"/>
        <v>3.39877724376178</v>
      </c>
      <c r="AS167" s="5">
        <f t="shared" si="439"/>
        <v>1.9311901240030434</v>
      </c>
      <c r="AT167" s="5">
        <f t="shared" si="440"/>
        <v>1.4675871197587367</v>
      </c>
      <c r="AU167" s="173">
        <f t="shared" si="441"/>
        <v>0.56820143995832884</v>
      </c>
      <c r="AW167" s="5">
        <f t="shared" si="341"/>
        <v>9.8283783096583441</v>
      </c>
      <c r="AX167" s="5">
        <f t="shared" si="342"/>
        <v>0.91731530890144564</v>
      </c>
      <c r="AY167" s="5">
        <f t="shared" si="343"/>
        <v>2.2163052670760188</v>
      </c>
      <c r="AZ167" s="5"/>
      <c r="BA167" s="173">
        <f t="shared" si="344"/>
        <v>3.3747133107719054</v>
      </c>
      <c r="BB167" s="173">
        <f t="shared" si="345"/>
        <v>2.9418892163590464</v>
      </c>
      <c r="BC167" s="173">
        <f t="shared" si="346"/>
        <v>0.29660030623947764</v>
      </c>
      <c r="BD167" s="173"/>
      <c r="BE167" s="528">
        <f t="shared" si="347"/>
        <v>0.13666427915881291</v>
      </c>
      <c r="BF167" s="528">
        <f t="shared" si="463"/>
        <v>1.9829504719228579</v>
      </c>
      <c r="BG167" s="528">
        <f t="shared" si="349"/>
        <v>3.3835697885489416E-2</v>
      </c>
      <c r="BH167" s="528">
        <f t="shared" si="350"/>
        <v>0.32865045611624355</v>
      </c>
      <c r="BI167">
        <f t="shared" si="351"/>
        <v>8.4924243471827688E-3</v>
      </c>
      <c r="BJ167" s="460">
        <f t="shared" si="435"/>
        <v>42.328122232672186</v>
      </c>
      <c r="BK167">
        <f t="shared" si="464"/>
        <v>2.5685697008184429</v>
      </c>
      <c r="BL167" s="460">
        <f t="shared" si="436"/>
        <v>2490.5933294305864</v>
      </c>
      <c r="BM167" s="173">
        <f t="shared" si="465"/>
        <v>0.95560499999999982</v>
      </c>
      <c r="BN167" s="173">
        <f t="shared" si="466"/>
        <v>9.5560499999999993E-2</v>
      </c>
      <c r="BO167" s="528"/>
      <c r="BQ167" s="460">
        <f t="shared" si="355"/>
        <v>1051.1654999999998</v>
      </c>
      <c r="BR167" s="528">
        <f t="shared" si="356"/>
        <v>0.15944165901861504</v>
      </c>
      <c r="BS167" s="528">
        <f t="shared" si="357"/>
        <v>0.12116597025861503</v>
      </c>
      <c r="BT167" s="528">
        <f t="shared" si="358"/>
        <v>4.398587083067596E-4</v>
      </c>
      <c r="BU167" s="528">
        <f t="shared" si="359"/>
        <v>12.431659800739908</v>
      </c>
      <c r="BV167" s="528"/>
      <c r="BW167" s="625">
        <f t="shared" si="467"/>
        <v>1.769171733277225</v>
      </c>
      <c r="BX167" s="460">
        <f t="shared" si="361"/>
        <v>14481.879022002671</v>
      </c>
      <c r="BY167" s="173">
        <f t="shared" si="362"/>
        <v>18.023637851433257</v>
      </c>
      <c r="BZ167" s="5">
        <f t="shared" si="363"/>
        <v>44.17499999999999</v>
      </c>
      <c r="CA167" s="173">
        <f t="shared" si="364"/>
        <v>0.71022455677430985</v>
      </c>
      <c r="CB167" s="5">
        <f t="shared" si="365"/>
        <v>71.022455677430983</v>
      </c>
      <c r="CC167">
        <f t="shared" si="366"/>
        <v>56.999999999999993</v>
      </c>
      <c r="CE167" s="562">
        <f t="shared" si="468"/>
        <v>-50</v>
      </c>
      <c r="CF167">
        <f t="shared" si="469"/>
        <v>-50</v>
      </c>
      <c r="CG167" s="173">
        <f t="shared" si="369"/>
        <v>0.38447255346461445</v>
      </c>
      <c r="CH167" s="173">
        <f t="shared" si="470"/>
        <v>0.12467877742130107</v>
      </c>
      <c r="CI167" s="170">
        <v>57</v>
      </c>
      <c r="CJ167" s="217">
        <f t="shared" si="437"/>
        <v>1.4249999999999998</v>
      </c>
      <c r="CK167" s="217">
        <f t="shared" si="371"/>
        <v>0.14249999999999999</v>
      </c>
      <c r="CL167" s="217">
        <f t="shared" si="372"/>
        <v>39.899999999999991</v>
      </c>
      <c r="CM167" s="217">
        <f t="shared" si="373"/>
        <v>4.2749999999999995</v>
      </c>
      <c r="CN167" s="541">
        <f t="shared" si="374"/>
        <v>19</v>
      </c>
      <c r="CO167" s="443">
        <f t="shared" si="471"/>
        <v>28.7</v>
      </c>
      <c r="CP167" s="443">
        <f t="shared" si="472"/>
        <v>47.7</v>
      </c>
      <c r="CQ167" s="443"/>
      <c r="CR167" s="217">
        <f t="shared" si="377"/>
        <v>0.59915611814345993</v>
      </c>
      <c r="CS167" s="172">
        <f t="shared" si="378"/>
        <v>85.685767433419556</v>
      </c>
      <c r="CT167" s="172">
        <f t="shared" si="379"/>
        <v>10.164255575647982</v>
      </c>
      <c r="CU167" s="217">
        <f t="shared" si="380"/>
        <v>3.0602059797649841</v>
      </c>
      <c r="CV167" s="217">
        <f t="shared" si="381"/>
        <v>2.8561922477806521</v>
      </c>
      <c r="CW167" s="217">
        <f t="shared" si="382"/>
        <v>28</v>
      </c>
      <c r="CX167" s="217">
        <f t="shared" si="383"/>
        <v>7.7609154929577437</v>
      </c>
      <c r="CY167" s="217">
        <f t="shared" si="384"/>
        <v>1.9198054114158631</v>
      </c>
      <c r="CZ167" s="217">
        <f t="shared" si="385"/>
        <v>1.2709513176620697</v>
      </c>
      <c r="DA167" s="197">
        <f t="shared" si="386"/>
        <v>350</v>
      </c>
      <c r="DB167" s="443">
        <f t="shared" si="387"/>
        <v>313.40527809181515</v>
      </c>
      <c r="DD167" s="217">
        <f t="shared" si="388"/>
        <v>6.9494625094785683</v>
      </c>
      <c r="DE167" s="173">
        <f t="shared" si="389"/>
        <v>1.1380652890086853</v>
      </c>
      <c r="DF167" s="173">
        <f t="shared" si="390"/>
        <v>1.2501230996965573</v>
      </c>
      <c r="DG167" s="173"/>
      <c r="DH167" s="173">
        <f t="shared" si="391"/>
        <v>0.54587688734030204</v>
      </c>
      <c r="DI167" s="545">
        <f t="shared" si="392"/>
        <v>1566.2872340425531</v>
      </c>
      <c r="DJ167" s="528">
        <f t="shared" si="393"/>
        <v>0.31842818428184283</v>
      </c>
      <c r="DL167" s="173">
        <f t="shared" si="394"/>
        <v>7.328588314739072</v>
      </c>
      <c r="DM167" s="173">
        <f t="shared" si="395"/>
        <v>7.7609154929577437</v>
      </c>
      <c r="DN167" s="173">
        <f t="shared" si="396"/>
        <v>4.4796904886106743</v>
      </c>
      <c r="DP167" s="545">
        <f t="shared" si="397"/>
        <v>1424.9999999999998</v>
      </c>
      <c r="DQ167" s="460">
        <f t="shared" si="398"/>
        <v>313.40527809181515</v>
      </c>
      <c r="DS167">
        <f t="shared" si="399"/>
        <v>1424.9999999999998</v>
      </c>
      <c r="DT167">
        <f t="shared" si="400"/>
        <v>313.40527809181515</v>
      </c>
      <c r="DV167" s="5">
        <f t="shared" si="401"/>
        <v>3.1907567290779331</v>
      </c>
      <c r="DW167" s="5">
        <f t="shared" si="402"/>
        <v>1.9198054114158631</v>
      </c>
      <c r="DX167" s="5">
        <f t="shared" si="403"/>
        <v>1.2709513176620699</v>
      </c>
      <c r="DY167" s="173">
        <f t="shared" si="404"/>
        <v>0.60167714884696011</v>
      </c>
      <c r="EA167" s="5">
        <f t="shared" si="405"/>
        <v>9.7704382545271606</v>
      </c>
      <c r="EB167" s="5">
        <f t="shared" si="406"/>
        <v>0.9119075704225349</v>
      </c>
      <c r="EC167" s="5">
        <f t="shared" si="407"/>
        <v>1.9064269764931043</v>
      </c>
      <c r="ED167" s="5"/>
      <c r="EE167" s="173">
        <f t="shared" si="408"/>
        <v>3.4756343921073367</v>
      </c>
      <c r="EF167" s="173">
        <f t="shared" si="409"/>
        <v>2.8279383542334351</v>
      </c>
      <c r="EG167" s="173">
        <f t="shared" si="410"/>
        <v>0.28511181768091187</v>
      </c>
      <c r="EH167" s="173"/>
      <c r="EI167" s="528">
        <f t="shared" si="411"/>
        <v>0.14496041313119204</v>
      </c>
      <c r="EJ167" s="528">
        <f t="shared" si="412"/>
        <v>2.2044042553191487</v>
      </c>
      <c r="EK167" s="528">
        <f t="shared" si="413"/>
        <v>3.6041606980558749E-2</v>
      </c>
      <c r="EL167" s="528">
        <f t="shared" si="414"/>
        <v>0.3511957883808417</v>
      </c>
      <c r="EM167">
        <f t="shared" si="415"/>
        <v>8.5500000000000003E-3</v>
      </c>
      <c r="EN167" s="460">
        <f t="shared" si="416"/>
        <v>44.591606980558751</v>
      </c>
      <c r="EP167" s="460">
        <f t="shared" si="438"/>
        <v>2745.1520638117413</v>
      </c>
      <c r="EQ167" s="173">
        <f t="shared" si="417"/>
        <v>0.99749999999999983</v>
      </c>
      <c r="ER167" s="173">
        <f t="shared" si="473"/>
        <v>6.8257499999999985E-2</v>
      </c>
      <c r="ES167" s="528"/>
      <c r="EU167" s="460">
        <f t="shared" si="419"/>
        <v>1065.7574999999999</v>
      </c>
      <c r="EV167" s="528">
        <f t="shared" si="420"/>
        <v>0.16912048198639071</v>
      </c>
      <c r="EW167" s="528">
        <f t="shared" si="421"/>
        <v>0.11196129469482313</v>
      </c>
      <c r="EX167" s="528">
        <f t="shared" si="422"/>
        <v>4.0644374290656768E-4</v>
      </c>
      <c r="EY167" s="528">
        <f t="shared" si="423"/>
        <v>14.588752487337175</v>
      </c>
      <c r="EZ167" s="528"/>
      <c r="FA167" s="625">
        <f t="shared" si="424"/>
        <v>1.8876966940139428</v>
      </c>
      <c r="FB167" s="460">
        <f t="shared" si="425"/>
        <v>16757.937401775238</v>
      </c>
      <c r="FC167" s="173">
        <f t="shared" si="426"/>
        <v>20.568846965586978</v>
      </c>
      <c r="FD167" s="5">
        <f t="shared" si="427"/>
        <v>44.17499999999999</v>
      </c>
      <c r="FE167" s="173">
        <f t="shared" si="428"/>
        <v>0.68230421994355928</v>
      </c>
      <c r="FF167" s="5">
        <f t="shared" si="429"/>
        <v>68.230421994355922</v>
      </c>
      <c r="FG167">
        <f t="shared" si="430"/>
        <v>56.999999999999993</v>
      </c>
      <c r="FI167" s="562">
        <f t="shared" si="431"/>
        <v>-50</v>
      </c>
      <c r="FJ167">
        <f t="shared" si="432"/>
        <v>-50</v>
      </c>
    </row>
    <row r="168" spans="5:166">
      <c r="E168" s="170">
        <v>58</v>
      </c>
      <c r="F168" s="217">
        <f t="shared" si="474"/>
        <v>1.45</v>
      </c>
      <c r="G168" s="217">
        <f t="shared" si="443"/>
        <v>0.14499999999999999</v>
      </c>
      <c r="H168" s="217">
        <f t="shared" si="444"/>
        <v>40.6</v>
      </c>
      <c r="I168" s="217">
        <f t="shared" si="445"/>
        <v>4.3499999999999996</v>
      </c>
      <c r="J168" s="541">
        <f t="shared" si="446"/>
        <v>18.869809440023413</v>
      </c>
      <c r="K168" s="443">
        <f t="shared" si="447"/>
        <v>28.752799607714696</v>
      </c>
      <c r="L168" s="172">
        <f t="shared" si="448"/>
        <v>47.622609047738109</v>
      </c>
      <c r="M168" s="443"/>
      <c r="N168" s="217">
        <f t="shared" si="449"/>
        <v>0.60376363627814178</v>
      </c>
      <c r="O168" s="172">
        <f t="shared" si="450"/>
        <v>85.753046606117209</v>
      </c>
      <c r="P168" s="172">
        <f t="shared" si="451"/>
        <v>10.172236395878699</v>
      </c>
      <c r="Q168" s="217">
        <f t="shared" si="321"/>
        <v>3.0626088073613289</v>
      </c>
      <c r="R168" s="217">
        <f t="shared" si="452"/>
        <v>2.8584348868705738</v>
      </c>
      <c r="S168" s="217">
        <f t="shared" si="453"/>
        <v>28</v>
      </c>
      <c r="T168" s="217">
        <f t="shared" si="454"/>
        <v>7.8908761081661281</v>
      </c>
      <c r="U168" s="217">
        <f t="shared" si="325"/>
        <v>1.9654208923656613</v>
      </c>
      <c r="V168" s="217">
        <f t="shared" si="326"/>
        <v>1.2898610992450947</v>
      </c>
      <c r="W168" s="197">
        <f t="shared" si="327"/>
        <v>350</v>
      </c>
      <c r="X168" s="443">
        <f t="shared" si="434"/>
        <v>289.4119792329389</v>
      </c>
      <c r="Z168" s="217">
        <f t="shared" si="328"/>
        <v>6.9257779716620931</v>
      </c>
      <c r="AA168" s="173">
        <f t="shared" si="329"/>
        <v>1.1321038963481664</v>
      </c>
      <c r="AB168" s="173">
        <f t="shared" si="455"/>
        <v>1.2393364874873771</v>
      </c>
      <c r="AC168" s="173"/>
      <c r="AD168" s="173">
        <f t="shared" si="331"/>
        <v>0.54487447763045394</v>
      </c>
      <c r="AE168" s="545">
        <f t="shared" si="456"/>
        <v>1596.6980207688373</v>
      </c>
      <c r="AF168" s="528">
        <f t="shared" si="457"/>
        <v>0.31784344528443148</v>
      </c>
      <c r="AH168" s="173">
        <f t="shared" si="458"/>
        <v>7.392594668115632</v>
      </c>
      <c r="AI168" s="173">
        <f t="shared" si="459"/>
        <v>7.8908761081661281</v>
      </c>
      <c r="AJ168" s="173">
        <f t="shared" si="460"/>
        <v>4.5759576109872553</v>
      </c>
      <c r="AL168" s="545">
        <f t="shared" si="461"/>
        <v>1450</v>
      </c>
      <c r="AM168" s="460">
        <f t="shared" si="462"/>
        <v>289.4119792329389</v>
      </c>
      <c r="AO168">
        <f t="shared" si="339"/>
        <v>1450</v>
      </c>
      <c r="AP168">
        <f t="shared" si="340"/>
        <v>289.4119792329389</v>
      </c>
      <c r="AR168" s="5">
        <f t="shared" si="442"/>
        <v>3.4552819916107564</v>
      </c>
      <c r="AS168" s="5">
        <f t="shared" si="439"/>
        <v>1.9654208923656613</v>
      </c>
      <c r="AT168" s="5">
        <f t="shared" si="440"/>
        <v>1.4898610992450951</v>
      </c>
      <c r="AU168" s="173">
        <f t="shared" si="441"/>
        <v>0.56881635048531498</v>
      </c>
      <c r="AW168" s="5">
        <f t="shared" si="341"/>
        <v>10.178072478322173</v>
      </c>
      <c r="AX168" s="5">
        <f t="shared" si="342"/>
        <v>0.9499534313100696</v>
      </c>
      <c r="AY168" s="5">
        <f t="shared" si="343"/>
        <v>2.2896877689960471</v>
      </c>
      <c r="AZ168" s="5"/>
      <c r="BA168" s="173">
        <f t="shared" si="344"/>
        <v>3.4359800468581869</v>
      </c>
      <c r="BB168" s="173">
        <f t="shared" si="345"/>
        <v>2.9915463730989393</v>
      </c>
      <c r="BC168" s="173">
        <f t="shared" si="346"/>
        <v>0.30160672450095866</v>
      </c>
      <c r="BD168" s="173"/>
      <c r="BE168" s="528">
        <f t="shared" si="347"/>
        <v>0.14167150658889108</v>
      </c>
      <c r="BF168" s="528">
        <f t="shared" si="463"/>
        <v>1.9848047096059984</v>
      </c>
      <c r="BG168" s="528">
        <f t="shared" si="349"/>
        <v>3.3282377611787976E-2</v>
      </c>
      <c r="BH168" s="528">
        <f t="shared" si="350"/>
        <v>0.3232578707830186</v>
      </c>
      <c r="BI168">
        <f t="shared" si="351"/>
        <v>8.4914142480105349E-3</v>
      </c>
      <c r="BJ168" s="460">
        <f t="shared" si="435"/>
        <v>41.773791859798514</v>
      </c>
      <c r="BK168">
        <f t="shared" si="464"/>
        <v>2.5746511109101489</v>
      </c>
      <c r="BL168" s="460">
        <f t="shared" si="436"/>
        <v>2491.5078788377059</v>
      </c>
      <c r="BM168" s="173">
        <f t="shared" si="465"/>
        <v>0.97236999999999985</v>
      </c>
      <c r="BN168" s="173">
        <f t="shared" si="466"/>
        <v>9.723699999999999E-2</v>
      </c>
      <c r="BO168" s="528"/>
      <c r="BQ168" s="460">
        <f t="shared" si="355"/>
        <v>1069.6069999999997</v>
      </c>
      <c r="BR168" s="528">
        <f t="shared" si="356"/>
        <v>0.16528342435370624</v>
      </c>
      <c r="BS168" s="528">
        <f t="shared" si="357"/>
        <v>0.12529089583361985</v>
      </c>
      <c r="BT168" s="528">
        <f t="shared" si="358"/>
        <v>4.5483308132098589E-4</v>
      </c>
      <c r="BU168" s="528">
        <f t="shared" si="359"/>
        <v>12.46161485052804</v>
      </c>
      <c r="BV168" s="528"/>
      <c r="BW168" s="625">
        <f t="shared" si="467"/>
        <v>1.802050481135995</v>
      </c>
      <c r="BX168" s="460">
        <f t="shared" si="361"/>
        <v>14554.694484932683</v>
      </c>
      <c r="BY168" s="173">
        <f t="shared" si="362"/>
        <v>18.115809363770389</v>
      </c>
      <c r="BZ168" s="5">
        <f t="shared" si="363"/>
        <v>44.95</v>
      </c>
      <c r="CA168" s="173">
        <f t="shared" si="364"/>
        <v>0.71274753235502863</v>
      </c>
      <c r="CB168" s="5">
        <f t="shared" si="365"/>
        <v>71.274753235502857</v>
      </c>
      <c r="CC168">
        <f t="shared" si="366"/>
        <v>57.999999999999993</v>
      </c>
      <c r="CE168" s="562">
        <f t="shared" si="468"/>
        <v>-50</v>
      </c>
      <c r="CF168">
        <f t="shared" si="469"/>
        <v>-50</v>
      </c>
      <c r="CG168" s="173">
        <f t="shared" si="369"/>
        <v>0.38447255346461445</v>
      </c>
      <c r="CH168" s="173">
        <f t="shared" si="470"/>
        <v>0.12467877742130105</v>
      </c>
      <c r="CI168" s="170">
        <v>58</v>
      </c>
      <c r="CJ168" s="217">
        <f t="shared" si="437"/>
        <v>1.45</v>
      </c>
      <c r="CK168" s="217">
        <f t="shared" si="371"/>
        <v>0.14499999999999999</v>
      </c>
      <c r="CL168" s="217">
        <f t="shared" si="372"/>
        <v>40.6</v>
      </c>
      <c r="CM168" s="217">
        <f t="shared" si="373"/>
        <v>4.3499999999999996</v>
      </c>
      <c r="CN168" s="541">
        <f t="shared" si="374"/>
        <v>19</v>
      </c>
      <c r="CO168" s="443">
        <f t="shared" si="471"/>
        <v>28.7</v>
      </c>
      <c r="CP168" s="443">
        <f t="shared" si="472"/>
        <v>47.7</v>
      </c>
      <c r="CQ168" s="443"/>
      <c r="CR168" s="217">
        <f t="shared" si="377"/>
        <v>0.59915611814345993</v>
      </c>
      <c r="CS168" s="172">
        <f t="shared" si="378"/>
        <v>85.685767433419556</v>
      </c>
      <c r="CT168" s="172">
        <f t="shared" si="379"/>
        <v>10.164255575647982</v>
      </c>
      <c r="CU168" s="217">
        <f t="shared" si="380"/>
        <v>3.0602059797649841</v>
      </c>
      <c r="CV168" s="217">
        <f t="shared" si="381"/>
        <v>2.8561922477806521</v>
      </c>
      <c r="CW168" s="217">
        <f t="shared" si="382"/>
        <v>28</v>
      </c>
      <c r="CX168" s="217">
        <f t="shared" si="383"/>
        <v>7.8970719051148999</v>
      </c>
      <c r="CY168" s="217">
        <f t="shared" si="384"/>
        <v>1.9534862081073698</v>
      </c>
      <c r="CZ168" s="217">
        <f t="shared" si="385"/>
        <v>1.2932487092000009</v>
      </c>
      <c r="DA168" s="197">
        <f t="shared" si="386"/>
        <v>350</v>
      </c>
      <c r="DB168" s="443">
        <f t="shared" si="387"/>
        <v>308.00173881437001</v>
      </c>
      <c r="DD168" s="217">
        <f t="shared" si="388"/>
        <v>6.9494625094785683</v>
      </c>
      <c r="DE168" s="173">
        <f t="shared" si="389"/>
        <v>1.1380652890086853</v>
      </c>
      <c r="DF168" s="173">
        <f t="shared" si="390"/>
        <v>1.2501230996965573</v>
      </c>
      <c r="DG168" s="173"/>
      <c r="DH168" s="173">
        <f t="shared" si="391"/>
        <v>0.54587688734030204</v>
      </c>
      <c r="DI168" s="545">
        <f t="shared" si="392"/>
        <v>1593.7659574468084</v>
      </c>
      <c r="DJ168" s="528">
        <f t="shared" si="393"/>
        <v>0.31842818428184283</v>
      </c>
      <c r="DL168" s="173">
        <f t="shared" si="394"/>
        <v>7.392594668115632</v>
      </c>
      <c r="DM168" s="173">
        <f t="shared" si="395"/>
        <v>7.8970719051148999</v>
      </c>
      <c r="DN168" s="173">
        <f t="shared" si="396"/>
        <v>4.5805470902085679</v>
      </c>
      <c r="DP168" s="545">
        <f t="shared" si="397"/>
        <v>1450</v>
      </c>
      <c r="DQ168" s="460">
        <f t="shared" si="398"/>
        <v>308.00173881437001</v>
      </c>
      <c r="DS168">
        <f t="shared" si="399"/>
        <v>1450</v>
      </c>
      <c r="DT168">
        <f t="shared" si="400"/>
        <v>308.00173881437001</v>
      </c>
      <c r="DV168" s="5">
        <f t="shared" si="401"/>
        <v>3.2467349173073705</v>
      </c>
      <c r="DW168" s="5">
        <f t="shared" si="402"/>
        <v>1.9534862081073698</v>
      </c>
      <c r="DX168" s="5">
        <f t="shared" si="403"/>
        <v>1.2932487092000007</v>
      </c>
      <c r="DY168" s="173">
        <f t="shared" si="404"/>
        <v>0.60167714884696022</v>
      </c>
      <c r="EA168" s="5">
        <f t="shared" si="405"/>
        <v>10.116267863413164</v>
      </c>
      <c r="EB168" s="5">
        <f t="shared" si="406"/>
        <v>0.9441850005852287</v>
      </c>
      <c r="EC168" s="5">
        <f t="shared" si="407"/>
        <v>1.9739059245684218</v>
      </c>
      <c r="ED168" s="5"/>
      <c r="EE168" s="173">
        <f t="shared" si="408"/>
        <v>3.536610434074134</v>
      </c>
      <c r="EF168" s="173">
        <f t="shared" si="409"/>
        <v>2.8775513078164789</v>
      </c>
      <c r="EG168" s="173">
        <f t="shared" si="410"/>
        <v>0.29011377939461219</v>
      </c>
      <c r="EH168" s="173"/>
      <c r="EI168" s="528">
        <f t="shared" si="411"/>
        <v>0.15009136034882442</v>
      </c>
      <c r="EJ168" s="528">
        <f t="shared" si="412"/>
        <v>2.2044042553191496</v>
      </c>
      <c r="EK168" s="528">
        <f t="shared" si="413"/>
        <v>3.5420199963652553E-2</v>
      </c>
      <c r="EL168" s="528">
        <f t="shared" si="414"/>
        <v>0.34514068858117192</v>
      </c>
      <c r="EM168">
        <f t="shared" si="415"/>
        <v>8.5500000000000003E-3</v>
      </c>
      <c r="EN168" s="460">
        <f t="shared" si="416"/>
        <v>43.970199963652554</v>
      </c>
      <c r="EP168" s="460">
        <f t="shared" si="438"/>
        <v>2743.6065042127984</v>
      </c>
      <c r="EQ168" s="173">
        <f t="shared" si="417"/>
        <v>1.0149999999999999</v>
      </c>
      <c r="ER168" s="173">
        <f t="shared" si="473"/>
        <v>6.9454999999999989E-2</v>
      </c>
      <c r="ES168" s="528"/>
      <c r="EU168" s="460">
        <f t="shared" si="419"/>
        <v>1084.4549999999999</v>
      </c>
      <c r="EV168" s="528">
        <f t="shared" si="420"/>
        <v>0.1751065870736285</v>
      </c>
      <c r="EW168" s="528">
        <f t="shared" si="421"/>
        <v>0.11592422140762861</v>
      </c>
      <c r="EX168" s="528">
        <f t="shared" si="422"/>
        <v>4.2083002497312851E-4</v>
      </c>
      <c r="EY168" s="528">
        <f t="shared" si="423"/>
        <v>14.588752487337159</v>
      </c>
      <c r="EZ168" s="528"/>
      <c r="FA168" s="625">
        <f t="shared" si="424"/>
        <v>1.9208141798738372</v>
      </c>
      <c r="FB168" s="460">
        <f t="shared" si="425"/>
        <v>16801.018305717225</v>
      </c>
      <c r="FC168" s="173">
        <f t="shared" si="426"/>
        <v>20.629079809930026</v>
      </c>
      <c r="FD168" s="5">
        <f t="shared" si="427"/>
        <v>44.95</v>
      </c>
      <c r="FE168" s="173">
        <f t="shared" si="428"/>
        <v>0.68543200255752368</v>
      </c>
      <c r="FF168" s="5">
        <f t="shared" si="429"/>
        <v>68.543200255752367</v>
      </c>
      <c r="FG168">
        <f t="shared" si="430"/>
        <v>57.999999999999993</v>
      </c>
      <c r="FI168" s="562">
        <f t="shared" si="431"/>
        <v>-50</v>
      </c>
      <c r="FJ168">
        <f t="shared" si="432"/>
        <v>-50</v>
      </c>
    </row>
    <row r="169" spans="5:166">
      <c r="E169" s="170">
        <v>59</v>
      </c>
      <c r="F169" s="217">
        <f t="shared" si="474"/>
        <v>1.4749999999999999</v>
      </c>
      <c r="G169" s="217">
        <f t="shared" si="443"/>
        <v>0.14749999999999999</v>
      </c>
      <c r="H169" s="217">
        <f t="shared" si="444"/>
        <v>41.3</v>
      </c>
      <c r="I169" s="217">
        <f t="shared" si="445"/>
        <v>4.4249999999999998</v>
      </c>
      <c r="J169" s="541">
        <f t="shared" si="446"/>
        <v>18.867564775196232</v>
      </c>
      <c r="K169" s="443">
        <f t="shared" si="447"/>
        <v>28.753709945778745</v>
      </c>
      <c r="L169" s="172">
        <f t="shared" si="448"/>
        <v>47.621274720974981</v>
      </c>
      <c r="M169" s="443"/>
      <c r="N169" s="217">
        <f t="shared" si="449"/>
        <v>0.60379966966978438</v>
      </c>
      <c r="O169" s="172">
        <f t="shared" si="450"/>
        <v>85.747963065760459</v>
      </c>
      <c r="P169" s="172">
        <f t="shared" si="451"/>
        <v>10.171633373872096</v>
      </c>
      <c r="Q169" s="217">
        <f t="shared" si="321"/>
        <v>3.0624272523485878</v>
      </c>
      <c r="R169" s="217">
        <f t="shared" si="452"/>
        <v>2.8582654355253485</v>
      </c>
      <c r="S169" s="217">
        <f t="shared" si="453"/>
        <v>28</v>
      </c>
      <c r="T169" s="217">
        <f t="shared" si="454"/>
        <v>8.0274015699410572</v>
      </c>
      <c r="U169" s="217">
        <f t="shared" si="325"/>
        <v>1.999663858492335</v>
      </c>
      <c r="V169" s="217">
        <f t="shared" si="326"/>
        <v>1.3121363277945226</v>
      </c>
      <c r="W169" s="197">
        <f t="shared" si="327"/>
        <v>350</v>
      </c>
      <c r="X169" s="443">
        <f t="shared" si="434"/>
        <v>284.75424197107662</v>
      </c>
      <c r="Z169" s="217">
        <f t="shared" si="328"/>
        <v>6.9253674034873844</v>
      </c>
      <c r="AA169" s="173">
        <f t="shared" si="329"/>
        <v>1.1320009438006162</v>
      </c>
      <c r="AB169" s="173">
        <f t="shared" si="455"/>
        <v>1.2391503206734624</v>
      </c>
      <c r="AC169" s="173"/>
      <c r="AD169" s="173">
        <f t="shared" si="331"/>
        <v>0.54485722698773509</v>
      </c>
      <c r="AE169" s="545">
        <f t="shared" si="456"/>
        <v>1624.2787214051609</v>
      </c>
      <c r="AF169" s="528">
        <f t="shared" si="457"/>
        <v>0.31783338240951214</v>
      </c>
      <c r="AH169" s="173">
        <f t="shared" si="458"/>
        <v>7.4560515802382454</v>
      </c>
      <c r="AI169" s="173">
        <f t="shared" si="459"/>
        <v>8.0274015699410572</v>
      </c>
      <c r="AJ169" s="173">
        <f t="shared" si="460"/>
        <v>4.6770875826723879</v>
      </c>
      <c r="AL169" s="545">
        <f t="shared" si="461"/>
        <v>1474.9999999999998</v>
      </c>
      <c r="AM169" s="460">
        <f t="shared" si="462"/>
        <v>284.75424197107662</v>
      </c>
      <c r="AO169">
        <f t="shared" si="339"/>
        <v>1474.9999999999998</v>
      </c>
      <c r="AP169">
        <f t="shared" si="340"/>
        <v>284.75424197107662</v>
      </c>
      <c r="AR169" s="5">
        <f t="shared" si="442"/>
        <v>3.511800186286858</v>
      </c>
      <c r="AS169" s="5">
        <f t="shared" si="439"/>
        <v>1.999663858492335</v>
      </c>
      <c r="AT169" s="5">
        <f t="shared" si="440"/>
        <v>1.512136327794523</v>
      </c>
      <c r="AU169" s="173">
        <f t="shared" si="441"/>
        <v>0.56941276622194315</v>
      </c>
      <c r="AW169" s="5">
        <f t="shared" si="341"/>
        <v>10.533943540272121</v>
      </c>
      <c r="AX169" s="5">
        <f t="shared" si="342"/>
        <v>0.98316806375873134</v>
      </c>
      <c r="AY169" s="5">
        <f t="shared" si="343"/>
        <v>2.3642702278452612</v>
      </c>
      <c r="AZ169" s="5"/>
      <c r="BA169" s="173">
        <f t="shared" si="344"/>
        <v>3.4972603296173457</v>
      </c>
      <c r="BB169" s="173">
        <f t="shared" si="345"/>
        <v>3.041199682457921</v>
      </c>
      <c r="BC169" s="173">
        <f t="shared" si="346"/>
        <v>0.30661275487075762</v>
      </c>
      <c r="BD169" s="173"/>
      <c r="BE169" s="528">
        <f t="shared" si="347"/>
        <v>0.14676995775738269</v>
      </c>
      <c r="BF169" s="528">
        <f t="shared" si="463"/>
        <v>1.9865938043247338</v>
      </c>
      <c r="BG169" s="528">
        <f t="shared" si="349"/>
        <v>3.2746737826673818E-2</v>
      </c>
      <c r="BH169" s="528">
        <f t="shared" si="350"/>
        <v>0.3180376018661884</v>
      </c>
      <c r="BI169">
        <f t="shared" si="351"/>
        <v>8.4904041488383045E-3</v>
      </c>
      <c r="BJ169" s="460">
        <f t="shared" si="435"/>
        <v>41.237141975512124</v>
      </c>
      <c r="BK169">
        <f t="shared" si="464"/>
        <v>2.5810365582280408</v>
      </c>
      <c r="BL169" s="460">
        <f t="shared" si="436"/>
        <v>2492.6385059238173</v>
      </c>
      <c r="BM169" s="173">
        <f t="shared" si="465"/>
        <v>0.98913499999999976</v>
      </c>
      <c r="BN169" s="173">
        <f t="shared" si="466"/>
        <v>9.8913499999999988E-2</v>
      </c>
      <c r="BO169" s="528"/>
      <c r="BQ169" s="460">
        <f t="shared" si="355"/>
        <v>1088.0484999999996</v>
      </c>
      <c r="BR169" s="528">
        <f t="shared" si="356"/>
        <v>0.17123161738361314</v>
      </c>
      <c r="BS169" s="528">
        <f t="shared" si="357"/>
        <v>0.12948453712015026</v>
      </c>
      <c r="BT169" s="528">
        <f t="shared" si="358"/>
        <v>4.7005690724717653E-4</v>
      </c>
      <c r="BU169" s="528">
        <f t="shared" si="359"/>
        <v>12.490590866822332</v>
      </c>
      <c r="BV169" s="528"/>
      <c r="BW169" s="625">
        <f t="shared" si="467"/>
        <v>1.8349328705180634</v>
      </c>
      <c r="BX169" s="460">
        <f t="shared" si="361"/>
        <v>14626.709948751406</v>
      </c>
      <c r="BY169" s="173">
        <f t="shared" si="362"/>
        <v>18.207396954675222</v>
      </c>
      <c r="BZ169" s="5">
        <f t="shared" si="363"/>
        <v>45.724999999999994</v>
      </c>
      <c r="CA169" s="173">
        <f t="shared" si="364"/>
        <v>0.7152085981136711</v>
      </c>
      <c r="CB169" s="5">
        <f t="shared" si="365"/>
        <v>71.520859811367103</v>
      </c>
      <c r="CC169">
        <f t="shared" si="366"/>
        <v>59</v>
      </c>
      <c r="CE169" s="562">
        <f t="shared" si="468"/>
        <v>-50</v>
      </c>
      <c r="CF169">
        <f t="shared" si="469"/>
        <v>-50</v>
      </c>
      <c r="CG169" s="173">
        <f t="shared" si="369"/>
        <v>0.38447255346461451</v>
      </c>
      <c r="CH169" s="173">
        <f t="shared" si="470"/>
        <v>0.12467877742130108</v>
      </c>
      <c r="CI169" s="170">
        <v>59</v>
      </c>
      <c r="CJ169" s="217">
        <f t="shared" si="437"/>
        <v>1.4749999999999999</v>
      </c>
      <c r="CK169" s="217">
        <f t="shared" si="371"/>
        <v>0.14749999999999999</v>
      </c>
      <c r="CL169" s="217">
        <f t="shared" si="372"/>
        <v>41.3</v>
      </c>
      <c r="CM169" s="217">
        <f t="shared" si="373"/>
        <v>4.4249999999999998</v>
      </c>
      <c r="CN169" s="541">
        <f t="shared" si="374"/>
        <v>19</v>
      </c>
      <c r="CO169" s="443">
        <f t="shared" si="471"/>
        <v>28.7</v>
      </c>
      <c r="CP169" s="443">
        <f t="shared" si="472"/>
        <v>47.7</v>
      </c>
      <c r="CQ169" s="443"/>
      <c r="CR169" s="217">
        <f t="shared" si="377"/>
        <v>0.59915611814345993</v>
      </c>
      <c r="CS169" s="172">
        <f t="shared" si="378"/>
        <v>85.685767433419556</v>
      </c>
      <c r="CT169" s="172">
        <f t="shared" si="379"/>
        <v>10.164255575647982</v>
      </c>
      <c r="CU169" s="217">
        <f t="shared" si="380"/>
        <v>3.0602059797649841</v>
      </c>
      <c r="CV169" s="217">
        <f t="shared" si="381"/>
        <v>2.8561922477806521</v>
      </c>
      <c r="CW169" s="217">
        <f t="shared" si="382"/>
        <v>28</v>
      </c>
      <c r="CX169" s="217">
        <f t="shared" si="383"/>
        <v>8.0332283172720516</v>
      </c>
      <c r="CY169" s="217">
        <f t="shared" si="384"/>
        <v>1.9871670047988756</v>
      </c>
      <c r="CZ169" s="217">
        <f t="shared" si="385"/>
        <v>1.3155461007379319</v>
      </c>
      <c r="DA169" s="197">
        <f t="shared" si="386"/>
        <v>350</v>
      </c>
      <c r="DB169" s="443">
        <f t="shared" si="387"/>
        <v>302.78137035988925</v>
      </c>
      <c r="DD169" s="217">
        <f t="shared" si="388"/>
        <v>6.9494625094785683</v>
      </c>
      <c r="DE169" s="173">
        <f t="shared" si="389"/>
        <v>1.1380652890086853</v>
      </c>
      <c r="DF169" s="173">
        <f t="shared" si="390"/>
        <v>1.2501230996965573</v>
      </c>
      <c r="DG169" s="173"/>
      <c r="DH169" s="173">
        <f t="shared" si="391"/>
        <v>0.54587688734030204</v>
      </c>
      <c r="DI169" s="545">
        <f t="shared" si="392"/>
        <v>1621.2446808510638</v>
      </c>
      <c r="DJ169" s="528">
        <f t="shared" si="393"/>
        <v>0.31842818428184283</v>
      </c>
      <c r="DL169" s="173">
        <f t="shared" si="394"/>
        <v>7.4560515802382454</v>
      </c>
      <c r="DM169" s="173">
        <f t="shared" si="395"/>
        <v>8.0332283172720516</v>
      </c>
      <c r="DN169" s="173">
        <f t="shared" si="396"/>
        <v>4.6814036918064579</v>
      </c>
      <c r="DP169" s="545">
        <f t="shared" si="397"/>
        <v>1474.9999999999998</v>
      </c>
      <c r="DQ169" s="460">
        <f t="shared" si="398"/>
        <v>302.78137035988925</v>
      </c>
      <c r="DS169">
        <f t="shared" si="399"/>
        <v>1474.9999999999998</v>
      </c>
      <c r="DT169">
        <f t="shared" si="400"/>
        <v>302.78137035988925</v>
      </c>
      <c r="DV169" s="5">
        <f t="shared" si="401"/>
        <v>3.3027131055368071</v>
      </c>
      <c r="DW169" s="5">
        <f t="shared" si="402"/>
        <v>1.9871670047988756</v>
      </c>
      <c r="DX169" s="5">
        <f t="shared" si="403"/>
        <v>1.3155461007379314</v>
      </c>
      <c r="DY169" s="173">
        <f t="shared" si="404"/>
        <v>0.60167714884696022</v>
      </c>
      <c r="EA169" s="5">
        <f t="shared" si="405"/>
        <v>10.468111900279791</v>
      </c>
      <c r="EB169" s="5">
        <f t="shared" si="406"/>
        <v>0.97702377735944723</v>
      </c>
      <c r="EC169" s="5">
        <f t="shared" si="407"/>
        <v>2.0425584195667876</v>
      </c>
      <c r="ED169" s="5"/>
      <c r="EE169" s="173">
        <f t="shared" si="408"/>
        <v>3.5975864760409286</v>
      </c>
      <c r="EF169" s="173">
        <f t="shared" si="409"/>
        <v>2.927164261399521</v>
      </c>
      <c r="EG169" s="173">
        <f t="shared" si="410"/>
        <v>0.29511574110831235</v>
      </c>
      <c r="EH169" s="173"/>
      <c r="EI169" s="528">
        <f t="shared" si="411"/>
        <v>0.15531154143111103</v>
      </c>
      <c r="EJ169" s="528">
        <f t="shared" si="412"/>
        <v>2.2044042553191496</v>
      </c>
      <c r="EK169" s="528">
        <f t="shared" si="413"/>
        <v>3.4819857591387268E-2</v>
      </c>
      <c r="EL169" s="528">
        <f t="shared" si="414"/>
        <v>0.33929084640183016</v>
      </c>
      <c r="EM169">
        <f t="shared" si="415"/>
        <v>8.5500000000000003E-3</v>
      </c>
      <c r="EN169" s="460">
        <f t="shared" si="416"/>
        <v>43.369857591387273</v>
      </c>
      <c r="EP169" s="460">
        <f t="shared" si="438"/>
        <v>2742.3765007434786</v>
      </c>
      <c r="EQ169" s="173">
        <f t="shared" si="417"/>
        <v>1.0324999999999998</v>
      </c>
      <c r="ER169" s="173">
        <f t="shared" si="473"/>
        <v>7.0652499999999993E-2</v>
      </c>
      <c r="ES169" s="528"/>
      <c r="EU169" s="460">
        <f t="shared" si="419"/>
        <v>1103.1524999999997</v>
      </c>
      <c r="EV169" s="528">
        <f t="shared" si="420"/>
        <v>0.18119679833629621</v>
      </c>
      <c r="EW169" s="528">
        <f t="shared" si="421"/>
        <v>0.11995606858500446</v>
      </c>
      <c r="EX169" s="528">
        <f t="shared" si="422"/>
        <v>4.3546650324954216E-4</v>
      </c>
      <c r="EY169" s="528">
        <f t="shared" si="423"/>
        <v>14.588752487337171</v>
      </c>
      <c r="EZ169" s="528"/>
      <c r="FA169" s="625">
        <f t="shared" si="424"/>
        <v>1.9539316657337311</v>
      </c>
      <c r="FB169" s="460">
        <f t="shared" si="425"/>
        <v>16844.272486495451</v>
      </c>
      <c r="FC169" s="173">
        <f t="shared" si="426"/>
        <v>20.689801487238931</v>
      </c>
      <c r="FD169" s="5">
        <f t="shared" si="427"/>
        <v>45.724999999999994</v>
      </c>
      <c r="FE169" s="173">
        <f t="shared" si="428"/>
        <v>0.68847604714719646</v>
      </c>
      <c r="FF169" s="5">
        <f t="shared" si="429"/>
        <v>68.847604714719651</v>
      </c>
      <c r="FG169">
        <f t="shared" si="430"/>
        <v>59</v>
      </c>
      <c r="FI169" s="562">
        <f t="shared" si="431"/>
        <v>-50</v>
      </c>
      <c r="FJ169">
        <f t="shared" si="432"/>
        <v>-50</v>
      </c>
    </row>
    <row r="170" spans="5:166">
      <c r="E170" s="170">
        <v>60</v>
      </c>
      <c r="F170" s="217">
        <f t="shared" si="474"/>
        <v>1.5</v>
      </c>
      <c r="G170" s="217">
        <f t="shared" si="443"/>
        <v>0.15</v>
      </c>
      <c r="H170" s="217">
        <f t="shared" si="444"/>
        <v>42</v>
      </c>
      <c r="I170" s="217">
        <f t="shared" si="445"/>
        <v>4.5</v>
      </c>
      <c r="J170" s="541">
        <f t="shared" si="446"/>
        <v>18.865320110369048</v>
      </c>
      <c r="K170" s="443">
        <f t="shared" si="447"/>
        <v>28.75462028384279</v>
      </c>
      <c r="L170" s="172">
        <f t="shared" si="448"/>
        <v>47.619940394211838</v>
      </c>
      <c r="M170" s="443"/>
      <c r="N170" s="217">
        <f t="shared" si="449"/>
        <v>0.60383570508076256</v>
      </c>
      <c r="O170" s="172">
        <f t="shared" si="450"/>
        <v>85.742878594551485</v>
      </c>
      <c r="P170" s="172">
        <f t="shared" si="451"/>
        <v>10.171030241445521</v>
      </c>
      <c r="Q170" s="217">
        <f t="shared" si="321"/>
        <v>3.0622456640911246</v>
      </c>
      <c r="R170" s="217">
        <f t="shared" si="452"/>
        <v>2.8580959531517163</v>
      </c>
      <c r="S170" s="217">
        <f t="shared" si="453"/>
        <v>28</v>
      </c>
      <c r="T170" s="217">
        <f t="shared" si="454"/>
        <v>8.1639433090421267</v>
      </c>
      <c r="U170" s="217">
        <f t="shared" si="325"/>
        <v>2.033919028567567</v>
      </c>
      <c r="V170" s="217">
        <f t="shared" si="326"/>
        <v>1.3344128064893412</v>
      </c>
      <c r="W170" s="197">
        <f t="shared" si="327"/>
        <v>350</v>
      </c>
      <c r="X170" s="443">
        <f t="shared" si="434"/>
        <v>280.24299482899738</v>
      </c>
      <c r="Z170" s="217">
        <f t="shared" si="328"/>
        <v>6.9249567601331208</v>
      </c>
      <c r="AA170" s="173">
        <f t="shared" si="329"/>
        <v>1.1318979854835356</v>
      </c>
      <c r="AB170" s="173">
        <f t="shared" si="455"/>
        <v>1.2389641474561557</v>
      </c>
      <c r="AC170" s="173"/>
      <c r="AD170" s="173">
        <f t="shared" si="331"/>
        <v>0.54483997743728729</v>
      </c>
      <c r="AE170" s="545">
        <f t="shared" si="456"/>
        <v>1651.8611652420325</v>
      </c>
      <c r="AF170" s="528">
        <f t="shared" si="457"/>
        <v>0.31782332017175086</v>
      </c>
      <c r="AH170" s="173">
        <f t="shared" si="458"/>
        <v>7.5189729622665107</v>
      </c>
      <c r="AI170" s="173">
        <f t="shared" si="459"/>
        <v>8.1639433090421267</v>
      </c>
      <c r="AJ170" s="173">
        <f t="shared" si="460"/>
        <v>4.7782296116361422</v>
      </c>
      <c r="AL170" s="545">
        <f t="shared" si="461"/>
        <v>1500</v>
      </c>
      <c r="AM170" s="460">
        <f t="shared" si="462"/>
        <v>280.24299482899738</v>
      </c>
      <c r="AO170">
        <f t="shared" si="339"/>
        <v>1500</v>
      </c>
      <c r="AP170">
        <f t="shared" si="340"/>
        <v>280.24299482899738</v>
      </c>
      <c r="AR170" s="5">
        <f t="shared" si="442"/>
        <v>3.5683318350569087</v>
      </c>
      <c r="AS170" s="5">
        <f t="shared" si="439"/>
        <v>2.033919028567567</v>
      </c>
      <c r="AT170" s="5">
        <f t="shared" si="440"/>
        <v>1.5344128064893416</v>
      </c>
      <c r="AU170" s="173">
        <f t="shared" si="441"/>
        <v>0.56999155980546001</v>
      </c>
      <c r="AW170" s="5">
        <f t="shared" ref="AW170:AW210" si="475">F170*AS170/Vout_ripple*1000</f>
        <v>10.89599479589768</v>
      </c>
      <c r="AX170" s="5">
        <f t="shared" ref="AX170:AX210" si="476">G170*AS170/Vout_ripple2*1000</f>
        <v>1.0169595142837833</v>
      </c>
      <c r="AY170" s="5">
        <f t="shared" ref="AY170:AY210" si="477">H170/Efficiency/J170*AT170/Vinripple1</f>
        <v>2.4400531729848156</v>
      </c>
      <c r="AZ170" s="5"/>
      <c r="BA170" s="173">
        <f t="shared" ref="BA170:BA209" si="478">AI170*SQRT(AU170/3)</f>
        <v>3.5585540398050606</v>
      </c>
      <c r="BB170" s="173">
        <f t="shared" ref="BB170:BB210" si="479">AI170*Npri_sec1*SQRT((1-AU170)/3)*(Pout/Pout_total)</f>
        <v>3.0908493865287237</v>
      </c>
      <c r="BC170" s="173">
        <f t="shared" ref="BC170:BC210" si="480">AI170*Npri_sec2*SQRT((1-AU170)/3)*(Pout2/Pout_total)</f>
        <v>0.31161842175658444</v>
      </c>
      <c r="BD170" s="173"/>
      <c r="BE170" s="528">
        <f t="shared" ref="BE170:BE210" si="481">Rdson*BA170^2</f>
        <v>0.15195968225055501</v>
      </c>
      <c r="BF170" s="528">
        <f t="shared" si="463"/>
        <v>1.9883208286249581</v>
      </c>
      <c r="BG170" s="528">
        <f t="shared" ref="BG170:BG210" si="482">Qg*Vdd*AM170*1000</f>
        <v>3.2227944405334705E-2</v>
      </c>
      <c r="BH170" s="528">
        <f t="shared" ref="BH170:BH210" si="483">0.5*(Coss+Csw)*L170^2*AM170*1000</f>
        <v>0.31298151987389944</v>
      </c>
      <c r="BI170">
        <f t="shared" ref="BI170:BI210" si="484">J170*IQ</f>
        <v>8.4893940496660707E-3</v>
      </c>
      <c r="BJ170" s="460">
        <f t="shared" si="435"/>
        <v>40.717338455000778</v>
      </c>
      <c r="BK170">
        <f t="shared" si="464"/>
        <v>2.5877224704412045</v>
      </c>
      <c r="BL170" s="460">
        <f t="shared" si="436"/>
        <v>2493.9793692044136</v>
      </c>
      <c r="BM170" s="173">
        <f t="shared" si="465"/>
        <v>1.0058999999999998</v>
      </c>
      <c r="BN170" s="173">
        <f t="shared" si="466"/>
        <v>0.10059</v>
      </c>
      <c r="BO170" s="528"/>
      <c r="BQ170" s="460">
        <f t="shared" ref="BQ170:BQ210" si="485">SUM(BM170:BP170)*1000</f>
        <v>1106.4899999999998</v>
      </c>
      <c r="BR170" s="528">
        <f t="shared" ref="BR170:BR210" si="486">Rdcr_pri*BA170^2</f>
        <v>0.17728629595898082</v>
      </c>
      <c r="BS170" s="528">
        <f t="shared" ref="BS170:BS210" si="487">Rdcr_sec*BB170^2</f>
        <v>0.13374689902286982</v>
      </c>
      <c r="BT170" s="528">
        <f t="shared" ref="BT170:BT210" si="488">Rdcr_sec2*BC170^2</f>
        <v>4.8553020389032267E-4</v>
      </c>
      <c r="BU170" s="528">
        <f t="shared" ref="BU170:BU210" si="489">AI170^2.5*AM170^2.5*k_core</f>
        <v>12.518631874132867</v>
      </c>
      <c r="BV170" s="528"/>
      <c r="BW170" s="625">
        <f t="shared" si="467"/>
        <v>1.867818729705971</v>
      </c>
      <c r="BX170" s="460">
        <f t="shared" ref="BX170:BX192" si="490">SUM(BR170:BW170)*1000</f>
        <v>14697.969329024578</v>
      </c>
      <c r="BY170" s="173">
        <f t="shared" ref="BY170:BY192" si="491">SUM(BE170:BI170,BM170:BP170,BR170:BW170)</f>
        <v>18.298438698228992</v>
      </c>
      <c r="BZ170" s="5">
        <f t="shared" ref="BZ170:BZ192" si="492">MIN(H170+I170,O170+P170)</f>
        <v>46.5</v>
      </c>
      <c r="CA170" s="173">
        <f t="shared" ref="CA170:CA192" si="493">BZ170/(BZ170+BY170)</f>
        <v>0.71760988280217453</v>
      </c>
      <c r="CB170" s="5">
        <f t="shared" ref="CB170:CB192" si="494">CA170*100</f>
        <v>71.760988280217447</v>
      </c>
      <c r="CC170">
        <f t="shared" ref="CC170:CC192" si="495">F170/Iout*100</f>
        <v>60</v>
      </c>
      <c r="CE170" s="562">
        <f t="shared" si="468"/>
        <v>-50</v>
      </c>
      <c r="CF170">
        <f t="shared" si="469"/>
        <v>-50</v>
      </c>
      <c r="CG170" s="173">
        <f t="shared" si="369"/>
        <v>0.38447255346461451</v>
      </c>
      <c r="CH170" s="173">
        <f t="shared" si="470"/>
        <v>0.12467877742130105</v>
      </c>
      <c r="CI170" s="170">
        <v>60</v>
      </c>
      <c r="CJ170" s="217">
        <f t="shared" si="437"/>
        <v>1.5</v>
      </c>
      <c r="CK170" s="217">
        <f t="shared" si="371"/>
        <v>0.15</v>
      </c>
      <c r="CL170" s="217">
        <f t="shared" si="372"/>
        <v>42</v>
      </c>
      <c r="CM170" s="217">
        <f t="shared" si="373"/>
        <v>4.5</v>
      </c>
      <c r="CN170" s="541">
        <f t="shared" si="374"/>
        <v>19</v>
      </c>
      <c r="CO170" s="443">
        <f t="shared" si="471"/>
        <v>28.7</v>
      </c>
      <c r="CP170" s="443">
        <f t="shared" si="472"/>
        <v>47.7</v>
      </c>
      <c r="CQ170" s="443"/>
      <c r="CR170" s="217">
        <f t="shared" si="377"/>
        <v>0.59915611814345993</v>
      </c>
      <c r="CS170" s="172">
        <f t="shared" si="378"/>
        <v>85.685767433419556</v>
      </c>
      <c r="CT170" s="172">
        <f t="shared" si="379"/>
        <v>10.164255575647982</v>
      </c>
      <c r="CU170" s="217">
        <f t="shared" si="380"/>
        <v>3.0602059797649841</v>
      </c>
      <c r="CV170" s="217">
        <f t="shared" si="381"/>
        <v>2.8561922477806521</v>
      </c>
      <c r="CW170" s="217">
        <f t="shared" si="382"/>
        <v>28</v>
      </c>
      <c r="CX170" s="217">
        <f t="shared" si="383"/>
        <v>8.1693847294292059</v>
      </c>
      <c r="CY170" s="217">
        <f t="shared" si="384"/>
        <v>2.0208478014903823</v>
      </c>
      <c r="CZ170" s="217">
        <f t="shared" si="385"/>
        <v>1.3378434922758631</v>
      </c>
      <c r="DA170" s="197">
        <f t="shared" si="386"/>
        <v>350</v>
      </c>
      <c r="DB170" s="443">
        <f t="shared" si="387"/>
        <v>297.73501418722435</v>
      </c>
      <c r="DD170" s="217">
        <f t="shared" si="388"/>
        <v>6.9494625094785683</v>
      </c>
      <c r="DE170" s="173">
        <f t="shared" si="389"/>
        <v>1.1380652890086853</v>
      </c>
      <c r="DF170" s="173">
        <f t="shared" si="390"/>
        <v>1.2501230996965573</v>
      </c>
      <c r="DG170" s="173"/>
      <c r="DH170" s="173">
        <f t="shared" si="391"/>
        <v>0.54587688734030204</v>
      </c>
      <c r="DI170" s="545">
        <f t="shared" si="392"/>
        <v>1648.7234042553191</v>
      </c>
      <c r="DJ170" s="528">
        <f t="shared" si="393"/>
        <v>0.31842818428184283</v>
      </c>
      <c r="DL170" s="173">
        <f t="shared" si="394"/>
        <v>7.5189729622665107</v>
      </c>
      <c r="DM170" s="173">
        <f t="shared" si="395"/>
        <v>8.1693847294292059</v>
      </c>
      <c r="DN170" s="173">
        <f t="shared" si="396"/>
        <v>4.7822602934043497</v>
      </c>
      <c r="DP170" s="545">
        <f t="shared" si="397"/>
        <v>1500</v>
      </c>
      <c r="DQ170" s="460">
        <f t="shared" si="398"/>
        <v>297.73501418722435</v>
      </c>
      <c r="DS170">
        <f t="shared" si="399"/>
        <v>1500</v>
      </c>
      <c r="DT170">
        <f t="shared" si="400"/>
        <v>297.73501418722435</v>
      </c>
      <c r="DV170" s="5">
        <f t="shared" si="401"/>
        <v>3.3586912937662454</v>
      </c>
      <c r="DW170" s="5">
        <f t="shared" si="402"/>
        <v>2.0208478014903823</v>
      </c>
      <c r="DX170" s="5">
        <f t="shared" si="403"/>
        <v>1.3378434922758631</v>
      </c>
      <c r="DY170" s="173">
        <f t="shared" si="404"/>
        <v>0.60167714884696011</v>
      </c>
      <c r="EA170" s="5">
        <f t="shared" si="405"/>
        <v>10.825970365127048</v>
      </c>
      <c r="EB170" s="5">
        <f t="shared" si="406"/>
        <v>1.0104239007451912</v>
      </c>
      <c r="EC170" s="5">
        <f t="shared" si="407"/>
        <v>2.1123844614882046</v>
      </c>
      <c r="ED170" s="5"/>
      <c r="EE170" s="173">
        <f t="shared" si="408"/>
        <v>3.6585625180077237</v>
      </c>
      <c r="EF170" s="173">
        <f t="shared" si="409"/>
        <v>2.976777214982564</v>
      </c>
      <c r="EG170" s="173">
        <f t="shared" si="410"/>
        <v>0.30011770282201261</v>
      </c>
      <c r="EH170" s="173"/>
      <c r="EI170" s="528">
        <f t="shared" si="411"/>
        <v>0.16062095637805218</v>
      </c>
      <c r="EJ170" s="528">
        <f t="shared" si="412"/>
        <v>2.2044042553191492</v>
      </c>
      <c r="EK170" s="528">
        <f t="shared" si="413"/>
        <v>3.4239526631530806E-2</v>
      </c>
      <c r="EL170" s="528">
        <f t="shared" si="414"/>
        <v>0.33363599896179957</v>
      </c>
      <c r="EM170">
        <f t="shared" si="415"/>
        <v>8.5500000000000003E-3</v>
      </c>
      <c r="EN170" s="460">
        <f t="shared" si="416"/>
        <v>42.789526631530805</v>
      </c>
      <c r="EP170" s="460">
        <f t="shared" si="438"/>
        <v>2741.4507372905318</v>
      </c>
      <c r="EQ170" s="173">
        <f t="shared" si="417"/>
        <v>1.0499999999999998</v>
      </c>
      <c r="ER170" s="173">
        <f t="shared" si="473"/>
        <v>7.1849999999999997E-2</v>
      </c>
      <c r="ES170" s="528"/>
      <c r="EU170" s="460">
        <f t="shared" ref="EU170:EU210" si="496">SUM(EQ170:ET170)*1000</f>
        <v>1121.8499999999997</v>
      </c>
      <c r="EV170" s="528">
        <f t="shared" si="420"/>
        <v>0.18739111577439421</v>
      </c>
      <c r="EW170" s="528">
        <f t="shared" si="421"/>
        <v>0.12405683622695089</v>
      </c>
      <c r="EX170" s="528">
        <f t="shared" si="422"/>
        <v>4.5035317773580943E-4</v>
      </c>
      <c r="EY170" s="528">
        <f t="shared" si="423"/>
        <v>14.588752487337148</v>
      </c>
      <c r="EZ170" s="528"/>
      <c r="FA170" s="625">
        <f t="shared" si="424"/>
        <v>1.9870491515936242</v>
      </c>
      <c r="FB170" s="460">
        <f t="shared" ref="FB170:FB192" si="497">SUM(EV170:FA170)*1000</f>
        <v>16887.699944109856</v>
      </c>
      <c r="FC170" s="173">
        <f t="shared" si="426"/>
        <v>20.751000681400384</v>
      </c>
      <c r="FD170" s="5">
        <f t="shared" si="427"/>
        <v>46.5</v>
      </c>
      <c r="FE170" s="173">
        <f t="shared" si="428"/>
        <v>0.6914395254918565</v>
      </c>
      <c r="FF170" s="5">
        <f t="shared" si="429"/>
        <v>69.143952549185656</v>
      </c>
      <c r="FG170">
        <f t="shared" si="430"/>
        <v>60</v>
      </c>
      <c r="FI170" s="562">
        <f t="shared" si="431"/>
        <v>-50</v>
      </c>
      <c r="FJ170">
        <f t="shared" si="432"/>
        <v>-50</v>
      </c>
    </row>
    <row r="171" spans="5:166">
      <c r="E171" s="170">
        <v>61</v>
      </c>
      <c r="F171" s="217">
        <f t="shared" si="474"/>
        <v>1.5249999999999999</v>
      </c>
      <c r="G171" s="217">
        <f t="shared" si="443"/>
        <v>0.1525</v>
      </c>
      <c r="H171" s="217">
        <f t="shared" si="444"/>
        <v>42.699999999999996</v>
      </c>
      <c r="I171" s="217">
        <f t="shared" si="445"/>
        <v>4.5750000000000002</v>
      </c>
      <c r="J171" s="541">
        <f t="shared" si="446"/>
        <v>18.863075445541867</v>
      </c>
      <c r="K171" s="443">
        <f t="shared" si="447"/>
        <v>28.755530621906836</v>
      </c>
      <c r="L171" s="172">
        <f t="shared" si="448"/>
        <v>47.618606067448702</v>
      </c>
      <c r="M171" s="443"/>
      <c r="N171" s="217">
        <f t="shared" si="449"/>
        <v>0.60387174251124587</v>
      </c>
      <c r="O171" s="172">
        <f t="shared" si="450"/>
        <v>85.737793192412099</v>
      </c>
      <c r="P171" s="172">
        <f t="shared" si="451"/>
        <v>10.170426998589699</v>
      </c>
      <c r="Q171" s="217">
        <f t="shared" si="321"/>
        <v>3.0620640425861465</v>
      </c>
      <c r="R171" s="217">
        <f t="shared" si="452"/>
        <v>2.8579264397470698</v>
      </c>
      <c r="S171" s="217">
        <f t="shared" si="453"/>
        <v>28</v>
      </c>
      <c r="T171" s="217">
        <f t="shared" si="454"/>
        <v>8.300501332820053</v>
      </c>
      <c r="U171" s="217">
        <f t="shared" si="325"/>
        <v>2.0681864087796189</v>
      </c>
      <c r="V171" s="217">
        <f t="shared" si="326"/>
        <v>1.3566905364122703</v>
      </c>
      <c r="W171" s="197">
        <f t="shared" si="327"/>
        <v>350</v>
      </c>
      <c r="X171" s="443">
        <f t="shared" si="434"/>
        <v>275.87143373968053</v>
      </c>
      <c r="Z171" s="217">
        <f t="shared" si="328"/>
        <v>6.9245460415929863</v>
      </c>
      <c r="AA171" s="173">
        <f t="shared" si="329"/>
        <v>1.1317950213964401</v>
      </c>
      <c r="AB171" s="173">
        <f t="shared" si="455"/>
        <v>1.2387779678385904</v>
      </c>
      <c r="AC171" s="173"/>
      <c r="AD171" s="173">
        <f t="shared" si="331"/>
        <v>0.54482272897900641</v>
      </c>
      <c r="AE171" s="545">
        <f t="shared" si="456"/>
        <v>1679.4453522794522</v>
      </c>
      <c r="AF171" s="528">
        <f t="shared" si="457"/>
        <v>0.31781325857108711</v>
      </c>
      <c r="AH171" s="173">
        <f t="shared" si="458"/>
        <v>7.5813721480624077</v>
      </c>
      <c r="AI171" s="173">
        <f t="shared" si="459"/>
        <v>8.300501332820053</v>
      </c>
      <c r="AJ171" s="173">
        <f t="shared" si="460"/>
        <v>4.8793837033234952</v>
      </c>
      <c r="AL171" s="545">
        <f t="shared" si="461"/>
        <v>1525</v>
      </c>
      <c r="AM171" s="460">
        <f t="shared" si="462"/>
        <v>275.87143373968053</v>
      </c>
      <c r="AO171">
        <f t="shared" si="339"/>
        <v>1525</v>
      </c>
      <c r="AP171">
        <f t="shared" si="340"/>
        <v>275.87143373968053</v>
      </c>
      <c r="AR171" s="5">
        <f t="shared" si="442"/>
        <v>3.6248769451918901</v>
      </c>
      <c r="AS171" s="5">
        <f t="shared" si="439"/>
        <v>2.0681864087796189</v>
      </c>
      <c r="AT171" s="5">
        <f t="shared" si="440"/>
        <v>1.5566905364122712</v>
      </c>
      <c r="AU171" s="173">
        <f t="shared" si="441"/>
        <v>0.57055354983095441</v>
      </c>
      <c r="AW171" s="5">
        <f t="shared" si="475"/>
        <v>11.264229547817566</v>
      </c>
      <c r="AX171" s="5">
        <f t="shared" si="476"/>
        <v>1.0513280911296397</v>
      </c>
      <c r="AY171" s="5">
        <f t="shared" si="477"/>
        <v>2.5170371341432314</v>
      </c>
      <c r="AZ171" s="5"/>
      <c r="BA171" s="173">
        <f t="shared" si="478"/>
        <v>3.6198610658932027</v>
      </c>
      <c r="BB171" s="173">
        <f t="shared" si="479"/>
        <v>3.1404957128368047</v>
      </c>
      <c r="BC171" s="173">
        <f t="shared" si="480"/>
        <v>0.31662374809748117</v>
      </c>
      <c r="BD171" s="173"/>
      <c r="BE171" s="528">
        <f t="shared" si="481"/>
        <v>0.15724072963643368</v>
      </c>
      <c r="BF171" s="528">
        <f t="shared" si="463"/>
        <v>1.9899886647707024</v>
      </c>
      <c r="BG171" s="528">
        <f t="shared" si="482"/>
        <v>3.1725214880063267E-2</v>
      </c>
      <c r="BH171" s="528">
        <f t="shared" si="483"/>
        <v>0.30808199877134373</v>
      </c>
      <c r="BI171">
        <f t="shared" si="484"/>
        <v>8.4883839504938403E-3</v>
      </c>
      <c r="BJ171" s="460">
        <f t="shared" si="435"/>
        <v>40.213598830557103</v>
      </c>
      <c r="BK171">
        <f t="shared" si="464"/>
        <v>2.5947056233033514</v>
      </c>
      <c r="BL171" s="460">
        <f t="shared" si="436"/>
        <v>2495.5249920090373</v>
      </c>
      <c r="BM171" s="173">
        <f t="shared" si="465"/>
        <v>1.0226649999999999</v>
      </c>
      <c r="BN171" s="173">
        <f t="shared" si="466"/>
        <v>0.1022665</v>
      </c>
      <c r="BO171" s="528"/>
      <c r="BQ171" s="460">
        <f t="shared" si="485"/>
        <v>1124.9314999999999</v>
      </c>
      <c r="BR171" s="528">
        <f t="shared" si="486"/>
        <v>0.18344751790917263</v>
      </c>
      <c r="BS171" s="528">
        <f t="shared" si="487"/>
        <v>0.13807798651284889</v>
      </c>
      <c r="BT171" s="528">
        <f t="shared" si="488"/>
        <v>5.0125298929648609E-4</v>
      </c>
      <c r="BU171" s="528">
        <f t="shared" si="489"/>
        <v>12.545779300599229</v>
      </c>
      <c r="BV171" s="528"/>
      <c r="BW171" s="625">
        <f t="shared" si="467"/>
        <v>1.9007078976166518</v>
      </c>
      <c r="BX171" s="460">
        <f t="shared" si="490"/>
        <v>14768.513955627199</v>
      </c>
      <c r="BY171" s="173">
        <f t="shared" si="491"/>
        <v>18.388970447636236</v>
      </c>
      <c r="BZ171" s="5">
        <f t="shared" si="492"/>
        <v>47.274999999999999</v>
      </c>
      <c r="CA171" s="173">
        <f t="shared" si="493"/>
        <v>0.7199534185600226</v>
      </c>
      <c r="CB171" s="5">
        <f t="shared" si="494"/>
        <v>71.995341856002256</v>
      </c>
      <c r="CC171">
        <f t="shared" si="495"/>
        <v>61</v>
      </c>
      <c r="CE171" s="562">
        <f t="shared" si="468"/>
        <v>-50</v>
      </c>
      <c r="CF171">
        <f t="shared" si="469"/>
        <v>-50</v>
      </c>
      <c r="CG171" s="173">
        <f t="shared" si="369"/>
        <v>0.38447255346461451</v>
      </c>
      <c r="CH171" s="173">
        <f t="shared" si="470"/>
        <v>0.12467877742130107</v>
      </c>
      <c r="CI171" s="170">
        <v>61</v>
      </c>
      <c r="CJ171" s="217">
        <f t="shared" si="437"/>
        <v>1.5249999999999999</v>
      </c>
      <c r="CK171" s="217">
        <f t="shared" si="371"/>
        <v>0.1525</v>
      </c>
      <c r="CL171" s="217">
        <f t="shared" si="372"/>
        <v>42.699999999999996</v>
      </c>
      <c r="CM171" s="217">
        <f t="shared" si="373"/>
        <v>4.5750000000000002</v>
      </c>
      <c r="CN171" s="541">
        <f t="shared" si="374"/>
        <v>19</v>
      </c>
      <c r="CO171" s="443">
        <f t="shared" si="471"/>
        <v>28.7</v>
      </c>
      <c r="CP171" s="443">
        <f t="shared" si="472"/>
        <v>47.7</v>
      </c>
      <c r="CQ171" s="443"/>
      <c r="CR171" s="217">
        <f t="shared" si="377"/>
        <v>0.59915611814345993</v>
      </c>
      <c r="CS171" s="172">
        <f t="shared" si="378"/>
        <v>85.685767433419556</v>
      </c>
      <c r="CT171" s="172">
        <f t="shared" si="379"/>
        <v>10.164255575647982</v>
      </c>
      <c r="CU171" s="217">
        <f t="shared" si="380"/>
        <v>3.0602059797649841</v>
      </c>
      <c r="CV171" s="217">
        <f t="shared" si="381"/>
        <v>2.8561922477806521</v>
      </c>
      <c r="CW171" s="217">
        <f t="shared" si="382"/>
        <v>28</v>
      </c>
      <c r="CX171" s="217">
        <f t="shared" si="383"/>
        <v>8.3055411415863603</v>
      </c>
      <c r="CY171" s="217">
        <f t="shared" si="384"/>
        <v>2.0545285981818893</v>
      </c>
      <c r="CZ171" s="217">
        <f t="shared" si="385"/>
        <v>1.3601408838137943</v>
      </c>
      <c r="DA171" s="197">
        <f t="shared" si="386"/>
        <v>350</v>
      </c>
      <c r="DB171" s="443">
        <f t="shared" si="387"/>
        <v>292.85411231530264</v>
      </c>
      <c r="DD171" s="217">
        <f t="shared" si="388"/>
        <v>6.9494625094785683</v>
      </c>
      <c r="DE171" s="173">
        <f t="shared" si="389"/>
        <v>1.1380652890086853</v>
      </c>
      <c r="DF171" s="173">
        <f t="shared" si="390"/>
        <v>1.2501230996965573</v>
      </c>
      <c r="DG171" s="173"/>
      <c r="DH171" s="173">
        <f t="shared" si="391"/>
        <v>0.54587688734030204</v>
      </c>
      <c r="DI171" s="545">
        <f t="shared" si="392"/>
        <v>1676.2021276595744</v>
      </c>
      <c r="DJ171" s="528">
        <f t="shared" si="393"/>
        <v>0.31842818428184283</v>
      </c>
      <c r="DL171" s="173">
        <f t="shared" si="394"/>
        <v>7.5813721480624077</v>
      </c>
      <c r="DM171" s="173">
        <f t="shared" si="395"/>
        <v>8.3055411415863603</v>
      </c>
      <c r="DN171" s="173">
        <f t="shared" si="396"/>
        <v>4.8831168950022414</v>
      </c>
      <c r="DP171" s="545">
        <f t="shared" si="397"/>
        <v>1525</v>
      </c>
      <c r="DQ171" s="460">
        <f t="shared" si="398"/>
        <v>292.85411231530264</v>
      </c>
      <c r="DS171">
        <f t="shared" si="399"/>
        <v>1525</v>
      </c>
      <c r="DT171">
        <f t="shared" si="400"/>
        <v>292.85411231530264</v>
      </c>
      <c r="DV171" s="5">
        <f t="shared" si="401"/>
        <v>3.4146694819956829</v>
      </c>
      <c r="DW171" s="5">
        <f t="shared" si="402"/>
        <v>2.0545285981818893</v>
      </c>
      <c r="DX171" s="5">
        <f t="shared" si="403"/>
        <v>1.3601408838137936</v>
      </c>
      <c r="DY171" s="173">
        <f t="shared" si="404"/>
        <v>0.60167714884696033</v>
      </c>
      <c r="EA171" s="5">
        <f t="shared" si="405"/>
        <v>11.189843257954932</v>
      </c>
      <c r="EB171" s="5">
        <f t="shared" si="406"/>
        <v>1.0443853707424602</v>
      </c>
      <c r="EC171" s="5">
        <f t="shared" si="407"/>
        <v>2.1833840503326685</v>
      </c>
      <c r="ED171" s="5"/>
      <c r="EE171" s="173">
        <f t="shared" si="408"/>
        <v>3.7195385599745201</v>
      </c>
      <c r="EF171" s="173">
        <f t="shared" si="409"/>
        <v>3.0263901685656061</v>
      </c>
      <c r="EG171" s="173">
        <f t="shared" si="410"/>
        <v>0.30511966453571276</v>
      </c>
      <c r="EH171" s="173"/>
      <c r="EI171" s="528">
        <f t="shared" si="411"/>
        <v>0.16601960518964792</v>
      </c>
      <c r="EJ171" s="528">
        <f t="shared" si="412"/>
        <v>2.2044042553191496</v>
      </c>
      <c r="EK171" s="528">
        <f t="shared" si="413"/>
        <v>3.3678222916259805E-2</v>
      </c>
      <c r="EL171" s="528">
        <f t="shared" si="414"/>
        <v>0.32816655635586839</v>
      </c>
      <c r="EM171">
        <f t="shared" si="415"/>
        <v>8.5500000000000003E-3</v>
      </c>
      <c r="EN171" s="460">
        <f t="shared" si="416"/>
        <v>42.22822291625981</v>
      </c>
      <c r="EP171" s="460">
        <f t="shared" si="438"/>
        <v>2740.8186397809259</v>
      </c>
      <c r="EQ171" s="173">
        <f t="shared" si="417"/>
        <v>1.0674999999999999</v>
      </c>
      <c r="ER171" s="173">
        <f t="shared" si="473"/>
        <v>7.3047500000000001E-2</v>
      </c>
      <c r="ES171" s="528"/>
      <c r="EU171" s="460">
        <f t="shared" si="496"/>
        <v>1140.5474999999999</v>
      </c>
      <c r="EV171" s="528">
        <f t="shared" si="420"/>
        <v>0.19368953938792258</v>
      </c>
      <c r="EW171" s="528">
        <f t="shared" si="421"/>
        <v>0.12822652433346779</v>
      </c>
      <c r="EX171" s="528">
        <f t="shared" si="422"/>
        <v>4.6549004843192946E-4</v>
      </c>
      <c r="EY171" s="528">
        <f t="shared" si="423"/>
        <v>14.588752487337159</v>
      </c>
      <c r="EZ171" s="528"/>
      <c r="FA171" s="625">
        <f t="shared" si="424"/>
        <v>2.0201666374535181</v>
      </c>
      <c r="FB171" s="460">
        <f t="shared" si="497"/>
        <v>16931.300678560499</v>
      </c>
      <c r="FC171" s="173">
        <f t="shared" si="426"/>
        <v>20.812666818341423</v>
      </c>
      <c r="FD171" s="5">
        <f t="shared" si="427"/>
        <v>47.274999999999999</v>
      </c>
      <c r="FE171" s="173">
        <f t="shared" si="428"/>
        <v>0.69432545142323898</v>
      </c>
      <c r="FF171" s="5">
        <f t="shared" si="429"/>
        <v>69.432545142323903</v>
      </c>
      <c r="FG171">
        <f t="shared" si="430"/>
        <v>61</v>
      </c>
      <c r="FI171" s="562">
        <f t="shared" si="431"/>
        <v>-50</v>
      </c>
      <c r="FJ171">
        <f t="shared" si="432"/>
        <v>-50</v>
      </c>
    </row>
    <row r="172" spans="5:166">
      <c r="E172" s="170">
        <v>62</v>
      </c>
      <c r="F172" s="217">
        <f t="shared" si="474"/>
        <v>1.55</v>
      </c>
      <c r="G172" s="217">
        <f t="shared" si="443"/>
        <v>0.155</v>
      </c>
      <c r="H172" s="217">
        <f t="shared" si="444"/>
        <v>43.4</v>
      </c>
      <c r="I172" s="217">
        <f t="shared" si="445"/>
        <v>4.6500000000000004</v>
      </c>
      <c r="J172" s="541">
        <f t="shared" si="446"/>
        <v>18.860830780714686</v>
      </c>
      <c r="K172" s="443">
        <f t="shared" si="447"/>
        <v>28.756440959970885</v>
      </c>
      <c r="L172" s="172">
        <f t="shared" si="448"/>
        <v>47.617271740685567</v>
      </c>
      <c r="M172" s="443"/>
      <c r="N172" s="217">
        <f t="shared" si="449"/>
        <v>0.60390778196140449</v>
      </c>
      <c r="O172" s="172">
        <f t="shared" si="450"/>
        <v>85.732706859264027</v>
      </c>
      <c r="P172" s="172">
        <f t="shared" si="451"/>
        <v>10.169823645295351</v>
      </c>
      <c r="Q172" s="217">
        <f t="shared" si="321"/>
        <v>3.0618823878308583</v>
      </c>
      <c r="R172" s="217">
        <f t="shared" si="452"/>
        <v>2.8577568953088011</v>
      </c>
      <c r="S172" s="217">
        <f t="shared" si="453"/>
        <v>28</v>
      </c>
      <c r="T172" s="217">
        <f t="shared" si="454"/>
        <v>8.4370756486288645</v>
      </c>
      <c r="U172" s="217">
        <f t="shared" si="325"/>
        <v>2.1024660053205277</v>
      </c>
      <c r="V172" s="217">
        <f t="shared" si="326"/>
        <v>1.3789695186464344</v>
      </c>
      <c r="W172" s="197">
        <f t="shared" si="327"/>
        <v>350</v>
      </c>
      <c r="X172" s="443">
        <f t="shared" si="434"/>
        <v>271.63316958555379</v>
      </c>
      <c r="Z172" s="217">
        <f t="shared" si="328"/>
        <v>6.9241352478606615</v>
      </c>
      <c r="AA172" s="173">
        <f t="shared" si="329"/>
        <v>1.1316920515388444</v>
      </c>
      <c r="AB172" s="173">
        <f t="shared" si="455"/>
        <v>1.2385917818239001</v>
      </c>
      <c r="AC172" s="173"/>
      <c r="AD172" s="173">
        <f t="shared" si="331"/>
        <v>0.54480548161278886</v>
      </c>
      <c r="AE172" s="545">
        <f t="shared" si="456"/>
        <v>1707.0312825174205</v>
      </c>
      <c r="AF172" s="528">
        <f t="shared" si="457"/>
        <v>0.31780319760746017</v>
      </c>
      <c r="AH172" s="173">
        <f t="shared" si="458"/>
        <v>7.643261927183838</v>
      </c>
      <c r="AI172" s="173">
        <f t="shared" si="459"/>
        <v>8.4370756486288645</v>
      </c>
      <c r="AJ172" s="173">
        <f t="shared" si="460"/>
        <v>4.9805498631818743</v>
      </c>
      <c r="AL172" s="545">
        <f t="shared" si="461"/>
        <v>1550</v>
      </c>
      <c r="AM172" s="460">
        <f t="shared" si="462"/>
        <v>271.63316958555379</v>
      </c>
      <c r="AO172">
        <f t="shared" si="339"/>
        <v>1550</v>
      </c>
      <c r="AP172">
        <f t="shared" si="340"/>
        <v>271.63316958555379</v>
      </c>
      <c r="AR172" s="5">
        <f t="shared" si="442"/>
        <v>3.6814355239669627</v>
      </c>
      <c r="AS172" s="5">
        <f t="shared" si="439"/>
        <v>2.1024660053205277</v>
      </c>
      <c r="AT172" s="5">
        <f t="shared" si="440"/>
        <v>1.578969518646435</v>
      </c>
      <c r="AU172" s="173">
        <f t="shared" si="441"/>
        <v>0.57109950497109274</v>
      </c>
      <c r="AW172" s="5">
        <f t="shared" si="475"/>
        <v>11.638651100881495</v>
      </c>
      <c r="AX172" s="5">
        <f t="shared" si="476"/>
        <v>1.0862741027489395</v>
      </c>
      <c r="AY172" s="5">
        <f t="shared" si="477"/>
        <v>2.5952226414166844</v>
      </c>
      <c r="AZ172" s="5"/>
      <c r="BA172" s="173">
        <f t="shared" si="478"/>
        <v>3.6811813034759466</v>
      </c>
      <c r="BB172" s="173">
        <f t="shared" si="479"/>
        <v>3.190138875425518</v>
      </c>
      <c r="BC172" s="173">
        <f t="shared" si="480"/>
        <v>0.3216287554732285</v>
      </c>
      <c r="BD172" s="173"/>
      <c r="BE172" s="528">
        <f t="shared" si="481"/>
        <v>0.16261314946873046</v>
      </c>
      <c r="BF172" s="528">
        <f t="shared" si="463"/>
        <v>1.991600019249675</v>
      </c>
      <c r="BG172" s="528">
        <f t="shared" si="482"/>
        <v>3.1237814502338691E-2</v>
      </c>
      <c r="BH172" s="528">
        <f t="shared" si="483"/>
        <v>0.30333187760127944</v>
      </c>
      <c r="BI172">
        <f t="shared" si="484"/>
        <v>8.4873738513216081E-3</v>
      </c>
      <c r="BJ172" s="460">
        <f t="shared" si="435"/>
        <v>39.7251883536603</v>
      </c>
      <c r="BK172">
        <f t="shared" si="464"/>
        <v>2.6019831173683876</v>
      </c>
      <c r="BL172" s="460">
        <f t="shared" si="436"/>
        <v>2497.2702346733454</v>
      </c>
      <c r="BM172" s="173">
        <f t="shared" si="465"/>
        <v>1.0394299999999999</v>
      </c>
      <c r="BN172" s="173">
        <f t="shared" si="466"/>
        <v>0.10394299999999999</v>
      </c>
      <c r="BO172" s="528"/>
      <c r="BQ172" s="460">
        <f t="shared" si="485"/>
        <v>1143.3729999999998</v>
      </c>
      <c r="BR172" s="528">
        <f t="shared" si="486"/>
        <v>0.1897153410468522</v>
      </c>
      <c r="BS172" s="528">
        <f t="shared" si="487"/>
        <v>0.14247780462301662</v>
      </c>
      <c r="BT172" s="528">
        <f t="shared" si="488"/>
        <v>5.1722528173628909E-4</v>
      </c>
      <c r="BU172" s="528">
        <f t="shared" si="489"/>
        <v>12.572072166251989</v>
      </c>
      <c r="BV172" s="528"/>
      <c r="BW172" s="625">
        <f t="shared" si="467"/>
        <v>1.9336002229907585</v>
      </c>
      <c r="BX172" s="460">
        <f t="shared" si="490"/>
        <v>14838.382760194352</v>
      </c>
      <c r="BY172" s="173">
        <f t="shared" si="491"/>
        <v>18.479025994867698</v>
      </c>
      <c r="BZ172" s="5">
        <f t="shared" si="492"/>
        <v>48.05</v>
      </c>
      <c r="CA172" s="173">
        <f t="shared" si="493"/>
        <v>0.72224114634876446</v>
      </c>
      <c r="CB172" s="5">
        <f t="shared" si="494"/>
        <v>72.224114634876443</v>
      </c>
      <c r="CC172">
        <f t="shared" si="495"/>
        <v>62</v>
      </c>
      <c r="CE172" s="562">
        <f t="shared" si="468"/>
        <v>-50</v>
      </c>
      <c r="CF172">
        <f t="shared" si="469"/>
        <v>-50</v>
      </c>
      <c r="CG172" s="173">
        <f t="shared" si="369"/>
        <v>0.38447255346461445</v>
      </c>
      <c r="CH172" s="173">
        <f t="shared" si="470"/>
        <v>0.12467877742130105</v>
      </c>
      <c r="CI172" s="170">
        <v>62</v>
      </c>
      <c r="CJ172" s="217">
        <f t="shared" si="437"/>
        <v>1.55</v>
      </c>
      <c r="CK172" s="217">
        <f t="shared" si="371"/>
        <v>0.155</v>
      </c>
      <c r="CL172" s="217">
        <f t="shared" si="372"/>
        <v>43.4</v>
      </c>
      <c r="CM172" s="217">
        <f t="shared" si="373"/>
        <v>4.6500000000000004</v>
      </c>
      <c r="CN172" s="541">
        <f t="shared" si="374"/>
        <v>19</v>
      </c>
      <c r="CO172" s="443">
        <f t="shared" si="471"/>
        <v>28.7</v>
      </c>
      <c r="CP172" s="443">
        <f t="shared" si="472"/>
        <v>47.7</v>
      </c>
      <c r="CQ172" s="443"/>
      <c r="CR172" s="217">
        <f t="shared" si="377"/>
        <v>0.59915611814345993</v>
      </c>
      <c r="CS172" s="172">
        <f t="shared" si="378"/>
        <v>85.685767433419556</v>
      </c>
      <c r="CT172" s="172">
        <f t="shared" si="379"/>
        <v>10.164255575647982</v>
      </c>
      <c r="CU172" s="217">
        <f t="shared" si="380"/>
        <v>3.0602059797649841</v>
      </c>
      <c r="CV172" s="217">
        <f t="shared" si="381"/>
        <v>2.8561922477806521</v>
      </c>
      <c r="CW172" s="217">
        <f t="shared" si="382"/>
        <v>28</v>
      </c>
      <c r="CX172" s="217">
        <f t="shared" si="383"/>
        <v>8.4416975537435128</v>
      </c>
      <c r="CY172" s="217">
        <f t="shared" si="384"/>
        <v>2.0882093948733953</v>
      </c>
      <c r="CZ172" s="217">
        <f t="shared" si="385"/>
        <v>1.3824382753517253</v>
      </c>
      <c r="DA172" s="197">
        <f t="shared" si="386"/>
        <v>350</v>
      </c>
      <c r="DB172" s="443">
        <f t="shared" si="387"/>
        <v>288.13065889086226</v>
      </c>
      <c r="DD172" s="217">
        <f t="shared" si="388"/>
        <v>6.9494625094785683</v>
      </c>
      <c r="DE172" s="173">
        <f t="shared" si="389"/>
        <v>1.1380652890086853</v>
      </c>
      <c r="DF172" s="173">
        <f t="shared" si="390"/>
        <v>1.2501230996965573</v>
      </c>
      <c r="DG172" s="173"/>
      <c r="DH172" s="173">
        <f t="shared" si="391"/>
        <v>0.54587688734030204</v>
      </c>
      <c r="DI172" s="545">
        <f t="shared" si="392"/>
        <v>1703.6808510638298</v>
      </c>
      <c r="DJ172" s="528">
        <f t="shared" si="393"/>
        <v>0.31842818428184283</v>
      </c>
      <c r="DL172" s="173">
        <f t="shared" si="394"/>
        <v>7.643261927183838</v>
      </c>
      <c r="DM172" s="173">
        <f t="shared" si="395"/>
        <v>8.4416975537435128</v>
      </c>
      <c r="DN172" s="173">
        <f t="shared" si="396"/>
        <v>4.9839734966001323</v>
      </c>
      <c r="DP172" s="545">
        <f t="shared" si="397"/>
        <v>1550</v>
      </c>
      <c r="DQ172" s="460">
        <f t="shared" si="398"/>
        <v>288.13065889086226</v>
      </c>
      <c r="DS172">
        <f t="shared" si="399"/>
        <v>1550</v>
      </c>
      <c r="DT172">
        <f t="shared" si="400"/>
        <v>288.13065889086226</v>
      </c>
      <c r="DV172" s="5">
        <f t="shared" si="401"/>
        <v>3.4706476702251203</v>
      </c>
      <c r="DW172" s="5">
        <f t="shared" si="402"/>
        <v>2.0882093948733953</v>
      </c>
      <c r="DX172" s="5">
        <f t="shared" si="403"/>
        <v>1.382438275351725</v>
      </c>
      <c r="DY172" s="173">
        <f t="shared" si="404"/>
        <v>0.60167714884696022</v>
      </c>
      <c r="EA172" s="5">
        <f t="shared" si="405"/>
        <v>11.559730578763439</v>
      </c>
      <c r="EB172" s="5">
        <f t="shared" si="406"/>
        <v>1.0789081873512543</v>
      </c>
      <c r="EC172" s="5">
        <f t="shared" si="407"/>
        <v>2.2555571861001829</v>
      </c>
      <c r="ED172" s="5"/>
      <c r="EE172" s="173">
        <f t="shared" si="408"/>
        <v>3.7805146019413152</v>
      </c>
      <c r="EF172" s="173">
        <f t="shared" si="409"/>
        <v>3.0760031221486495</v>
      </c>
      <c r="EG172" s="173">
        <f t="shared" si="410"/>
        <v>0.31012162624941303</v>
      </c>
      <c r="EH172" s="173"/>
      <c r="EI172" s="528">
        <f t="shared" si="411"/>
        <v>0.17150748786589801</v>
      </c>
      <c r="EJ172" s="528">
        <f t="shared" si="412"/>
        <v>2.2044042553191492</v>
      </c>
      <c r="EK172" s="528">
        <f t="shared" si="413"/>
        <v>3.3135025772449166E-2</v>
      </c>
      <c r="EL172" s="528">
        <f t="shared" si="414"/>
        <v>0.32287354738238666</v>
      </c>
      <c r="EM172">
        <f t="shared" si="415"/>
        <v>8.5500000000000003E-3</v>
      </c>
      <c r="EN172" s="460">
        <f t="shared" si="416"/>
        <v>41.685025772449166</v>
      </c>
      <c r="EP172" s="460">
        <f t="shared" si="438"/>
        <v>2740.4703163398831</v>
      </c>
      <c r="EQ172" s="173">
        <f t="shared" si="417"/>
        <v>1.085</v>
      </c>
      <c r="ER172" s="173">
        <f t="shared" si="473"/>
        <v>7.4244999999999992E-2</v>
      </c>
      <c r="ES172" s="528"/>
      <c r="EU172" s="460">
        <f t="shared" si="496"/>
        <v>1159.2449999999999</v>
      </c>
      <c r="EV172" s="528">
        <f t="shared" si="420"/>
        <v>0.20009206917688102</v>
      </c>
      <c r="EW172" s="528">
        <f t="shared" si="421"/>
        <v>0.13246513290455533</v>
      </c>
      <c r="EX172" s="528">
        <f t="shared" si="422"/>
        <v>4.8087711533790313E-4</v>
      </c>
      <c r="EY172" s="528">
        <f t="shared" si="423"/>
        <v>14.588752487337135</v>
      </c>
      <c r="EZ172" s="528"/>
      <c r="FA172" s="625">
        <f t="shared" si="424"/>
        <v>2.053284123313412</v>
      </c>
      <c r="FB172" s="460">
        <f t="shared" si="497"/>
        <v>16975.074689847323</v>
      </c>
      <c r="FC172" s="173">
        <f t="shared" si="426"/>
        <v>20.874790006187204</v>
      </c>
      <c r="FD172" s="5">
        <f t="shared" si="427"/>
        <v>48.05</v>
      </c>
      <c r="FE172" s="173">
        <f t="shared" si="428"/>
        <v>0.69713669052436233</v>
      </c>
      <c r="FF172" s="5">
        <f t="shared" si="429"/>
        <v>69.713669052436231</v>
      </c>
      <c r="FG172">
        <f t="shared" si="430"/>
        <v>62</v>
      </c>
      <c r="FI172" s="562">
        <f t="shared" si="431"/>
        <v>-50</v>
      </c>
      <c r="FJ172">
        <f t="shared" si="432"/>
        <v>-50</v>
      </c>
    </row>
    <row r="173" spans="5:166">
      <c r="E173" s="170">
        <v>63</v>
      </c>
      <c r="F173" s="217">
        <f t="shared" si="474"/>
        <v>1.575</v>
      </c>
      <c r="G173" s="217">
        <f t="shared" si="443"/>
        <v>0.1575</v>
      </c>
      <c r="H173" s="217">
        <f t="shared" si="444"/>
        <v>44.1</v>
      </c>
      <c r="I173" s="217">
        <f t="shared" si="445"/>
        <v>4.7249999999999996</v>
      </c>
      <c r="J173" s="541">
        <f t="shared" si="446"/>
        <v>18.858586115887501</v>
      </c>
      <c r="K173" s="443">
        <f t="shared" si="447"/>
        <v>28.75735129803493</v>
      </c>
      <c r="L173" s="172">
        <f t="shared" si="448"/>
        <v>47.615937413922431</v>
      </c>
      <c r="M173" s="443"/>
      <c r="N173" s="217">
        <f t="shared" si="449"/>
        <v>0.60394382343140773</v>
      </c>
      <c r="O173" s="172">
        <f t="shared" si="450"/>
        <v>85.727619595028941</v>
      </c>
      <c r="P173" s="172">
        <f t="shared" si="451"/>
        <v>10.169220181553177</v>
      </c>
      <c r="Q173" s="217">
        <f t="shared" si="321"/>
        <v>3.0617006998224623</v>
      </c>
      <c r="R173" s="217">
        <f t="shared" si="452"/>
        <v>2.8575873198342978</v>
      </c>
      <c r="S173" s="217">
        <f t="shared" si="453"/>
        <v>28</v>
      </c>
      <c r="T173" s="217">
        <f t="shared" si="454"/>
        <v>8.5736662638259045</v>
      </c>
      <c r="U173" s="217">
        <f t="shared" si="325"/>
        <v>2.1367578243861032</v>
      </c>
      <c r="V173" s="217">
        <f t="shared" si="326"/>
        <v>1.4012497542753635</v>
      </c>
      <c r="W173" s="197">
        <f t="shared" si="327"/>
        <v>350</v>
      </c>
      <c r="X173" s="443">
        <f t="shared" si="434"/>
        <v>267.52219704115402</v>
      </c>
      <c r="Z173" s="217">
        <f t="shared" si="328"/>
        <v>6.9237243789298235</v>
      </c>
      <c r="AA173" s="173">
        <f t="shared" si="329"/>
        <v>1.131589075910264</v>
      </c>
      <c r="AB173" s="173">
        <f t="shared" si="455"/>
        <v>1.2384055894152186</v>
      </c>
      <c r="AC173" s="173"/>
      <c r="AD173" s="173">
        <f t="shared" si="331"/>
        <v>0.54478823533853116</v>
      </c>
      <c r="AE173" s="545">
        <f t="shared" si="456"/>
        <v>1734.6189559559364</v>
      </c>
      <c r="AF173" s="528">
        <f t="shared" si="457"/>
        <v>0.31779313728080988</v>
      </c>
      <c r="AH173" s="173">
        <f t="shared" si="458"/>
        <v>7.7046545754926337</v>
      </c>
      <c r="AI173" s="173">
        <f t="shared" si="459"/>
        <v>8.5736662638259045</v>
      </c>
      <c r="AJ173" s="173">
        <f t="shared" si="460"/>
        <v>5.0817280966611635</v>
      </c>
      <c r="AL173" s="545">
        <f t="shared" si="461"/>
        <v>1575</v>
      </c>
      <c r="AM173" s="460">
        <f t="shared" si="462"/>
        <v>267.52219704115402</v>
      </c>
      <c r="AO173">
        <f t="shared" si="339"/>
        <v>1575</v>
      </c>
      <c r="AP173">
        <f t="shared" si="340"/>
        <v>267.52219704115402</v>
      </c>
      <c r="AR173" s="5">
        <f t="shared" si="442"/>
        <v>3.7380075786614673</v>
      </c>
      <c r="AS173" s="5">
        <f t="shared" si="439"/>
        <v>2.1367578243861032</v>
      </c>
      <c r="AT173" s="5">
        <f t="shared" si="440"/>
        <v>1.6012497542753641</v>
      </c>
      <c r="AU173" s="173">
        <f t="shared" si="441"/>
        <v>0.5716301477246466</v>
      </c>
      <c r="AW173" s="5">
        <f t="shared" si="475"/>
        <v>12.019262762171831</v>
      </c>
      <c r="AX173" s="5">
        <f t="shared" si="476"/>
        <v>1.1217978578027041</v>
      </c>
      <c r="AY173" s="5">
        <f t="shared" si="477"/>
        <v>2.6746102252692792</v>
      </c>
      <c r="AZ173" s="5"/>
      <c r="BA173" s="173">
        <f t="shared" si="478"/>
        <v>3.7425146547299089</v>
      </c>
      <c r="BB173" s="173">
        <f t="shared" si="479"/>
        <v>3.2397790758456591</v>
      </c>
      <c r="BC173" s="173">
        <f t="shared" si="480"/>
        <v>0.32663346420411149</v>
      </c>
      <c r="BD173" s="173"/>
      <c r="BE173" s="528">
        <f t="shared" si="481"/>
        <v>0.16807699129041756</v>
      </c>
      <c r="BF173" s="528">
        <f t="shared" si="463"/>
        <v>1.993157435971791</v>
      </c>
      <c r="BG173" s="528">
        <f t="shared" si="482"/>
        <v>3.0765052659732714E-2</v>
      </c>
      <c r="BH173" s="528">
        <f t="shared" si="483"/>
        <v>0.29872442556271972</v>
      </c>
      <c r="BI173">
        <f t="shared" si="484"/>
        <v>8.486363752149376E-3</v>
      </c>
      <c r="BJ173" s="460">
        <f t="shared" si="435"/>
        <v>39.25141641188209</v>
      </c>
      <c r="BK173">
        <f t="shared" si="464"/>
        <v>2.6095523568743011</v>
      </c>
      <c r="BL173" s="460">
        <f t="shared" si="436"/>
        <v>2499.2102692368103</v>
      </c>
      <c r="BM173" s="173">
        <f t="shared" si="465"/>
        <v>1.0561949999999998</v>
      </c>
      <c r="BN173" s="173">
        <f t="shared" si="466"/>
        <v>0.10561949999999998</v>
      </c>
      <c r="BO173" s="528"/>
      <c r="BQ173" s="460">
        <f t="shared" si="485"/>
        <v>1161.8144999999997</v>
      </c>
      <c r="BR173" s="528">
        <f t="shared" si="486"/>
        <v>0.19608982317215382</v>
      </c>
      <c r="BS173" s="528">
        <f t="shared" si="487"/>
        <v>0.14694635844402293</v>
      </c>
      <c r="BT173" s="528">
        <f t="shared" si="488"/>
        <v>5.3344709968989289E-4</v>
      </c>
      <c r="BU173" s="528">
        <f t="shared" si="489"/>
        <v>12.597547255159693</v>
      </c>
      <c r="BV173" s="528"/>
      <c r="BW173" s="625">
        <f t="shared" si="467"/>
        <v>1.9664955636550276</v>
      </c>
      <c r="BX173" s="460">
        <f t="shared" si="490"/>
        <v>14907.61244753059</v>
      </c>
      <c r="BY173" s="173">
        <f t="shared" si="491"/>
        <v>18.568637216767396</v>
      </c>
      <c r="BZ173" s="5">
        <f t="shared" si="492"/>
        <v>48.825000000000003</v>
      </c>
      <c r="CA173" s="173">
        <f t="shared" si="493"/>
        <v>0.72447492102195721</v>
      </c>
      <c r="CB173" s="5">
        <f t="shared" si="494"/>
        <v>72.447492102195724</v>
      </c>
      <c r="CC173">
        <f t="shared" si="495"/>
        <v>63</v>
      </c>
      <c r="CE173" s="562">
        <f t="shared" si="468"/>
        <v>-50</v>
      </c>
      <c r="CF173">
        <f t="shared" si="469"/>
        <v>-50</v>
      </c>
      <c r="CG173" s="173">
        <f t="shared" si="369"/>
        <v>0.38447255346461451</v>
      </c>
      <c r="CH173" s="173">
        <f t="shared" si="470"/>
        <v>0.12467877742130105</v>
      </c>
      <c r="CI173" s="170">
        <v>63</v>
      </c>
      <c r="CJ173" s="217">
        <f t="shared" si="437"/>
        <v>1.575</v>
      </c>
      <c r="CK173" s="217">
        <f t="shared" si="371"/>
        <v>0.1575</v>
      </c>
      <c r="CL173" s="217">
        <f t="shared" si="372"/>
        <v>44.1</v>
      </c>
      <c r="CM173" s="217">
        <f t="shared" si="373"/>
        <v>4.7249999999999996</v>
      </c>
      <c r="CN173" s="541">
        <f t="shared" si="374"/>
        <v>19</v>
      </c>
      <c r="CO173" s="443">
        <f t="shared" si="471"/>
        <v>28.7</v>
      </c>
      <c r="CP173" s="443">
        <f t="shared" si="472"/>
        <v>47.7</v>
      </c>
      <c r="CQ173" s="443"/>
      <c r="CR173" s="217">
        <f t="shared" si="377"/>
        <v>0.59915611814345993</v>
      </c>
      <c r="CS173" s="172">
        <f t="shared" si="378"/>
        <v>85.685767433419556</v>
      </c>
      <c r="CT173" s="172">
        <f t="shared" si="379"/>
        <v>10.164255575647982</v>
      </c>
      <c r="CU173" s="217">
        <f t="shared" si="380"/>
        <v>3.0602059797649841</v>
      </c>
      <c r="CV173" s="217">
        <f t="shared" si="381"/>
        <v>2.8561922477806521</v>
      </c>
      <c r="CW173" s="217">
        <f t="shared" si="382"/>
        <v>28</v>
      </c>
      <c r="CX173" s="217">
        <f t="shared" si="383"/>
        <v>8.5778539659006672</v>
      </c>
      <c r="CY173" s="217">
        <f t="shared" si="384"/>
        <v>2.1218901915649018</v>
      </c>
      <c r="CZ173" s="217">
        <f t="shared" si="385"/>
        <v>1.4047356668896562</v>
      </c>
      <c r="DA173" s="197">
        <f t="shared" si="386"/>
        <v>350</v>
      </c>
      <c r="DB173" s="443">
        <f t="shared" si="387"/>
        <v>283.55715636878506</v>
      </c>
      <c r="DD173" s="217">
        <f t="shared" si="388"/>
        <v>6.9494625094785683</v>
      </c>
      <c r="DE173" s="173">
        <f t="shared" si="389"/>
        <v>1.1380652890086853</v>
      </c>
      <c r="DF173" s="173">
        <f t="shared" si="390"/>
        <v>1.2501230996965573</v>
      </c>
      <c r="DG173" s="173"/>
      <c r="DH173" s="173">
        <f t="shared" si="391"/>
        <v>0.54587688734030204</v>
      </c>
      <c r="DI173" s="545">
        <f t="shared" si="392"/>
        <v>1731.1595744680851</v>
      </c>
      <c r="DJ173" s="528">
        <f t="shared" si="393"/>
        <v>0.31842818428184283</v>
      </c>
      <c r="DL173" s="173">
        <f t="shared" si="394"/>
        <v>7.7046545754926337</v>
      </c>
      <c r="DM173" s="173">
        <f t="shared" si="395"/>
        <v>8.5778539659006672</v>
      </c>
      <c r="DN173" s="173">
        <f t="shared" si="396"/>
        <v>5.084830098198025</v>
      </c>
      <c r="DP173" s="545">
        <f t="shared" si="397"/>
        <v>1575</v>
      </c>
      <c r="DQ173" s="460">
        <f t="shared" si="398"/>
        <v>283.55715636878506</v>
      </c>
      <c r="DS173">
        <f t="shared" si="399"/>
        <v>1575</v>
      </c>
      <c r="DT173">
        <f t="shared" si="400"/>
        <v>283.55715636878506</v>
      </c>
      <c r="DV173" s="5">
        <f t="shared" si="401"/>
        <v>3.5266258584545582</v>
      </c>
      <c r="DW173" s="5">
        <f t="shared" si="402"/>
        <v>2.1218901915649018</v>
      </c>
      <c r="DX173" s="5">
        <f t="shared" si="403"/>
        <v>1.4047356668896565</v>
      </c>
      <c r="DY173" s="173">
        <f t="shared" si="404"/>
        <v>0.60167714884696011</v>
      </c>
      <c r="EA173" s="5">
        <f t="shared" si="405"/>
        <v>11.935632327552572</v>
      </c>
      <c r="EB173" s="5">
        <f t="shared" si="406"/>
        <v>1.1139923505715734</v>
      </c>
      <c r="EC173" s="5">
        <f t="shared" si="407"/>
        <v>2.328903868790746</v>
      </c>
      <c r="ED173" s="5"/>
      <c r="EE173" s="173">
        <f t="shared" si="408"/>
        <v>3.8414906439081102</v>
      </c>
      <c r="EF173" s="173">
        <f t="shared" si="409"/>
        <v>3.1256160757316924</v>
      </c>
      <c r="EG173" s="173">
        <f t="shared" si="410"/>
        <v>0.31512358796311324</v>
      </c>
      <c r="EH173" s="173"/>
      <c r="EI173" s="528">
        <f t="shared" si="411"/>
        <v>0.17708460440680257</v>
      </c>
      <c r="EJ173" s="528">
        <f t="shared" si="412"/>
        <v>2.2044042553191492</v>
      </c>
      <c r="EK173" s="528">
        <f t="shared" si="413"/>
        <v>3.2609072982410281E-2</v>
      </c>
      <c r="EL173" s="528">
        <f t="shared" si="414"/>
        <v>0.31774857043980903</v>
      </c>
      <c r="EM173">
        <f t="shared" si="415"/>
        <v>8.5500000000000003E-3</v>
      </c>
      <c r="EN173" s="460">
        <f t="shared" si="416"/>
        <v>41.159072982410279</v>
      </c>
      <c r="EP173" s="460">
        <f t="shared" si="438"/>
        <v>2740.3965031481712</v>
      </c>
      <c r="EQ173" s="173">
        <f t="shared" si="417"/>
        <v>1.1024999999999998</v>
      </c>
      <c r="ER173" s="173">
        <f t="shared" si="473"/>
        <v>7.5442499999999996E-2</v>
      </c>
      <c r="ES173" s="528"/>
      <c r="EU173" s="460">
        <f t="shared" si="496"/>
        <v>1177.9424999999999</v>
      </c>
      <c r="EV173" s="528">
        <f t="shared" si="420"/>
        <v>0.20659870514126968</v>
      </c>
      <c r="EW173" s="528">
        <f t="shared" si="421"/>
        <v>0.13677266194021337</v>
      </c>
      <c r="EX173" s="528">
        <f t="shared" si="422"/>
        <v>4.9651437845372993E-4</v>
      </c>
      <c r="EY173" s="528">
        <f t="shared" si="423"/>
        <v>14.588752487337148</v>
      </c>
      <c r="EZ173" s="528"/>
      <c r="FA173" s="625">
        <f t="shared" si="424"/>
        <v>2.086401609173306</v>
      </c>
      <c r="FB173" s="460">
        <f t="shared" si="497"/>
        <v>17019.021977970391</v>
      </c>
      <c r="FC173" s="173">
        <f t="shared" si="426"/>
        <v>20.937360981118559</v>
      </c>
      <c r="FD173" s="5">
        <f t="shared" si="427"/>
        <v>48.825000000000003</v>
      </c>
      <c r="FE173" s="173">
        <f t="shared" si="428"/>
        <v>0.69987596912344563</v>
      </c>
      <c r="FF173" s="5">
        <f t="shared" si="429"/>
        <v>69.987596912344557</v>
      </c>
      <c r="FG173">
        <f t="shared" si="430"/>
        <v>63</v>
      </c>
      <c r="FI173" s="562">
        <f t="shared" si="431"/>
        <v>-50</v>
      </c>
      <c r="FJ173">
        <f t="shared" si="432"/>
        <v>-50</v>
      </c>
    </row>
    <row r="174" spans="5:166">
      <c r="E174" s="170">
        <v>64</v>
      </c>
      <c r="F174" s="217">
        <f t="shared" si="474"/>
        <v>1.6</v>
      </c>
      <c r="G174" s="217">
        <f t="shared" ref="G174:G210" si="498">IF(PLOT_TYPE=1, E174/100*Iout2, min_I*EXP(Q174*rr/100))</f>
        <v>0.16</v>
      </c>
      <c r="H174" s="217">
        <f t="shared" ref="H174:H210" si="499">F174*Vout</f>
        <v>44.800000000000004</v>
      </c>
      <c r="I174" s="217">
        <f t="shared" ref="I174:I210" si="500">Vout2*G174</f>
        <v>4.8</v>
      </c>
      <c r="J174" s="541">
        <f t="shared" ref="J174:J210" si="501">VIN_min-(F174/CG174/Nps+G174/CH174/(Nps/Nsec1sec2))*(Rdcr_pri+RON/1000)</f>
        <v>18.85634145106032</v>
      </c>
      <c r="K174" s="443">
        <f t="shared" ref="K174:K210" si="502">MAX((S174+Vfwd2+Rdcr_sec*F174/CG174)*Nps,(Vout2+Vfwd22+Rdcr_sec2*G174/CH174)*Nps/Nsec1sec2)</f>
        <v>28.758261636098975</v>
      </c>
      <c r="L174" s="172">
        <f t="shared" ref="L174:L210" si="503">MAX((Vout+Vfwd2+F174/CG174*Rdcr_sec)*Nps+J174, (Vout2+Vfwd22+G174/CH174*Rdcr_sec2)*Nps/Nsec1sec2+J174)</f>
        <v>47.614603087159296</v>
      </c>
      <c r="M174" s="443"/>
      <c r="N174" s="217">
        <f t="shared" ref="N174:N210" si="504">MAX((Vout+Vfwd2+F174/CG174*Rdcr_sec)*Nps/((Vout+Vfwd2+F174/CG174*Rdcr_sec)*Nps+J174), (Vout2+Vfwd22+G174/CH174*Rdcr_sec2)*Nps/Nsec1sec2/((Vout2+Vfwd22+G174/CH174*Rdcr_sec2)*Nps/Nsec1sec2+J174))</f>
        <v>0.60397986692142569</v>
      </c>
      <c r="O174" s="172">
        <f t="shared" ref="O174:O205" si="505">N174*J174*Isw_max*0.5*Efficiency*Pout/(Pout+Pout2)</f>
        <v>85.72253139962865</v>
      </c>
      <c r="P174" s="172">
        <f t="shared" ref="P174:P210" si="506">N174*J174*Isw_max*0.5*Efficiency*(Pout2/Pout_total)</f>
        <v>10.168616607353908</v>
      </c>
      <c r="Q174" s="217">
        <f t="shared" ref="Q174:Q210" si="507">O174/Vout</f>
        <v>3.061518978558166</v>
      </c>
      <c r="R174" s="217">
        <f t="shared" ref="R174:R210" si="508">O174/Vout2</f>
        <v>2.8574177133209551</v>
      </c>
      <c r="S174" s="217">
        <f t="shared" ref="S174:S210" si="509">MIN(Vout,O174/F174)</f>
        <v>28</v>
      </c>
      <c r="T174" s="217">
        <f t="shared" ref="T174:T210" si="510">MIN(2*(Vout*F174+Vout2*G174)/(Efficiency*J174*N174), Isw_max)</f>
        <v>8.7102731857718023</v>
      </c>
      <c r="U174" s="217">
        <f t="shared" ref="U174:U210" si="511">L*T174/J174*1000000</f>
        <v>2.1710618721759225</v>
      </c>
      <c r="V174" s="217">
        <f t="shared" ref="V174:V210" si="512">L*T174/K174*1000000</f>
        <v>1.4235312443829862</v>
      </c>
      <c r="W174" s="197">
        <f t="shared" ref="W174:W210" si="513">IF(1/((350000*L)*(1/J174+1/K174))&gt;Isw_min, 350, 0.001/((Isw_min*L)*(1/J174+1/K174)))</f>
        <v>350</v>
      </c>
      <c r="X174" s="443">
        <f t="shared" si="434"/>
        <v>263.53286618166868</v>
      </c>
      <c r="Z174" s="217">
        <f t="shared" ref="Z174:Z210" si="514">1/((W174*1000*L)*(1/J174+1/K174))</f>
        <v>6.9233134347941485</v>
      </c>
      <c r="AA174" s="173">
        <f t="shared" ref="AA174:AA210" si="515">L*Z174/K174*1000000</f>
        <v>1.1314860945102125</v>
      </c>
      <c r="AB174" s="173">
        <f t="shared" ref="AB174:AB205" si="516">0.5*AA174*Z174*Nps*W174/1000*(Pout/(Pout+Pout2))</f>
        <v>1.2382193906156789</v>
      </c>
      <c r="AC174" s="173"/>
      <c r="AD174" s="173">
        <f t="shared" ref="AD174:AD210" si="517">L*Isw_min/K174*1000000</f>
        <v>0.54477099015612929</v>
      </c>
      <c r="AE174" s="545">
        <f t="shared" ref="AE174:AE205" si="518">MAX(10, F174/(0.5*AD174/1000000*Isw_min*Nps)/1000*Pout_total/Pout)</f>
        <v>1762.208372595001</v>
      </c>
      <c r="AF174" s="528">
        <f t="shared" ref="AF174:AF210" si="519">0.5*AD174/1000000*Isw_min*Nps*W174*1000*(Pout/Pout_total)</f>
        <v>0.31778307759107549</v>
      </c>
      <c r="AH174" s="173">
        <f t="shared" ref="AH174:AH210" si="520">SQRT((H174+I174)/(0.5*L*Fsw_DCM))</f>
        <v>7.765561883584545</v>
      </c>
      <c r="AI174" s="173">
        <f t="shared" ref="AI174:AI205" si="521">MAX(IF(F174&gt;AB174,T174,AH174),Isw_min)</f>
        <v>8.7102731857718023</v>
      </c>
      <c r="AJ174" s="173">
        <f t="shared" ref="AJ174:AJ205" si="522">IF(F174&gt;AF174, (AI174-Isw_min)/1.08*0.8+1.2, AE174*0.2/350+1)</f>
        <v>5.1829184092136797</v>
      </c>
      <c r="AL174" s="545">
        <f t="shared" ref="AL174:AL210" si="523">F174*1000</f>
        <v>1600</v>
      </c>
      <c r="AM174" s="460">
        <f t="shared" ref="AM174:AM210" si="524">IF(F174&gt;AF174, X174, AE174)</f>
        <v>263.53286618166868</v>
      </c>
      <c r="AO174">
        <f t="shared" ref="AO174:AO210" si="525">IF(H174&gt;O174, "",AL174)</f>
        <v>1600</v>
      </c>
      <c r="AP174">
        <f t="shared" ref="AP174:AP210" si="526">IF(H174&gt;O174, "",AM174)</f>
        <v>263.53286618166868</v>
      </c>
      <c r="AR174" s="5">
        <f t="shared" si="442"/>
        <v>3.7945931165589086</v>
      </c>
      <c r="AS174" s="5">
        <f t="shared" si="439"/>
        <v>2.1710618721759225</v>
      </c>
      <c r="AT174" s="5">
        <f t="shared" si="440"/>
        <v>1.6235312443829861</v>
      </c>
      <c r="AU174" s="173">
        <f t="shared" si="441"/>
        <v>0.57214615783226053</v>
      </c>
      <c r="AW174" s="5">
        <f t="shared" si="475"/>
        <v>12.406067841005273</v>
      </c>
      <c r="AX174" s="5">
        <f t="shared" si="476"/>
        <v>1.157899665160492</v>
      </c>
      <c r="AY174" s="5">
        <f t="shared" si="477"/>
        <v>2.7552004165333019</v>
      </c>
      <c r="AZ174" s="5"/>
      <c r="BA174" s="173">
        <f t="shared" si="478"/>
        <v>3.8038610279226686</v>
      </c>
      <c r="BB174" s="173">
        <f t="shared" si="479"/>
        <v>3.2894165040590688</v>
      </c>
      <c r="BC174" s="173">
        <f t="shared" si="480"/>
        <v>0.33163789344202094</v>
      </c>
      <c r="BD174" s="173"/>
      <c r="BE174" s="528">
        <f t="shared" si="481"/>
        <v>0.17363230463698681</v>
      </c>
      <c r="BF174" s="528">
        <f t="shared" ref="BF174:BF210" si="527">0.5*L174*AI174*AM174*1000*Tfall</f>
        <v>1.9946633082960548</v>
      </c>
      <c r="BG174" s="528">
        <f t="shared" si="482"/>
        <v>3.0306279610891902E-2</v>
      </c>
      <c r="BH174" s="528">
        <f t="shared" si="483"/>
        <v>0.2942533101896323</v>
      </c>
      <c r="BI174">
        <f t="shared" si="484"/>
        <v>8.4853536529771439E-3</v>
      </c>
      <c r="BJ174" s="460">
        <f t="shared" si="435"/>
        <v>38.791633263869045</v>
      </c>
      <c r="BK174">
        <f t="shared" ref="BK174:BK210" si="528">(BF174+BG174*0+BH174+BI174*0+BE174*(1+RdsonTC*(Ta-25)))/(1-BE174*RdsonTC*ThetaJA)</f>
        <v>2.6174110305730096</v>
      </c>
      <c r="BL174" s="460">
        <f t="shared" si="436"/>
        <v>2501.3405563865426</v>
      </c>
      <c r="BM174" s="173">
        <f t="shared" ref="BM174:BM210" si="529">Vfwd2*F174*(1+Diode_TC/1000*(Ta-25))</f>
        <v>1.0729599999999999</v>
      </c>
      <c r="BN174" s="173">
        <f t="shared" ref="BN174:BN210" si="530">Vfwd2*G174*(1+Diode_TC/1000*(Ta-25))</f>
        <v>0.10729599999999999</v>
      </c>
      <c r="BO174" s="528"/>
      <c r="BQ174" s="460">
        <f t="shared" si="485"/>
        <v>1180.2559999999999</v>
      </c>
      <c r="BR174" s="528">
        <f t="shared" si="486"/>
        <v>0.20257102207648461</v>
      </c>
      <c r="BS174" s="528">
        <f t="shared" si="487"/>
        <v>0.1514836531204666</v>
      </c>
      <c r="BT174" s="528">
        <f t="shared" si="488"/>
        <v>5.4991846183330623E-4</v>
      </c>
      <c r="BU174" s="528">
        <f t="shared" si="489"/>
        <v>12.622239273045196</v>
      </c>
      <c r="BV174" s="528"/>
      <c r="BW174" s="625">
        <f t="shared" ref="BW174:BW210" si="531">0.5*Lleak*0.000000001*AI174^2*AM174*1000</f>
        <v>1.9993937858501214</v>
      </c>
      <c r="BX174" s="460">
        <f t="shared" si="490"/>
        <v>14976.2376525541</v>
      </c>
      <c r="BY174" s="173">
        <f t="shared" si="491"/>
        <v>18.657834208940642</v>
      </c>
      <c r="BZ174" s="5">
        <f t="shared" si="492"/>
        <v>49.6</v>
      </c>
      <c r="CA174" s="173">
        <f t="shared" si="493"/>
        <v>0.72665651605897608</v>
      </c>
      <c r="CB174" s="5">
        <f t="shared" si="494"/>
        <v>72.665651605897608</v>
      </c>
      <c r="CC174">
        <f t="shared" si="495"/>
        <v>64</v>
      </c>
      <c r="CE174" s="562">
        <f t="shared" ref="CE174:CE210" si="532">IF(ABS(F174-Ioutmax_Vinmin)&lt;Iout/200, AM174, -50)</f>
        <v>-50</v>
      </c>
      <c r="CF174">
        <f t="shared" ref="CF174:CF210" si="533">IF(ABS(F174-Ioutmax_Vinmin)&lt;Iout/200, (O174+P174)*CA174, -50)</f>
        <v>-50</v>
      </c>
      <c r="CG174" s="173">
        <f t="shared" ref="CG174:CG210" si="534">MIN(SQRT(2*DT174*1000*Ls1_*(CL174+CJ174*Vfwd1))/(CW174+Vfwd1), 1-DY174)</f>
        <v>0.38447255346461451</v>
      </c>
      <c r="CH174" s="173">
        <f t="shared" ref="CH174:CH210" si="535">MIN(SQRT(2*DT174*1000*Ls2_*(CM174+CK174*Vfwd22))/(Vout2+Vfwd22), 1-DY174)</f>
        <v>0.12467877742130105</v>
      </c>
      <c r="CI174" s="170">
        <v>64</v>
      </c>
      <c r="CJ174" s="217">
        <f t="shared" si="437"/>
        <v>1.6</v>
      </c>
      <c r="CK174" s="217">
        <f t="shared" ref="CK174:CK210" si="536">IF(PLOT_TYPE=1, CI174/100*Iout2, min_I*EXP(CU174*rr/100))</f>
        <v>0.16</v>
      </c>
      <c r="CL174" s="217">
        <f t="shared" ref="CL174:CL210" si="537">CJ174*Vout</f>
        <v>44.800000000000004</v>
      </c>
      <c r="CM174" s="217">
        <f t="shared" ref="CM174:CM210" si="538">Vout2*CK174</f>
        <v>4.8</v>
      </c>
      <c r="CN174" s="541">
        <f t="shared" ref="CN174:CN212" si="539">VIN_min</f>
        <v>19</v>
      </c>
      <c r="CO174" s="443">
        <f t="shared" ref="CO174:CO210" si="540">(CW174+Vfwd2)*Nps</f>
        <v>28.7</v>
      </c>
      <c r="CP174" s="443">
        <f t="shared" ref="CP174:CP210" si="541">(Vout+Vfwd2)*Nps+CN174</f>
        <v>47.7</v>
      </c>
      <c r="CQ174" s="443"/>
      <c r="CR174" s="217">
        <f t="shared" ref="CR174:CR210" si="542">(Vout+Vfwd1)*Nps/((Vout+Vfwd1)*Nps+CN174)</f>
        <v>0.59915611814345993</v>
      </c>
      <c r="CS174" s="172">
        <f t="shared" ref="CS174:CS210" si="543">CR174*CN174*Isw_max*0.5*Efficiency*Pout/(Pout+Pout2)</f>
        <v>85.685767433419556</v>
      </c>
      <c r="CT174" s="172">
        <f t="shared" ref="CT174:CT210" si="544">CR174*CN174*Isw_max*0.5*Efficiency*(Pout2/Pout_total)</f>
        <v>10.164255575647982</v>
      </c>
      <c r="CU174" s="217">
        <f t="shared" ref="CU174:CU210" si="545">CS174/Vout</f>
        <v>3.0602059797649841</v>
      </c>
      <c r="CV174" s="217">
        <f t="shared" ref="CV174:CV210" si="546">CS174/Vout2</f>
        <v>2.8561922477806521</v>
      </c>
      <c r="CW174" s="217">
        <f t="shared" ref="CW174:CW210" si="547">MIN(Vout,CS174/CJ174)</f>
        <v>28</v>
      </c>
      <c r="CX174" s="217">
        <f t="shared" ref="CX174:CX210" si="548">MIN(2*(Vout*CJ174+Vout2*CK174)/(Efficiency*CN174*CR174), Isw_max)</f>
        <v>8.7140103780578198</v>
      </c>
      <c r="CY174" s="217">
        <f t="shared" ref="CY174:CY210" si="549">L*CX174/CN174*1000000</f>
        <v>2.1555709882564082</v>
      </c>
      <c r="CZ174" s="217">
        <f t="shared" ref="CZ174:CZ210" si="550">L*CX174/CO174*1000000</f>
        <v>1.4270330584275872</v>
      </c>
      <c r="DA174" s="197">
        <f t="shared" ref="DA174:DA210" si="551">IF(1/((350000*L)*(1/CN174+1/CO174))&gt;Isw_min, 350, 0.001/((Isw_min*L)*(1/CN174+1/CO174)))</f>
        <v>350</v>
      </c>
      <c r="DB174" s="443">
        <f t="shared" ref="DB174:DB210" si="552">MIN(1/(CY174+CZ174)*1000, 350)</f>
        <v>279.1265758005228</v>
      </c>
      <c r="DD174" s="217">
        <f t="shared" ref="DD174:DD210" si="553">1/((DA174*1000*L)*(1/CN174+1/CO174))</f>
        <v>6.9494625094785683</v>
      </c>
      <c r="DE174" s="173">
        <f t="shared" ref="DE174:DE210" si="554">L*DD174/CO174*1000000</f>
        <v>1.1380652890086853</v>
      </c>
      <c r="DF174" s="173">
        <f t="shared" ref="DF174:DF210" si="555">0.5*DE174*DD174*Nps*DA174/1000*(Pout/(Pout+Pout2))</f>
        <v>1.2501230996965573</v>
      </c>
      <c r="DG174" s="173"/>
      <c r="DH174" s="173">
        <f t="shared" ref="DH174:DH210" si="556">L*Isw_min/CO174*1000000</f>
        <v>0.54587688734030204</v>
      </c>
      <c r="DI174" s="545">
        <f t="shared" ref="DI174:DI210" si="557">MAX(10, CJ174/(0.5*DH174/1000000*Isw_min*Nps)/1000*Pout_total/Pout)</f>
        <v>1758.6382978723404</v>
      </c>
      <c r="DJ174" s="528">
        <f t="shared" ref="DJ174:DJ210" si="558">0.5*DH174/1000000*Isw_min*Nps*DA174*1000*(Pout/Pout_total)</f>
        <v>0.31842818428184283</v>
      </c>
      <c r="DL174" s="173">
        <f t="shared" ref="DL174:DL210" si="559">SQRT((CL174+CM174)/(0.5*L*Fsw_DCM))</f>
        <v>7.765561883584545</v>
      </c>
      <c r="DM174" s="173">
        <f t="shared" ref="DM174:DM210" si="560">MAX(IF(CJ174&gt;DF174,CX174,DL174),Isw_min)</f>
        <v>8.7140103780578198</v>
      </c>
      <c r="DN174" s="173">
        <f t="shared" ref="DN174:DN210" si="561">IF(CJ174&gt;DJ174, (DM174-Isw_min)/1.08*0.8+1.2, DI174*0.2/350+1)</f>
        <v>5.185686699795915</v>
      </c>
      <c r="DP174" s="545">
        <f t="shared" ref="DP174:DP210" si="562">CJ174*1000</f>
        <v>1600</v>
      </c>
      <c r="DQ174" s="460">
        <f t="shared" ref="DQ174:DQ210" si="563">IF(CJ174&gt;DJ174, DB174, DI174)</f>
        <v>279.1265758005228</v>
      </c>
      <c r="DS174">
        <f t="shared" ref="DS174:DS192" si="564">IF(CL174&gt;CS174, "",DP174)</f>
        <v>1600</v>
      </c>
      <c r="DT174">
        <f t="shared" ref="DT174:DT193" si="565">IF(CL174&gt;CS174, "",DQ174)</f>
        <v>279.1265758005228</v>
      </c>
      <c r="DV174" s="5">
        <f t="shared" ref="DV174:DV210" si="566">1/DQ174*1000</f>
        <v>3.5826040466839952</v>
      </c>
      <c r="DW174" s="5">
        <f t="shared" ref="DW174:DW210" si="567">L*DM174/CN174*1000000</f>
        <v>2.1555709882564082</v>
      </c>
      <c r="DX174" s="5">
        <f t="shared" ref="DX174:DX210" si="568">DV174-DW174</f>
        <v>1.427033058427587</v>
      </c>
      <c r="DY174" s="173">
        <f t="shared" ref="DY174:DY210" si="569">DW174/DV174</f>
        <v>0.60167714884696022</v>
      </c>
      <c r="EA174" s="5">
        <f t="shared" ref="EA174:EA210" si="570">CJ174*DW174/Vout_ripple*1000</f>
        <v>12.317548504322334</v>
      </c>
      <c r="EB174" s="5">
        <f t="shared" ref="EB174:EB210" si="571">CK174*DW174/Vout_ripple2*1000</f>
        <v>1.1496378604034179</v>
      </c>
      <c r="EC174" s="5">
        <f t="shared" ref="EC174:EC210" si="572">CL174/Efficiency/CN174*DX174/Vinripple1</f>
        <v>2.4034240984043573</v>
      </c>
      <c r="ED174" s="5"/>
      <c r="EE174" s="173">
        <f t="shared" ref="EE174:EE210" si="573">DM174*SQRT(DY174/3)</f>
        <v>3.9024666858749057</v>
      </c>
      <c r="EF174" s="173">
        <f t="shared" ref="EF174:EF210" si="574">DM174*Npri_sec1*SQRT((1-DY174)/3)*(Pout/Pout_total)</f>
        <v>3.1752290293147349</v>
      </c>
      <c r="EG174" s="173">
        <f t="shared" ref="EG174:EG210" si="575">DM174*Npri_sec2*SQRT((1-DY174)/3)*(Pout2/Pout_total)</f>
        <v>0.32012554967681345</v>
      </c>
      <c r="EH174" s="173"/>
      <c r="EI174" s="528">
        <f t="shared" ref="EI174:EI210" si="576">Rdson*EE174^2</f>
        <v>0.18275095481236164</v>
      </c>
      <c r="EJ174" s="528">
        <f t="shared" ref="EJ174:EJ210" si="577">0.5*CP174*DM174*DQ174*1000*Trise</f>
        <v>2.2044042553191487</v>
      </c>
      <c r="EK174" s="528">
        <f t="shared" ref="EK174:EK210" si="578">Qg*Vdd*DQ174*1000</f>
        <v>3.2099556217060128E-2</v>
      </c>
      <c r="EL174" s="528">
        <f t="shared" ref="EL174:EL210" si="579">0.5*(Coss+Csw)*CP174^2*DQ174*1000</f>
        <v>0.31278374902668704</v>
      </c>
      <c r="EM174">
        <f t="shared" ref="EM174:EM210" si="580">CN174*IQ</f>
        <v>8.5500000000000003E-3</v>
      </c>
      <c r="EN174" s="460">
        <f t="shared" ref="EN174:EN210" si="581">(EK174+EM174)*1000</f>
        <v>40.64955621706013</v>
      </c>
      <c r="EP174" s="460">
        <f t="shared" si="438"/>
        <v>2740.5885153752574</v>
      </c>
      <c r="EQ174" s="173">
        <f t="shared" ref="EQ174:EQ210" si="582">Vfwd2*CJ174</f>
        <v>1.1199999999999999</v>
      </c>
      <c r="ER174" s="173">
        <f t="shared" ref="ER174:ER210" si="583">Vfwd22*CK174*(1+Diode_TC/1000*(Ta-25))</f>
        <v>7.664E-2</v>
      </c>
      <c r="ES174" s="528"/>
      <c r="EU174" s="460">
        <f t="shared" si="496"/>
        <v>1196.6399999999999</v>
      </c>
      <c r="EV174" s="528">
        <f t="shared" ref="EV174:EV210" si="584">Rdcr_pri*EE174^2</f>
        <v>0.21320944728108859</v>
      </c>
      <c r="EW174" s="528">
        <f t="shared" ref="EW174:EW210" si="585">Rdcr_sec*EF174^2</f>
        <v>0.14114911144044193</v>
      </c>
      <c r="EX174" s="528">
        <f t="shared" ref="EX174:EX210" si="586">Rdcr_sec2*EG174^2</f>
        <v>5.1240183777940976E-4</v>
      </c>
      <c r="EY174" s="528">
        <f t="shared" ref="EY174:EY210" si="587">DM174^2.5*DQ174^2.5*k_core</f>
        <v>14.588752487337148</v>
      </c>
      <c r="EZ174" s="528"/>
      <c r="FA174" s="625">
        <f t="shared" ref="FA174:FA210" si="588">0.5*Lleak*0.000000001*DM174^2*DQ174*1000</f>
        <v>2.1195190950331995</v>
      </c>
      <c r="FB174" s="460">
        <f t="shared" si="497"/>
        <v>17063.142542929658</v>
      </c>
      <c r="FC174" s="173">
        <f t="shared" ref="FC174:FC210" si="589">SUM(EI174:EM174,EQ174:ET174,EV174:FA174)</f>
        <v>21.000371058304914</v>
      </c>
      <c r="FD174" s="5">
        <f t="shared" ref="FD174:FD210" si="590">MIN(CL174+CM174,CS174+CT174)</f>
        <v>49.6</v>
      </c>
      <c r="FE174" s="173">
        <f t="shared" ref="FE174:FE210" si="591">FD174/(FD174+FC174)</f>
        <v>0.7025458826418649</v>
      </c>
      <c r="FF174" s="5">
        <f t="shared" ref="FF174:FF210" si="592">FE174*100</f>
        <v>70.254588264186495</v>
      </c>
      <c r="FG174">
        <f t="shared" ref="FG174:FG210" si="593">CJ174/Iout*100</f>
        <v>64</v>
      </c>
      <c r="FI174" s="562">
        <f t="shared" ref="FI174:FI210" si="594">IF(ABS(CJ174-Ioutmax_Vinmin)&lt;Iout/200, DQ174, -50)</f>
        <v>-50</v>
      </c>
      <c r="FJ174">
        <f t="shared" ref="FJ174:FJ210" si="595">IF(ABS(CJ174-Ioutmax_Vinmin)&lt;Iout/200, (CS174+CT174)*FE174, -50)</f>
        <v>-50</v>
      </c>
    </row>
    <row r="175" spans="5:166">
      <c r="E175" s="170">
        <v>65</v>
      </c>
      <c r="F175" s="217">
        <f t="shared" ref="F175:F206" si="596">IF(PLOT_TYPE=1, E175/100*Iout_max, min_I*EXP(O175*rr/100))</f>
        <v>1.625</v>
      </c>
      <c r="G175" s="217">
        <f t="shared" si="498"/>
        <v>0.16250000000000001</v>
      </c>
      <c r="H175" s="217">
        <f t="shared" si="499"/>
        <v>45.5</v>
      </c>
      <c r="I175" s="217">
        <f t="shared" si="500"/>
        <v>4.875</v>
      </c>
      <c r="J175" s="541">
        <f t="shared" si="501"/>
        <v>18.854096786233136</v>
      </c>
      <c r="K175" s="443">
        <f t="shared" si="502"/>
        <v>28.759171974163024</v>
      </c>
      <c r="L175" s="172">
        <f t="shared" si="503"/>
        <v>47.61326876039616</v>
      </c>
      <c r="M175" s="443"/>
      <c r="N175" s="217">
        <f t="shared" si="504"/>
        <v>0.60401591243162822</v>
      </c>
      <c r="O175" s="172">
        <f t="shared" si="505"/>
        <v>85.717442272984798</v>
      </c>
      <c r="P175" s="172">
        <f t="shared" si="506"/>
        <v>10.168012922688247</v>
      </c>
      <c r="Q175" s="217">
        <f t="shared" si="507"/>
        <v>3.0613372240351713</v>
      </c>
      <c r="R175" s="217">
        <f t="shared" si="508"/>
        <v>2.8572480757661598</v>
      </c>
      <c r="S175" s="217">
        <f t="shared" si="509"/>
        <v>28</v>
      </c>
      <c r="T175" s="217">
        <f t="shared" si="510"/>
        <v>8.8468964218305199</v>
      </c>
      <c r="U175" s="217">
        <f t="shared" si="511"/>
        <v>2.2053781548933484</v>
      </c>
      <c r="V175" s="217">
        <f t="shared" si="512"/>
        <v>1.4458139900536395</v>
      </c>
      <c r="W175" s="197">
        <f t="shared" si="513"/>
        <v>350</v>
      </c>
      <c r="X175" s="443">
        <f t="shared" ref="X175:X210" si="597">MIN(1/(U175+V175+0.2)*1000, 350)</f>
        <v>259.65985657507753</v>
      </c>
      <c r="Z175" s="217">
        <f t="shared" si="514"/>
        <v>6.9229024154473171</v>
      </c>
      <c r="AA175" s="173">
        <f t="shared" si="515"/>
        <v>1.1313831073382052</v>
      </c>
      <c r="AB175" s="173">
        <f t="shared" si="516"/>
        <v>1.2380331854284181</v>
      </c>
      <c r="AC175" s="173"/>
      <c r="AD175" s="173">
        <f t="shared" si="517"/>
        <v>0.54475374606547977</v>
      </c>
      <c r="AE175" s="545">
        <f t="shared" si="518"/>
        <v>1789.7995324346136</v>
      </c>
      <c r="AF175" s="528">
        <f t="shared" si="519"/>
        <v>0.31777301853819656</v>
      </c>
      <c r="AH175" s="173">
        <f t="shared" si="520"/>
        <v>7.8259951832276728</v>
      </c>
      <c r="AI175" s="173">
        <f t="shared" si="521"/>
        <v>8.8468964218305199</v>
      </c>
      <c r="AJ175" s="173">
        <f t="shared" si="522"/>
        <v>5.2841208062942115</v>
      </c>
      <c r="AL175" s="545">
        <f t="shared" si="523"/>
        <v>1625</v>
      </c>
      <c r="AM175" s="460">
        <f t="shared" si="524"/>
        <v>259.65985657507753</v>
      </c>
      <c r="AO175">
        <f t="shared" si="525"/>
        <v>1625</v>
      </c>
      <c r="AP175">
        <f t="shared" si="526"/>
        <v>259.65985657507753</v>
      </c>
      <c r="AR175" s="5">
        <f t="shared" si="442"/>
        <v>3.8511921449469879</v>
      </c>
      <c r="AS175" s="5">
        <f t="shared" si="439"/>
        <v>2.2053781548933484</v>
      </c>
      <c r="AT175" s="5">
        <f t="shared" si="440"/>
        <v>1.6458139900536395</v>
      </c>
      <c r="AU175" s="173">
        <f t="shared" si="441"/>
        <v>0.57264817539341595</v>
      </c>
      <c r="AW175" s="5">
        <f t="shared" si="475"/>
        <v>12.799069648934612</v>
      </c>
      <c r="AX175" s="5">
        <f t="shared" si="476"/>
        <v>1.194579833900564</v>
      </c>
      <c r="AY175" s="5">
        <f t="shared" si="477"/>
        <v>2.8369937464095223</v>
      </c>
      <c r="AZ175" s="5"/>
      <c r="BA175" s="173">
        <f t="shared" si="478"/>
        <v>3.8652203369647169</v>
      </c>
      <c r="BB175" s="173">
        <f t="shared" si="479"/>
        <v>3.3390513392649286</v>
      </c>
      <c r="BC175" s="173">
        <f t="shared" si="480"/>
        <v>0.33664206125375917</v>
      </c>
      <c r="BD175" s="173"/>
      <c r="BE175" s="528">
        <f t="shared" si="481"/>
        <v>0.17927913903942769</v>
      </c>
      <c r="BF175" s="528">
        <f t="shared" si="527"/>
        <v>1.9961198900053547</v>
      </c>
      <c r="BG175" s="528">
        <f t="shared" si="482"/>
        <v>2.9860883506133917E-2</v>
      </c>
      <c r="BH175" s="528">
        <f t="shared" si="483"/>
        <v>0.28991256831327344</v>
      </c>
      <c r="BI175">
        <f t="shared" si="484"/>
        <v>8.48434355380491E-3</v>
      </c>
      <c r="BJ175" s="460">
        <f t="shared" ref="BJ175:BJ210" si="598">(BG175+BI175)*1000</f>
        <v>38.345227059938829</v>
      </c>
      <c r="BK175">
        <f t="shared" si="528"/>
        <v>2.6255570943098356</v>
      </c>
      <c r="BL175" s="460">
        <f t="shared" ref="BL175:BL210" si="599">SUM(BE175:BI175)*1000</f>
        <v>2503.6568244179948</v>
      </c>
      <c r="BM175" s="173">
        <f t="shared" si="529"/>
        <v>1.0897249999999998</v>
      </c>
      <c r="BN175" s="173">
        <f t="shared" si="530"/>
        <v>0.10897249999999999</v>
      </c>
      <c r="BO175" s="528"/>
      <c r="BQ175" s="460">
        <f t="shared" si="485"/>
        <v>1198.6974999999998</v>
      </c>
      <c r="BR175" s="528">
        <f t="shared" si="486"/>
        <v>0.20915899554599895</v>
      </c>
      <c r="BS175" s="528">
        <f t="shared" si="487"/>
        <v>0.1560896938474568</v>
      </c>
      <c r="BT175" s="528">
        <f t="shared" si="488"/>
        <v>5.6663938702589871E-4</v>
      </c>
      <c r="BU175" s="528">
        <f t="shared" si="489"/>
        <v>12.64618099177925</v>
      </c>
      <c r="BV175" s="528"/>
      <c r="BW175" s="625">
        <f t="shared" si="531"/>
        <v>2.0322947636172803</v>
      </c>
      <c r="BX175" s="460">
        <f t="shared" si="490"/>
        <v>15044.291084177012</v>
      </c>
      <c r="BY175" s="173">
        <f t="shared" si="491"/>
        <v>18.746645408595008</v>
      </c>
      <c r="BZ175" s="5">
        <f t="shared" si="492"/>
        <v>50.375</v>
      </c>
      <c r="CA175" s="173">
        <f t="shared" si="493"/>
        <v>0.72878762798861352</v>
      </c>
      <c r="CB175" s="5">
        <f t="shared" si="494"/>
        <v>72.878762798861345</v>
      </c>
      <c r="CC175">
        <f t="shared" si="495"/>
        <v>65</v>
      </c>
      <c r="CE175" s="562">
        <f t="shared" si="532"/>
        <v>-50</v>
      </c>
      <c r="CF175">
        <f t="shared" si="533"/>
        <v>-50</v>
      </c>
      <c r="CG175" s="173">
        <f t="shared" si="534"/>
        <v>0.38447255346461445</v>
      </c>
      <c r="CH175" s="173">
        <f t="shared" si="535"/>
        <v>0.12467877742130104</v>
      </c>
      <c r="CI175" s="170">
        <v>65</v>
      </c>
      <c r="CJ175" s="217">
        <f t="shared" ref="CJ175:CJ210" si="600">IF(PLOT_TYPE=1, CI175/100*Iout_max, min_I*EXP(CS175*rr/100))</f>
        <v>1.625</v>
      </c>
      <c r="CK175" s="217">
        <f t="shared" si="536"/>
        <v>0.16250000000000001</v>
      </c>
      <c r="CL175" s="217">
        <f t="shared" si="537"/>
        <v>45.5</v>
      </c>
      <c r="CM175" s="217">
        <f t="shared" si="538"/>
        <v>4.875</v>
      </c>
      <c r="CN175" s="541">
        <f t="shared" si="539"/>
        <v>19</v>
      </c>
      <c r="CO175" s="443">
        <f t="shared" si="540"/>
        <v>28.7</v>
      </c>
      <c r="CP175" s="443">
        <f t="shared" si="541"/>
        <v>47.7</v>
      </c>
      <c r="CQ175" s="443"/>
      <c r="CR175" s="217">
        <f t="shared" si="542"/>
        <v>0.59915611814345993</v>
      </c>
      <c r="CS175" s="172">
        <f t="shared" si="543"/>
        <v>85.685767433419556</v>
      </c>
      <c r="CT175" s="172">
        <f t="shared" si="544"/>
        <v>10.164255575647982</v>
      </c>
      <c r="CU175" s="217">
        <f t="shared" si="545"/>
        <v>3.0602059797649841</v>
      </c>
      <c r="CV175" s="217">
        <f t="shared" si="546"/>
        <v>2.8561922477806521</v>
      </c>
      <c r="CW175" s="217">
        <f t="shared" si="547"/>
        <v>28</v>
      </c>
      <c r="CX175" s="217">
        <f t="shared" si="548"/>
        <v>8.8501667902149741</v>
      </c>
      <c r="CY175" s="217">
        <f t="shared" si="549"/>
        <v>2.1892517849479147</v>
      </c>
      <c r="CZ175" s="217">
        <f t="shared" si="550"/>
        <v>1.4493304499655184</v>
      </c>
      <c r="DA175" s="197">
        <f t="shared" si="551"/>
        <v>350</v>
      </c>
      <c r="DB175" s="443">
        <f t="shared" si="552"/>
        <v>274.83232078820708</v>
      </c>
      <c r="DD175" s="217">
        <f t="shared" si="553"/>
        <v>6.9494625094785683</v>
      </c>
      <c r="DE175" s="173">
        <f t="shared" si="554"/>
        <v>1.1380652890086853</v>
      </c>
      <c r="DF175" s="173">
        <f t="shared" si="555"/>
        <v>1.2501230996965573</v>
      </c>
      <c r="DG175" s="173"/>
      <c r="DH175" s="173">
        <f t="shared" si="556"/>
        <v>0.54587688734030204</v>
      </c>
      <c r="DI175" s="545">
        <f t="shared" si="557"/>
        <v>1786.1170212765958</v>
      </c>
      <c r="DJ175" s="528">
        <f t="shared" si="558"/>
        <v>0.31842818428184283</v>
      </c>
      <c r="DL175" s="173">
        <f t="shared" si="559"/>
        <v>7.8259951832276728</v>
      </c>
      <c r="DM175" s="173">
        <f t="shared" si="560"/>
        <v>8.8501667902149741</v>
      </c>
      <c r="DN175" s="173">
        <f t="shared" si="561"/>
        <v>5.2865433013938077</v>
      </c>
      <c r="DP175" s="545">
        <f t="shared" si="562"/>
        <v>1625</v>
      </c>
      <c r="DQ175" s="460">
        <f t="shared" si="563"/>
        <v>274.83232078820708</v>
      </c>
      <c r="DS175">
        <f t="shared" si="564"/>
        <v>1625</v>
      </c>
      <c r="DT175">
        <f t="shared" si="565"/>
        <v>274.83232078820708</v>
      </c>
      <c r="DV175" s="5">
        <f t="shared" si="566"/>
        <v>3.6385822349134327</v>
      </c>
      <c r="DW175" s="5">
        <f t="shared" si="567"/>
        <v>2.1892517849479147</v>
      </c>
      <c r="DX175" s="5">
        <f t="shared" si="568"/>
        <v>1.449330449965518</v>
      </c>
      <c r="DY175" s="173">
        <f t="shared" si="569"/>
        <v>0.60167714884696022</v>
      </c>
      <c r="EA175" s="5">
        <f t="shared" si="570"/>
        <v>12.705479109072719</v>
      </c>
      <c r="EB175" s="5">
        <f t="shared" si="571"/>
        <v>1.1858447168467874</v>
      </c>
      <c r="EC175" s="5">
        <f t="shared" si="572"/>
        <v>2.4791178749410174</v>
      </c>
      <c r="ED175" s="5"/>
      <c r="EE175" s="173">
        <f t="shared" si="573"/>
        <v>3.9634427278417017</v>
      </c>
      <c r="EF175" s="173">
        <f t="shared" si="574"/>
        <v>3.2248419828977779</v>
      </c>
      <c r="EG175" s="173">
        <f t="shared" si="575"/>
        <v>0.32512751139051366</v>
      </c>
      <c r="EH175" s="173"/>
      <c r="EI175" s="528">
        <f t="shared" si="576"/>
        <v>0.18850653908257525</v>
      </c>
      <c r="EJ175" s="528">
        <f t="shared" si="577"/>
        <v>2.2044042553191496</v>
      </c>
      <c r="EK175" s="528">
        <f t="shared" si="578"/>
        <v>3.1605716890643822E-2</v>
      </c>
      <c r="EL175" s="528">
        <f t="shared" si="579"/>
        <v>0.30797169134935343</v>
      </c>
      <c r="EM175">
        <f t="shared" si="580"/>
        <v>8.5500000000000003E-3</v>
      </c>
      <c r="EN175" s="460">
        <f t="shared" si="581"/>
        <v>40.155716890643824</v>
      </c>
      <c r="EP175" s="460">
        <f t="shared" ref="EP175:EP210" si="601">SUM(EI175:EM175)*1000</f>
        <v>2741.0382026417224</v>
      </c>
      <c r="EQ175" s="173">
        <f t="shared" si="582"/>
        <v>1.1375</v>
      </c>
      <c r="ER175" s="173">
        <f t="shared" si="583"/>
        <v>7.7837500000000004E-2</v>
      </c>
      <c r="ES175" s="528"/>
      <c r="EU175" s="460">
        <f t="shared" si="496"/>
        <v>1215.3374999999999</v>
      </c>
      <c r="EV175" s="528">
        <f t="shared" si="584"/>
        <v>0.21992429559633778</v>
      </c>
      <c r="EW175" s="528">
        <f t="shared" si="585"/>
        <v>0.14559448140524101</v>
      </c>
      <c r="EX175" s="528">
        <f t="shared" si="586"/>
        <v>5.28539493314943E-4</v>
      </c>
      <c r="EY175" s="528">
        <f t="shared" si="587"/>
        <v>14.588752487337159</v>
      </c>
      <c r="EZ175" s="528"/>
      <c r="FA175" s="625">
        <f t="shared" si="588"/>
        <v>2.1526365808930938</v>
      </c>
      <c r="FB175" s="460">
        <f t="shared" si="497"/>
        <v>17107.436384725148</v>
      </c>
      <c r="FC175" s="173">
        <f t="shared" si="589"/>
        <v>21.06381208736687</v>
      </c>
      <c r="FD175" s="5">
        <f t="shared" si="590"/>
        <v>50.375</v>
      </c>
      <c r="FE175" s="173">
        <f t="shared" si="591"/>
        <v>0.7051489033495314</v>
      </c>
      <c r="FF175" s="5">
        <f t="shared" si="592"/>
        <v>70.514890334953137</v>
      </c>
      <c r="FG175">
        <f t="shared" si="593"/>
        <v>65</v>
      </c>
      <c r="FI175" s="562">
        <f t="shared" si="594"/>
        <v>-50</v>
      </c>
      <c r="FJ175">
        <f t="shared" si="595"/>
        <v>-50</v>
      </c>
    </row>
    <row r="176" spans="5:166">
      <c r="E176" s="170">
        <v>66</v>
      </c>
      <c r="F176" s="217">
        <f t="shared" si="596"/>
        <v>1.6500000000000001</v>
      </c>
      <c r="G176" s="217">
        <f t="shared" si="498"/>
        <v>0.16500000000000001</v>
      </c>
      <c r="H176" s="217">
        <f t="shared" si="499"/>
        <v>46.2</v>
      </c>
      <c r="I176" s="217">
        <f t="shared" si="500"/>
        <v>4.95</v>
      </c>
      <c r="J176" s="541">
        <f t="shared" si="501"/>
        <v>18.851852121405955</v>
      </c>
      <c r="K176" s="443">
        <f t="shared" si="502"/>
        <v>28.76008231222707</v>
      </c>
      <c r="L176" s="172">
        <f t="shared" si="503"/>
        <v>47.611934433633024</v>
      </c>
      <c r="M176" s="443"/>
      <c r="N176" s="217">
        <f t="shared" si="504"/>
        <v>0.60405195996218497</v>
      </c>
      <c r="O176" s="172">
        <f t="shared" si="505"/>
        <v>85.712352215019123</v>
      </c>
      <c r="P176" s="172">
        <f t="shared" si="506"/>
        <v>10.167409127546913</v>
      </c>
      <c r="Q176" s="217">
        <f t="shared" si="507"/>
        <v>3.061155436250683</v>
      </c>
      <c r="R176" s="217">
        <f t="shared" si="508"/>
        <v>2.8570784071673043</v>
      </c>
      <c r="S176" s="217">
        <f t="shared" si="509"/>
        <v>28</v>
      </c>
      <c r="T176" s="217">
        <f t="shared" si="510"/>
        <v>8.9835359793693215</v>
      </c>
      <c r="U176" s="217">
        <f t="shared" si="511"/>
        <v>2.2397066787455198</v>
      </c>
      <c r="V176" s="217">
        <f t="shared" si="512"/>
        <v>1.4680979923720618</v>
      </c>
      <c r="W176" s="197">
        <f t="shared" si="513"/>
        <v>350</v>
      </c>
      <c r="X176" s="443">
        <f t="shared" si="597"/>
        <v>255.89815360807506</v>
      </c>
      <c r="Z176" s="217">
        <f t="shared" si="514"/>
        <v>6.9224913208830037</v>
      </c>
      <c r="AA176" s="173">
        <f t="shared" si="515"/>
        <v>1.1312801143937574</v>
      </c>
      <c r="AB176" s="173">
        <f t="shared" si="516"/>
        <v>1.2378469738565727</v>
      </c>
      <c r="AC176" s="173"/>
      <c r="AD176" s="173">
        <f t="shared" si="517"/>
        <v>0.54473650306647892</v>
      </c>
      <c r="AE176" s="545">
        <f t="shared" si="518"/>
        <v>1817.3924354747746</v>
      </c>
      <c r="AF176" s="528">
        <f t="shared" si="519"/>
        <v>0.31776296012211269</v>
      </c>
      <c r="AH176" s="173">
        <f t="shared" si="520"/>
        <v>7.8859653719772522</v>
      </c>
      <c r="AI176" s="173">
        <f t="shared" si="521"/>
        <v>8.9835359793693215</v>
      </c>
      <c r="AJ176" s="173">
        <f t="shared" si="522"/>
        <v>5.3853352933599909</v>
      </c>
      <c r="AL176" s="545">
        <f t="shared" si="523"/>
        <v>1650.0000000000002</v>
      </c>
      <c r="AM176" s="460">
        <f t="shared" si="524"/>
        <v>255.89815360807506</v>
      </c>
      <c r="AO176">
        <f t="shared" si="525"/>
        <v>1650.0000000000002</v>
      </c>
      <c r="AP176">
        <f t="shared" si="526"/>
        <v>255.89815360807506</v>
      </c>
      <c r="AR176" s="5">
        <f t="shared" si="442"/>
        <v>3.9078046711175807</v>
      </c>
      <c r="AS176" s="5">
        <f t="shared" si="439"/>
        <v>2.2397066787455198</v>
      </c>
      <c r="AT176" s="5">
        <f t="shared" si="440"/>
        <v>1.6680979923720609</v>
      </c>
      <c r="AU176" s="173">
        <f t="shared" si="441"/>
        <v>0.5731368037146527</v>
      </c>
      <c r="AW176" s="5">
        <f t="shared" si="475"/>
        <v>13.198271499750385</v>
      </c>
      <c r="AX176" s="5">
        <f t="shared" si="476"/>
        <v>1.2318386733100362</v>
      </c>
      <c r="AY176" s="5">
        <f t="shared" si="477"/>
        <v>2.9199907464674424</v>
      </c>
      <c r="AZ176" s="5"/>
      <c r="BA176" s="173">
        <f t="shared" si="478"/>
        <v>3.9265925010003788</v>
      </c>
      <c r="BB176" s="173">
        <f t="shared" si="479"/>
        <v>3.3886837506562877</v>
      </c>
      <c r="BC176" s="173">
        <f t="shared" si="480"/>
        <v>0.34164598469731422</v>
      </c>
      <c r="BD176" s="173"/>
      <c r="BE176" s="528">
        <f t="shared" si="481"/>
        <v>0.18501754402694892</v>
      </c>
      <c r="BF176" s="528">
        <f t="shared" si="527"/>
        <v>1.997529305335022</v>
      </c>
      <c r="BG176" s="528">
        <f t="shared" si="482"/>
        <v>2.9428287664928634E-2</v>
      </c>
      <c r="BH176" s="528">
        <f t="shared" si="483"/>
        <v>0.28569657952815536</v>
      </c>
      <c r="BI176">
        <f t="shared" si="484"/>
        <v>8.4833334546326796E-3</v>
      </c>
      <c r="BJ176" s="460">
        <f t="shared" si="598"/>
        <v>37.91162111956131</v>
      </c>
      <c r="BK176">
        <f t="shared" si="528"/>
        <v>2.6339887551789292</v>
      </c>
      <c r="BL176" s="460">
        <f t="shared" si="599"/>
        <v>2506.1550500096878</v>
      </c>
      <c r="BM176" s="173">
        <f t="shared" si="529"/>
        <v>1.10649</v>
      </c>
      <c r="BN176" s="173">
        <f t="shared" si="530"/>
        <v>0.11064899999999998</v>
      </c>
      <c r="BO176" s="528"/>
      <c r="BQ176" s="460">
        <f t="shared" si="485"/>
        <v>1217.1389999999999</v>
      </c>
      <c r="BR176" s="528">
        <f t="shared" si="486"/>
        <v>0.21585380136477372</v>
      </c>
      <c r="BS176" s="528">
        <f t="shared" si="487"/>
        <v>0.1607644858674675</v>
      </c>
      <c r="BT176" s="528">
        <f t="shared" si="488"/>
        <v>5.8360989429898731E-4</v>
      </c>
      <c r="BU176" s="528">
        <f t="shared" si="489"/>
        <v>12.669403382006143</v>
      </c>
      <c r="BV176" s="528"/>
      <c r="BW176" s="625">
        <f t="shared" si="531"/>
        <v>2.0651983782378474</v>
      </c>
      <c r="BX176" s="460">
        <f t="shared" si="490"/>
        <v>15111.80365737053</v>
      </c>
      <c r="BY176" s="173">
        <f t="shared" si="491"/>
        <v>18.835097707380218</v>
      </c>
      <c r="BZ176" s="5">
        <f t="shared" si="492"/>
        <v>51.150000000000006</v>
      </c>
      <c r="CA176" s="173">
        <f t="shared" si="493"/>
        <v>0.73086988052609414</v>
      </c>
      <c r="CB176" s="5">
        <f t="shared" si="494"/>
        <v>73.086988052609414</v>
      </c>
      <c r="CC176">
        <f t="shared" si="495"/>
        <v>66</v>
      </c>
      <c r="CE176" s="562">
        <f t="shared" si="532"/>
        <v>-50</v>
      </c>
      <c r="CF176">
        <f t="shared" si="533"/>
        <v>-50</v>
      </c>
      <c r="CG176" s="173">
        <f t="shared" si="534"/>
        <v>0.38447255346461445</v>
      </c>
      <c r="CH176" s="173">
        <f t="shared" si="535"/>
        <v>0.12467877742130104</v>
      </c>
      <c r="CI176" s="170">
        <v>66</v>
      </c>
      <c r="CJ176" s="217">
        <f t="shared" si="600"/>
        <v>1.6500000000000001</v>
      </c>
      <c r="CK176" s="217">
        <f t="shared" si="536"/>
        <v>0.16500000000000001</v>
      </c>
      <c r="CL176" s="217">
        <f t="shared" si="537"/>
        <v>46.2</v>
      </c>
      <c r="CM176" s="217">
        <f t="shared" si="538"/>
        <v>4.95</v>
      </c>
      <c r="CN176" s="541">
        <f t="shared" si="539"/>
        <v>19</v>
      </c>
      <c r="CO176" s="443">
        <f t="shared" si="540"/>
        <v>28.7</v>
      </c>
      <c r="CP176" s="443">
        <f t="shared" si="541"/>
        <v>47.7</v>
      </c>
      <c r="CQ176" s="443"/>
      <c r="CR176" s="217">
        <f t="shared" si="542"/>
        <v>0.59915611814345993</v>
      </c>
      <c r="CS176" s="172">
        <f t="shared" si="543"/>
        <v>85.685767433419556</v>
      </c>
      <c r="CT176" s="172">
        <f t="shared" si="544"/>
        <v>10.164255575647982</v>
      </c>
      <c r="CU176" s="217">
        <f t="shared" si="545"/>
        <v>3.0602059797649841</v>
      </c>
      <c r="CV176" s="217">
        <f t="shared" si="546"/>
        <v>2.8561922477806521</v>
      </c>
      <c r="CW176" s="217">
        <f t="shared" si="547"/>
        <v>28</v>
      </c>
      <c r="CX176" s="217">
        <f t="shared" si="548"/>
        <v>8.9863232023721284</v>
      </c>
      <c r="CY176" s="217">
        <f t="shared" si="549"/>
        <v>2.2229325816394212</v>
      </c>
      <c r="CZ176" s="217">
        <f t="shared" si="550"/>
        <v>1.4716278415034496</v>
      </c>
      <c r="DA176" s="197">
        <f t="shared" si="551"/>
        <v>350</v>
      </c>
      <c r="DB176" s="443">
        <f t="shared" si="552"/>
        <v>270.66819471565844</v>
      </c>
      <c r="DD176" s="217">
        <f t="shared" si="553"/>
        <v>6.9494625094785683</v>
      </c>
      <c r="DE176" s="173">
        <f t="shared" si="554"/>
        <v>1.1380652890086853</v>
      </c>
      <c r="DF176" s="173">
        <f t="shared" si="555"/>
        <v>1.2501230996965573</v>
      </c>
      <c r="DG176" s="173"/>
      <c r="DH176" s="173">
        <f t="shared" si="556"/>
        <v>0.54587688734030204</v>
      </c>
      <c r="DI176" s="545">
        <f t="shared" si="557"/>
        <v>1813.5957446808513</v>
      </c>
      <c r="DJ176" s="528">
        <f t="shared" si="558"/>
        <v>0.31842818428184283</v>
      </c>
      <c r="DL176" s="173">
        <f t="shared" si="559"/>
        <v>7.8859653719772522</v>
      </c>
      <c r="DM176" s="173">
        <f t="shared" si="560"/>
        <v>8.9863232023721284</v>
      </c>
      <c r="DN176" s="173">
        <f t="shared" si="561"/>
        <v>5.3873999029916995</v>
      </c>
      <c r="DP176" s="545">
        <f t="shared" si="562"/>
        <v>1650.0000000000002</v>
      </c>
      <c r="DQ176" s="460">
        <f t="shared" si="563"/>
        <v>270.66819471565844</v>
      </c>
      <c r="DS176">
        <f t="shared" si="564"/>
        <v>1650.0000000000002</v>
      </c>
      <c r="DT176">
        <f t="shared" si="565"/>
        <v>270.66819471565844</v>
      </c>
      <c r="DV176" s="5">
        <f t="shared" si="566"/>
        <v>3.694560423142871</v>
      </c>
      <c r="DW176" s="5">
        <f t="shared" si="567"/>
        <v>2.2229325816394212</v>
      </c>
      <c r="DX176" s="5">
        <f t="shared" si="568"/>
        <v>1.4716278415034498</v>
      </c>
      <c r="DY176" s="173">
        <f t="shared" si="569"/>
        <v>0.60167714884696011</v>
      </c>
      <c r="EA176" s="5">
        <f t="shared" si="570"/>
        <v>13.099424141803734</v>
      </c>
      <c r="EB176" s="5">
        <f t="shared" si="571"/>
        <v>1.2226129199016815</v>
      </c>
      <c r="EC176" s="5">
        <f t="shared" si="572"/>
        <v>2.5559851984007285</v>
      </c>
      <c r="ED176" s="5"/>
      <c r="EE176" s="173">
        <f t="shared" si="573"/>
        <v>4.0244187698084968</v>
      </c>
      <c r="EF176" s="173">
        <f t="shared" si="574"/>
        <v>3.2744549364808209</v>
      </c>
      <c r="EG176" s="173">
        <f t="shared" si="575"/>
        <v>0.33012947310421392</v>
      </c>
      <c r="EH176" s="173"/>
      <c r="EI176" s="528">
        <f t="shared" si="576"/>
        <v>0.1943513572174432</v>
      </c>
      <c r="EJ176" s="528">
        <f t="shared" si="577"/>
        <v>2.2044042553191492</v>
      </c>
      <c r="EK176" s="528">
        <f t="shared" si="578"/>
        <v>3.1126842392300725E-2</v>
      </c>
      <c r="EL176" s="528">
        <f t="shared" si="579"/>
        <v>0.30330545360163585</v>
      </c>
      <c r="EM176">
        <f t="shared" si="580"/>
        <v>8.5500000000000003E-3</v>
      </c>
      <c r="EN176" s="460">
        <f t="shared" si="581"/>
        <v>39.676842392300721</v>
      </c>
      <c r="EP176" s="460">
        <f t="shared" si="601"/>
        <v>2741.7379085305292</v>
      </c>
      <c r="EQ176" s="173">
        <f t="shared" si="582"/>
        <v>1.155</v>
      </c>
      <c r="ER176" s="173">
        <f t="shared" si="583"/>
        <v>7.9034999999999994E-2</v>
      </c>
      <c r="ES176" s="528"/>
      <c r="EU176" s="460">
        <f t="shared" si="496"/>
        <v>1234.0350000000001</v>
      </c>
      <c r="EV176" s="528">
        <f t="shared" si="584"/>
        <v>0.22674325008701707</v>
      </c>
      <c r="EW176" s="528">
        <f t="shared" si="585"/>
        <v>0.15010877183461063</v>
      </c>
      <c r="EX176" s="528">
        <f t="shared" si="586"/>
        <v>5.4492734506032955E-4</v>
      </c>
      <c r="EY176" s="528">
        <f t="shared" si="587"/>
        <v>14.588752487337157</v>
      </c>
      <c r="EZ176" s="528"/>
      <c r="FA176" s="625">
        <f t="shared" si="588"/>
        <v>2.1857540667529869</v>
      </c>
      <c r="FB176" s="460">
        <f t="shared" si="497"/>
        <v>17151.903503356833</v>
      </c>
      <c r="FC176" s="173">
        <f t="shared" si="589"/>
        <v>21.127676411887361</v>
      </c>
      <c r="FD176" s="5">
        <f t="shared" si="590"/>
        <v>51.150000000000006</v>
      </c>
      <c r="FE176" s="173">
        <f t="shared" si="591"/>
        <v>0.70768738757611005</v>
      </c>
      <c r="FF176" s="5">
        <f t="shared" si="592"/>
        <v>70.768738757611004</v>
      </c>
      <c r="FG176">
        <f t="shared" si="593"/>
        <v>66</v>
      </c>
      <c r="FI176" s="562">
        <f t="shared" si="594"/>
        <v>-50</v>
      </c>
      <c r="FJ176">
        <f t="shared" si="595"/>
        <v>-50</v>
      </c>
    </row>
    <row r="177" spans="5:166">
      <c r="E177" s="170">
        <v>67</v>
      </c>
      <c r="F177" s="217">
        <f t="shared" si="596"/>
        <v>1.675</v>
      </c>
      <c r="G177" s="217">
        <f t="shared" si="498"/>
        <v>0.16750000000000001</v>
      </c>
      <c r="H177" s="217">
        <f t="shared" si="499"/>
        <v>46.9</v>
      </c>
      <c r="I177" s="217">
        <f t="shared" si="500"/>
        <v>5.0250000000000004</v>
      </c>
      <c r="J177" s="541">
        <f t="shared" si="501"/>
        <v>18.84960745657877</v>
      </c>
      <c r="K177" s="443">
        <f t="shared" si="502"/>
        <v>28.760992650291115</v>
      </c>
      <c r="L177" s="172">
        <f t="shared" si="503"/>
        <v>47.610600106869882</v>
      </c>
      <c r="M177" s="443"/>
      <c r="N177" s="217">
        <f t="shared" si="504"/>
        <v>0.60408800951326602</v>
      </c>
      <c r="O177" s="172">
        <f t="shared" si="505"/>
        <v>85.70726122565334</v>
      </c>
      <c r="P177" s="172">
        <f t="shared" si="506"/>
        <v>10.166805221920614</v>
      </c>
      <c r="Q177" s="217">
        <f t="shared" si="507"/>
        <v>3.0609736152019051</v>
      </c>
      <c r="R177" s="217">
        <f t="shared" si="508"/>
        <v>2.8569087075217778</v>
      </c>
      <c r="S177" s="217">
        <f t="shared" si="509"/>
        <v>28</v>
      </c>
      <c r="T177" s="217">
        <f t="shared" si="510"/>
        <v>9.1201918657587822</v>
      </c>
      <c r="U177" s="217">
        <f t="shared" si="511"/>
        <v>2.2740474499433589</v>
      </c>
      <c r="V177" s="217">
        <f t="shared" si="512"/>
        <v>1.4903832524233966</v>
      </c>
      <c r="W177" s="197">
        <f t="shared" si="513"/>
        <v>350</v>
      </c>
      <c r="X177" s="443">
        <f t="shared" si="597"/>
        <v>252.24302682425559</v>
      </c>
      <c r="Z177" s="217">
        <f t="shared" si="514"/>
        <v>6.9220801510948835</v>
      </c>
      <c r="AA177" s="173">
        <f t="shared" si="515"/>
        <v>1.1311771156763828</v>
      </c>
      <c r="AB177" s="173">
        <f t="shared" si="516"/>
        <v>1.2376607559032782</v>
      </c>
      <c r="AC177" s="173"/>
      <c r="AD177" s="173">
        <f t="shared" si="517"/>
        <v>0.54471926115902292</v>
      </c>
      <c r="AE177" s="545">
        <f t="shared" si="518"/>
        <v>1844.9870817154833</v>
      </c>
      <c r="AF177" s="528">
        <f t="shared" si="519"/>
        <v>0.31775290234276343</v>
      </c>
      <c r="AH177" s="173">
        <f t="shared" si="520"/>
        <v>7.9454829361182258</v>
      </c>
      <c r="AI177" s="173">
        <f t="shared" si="521"/>
        <v>9.1201918657587822</v>
      </c>
      <c r="AJ177" s="173">
        <f t="shared" si="522"/>
        <v>5.4865618758707022</v>
      </c>
      <c r="AL177" s="545">
        <f t="shared" si="523"/>
        <v>1675</v>
      </c>
      <c r="AM177" s="460">
        <f t="shared" si="524"/>
        <v>252.24302682425559</v>
      </c>
      <c r="AO177">
        <f t="shared" si="525"/>
        <v>1675</v>
      </c>
      <c r="AP177">
        <f t="shared" si="526"/>
        <v>252.24302682425559</v>
      </c>
      <c r="AR177" s="5">
        <f t="shared" si="442"/>
        <v>3.9644307023667555</v>
      </c>
      <c r="AS177" s="5">
        <f t="shared" si="439"/>
        <v>2.2740474499433589</v>
      </c>
      <c r="AT177" s="5">
        <f t="shared" si="440"/>
        <v>1.6903832524233966</v>
      </c>
      <c r="AU177" s="173">
        <f t="shared" si="441"/>
        <v>0.57361261191569279</v>
      </c>
      <c r="AW177" s="5">
        <f t="shared" si="475"/>
        <v>13.603676709482594</v>
      </c>
      <c r="AX177" s="5">
        <f t="shared" si="476"/>
        <v>1.2696764928850421</v>
      </c>
      <c r="AY177" s="5">
        <f t="shared" si="477"/>
        <v>3.0041919486455884</v>
      </c>
      <c r="AZ177" s="5"/>
      <c r="BA177" s="173">
        <f t="shared" si="478"/>
        <v>3.9879774440338318</v>
      </c>
      <c r="BB177" s="173">
        <f t="shared" si="479"/>
        <v>3.4383138981136674</v>
      </c>
      <c r="BC177" s="173">
        <f t="shared" si="480"/>
        <v>0.3466496798917878</v>
      </c>
      <c r="BD177" s="173"/>
      <c r="BE177" s="528">
        <f t="shared" si="481"/>
        <v>0.19084756912947137</v>
      </c>
      <c r="BF177" s="528">
        <f t="shared" si="527"/>
        <v>1.9988935581489644</v>
      </c>
      <c r="BG177" s="528">
        <f t="shared" si="482"/>
        <v>2.9007948084789396E-2</v>
      </c>
      <c r="BH177" s="528">
        <f t="shared" si="483"/>
        <v>0.28160004191336696</v>
      </c>
      <c r="BI177">
        <f t="shared" si="484"/>
        <v>8.4823233554604457E-3</v>
      </c>
      <c r="BJ177" s="460">
        <f t="shared" si="598"/>
        <v>37.490271440249842</v>
      </c>
      <c r="BK177">
        <f t="shared" si="528"/>
        <v>2.6427044571006708</v>
      </c>
      <c r="BL177" s="460">
        <f t="shared" si="599"/>
        <v>2508.8314406320528</v>
      </c>
      <c r="BM177" s="173">
        <f t="shared" si="529"/>
        <v>1.1232549999999999</v>
      </c>
      <c r="BN177" s="173">
        <f t="shared" si="530"/>
        <v>0.11232549999999999</v>
      </c>
      <c r="BO177" s="528"/>
      <c r="BQ177" s="460">
        <f t="shared" si="485"/>
        <v>1235.5805</v>
      </c>
      <c r="BR177" s="528">
        <f t="shared" si="486"/>
        <v>0.22265549731771661</v>
      </c>
      <c r="BS177" s="528">
        <f t="shared" si="487"/>
        <v>0.16550803446746243</v>
      </c>
      <c r="BT177" s="528">
        <f t="shared" si="488"/>
        <v>6.0083000284539472E-4</v>
      </c>
      <c r="BU177" s="528">
        <f t="shared" si="489"/>
        <v>12.691935735020893</v>
      </c>
      <c r="BV177" s="528"/>
      <c r="BW177" s="625">
        <f t="shared" si="531"/>
        <v>2.0981045177204298</v>
      </c>
      <c r="BX177" s="460">
        <f t="shared" si="490"/>
        <v>15178.804614529347</v>
      </c>
      <c r="BY177" s="173">
        <f t="shared" si="491"/>
        <v>18.9232165551614</v>
      </c>
      <c r="BZ177" s="5">
        <f t="shared" si="492"/>
        <v>51.924999999999997</v>
      </c>
      <c r="CA177" s="173">
        <f t="shared" si="493"/>
        <v>0.73290482844507376</v>
      </c>
      <c r="CB177" s="5">
        <f t="shared" si="494"/>
        <v>73.29048284450738</v>
      </c>
      <c r="CC177">
        <f t="shared" si="495"/>
        <v>67</v>
      </c>
      <c r="CE177" s="562">
        <f t="shared" si="532"/>
        <v>-50</v>
      </c>
      <c r="CF177">
        <f t="shared" si="533"/>
        <v>-50</v>
      </c>
      <c r="CG177" s="173">
        <f t="shared" si="534"/>
        <v>0.38447255346461451</v>
      </c>
      <c r="CH177" s="173">
        <f t="shared" si="535"/>
        <v>0.12467877742130107</v>
      </c>
      <c r="CI177" s="170">
        <v>67</v>
      </c>
      <c r="CJ177" s="217">
        <f t="shared" si="600"/>
        <v>1.675</v>
      </c>
      <c r="CK177" s="217">
        <f t="shared" si="536"/>
        <v>0.16750000000000001</v>
      </c>
      <c r="CL177" s="217">
        <f t="shared" si="537"/>
        <v>46.9</v>
      </c>
      <c r="CM177" s="217">
        <f t="shared" si="538"/>
        <v>5.0250000000000004</v>
      </c>
      <c r="CN177" s="541">
        <f t="shared" si="539"/>
        <v>19</v>
      </c>
      <c r="CO177" s="443">
        <f t="shared" si="540"/>
        <v>28.7</v>
      </c>
      <c r="CP177" s="443">
        <f t="shared" si="541"/>
        <v>47.7</v>
      </c>
      <c r="CQ177" s="443"/>
      <c r="CR177" s="217">
        <f t="shared" si="542"/>
        <v>0.59915611814345993</v>
      </c>
      <c r="CS177" s="172">
        <f t="shared" si="543"/>
        <v>85.685767433419556</v>
      </c>
      <c r="CT177" s="172">
        <f t="shared" si="544"/>
        <v>10.164255575647982</v>
      </c>
      <c r="CU177" s="217">
        <f t="shared" si="545"/>
        <v>3.0602059797649841</v>
      </c>
      <c r="CV177" s="217">
        <f t="shared" si="546"/>
        <v>2.8561922477806521</v>
      </c>
      <c r="CW177" s="217">
        <f t="shared" si="547"/>
        <v>28</v>
      </c>
      <c r="CX177" s="217">
        <f t="shared" si="548"/>
        <v>9.1224796145292792</v>
      </c>
      <c r="CY177" s="217">
        <f t="shared" si="549"/>
        <v>2.2566133783309272</v>
      </c>
      <c r="CZ177" s="217">
        <f t="shared" si="550"/>
        <v>1.4939252330413804</v>
      </c>
      <c r="DA177" s="197">
        <f t="shared" si="551"/>
        <v>350</v>
      </c>
      <c r="DB177" s="443">
        <f t="shared" si="552"/>
        <v>266.62837091393226</v>
      </c>
      <c r="DD177" s="217">
        <f t="shared" si="553"/>
        <v>6.9494625094785683</v>
      </c>
      <c r="DE177" s="173">
        <f t="shared" si="554"/>
        <v>1.1380652890086853</v>
      </c>
      <c r="DF177" s="173">
        <f t="shared" si="555"/>
        <v>1.2501230996965573</v>
      </c>
      <c r="DG177" s="173"/>
      <c r="DH177" s="173">
        <f t="shared" si="556"/>
        <v>0.54587688734030204</v>
      </c>
      <c r="DI177" s="545">
        <f t="shared" si="557"/>
        <v>1841.0744680851064</v>
      </c>
      <c r="DJ177" s="528">
        <f t="shared" si="558"/>
        <v>0.31842818428184283</v>
      </c>
      <c r="DL177" s="173">
        <f t="shared" si="559"/>
        <v>7.9454829361182258</v>
      </c>
      <c r="DM177" s="173">
        <f t="shared" si="560"/>
        <v>9.1224796145292792</v>
      </c>
      <c r="DN177" s="173">
        <f t="shared" si="561"/>
        <v>5.4882565045895895</v>
      </c>
      <c r="DP177" s="545">
        <f t="shared" si="562"/>
        <v>1675</v>
      </c>
      <c r="DQ177" s="460">
        <f t="shared" si="563"/>
        <v>266.62837091393226</v>
      </c>
      <c r="DS177">
        <f t="shared" si="564"/>
        <v>1675</v>
      </c>
      <c r="DT177">
        <f t="shared" si="565"/>
        <v>266.62837091393226</v>
      </c>
      <c r="DV177" s="5">
        <f t="shared" si="566"/>
        <v>3.7505386113723072</v>
      </c>
      <c r="DW177" s="5">
        <f t="shared" si="567"/>
        <v>2.2566133783309272</v>
      </c>
      <c r="DX177" s="5">
        <f t="shared" si="568"/>
        <v>1.4939252330413799</v>
      </c>
      <c r="DY177" s="173">
        <f t="shared" si="569"/>
        <v>0.60167714884696022</v>
      </c>
      <c r="EA177" s="5">
        <f t="shared" si="570"/>
        <v>13.499383602515369</v>
      </c>
      <c r="EB177" s="5">
        <f t="shared" si="571"/>
        <v>1.259942469568101</v>
      </c>
      <c r="EC177" s="5">
        <f t="shared" si="572"/>
        <v>2.6340260687834856</v>
      </c>
      <c r="ED177" s="5"/>
      <c r="EE177" s="173">
        <f t="shared" si="573"/>
        <v>4.0853948117752914</v>
      </c>
      <c r="EF177" s="173">
        <f t="shared" si="574"/>
        <v>3.3240678900638629</v>
      </c>
      <c r="EG177" s="173">
        <f t="shared" si="575"/>
        <v>0.33513143481791402</v>
      </c>
      <c r="EH177" s="173"/>
      <c r="EI177" s="528">
        <f t="shared" si="576"/>
        <v>0.20028540921696561</v>
      </c>
      <c r="EJ177" s="528">
        <f t="shared" si="577"/>
        <v>2.2044042553191492</v>
      </c>
      <c r="EK177" s="528">
        <f t="shared" si="578"/>
        <v>3.0662262655102215E-2</v>
      </c>
      <c r="EL177" s="528">
        <f t="shared" si="579"/>
        <v>0.29877850653295485</v>
      </c>
      <c r="EM177">
        <f t="shared" si="580"/>
        <v>8.5500000000000003E-3</v>
      </c>
      <c r="EN177" s="460">
        <f t="shared" si="581"/>
        <v>39.212262655102215</v>
      </c>
      <c r="EP177" s="460">
        <f t="shared" si="601"/>
        <v>2742.6804337241715</v>
      </c>
      <c r="EQ177" s="173">
        <f t="shared" si="582"/>
        <v>1.1724999999999999</v>
      </c>
      <c r="ER177" s="173">
        <f t="shared" si="583"/>
        <v>8.0232499999999998E-2</v>
      </c>
      <c r="ES177" s="528"/>
      <c r="EU177" s="460">
        <f t="shared" si="496"/>
        <v>1252.7324999999998</v>
      </c>
      <c r="EV177" s="528">
        <f t="shared" si="584"/>
        <v>0.23366631075312655</v>
      </c>
      <c r="EW177" s="528">
        <f t="shared" si="585"/>
        <v>0.15469198272855073</v>
      </c>
      <c r="EX177" s="528">
        <f t="shared" si="586"/>
        <v>5.6156539301556875E-4</v>
      </c>
      <c r="EY177" s="528">
        <f t="shared" si="587"/>
        <v>14.588752487337159</v>
      </c>
      <c r="EZ177" s="528"/>
      <c r="FA177" s="625">
        <f t="shared" si="588"/>
        <v>2.2188715526128804</v>
      </c>
      <c r="FB177" s="460">
        <f t="shared" si="497"/>
        <v>17196.543898824733</v>
      </c>
      <c r="FC177" s="173">
        <f t="shared" si="589"/>
        <v>21.191956832548904</v>
      </c>
      <c r="FD177" s="5">
        <f t="shared" si="590"/>
        <v>51.924999999999997</v>
      </c>
      <c r="FE177" s="173">
        <f t="shared" si="591"/>
        <v>0.71016358242203192</v>
      </c>
      <c r="FF177" s="5">
        <f t="shared" si="592"/>
        <v>71.016358242203196</v>
      </c>
      <c r="FG177">
        <f t="shared" si="593"/>
        <v>67</v>
      </c>
      <c r="FI177" s="562">
        <f t="shared" si="594"/>
        <v>-50</v>
      </c>
      <c r="FJ177">
        <f t="shared" si="595"/>
        <v>-50</v>
      </c>
    </row>
    <row r="178" spans="5:166">
      <c r="E178" s="170">
        <v>68</v>
      </c>
      <c r="F178" s="217">
        <f t="shared" si="596"/>
        <v>1.7000000000000002</v>
      </c>
      <c r="G178" s="217">
        <f t="shared" si="498"/>
        <v>0.17</v>
      </c>
      <c r="H178" s="217">
        <f t="shared" si="499"/>
        <v>47.600000000000009</v>
      </c>
      <c r="I178" s="217">
        <f t="shared" si="500"/>
        <v>5.1000000000000005</v>
      </c>
      <c r="J178" s="541">
        <f t="shared" si="501"/>
        <v>18.847362791751589</v>
      </c>
      <c r="K178" s="443">
        <f t="shared" si="502"/>
        <v>28.761902988355164</v>
      </c>
      <c r="L178" s="172">
        <f t="shared" si="503"/>
        <v>47.609265780106753</v>
      </c>
      <c r="M178" s="443"/>
      <c r="N178" s="217">
        <f t="shared" si="504"/>
        <v>0.60412406108504102</v>
      </c>
      <c r="O178" s="172">
        <f t="shared" si="505"/>
        <v>85.702169304809104</v>
      </c>
      <c r="P178" s="172">
        <f t="shared" si="506"/>
        <v>10.166201205800061</v>
      </c>
      <c r="Q178" s="217">
        <f t="shared" si="507"/>
        <v>3.0607917608860395</v>
      </c>
      <c r="R178" s="217">
        <f t="shared" si="508"/>
        <v>2.85673897682697</v>
      </c>
      <c r="S178" s="217">
        <f t="shared" si="509"/>
        <v>28</v>
      </c>
      <c r="T178" s="217">
        <f t="shared" si="510"/>
        <v>9.2568640883728044</v>
      </c>
      <c r="U178" s="217">
        <f t="shared" si="511"/>
        <v>2.3084004747015756</v>
      </c>
      <c r="V178" s="217">
        <f t="shared" si="512"/>
        <v>1.5126697712931918</v>
      </c>
      <c r="W178" s="197">
        <f t="shared" si="513"/>
        <v>350</v>
      </c>
      <c r="X178" s="443">
        <f t="shared" si="597"/>
        <v>248.69001007780486</v>
      </c>
      <c r="Z178" s="217">
        <f t="shared" si="514"/>
        <v>6.9216689060766363</v>
      </c>
      <c r="AA178" s="173">
        <f t="shared" si="515"/>
        <v>1.1310741111855973</v>
      </c>
      <c r="AB178" s="173">
        <f t="shared" si="516"/>
        <v>1.2374745315716749</v>
      </c>
      <c r="AC178" s="173"/>
      <c r="AD178" s="173">
        <f t="shared" si="517"/>
        <v>0.5447020203430083</v>
      </c>
      <c r="AE178" s="545">
        <f t="shared" si="518"/>
        <v>1872.5834711567406</v>
      </c>
      <c r="AF178" s="528">
        <f t="shared" si="519"/>
        <v>0.31774284520008816</v>
      </c>
      <c r="AH178" s="173">
        <f t="shared" si="520"/>
        <v>8.0045579720723801</v>
      </c>
      <c r="AI178" s="173">
        <f t="shared" si="521"/>
        <v>9.2568640883728044</v>
      </c>
      <c r="AJ178" s="173">
        <f t="shared" si="522"/>
        <v>5.5878005592884961</v>
      </c>
      <c r="AL178" s="545">
        <f t="shared" si="523"/>
        <v>1700.0000000000002</v>
      </c>
      <c r="AM178" s="460">
        <f t="shared" si="524"/>
        <v>248.69001007780486</v>
      </c>
      <c r="AO178">
        <f t="shared" si="525"/>
        <v>1700.0000000000002</v>
      </c>
      <c r="AP178">
        <f t="shared" si="526"/>
        <v>248.69001007780486</v>
      </c>
      <c r="AR178" s="5">
        <f t="shared" si="442"/>
        <v>4.0210702459947676</v>
      </c>
      <c r="AS178" s="5">
        <f t="shared" si="439"/>
        <v>2.3084004747015756</v>
      </c>
      <c r="AT178" s="5">
        <f t="shared" si="440"/>
        <v>1.712669771293192</v>
      </c>
      <c r="AU178" s="173">
        <f t="shared" si="441"/>
        <v>0.57407613731714435</v>
      </c>
      <c r="AW178" s="5">
        <f t="shared" si="475"/>
        <v>14.015288596402424</v>
      </c>
      <c r="AX178" s="5">
        <f t="shared" si="476"/>
        <v>1.3080936023308931</v>
      </c>
      <c r="AY178" s="5">
        <f t="shared" si="477"/>
        <v>3.0895978852517665</v>
      </c>
      <c r="AZ178" s="5"/>
      <c r="BA178" s="173">
        <f t="shared" si="478"/>
        <v>4.0493750945867708</v>
      </c>
      <c r="BB178" s="173">
        <f t="shared" si="479"/>
        <v>3.4879419328417347</v>
      </c>
      <c r="BC178" s="173">
        <f t="shared" si="480"/>
        <v>0.3516531620815847</v>
      </c>
      <c r="BD178" s="173"/>
      <c r="BE178" s="528">
        <f t="shared" si="481"/>
        <v>0.19676926387991545</v>
      </c>
      <c r="BF178" s="528">
        <f t="shared" si="527"/>
        <v>2.0002145403467493</v>
      </c>
      <c r="BG178" s="528">
        <f t="shared" si="482"/>
        <v>2.8599351158947562E-2</v>
      </c>
      <c r="BH178" s="528">
        <f t="shared" si="483"/>
        <v>0.27761794978872606</v>
      </c>
      <c r="BI178">
        <f t="shared" si="484"/>
        <v>8.4813132562882153E-3</v>
      </c>
      <c r="BJ178" s="460">
        <f t="shared" si="598"/>
        <v>37.080664415235773</v>
      </c>
      <c r="BK178">
        <f t="shared" si="528"/>
        <v>2.6517028676844494</v>
      </c>
      <c r="BL178" s="460">
        <f t="shared" si="599"/>
        <v>2511.6824184306265</v>
      </c>
      <c r="BM178" s="173">
        <f t="shared" si="529"/>
        <v>1.1400199999999998</v>
      </c>
      <c r="BN178" s="173">
        <f t="shared" si="530"/>
        <v>0.11400199999999999</v>
      </c>
      <c r="BO178" s="528"/>
      <c r="BQ178" s="460">
        <f t="shared" si="485"/>
        <v>1254.0219999999997</v>
      </c>
      <c r="BR178" s="528">
        <f t="shared" si="486"/>
        <v>0.22956414119323468</v>
      </c>
      <c r="BS178" s="528">
        <f t="shared" si="487"/>
        <v>0.17032034497626031</v>
      </c>
      <c r="BT178" s="528">
        <f t="shared" si="488"/>
        <v>6.1829973200988641E-4</v>
      </c>
      <c r="BU178" s="528">
        <f t="shared" si="489"/>
        <v>12.713805774899386</v>
      </c>
      <c r="BV178" s="528"/>
      <c r="BW178" s="625">
        <f t="shared" si="531"/>
        <v>2.1310130763310617</v>
      </c>
      <c r="BX178" s="460">
        <f t="shared" si="490"/>
        <v>15245.321637131952</v>
      </c>
      <c r="BY178" s="173">
        <f t="shared" si="491"/>
        <v>19.011026055562578</v>
      </c>
      <c r="BZ178" s="5">
        <f t="shared" si="492"/>
        <v>52.70000000000001</v>
      </c>
      <c r="CA178" s="173">
        <f t="shared" si="493"/>
        <v>0.73489396120433981</v>
      </c>
      <c r="CB178" s="5">
        <f t="shared" si="494"/>
        <v>73.48939612043398</v>
      </c>
      <c r="CC178">
        <f t="shared" si="495"/>
        <v>68</v>
      </c>
      <c r="CE178" s="562">
        <f t="shared" si="532"/>
        <v>-50</v>
      </c>
      <c r="CF178">
        <f t="shared" si="533"/>
        <v>-50</v>
      </c>
      <c r="CG178" s="173">
        <f t="shared" si="534"/>
        <v>0.38447255346461445</v>
      </c>
      <c r="CH178" s="173">
        <f t="shared" si="535"/>
        <v>0.12467877742130104</v>
      </c>
      <c r="CI178" s="170">
        <v>68</v>
      </c>
      <c r="CJ178" s="217">
        <f t="shared" si="600"/>
        <v>1.7000000000000002</v>
      </c>
      <c r="CK178" s="217">
        <f t="shared" si="536"/>
        <v>0.17</v>
      </c>
      <c r="CL178" s="217">
        <f t="shared" si="537"/>
        <v>47.600000000000009</v>
      </c>
      <c r="CM178" s="217">
        <f t="shared" si="538"/>
        <v>5.1000000000000005</v>
      </c>
      <c r="CN178" s="541">
        <f t="shared" si="539"/>
        <v>19</v>
      </c>
      <c r="CO178" s="443">
        <f t="shared" si="540"/>
        <v>28.7</v>
      </c>
      <c r="CP178" s="443">
        <f t="shared" si="541"/>
        <v>47.7</v>
      </c>
      <c r="CQ178" s="443"/>
      <c r="CR178" s="217">
        <f t="shared" si="542"/>
        <v>0.59915611814345993</v>
      </c>
      <c r="CS178" s="172">
        <f t="shared" si="543"/>
        <v>85.685767433419556</v>
      </c>
      <c r="CT178" s="172">
        <f t="shared" si="544"/>
        <v>10.164255575647982</v>
      </c>
      <c r="CU178" s="217">
        <f t="shared" si="545"/>
        <v>3.0602059797649841</v>
      </c>
      <c r="CV178" s="217">
        <f t="shared" si="546"/>
        <v>2.8561922477806521</v>
      </c>
      <c r="CW178" s="217">
        <f t="shared" si="547"/>
        <v>28</v>
      </c>
      <c r="CX178" s="217">
        <f t="shared" si="548"/>
        <v>9.2586360266864354</v>
      </c>
      <c r="CY178" s="217">
        <f t="shared" si="549"/>
        <v>2.2902941750224342</v>
      </c>
      <c r="CZ178" s="217">
        <f t="shared" si="550"/>
        <v>1.5162226245793118</v>
      </c>
      <c r="DA178" s="197">
        <f t="shared" si="551"/>
        <v>350</v>
      </c>
      <c r="DB178" s="443">
        <f t="shared" si="552"/>
        <v>262.70736545931555</v>
      </c>
      <c r="DD178" s="217">
        <f t="shared" si="553"/>
        <v>6.9494625094785683</v>
      </c>
      <c r="DE178" s="173">
        <f t="shared" si="554"/>
        <v>1.1380652890086853</v>
      </c>
      <c r="DF178" s="173">
        <f t="shared" si="555"/>
        <v>1.2501230996965573</v>
      </c>
      <c r="DG178" s="173"/>
      <c r="DH178" s="173">
        <f t="shared" si="556"/>
        <v>0.54587688734030204</v>
      </c>
      <c r="DI178" s="545">
        <f t="shared" si="557"/>
        <v>1868.553191489362</v>
      </c>
      <c r="DJ178" s="528">
        <f t="shared" si="558"/>
        <v>0.31842818428184283</v>
      </c>
      <c r="DL178" s="173">
        <f t="shared" si="559"/>
        <v>8.0045579720723801</v>
      </c>
      <c r="DM178" s="173">
        <f t="shared" si="560"/>
        <v>9.2586360266864354</v>
      </c>
      <c r="DN178" s="173">
        <f t="shared" si="561"/>
        <v>5.589113106187483</v>
      </c>
      <c r="DP178" s="545">
        <f t="shared" si="562"/>
        <v>1700.0000000000002</v>
      </c>
      <c r="DQ178" s="460">
        <f t="shared" si="563"/>
        <v>262.70736545931555</v>
      </c>
      <c r="DS178">
        <f t="shared" si="564"/>
        <v>1700.0000000000002</v>
      </c>
      <c r="DT178">
        <f t="shared" si="565"/>
        <v>262.70736545931555</v>
      </c>
      <c r="DV178" s="5">
        <f t="shared" si="566"/>
        <v>3.8065167996017459</v>
      </c>
      <c r="DW178" s="5">
        <f t="shared" si="567"/>
        <v>2.2902941750224342</v>
      </c>
      <c r="DX178" s="5">
        <f t="shared" si="568"/>
        <v>1.5162226245793118</v>
      </c>
      <c r="DY178" s="173">
        <f t="shared" si="569"/>
        <v>0.60167714884696022</v>
      </c>
      <c r="EA178" s="5">
        <f t="shared" si="570"/>
        <v>13.905357491207637</v>
      </c>
      <c r="EB178" s="5">
        <f t="shared" si="571"/>
        <v>1.2978333658460461</v>
      </c>
      <c r="EC178" s="5">
        <f t="shared" si="572"/>
        <v>2.7132404860892949</v>
      </c>
      <c r="ED178" s="5"/>
      <c r="EE178" s="173">
        <f t="shared" si="573"/>
        <v>4.1463708537420887</v>
      </c>
      <c r="EF178" s="173">
        <f t="shared" si="574"/>
        <v>3.3736808436469063</v>
      </c>
      <c r="EG178" s="173">
        <f t="shared" si="575"/>
        <v>0.3401333965316144</v>
      </c>
      <c r="EH178" s="173"/>
      <c r="EI178" s="528">
        <f t="shared" si="576"/>
        <v>0.20630869508114277</v>
      </c>
      <c r="EJ178" s="528">
        <f t="shared" si="577"/>
        <v>2.2044042553191492</v>
      </c>
      <c r="EK178" s="528">
        <f t="shared" si="578"/>
        <v>3.021134702782129E-2</v>
      </c>
      <c r="EL178" s="528">
        <f t="shared" si="579"/>
        <v>0.29438470496629365</v>
      </c>
      <c r="EM178">
        <f t="shared" si="580"/>
        <v>8.5500000000000003E-3</v>
      </c>
      <c r="EN178" s="460">
        <f t="shared" si="581"/>
        <v>38.761347027821287</v>
      </c>
      <c r="EP178" s="460">
        <f t="shared" si="601"/>
        <v>2743.8590023944071</v>
      </c>
      <c r="EQ178" s="173">
        <f t="shared" si="582"/>
        <v>1.19</v>
      </c>
      <c r="ER178" s="173">
        <f t="shared" si="583"/>
        <v>8.1430000000000002E-2</v>
      </c>
      <c r="ES178" s="528"/>
      <c r="EU178" s="460">
        <f t="shared" si="496"/>
        <v>1271.43</v>
      </c>
      <c r="EV178" s="528">
        <f t="shared" si="584"/>
        <v>0.24069347759466658</v>
      </c>
      <c r="EW178" s="528">
        <f t="shared" si="585"/>
        <v>0.15934411408706145</v>
      </c>
      <c r="EX178" s="528">
        <f t="shared" si="586"/>
        <v>5.7845363718066222E-4</v>
      </c>
      <c r="EY178" s="528">
        <f t="shared" si="587"/>
        <v>14.588752487337121</v>
      </c>
      <c r="EZ178" s="528"/>
      <c r="FA178" s="625">
        <f t="shared" si="588"/>
        <v>2.2519890384727752</v>
      </c>
      <c r="FB178" s="460">
        <f t="shared" si="497"/>
        <v>17241.357571128807</v>
      </c>
      <c r="FC178" s="173">
        <f t="shared" si="589"/>
        <v>21.256646573523209</v>
      </c>
      <c r="FD178" s="5">
        <f t="shared" si="590"/>
        <v>52.70000000000001</v>
      </c>
      <c r="FE178" s="173">
        <f t="shared" si="591"/>
        <v>0.71257963200925911</v>
      </c>
      <c r="FF178" s="5">
        <f t="shared" si="592"/>
        <v>71.257963200925914</v>
      </c>
      <c r="FG178">
        <f t="shared" si="593"/>
        <v>68</v>
      </c>
      <c r="FI178" s="562">
        <f t="shared" si="594"/>
        <v>-50</v>
      </c>
      <c r="FJ178">
        <f t="shared" si="595"/>
        <v>-50</v>
      </c>
    </row>
    <row r="179" spans="5:166">
      <c r="E179" s="170">
        <v>69</v>
      </c>
      <c r="F179" s="217">
        <f t="shared" si="596"/>
        <v>1.7249999999999999</v>
      </c>
      <c r="G179" s="217">
        <f t="shared" si="498"/>
        <v>0.17249999999999999</v>
      </c>
      <c r="H179" s="217">
        <f t="shared" si="499"/>
        <v>48.3</v>
      </c>
      <c r="I179" s="217">
        <f t="shared" si="500"/>
        <v>5.1749999999999998</v>
      </c>
      <c r="J179" s="541">
        <f t="shared" si="501"/>
        <v>18.845118126924408</v>
      </c>
      <c r="K179" s="443">
        <f t="shared" si="502"/>
        <v>28.762813326419209</v>
      </c>
      <c r="L179" s="172">
        <f t="shared" si="503"/>
        <v>47.607931453343618</v>
      </c>
      <c r="M179" s="443"/>
      <c r="N179" s="217">
        <f t="shared" si="504"/>
        <v>0.60416011467768005</v>
      </c>
      <c r="O179" s="172">
        <f t="shared" si="505"/>
        <v>85.697076452408112</v>
      </c>
      <c r="P179" s="172">
        <f t="shared" si="506"/>
        <v>10.165597079175962</v>
      </c>
      <c r="Q179" s="217">
        <f t="shared" si="507"/>
        <v>3.0606098733002898</v>
      </c>
      <c r="R179" s="217">
        <f t="shared" si="508"/>
        <v>2.8565692150802704</v>
      </c>
      <c r="S179" s="217">
        <f t="shared" si="509"/>
        <v>28</v>
      </c>
      <c r="T179" s="217">
        <f t="shared" si="510"/>
        <v>9.3935526545885946</v>
      </c>
      <c r="U179" s="217">
        <f t="shared" si="511"/>
        <v>2.3427657592386648</v>
      </c>
      <c r="V179" s="217">
        <f t="shared" si="512"/>
        <v>1.5349575500674</v>
      </c>
      <c r="W179" s="197">
        <f t="shared" si="513"/>
        <v>350</v>
      </c>
      <c r="X179" s="443">
        <f t="shared" si="597"/>
        <v>245.23488332762261</v>
      </c>
      <c r="Z179" s="217">
        <f t="shared" si="514"/>
        <v>6.9212575858219321</v>
      </c>
      <c r="AA179" s="173">
        <f t="shared" si="515"/>
        <v>1.1309711009209145</v>
      </c>
      <c r="AB179" s="173">
        <f t="shared" si="516"/>
        <v>1.2372883008648994</v>
      </c>
      <c r="AC179" s="173"/>
      <c r="AD179" s="173">
        <f t="shared" si="517"/>
        <v>0.54468478061833137</v>
      </c>
      <c r="AE179" s="545">
        <f t="shared" si="518"/>
        <v>1900.1816037985454</v>
      </c>
      <c r="AF179" s="528">
        <f t="shared" si="519"/>
        <v>0.31773278869402671</v>
      </c>
      <c r="AH179" s="173">
        <f t="shared" si="520"/>
        <v>8.0632002063938017</v>
      </c>
      <c r="AI179" s="173">
        <f t="shared" si="521"/>
        <v>9.3935526545885946</v>
      </c>
      <c r="AJ179" s="173">
        <f t="shared" si="522"/>
        <v>5.6890513490779711</v>
      </c>
      <c r="AL179" s="545">
        <f t="shared" si="523"/>
        <v>1724.9999999999998</v>
      </c>
      <c r="AM179" s="460">
        <f t="shared" si="524"/>
        <v>245.23488332762261</v>
      </c>
      <c r="AO179">
        <f t="shared" si="525"/>
        <v>1724.9999999999998</v>
      </c>
      <c r="AP179">
        <f t="shared" si="526"/>
        <v>245.23488332762261</v>
      </c>
      <c r="AR179" s="5">
        <f t="shared" si="442"/>
        <v>4.077723309306065</v>
      </c>
      <c r="AS179" s="5">
        <f t="shared" ref="AS179:AS242" si="602">L*AI179/J179*1000000</f>
        <v>2.3427657592386648</v>
      </c>
      <c r="AT179" s="5">
        <f t="shared" ref="AT179:AT242" si="603">AR179-AS179</f>
        <v>1.7349575500674002</v>
      </c>
      <c r="AU179" s="173">
        <f t="shared" ref="AU179:AU242" si="604">AS179/AR179</f>
        <v>0.57452788763084317</v>
      </c>
      <c r="AW179" s="5">
        <f t="shared" si="475"/>
        <v>14.433110481023917</v>
      </c>
      <c r="AX179" s="5">
        <f t="shared" si="476"/>
        <v>1.3470903115622321</v>
      </c>
      <c r="AY179" s="5">
        <f t="shared" si="477"/>
        <v>3.1762090889633505</v>
      </c>
      <c r="AZ179" s="5"/>
      <c r="BA179" s="173">
        <f t="shared" si="478"/>
        <v>4.1107853853845979</v>
      </c>
      <c r="BB179" s="173">
        <f t="shared" si="479"/>
        <v>3.5375679979544161</v>
      </c>
      <c r="BC179" s="173">
        <f t="shared" si="480"/>
        <v>0.35665644569540422</v>
      </c>
      <c r="BD179" s="173"/>
      <c r="BE179" s="528">
        <f t="shared" si="481"/>
        <v>0.20278267781629916</v>
      </c>
      <c r="BF179" s="528">
        <f t="shared" si="527"/>
        <v>2.0014940395757663</v>
      </c>
      <c r="BG179" s="528">
        <f t="shared" si="482"/>
        <v>2.8202011582676604E-2</v>
      </c>
      <c r="BH179" s="528">
        <f t="shared" si="483"/>
        <v>0.27374557330953309</v>
      </c>
      <c r="BI179">
        <f t="shared" si="484"/>
        <v>8.4803031571159832E-3</v>
      </c>
      <c r="BJ179" s="460">
        <f t="shared" si="598"/>
        <v>36.682314739792588</v>
      </c>
      <c r="BK179">
        <f t="shared" si="528"/>
        <v>2.6609828662552228</v>
      </c>
      <c r="BL179" s="460">
        <f t="shared" si="599"/>
        <v>2514.7046054413909</v>
      </c>
      <c r="BM179" s="173">
        <f t="shared" si="529"/>
        <v>1.1567849999999997</v>
      </c>
      <c r="BN179" s="173">
        <f t="shared" si="530"/>
        <v>0.11567849999999998</v>
      </c>
      <c r="BO179" s="528"/>
      <c r="BQ179" s="460">
        <f t="shared" si="485"/>
        <v>1272.4634999999998</v>
      </c>
      <c r="BR179" s="528">
        <f t="shared" si="486"/>
        <v>0.23657979078568236</v>
      </c>
      <c r="BS179" s="528">
        <f t="shared" si="487"/>
        <v>0.17520142276211703</v>
      </c>
      <c r="BT179" s="528">
        <f t="shared" si="488"/>
        <v>6.3601910128039416E-4</v>
      </c>
      <c r="BU179" s="528">
        <f t="shared" si="489"/>
        <v>12.735039761776697</v>
      </c>
      <c r="BV179" s="528"/>
      <c r="BW179" s="625">
        <f t="shared" si="531"/>
        <v>2.1639239541621733</v>
      </c>
      <c r="BX179" s="460">
        <f t="shared" si="490"/>
        <v>15311.380948587952</v>
      </c>
      <c r="BY179" s="173">
        <f t="shared" si="491"/>
        <v>19.098549054029341</v>
      </c>
      <c r="BZ179" s="5">
        <f t="shared" si="492"/>
        <v>53.474999999999994</v>
      </c>
      <c r="CA179" s="173">
        <f t="shared" si="493"/>
        <v>0.73683870634725446</v>
      </c>
      <c r="CB179" s="5">
        <f t="shared" si="494"/>
        <v>73.683870634725452</v>
      </c>
      <c r="CC179">
        <f t="shared" si="495"/>
        <v>69</v>
      </c>
      <c r="CE179" s="562">
        <f t="shared" si="532"/>
        <v>-50</v>
      </c>
      <c r="CF179">
        <f t="shared" si="533"/>
        <v>-50</v>
      </c>
      <c r="CG179" s="173">
        <f t="shared" si="534"/>
        <v>0.38447255346461445</v>
      </c>
      <c r="CH179" s="173">
        <f t="shared" si="535"/>
        <v>0.12467877742130105</v>
      </c>
      <c r="CI179" s="170">
        <v>69</v>
      </c>
      <c r="CJ179" s="217">
        <f t="shared" si="600"/>
        <v>1.7249999999999999</v>
      </c>
      <c r="CK179" s="217">
        <f t="shared" si="536"/>
        <v>0.17249999999999999</v>
      </c>
      <c r="CL179" s="217">
        <f t="shared" si="537"/>
        <v>48.3</v>
      </c>
      <c r="CM179" s="217">
        <f t="shared" si="538"/>
        <v>5.1749999999999998</v>
      </c>
      <c r="CN179" s="541">
        <f t="shared" si="539"/>
        <v>19</v>
      </c>
      <c r="CO179" s="443">
        <f t="shared" si="540"/>
        <v>28.7</v>
      </c>
      <c r="CP179" s="443">
        <f t="shared" si="541"/>
        <v>47.7</v>
      </c>
      <c r="CQ179" s="443"/>
      <c r="CR179" s="217">
        <f t="shared" si="542"/>
        <v>0.59915611814345993</v>
      </c>
      <c r="CS179" s="172">
        <f t="shared" si="543"/>
        <v>85.685767433419556</v>
      </c>
      <c r="CT179" s="172">
        <f t="shared" si="544"/>
        <v>10.164255575647982</v>
      </c>
      <c r="CU179" s="217">
        <f t="shared" si="545"/>
        <v>3.0602059797649841</v>
      </c>
      <c r="CV179" s="217">
        <f t="shared" si="546"/>
        <v>2.8561922477806521</v>
      </c>
      <c r="CW179" s="217">
        <f t="shared" si="547"/>
        <v>28</v>
      </c>
      <c r="CX179" s="217">
        <f t="shared" si="548"/>
        <v>9.3947924388435862</v>
      </c>
      <c r="CY179" s="217">
        <f t="shared" si="549"/>
        <v>2.3239749717139397</v>
      </c>
      <c r="CZ179" s="217">
        <f t="shared" si="550"/>
        <v>1.5385200161172425</v>
      </c>
      <c r="DA179" s="197">
        <f t="shared" si="551"/>
        <v>350</v>
      </c>
      <c r="DB179" s="443">
        <f t="shared" si="552"/>
        <v>258.90001233671683</v>
      </c>
      <c r="DD179" s="217">
        <f t="shared" si="553"/>
        <v>6.9494625094785683</v>
      </c>
      <c r="DE179" s="173">
        <f t="shared" si="554"/>
        <v>1.1380652890086853</v>
      </c>
      <c r="DF179" s="173">
        <f t="shared" si="555"/>
        <v>1.2501230996965573</v>
      </c>
      <c r="DG179" s="173"/>
      <c r="DH179" s="173">
        <f t="shared" si="556"/>
        <v>0.54587688734030204</v>
      </c>
      <c r="DI179" s="545">
        <f t="shared" si="557"/>
        <v>1896.0319148936167</v>
      </c>
      <c r="DJ179" s="528">
        <f t="shared" si="558"/>
        <v>0.31842818428184283</v>
      </c>
      <c r="DL179" s="173">
        <f t="shared" si="559"/>
        <v>8.0632002063938017</v>
      </c>
      <c r="DM179" s="173">
        <f t="shared" si="560"/>
        <v>9.3947924388435862</v>
      </c>
      <c r="DN179" s="173">
        <f t="shared" si="561"/>
        <v>5.6899697077853721</v>
      </c>
      <c r="DP179" s="545">
        <f t="shared" si="562"/>
        <v>1724.9999999999998</v>
      </c>
      <c r="DQ179" s="460">
        <f t="shared" si="563"/>
        <v>258.90001233671683</v>
      </c>
      <c r="DS179">
        <f t="shared" si="564"/>
        <v>1724.9999999999998</v>
      </c>
      <c r="DT179">
        <f t="shared" si="565"/>
        <v>258.90001233671683</v>
      </c>
      <c r="DV179" s="5">
        <f t="shared" si="566"/>
        <v>3.8624949878311825</v>
      </c>
      <c r="DW179" s="5">
        <f t="shared" si="567"/>
        <v>2.3239749717139397</v>
      </c>
      <c r="DX179" s="5">
        <f t="shared" si="568"/>
        <v>1.5385200161172428</v>
      </c>
      <c r="DY179" s="173">
        <f t="shared" si="569"/>
        <v>0.60167714884696011</v>
      </c>
      <c r="EA179" s="5">
        <f t="shared" si="570"/>
        <v>14.317345807880519</v>
      </c>
      <c r="EB179" s="5">
        <f t="shared" si="571"/>
        <v>1.3362856087355151</v>
      </c>
      <c r="EC179" s="5">
        <f t="shared" si="572"/>
        <v>2.7936284503181508</v>
      </c>
      <c r="ED179" s="5"/>
      <c r="EE179" s="173">
        <f t="shared" si="573"/>
        <v>4.2073468957088824</v>
      </c>
      <c r="EF179" s="173">
        <f t="shared" si="574"/>
        <v>3.4232937972299484</v>
      </c>
      <c r="EG179" s="173">
        <f t="shared" si="575"/>
        <v>0.34513535824531444</v>
      </c>
      <c r="EH179" s="173"/>
      <c r="EI179" s="528">
        <f t="shared" si="576"/>
        <v>0.21242121480997403</v>
      </c>
      <c r="EJ179" s="528">
        <f t="shared" si="577"/>
        <v>2.2044042553191492</v>
      </c>
      <c r="EK179" s="528">
        <f t="shared" si="578"/>
        <v>2.9773501418722439E-2</v>
      </c>
      <c r="EL179" s="528">
        <f t="shared" si="579"/>
        <v>0.2901182599667822</v>
      </c>
      <c r="EM179">
        <f t="shared" si="580"/>
        <v>8.5500000000000003E-3</v>
      </c>
      <c r="EN179" s="460">
        <f t="shared" si="581"/>
        <v>38.323501418722444</v>
      </c>
      <c r="EP179" s="460">
        <f t="shared" si="601"/>
        <v>2745.2672315146283</v>
      </c>
      <c r="EQ179" s="173">
        <f t="shared" si="582"/>
        <v>1.2074999999999998</v>
      </c>
      <c r="ER179" s="173">
        <f t="shared" si="583"/>
        <v>8.2627499999999993E-2</v>
      </c>
      <c r="ES179" s="528"/>
      <c r="EU179" s="460">
        <f t="shared" si="496"/>
        <v>1290.1274999999998</v>
      </c>
      <c r="EV179" s="528">
        <f t="shared" si="584"/>
        <v>0.24782475061163636</v>
      </c>
      <c r="EW179" s="528">
        <f t="shared" si="585"/>
        <v>0.16406516591014256</v>
      </c>
      <c r="EX179" s="528">
        <f t="shared" si="586"/>
        <v>5.955920775556077E-4</v>
      </c>
      <c r="EY179" s="528">
        <f t="shared" si="587"/>
        <v>14.588752487337159</v>
      </c>
      <c r="EZ179" s="528"/>
      <c r="FA179" s="625">
        <f t="shared" si="588"/>
        <v>2.2851065243326678</v>
      </c>
      <c r="FB179" s="460">
        <f t="shared" si="497"/>
        <v>17286.344520269162</v>
      </c>
      <c r="FC179" s="173">
        <f t="shared" si="589"/>
        <v>21.321739251783789</v>
      </c>
      <c r="FD179" s="5">
        <f t="shared" si="590"/>
        <v>53.474999999999994</v>
      </c>
      <c r="FE179" s="173">
        <f t="shared" si="591"/>
        <v>0.71493758330814805</v>
      </c>
      <c r="FF179" s="5">
        <f t="shared" si="592"/>
        <v>71.493758330814799</v>
      </c>
      <c r="FG179">
        <f t="shared" si="593"/>
        <v>69</v>
      </c>
      <c r="FI179" s="562">
        <f t="shared" si="594"/>
        <v>-50</v>
      </c>
      <c r="FJ179">
        <f t="shared" si="595"/>
        <v>-50</v>
      </c>
    </row>
    <row r="180" spans="5:166">
      <c r="E180" s="170">
        <v>70</v>
      </c>
      <c r="F180" s="217">
        <f t="shared" si="596"/>
        <v>1.75</v>
      </c>
      <c r="G180" s="217">
        <f t="shared" si="498"/>
        <v>0.17499999999999999</v>
      </c>
      <c r="H180" s="217">
        <f t="shared" si="499"/>
        <v>49</v>
      </c>
      <c r="I180" s="217">
        <f t="shared" si="500"/>
        <v>5.25</v>
      </c>
      <c r="J180" s="541">
        <f t="shared" si="501"/>
        <v>18.842873462097224</v>
      </c>
      <c r="K180" s="443">
        <f t="shared" si="502"/>
        <v>28.763723664483255</v>
      </c>
      <c r="L180" s="172">
        <f t="shared" si="503"/>
        <v>47.606597126580482</v>
      </c>
      <c r="M180" s="443"/>
      <c r="N180" s="217">
        <f t="shared" si="504"/>
        <v>0.60419617029135297</v>
      </c>
      <c r="O180" s="172">
        <f t="shared" si="505"/>
        <v>85.691982668372006</v>
      </c>
      <c r="P180" s="172">
        <f t="shared" si="506"/>
        <v>10.164992842039027</v>
      </c>
      <c r="Q180" s="217">
        <f t="shared" si="507"/>
        <v>3.0604279524418572</v>
      </c>
      <c r="R180" s="217">
        <f t="shared" si="508"/>
        <v>2.856399422279067</v>
      </c>
      <c r="S180" s="217">
        <f t="shared" si="509"/>
        <v>28</v>
      </c>
      <c r="T180" s="217">
        <f t="shared" si="510"/>
        <v>9.5302575717866951</v>
      </c>
      <c r="U180" s="217">
        <f t="shared" si="511"/>
        <v>2.377143309776919</v>
      </c>
      <c r="V180" s="217">
        <f t="shared" si="512"/>
        <v>1.5572465898323795</v>
      </c>
      <c r="W180" s="197">
        <f t="shared" si="513"/>
        <v>350</v>
      </c>
      <c r="X180" s="443">
        <f t="shared" si="597"/>
        <v>241.87365591583423</v>
      </c>
      <c r="Z180" s="217">
        <f t="shared" si="514"/>
        <v>6.9208461903244434</v>
      </c>
      <c r="AA180" s="173">
        <f t="shared" si="515"/>
        <v>1.1308680848818484</v>
      </c>
      <c r="AB180" s="173">
        <f t="shared" si="516"/>
        <v>1.2371020637860903</v>
      </c>
      <c r="AC180" s="173"/>
      <c r="AD180" s="173">
        <f t="shared" si="517"/>
        <v>0.54466754198488854</v>
      </c>
      <c r="AE180" s="545">
        <f t="shared" si="518"/>
        <v>1927.7814796408991</v>
      </c>
      <c r="AF180" s="528">
        <f t="shared" si="519"/>
        <v>0.31772273282451835</v>
      </c>
      <c r="AH180" s="173">
        <f t="shared" si="520"/>
        <v>8.1214190144648146</v>
      </c>
      <c r="AI180" s="173">
        <f t="shared" si="521"/>
        <v>9.5302575717866951</v>
      </c>
      <c r="AJ180" s="173">
        <f t="shared" si="522"/>
        <v>5.7903142507061931</v>
      </c>
      <c r="AL180" s="545">
        <f t="shared" si="523"/>
        <v>1750</v>
      </c>
      <c r="AM180" s="460">
        <f t="shared" si="524"/>
        <v>241.87365591583423</v>
      </c>
      <c r="AO180">
        <f t="shared" si="525"/>
        <v>1750</v>
      </c>
      <c r="AP180">
        <f t="shared" si="526"/>
        <v>241.87365591583423</v>
      </c>
      <c r="AR180" s="5">
        <f t="shared" si="442"/>
        <v>4.1343898996092987</v>
      </c>
      <c r="AS180" s="5">
        <f t="shared" si="602"/>
        <v>2.377143309776919</v>
      </c>
      <c r="AT180" s="5">
        <f t="shared" si="603"/>
        <v>1.7572465898323797</v>
      </c>
      <c r="AU180" s="173">
        <f t="shared" si="604"/>
        <v>0.57496834297160992</v>
      </c>
      <c r="AW180" s="5">
        <f t="shared" si="475"/>
        <v>14.857145686105744</v>
      </c>
      <c r="AX180" s="5">
        <f t="shared" si="476"/>
        <v>1.3866669307032029</v>
      </c>
      <c r="AY180" s="5">
        <f t="shared" si="477"/>
        <v>3.2640260928275584</v>
      </c>
      <c r="AZ180" s="5"/>
      <c r="BA180" s="173">
        <f t="shared" si="478"/>
        <v>4.1722082530684474</v>
      </c>
      <c r="BB180" s="173">
        <f t="shared" si="479"/>
        <v>3.5871922290133007</v>
      </c>
      <c r="BC180" s="173">
        <f t="shared" si="480"/>
        <v>0.36165954440052128</v>
      </c>
      <c r="BD180" s="173"/>
      <c r="BE180" s="528">
        <f t="shared" si="481"/>
        <v>0.20888786048366961</v>
      </c>
      <c r="BF180" s="528">
        <f t="shared" si="527"/>
        <v>2.0027337463146089</v>
      </c>
      <c r="BG180" s="528">
        <f t="shared" si="482"/>
        <v>2.781547043032094E-2</v>
      </c>
      <c r="BH180" s="528">
        <f t="shared" si="483"/>
        <v>0.26997843972503832</v>
      </c>
      <c r="BI180">
        <f t="shared" si="484"/>
        <v>8.4792930579437511E-3</v>
      </c>
      <c r="BJ180" s="460">
        <f t="shared" si="598"/>
        <v>36.294763488264692</v>
      </c>
      <c r="BK180">
        <f t="shared" si="528"/>
        <v>2.6705435329357172</v>
      </c>
      <c r="BL180" s="460">
        <f t="shared" si="599"/>
        <v>2517.8948100115808</v>
      </c>
      <c r="BM180" s="173">
        <f t="shared" si="529"/>
        <v>1.1735499999999999</v>
      </c>
      <c r="BN180" s="173">
        <f t="shared" si="530"/>
        <v>0.11735499999999997</v>
      </c>
      <c r="BO180" s="528"/>
      <c r="BQ180" s="460">
        <f t="shared" si="485"/>
        <v>1290.9049999999997</v>
      </c>
      <c r="BR180" s="528">
        <f t="shared" si="486"/>
        <v>0.24370250389761455</v>
      </c>
      <c r="BS180" s="528">
        <f t="shared" si="487"/>
        <v>0.18015127323050781</v>
      </c>
      <c r="BT180" s="528">
        <f t="shared" si="488"/>
        <v>6.5398813027996313E-4</v>
      </c>
      <c r="BU180" s="528">
        <f t="shared" si="489"/>
        <v>12.755662587077397</v>
      </c>
      <c r="BV180" s="528"/>
      <c r="BW180" s="625">
        <f t="shared" si="531"/>
        <v>2.1968370567367317</v>
      </c>
      <c r="BX180" s="460">
        <f t="shared" si="490"/>
        <v>15377.007409072532</v>
      </c>
      <c r="BY180" s="173">
        <f t="shared" si="491"/>
        <v>19.185807219084111</v>
      </c>
      <c r="BZ180" s="5">
        <f t="shared" si="492"/>
        <v>54.25</v>
      </c>
      <c r="CA180" s="173">
        <f t="shared" si="493"/>
        <v>0.73874043269046819</v>
      </c>
      <c r="CB180" s="5">
        <f t="shared" si="494"/>
        <v>73.874043269046823</v>
      </c>
      <c r="CC180">
        <f t="shared" si="495"/>
        <v>70</v>
      </c>
      <c r="CE180" s="562">
        <f t="shared" si="532"/>
        <v>-50</v>
      </c>
      <c r="CF180">
        <f t="shared" si="533"/>
        <v>-50</v>
      </c>
      <c r="CG180" s="173">
        <f t="shared" si="534"/>
        <v>0.38447255346461451</v>
      </c>
      <c r="CH180" s="173">
        <f t="shared" si="535"/>
        <v>0.12467877742130107</v>
      </c>
      <c r="CI180" s="170">
        <v>70</v>
      </c>
      <c r="CJ180" s="217">
        <f t="shared" si="600"/>
        <v>1.75</v>
      </c>
      <c r="CK180" s="217">
        <f t="shared" si="536"/>
        <v>0.17499999999999999</v>
      </c>
      <c r="CL180" s="217">
        <f t="shared" si="537"/>
        <v>49</v>
      </c>
      <c r="CM180" s="217">
        <f t="shared" si="538"/>
        <v>5.25</v>
      </c>
      <c r="CN180" s="541">
        <f t="shared" si="539"/>
        <v>19</v>
      </c>
      <c r="CO180" s="443">
        <f t="shared" si="540"/>
        <v>28.7</v>
      </c>
      <c r="CP180" s="443">
        <f t="shared" si="541"/>
        <v>47.7</v>
      </c>
      <c r="CQ180" s="443"/>
      <c r="CR180" s="217">
        <f t="shared" si="542"/>
        <v>0.59915611814345993</v>
      </c>
      <c r="CS180" s="172">
        <f t="shared" si="543"/>
        <v>85.685767433419556</v>
      </c>
      <c r="CT180" s="172">
        <f t="shared" si="544"/>
        <v>10.164255575647982</v>
      </c>
      <c r="CU180" s="217">
        <f t="shared" si="545"/>
        <v>3.0602059797649841</v>
      </c>
      <c r="CV180" s="217">
        <f t="shared" si="546"/>
        <v>2.8561922477806521</v>
      </c>
      <c r="CW180" s="217">
        <f t="shared" si="547"/>
        <v>28</v>
      </c>
      <c r="CX180" s="217">
        <f t="shared" si="548"/>
        <v>9.5309488510007405</v>
      </c>
      <c r="CY180" s="217">
        <f t="shared" si="549"/>
        <v>2.3576557684054462</v>
      </c>
      <c r="CZ180" s="217">
        <f t="shared" si="550"/>
        <v>1.5608174076551735</v>
      </c>
      <c r="DA180" s="197">
        <f t="shared" si="551"/>
        <v>350</v>
      </c>
      <c r="DB180" s="443">
        <f t="shared" si="552"/>
        <v>255.20144073190659</v>
      </c>
      <c r="DD180" s="217">
        <f t="shared" si="553"/>
        <v>6.9494625094785683</v>
      </c>
      <c r="DE180" s="173">
        <f t="shared" si="554"/>
        <v>1.1380652890086853</v>
      </c>
      <c r="DF180" s="173">
        <f t="shared" si="555"/>
        <v>1.2501230996965573</v>
      </c>
      <c r="DG180" s="173"/>
      <c r="DH180" s="173">
        <f t="shared" si="556"/>
        <v>0.54587688734030204</v>
      </c>
      <c r="DI180" s="545">
        <f t="shared" si="557"/>
        <v>1923.5106382978722</v>
      </c>
      <c r="DJ180" s="528">
        <f t="shared" si="558"/>
        <v>0.31842818428184283</v>
      </c>
      <c r="DL180" s="173">
        <f t="shared" si="559"/>
        <v>8.1214190144648146</v>
      </c>
      <c r="DM180" s="173">
        <f t="shared" si="560"/>
        <v>9.5309488510007405</v>
      </c>
      <c r="DN180" s="173">
        <f t="shared" si="561"/>
        <v>5.7908263093832639</v>
      </c>
      <c r="DP180" s="545">
        <f t="shared" si="562"/>
        <v>1750</v>
      </c>
      <c r="DQ180" s="460">
        <f t="shared" si="563"/>
        <v>255.20144073190659</v>
      </c>
      <c r="DS180">
        <f t="shared" si="564"/>
        <v>1750</v>
      </c>
      <c r="DT180">
        <f t="shared" si="565"/>
        <v>255.20144073190659</v>
      </c>
      <c r="DV180" s="5">
        <f t="shared" si="566"/>
        <v>3.9184731760606195</v>
      </c>
      <c r="DW180" s="5">
        <f t="shared" si="567"/>
        <v>2.3576557684054462</v>
      </c>
      <c r="DX180" s="5">
        <f t="shared" si="568"/>
        <v>1.5608174076551733</v>
      </c>
      <c r="DY180" s="173">
        <f t="shared" si="569"/>
        <v>0.60167714884696022</v>
      </c>
      <c r="EA180" s="5">
        <f t="shared" si="570"/>
        <v>14.735348552534038</v>
      </c>
      <c r="EB180" s="5">
        <f t="shared" si="571"/>
        <v>1.3752991982365104</v>
      </c>
      <c r="EC180" s="5">
        <f t="shared" si="572"/>
        <v>2.8751899614700558</v>
      </c>
      <c r="ED180" s="5"/>
      <c r="EE180" s="173">
        <f t="shared" si="573"/>
        <v>4.2683229376756788</v>
      </c>
      <c r="EF180" s="173">
        <f t="shared" si="574"/>
        <v>3.4729067508129914</v>
      </c>
      <c r="EG180" s="173">
        <f t="shared" si="575"/>
        <v>0.3501373199590147</v>
      </c>
      <c r="EH180" s="173"/>
      <c r="EI180" s="528">
        <f t="shared" si="576"/>
        <v>0.21862296840346002</v>
      </c>
      <c r="EJ180" s="528">
        <f t="shared" si="577"/>
        <v>2.2044042553191496</v>
      </c>
      <c r="EK180" s="528">
        <f t="shared" si="578"/>
        <v>2.9348165684169258E-2</v>
      </c>
      <c r="EL180" s="528">
        <f t="shared" si="579"/>
        <v>0.28597371339582817</v>
      </c>
      <c r="EM180">
        <f t="shared" si="580"/>
        <v>8.5500000000000003E-3</v>
      </c>
      <c r="EN180" s="460">
        <f t="shared" si="581"/>
        <v>37.898165684169257</v>
      </c>
      <c r="EP180" s="460">
        <f t="shared" si="601"/>
        <v>2746.8991028026066</v>
      </c>
      <c r="EQ180" s="173">
        <f t="shared" si="582"/>
        <v>1.2249999999999999</v>
      </c>
      <c r="ER180" s="173">
        <f t="shared" si="583"/>
        <v>8.3824999999999997E-2</v>
      </c>
      <c r="ES180" s="528"/>
      <c r="EU180" s="460">
        <f t="shared" si="496"/>
        <v>1308.8249999999998</v>
      </c>
      <c r="EV180" s="528">
        <f t="shared" si="584"/>
        <v>0.25506012980403669</v>
      </c>
      <c r="EW180" s="528">
        <f t="shared" si="585"/>
        <v>0.1688551381977943</v>
      </c>
      <c r="EX180" s="528">
        <f t="shared" si="586"/>
        <v>6.1298071414040724E-4</v>
      </c>
      <c r="EY180" s="528">
        <f t="shared" si="587"/>
        <v>14.588752487337175</v>
      </c>
      <c r="EZ180" s="528"/>
      <c r="FA180" s="625">
        <f t="shared" si="588"/>
        <v>2.3182240101925617</v>
      </c>
      <c r="FB180" s="460">
        <f t="shared" si="497"/>
        <v>17331.504746245704</v>
      </c>
      <c r="FC180" s="173">
        <f t="shared" si="589"/>
        <v>21.387228849048316</v>
      </c>
      <c r="FD180" s="5">
        <f t="shared" si="590"/>
        <v>54.25</v>
      </c>
      <c r="FE180" s="173">
        <f t="shared" si="591"/>
        <v>0.71723939157353978</v>
      </c>
      <c r="FF180" s="5">
        <f t="shared" si="592"/>
        <v>71.723939157353982</v>
      </c>
      <c r="FG180">
        <f t="shared" si="593"/>
        <v>70</v>
      </c>
      <c r="FI180" s="562">
        <f t="shared" si="594"/>
        <v>-50</v>
      </c>
      <c r="FJ180">
        <f t="shared" si="595"/>
        <v>-50</v>
      </c>
    </row>
    <row r="181" spans="5:166">
      <c r="E181" s="170">
        <v>71</v>
      </c>
      <c r="F181" s="217">
        <f t="shared" si="596"/>
        <v>1.7749999999999999</v>
      </c>
      <c r="G181" s="217">
        <f t="shared" si="498"/>
        <v>0.17749999999999999</v>
      </c>
      <c r="H181" s="217">
        <f t="shared" si="499"/>
        <v>49.699999999999996</v>
      </c>
      <c r="I181" s="217">
        <f t="shared" si="500"/>
        <v>5.3249999999999993</v>
      </c>
      <c r="J181" s="541">
        <f t="shared" si="501"/>
        <v>18.840628797270043</v>
      </c>
      <c r="K181" s="443">
        <f t="shared" si="502"/>
        <v>28.764634002547304</v>
      </c>
      <c r="L181" s="172">
        <f t="shared" si="503"/>
        <v>47.605262799817346</v>
      </c>
      <c r="M181" s="443"/>
      <c r="N181" s="217">
        <f t="shared" si="504"/>
        <v>0.60423222792622977</v>
      </c>
      <c r="O181" s="172">
        <f t="shared" si="505"/>
        <v>85.686887952622499</v>
      </c>
      <c r="P181" s="172">
        <f t="shared" si="506"/>
        <v>10.164388494379965</v>
      </c>
      <c r="Q181" s="217">
        <f t="shared" si="507"/>
        <v>3.0602459983079462</v>
      </c>
      <c r="R181" s="217">
        <f t="shared" si="508"/>
        <v>2.8562295984207497</v>
      </c>
      <c r="S181" s="217">
        <f t="shared" si="509"/>
        <v>28</v>
      </c>
      <c r="T181" s="217">
        <f t="shared" si="510"/>
        <v>9.6669788473509577</v>
      </c>
      <c r="U181" s="217">
        <f t="shared" si="511"/>
        <v>2.411533132542417</v>
      </c>
      <c r="V181" s="217">
        <f t="shared" si="512"/>
        <v>1.5795368916748926</v>
      </c>
      <c r="W181" s="197">
        <f t="shared" si="513"/>
        <v>350</v>
      </c>
      <c r="X181" s="443">
        <f t="shared" si="597"/>
        <v>238.60255119138742</v>
      </c>
      <c r="Z181" s="217">
        <f t="shared" si="514"/>
        <v>6.9204347195778499</v>
      </c>
      <c r="AA181" s="173">
        <f t="shared" si="515"/>
        <v>1.1307650630679149</v>
      </c>
      <c r="AB181" s="173">
        <f t="shared" si="516"/>
        <v>1.2369158203383903</v>
      </c>
      <c r="AC181" s="173"/>
      <c r="AD181" s="173">
        <f t="shared" si="517"/>
        <v>0.54465030444257623</v>
      </c>
      <c r="AE181" s="545">
        <f t="shared" si="518"/>
        <v>1955.3830986838007</v>
      </c>
      <c r="AF181" s="528">
        <f t="shared" si="519"/>
        <v>0.31771267759150273</v>
      </c>
      <c r="AH181" s="173">
        <f t="shared" si="520"/>
        <v>8.1792234379941107</v>
      </c>
      <c r="AI181" s="173">
        <f t="shared" si="521"/>
        <v>9.6669788473509577</v>
      </c>
      <c r="AJ181" s="173">
        <f t="shared" si="522"/>
        <v>5.8915892696426839</v>
      </c>
      <c r="AL181" s="545">
        <f t="shared" si="523"/>
        <v>1775</v>
      </c>
      <c r="AM181" s="460">
        <f t="shared" si="524"/>
        <v>238.60255119138742</v>
      </c>
      <c r="AO181">
        <f t="shared" si="525"/>
        <v>1775</v>
      </c>
      <c r="AP181">
        <f t="shared" si="526"/>
        <v>238.60255119138742</v>
      </c>
      <c r="AR181" s="5">
        <f t="shared" si="442"/>
        <v>4.1910700242173107</v>
      </c>
      <c r="AS181" s="5">
        <f t="shared" si="602"/>
        <v>2.411533132542417</v>
      </c>
      <c r="AT181" s="5">
        <f t="shared" si="603"/>
        <v>1.7795368916748937</v>
      </c>
      <c r="AU181" s="173">
        <f t="shared" si="604"/>
        <v>0.57539795770717883</v>
      </c>
      <c r="AW181" s="5">
        <f t="shared" si="475"/>
        <v>15.287397536652822</v>
      </c>
      <c r="AX181" s="5">
        <f t="shared" si="476"/>
        <v>1.4268237700875965</v>
      </c>
      <c r="AY181" s="5">
        <f t="shared" si="477"/>
        <v>3.3530494302617115</v>
      </c>
      <c r="AZ181" s="5"/>
      <c r="BA181" s="173">
        <f t="shared" si="478"/>
        <v>4.2336436379305624</v>
      </c>
      <c r="BB181" s="173">
        <f t="shared" si="479"/>
        <v>3.6368147545235727</v>
      </c>
      <c r="BC181" s="173">
        <f t="shared" si="480"/>
        <v>0.36666247115278638</v>
      </c>
      <c r="BD181" s="173"/>
      <c r="BE181" s="528">
        <f t="shared" si="481"/>
        <v>0.21508486143587913</v>
      </c>
      <c r="BF181" s="528">
        <f t="shared" si="527"/>
        <v>2.003935260386656</v>
      </c>
      <c r="BG181" s="528">
        <f t="shared" si="482"/>
        <v>2.7439293387009553E-2</v>
      </c>
      <c r="BH181" s="528">
        <f t="shared" si="483"/>
        <v>0.26631231614448608</v>
      </c>
      <c r="BI181">
        <f t="shared" si="484"/>
        <v>8.478282958771519E-3</v>
      </c>
      <c r="BJ181" s="460">
        <f t="shared" si="598"/>
        <v>35.917576345781072</v>
      </c>
      <c r="BK181">
        <f t="shared" si="528"/>
        <v>2.6803841386876486</v>
      </c>
      <c r="BL181" s="460">
        <f t="shared" si="599"/>
        <v>2521.2500143128027</v>
      </c>
      <c r="BM181" s="173">
        <f t="shared" si="529"/>
        <v>1.1903149999999998</v>
      </c>
      <c r="BN181" s="173">
        <f t="shared" si="530"/>
        <v>0.11903149999999998</v>
      </c>
      <c r="BO181" s="528"/>
      <c r="BQ181" s="460">
        <f t="shared" si="485"/>
        <v>1309.3464999999997</v>
      </c>
      <c r="BR181" s="528">
        <f t="shared" si="486"/>
        <v>0.25093233834185896</v>
      </c>
      <c r="BS181" s="528">
        <f t="shared" si="487"/>
        <v>0.18516990182208495</v>
      </c>
      <c r="BT181" s="528">
        <f t="shared" si="488"/>
        <v>6.722068387593395E-4</v>
      </c>
      <c r="BU181" s="528">
        <f t="shared" si="489"/>
        <v>12.775697861418735</v>
      </c>
      <c r="BV181" s="528"/>
      <c r="BW181" s="625">
        <f t="shared" si="531"/>
        <v>2.2297522946442037</v>
      </c>
      <c r="BX181" s="460">
        <f t="shared" si="490"/>
        <v>15442.224603065641</v>
      </c>
      <c r="BY181" s="173">
        <f t="shared" si="491"/>
        <v>19.272821117378445</v>
      </c>
      <c r="BZ181" s="5">
        <f t="shared" si="492"/>
        <v>55.024999999999991</v>
      </c>
      <c r="CA181" s="173">
        <f t="shared" si="493"/>
        <v>0.74060045331705582</v>
      </c>
      <c r="CB181" s="5">
        <f t="shared" si="494"/>
        <v>74.060045331705581</v>
      </c>
      <c r="CC181">
        <f t="shared" si="495"/>
        <v>71</v>
      </c>
      <c r="CE181" s="562">
        <f t="shared" si="532"/>
        <v>-50</v>
      </c>
      <c r="CF181">
        <f t="shared" si="533"/>
        <v>-50</v>
      </c>
      <c r="CG181" s="173">
        <f t="shared" si="534"/>
        <v>0.38447255346461451</v>
      </c>
      <c r="CH181" s="173">
        <f t="shared" si="535"/>
        <v>0.12467877742130107</v>
      </c>
      <c r="CI181" s="170">
        <v>71</v>
      </c>
      <c r="CJ181" s="217">
        <f t="shared" si="600"/>
        <v>1.7749999999999999</v>
      </c>
      <c r="CK181" s="217">
        <f t="shared" si="536"/>
        <v>0.17749999999999999</v>
      </c>
      <c r="CL181" s="217">
        <f t="shared" si="537"/>
        <v>49.699999999999996</v>
      </c>
      <c r="CM181" s="217">
        <f t="shared" si="538"/>
        <v>5.3249999999999993</v>
      </c>
      <c r="CN181" s="541">
        <f t="shared" si="539"/>
        <v>19</v>
      </c>
      <c r="CO181" s="443">
        <f t="shared" si="540"/>
        <v>28.7</v>
      </c>
      <c r="CP181" s="443">
        <f t="shared" si="541"/>
        <v>47.7</v>
      </c>
      <c r="CQ181" s="443"/>
      <c r="CR181" s="217">
        <f t="shared" si="542"/>
        <v>0.59915611814345993</v>
      </c>
      <c r="CS181" s="172">
        <f t="shared" si="543"/>
        <v>85.685767433419556</v>
      </c>
      <c r="CT181" s="172">
        <f t="shared" si="544"/>
        <v>10.164255575647982</v>
      </c>
      <c r="CU181" s="217">
        <f t="shared" si="545"/>
        <v>3.0602059797649841</v>
      </c>
      <c r="CV181" s="217">
        <f t="shared" si="546"/>
        <v>2.8561922477806521</v>
      </c>
      <c r="CW181" s="217">
        <f t="shared" si="547"/>
        <v>28</v>
      </c>
      <c r="CX181" s="217">
        <f t="shared" si="548"/>
        <v>9.6671052631578931</v>
      </c>
      <c r="CY181" s="217">
        <f t="shared" si="549"/>
        <v>2.3913365650969527</v>
      </c>
      <c r="CZ181" s="217">
        <f t="shared" si="550"/>
        <v>1.5831147991931045</v>
      </c>
      <c r="DA181" s="197">
        <f t="shared" si="551"/>
        <v>350</v>
      </c>
      <c r="DB181" s="443">
        <f t="shared" si="552"/>
        <v>251.60705424272484</v>
      </c>
      <c r="DD181" s="217">
        <f t="shared" si="553"/>
        <v>6.9494625094785683</v>
      </c>
      <c r="DE181" s="173">
        <f t="shared" si="554"/>
        <v>1.1380652890086853</v>
      </c>
      <c r="DF181" s="173">
        <f t="shared" si="555"/>
        <v>1.2501230996965573</v>
      </c>
      <c r="DG181" s="173"/>
      <c r="DH181" s="173">
        <f t="shared" si="556"/>
        <v>0.54587688734030204</v>
      </c>
      <c r="DI181" s="545">
        <f t="shared" si="557"/>
        <v>1950.9893617021273</v>
      </c>
      <c r="DJ181" s="528">
        <f t="shared" si="558"/>
        <v>0.31842818428184283</v>
      </c>
      <c r="DL181" s="173">
        <f t="shared" si="559"/>
        <v>8.1792234379941107</v>
      </c>
      <c r="DM181" s="173">
        <f t="shared" si="560"/>
        <v>9.6671052631578931</v>
      </c>
      <c r="DN181" s="173">
        <f t="shared" si="561"/>
        <v>5.8916829109811548</v>
      </c>
      <c r="DP181" s="545">
        <f t="shared" si="562"/>
        <v>1775</v>
      </c>
      <c r="DQ181" s="460">
        <f t="shared" si="563"/>
        <v>251.60705424272484</v>
      </c>
      <c r="DS181">
        <f t="shared" si="564"/>
        <v>1775</v>
      </c>
      <c r="DT181">
        <f t="shared" si="565"/>
        <v>251.60705424272484</v>
      </c>
      <c r="DV181" s="5">
        <f t="shared" si="566"/>
        <v>3.974451364290057</v>
      </c>
      <c r="DW181" s="5">
        <f t="shared" si="567"/>
        <v>2.3913365650969527</v>
      </c>
      <c r="DX181" s="5">
        <f t="shared" si="568"/>
        <v>1.5831147991931043</v>
      </c>
      <c r="DY181" s="173">
        <f t="shared" si="569"/>
        <v>0.60167714884696022</v>
      </c>
      <c r="EA181" s="5">
        <f t="shared" si="570"/>
        <v>15.159365725168181</v>
      </c>
      <c r="EB181" s="5">
        <f t="shared" si="571"/>
        <v>1.4148741343490303</v>
      </c>
      <c r="EC181" s="5">
        <f t="shared" si="572"/>
        <v>2.9579250195450104</v>
      </c>
      <c r="ED181" s="5"/>
      <c r="EE181" s="173">
        <f t="shared" si="573"/>
        <v>4.3292989796424735</v>
      </c>
      <c r="EF181" s="173">
        <f t="shared" si="574"/>
        <v>3.5225197043960339</v>
      </c>
      <c r="EG181" s="173">
        <f t="shared" si="575"/>
        <v>0.35513928167271486</v>
      </c>
      <c r="EH181" s="173"/>
      <c r="EI181" s="528">
        <f t="shared" si="576"/>
        <v>0.22491395586160037</v>
      </c>
      <c r="EJ181" s="528">
        <f t="shared" si="577"/>
        <v>2.2044042553191496</v>
      </c>
      <c r="EK181" s="528">
        <f t="shared" si="578"/>
        <v>2.893481123791336E-2</v>
      </c>
      <c r="EL181" s="528">
        <f t="shared" si="579"/>
        <v>0.28194591461560531</v>
      </c>
      <c r="EM181">
        <f t="shared" si="580"/>
        <v>8.5500000000000003E-3</v>
      </c>
      <c r="EN181" s="460">
        <f t="shared" si="581"/>
        <v>37.484811237913362</v>
      </c>
      <c r="EP181" s="460">
        <f t="shared" si="601"/>
        <v>2748.7489370342687</v>
      </c>
      <c r="EQ181" s="173">
        <f t="shared" si="582"/>
        <v>1.2424999999999999</v>
      </c>
      <c r="ER181" s="173">
        <f t="shared" si="583"/>
        <v>8.5022499999999987E-2</v>
      </c>
      <c r="ES181" s="528"/>
      <c r="EU181" s="460">
        <f t="shared" si="496"/>
        <v>1327.5225</v>
      </c>
      <c r="EV181" s="528">
        <f t="shared" si="584"/>
        <v>0.26239961517186711</v>
      </c>
      <c r="EW181" s="528">
        <f t="shared" si="585"/>
        <v>0.17371403095001653</v>
      </c>
      <c r="EX181" s="528">
        <f t="shared" si="586"/>
        <v>6.3061954693505954E-4</v>
      </c>
      <c r="EY181" s="528">
        <f t="shared" si="587"/>
        <v>14.588752487337171</v>
      </c>
      <c r="EZ181" s="528"/>
      <c r="FA181" s="625">
        <f t="shared" si="588"/>
        <v>2.3513414960524557</v>
      </c>
      <c r="FB181" s="460">
        <f t="shared" si="497"/>
        <v>17376.838249058444</v>
      </c>
      <c r="FC181" s="173">
        <f t="shared" si="589"/>
        <v>21.453109686092713</v>
      </c>
      <c r="FD181" s="5">
        <f t="shared" si="590"/>
        <v>55.024999999999991</v>
      </c>
      <c r="FE181" s="173">
        <f t="shared" si="591"/>
        <v>0.71948692542025661</v>
      </c>
      <c r="FF181" s="5">
        <f t="shared" si="592"/>
        <v>71.948692542025654</v>
      </c>
      <c r="FG181">
        <f t="shared" si="593"/>
        <v>71</v>
      </c>
      <c r="FI181" s="562">
        <f t="shared" si="594"/>
        <v>-50</v>
      </c>
      <c r="FJ181">
        <f t="shared" si="595"/>
        <v>-50</v>
      </c>
    </row>
    <row r="182" spans="5:166">
      <c r="E182" s="170">
        <v>72</v>
      </c>
      <c r="F182" s="217">
        <f t="shared" si="596"/>
        <v>1.7999999999999998</v>
      </c>
      <c r="G182" s="217">
        <f t="shared" si="498"/>
        <v>0.18</v>
      </c>
      <c r="H182" s="217">
        <f t="shared" si="499"/>
        <v>50.399999999999991</v>
      </c>
      <c r="I182" s="217">
        <f t="shared" si="500"/>
        <v>5.3999999999999995</v>
      </c>
      <c r="J182" s="541">
        <f t="shared" si="501"/>
        <v>18.838384132442858</v>
      </c>
      <c r="K182" s="443">
        <f t="shared" si="502"/>
        <v>28.765544340611349</v>
      </c>
      <c r="L182" s="172">
        <f t="shared" si="503"/>
        <v>47.603928473054211</v>
      </c>
      <c r="M182" s="443"/>
      <c r="N182" s="217">
        <f t="shared" si="504"/>
        <v>0.60426828758248041</v>
      </c>
      <c r="O182" s="172">
        <f t="shared" si="505"/>
        <v>85.681792305081203</v>
      </c>
      <c r="P182" s="172">
        <f t="shared" si="506"/>
        <v>10.16378403618948</v>
      </c>
      <c r="Q182" s="217">
        <f t="shared" si="507"/>
        <v>3.0600640108957573</v>
      </c>
      <c r="R182" s="217">
        <f t="shared" si="508"/>
        <v>2.8560597435027066</v>
      </c>
      <c r="S182" s="217">
        <f t="shared" si="509"/>
        <v>28</v>
      </c>
      <c r="T182" s="217">
        <f t="shared" si="510"/>
        <v>9.803716488668563</v>
      </c>
      <c r="U182" s="217">
        <f t="shared" si="511"/>
        <v>2.4459352337650402</v>
      </c>
      <c r="V182" s="217">
        <f t="shared" si="512"/>
        <v>1.6018284566821088</v>
      </c>
      <c r="W182" s="197">
        <f t="shared" si="513"/>
        <v>350</v>
      </c>
      <c r="X182" s="443">
        <f t="shared" si="597"/>
        <v>235.41799235416812</v>
      </c>
      <c r="Z182" s="217">
        <f t="shared" si="514"/>
        <v>6.9200231735758173</v>
      </c>
      <c r="AA182" s="173">
        <f t="shared" si="515"/>
        <v>1.1306620354786274</v>
      </c>
      <c r="AB182" s="173">
        <f t="shared" si="516"/>
        <v>1.2367295705249379</v>
      </c>
      <c r="AC182" s="173"/>
      <c r="AD182" s="173">
        <f t="shared" si="517"/>
        <v>0.54463306799129063</v>
      </c>
      <c r="AE182" s="545">
        <f t="shared" si="518"/>
        <v>1982.9864609272502</v>
      </c>
      <c r="AF182" s="528">
        <f t="shared" si="519"/>
        <v>0.31770262299491953</v>
      </c>
      <c r="AH182" s="173">
        <f t="shared" si="520"/>
        <v>8.2366222014096167</v>
      </c>
      <c r="AI182" s="173">
        <f t="shared" si="521"/>
        <v>9.803716488668563</v>
      </c>
      <c r="AJ182" s="173">
        <f t="shared" si="522"/>
        <v>5.9928764113594291</v>
      </c>
      <c r="AL182" s="545">
        <f t="shared" si="523"/>
        <v>1799.9999999999998</v>
      </c>
      <c r="AM182" s="460">
        <f t="shared" si="524"/>
        <v>235.41799235416812</v>
      </c>
      <c r="AO182">
        <f t="shared" si="525"/>
        <v>1799.9999999999998</v>
      </c>
      <c r="AP182">
        <f t="shared" si="526"/>
        <v>235.41799235416812</v>
      </c>
      <c r="AR182" s="5">
        <f t="shared" si="442"/>
        <v>4.2477636904471501</v>
      </c>
      <c r="AS182" s="5">
        <f t="shared" si="602"/>
        <v>2.4459352337650402</v>
      </c>
      <c r="AT182" s="5">
        <f t="shared" si="603"/>
        <v>1.8018284566821099</v>
      </c>
      <c r="AU182" s="173">
        <f t="shared" si="604"/>
        <v>0.57581716216128853</v>
      </c>
      <c r="AW182" s="5">
        <f t="shared" si="475"/>
        <v>15.723869359918114</v>
      </c>
      <c r="AX182" s="5">
        <f t="shared" si="476"/>
        <v>1.4675611402590241</v>
      </c>
      <c r="AY182" s="5">
        <f t="shared" si="477"/>
        <v>3.4432796350535244</v>
      </c>
      <c r="AZ182" s="5"/>
      <c r="BA182" s="173">
        <f t="shared" si="478"/>
        <v>4.295091483670868</v>
      </c>
      <c r="BB182" s="173">
        <f t="shared" si="479"/>
        <v>3.6864356963913809</v>
      </c>
      <c r="BC182" s="173">
        <f t="shared" si="480"/>
        <v>0.37166523824273762</v>
      </c>
      <c r="BD182" s="173"/>
      <c r="BE182" s="528">
        <f t="shared" si="481"/>
        <v>0.22137373023722423</v>
      </c>
      <c r="BF182" s="528">
        <f t="shared" si="527"/>
        <v>2.0051000969566273</v>
      </c>
      <c r="BG182" s="528">
        <f t="shared" si="482"/>
        <v>2.7073069120729334E-2</v>
      </c>
      <c r="BH182" s="528">
        <f t="shared" si="483"/>
        <v>0.26274319367112381</v>
      </c>
      <c r="BI182">
        <f t="shared" si="484"/>
        <v>8.4772728595992851E-3</v>
      </c>
      <c r="BJ182" s="460">
        <f t="shared" si="598"/>
        <v>35.550341980328625</v>
      </c>
      <c r="BK182">
        <f t="shared" si="528"/>
        <v>2.6905041362257691</v>
      </c>
      <c r="BL182" s="460">
        <f t="shared" si="599"/>
        <v>2524.7673628453044</v>
      </c>
      <c r="BM182" s="173">
        <f t="shared" si="529"/>
        <v>1.2070799999999997</v>
      </c>
      <c r="BN182" s="173">
        <f t="shared" si="530"/>
        <v>0.120708</v>
      </c>
      <c r="BO182" s="528"/>
      <c r="BQ182" s="460">
        <f t="shared" si="485"/>
        <v>1327.7879999999998</v>
      </c>
      <c r="BR182" s="528">
        <f t="shared" si="486"/>
        <v>0.25826935194342826</v>
      </c>
      <c r="BS182" s="528">
        <f t="shared" si="487"/>
        <v>0.19025731401080048</v>
      </c>
      <c r="BT182" s="528">
        <f t="shared" si="488"/>
        <v>6.9067524659015462E-4</v>
      </c>
      <c r="BU182" s="528">
        <f t="shared" si="489"/>
        <v>12.795167995834921</v>
      </c>
      <c r="BV182" s="528"/>
      <c r="BW182" s="625">
        <f t="shared" si="531"/>
        <v>2.2626695832054242</v>
      </c>
      <c r="BX182" s="460">
        <f t="shared" si="490"/>
        <v>15507.054920241166</v>
      </c>
      <c r="BY182" s="173">
        <f t="shared" si="491"/>
        <v>19.359610283086468</v>
      </c>
      <c r="BZ182" s="5">
        <f t="shared" si="492"/>
        <v>55.79999999999999</v>
      </c>
      <c r="CA182" s="173">
        <f t="shared" si="493"/>
        <v>0.74242002838799892</v>
      </c>
      <c r="CB182" s="5">
        <f t="shared" si="494"/>
        <v>74.242002838799891</v>
      </c>
      <c r="CC182">
        <f t="shared" si="495"/>
        <v>72</v>
      </c>
      <c r="CE182" s="562">
        <f t="shared" si="532"/>
        <v>-50</v>
      </c>
      <c r="CF182">
        <f t="shared" si="533"/>
        <v>-50</v>
      </c>
      <c r="CG182" s="173">
        <f t="shared" si="534"/>
        <v>0.38447255346461445</v>
      </c>
      <c r="CH182" s="173">
        <f t="shared" si="535"/>
        <v>0.12467877742130105</v>
      </c>
      <c r="CI182" s="170">
        <v>72</v>
      </c>
      <c r="CJ182" s="217">
        <f t="shared" si="600"/>
        <v>1.7999999999999998</v>
      </c>
      <c r="CK182" s="217">
        <f t="shared" si="536"/>
        <v>0.18</v>
      </c>
      <c r="CL182" s="217">
        <f t="shared" si="537"/>
        <v>50.399999999999991</v>
      </c>
      <c r="CM182" s="217">
        <f t="shared" si="538"/>
        <v>5.3999999999999995</v>
      </c>
      <c r="CN182" s="541">
        <f t="shared" si="539"/>
        <v>19</v>
      </c>
      <c r="CO182" s="443">
        <f t="shared" si="540"/>
        <v>28.7</v>
      </c>
      <c r="CP182" s="443">
        <f t="shared" si="541"/>
        <v>47.7</v>
      </c>
      <c r="CQ182" s="443"/>
      <c r="CR182" s="217">
        <f t="shared" si="542"/>
        <v>0.59915611814345993</v>
      </c>
      <c r="CS182" s="172">
        <f t="shared" si="543"/>
        <v>85.685767433419556</v>
      </c>
      <c r="CT182" s="172">
        <f t="shared" si="544"/>
        <v>10.164255575647982</v>
      </c>
      <c r="CU182" s="217">
        <f t="shared" si="545"/>
        <v>3.0602059797649841</v>
      </c>
      <c r="CV182" s="217">
        <f t="shared" si="546"/>
        <v>2.8561922477806521</v>
      </c>
      <c r="CW182" s="217">
        <f t="shared" si="547"/>
        <v>28</v>
      </c>
      <c r="CX182" s="217">
        <f t="shared" si="548"/>
        <v>9.8032616753150457</v>
      </c>
      <c r="CY182" s="217">
        <f t="shared" si="549"/>
        <v>2.4250173617884587</v>
      </c>
      <c r="CZ182" s="217">
        <f t="shared" si="550"/>
        <v>1.6054121907310352</v>
      </c>
      <c r="DA182" s="197">
        <f t="shared" si="551"/>
        <v>350</v>
      </c>
      <c r="DB182" s="443">
        <f t="shared" si="552"/>
        <v>248.11251182268697</v>
      </c>
      <c r="DD182" s="217">
        <f t="shared" si="553"/>
        <v>6.9494625094785683</v>
      </c>
      <c r="DE182" s="173">
        <f t="shared" si="554"/>
        <v>1.1380652890086853</v>
      </c>
      <c r="DF182" s="173">
        <f t="shared" si="555"/>
        <v>1.2501230996965573</v>
      </c>
      <c r="DG182" s="173"/>
      <c r="DH182" s="173">
        <f t="shared" si="556"/>
        <v>0.54587688734030204</v>
      </c>
      <c r="DI182" s="545">
        <f t="shared" si="557"/>
        <v>1978.4680851063829</v>
      </c>
      <c r="DJ182" s="528">
        <f t="shared" si="558"/>
        <v>0.31842818428184283</v>
      </c>
      <c r="DL182" s="173">
        <f t="shared" si="559"/>
        <v>8.2366222014096167</v>
      </c>
      <c r="DM182" s="173">
        <f t="shared" si="560"/>
        <v>9.8032616753150457</v>
      </c>
      <c r="DN182" s="173">
        <f t="shared" si="561"/>
        <v>5.9925395125790457</v>
      </c>
      <c r="DP182" s="545">
        <f t="shared" si="562"/>
        <v>1799.9999999999998</v>
      </c>
      <c r="DQ182" s="460">
        <f t="shared" si="563"/>
        <v>248.11251182268697</v>
      </c>
      <c r="DS182">
        <f t="shared" si="564"/>
        <v>1799.9999999999998</v>
      </c>
      <c r="DT182">
        <f t="shared" si="565"/>
        <v>248.11251182268697</v>
      </c>
      <c r="DV182" s="5">
        <f t="shared" si="566"/>
        <v>4.030429552519494</v>
      </c>
      <c r="DW182" s="5">
        <f t="shared" si="567"/>
        <v>2.4250173617884587</v>
      </c>
      <c r="DX182" s="5">
        <f t="shared" si="568"/>
        <v>1.6054121907310352</v>
      </c>
      <c r="DY182" s="173">
        <f t="shared" si="569"/>
        <v>0.60167714884696022</v>
      </c>
      <c r="EA182" s="5">
        <f t="shared" si="570"/>
        <v>15.589397325782947</v>
      </c>
      <c r="EB182" s="5">
        <f t="shared" si="571"/>
        <v>1.4550104170730751</v>
      </c>
      <c r="EC182" s="5">
        <f t="shared" si="572"/>
        <v>3.0418336245430129</v>
      </c>
      <c r="ED182" s="5"/>
      <c r="EE182" s="173">
        <f t="shared" si="573"/>
        <v>4.3902750216092681</v>
      </c>
      <c r="EF182" s="173">
        <f t="shared" si="574"/>
        <v>3.5721326579790764</v>
      </c>
      <c r="EG182" s="173">
        <f t="shared" si="575"/>
        <v>0.36014124338641507</v>
      </c>
      <c r="EH182" s="173"/>
      <c r="EI182" s="528">
        <f t="shared" si="576"/>
        <v>0.23129417718439513</v>
      </c>
      <c r="EJ182" s="528">
        <f t="shared" si="577"/>
        <v>2.2044042553191492</v>
      </c>
      <c r="EK182" s="528">
        <f t="shared" si="578"/>
        <v>2.8532938859609003E-2</v>
      </c>
      <c r="EL182" s="528">
        <f t="shared" si="579"/>
        <v>0.27802999913483295</v>
      </c>
      <c r="EM182">
        <f t="shared" si="580"/>
        <v>8.5500000000000003E-3</v>
      </c>
      <c r="EN182" s="460">
        <f t="shared" si="581"/>
        <v>37.082938859609001</v>
      </c>
      <c r="EP182" s="460">
        <f t="shared" si="601"/>
        <v>2750.811370497986</v>
      </c>
      <c r="EQ182" s="173">
        <f t="shared" si="582"/>
        <v>1.2599999999999998</v>
      </c>
      <c r="ER182" s="173">
        <f t="shared" si="583"/>
        <v>8.6219999999999991E-2</v>
      </c>
      <c r="ES182" s="528"/>
      <c r="EU182" s="460">
        <f t="shared" si="496"/>
        <v>1346.2199999999998</v>
      </c>
      <c r="EV182" s="528">
        <f t="shared" si="584"/>
        <v>0.26984320671512763</v>
      </c>
      <c r="EW182" s="528">
        <f t="shared" si="585"/>
        <v>0.17864184416680925</v>
      </c>
      <c r="EX182" s="528">
        <f t="shared" si="586"/>
        <v>6.4850857593956525E-4</v>
      </c>
      <c r="EY182" s="528">
        <f t="shared" si="587"/>
        <v>14.588752487337135</v>
      </c>
      <c r="EZ182" s="528"/>
      <c r="FA182" s="625">
        <f t="shared" si="588"/>
        <v>2.3844589819123487</v>
      </c>
      <c r="FB182" s="460">
        <f t="shared" si="497"/>
        <v>17422.345028707361</v>
      </c>
      <c r="FC182" s="173">
        <f t="shared" si="589"/>
        <v>21.519376399205346</v>
      </c>
      <c r="FD182" s="5">
        <f t="shared" si="590"/>
        <v>55.79999999999999</v>
      </c>
      <c r="FE182" s="173">
        <f t="shared" si="591"/>
        <v>0.721681971565584</v>
      </c>
      <c r="FF182" s="5">
        <f t="shared" si="592"/>
        <v>72.168197156558406</v>
      </c>
      <c r="FG182">
        <f t="shared" si="593"/>
        <v>72</v>
      </c>
      <c r="FI182" s="562">
        <f t="shared" si="594"/>
        <v>-50</v>
      </c>
      <c r="FJ182">
        <f t="shared" si="595"/>
        <v>-50</v>
      </c>
    </row>
    <row r="183" spans="5:166">
      <c r="E183" s="170">
        <v>73</v>
      </c>
      <c r="F183" s="217">
        <f t="shared" si="596"/>
        <v>1.825</v>
      </c>
      <c r="G183" s="217">
        <f t="shared" si="498"/>
        <v>0.1825</v>
      </c>
      <c r="H183" s="217">
        <f t="shared" si="499"/>
        <v>51.1</v>
      </c>
      <c r="I183" s="217">
        <f t="shared" si="500"/>
        <v>5.4749999999999996</v>
      </c>
      <c r="J183" s="541">
        <f t="shared" si="501"/>
        <v>18.836139467615677</v>
      </c>
      <c r="K183" s="443">
        <f t="shared" si="502"/>
        <v>28.766454678675395</v>
      </c>
      <c r="L183" s="172">
        <f t="shared" si="503"/>
        <v>47.602594146291068</v>
      </c>
      <c r="M183" s="443"/>
      <c r="N183" s="217">
        <f t="shared" si="504"/>
        <v>0.60430434926027488</v>
      </c>
      <c r="O183" s="172">
        <f t="shared" si="505"/>
        <v>85.676695725669802</v>
      </c>
      <c r="P183" s="172">
        <f t="shared" si="506"/>
        <v>10.163179467458278</v>
      </c>
      <c r="Q183" s="217">
        <f t="shared" si="507"/>
        <v>3.0598819902024927</v>
      </c>
      <c r="R183" s="217">
        <f t="shared" si="508"/>
        <v>2.8558898575223268</v>
      </c>
      <c r="S183" s="217">
        <f t="shared" si="509"/>
        <v>28</v>
      </c>
      <c r="T183" s="217">
        <f t="shared" si="510"/>
        <v>9.9404705031300242</v>
      </c>
      <c r="U183" s="217">
        <f t="shared" si="511"/>
        <v>2.4803496196784676</v>
      </c>
      <c r="V183" s="217">
        <f t="shared" si="512"/>
        <v>1.6241212859416025</v>
      </c>
      <c r="W183" s="197">
        <f t="shared" si="513"/>
        <v>350</v>
      </c>
      <c r="X183" s="443">
        <f t="shared" si="597"/>
        <v>232.3165894080883</v>
      </c>
      <c r="Z183" s="217">
        <f t="shared" si="514"/>
        <v>6.919611552312019</v>
      </c>
      <c r="AA183" s="173">
        <f t="shared" si="515"/>
        <v>1.1305590021135006</v>
      </c>
      <c r="AB183" s="173">
        <f t="shared" si="516"/>
        <v>1.2365433143488755</v>
      </c>
      <c r="AC183" s="173"/>
      <c r="AD183" s="173">
        <f t="shared" si="517"/>
        <v>0.5446158326309285</v>
      </c>
      <c r="AE183" s="545">
        <f t="shared" si="518"/>
        <v>2010.5915663712478</v>
      </c>
      <c r="AF183" s="528">
        <f t="shared" si="519"/>
        <v>0.31769256903470827</v>
      </c>
      <c r="AH183" s="173">
        <f t="shared" si="520"/>
        <v>8.2936237272301785</v>
      </c>
      <c r="AI183" s="173">
        <f t="shared" si="521"/>
        <v>9.9404705031300242</v>
      </c>
      <c r="AJ183" s="173">
        <f t="shared" si="522"/>
        <v>6.0941756813308823</v>
      </c>
      <c r="AL183" s="545">
        <f t="shared" si="523"/>
        <v>1825</v>
      </c>
      <c r="AM183" s="460">
        <f t="shared" si="524"/>
        <v>232.3165894080883</v>
      </c>
      <c r="AO183">
        <f t="shared" si="525"/>
        <v>1825</v>
      </c>
      <c r="AP183">
        <f t="shared" si="526"/>
        <v>232.3165894080883</v>
      </c>
      <c r="AR183" s="5">
        <f t="shared" si="442"/>
        <v>4.3044709056200707</v>
      </c>
      <c r="AS183" s="5">
        <f t="shared" si="602"/>
        <v>2.4803496196784676</v>
      </c>
      <c r="AT183" s="5">
        <f t="shared" si="603"/>
        <v>1.8241212859416032</v>
      </c>
      <c r="AU183" s="173">
        <f t="shared" si="604"/>
        <v>0.57622636418335049</v>
      </c>
      <c r="AW183" s="5">
        <f t="shared" si="475"/>
        <v>16.166564485404297</v>
      </c>
      <c r="AX183" s="5">
        <f t="shared" si="476"/>
        <v>1.5088793519710677</v>
      </c>
      <c r="AY183" s="5">
        <f t="shared" si="477"/>
        <v>3.5347172413613697</v>
      </c>
      <c r="AZ183" s="5"/>
      <c r="BA183" s="173">
        <f t="shared" si="478"/>
        <v>4.3565517371727696</v>
      </c>
      <c r="BB183" s="173">
        <f t="shared" si="479"/>
        <v>3.7360551703460718</v>
      </c>
      <c r="BC183" s="173">
        <f t="shared" si="480"/>
        <v>0.37666785733816954</v>
      </c>
      <c r="BD183" s="173"/>
      <c r="BE183" s="528">
        <f t="shared" si="481"/>
        <v>0.22775451646395695</v>
      </c>
      <c r="BF183" s="528">
        <f t="shared" si="527"/>
        <v>2.006229692057377</v>
      </c>
      <c r="BG183" s="528">
        <f t="shared" si="482"/>
        <v>2.6716407781930157E-2</v>
      </c>
      <c r="BH183" s="528">
        <f t="shared" si="483"/>
        <v>0.2592672727791534</v>
      </c>
      <c r="BI183">
        <f t="shared" si="484"/>
        <v>8.4762627604270547E-3</v>
      </c>
      <c r="BJ183" s="460">
        <f t="shared" si="598"/>
        <v>35.192670542357213</v>
      </c>
      <c r="BK183">
        <f t="shared" si="528"/>
        <v>2.7009031517275921</v>
      </c>
      <c r="BL183" s="460">
        <f t="shared" si="599"/>
        <v>2528.4441518428443</v>
      </c>
      <c r="BM183" s="173">
        <f t="shared" si="529"/>
        <v>1.2238449999999998</v>
      </c>
      <c r="BN183" s="173">
        <f t="shared" si="530"/>
        <v>0.12238449999999999</v>
      </c>
      <c r="BO183" s="528"/>
      <c r="BQ183" s="460">
        <f t="shared" si="485"/>
        <v>1346.2294999999997</v>
      </c>
      <c r="BR183" s="528">
        <f t="shared" si="486"/>
        <v>0.26571360254128307</v>
      </c>
      <c r="BS183" s="528">
        <f t="shared" si="487"/>
        <v>0.19541351530217463</v>
      </c>
      <c r="BT183" s="528">
        <f t="shared" si="488"/>
        <v>7.0939337375863819E-4</v>
      </c>
      <c r="BU183" s="528">
        <f t="shared" si="489"/>
        <v>12.814094276906431</v>
      </c>
      <c r="BV183" s="528"/>
      <c r="BW183" s="625">
        <f t="shared" si="531"/>
        <v>2.2955888421637227</v>
      </c>
      <c r="BX183" s="460">
        <f t="shared" si="490"/>
        <v>15571.51963028737</v>
      </c>
      <c r="BY183" s="173">
        <f t="shared" si="491"/>
        <v>19.446193282130217</v>
      </c>
      <c r="BZ183" s="5">
        <f t="shared" si="492"/>
        <v>56.575000000000003</v>
      </c>
      <c r="CA183" s="173">
        <f t="shared" si="493"/>
        <v>0.74420036778479126</v>
      </c>
      <c r="CB183" s="5">
        <f t="shared" si="494"/>
        <v>74.42003677847913</v>
      </c>
      <c r="CC183">
        <f t="shared" si="495"/>
        <v>73</v>
      </c>
      <c r="CE183" s="562">
        <f t="shared" si="532"/>
        <v>-50</v>
      </c>
      <c r="CF183">
        <f t="shared" si="533"/>
        <v>-50</v>
      </c>
      <c r="CG183" s="173">
        <f t="shared" si="534"/>
        <v>0.38447255346461445</v>
      </c>
      <c r="CH183" s="173">
        <f t="shared" si="535"/>
        <v>0.12467877742130103</v>
      </c>
      <c r="CI183" s="170">
        <v>73</v>
      </c>
      <c r="CJ183" s="217">
        <f t="shared" si="600"/>
        <v>1.825</v>
      </c>
      <c r="CK183" s="217">
        <f t="shared" si="536"/>
        <v>0.1825</v>
      </c>
      <c r="CL183" s="217">
        <f t="shared" si="537"/>
        <v>51.1</v>
      </c>
      <c r="CM183" s="217">
        <f t="shared" si="538"/>
        <v>5.4749999999999996</v>
      </c>
      <c r="CN183" s="541">
        <f t="shared" si="539"/>
        <v>19</v>
      </c>
      <c r="CO183" s="443">
        <f t="shared" si="540"/>
        <v>28.7</v>
      </c>
      <c r="CP183" s="443">
        <f t="shared" si="541"/>
        <v>47.7</v>
      </c>
      <c r="CQ183" s="443"/>
      <c r="CR183" s="217">
        <f t="shared" si="542"/>
        <v>0.59915611814345993</v>
      </c>
      <c r="CS183" s="172">
        <f t="shared" si="543"/>
        <v>85.685767433419556</v>
      </c>
      <c r="CT183" s="172">
        <f t="shared" si="544"/>
        <v>10.164255575647982</v>
      </c>
      <c r="CU183" s="217">
        <f t="shared" si="545"/>
        <v>3.0602059797649841</v>
      </c>
      <c r="CV183" s="217">
        <f t="shared" si="546"/>
        <v>2.8561922477806521</v>
      </c>
      <c r="CW183" s="217">
        <f t="shared" si="547"/>
        <v>28</v>
      </c>
      <c r="CX183" s="217">
        <f t="shared" si="548"/>
        <v>9.9394180874722018</v>
      </c>
      <c r="CY183" s="217">
        <f t="shared" si="549"/>
        <v>2.4586981584799661</v>
      </c>
      <c r="CZ183" s="217">
        <f t="shared" si="550"/>
        <v>1.6277095822689667</v>
      </c>
      <c r="DA183" s="197">
        <f t="shared" si="551"/>
        <v>350</v>
      </c>
      <c r="DB183" s="443">
        <f t="shared" si="552"/>
        <v>244.71371029086927</v>
      </c>
      <c r="DD183" s="217">
        <f t="shared" si="553"/>
        <v>6.9494625094785683</v>
      </c>
      <c r="DE183" s="173">
        <f t="shared" si="554"/>
        <v>1.1380652890086853</v>
      </c>
      <c r="DF183" s="173">
        <f t="shared" si="555"/>
        <v>1.2501230996965573</v>
      </c>
      <c r="DG183" s="173"/>
      <c r="DH183" s="173">
        <f t="shared" si="556"/>
        <v>0.54587688734030204</v>
      </c>
      <c r="DI183" s="545">
        <f t="shared" si="557"/>
        <v>2005.946808510638</v>
      </c>
      <c r="DJ183" s="528">
        <f t="shared" si="558"/>
        <v>0.31842818428184283</v>
      </c>
      <c r="DL183" s="173">
        <f t="shared" si="559"/>
        <v>8.2936237272301785</v>
      </c>
      <c r="DM183" s="173">
        <f t="shared" si="560"/>
        <v>9.9394180874722018</v>
      </c>
      <c r="DN183" s="173">
        <f t="shared" si="561"/>
        <v>6.0933961141769393</v>
      </c>
      <c r="DP183" s="545">
        <f t="shared" si="562"/>
        <v>1825</v>
      </c>
      <c r="DQ183" s="460">
        <f t="shared" si="563"/>
        <v>244.71371029086927</v>
      </c>
      <c r="DS183">
        <f t="shared" si="564"/>
        <v>1825</v>
      </c>
      <c r="DT183">
        <f t="shared" si="565"/>
        <v>244.71371029086927</v>
      </c>
      <c r="DV183" s="5">
        <f t="shared" si="566"/>
        <v>4.0864077407489328</v>
      </c>
      <c r="DW183" s="5">
        <f t="shared" si="567"/>
        <v>2.4586981584799661</v>
      </c>
      <c r="DX183" s="5">
        <f t="shared" si="568"/>
        <v>1.6277095822689667</v>
      </c>
      <c r="DY183" s="173">
        <f t="shared" si="569"/>
        <v>0.60167714884696022</v>
      </c>
      <c r="EA183" s="5">
        <f t="shared" si="570"/>
        <v>16.02544335437835</v>
      </c>
      <c r="EB183" s="5">
        <f t="shared" si="571"/>
        <v>1.4957080464086461</v>
      </c>
      <c r="EC183" s="5">
        <f t="shared" si="572"/>
        <v>3.1269157764640672</v>
      </c>
      <c r="ED183" s="5"/>
      <c r="EE183" s="173">
        <f t="shared" si="573"/>
        <v>4.4512510635760654</v>
      </c>
      <c r="EF183" s="173">
        <f t="shared" si="574"/>
        <v>3.6217456115621198</v>
      </c>
      <c r="EG183" s="173">
        <f t="shared" si="575"/>
        <v>0.36514320510011533</v>
      </c>
      <c r="EH183" s="173"/>
      <c r="EI183" s="528">
        <f t="shared" si="576"/>
        <v>0.23776363237184461</v>
      </c>
      <c r="EJ183" s="528">
        <f t="shared" si="577"/>
        <v>2.2044042553191487</v>
      </c>
      <c r="EK183" s="528">
        <f t="shared" si="578"/>
        <v>2.8142076683449969E-2</v>
      </c>
      <c r="EL183" s="528">
        <f t="shared" si="579"/>
        <v>0.27422136900969818</v>
      </c>
      <c r="EM183">
        <f t="shared" si="580"/>
        <v>8.5500000000000003E-3</v>
      </c>
      <c r="EN183" s="460">
        <f t="shared" si="581"/>
        <v>36.692076683449969</v>
      </c>
      <c r="EP183" s="460">
        <f t="shared" si="601"/>
        <v>2753.0813333841415</v>
      </c>
      <c r="EQ183" s="173">
        <f t="shared" si="582"/>
        <v>1.2774999999999999</v>
      </c>
      <c r="ER183" s="173">
        <f t="shared" si="583"/>
        <v>8.7417499999999995E-2</v>
      </c>
      <c r="ES183" s="528"/>
      <c r="EU183" s="460">
        <f t="shared" si="496"/>
        <v>1364.9174999999998</v>
      </c>
      <c r="EV183" s="528">
        <f t="shared" si="584"/>
        <v>0.27739090443381875</v>
      </c>
      <c r="EW183" s="528">
        <f t="shared" si="585"/>
        <v>0.18363857784817264</v>
      </c>
      <c r="EX183" s="528">
        <f t="shared" si="586"/>
        <v>6.6664780115392437E-4</v>
      </c>
      <c r="EY183" s="528">
        <f t="shared" si="587"/>
        <v>14.588752487337144</v>
      </c>
      <c r="EZ183" s="528"/>
      <c r="FA183" s="625">
        <f t="shared" si="588"/>
        <v>2.4175764677722431</v>
      </c>
      <c r="FB183" s="460">
        <f t="shared" si="497"/>
        <v>17468.025085192534</v>
      </c>
      <c r="FC183" s="173">
        <f t="shared" si="589"/>
        <v>21.586023918576675</v>
      </c>
      <c r="FD183" s="5">
        <f t="shared" si="590"/>
        <v>56.575000000000003</v>
      </c>
      <c r="FE183" s="173">
        <f t="shared" si="591"/>
        <v>0.72382623926391165</v>
      </c>
      <c r="FF183" s="5">
        <f t="shared" si="592"/>
        <v>72.382623926391162</v>
      </c>
      <c r="FG183">
        <f t="shared" si="593"/>
        <v>73</v>
      </c>
      <c r="FI183" s="562">
        <f t="shared" si="594"/>
        <v>-50</v>
      </c>
      <c r="FJ183">
        <f t="shared" si="595"/>
        <v>-50</v>
      </c>
    </row>
    <row r="184" spans="5:166">
      <c r="E184" s="170">
        <v>74</v>
      </c>
      <c r="F184" s="217">
        <f t="shared" si="596"/>
        <v>1.85</v>
      </c>
      <c r="G184" s="217">
        <f t="shared" si="498"/>
        <v>0.185</v>
      </c>
      <c r="H184" s="217">
        <f t="shared" si="499"/>
        <v>51.800000000000004</v>
      </c>
      <c r="I184" s="217">
        <f t="shared" si="500"/>
        <v>5.55</v>
      </c>
      <c r="J184" s="541">
        <f t="shared" si="501"/>
        <v>18.833894802788492</v>
      </c>
      <c r="K184" s="443">
        <f t="shared" si="502"/>
        <v>28.767365016739443</v>
      </c>
      <c r="L184" s="172">
        <f t="shared" si="503"/>
        <v>47.601259819527939</v>
      </c>
      <c r="M184" s="443"/>
      <c r="N184" s="217">
        <f t="shared" si="504"/>
        <v>0.60434041295978302</v>
      </c>
      <c r="O184" s="172">
        <f t="shared" si="505"/>
        <v>85.671598214309867</v>
      </c>
      <c r="P184" s="172">
        <f t="shared" si="506"/>
        <v>10.162574788177063</v>
      </c>
      <c r="Q184" s="217">
        <f t="shared" si="507"/>
        <v>3.0596999362253525</v>
      </c>
      <c r="R184" s="217">
        <f t="shared" si="508"/>
        <v>2.8557199404769955</v>
      </c>
      <c r="S184" s="217">
        <f t="shared" si="509"/>
        <v>28</v>
      </c>
      <c r="T184" s="217">
        <f t="shared" si="510"/>
        <v>10.077240898129171</v>
      </c>
      <c r="U184" s="217">
        <f t="shared" si="511"/>
        <v>2.5147762965201794</v>
      </c>
      <c r="V184" s="217">
        <f t="shared" si="512"/>
        <v>1.6464153805413539</v>
      </c>
      <c r="W184" s="197">
        <f t="shared" si="513"/>
        <v>350</v>
      </c>
      <c r="X184" s="443">
        <f t="shared" si="597"/>
        <v>229.2951271230931</v>
      </c>
      <c r="Z184" s="217">
        <f t="shared" si="514"/>
        <v>6.9191998557801275</v>
      </c>
      <c r="AA184" s="173">
        <f t="shared" si="515"/>
        <v>1.1304559629720481</v>
      </c>
      <c r="AB184" s="173">
        <f t="shared" si="516"/>
        <v>1.2363570518133453</v>
      </c>
      <c r="AC184" s="173"/>
      <c r="AD184" s="173">
        <f t="shared" si="517"/>
        <v>0.54459859836138591</v>
      </c>
      <c r="AE184" s="545">
        <f t="shared" si="518"/>
        <v>2038.1984150157946</v>
      </c>
      <c r="AF184" s="528">
        <f t="shared" si="519"/>
        <v>0.31768251571080841</v>
      </c>
      <c r="AH184" s="173">
        <f t="shared" si="520"/>
        <v>8.3502361504928082</v>
      </c>
      <c r="AI184" s="173">
        <f t="shared" si="521"/>
        <v>10.077240898129171</v>
      </c>
      <c r="AJ184" s="173">
        <f t="shared" si="522"/>
        <v>6.1954870850339541</v>
      </c>
      <c r="AL184" s="545">
        <f t="shared" si="523"/>
        <v>1850</v>
      </c>
      <c r="AM184" s="460">
        <f t="shared" si="524"/>
        <v>229.2951271230931</v>
      </c>
      <c r="AO184">
        <f t="shared" si="525"/>
        <v>1850</v>
      </c>
      <c r="AP184">
        <f t="shared" si="526"/>
        <v>229.2951271230931</v>
      </c>
      <c r="AR184" s="5">
        <f t="shared" si="442"/>
        <v>4.3611916770615338</v>
      </c>
      <c r="AS184" s="5">
        <f t="shared" si="602"/>
        <v>2.5147762965201794</v>
      </c>
      <c r="AT184" s="5">
        <f t="shared" si="603"/>
        <v>1.8464153805413543</v>
      </c>
      <c r="AU184" s="173">
        <f t="shared" si="604"/>
        <v>0.57662595059673583</v>
      </c>
      <c r="AW184" s="5">
        <f t="shared" si="475"/>
        <v>16.615486244865473</v>
      </c>
      <c r="AX184" s="5">
        <f t="shared" si="476"/>
        <v>1.550778716187444</v>
      </c>
      <c r="AY184" s="5">
        <f t="shared" si="477"/>
        <v>3.6273627837145632</v>
      </c>
      <c r="AZ184" s="5"/>
      <c r="BA184" s="173">
        <f t="shared" si="478"/>
        <v>4.4180243482964308</v>
      </c>
      <c r="BB184" s="173">
        <f t="shared" si="479"/>
        <v>3.7856732863304035</v>
      </c>
      <c r="BC184" s="173">
        <f t="shared" si="480"/>
        <v>0.38167033952347507</v>
      </c>
      <c r="BD184" s="173"/>
      <c r="BE184" s="528">
        <f t="shared" si="481"/>
        <v>0.23422726970568122</v>
      </c>
      <c r="BF184" s="528">
        <f t="shared" si="527"/>
        <v>2.0073254076892963</v>
      </c>
      <c r="BG184" s="528">
        <f t="shared" si="482"/>
        <v>2.6368939619155707E-2</v>
      </c>
      <c r="BH184" s="528">
        <f t="shared" si="483"/>
        <v>0.25588094982148402</v>
      </c>
      <c r="BI184">
        <f t="shared" si="484"/>
        <v>8.4752526612548208E-3</v>
      </c>
      <c r="BJ184" s="460">
        <f t="shared" si="598"/>
        <v>34.844192280410525</v>
      </c>
      <c r="BK184">
        <f t="shared" si="528"/>
        <v>2.7115809772696728</v>
      </c>
      <c r="BL184" s="460">
        <f t="shared" si="599"/>
        <v>2532.2778194968719</v>
      </c>
      <c r="BM184" s="173">
        <f t="shared" si="529"/>
        <v>1.24061</v>
      </c>
      <c r="BN184" s="173">
        <f t="shared" si="530"/>
        <v>0.124061</v>
      </c>
      <c r="BO184" s="528"/>
      <c r="BQ184" s="460">
        <f t="shared" si="485"/>
        <v>1364.671</v>
      </c>
      <c r="BR184" s="528">
        <f t="shared" si="486"/>
        <v>0.27326514798996143</v>
      </c>
      <c r="BS184" s="528">
        <f t="shared" si="487"/>
        <v>0.20063851123169893</v>
      </c>
      <c r="BT184" s="528">
        <f t="shared" si="488"/>
        <v>7.2836124035982369E-4</v>
      </c>
      <c r="BU184" s="528">
        <f t="shared" si="489"/>
        <v>12.832496936320627</v>
      </c>
      <c r="BV184" s="528"/>
      <c r="BW184" s="625">
        <f t="shared" si="531"/>
        <v>2.3285099953999198</v>
      </c>
      <c r="BX184" s="460">
        <f t="shared" si="490"/>
        <v>15635.638952182566</v>
      </c>
      <c r="BY184" s="173">
        <f t="shared" si="491"/>
        <v>19.532587771679438</v>
      </c>
      <c r="BZ184" s="5">
        <f t="shared" si="492"/>
        <v>57.35</v>
      </c>
      <c r="CA184" s="173">
        <f t="shared" si="493"/>
        <v>0.74594263359493107</v>
      </c>
      <c r="CB184" s="5">
        <f t="shared" si="494"/>
        <v>74.594263359493112</v>
      </c>
      <c r="CC184">
        <f t="shared" si="495"/>
        <v>74</v>
      </c>
      <c r="CE184" s="562">
        <f t="shared" si="532"/>
        <v>-50</v>
      </c>
      <c r="CF184">
        <f t="shared" si="533"/>
        <v>-50</v>
      </c>
      <c r="CG184" s="173">
        <f t="shared" si="534"/>
        <v>0.38447255346461451</v>
      </c>
      <c r="CH184" s="173">
        <f t="shared" si="535"/>
        <v>0.12467877742130107</v>
      </c>
      <c r="CI184" s="170">
        <v>74</v>
      </c>
      <c r="CJ184" s="217">
        <f t="shared" si="600"/>
        <v>1.85</v>
      </c>
      <c r="CK184" s="217">
        <f t="shared" si="536"/>
        <v>0.185</v>
      </c>
      <c r="CL184" s="217">
        <f t="shared" si="537"/>
        <v>51.800000000000004</v>
      </c>
      <c r="CM184" s="217">
        <f t="shared" si="538"/>
        <v>5.55</v>
      </c>
      <c r="CN184" s="541">
        <f t="shared" si="539"/>
        <v>19</v>
      </c>
      <c r="CO184" s="443">
        <f t="shared" si="540"/>
        <v>28.7</v>
      </c>
      <c r="CP184" s="443">
        <f t="shared" si="541"/>
        <v>47.7</v>
      </c>
      <c r="CQ184" s="443"/>
      <c r="CR184" s="217">
        <f t="shared" si="542"/>
        <v>0.59915611814345993</v>
      </c>
      <c r="CS184" s="172">
        <f t="shared" si="543"/>
        <v>85.685767433419556</v>
      </c>
      <c r="CT184" s="172">
        <f t="shared" si="544"/>
        <v>10.164255575647982</v>
      </c>
      <c r="CU184" s="217">
        <f t="shared" si="545"/>
        <v>3.0602059797649841</v>
      </c>
      <c r="CV184" s="217">
        <f t="shared" si="546"/>
        <v>2.8561922477806521</v>
      </c>
      <c r="CW184" s="217">
        <f t="shared" si="547"/>
        <v>28</v>
      </c>
      <c r="CX184" s="217">
        <f t="shared" si="548"/>
        <v>10.075574499629354</v>
      </c>
      <c r="CY184" s="217">
        <f t="shared" si="549"/>
        <v>2.4923789551714717</v>
      </c>
      <c r="CZ184" s="217">
        <f t="shared" si="550"/>
        <v>1.6500069738068976</v>
      </c>
      <c r="DA184" s="197">
        <f t="shared" si="551"/>
        <v>350</v>
      </c>
      <c r="DB184" s="443">
        <f t="shared" si="552"/>
        <v>241.40676825991167</v>
      </c>
      <c r="DD184" s="217">
        <f t="shared" si="553"/>
        <v>6.9494625094785683</v>
      </c>
      <c r="DE184" s="173">
        <f t="shared" si="554"/>
        <v>1.1380652890086853</v>
      </c>
      <c r="DF184" s="173">
        <f t="shared" si="555"/>
        <v>1.2501230996965573</v>
      </c>
      <c r="DG184" s="173"/>
      <c r="DH184" s="173">
        <f t="shared" si="556"/>
        <v>0.54587688734030204</v>
      </c>
      <c r="DI184" s="545">
        <f t="shared" si="557"/>
        <v>2033.4255319148933</v>
      </c>
      <c r="DJ184" s="528">
        <f t="shared" si="558"/>
        <v>0.31842818428184283</v>
      </c>
      <c r="DL184" s="173">
        <f t="shared" si="559"/>
        <v>8.3502361504928082</v>
      </c>
      <c r="DM184" s="173">
        <f t="shared" si="560"/>
        <v>10.075574499629354</v>
      </c>
      <c r="DN184" s="173">
        <f t="shared" si="561"/>
        <v>6.1942527157748302</v>
      </c>
      <c r="DP184" s="545">
        <f t="shared" si="562"/>
        <v>1850</v>
      </c>
      <c r="DQ184" s="460">
        <f t="shared" si="563"/>
        <v>241.40676825991167</v>
      </c>
      <c r="DS184">
        <f t="shared" si="564"/>
        <v>1850</v>
      </c>
      <c r="DT184">
        <f t="shared" si="565"/>
        <v>241.40676825991167</v>
      </c>
      <c r="DV184" s="5">
        <f t="shared" si="566"/>
        <v>4.142385928978368</v>
      </c>
      <c r="DW184" s="5">
        <f t="shared" si="567"/>
        <v>2.4923789551714717</v>
      </c>
      <c r="DX184" s="5">
        <f t="shared" si="568"/>
        <v>1.6500069738068963</v>
      </c>
      <c r="DY184" s="173">
        <f t="shared" si="569"/>
        <v>0.60167714884696033</v>
      </c>
      <c r="EA184" s="5">
        <f t="shared" si="570"/>
        <v>16.467503810954369</v>
      </c>
      <c r="EB184" s="5">
        <f t="shared" si="571"/>
        <v>1.5369670223557408</v>
      </c>
      <c r="EC184" s="5">
        <f t="shared" si="572"/>
        <v>3.2131714753081662</v>
      </c>
      <c r="ED184" s="5"/>
      <c r="EE184" s="173">
        <f t="shared" si="573"/>
        <v>4.51222710554286</v>
      </c>
      <c r="EF184" s="173">
        <f t="shared" si="574"/>
        <v>3.671358565145161</v>
      </c>
      <c r="EG184" s="173">
        <f t="shared" si="575"/>
        <v>0.37014516681381548</v>
      </c>
      <c r="EH184" s="173"/>
      <c r="EI184" s="528">
        <f t="shared" si="576"/>
        <v>0.24432232142394833</v>
      </c>
      <c r="EJ184" s="528">
        <f t="shared" si="577"/>
        <v>2.2044042553191496</v>
      </c>
      <c r="EK184" s="528">
        <f t="shared" si="578"/>
        <v>2.7761778349889844E-2</v>
      </c>
      <c r="EL184" s="528">
        <f t="shared" si="579"/>
        <v>0.27051567483389155</v>
      </c>
      <c r="EM184">
        <f t="shared" si="580"/>
        <v>8.5500000000000003E-3</v>
      </c>
      <c r="EN184" s="460">
        <f t="shared" si="581"/>
        <v>36.311778349889842</v>
      </c>
      <c r="EP184" s="460">
        <f t="shared" si="601"/>
        <v>2755.5540299268791</v>
      </c>
      <c r="EQ184" s="173">
        <f t="shared" si="582"/>
        <v>1.2949999999999999</v>
      </c>
      <c r="ER184" s="173">
        <f t="shared" si="583"/>
        <v>8.8614999999999999E-2</v>
      </c>
      <c r="ES184" s="528"/>
      <c r="EU184" s="460">
        <f t="shared" si="496"/>
        <v>1383.6149999999998</v>
      </c>
      <c r="EV184" s="528">
        <f t="shared" si="584"/>
        <v>0.28504270832793971</v>
      </c>
      <c r="EW184" s="528">
        <f t="shared" si="585"/>
        <v>0.18870423199410633</v>
      </c>
      <c r="EX184" s="528">
        <f t="shared" si="586"/>
        <v>6.8503722257813647E-4</v>
      </c>
      <c r="EY184" s="528">
        <f t="shared" si="587"/>
        <v>14.588752487337175</v>
      </c>
      <c r="EZ184" s="528"/>
      <c r="FA184" s="625">
        <f t="shared" si="588"/>
        <v>2.450693953632137</v>
      </c>
      <c r="FB184" s="460">
        <f t="shared" si="497"/>
        <v>17513.878418513938</v>
      </c>
      <c r="FC184" s="173">
        <f t="shared" si="589"/>
        <v>21.653047448440812</v>
      </c>
      <c r="FD184" s="5">
        <f t="shared" si="590"/>
        <v>57.35</v>
      </c>
      <c r="FE184" s="173">
        <f t="shared" si="591"/>
        <v>0.72592136445657895</v>
      </c>
      <c r="FF184" s="5">
        <f t="shared" si="592"/>
        <v>72.5921364456579</v>
      </c>
      <c r="FG184">
        <f t="shared" si="593"/>
        <v>74</v>
      </c>
      <c r="FI184" s="562">
        <f t="shared" si="594"/>
        <v>-50</v>
      </c>
      <c r="FJ184">
        <f t="shared" si="595"/>
        <v>-50</v>
      </c>
    </row>
    <row r="185" spans="5:166">
      <c r="E185" s="170">
        <v>75</v>
      </c>
      <c r="F185" s="217">
        <f t="shared" si="596"/>
        <v>1.875</v>
      </c>
      <c r="G185" s="217">
        <f t="shared" si="498"/>
        <v>0.1875</v>
      </c>
      <c r="H185" s="217">
        <f t="shared" si="499"/>
        <v>52.5</v>
      </c>
      <c r="I185" s="217">
        <f t="shared" si="500"/>
        <v>5.625</v>
      </c>
      <c r="J185" s="541">
        <f t="shared" si="501"/>
        <v>18.831650137961311</v>
      </c>
      <c r="K185" s="443">
        <f t="shared" si="502"/>
        <v>28.768275354803489</v>
      </c>
      <c r="L185" s="172">
        <f t="shared" si="503"/>
        <v>47.599925492764797</v>
      </c>
      <c r="M185" s="443"/>
      <c r="N185" s="217">
        <f t="shared" si="504"/>
        <v>0.60437647868117517</v>
      </c>
      <c r="O185" s="172">
        <f t="shared" si="505"/>
        <v>85.666499770923096</v>
      </c>
      <c r="P185" s="172">
        <f t="shared" si="506"/>
        <v>10.16196999833654</v>
      </c>
      <c r="Q185" s="217">
        <f t="shared" si="507"/>
        <v>3.0595178489615393</v>
      </c>
      <c r="R185" s="217">
        <f t="shared" si="508"/>
        <v>2.8555499923641032</v>
      </c>
      <c r="S185" s="217">
        <f t="shared" si="509"/>
        <v>28</v>
      </c>
      <c r="T185" s="217">
        <f t="shared" si="510"/>
        <v>10.214027681063168</v>
      </c>
      <c r="U185" s="217">
        <f t="shared" si="511"/>
        <v>2.5492152705314624</v>
      </c>
      <c r="V185" s="217">
        <f t="shared" si="512"/>
        <v>1.6687107415697497</v>
      </c>
      <c r="W185" s="197">
        <f t="shared" si="513"/>
        <v>350</v>
      </c>
      <c r="X185" s="443">
        <f t="shared" si="597"/>
        <v>226.35055391622313</v>
      </c>
      <c r="Z185" s="217">
        <f t="shared" si="514"/>
        <v>6.918788083973813</v>
      </c>
      <c r="AA185" s="173">
        <f t="shared" si="515"/>
        <v>1.1303529180537855</v>
      </c>
      <c r="AB185" s="173">
        <f t="shared" si="516"/>
        <v>1.2361707829214916</v>
      </c>
      <c r="AC185" s="173"/>
      <c r="AD185" s="173">
        <f t="shared" si="517"/>
        <v>0.54458136518255951</v>
      </c>
      <c r="AE185" s="545">
        <f t="shared" si="518"/>
        <v>2065.8070068608886</v>
      </c>
      <c r="AF185" s="528">
        <f t="shared" si="519"/>
        <v>0.31767246302315977</v>
      </c>
      <c r="AH185" s="173">
        <f t="shared" si="520"/>
        <v>8.4064673323054393</v>
      </c>
      <c r="AI185" s="173">
        <f t="shared" si="521"/>
        <v>10.214027681063168</v>
      </c>
      <c r="AJ185" s="173">
        <f t="shared" si="522"/>
        <v>6.2968106279480258</v>
      </c>
      <c r="AL185" s="545">
        <f t="shared" si="523"/>
        <v>1875</v>
      </c>
      <c r="AM185" s="460">
        <f t="shared" si="524"/>
        <v>226.35055391622313</v>
      </c>
      <c r="AO185">
        <f t="shared" si="525"/>
        <v>1875</v>
      </c>
      <c r="AP185">
        <f t="shared" si="526"/>
        <v>226.35055391622313</v>
      </c>
      <c r="AR185" s="5">
        <f t="shared" si="442"/>
        <v>4.4179260121012112</v>
      </c>
      <c r="AS185" s="5">
        <f t="shared" si="602"/>
        <v>2.5492152705314624</v>
      </c>
      <c r="AT185" s="5">
        <f t="shared" si="603"/>
        <v>1.8687107415697488</v>
      </c>
      <c r="AU185" s="173">
        <f t="shared" si="604"/>
        <v>0.57701628853649123</v>
      </c>
      <c r="AW185" s="5">
        <f t="shared" si="475"/>
        <v>17.070637972308901</v>
      </c>
      <c r="AX185" s="5">
        <f t="shared" si="476"/>
        <v>1.593259544082164</v>
      </c>
      <c r="AY185" s="5">
        <f t="shared" si="477"/>
        <v>3.7212167970136245</v>
      </c>
      <c r="AZ185" s="5"/>
      <c r="BA185" s="173">
        <f t="shared" si="478"/>
        <v>4.4795092696879761</v>
      </c>
      <c r="BB185" s="173">
        <f t="shared" si="479"/>
        <v>3.8352901488615405</v>
      </c>
      <c r="BC185" s="173">
        <f t="shared" si="480"/>
        <v>0.38667269533604054</v>
      </c>
      <c r="BD185" s="173"/>
      <c r="BE185" s="528">
        <f t="shared" si="481"/>
        <v>0.24079203956664605</v>
      </c>
      <c r="BF185" s="528">
        <f t="shared" si="527"/>
        <v>2.0083885365303917</v>
      </c>
      <c r="BG185" s="528">
        <f t="shared" si="482"/>
        <v>2.6030313700365661E-2</v>
      </c>
      <c r="BH185" s="528">
        <f t="shared" si="483"/>
        <v>0.25258080456756643</v>
      </c>
      <c r="BI185">
        <f t="shared" si="484"/>
        <v>8.4742425620825904E-3</v>
      </c>
      <c r="BJ185" s="460">
        <f t="shared" si="598"/>
        <v>34.504556262448247</v>
      </c>
      <c r="BK185">
        <f t="shared" si="528"/>
        <v>2.7225375639284772</v>
      </c>
      <c r="BL185" s="460">
        <f t="shared" si="599"/>
        <v>2536.2659369270523</v>
      </c>
      <c r="BM185" s="173">
        <f t="shared" si="529"/>
        <v>1.2573749999999999</v>
      </c>
      <c r="BN185" s="173">
        <f t="shared" si="530"/>
        <v>0.12573749999999997</v>
      </c>
      <c r="BO185" s="528"/>
      <c r="BQ185" s="460">
        <f t="shared" si="485"/>
        <v>1383.1125</v>
      </c>
      <c r="BR185" s="528">
        <f t="shared" si="486"/>
        <v>0.28092404616108707</v>
      </c>
      <c r="BS185" s="528">
        <f t="shared" si="487"/>
        <v>0.20593230736336129</v>
      </c>
      <c r="BT185" s="528">
        <f t="shared" si="488"/>
        <v>7.4757886659219215E-4</v>
      </c>
      <c r="BU185" s="528">
        <f t="shared" si="489"/>
        <v>12.850395215338279</v>
      </c>
      <c r="BV185" s="528"/>
      <c r="BW185" s="625">
        <f t="shared" si="531"/>
        <v>2.3614329706691026</v>
      </c>
      <c r="BX185" s="460">
        <f t="shared" si="490"/>
        <v>15699.432118398423</v>
      </c>
      <c r="BY185" s="173">
        <f t="shared" si="491"/>
        <v>19.618810555325474</v>
      </c>
      <c r="BZ185" s="5">
        <f t="shared" si="492"/>
        <v>58.125</v>
      </c>
      <c r="CA185" s="173">
        <f t="shared" si="493"/>
        <v>0.74764794245113608</v>
      </c>
      <c r="CB185" s="5">
        <f t="shared" si="494"/>
        <v>74.764794245113606</v>
      </c>
      <c r="CC185">
        <f t="shared" si="495"/>
        <v>75</v>
      </c>
      <c r="CE185" s="562">
        <f t="shared" si="532"/>
        <v>-50</v>
      </c>
      <c r="CF185">
        <f t="shared" si="533"/>
        <v>-50</v>
      </c>
      <c r="CG185" s="173">
        <f t="shared" si="534"/>
        <v>0.38447255346461451</v>
      </c>
      <c r="CH185" s="173">
        <f t="shared" si="535"/>
        <v>0.12467877742130107</v>
      </c>
      <c r="CI185" s="170">
        <v>75</v>
      </c>
      <c r="CJ185" s="217">
        <f t="shared" si="600"/>
        <v>1.875</v>
      </c>
      <c r="CK185" s="217">
        <f t="shared" si="536"/>
        <v>0.1875</v>
      </c>
      <c r="CL185" s="217">
        <f t="shared" si="537"/>
        <v>52.5</v>
      </c>
      <c r="CM185" s="217">
        <f t="shared" si="538"/>
        <v>5.625</v>
      </c>
      <c r="CN185" s="541">
        <f t="shared" si="539"/>
        <v>19</v>
      </c>
      <c r="CO185" s="443">
        <f t="shared" si="540"/>
        <v>28.7</v>
      </c>
      <c r="CP185" s="443">
        <f t="shared" si="541"/>
        <v>47.7</v>
      </c>
      <c r="CQ185" s="443"/>
      <c r="CR185" s="217">
        <f t="shared" si="542"/>
        <v>0.59915611814345993</v>
      </c>
      <c r="CS185" s="172">
        <f t="shared" si="543"/>
        <v>85.685767433419556</v>
      </c>
      <c r="CT185" s="172">
        <f t="shared" si="544"/>
        <v>10.164255575647982</v>
      </c>
      <c r="CU185" s="217">
        <f t="shared" si="545"/>
        <v>3.0602059797649841</v>
      </c>
      <c r="CV185" s="217">
        <f t="shared" si="546"/>
        <v>2.8561922477806521</v>
      </c>
      <c r="CW185" s="217">
        <f t="shared" si="547"/>
        <v>28</v>
      </c>
      <c r="CX185" s="217">
        <f t="shared" si="548"/>
        <v>10.211730911786507</v>
      </c>
      <c r="CY185" s="217">
        <f t="shared" si="549"/>
        <v>2.5260597518629782</v>
      </c>
      <c r="CZ185" s="217">
        <f t="shared" si="550"/>
        <v>1.6723043653448286</v>
      </c>
      <c r="DA185" s="197">
        <f t="shared" si="551"/>
        <v>350</v>
      </c>
      <c r="DB185" s="443">
        <f t="shared" si="552"/>
        <v>238.18801134977949</v>
      </c>
      <c r="DD185" s="217">
        <f t="shared" si="553"/>
        <v>6.9494625094785683</v>
      </c>
      <c r="DE185" s="173">
        <f t="shared" si="554"/>
        <v>1.1380652890086853</v>
      </c>
      <c r="DF185" s="173">
        <f t="shared" si="555"/>
        <v>1.2501230996965573</v>
      </c>
      <c r="DG185" s="173"/>
      <c r="DH185" s="173">
        <f t="shared" si="556"/>
        <v>0.54587688734030204</v>
      </c>
      <c r="DI185" s="545">
        <f t="shared" si="557"/>
        <v>2060.9042553191489</v>
      </c>
      <c r="DJ185" s="528">
        <f t="shared" si="558"/>
        <v>0.31842818428184283</v>
      </c>
      <c r="DL185" s="173">
        <f t="shared" si="559"/>
        <v>8.4064673323054393</v>
      </c>
      <c r="DM185" s="173">
        <f t="shared" si="560"/>
        <v>10.211730911786507</v>
      </c>
      <c r="DN185" s="173">
        <f t="shared" si="561"/>
        <v>6.2951093173727211</v>
      </c>
      <c r="DP185" s="545">
        <f t="shared" si="562"/>
        <v>1875</v>
      </c>
      <c r="DQ185" s="460">
        <f t="shared" si="563"/>
        <v>238.18801134977949</v>
      </c>
      <c r="DS185">
        <f t="shared" si="564"/>
        <v>1875</v>
      </c>
      <c r="DT185">
        <f t="shared" si="565"/>
        <v>238.18801134977949</v>
      </c>
      <c r="DV185" s="5">
        <f t="shared" si="566"/>
        <v>4.1983641172078068</v>
      </c>
      <c r="DW185" s="5">
        <f t="shared" si="567"/>
        <v>2.5260597518629782</v>
      </c>
      <c r="DX185" s="5">
        <f t="shared" si="568"/>
        <v>1.6723043653448286</v>
      </c>
      <c r="DY185" s="173">
        <f t="shared" si="569"/>
        <v>0.60167714884696022</v>
      </c>
      <c r="EA185" s="5">
        <f t="shared" si="570"/>
        <v>16.915578695511012</v>
      </c>
      <c r="EB185" s="5">
        <f t="shared" si="571"/>
        <v>1.5787873449143612</v>
      </c>
      <c r="EC185" s="5">
        <f t="shared" si="572"/>
        <v>3.3006007210753192</v>
      </c>
      <c r="ED185" s="5"/>
      <c r="EE185" s="173">
        <f t="shared" si="573"/>
        <v>4.5732031475096555</v>
      </c>
      <c r="EF185" s="173">
        <f t="shared" si="574"/>
        <v>3.7209715187282049</v>
      </c>
      <c r="EG185" s="173">
        <f t="shared" si="575"/>
        <v>0.37514712852751575</v>
      </c>
      <c r="EH185" s="173"/>
      <c r="EI185" s="528">
        <f t="shared" si="576"/>
        <v>0.25097024434070664</v>
      </c>
      <c r="EJ185" s="528">
        <f t="shared" si="577"/>
        <v>2.2044042553191492</v>
      </c>
      <c r="EK185" s="528">
        <f t="shared" si="578"/>
        <v>2.7391621305224646E-2</v>
      </c>
      <c r="EL185" s="528">
        <f t="shared" si="579"/>
        <v>0.26690879916943966</v>
      </c>
      <c r="EM185">
        <f t="shared" si="580"/>
        <v>8.5500000000000003E-3</v>
      </c>
      <c r="EN185" s="460">
        <f t="shared" si="581"/>
        <v>35.941621305224643</v>
      </c>
      <c r="EP185" s="460">
        <f t="shared" si="601"/>
        <v>2758.2249201345203</v>
      </c>
      <c r="EQ185" s="173">
        <f t="shared" si="582"/>
        <v>1.3125</v>
      </c>
      <c r="ER185" s="173">
        <f t="shared" si="583"/>
        <v>8.981249999999999E-2</v>
      </c>
      <c r="ES185" s="528"/>
      <c r="EU185" s="460">
        <f t="shared" si="496"/>
        <v>1402.3125</v>
      </c>
      <c r="EV185" s="528">
        <f t="shared" si="584"/>
        <v>0.29279861839749111</v>
      </c>
      <c r="EW185" s="528">
        <f t="shared" si="585"/>
        <v>0.19383880660461075</v>
      </c>
      <c r="EX185" s="528">
        <f t="shared" si="586"/>
        <v>7.0367684021220209E-4</v>
      </c>
      <c r="EY185" s="528">
        <f t="shared" si="587"/>
        <v>14.588752487337148</v>
      </c>
      <c r="EZ185" s="528"/>
      <c r="FA185" s="625">
        <f t="shared" si="588"/>
        <v>2.4838114394920301</v>
      </c>
      <c r="FB185" s="460">
        <f t="shared" si="497"/>
        <v>17559.905028671496</v>
      </c>
      <c r="FC185" s="173">
        <f t="shared" si="589"/>
        <v>21.720442448806011</v>
      </c>
      <c r="FD185" s="5">
        <f t="shared" si="590"/>
        <v>58.125</v>
      </c>
      <c r="FE185" s="173">
        <f t="shared" si="591"/>
        <v>0.72796891365800409</v>
      </c>
      <c r="FF185" s="5">
        <f t="shared" si="592"/>
        <v>72.796891365800406</v>
      </c>
      <c r="FG185">
        <f t="shared" si="593"/>
        <v>75</v>
      </c>
      <c r="FI185" s="562">
        <f t="shared" si="594"/>
        <v>-50</v>
      </c>
      <c r="FJ185">
        <f t="shared" si="595"/>
        <v>-50</v>
      </c>
    </row>
    <row r="186" spans="5:166">
      <c r="E186" s="170">
        <v>76</v>
      </c>
      <c r="F186" s="217">
        <f t="shared" si="596"/>
        <v>1.9</v>
      </c>
      <c r="G186" s="217">
        <f t="shared" si="498"/>
        <v>0.19</v>
      </c>
      <c r="H186" s="217">
        <f t="shared" si="499"/>
        <v>53.199999999999996</v>
      </c>
      <c r="I186" s="217">
        <f t="shared" si="500"/>
        <v>5.7</v>
      </c>
      <c r="J186" s="541">
        <f t="shared" si="501"/>
        <v>18.82940547313413</v>
      </c>
      <c r="K186" s="443">
        <f t="shared" si="502"/>
        <v>28.769185692867534</v>
      </c>
      <c r="L186" s="172">
        <f t="shared" si="503"/>
        <v>47.598591166001668</v>
      </c>
      <c r="M186" s="443"/>
      <c r="N186" s="217">
        <f t="shared" si="504"/>
        <v>0.60441254642462094</v>
      </c>
      <c r="O186" s="172">
        <f t="shared" si="505"/>
        <v>85.661400395431031</v>
      </c>
      <c r="P186" s="172">
        <f t="shared" si="506"/>
        <v>10.161365097927405</v>
      </c>
      <c r="Q186" s="217">
        <f t="shared" si="507"/>
        <v>3.059335728408251</v>
      </c>
      <c r="R186" s="217">
        <f t="shared" si="508"/>
        <v>2.8553800131810343</v>
      </c>
      <c r="S186" s="217">
        <f t="shared" si="509"/>
        <v>28</v>
      </c>
      <c r="T186" s="217">
        <f t="shared" si="510"/>
        <v>10.350830859332522</v>
      </c>
      <c r="U186" s="217">
        <f t="shared" si="511"/>
        <v>2.5836665479574115</v>
      </c>
      <c r="V186" s="217">
        <f t="shared" si="512"/>
        <v>1.691007370115585</v>
      </c>
      <c r="W186" s="197">
        <f t="shared" si="513"/>
        <v>350</v>
      </c>
      <c r="X186" s="443">
        <f t="shared" si="597"/>
        <v>223.47997157089981</v>
      </c>
      <c r="Z186" s="217">
        <f t="shared" si="514"/>
        <v>6.9183762368867443</v>
      </c>
      <c r="AA186" s="173">
        <f t="shared" si="515"/>
        <v>1.1302498673582257</v>
      </c>
      <c r="AB186" s="173">
        <f t="shared" si="516"/>
        <v>1.2359845076764568</v>
      </c>
      <c r="AC186" s="173"/>
      <c r="AD186" s="173">
        <f t="shared" si="517"/>
        <v>0.54456413309434593</v>
      </c>
      <c r="AE186" s="545">
        <f t="shared" si="518"/>
        <v>2093.417341906531</v>
      </c>
      <c r="AF186" s="528">
        <f t="shared" si="519"/>
        <v>0.31766241097170178</v>
      </c>
      <c r="AH186" s="173">
        <f t="shared" si="520"/>
        <v>8.4623248725891003</v>
      </c>
      <c r="AI186" s="173">
        <f t="shared" si="521"/>
        <v>10.350830859332522</v>
      </c>
      <c r="AJ186" s="173">
        <f t="shared" si="522"/>
        <v>6.3981463155549543</v>
      </c>
      <c r="AL186" s="545">
        <f t="shared" si="523"/>
        <v>1900</v>
      </c>
      <c r="AM186" s="460">
        <f t="shared" si="524"/>
        <v>223.47997157089981</v>
      </c>
      <c r="AO186">
        <f t="shared" si="525"/>
        <v>1900</v>
      </c>
      <c r="AP186">
        <f t="shared" si="526"/>
        <v>223.47997157089981</v>
      </c>
      <c r="AR186" s="5">
        <f t="shared" si="442"/>
        <v>4.4746739180729964</v>
      </c>
      <c r="AS186" s="5">
        <f t="shared" si="602"/>
        <v>2.5836665479574115</v>
      </c>
      <c r="AT186" s="5">
        <f t="shared" si="603"/>
        <v>1.891007370115585</v>
      </c>
      <c r="AU186" s="173">
        <f t="shared" si="604"/>
        <v>0.57739772668620715</v>
      </c>
      <c r="AW186" s="5">
        <f t="shared" si="475"/>
        <v>17.532023003996716</v>
      </c>
      <c r="AX186" s="5">
        <f t="shared" si="476"/>
        <v>1.636322147039694</v>
      </c>
      <c r="AY186" s="5">
        <f t="shared" si="477"/>
        <v>3.8162798165305798</v>
      </c>
      <c r="AZ186" s="5"/>
      <c r="BA186" s="173">
        <f t="shared" si="478"/>
        <v>4.5410064566031805</v>
      </c>
      <c r="BB186" s="173">
        <f t="shared" si="479"/>
        <v>3.8849058573653625</v>
      </c>
      <c r="BC186" s="173">
        <f t="shared" si="480"/>
        <v>0.39167493479995041</v>
      </c>
      <c r="BD186" s="173"/>
      <c r="BE186" s="528">
        <f t="shared" si="481"/>
        <v>0.24744887566694126</v>
      </c>
      <c r="BF186" s="528">
        <f t="shared" si="527"/>
        <v>2.0094203062912919</v>
      </c>
      <c r="BG186" s="528">
        <f t="shared" si="482"/>
        <v>2.570019673065348E-2</v>
      </c>
      <c r="BH186" s="528">
        <f t="shared" si="483"/>
        <v>0.24936358868071426</v>
      </c>
      <c r="BI186">
        <f t="shared" si="484"/>
        <v>8.4732324629103583E-3</v>
      </c>
      <c r="BJ186" s="460">
        <f t="shared" si="598"/>
        <v>34.173429193563834</v>
      </c>
      <c r="BK186">
        <f t="shared" si="528"/>
        <v>2.7337730154901951</v>
      </c>
      <c r="BL186" s="460">
        <f t="shared" si="599"/>
        <v>2540.406199832511</v>
      </c>
      <c r="BM186" s="173">
        <f t="shared" si="529"/>
        <v>1.2741399999999998</v>
      </c>
      <c r="BN186" s="173">
        <f t="shared" si="530"/>
        <v>0.12741399999999997</v>
      </c>
      <c r="BO186" s="528"/>
      <c r="BQ186" s="460">
        <f t="shared" si="485"/>
        <v>1401.5539999999996</v>
      </c>
      <c r="BR186" s="528">
        <f t="shared" si="486"/>
        <v>0.2886903549447648</v>
      </c>
      <c r="BS186" s="528">
        <f t="shared" si="487"/>
        <v>0.21129490928828384</v>
      </c>
      <c r="BT186" s="528">
        <f t="shared" si="488"/>
        <v>7.6704627275272705E-4</v>
      </c>
      <c r="BU186" s="528">
        <f t="shared" si="489"/>
        <v>12.86780742459587</v>
      </c>
      <c r="BV186" s="528"/>
      <c r="BW186" s="625">
        <f t="shared" si="531"/>
        <v>2.3943576993572262</v>
      </c>
      <c r="BX186" s="460">
        <f t="shared" si="490"/>
        <v>15762.917434458897</v>
      </c>
      <c r="BY186" s="173">
        <f t="shared" si="491"/>
        <v>19.704877634291407</v>
      </c>
      <c r="BZ186" s="5">
        <f t="shared" si="492"/>
        <v>58.9</v>
      </c>
      <c r="CA186" s="173">
        <f t="shared" si="493"/>
        <v>0.74931736773424928</v>
      </c>
      <c r="CB186" s="5">
        <f t="shared" si="494"/>
        <v>74.93173677342493</v>
      </c>
      <c r="CC186">
        <f t="shared" si="495"/>
        <v>76</v>
      </c>
      <c r="CE186" s="562">
        <f t="shared" si="532"/>
        <v>-50</v>
      </c>
      <c r="CF186">
        <f t="shared" si="533"/>
        <v>-50</v>
      </c>
      <c r="CG186" s="173">
        <f t="shared" si="534"/>
        <v>0.38447255346461445</v>
      </c>
      <c r="CH186" s="173">
        <f t="shared" si="535"/>
        <v>0.12467877742130105</v>
      </c>
      <c r="CI186" s="170">
        <v>76</v>
      </c>
      <c r="CJ186" s="217">
        <f t="shared" si="600"/>
        <v>1.9</v>
      </c>
      <c r="CK186" s="217">
        <f t="shared" si="536"/>
        <v>0.19</v>
      </c>
      <c r="CL186" s="217">
        <f t="shared" si="537"/>
        <v>53.199999999999996</v>
      </c>
      <c r="CM186" s="217">
        <f t="shared" si="538"/>
        <v>5.7</v>
      </c>
      <c r="CN186" s="541">
        <f t="shared" si="539"/>
        <v>19</v>
      </c>
      <c r="CO186" s="443">
        <f t="shared" si="540"/>
        <v>28.7</v>
      </c>
      <c r="CP186" s="443">
        <f t="shared" si="541"/>
        <v>47.7</v>
      </c>
      <c r="CQ186" s="443"/>
      <c r="CR186" s="217">
        <f t="shared" si="542"/>
        <v>0.59915611814345993</v>
      </c>
      <c r="CS186" s="172">
        <f t="shared" si="543"/>
        <v>85.685767433419556</v>
      </c>
      <c r="CT186" s="172">
        <f t="shared" si="544"/>
        <v>10.164255575647982</v>
      </c>
      <c r="CU186" s="217">
        <f t="shared" si="545"/>
        <v>3.0602059797649841</v>
      </c>
      <c r="CV186" s="217">
        <f t="shared" si="546"/>
        <v>2.8561922477806521</v>
      </c>
      <c r="CW186" s="217">
        <f t="shared" si="547"/>
        <v>28</v>
      </c>
      <c r="CX186" s="217">
        <f t="shared" si="548"/>
        <v>10.347887323943661</v>
      </c>
      <c r="CY186" s="217">
        <f t="shared" si="549"/>
        <v>2.5597405485544846</v>
      </c>
      <c r="CZ186" s="217">
        <f t="shared" si="550"/>
        <v>1.6946017568827598</v>
      </c>
      <c r="DA186" s="197">
        <f t="shared" si="551"/>
        <v>350</v>
      </c>
      <c r="DB186" s="443">
        <f t="shared" si="552"/>
        <v>235.0539585688613</v>
      </c>
      <c r="DD186" s="217">
        <f t="shared" si="553"/>
        <v>6.9494625094785683</v>
      </c>
      <c r="DE186" s="173">
        <f t="shared" si="554"/>
        <v>1.1380652890086853</v>
      </c>
      <c r="DF186" s="173">
        <f t="shared" si="555"/>
        <v>1.2501230996965573</v>
      </c>
      <c r="DG186" s="173"/>
      <c r="DH186" s="173">
        <f t="shared" si="556"/>
        <v>0.54587688734030204</v>
      </c>
      <c r="DI186" s="545">
        <f t="shared" si="557"/>
        <v>2088.382978723404</v>
      </c>
      <c r="DJ186" s="528">
        <f t="shared" si="558"/>
        <v>0.31842818428184283</v>
      </c>
      <c r="DL186" s="173">
        <f t="shared" si="559"/>
        <v>8.4623248725891003</v>
      </c>
      <c r="DM186" s="173">
        <f t="shared" si="560"/>
        <v>10.347887323943661</v>
      </c>
      <c r="DN186" s="173">
        <f t="shared" si="561"/>
        <v>6.3959659189706128</v>
      </c>
      <c r="DP186" s="545">
        <f t="shared" si="562"/>
        <v>1900</v>
      </c>
      <c r="DQ186" s="460">
        <f t="shared" si="563"/>
        <v>235.0539585688613</v>
      </c>
      <c r="DS186">
        <f t="shared" si="564"/>
        <v>1900</v>
      </c>
      <c r="DT186">
        <f t="shared" si="565"/>
        <v>235.0539585688613</v>
      </c>
      <c r="DV186" s="5">
        <f t="shared" si="566"/>
        <v>4.2543423054372447</v>
      </c>
      <c r="DW186" s="5">
        <f t="shared" si="567"/>
        <v>2.5597405485544846</v>
      </c>
      <c r="DX186" s="5">
        <f t="shared" si="568"/>
        <v>1.69460175688276</v>
      </c>
      <c r="DY186" s="173">
        <f t="shared" si="569"/>
        <v>0.60167714884696011</v>
      </c>
      <c r="EA186" s="5">
        <f t="shared" si="570"/>
        <v>17.36966800804829</v>
      </c>
      <c r="EB186" s="5">
        <f t="shared" si="571"/>
        <v>1.621169014084507</v>
      </c>
      <c r="EC186" s="5">
        <f t="shared" si="572"/>
        <v>3.3892035137655196</v>
      </c>
      <c r="ED186" s="5"/>
      <c r="EE186" s="173">
        <f t="shared" si="573"/>
        <v>4.6341791894764501</v>
      </c>
      <c r="EF186" s="173">
        <f t="shared" si="574"/>
        <v>3.7705844723112478</v>
      </c>
      <c r="EG186" s="173">
        <f t="shared" si="575"/>
        <v>0.38014909024121601</v>
      </c>
      <c r="EH186" s="173"/>
      <c r="EI186" s="528">
        <f t="shared" si="576"/>
        <v>0.25770740112211926</v>
      </c>
      <c r="EJ186" s="528">
        <f t="shared" si="577"/>
        <v>2.2044042553191492</v>
      </c>
      <c r="EK186" s="528">
        <f t="shared" si="578"/>
        <v>2.7031205235419051E-2</v>
      </c>
      <c r="EL186" s="528">
        <f t="shared" si="579"/>
        <v>0.26339684128563118</v>
      </c>
      <c r="EM186">
        <f t="shared" si="580"/>
        <v>8.5500000000000003E-3</v>
      </c>
      <c r="EN186" s="460">
        <f t="shared" si="581"/>
        <v>35.581205235419048</v>
      </c>
      <c r="EP186" s="460">
        <f t="shared" si="601"/>
        <v>2761.0897029623188</v>
      </c>
      <c r="EQ186" s="173">
        <f t="shared" si="582"/>
        <v>1.3299999999999998</v>
      </c>
      <c r="ER186" s="173">
        <f t="shared" si="583"/>
        <v>9.1009999999999994E-2</v>
      </c>
      <c r="ES186" s="528"/>
      <c r="EU186" s="460">
        <f t="shared" si="496"/>
        <v>1421.01</v>
      </c>
      <c r="EV186" s="528">
        <f t="shared" si="584"/>
        <v>0.3006586346424725</v>
      </c>
      <c r="EW186" s="528">
        <f t="shared" si="585"/>
        <v>0.19904230167968567</v>
      </c>
      <c r="EX186" s="528">
        <f t="shared" si="586"/>
        <v>7.2256665405612101E-4</v>
      </c>
      <c r="EY186" s="528">
        <f t="shared" si="587"/>
        <v>14.588752487337148</v>
      </c>
      <c r="EZ186" s="528"/>
      <c r="FA186" s="625">
        <f t="shared" si="588"/>
        <v>2.516928925351924</v>
      </c>
      <c r="FB186" s="460">
        <f t="shared" si="497"/>
        <v>17606.104915665288</v>
      </c>
      <c r="FC186" s="173">
        <f t="shared" si="589"/>
        <v>21.788204618627603</v>
      </c>
      <c r="FD186" s="5">
        <f t="shared" si="590"/>
        <v>58.9</v>
      </c>
      <c r="FE186" s="173">
        <f t="shared" si="591"/>
        <v>0.72997038759742594</v>
      </c>
      <c r="FF186" s="5">
        <f t="shared" si="592"/>
        <v>72.997038759742594</v>
      </c>
      <c r="FG186">
        <f t="shared" si="593"/>
        <v>76</v>
      </c>
      <c r="FI186" s="562">
        <f t="shared" si="594"/>
        <v>-50</v>
      </c>
      <c r="FJ186">
        <f t="shared" si="595"/>
        <v>-50</v>
      </c>
    </row>
    <row r="187" spans="5:166">
      <c r="E187" s="170">
        <v>77</v>
      </c>
      <c r="F187" s="217">
        <f t="shared" si="596"/>
        <v>1.925</v>
      </c>
      <c r="G187" s="217">
        <f t="shared" si="498"/>
        <v>0.1925</v>
      </c>
      <c r="H187" s="217">
        <f t="shared" si="499"/>
        <v>53.9</v>
      </c>
      <c r="I187" s="217">
        <f t="shared" si="500"/>
        <v>5.7750000000000004</v>
      </c>
      <c r="J187" s="541">
        <f t="shared" si="501"/>
        <v>18.827160808306946</v>
      </c>
      <c r="K187" s="443">
        <f t="shared" si="502"/>
        <v>28.770096030931583</v>
      </c>
      <c r="L187" s="172">
        <f t="shared" si="503"/>
        <v>47.597256839238526</v>
      </c>
      <c r="M187" s="443"/>
      <c r="N187" s="217">
        <f t="shared" si="504"/>
        <v>0.60444861619029089</v>
      </c>
      <c r="O187" s="172">
        <f t="shared" si="505"/>
        <v>85.656300087755369</v>
      </c>
      <c r="P187" s="172">
        <f t="shared" si="506"/>
        <v>10.160760086940368</v>
      </c>
      <c r="Q187" s="217">
        <f t="shared" si="507"/>
        <v>3.0591535745626919</v>
      </c>
      <c r="R187" s="217">
        <f t="shared" si="508"/>
        <v>2.8552100029251788</v>
      </c>
      <c r="S187" s="217">
        <f t="shared" si="509"/>
        <v>28</v>
      </c>
      <c r="T187" s="217">
        <f t="shared" si="510"/>
        <v>10.487650440341058</v>
      </c>
      <c r="U187" s="217">
        <f t="shared" si="511"/>
        <v>2.6181301350469321</v>
      </c>
      <c r="V187" s="217">
        <f t="shared" si="512"/>
        <v>1.7133052672680593</v>
      </c>
      <c r="W187" s="197">
        <f t="shared" si="513"/>
        <v>350</v>
      </c>
      <c r="X187" s="443">
        <f t="shared" si="597"/>
        <v>220.68062572162594</v>
      </c>
      <c r="Z187" s="217">
        <f t="shared" si="514"/>
        <v>6.9179643145125898</v>
      </c>
      <c r="AA187" s="173">
        <f t="shared" si="515"/>
        <v>1.1301468108848833</v>
      </c>
      <c r="AB187" s="173">
        <f t="shared" si="516"/>
        <v>1.235798226081386</v>
      </c>
      <c r="AC187" s="173"/>
      <c r="AD187" s="173">
        <f t="shared" si="517"/>
        <v>0.54454690209664114</v>
      </c>
      <c r="AE187" s="545">
        <f t="shared" si="518"/>
        <v>2121.0294201527222</v>
      </c>
      <c r="AF187" s="528">
        <f t="shared" si="519"/>
        <v>0.31765235955637394</v>
      </c>
      <c r="AH187" s="173">
        <f t="shared" si="520"/>
        <v>8.5178161220680089</v>
      </c>
      <c r="AI187" s="173">
        <f t="shared" si="521"/>
        <v>10.487650440341058</v>
      </c>
      <c r="AJ187" s="173">
        <f t="shared" si="522"/>
        <v>6.4994941533390547</v>
      </c>
      <c r="AL187" s="545">
        <f t="shared" si="523"/>
        <v>1925</v>
      </c>
      <c r="AM187" s="460">
        <f t="shared" si="524"/>
        <v>220.68062572162594</v>
      </c>
      <c r="AO187">
        <f t="shared" si="525"/>
        <v>1925</v>
      </c>
      <c r="AP187">
        <f t="shared" si="526"/>
        <v>220.68062572162594</v>
      </c>
      <c r="AR187" s="5">
        <f t="shared" si="442"/>
        <v>4.5314354023149903</v>
      </c>
      <c r="AS187" s="5">
        <f t="shared" si="602"/>
        <v>2.6181301350469321</v>
      </c>
      <c r="AT187" s="5">
        <f t="shared" si="603"/>
        <v>1.9133052672680582</v>
      </c>
      <c r="AU187" s="173">
        <f t="shared" si="604"/>
        <v>0.57777059642280215</v>
      </c>
      <c r="AW187" s="5">
        <f t="shared" si="475"/>
        <v>17.999644678447662</v>
      </c>
      <c r="AX187" s="5">
        <f t="shared" si="476"/>
        <v>1.679966836655115</v>
      </c>
      <c r="AY187" s="5">
        <f t="shared" si="477"/>
        <v>3.9125523779092002</v>
      </c>
      <c r="AZ187" s="5"/>
      <c r="BA187" s="173">
        <f t="shared" si="478"/>
        <v>4.6025158667444028</v>
      </c>
      <c r="BB187" s="173">
        <f t="shared" si="479"/>
        <v>3.9345205064863178</v>
      </c>
      <c r="BC187" s="173">
        <f t="shared" si="480"/>
        <v>0.39667706745722714</v>
      </c>
      <c r="BD187" s="173"/>
      <c r="BE187" s="528">
        <f t="shared" si="481"/>
        <v>0.25419782764360777</v>
      </c>
      <c r="BF187" s="528">
        <f t="shared" si="527"/>
        <v>2.0104218837460097</v>
      </c>
      <c r="BG187" s="528">
        <f t="shared" si="482"/>
        <v>2.5378271957986986E-2</v>
      </c>
      <c r="BH187" s="528">
        <f t="shared" si="483"/>
        <v>0.246226215053304</v>
      </c>
      <c r="BI187">
        <f t="shared" si="484"/>
        <v>8.4722223637381262E-3</v>
      </c>
      <c r="BJ187" s="460">
        <f t="shared" si="598"/>
        <v>33.850494321725115</v>
      </c>
      <c r="BK187">
        <f t="shared" si="528"/>
        <v>2.7452875827194338</v>
      </c>
      <c r="BL187" s="460">
        <f t="shared" si="599"/>
        <v>2544.696420764647</v>
      </c>
      <c r="BM187" s="173">
        <f t="shared" si="529"/>
        <v>1.290905</v>
      </c>
      <c r="BN187" s="173">
        <f t="shared" si="530"/>
        <v>0.12909049999999997</v>
      </c>
      <c r="BO187" s="528"/>
      <c r="BQ187" s="460">
        <f t="shared" si="485"/>
        <v>1419.9955</v>
      </c>
      <c r="BR187" s="528">
        <f t="shared" si="486"/>
        <v>0.29656413225087574</v>
      </c>
      <c r="BS187" s="528">
        <f t="shared" si="487"/>
        <v>0.21672632262345889</v>
      </c>
      <c r="BT187" s="528">
        <f t="shared" si="488"/>
        <v>7.8676347923232765E-4</v>
      </c>
      <c r="BU187" s="528">
        <f t="shared" si="489"/>
        <v>12.884750999631718</v>
      </c>
      <c r="BV187" s="528"/>
      <c r="BW187" s="625">
        <f t="shared" si="531"/>
        <v>2.4272841162558465</v>
      </c>
      <c r="BX187" s="460">
        <f t="shared" si="490"/>
        <v>15826.11233424113</v>
      </c>
      <c r="BY187" s="173">
        <f t="shared" si="491"/>
        <v>19.790804255005781</v>
      </c>
      <c r="BZ187" s="5">
        <f t="shared" si="492"/>
        <v>59.674999999999997</v>
      </c>
      <c r="CA187" s="173">
        <f t="shared" si="493"/>
        <v>0.75095194164905088</v>
      </c>
      <c r="CB187" s="5">
        <f t="shared" si="494"/>
        <v>75.095194164905081</v>
      </c>
      <c r="CC187">
        <f t="shared" si="495"/>
        <v>77</v>
      </c>
      <c r="CE187" s="562">
        <f t="shared" si="532"/>
        <v>-50</v>
      </c>
      <c r="CF187">
        <f t="shared" si="533"/>
        <v>-50</v>
      </c>
      <c r="CG187" s="173">
        <f t="shared" si="534"/>
        <v>0.38447255346461451</v>
      </c>
      <c r="CH187" s="173">
        <f t="shared" si="535"/>
        <v>0.12467877742130107</v>
      </c>
      <c r="CI187" s="170">
        <v>77</v>
      </c>
      <c r="CJ187" s="217">
        <f t="shared" si="600"/>
        <v>1.925</v>
      </c>
      <c r="CK187" s="217">
        <f t="shared" si="536"/>
        <v>0.1925</v>
      </c>
      <c r="CL187" s="217">
        <f t="shared" si="537"/>
        <v>53.9</v>
      </c>
      <c r="CM187" s="217">
        <f t="shared" si="538"/>
        <v>5.7750000000000004</v>
      </c>
      <c r="CN187" s="541">
        <f t="shared" si="539"/>
        <v>19</v>
      </c>
      <c r="CO187" s="443">
        <f t="shared" si="540"/>
        <v>28.7</v>
      </c>
      <c r="CP187" s="443">
        <f t="shared" si="541"/>
        <v>47.7</v>
      </c>
      <c r="CQ187" s="443"/>
      <c r="CR187" s="217">
        <f t="shared" si="542"/>
        <v>0.59915611814345993</v>
      </c>
      <c r="CS187" s="172">
        <f t="shared" si="543"/>
        <v>85.685767433419556</v>
      </c>
      <c r="CT187" s="172">
        <f t="shared" si="544"/>
        <v>10.164255575647982</v>
      </c>
      <c r="CU187" s="217">
        <f t="shared" si="545"/>
        <v>3.0602059797649841</v>
      </c>
      <c r="CV187" s="217">
        <f t="shared" si="546"/>
        <v>2.8561922477806521</v>
      </c>
      <c r="CW187" s="217">
        <f t="shared" si="547"/>
        <v>28</v>
      </c>
      <c r="CX187" s="217">
        <f t="shared" si="548"/>
        <v>10.484043736100814</v>
      </c>
      <c r="CY187" s="217">
        <f t="shared" si="549"/>
        <v>2.5934213452459911</v>
      </c>
      <c r="CZ187" s="217">
        <f t="shared" si="550"/>
        <v>1.7168991484206908</v>
      </c>
      <c r="DA187" s="197">
        <f t="shared" si="551"/>
        <v>350</v>
      </c>
      <c r="DB187" s="443">
        <f t="shared" si="552"/>
        <v>232.00130975627872</v>
      </c>
      <c r="DD187" s="217">
        <f t="shared" si="553"/>
        <v>6.9494625094785683</v>
      </c>
      <c r="DE187" s="173">
        <f t="shared" si="554"/>
        <v>1.1380652890086853</v>
      </c>
      <c r="DF187" s="173">
        <f t="shared" si="555"/>
        <v>1.2501230996965573</v>
      </c>
      <c r="DG187" s="173"/>
      <c r="DH187" s="173">
        <f t="shared" si="556"/>
        <v>0.54587688734030204</v>
      </c>
      <c r="DI187" s="545">
        <f t="shared" si="557"/>
        <v>2115.8617021276596</v>
      </c>
      <c r="DJ187" s="528">
        <f t="shared" si="558"/>
        <v>0.31842818428184283</v>
      </c>
      <c r="DL187" s="173">
        <f t="shared" si="559"/>
        <v>8.5178161220680089</v>
      </c>
      <c r="DM187" s="173">
        <f t="shared" si="560"/>
        <v>10.484043736100814</v>
      </c>
      <c r="DN187" s="173">
        <f t="shared" si="561"/>
        <v>6.4968225205685037</v>
      </c>
      <c r="DP187" s="545">
        <f t="shared" si="562"/>
        <v>1925</v>
      </c>
      <c r="DQ187" s="460">
        <f t="shared" si="563"/>
        <v>232.00130975627872</v>
      </c>
      <c r="DS187">
        <f t="shared" si="564"/>
        <v>1925</v>
      </c>
      <c r="DT187">
        <f t="shared" si="565"/>
        <v>232.00130975627872</v>
      </c>
      <c r="DV187" s="5">
        <f t="shared" si="566"/>
        <v>4.3103204936666817</v>
      </c>
      <c r="DW187" s="5">
        <f t="shared" si="567"/>
        <v>2.5934213452459911</v>
      </c>
      <c r="DX187" s="5">
        <f t="shared" si="568"/>
        <v>1.7168991484206906</v>
      </c>
      <c r="DY187" s="173">
        <f t="shared" si="569"/>
        <v>0.60167714884696022</v>
      </c>
      <c r="EA187" s="5">
        <f t="shared" si="570"/>
        <v>17.829771748566188</v>
      </c>
      <c r="EB187" s="5">
        <f t="shared" si="571"/>
        <v>1.6641120298661776</v>
      </c>
      <c r="EC187" s="5">
        <f t="shared" si="572"/>
        <v>3.478979853378767</v>
      </c>
      <c r="ED187" s="5"/>
      <c r="EE187" s="173">
        <f t="shared" si="573"/>
        <v>4.6951552314432456</v>
      </c>
      <c r="EF187" s="173">
        <f t="shared" si="574"/>
        <v>3.8201974258942903</v>
      </c>
      <c r="EG187" s="173">
        <f t="shared" si="575"/>
        <v>0.38515105195491611</v>
      </c>
      <c r="EH187" s="173"/>
      <c r="EI187" s="528">
        <f t="shared" si="576"/>
        <v>0.26453379176818653</v>
      </c>
      <c r="EJ187" s="528">
        <f t="shared" si="577"/>
        <v>2.2044042553191492</v>
      </c>
      <c r="EK187" s="528">
        <f t="shared" si="578"/>
        <v>2.6680150621972053E-2</v>
      </c>
      <c r="EL187" s="528">
        <f t="shared" si="579"/>
        <v>0.25997610308711649</v>
      </c>
      <c r="EM187">
        <f t="shared" si="580"/>
        <v>8.5500000000000003E-3</v>
      </c>
      <c r="EN187" s="460">
        <f t="shared" si="581"/>
        <v>35.230150621972051</v>
      </c>
      <c r="EP187" s="460">
        <f t="shared" si="601"/>
        <v>2764.1443007964244</v>
      </c>
      <c r="EQ187" s="173">
        <f t="shared" si="582"/>
        <v>1.3474999999999999</v>
      </c>
      <c r="ER187" s="173">
        <f t="shared" si="583"/>
        <v>9.2207499999999998E-2</v>
      </c>
      <c r="ES187" s="528"/>
      <c r="EU187" s="460">
        <f t="shared" si="496"/>
        <v>1439.7075</v>
      </c>
      <c r="EV187" s="528">
        <f t="shared" si="584"/>
        <v>0.30862275706288433</v>
      </c>
      <c r="EW187" s="528">
        <f t="shared" si="585"/>
        <v>0.20431471721933109</v>
      </c>
      <c r="EX187" s="528">
        <f t="shared" si="586"/>
        <v>7.4170666410989237E-4</v>
      </c>
      <c r="EY187" s="528">
        <f t="shared" si="587"/>
        <v>14.588752487337159</v>
      </c>
      <c r="EZ187" s="528"/>
      <c r="FA187" s="625">
        <f t="shared" si="588"/>
        <v>2.550046411211818</v>
      </c>
      <c r="FB187" s="460">
        <f t="shared" si="497"/>
        <v>17652.478079495304</v>
      </c>
      <c r="FC187" s="173">
        <f t="shared" si="589"/>
        <v>21.856329880291725</v>
      </c>
      <c r="FD187" s="5">
        <f t="shared" si="590"/>
        <v>59.674999999999997</v>
      </c>
      <c r="FE187" s="173">
        <f t="shared" si="591"/>
        <v>0.73192722463398729</v>
      </c>
      <c r="FF187" s="5">
        <f t="shared" si="592"/>
        <v>73.192722463398724</v>
      </c>
      <c r="FG187">
        <f t="shared" si="593"/>
        <v>77</v>
      </c>
      <c r="FI187" s="562">
        <f t="shared" si="594"/>
        <v>-50</v>
      </c>
      <c r="FJ187">
        <f t="shared" si="595"/>
        <v>-50</v>
      </c>
    </row>
    <row r="188" spans="5:166">
      <c r="E188" s="170">
        <v>78</v>
      </c>
      <c r="F188" s="217">
        <f t="shared" si="596"/>
        <v>1.9500000000000002</v>
      </c>
      <c r="G188" s="217">
        <f t="shared" si="498"/>
        <v>0.19500000000000001</v>
      </c>
      <c r="H188" s="217">
        <f t="shared" si="499"/>
        <v>54.600000000000009</v>
      </c>
      <c r="I188" s="217">
        <f t="shared" si="500"/>
        <v>5.8500000000000005</v>
      </c>
      <c r="J188" s="541">
        <f t="shared" si="501"/>
        <v>18.824916143479765</v>
      </c>
      <c r="K188" s="443">
        <f t="shared" si="502"/>
        <v>28.771006368995629</v>
      </c>
      <c r="L188" s="172">
        <f t="shared" si="503"/>
        <v>47.595922512475397</v>
      </c>
      <c r="M188" s="443"/>
      <c r="N188" s="217">
        <f t="shared" si="504"/>
        <v>0.60448468797835453</v>
      </c>
      <c r="O188" s="172">
        <f t="shared" si="505"/>
        <v>85.651198847817625</v>
      </c>
      <c r="P188" s="172">
        <f t="shared" si="506"/>
        <v>10.16015496536612</v>
      </c>
      <c r="Q188" s="217">
        <f t="shared" si="507"/>
        <v>3.0589713874220581</v>
      </c>
      <c r="R188" s="217">
        <f t="shared" si="508"/>
        <v>2.855039961593921</v>
      </c>
      <c r="S188" s="217">
        <f t="shared" si="509"/>
        <v>28</v>
      </c>
      <c r="T188" s="217">
        <f t="shared" si="510"/>
        <v>10.624486431495953</v>
      </c>
      <c r="U188" s="217">
        <f t="shared" si="511"/>
        <v>2.6526060380527428</v>
      </c>
      <c r="V188" s="217">
        <f t="shared" si="512"/>
        <v>1.7356044341167816</v>
      </c>
      <c r="W188" s="197">
        <f t="shared" si="513"/>
        <v>350</v>
      </c>
      <c r="X188" s="443">
        <f t="shared" si="597"/>
        <v>217.94989703843129</v>
      </c>
      <c r="Z188" s="217">
        <f t="shared" si="514"/>
        <v>6.9175523168450184</v>
      </c>
      <c r="AA188" s="173">
        <f t="shared" si="515"/>
        <v>1.1300437486332728</v>
      </c>
      <c r="AB188" s="173">
        <f t="shared" si="516"/>
        <v>1.2356119381394255</v>
      </c>
      <c r="AC188" s="173"/>
      <c r="AD188" s="173">
        <f t="shared" si="517"/>
        <v>0.54452967218934223</v>
      </c>
      <c r="AE188" s="545">
        <f t="shared" si="518"/>
        <v>2148.6432415994605</v>
      </c>
      <c r="AF188" s="528">
        <f t="shared" si="519"/>
        <v>0.3176423087771163</v>
      </c>
      <c r="AH188" s="173">
        <f t="shared" si="520"/>
        <v>8.5729481935611442</v>
      </c>
      <c r="AI188" s="173">
        <f t="shared" si="521"/>
        <v>10.624486431495953</v>
      </c>
      <c r="AJ188" s="173">
        <f t="shared" si="522"/>
        <v>6.6008541467871256</v>
      </c>
      <c r="AL188" s="545">
        <f t="shared" si="523"/>
        <v>1950.0000000000002</v>
      </c>
      <c r="AM188" s="460">
        <f t="shared" si="524"/>
        <v>217.94989703843129</v>
      </c>
      <c r="AO188">
        <f t="shared" si="525"/>
        <v>1950.0000000000002</v>
      </c>
      <c r="AP188">
        <f t="shared" si="526"/>
        <v>217.94989703843129</v>
      </c>
      <c r="AR188" s="5">
        <f t="shared" si="442"/>
        <v>4.5882104721695249</v>
      </c>
      <c r="AS188" s="5">
        <f t="shared" si="602"/>
        <v>2.6526060380527428</v>
      </c>
      <c r="AT188" s="5">
        <f t="shared" si="603"/>
        <v>1.9356044341167822</v>
      </c>
      <c r="AU188" s="173">
        <f t="shared" si="604"/>
        <v>0.57813521287711633</v>
      </c>
      <c r="AW188" s="5">
        <f t="shared" si="475"/>
        <v>18.473506336438746</v>
      </c>
      <c r="AX188" s="5">
        <f t="shared" si="476"/>
        <v>1.724193924734283</v>
      </c>
      <c r="AY188" s="5">
        <f t="shared" si="477"/>
        <v>4.0100350171653156</v>
      </c>
      <c r="AZ188" s="5"/>
      <c r="BA188" s="173">
        <f t="shared" si="478"/>
        <v>4.6640374601095917</v>
      </c>
      <c r="BB188" s="173">
        <f t="shared" si="479"/>
        <v>3.9841341863749613</v>
      </c>
      <c r="BC188" s="173">
        <f t="shared" si="480"/>
        <v>0.40167910239681992</v>
      </c>
      <c r="BD188" s="173"/>
      <c r="BE188" s="528">
        <f t="shared" si="481"/>
        <v>0.26103894515166642</v>
      </c>
      <c r="BF188" s="528">
        <f t="shared" si="527"/>
        <v>2.011394378466298</v>
      </c>
      <c r="BG188" s="528">
        <f t="shared" si="482"/>
        <v>2.5064238159419602E-2</v>
      </c>
      <c r="BH188" s="528">
        <f t="shared" si="483"/>
        <v>0.24316574792625534</v>
      </c>
      <c r="BI188">
        <f t="shared" si="484"/>
        <v>8.471212264565894E-3</v>
      </c>
      <c r="BJ188" s="460">
        <f t="shared" si="598"/>
        <v>33.535450423985495</v>
      </c>
      <c r="BK188">
        <f t="shared" si="528"/>
        <v>2.7570816581417996</v>
      </c>
      <c r="BL188" s="460">
        <f t="shared" si="599"/>
        <v>2549.1345219682057</v>
      </c>
      <c r="BM188" s="173">
        <f t="shared" si="529"/>
        <v>1.3076699999999999</v>
      </c>
      <c r="BN188" s="173">
        <f t="shared" si="530"/>
        <v>0.13076699999999997</v>
      </c>
      <c r="BO188" s="528"/>
      <c r="BQ188" s="460">
        <f t="shared" si="485"/>
        <v>1438.4369999999999</v>
      </c>
      <c r="BR188" s="528">
        <f t="shared" si="486"/>
        <v>0.30454543601027745</v>
      </c>
      <c r="BS188" s="528">
        <f t="shared" si="487"/>
        <v>0.22222655301058344</v>
      </c>
      <c r="BT188" s="528">
        <f t="shared" si="488"/>
        <v>8.0673050651157473E-4</v>
      </c>
      <c r="BU188" s="528">
        <f t="shared" si="489"/>
        <v>12.901242552488458</v>
      </c>
      <c r="BV188" s="528"/>
      <c r="BW188" s="625">
        <f t="shared" si="531"/>
        <v>2.4602121593534205</v>
      </c>
      <c r="BX188" s="460">
        <f t="shared" si="490"/>
        <v>15889.033431369253</v>
      </c>
      <c r="BY188" s="173">
        <f t="shared" si="491"/>
        <v>19.876604953337459</v>
      </c>
      <c r="BZ188" s="5">
        <f t="shared" si="492"/>
        <v>60.45000000000001</v>
      </c>
      <c r="CA188" s="173">
        <f t="shared" si="493"/>
        <v>0.75255265718146591</v>
      </c>
      <c r="CB188" s="5">
        <f t="shared" si="494"/>
        <v>75.255265718146589</v>
      </c>
      <c r="CC188">
        <f t="shared" si="495"/>
        <v>78</v>
      </c>
      <c r="CE188" s="562">
        <f t="shared" si="532"/>
        <v>-50</v>
      </c>
      <c r="CF188">
        <f t="shared" si="533"/>
        <v>-50</v>
      </c>
      <c r="CG188" s="173">
        <f t="shared" si="534"/>
        <v>0.38447255346461451</v>
      </c>
      <c r="CH188" s="173">
        <f t="shared" si="535"/>
        <v>0.12467877742130107</v>
      </c>
      <c r="CI188" s="170">
        <v>78</v>
      </c>
      <c r="CJ188" s="217">
        <f t="shared" si="600"/>
        <v>1.9500000000000002</v>
      </c>
      <c r="CK188" s="217">
        <f t="shared" si="536"/>
        <v>0.19500000000000001</v>
      </c>
      <c r="CL188" s="217">
        <f t="shared" si="537"/>
        <v>54.600000000000009</v>
      </c>
      <c r="CM188" s="217">
        <f t="shared" si="538"/>
        <v>5.8500000000000005</v>
      </c>
      <c r="CN188" s="541">
        <f t="shared" si="539"/>
        <v>19</v>
      </c>
      <c r="CO188" s="443">
        <f t="shared" si="540"/>
        <v>28.7</v>
      </c>
      <c r="CP188" s="443">
        <f t="shared" si="541"/>
        <v>47.7</v>
      </c>
      <c r="CQ188" s="443"/>
      <c r="CR188" s="217">
        <f t="shared" si="542"/>
        <v>0.59915611814345993</v>
      </c>
      <c r="CS188" s="172">
        <f t="shared" si="543"/>
        <v>85.685767433419556</v>
      </c>
      <c r="CT188" s="172">
        <f t="shared" si="544"/>
        <v>10.164255575647982</v>
      </c>
      <c r="CU188" s="217">
        <f t="shared" si="545"/>
        <v>3.0602059797649841</v>
      </c>
      <c r="CV188" s="217">
        <f t="shared" si="546"/>
        <v>2.8561922477806521</v>
      </c>
      <c r="CW188" s="217">
        <f t="shared" si="547"/>
        <v>28</v>
      </c>
      <c r="CX188" s="217">
        <f t="shared" si="548"/>
        <v>10.62020014825797</v>
      </c>
      <c r="CY188" s="217">
        <f t="shared" si="549"/>
        <v>2.6271021419374976</v>
      </c>
      <c r="CZ188" s="217">
        <f t="shared" si="550"/>
        <v>1.7391965399586222</v>
      </c>
      <c r="DA188" s="197">
        <f t="shared" si="551"/>
        <v>350</v>
      </c>
      <c r="DB188" s="443">
        <f t="shared" si="552"/>
        <v>229.02693399017255</v>
      </c>
      <c r="DD188" s="217">
        <f t="shared" si="553"/>
        <v>6.9494625094785683</v>
      </c>
      <c r="DE188" s="173">
        <f t="shared" si="554"/>
        <v>1.1380652890086853</v>
      </c>
      <c r="DF188" s="173">
        <f t="shared" si="555"/>
        <v>1.2501230996965573</v>
      </c>
      <c r="DG188" s="173"/>
      <c r="DH188" s="173">
        <f t="shared" si="556"/>
        <v>0.54587688734030204</v>
      </c>
      <c r="DI188" s="545">
        <f t="shared" si="557"/>
        <v>2143.3404255319151</v>
      </c>
      <c r="DJ188" s="528">
        <f t="shared" si="558"/>
        <v>0.31842818428184283</v>
      </c>
      <c r="DL188" s="173">
        <f t="shared" si="559"/>
        <v>8.5729481935611442</v>
      </c>
      <c r="DM188" s="173">
        <f t="shared" si="560"/>
        <v>10.62020014825797</v>
      </c>
      <c r="DN188" s="173">
        <f t="shared" si="561"/>
        <v>6.5976791221663973</v>
      </c>
      <c r="DP188" s="545">
        <f t="shared" si="562"/>
        <v>1950.0000000000002</v>
      </c>
      <c r="DQ188" s="460">
        <f t="shared" si="563"/>
        <v>229.02693399017255</v>
      </c>
      <c r="DS188">
        <f t="shared" si="564"/>
        <v>1950.0000000000002</v>
      </c>
      <c r="DT188">
        <f t="shared" si="565"/>
        <v>229.02693399017255</v>
      </c>
      <c r="DV188" s="5">
        <f t="shared" si="566"/>
        <v>4.3662986818961196</v>
      </c>
      <c r="DW188" s="5">
        <f t="shared" si="567"/>
        <v>2.6271021419374976</v>
      </c>
      <c r="DX188" s="5">
        <f t="shared" si="568"/>
        <v>1.739196539958622</v>
      </c>
      <c r="DY188" s="173">
        <f t="shared" si="569"/>
        <v>0.60167714884696022</v>
      </c>
      <c r="EA188" s="5">
        <f t="shared" si="570"/>
        <v>18.295889917064716</v>
      </c>
      <c r="EB188" s="5">
        <f t="shared" si="571"/>
        <v>1.7076163922593735</v>
      </c>
      <c r="EC188" s="5">
        <f t="shared" si="572"/>
        <v>3.5699297399150662</v>
      </c>
      <c r="ED188" s="5"/>
      <c r="EE188" s="173">
        <f t="shared" si="573"/>
        <v>4.7561312734100429</v>
      </c>
      <c r="EF188" s="173">
        <f t="shared" si="574"/>
        <v>3.8698103794773338</v>
      </c>
      <c r="EG188" s="173">
        <f t="shared" si="575"/>
        <v>0.39015301366861643</v>
      </c>
      <c r="EH188" s="173"/>
      <c r="EI188" s="528">
        <f t="shared" si="576"/>
        <v>0.27144941627890845</v>
      </c>
      <c r="EJ188" s="528">
        <f t="shared" si="577"/>
        <v>2.2044042553191496</v>
      </c>
      <c r="EK188" s="528">
        <f t="shared" si="578"/>
        <v>2.6338097408869846E-2</v>
      </c>
      <c r="EL188" s="528">
        <f t="shared" si="579"/>
        <v>0.25664307612446113</v>
      </c>
      <c r="EM188">
        <f t="shared" si="580"/>
        <v>8.5500000000000003E-3</v>
      </c>
      <c r="EN188" s="460">
        <f t="shared" si="581"/>
        <v>34.888097408869847</v>
      </c>
      <c r="EP188" s="460">
        <f t="shared" si="601"/>
        <v>2767.3848451313893</v>
      </c>
      <c r="EQ188" s="173">
        <f t="shared" si="582"/>
        <v>1.365</v>
      </c>
      <c r="ER188" s="173">
        <f t="shared" si="583"/>
        <v>9.3405000000000002E-2</v>
      </c>
      <c r="ES188" s="528"/>
      <c r="EU188" s="460">
        <f t="shared" si="496"/>
        <v>1458.405</v>
      </c>
      <c r="EV188" s="528">
        <f t="shared" si="584"/>
        <v>0.3166909856587265</v>
      </c>
      <c r="EW188" s="528">
        <f t="shared" si="585"/>
        <v>0.20965605322354708</v>
      </c>
      <c r="EX188" s="528">
        <f t="shared" si="586"/>
        <v>7.61096870373518E-4</v>
      </c>
      <c r="EY188" s="528">
        <f t="shared" si="587"/>
        <v>14.588752487337132</v>
      </c>
      <c r="EZ188" s="528"/>
      <c r="FA188" s="625">
        <f t="shared" si="588"/>
        <v>2.5831638970717128</v>
      </c>
      <c r="FB188" s="460">
        <f t="shared" si="497"/>
        <v>17699.024520161489</v>
      </c>
      <c r="FC188" s="173">
        <f t="shared" si="589"/>
        <v>21.924814365292882</v>
      </c>
      <c r="FD188" s="5">
        <f t="shared" si="590"/>
        <v>60.45000000000001</v>
      </c>
      <c r="FE188" s="173">
        <f t="shared" si="591"/>
        <v>0.73384080396142903</v>
      </c>
      <c r="FF188" s="5">
        <f t="shared" si="592"/>
        <v>73.384080396142906</v>
      </c>
      <c r="FG188">
        <f t="shared" si="593"/>
        <v>78</v>
      </c>
      <c r="FI188" s="562">
        <f t="shared" si="594"/>
        <v>-50</v>
      </c>
      <c r="FJ188">
        <f t="shared" si="595"/>
        <v>-50</v>
      </c>
    </row>
    <row r="189" spans="5:166">
      <c r="E189" s="170">
        <v>79</v>
      </c>
      <c r="F189" s="217">
        <f t="shared" si="596"/>
        <v>1.9750000000000001</v>
      </c>
      <c r="G189" s="217">
        <f t="shared" si="498"/>
        <v>0.19750000000000001</v>
      </c>
      <c r="H189" s="217">
        <f t="shared" si="499"/>
        <v>55.300000000000004</v>
      </c>
      <c r="I189" s="217">
        <f t="shared" si="500"/>
        <v>5.9250000000000007</v>
      </c>
      <c r="J189" s="541">
        <f t="shared" si="501"/>
        <v>18.82267147865258</v>
      </c>
      <c r="K189" s="443">
        <f t="shared" si="502"/>
        <v>28.771916707059674</v>
      </c>
      <c r="L189" s="172">
        <f t="shared" si="503"/>
        <v>47.594588185712254</v>
      </c>
      <c r="M189" s="443"/>
      <c r="N189" s="217">
        <f t="shared" si="504"/>
        <v>0.6045207617889824</v>
      </c>
      <c r="O189" s="172">
        <f t="shared" si="505"/>
        <v>85.646096675539425</v>
      </c>
      <c r="P189" s="172">
        <f t="shared" si="506"/>
        <v>10.159549733195366</v>
      </c>
      <c r="Q189" s="217">
        <f t="shared" si="507"/>
        <v>3.058789166983551</v>
      </c>
      <c r="R189" s="217">
        <f t="shared" si="508"/>
        <v>2.8548698891846476</v>
      </c>
      <c r="S189" s="217">
        <f t="shared" si="509"/>
        <v>28</v>
      </c>
      <c r="T189" s="217">
        <f t="shared" si="510"/>
        <v>10.76133884020771</v>
      </c>
      <c r="U189" s="217">
        <f t="shared" si="511"/>
        <v>2.6870942632313786</v>
      </c>
      <c r="V189" s="217">
        <f t="shared" si="512"/>
        <v>1.7579048717517662</v>
      </c>
      <c r="W189" s="197">
        <f t="shared" si="513"/>
        <v>350</v>
      </c>
      <c r="X189" s="443">
        <f t="shared" si="597"/>
        <v>215.28529305175613</v>
      </c>
      <c r="Z189" s="217">
        <f t="shared" si="514"/>
        <v>6.9171402438776948</v>
      </c>
      <c r="AA189" s="173">
        <f t="shared" si="515"/>
        <v>1.1299406806029071</v>
      </c>
      <c r="AB189" s="173">
        <f t="shared" si="516"/>
        <v>1.2354256438537197</v>
      </c>
      <c r="AC189" s="173"/>
      <c r="AD189" s="173">
        <f t="shared" si="517"/>
        <v>0.54451244337234528</v>
      </c>
      <c r="AE189" s="545">
        <f t="shared" si="518"/>
        <v>2176.2588062467476</v>
      </c>
      <c r="AF189" s="528">
        <f t="shared" si="519"/>
        <v>0.31763225863386813</v>
      </c>
      <c r="AH189" s="173">
        <f t="shared" si="520"/>
        <v>8.6277279726243616</v>
      </c>
      <c r="AI189" s="173">
        <f t="shared" si="521"/>
        <v>10.76133884020771</v>
      </c>
      <c r="AJ189" s="173">
        <f t="shared" si="522"/>
        <v>6.7022263013884267</v>
      </c>
      <c r="AL189" s="545">
        <f t="shared" si="523"/>
        <v>1975</v>
      </c>
      <c r="AM189" s="460">
        <f t="shared" si="524"/>
        <v>215.28529305175613</v>
      </c>
      <c r="AO189">
        <f t="shared" si="525"/>
        <v>1975</v>
      </c>
      <c r="AP189">
        <f t="shared" si="526"/>
        <v>215.28529305175613</v>
      </c>
      <c r="AR189" s="5">
        <f t="shared" si="442"/>
        <v>4.644999134983145</v>
      </c>
      <c r="AS189" s="5">
        <f t="shared" si="602"/>
        <v>2.6870942632313786</v>
      </c>
      <c r="AT189" s="5">
        <f t="shared" si="603"/>
        <v>1.9579048717517664</v>
      </c>
      <c r="AU189" s="173">
        <f t="shared" si="604"/>
        <v>0.57849187591745999</v>
      </c>
      <c r="AW189" s="5">
        <f t="shared" si="475"/>
        <v>18.953611321007045</v>
      </c>
      <c r="AX189" s="5">
        <f t="shared" si="476"/>
        <v>1.769003723293991</v>
      </c>
      <c r="AY189" s="5">
        <f t="shared" si="477"/>
        <v>4.1087282706870552</v>
      </c>
      <c r="AZ189" s="5"/>
      <c r="BA189" s="173">
        <f t="shared" si="478"/>
        <v>4.7255711988523634</v>
      </c>
      <c r="BB189" s="173">
        <f t="shared" si="479"/>
        <v>4.0337469829549351</v>
      </c>
      <c r="BC189" s="173">
        <f t="shared" si="480"/>
        <v>0.40668104828152213</v>
      </c>
      <c r="BD189" s="173"/>
      <c r="BE189" s="528">
        <f t="shared" si="481"/>
        <v>0.26797227786507555</v>
      </c>
      <c r="BF189" s="528">
        <f t="shared" si="527"/>
        <v>2.0123388462846941</v>
      </c>
      <c r="BG189" s="528">
        <f t="shared" si="482"/>
        <v>2.4757808700951959E-2</v>
      </c>
      <c r="BH189" s="528">
        <f t="shared" si="483"/>
        <v>0.24017939372631597</v>
      </c>
      <c r="BI189">
        <f t="shared" si="484"/>
        <v>8.4702021653936602E-3</v>
      </c>
      <c r="BJ189" s="460">
        <f t="shared" si="598"/>
        <v>33.22801086634562</v>
      </c>
      <c r="BK189">
        <f t="shared" si="528"/>
        <v>2.7691557712997601</v>
      </c>
      <c r="BL189" s="460">
        <f t="shared" si="599"/>
        <v>2553.7185287424318</v>
      </c>
      <c r="BM189" s="173">
        <f t="shared" si="529"/>
        <v>1.324435</v>
      </c>
      <c r="BN189" s="173">
        <f t="shared" si="530"/>
        <v>0.13244349999999999</v>
      </c>
      <c r="BO189" s="528"/>
      <c r="BQ189" s="460">
        <f t="shared" si="485"/>
        <v>1456.8785</v>
      </c>
      <c r="BR189" s="528">
        <f t="shared" si="486"/>
        <v>0.31263432417592146</v>
      </c>
      <c r="BS189" s="528">
        <f t="shared" si="487"/>
        <v>0.22779560611497257</v>
      </c>
      <c r="BT189" s="528">
        <f t="shared" si="488"/>
        <v>8.2694737515678863E-4</v>
      </c>
      <c r="BU189" s="528">
        <f t="shared" si="489"/>
        <v>12.917297919710467</v>
      </c>
      <c r="BV189" s="528"/>
      <c r="BW189" s="625">
        <f t="shared" si="531"/>
        <v>2.4931417696417557</v>
      </c>
      <c r="BX189" s="460">
        <f t="shared" si="490"/>
        <v>15951.696567018274</v>
      </c>
      <c r="BY189" s="173">
        <f t="shared" si="491"/>
        <v>19.962293595760706</v>
      </c>
      <c r="BZ189" s="5">
        <f t="shared" si="492"/>
        <v>61.225000000000009</v>
      </c>
      <c r="CA189" s="173">
        <f t="shared" si="493"/>
        <v>0.75412046994502779</v>
      </c>
      <c r="CB189" s="5">
        <f t="shared" si="494"/>
        <v>75.412046994502774</v>
      </c>
      <c r="CC189">
        <f t="shared" si="495"/>
        <v>79</v>
      </c>
      <c r="CE189" s="562">
        <f t="shared" si="532"/>
        <v>-50</v>
      </c>
      <c r="CF189">
        <f t="shared" si="533"/>
        <v>-50</v>
      </c>
      <c r="CG189" s="173">
        <f t="shared" si="534"/>
        <v>0.38447255346461445</v>
      </c>
      <c r="CH189" s="173">
        <f t="shared" si="535"/>
        <v>0.12467877742130104</v>
      </c>
      <c r="CI189" s="170">
        <v>79</v>
      </c>
      <c r="CJ189" s="217">
        <f t="shared" si="600"/>
        <v>1.9750000000000001</v>
      </c>
      <c r="CK189" s="217">
        <f t="shared" si="536"/>
        <v>0.19750000000000001</v>
      </c>
      <c r="CL189" s="217">
        <f t="shared" si="537"/>
        <v>55.300000000000004</v>
      </c>
      <c r="CM189" s="217">
        <f t="shared" si="538"/>
        <v>5.9250000000000007</v>
      </c>
      <c r="CN189" s="541">
        <f t="shared" si="539"/>
        <v>19</v>
      </c>
      <c r="CO189" s="443">
        <f t="shared" si="540"/>
        <v>28.7</v>
      </c>
      <c r="CP189" s="443">
        <f t="shared" si="541"/>
        <v>47.7</v>
      </c>
      <c r="CQ189" s="443"/>
      <c r="CR189" s="217">
        <f t="shared" si="542"/>
        <v>0.59915611814345993</v>
      </c>
      <c r="CS189" s="172">
        <f t="shared" si="543"/>
        <v>85.685767433419556</v>
      </c>
      <c r="CT189" s="172">
        <f t="shared" si="544"/>
        <v>10.164255575647982</v>
      </c>
      <c r="CU189" s="217">
        <f t="shared" si="545"/>
        <v>3.0602059797649841</v>
      </c>
      <c r="CV189" s="217">
        <f t="shared" si="546"/>
        <v>2.8561922477806521</v>
      </c>
      <c r="CW189" s="217">
        <f t="shared" si="547"/>
        <v>28</v>
      </c>
      <c r="CX189" s="217">
        <f t="shared" si="548"/>
        <v>10.756356560415123</v>
      </c>
      <c r="CY189" s="217">
        <f t="shared" si="549"/>
        <v>2.6607829386290041</v>
      </c>
      <c r="CZ189" s="217">
        <f t="shared" si="550"/>
        <v>1.7614939314965532</v>
      </c>
      <c r="DA189" s="197">
        <f t="shared" si="551"/>
        <v>350</v>
      </c>
      <c r="DB189" s="443">
        <f t="shared" si="552"/>
        <v>226.12785887637287</v>
      </c>
      <c r="DD189" s="217">
        <f t="shared" si="553"/>
        <v>6.9494625094785683</v>
      </c>
      <c r="DE189" s="173">
        <f t="shared" si="554"/>
        <v>1.1380652890086853</v>
      </c>
      <c r="DF189" s="173">
        <f t="shared" si="555"/>
        <v>1.2501230996965573</v>
      </c>
      <c r="DG189" s="173"/>
      <c r="DH189" s="173">
        <f t="shared" si="556"/>
        <v>0.54587688734030204</v>
      </c>
      <c r="DI189" s="545">
        <f t="shared" si="557"/>
        <v>2170.8191489361702</v>
      </c>
      <c r="DJ189" s="528">
        <f t="shared" si="558"/>
        <v>0.31842818428184283</v>
      </c>
      <c r="DL189" s="173">
        <f t="shared" si="559"/>
        <v>8.6277279726243616</v>
      </c>
      <c r="DM189" s="173">
        <f t="shared" si="560"/>
        <v>10.756356560415123</v>
      </c>
      <c r="DN189" s="173">
        <f t="shared" si="561"/>
        <v>6.6985357237642882</v>
      </c>
      <c r="DP189" s="545">
        <f t="shared" si="562"/>
        <v>1975</v>
      </c>
      <c r="DQ189" s="460">
        <f t="shared" si="563"/>
        <v>226.12785887637287</v>
      </c>
      <c r="DS189">
        <f t="shared" si="564"/>
        <v>1975</v>
      </c>
      <c r="DT189">
        <f t="shared" si="565"/>
        <v>226.12785887637287</v>
      </c>
      <c r="DV189" s="5">
        <f t="shared" si="566"/>
        <v>4.4222768701255575</v>
      </c>
      <c r="DW189" s="5">
        <f t="shared" si="567"/>
        <v>2.6607829386290041</v>
      </c>
      <c r="DX189" s="5">
        <f t="shared" si="568"/>
        <v>1.7614939314965534</v>
      </c>
      <c r="DY189" s="173">
        <f t="shared" si="569"/>
        <v>0.60167714884696011</v>
      </c>
      <c r="EA189" s="5">
        <f t="shared" si="570"/>
        <v>18.768022513543869</v>
      </c>
      <c r="EB189" s="5">
        <f t="shared" si="571"/>
        <v>1.7516821012640944</v>
      </c>
      <c r="EC189" s="5">
        <f t="shared" si="572"/>
        <v>3.6620531733744137</v>
      </c>
      <c r="ED189" s="5"/>
      <c r="EE189" s="173">
        <f t="shared" si="573"/>
        <v>4.8171073153768367</v>
      </c>
      <c r="EF189" s="173">
        <f t="shared" si="574"/>
        <v>3.9194233330603763</v>
      </c>
      <c r="EG189" s="173">
        <f t="shared" si="575"/>
        <v>0.39515497538231664</v>
      </c>
      <c r="EH189" s="173"/>
      <c r="EI189" s="528">
        <f t="shared" si="576"/>
        <v>0.27845427465428441</v>
      </c>
      <c r="EJ189" s="528">
        <f t="shared" si="577"/>
        <v>2.2044042553191487</v>
      </c>
      <c r="EK189" s="528">
        <f t="shared" si="578"/>
        <v>2.6004703770782883E-2</v>
      </c>
      <c r="EL189" s="528">
        <f t="shared" si="579"/>
        <v>0.25339442959124009</v>
      </c>
      <c r="EM189">
        <f t="shared" si="580"/>
        <v>8.5500000000000003E-3</v>
      </c>
      <c r="EN189" s="460">
        <f t="shared" si="581"/>
        <v>34.554703770782879</v>
      </c>
      <c r="EP189" s="460">
        <f t="shared" si="601"/>
        <v>2770.8076633354563</v>
      </c>
      <c r="EQ189" s="173">
        <f t="shared" si="582"/>
        <v>1.3825000000000001</v>
      </c>
      <c r="ER189" s="173">
        <f t="shared" si="583"/>
        <v>9.4602500000000006E-2</v>
      </c>
      <c r="ES189" s="528"/>
      <c r="EU189" s="460">
        <f t="shared" si="496"/>
        <v>1477.1025</v>
      </c>
      <c r="EV189" s="528">
        <f t="shared" si="584"/>
        <v>0.32486332042999849</v>
      </c>
      <c r="EW189" s="528">
        <f t="shared" si="585"/>
        <v>0.21506630969233353</v>
      </c>
      <c r="EX189" s="528">
        <f t="shared" si="586"/>
        <v>7.807372728469964E-4</v>
      </c>
      <c r="EY189" s="528">
        <f t="shared" si="587"/>
        <v>14.588752487337144</v>
      </c>
      <c r="EZ189" s="528"/>
      <c r="FA189" s="625">
        <f t="shared" si="588"/>
        <v>2.6162813829316049</v>
      </c>
      <c r="FB189" s="460">
        <f t="shared" si="497"/>
        <v>17745.744237663926</v>
      </c>
      <c r="FC189" s="173">
        <f t="shared" si="589"/>
        <v>21.993654400999382</v>
      </c>
      <c r="FD189" s="5">
        <f t="shared" si="590"/>
        <v>61.225000000000009</v>
      </c>
      <c r="FE189" s="173">
        <f t="shared" si="591"/>
        <v>0.73571244861734686</v>
      </c>
      <c r="FF189" s="5">
        <f t="shared" si="592"/>
        <v>73.571244861734684</v>
      </c>
      <c r="FG189">
        <f t="shared" si="593"/>
        <v>79</v>
      </c>
      <c r="FI189" s="562">
        <f t="shared" si="594"/>
        <v>-50</v>
      </c>
      <c r="FJ189">
        <f t="shared" si="595"/>
        <v>-50</v>
      </c>
    </row>
    <row r="190" spans="5:166">
      <c r="E190" s="170">
        <v>80</v>
      </c>
      <c r="F190" s="217">
        <f t="shared" si="596"/>
        <v>2</v>
      </c>
      <c r="G190" s="217">
        <f t="shared" si="498"/>
        <v>0.2</v>
      </c>
      <c r="H190" s="217">
        <f t="shared" si="499"/>
        <v>56</v>
      </c>
      <c r="I190" s="217">
        <f t="shared" si="500"/>
        <v>6</v>
      </c>
      <c r="J190" s="541">
        <f t="shared" si="501"/>
        <v>18.820426813825399</v>
      </c>
      <c r="K190" s="443">
        <f t="shared" si="502"/>
        <v>28.772827045123719</v>
      </c>
      <c r="L190" s="172">
        <f t="shared" si="503"/>
        <v>47.593253858949119</v>
      </c>
      <c r="M190" s="443"/>
      <c r="N190" s="217">
        <f t="shared" si="504"/>
        <v>0.60455683762234447</v>
      </c>
      <c r="O190" s="172">
        <f t="shared" si="505"/>
        <v>85.640993570842397</v>
      </c>
      <c r="P190" s="172">
        <f t="shared" si="506"/>
        <v>10.158944390418805</v>
      </c>
      <c r="Q190" s="217">
        <f t="shared" si="507"/>
        <v>3.0586069132443714</v>
      </c>
      <c r="R190" s="217">
        <f t="shared" si="508"/>
        <v>2.8546997856947467</v>
      </c>
      <c r="S190" s="217">
        <f t="shared" si="509"/>
        <v>28</v>
      </c>
      <c r="T190" s="217">
        <f t="shared" si="510"/>
        <v>10.898207673890171</v>
      </c>
      <c r="U190" s="217">
        <f t="shared" si="511"/>
        <v>2.72159481684319</v>
      </c>
      <c r="V190" s="217">
        <f t="shared" si="512"/>
        <v>1.7802065812634353</v>
      </c>
      <c r="W190" s="197">
        <f t="shared" si="513"/>
        <v>350</v>
      </c>
      <c r="X190" s="443">
        <f t="shared" si="597"/>
        <v>212.6844405641402</v>
      </c>
      <c r="Z190" s="217">
        <f t="shared" si="514"/>
        <v>6.9167280956042907</v>
      </c>
      <c r="AA190" s="173">
        <f t="shared" si="515"/>
        <v>1.1298376067933016</v>
      </c>
      <c r="AB190" s="173">
        <f t="shared" si="516"/>
        <v>1.235239343227418</v>
      </c>
      <c r="AC190" s="173"/>
      <c r="AD190" s="173">
        <f t="shared" si="517"/>
        <v>0.54449521564554704</v>
      </c>
      <c r="AE190" s="545">
        <f t="shared" si="518"/>
        <v>2203.8761140945826</v>
      </c>
      <c r="AF190" s="528">
        <f t="shared" si="519"/>
        <v>0.31762220912656913</v>
      </c>
      <c r="AH190" s="173">
        <f t="shared" si="520"/>
        <v>8.6821621275881764</v>
      </c>
      <c r="AI190" s="173">
        <f t="shared" si="521"/>
        <v>10.898207673890171</v>
      </c>
      <c r="AJ190" s="173">
        <f t="shared" si="522"/>
        <v>6.803610622634694</v>
      </c>
      <c r="AL190" s="545">
        <f t="shared" si="523"/>
        <v>2000</v>
      </c>
      <c r="AM190" s="460">
        <f t="shared" si="524"/>
        <v>212.6844405641402</v>
      </c>
      <c r="AO190">
        <f t="shared" si="525"/>
        <v>2000</v>
      </c>
      <c r="AP190">
        <f t="shared" si="526"/>
        <v>212.6844405641402</v>
      </c>
      <c r="AR190" s="5">
        <f t="shared" si="442"/>
        <v>4.7018013981066265</v>
      </c>
      <c r="AS190" s="5">
        <f t="shared" si="602"/>
        <v>2.72159481684319</v>
      </c>
      <c r="AT190" s="5">
        <f t="shared" si="603"/>
        <v>1.9802065812634364</v>
      </c>
      <c r="AU190" s="173">
        <f t="shared" si="604"/>
        <v>0.57884087106255744</v>
      </c>
      <c r="AW190" s="5">
        <f t="shared" si="475"/>
        <v>19.439962977451358</v>
      </c>
      <c r="AX190" s="5">
        <f t="shared" si="476"/>
        <v>1.8143965445621268</v>
      </c>
      <c r="AY190" s="5">
        <f t="shared" si="477"/>
        <v>4.2086326752351555</v>
      </c>
      <c r="AZ190" s="5"/>
      <c r="BA190" s="173">
        <f t="shared" si="478"/>
        <v>4.7871170471521838</v>
      </c>
      <c r="BB190" s="173">
        <f t="shared" si="479"/>
        <v>4.0833589781711783</v>
      </c>
      <c r="BC190" s="173">
        <f t="shared" si="480"/>
        <v>0.41168291337299578</v>
      </c>
      <c r="BD190" s="173"/>
      <c r="BE190" s="528">
        <f t="shared" si="481"/>
        <v>0.2749978754776205</v>
      </c>
      <c r="BF190" s="528">
        <f t="shared" si="527"/>
        <v>2.0132562925090034</v>
      </c>
      <c r="BG190" s="528">
        <f t="shared" si="482"/>
        <v>2.4458710664876124E-2</v>
      </c>
      <c r="BH190" s="528">
        <f t="shared" si="483"/>
        <v>0.23726449256104276</v>
      </c>
      <c r="BI190">
        <f t="shared" si="484"/>
        <v>8.4691920662214298E-3</v>
      </c>
      <c r="BJ190" s="460">
        <f t="shared" si="598"/>
        <v>32.927902731097554</v>
      </c>
      <c r="BK190">
        <f t="shared" si="528"/>
        <v>2.7815105844452348</v>
      </c>
      <c r="BL190" s="460">
        <f t="shared" si="599"/>
        <v>2558.4465632787642</v>
      </c>
      <c r="BM190" s="173">
        <f t="shared" si="529"/>
        <v>1.3411999999999999</v>
      </c>
      <c r="BN190" s="173">
        <f t="shared" si="530"/>
        <v>0.13411999999999999</v>
      </c>
      <c r="BO190" s="528"/>
      <c r="BQ190" s="460">
        <f t="shared" si="485"/>
        <v>1475.32</v>
      </c>
      <c r="BR190" s="528">
        <f t="shared" si="486"/>
        <v>0.32083085472389061</v>
      </c>
      <c r="BS190" s="528">
        <f t="shared" si="487"/>
        <v>0.23343348762455635</v>
      </c>
      <c r="BT190" s="528">
        <f t="shared" si="488"/>
        <v>8.4741410581638788E-4</v>
      </c>
      <c r="BU190" s="528">
        <f t="shared" si="489"/>
        <v>12.932932207027372</v>
      </c>
      <c r="BV190" s="528"/>
      <c r="BW190" s="625">
        <f t="shared" si="531"/>
        <v>2.5260728909363683</v>
      </c>
      <c r="BX190" s="460">
        <f t="shared" si="490"/>
        <v>16014.116854418002</v>
      </c>
      <c r="BY190" s="173">
        <f t="shared" si="491"/>
        <v>20.04788341769677</v>
      </c>
      <c r="BZ190" s="5">
        <f t="shared" si="492"/>
        <v>62</v>
      </c>
      <c r="CA190" s="173">
        <f t="shared" si="493"/>
        <v>0.7556562999238482</v>
      </c>
      <c r="CB190" s="5">
        <f t="shared" si="494"/>
        <v>75.565629992384814</v>
      </c>
      <c r="CC190">
        <f t="shared" si="495"/>
        <v>80</v>
      </c>
      <c r="CE190" s="562">
        <f t="shared" si="532"/>
        <v>-50</v>
      </c>
      <c r="CF190">
        <f t="shared" si="533"/>
        <v>-50</v>
      </c>
      <c r="CG190" s="173">
        <f t="shared" si="534"/>
        <v>0.38447255346461445</v>
      </c>
      <c r="CH190" s="173">
        <f t="shared" si="535"/>
        <v>0.12467877742130104</v>
      </c>
      <c r="CI190" s="170">
        <v>80</v>
      </c>
      <c r="CJ190" s="217">
        <f t="shared" si="600"/>
        <v>2</v>
      </c>
      <c r="CK190" s="217">
        <f t="shared" si="536"/>
        <v>0.2</v>
      </c>
      <c r="CL190" s="217">
        <f t="shared" si="537"/>
        <v>56</v>
      </c>
      <c r="CM190" s="217">
        <f t="shared" si="538"/>
        <v>6</v>
      </c>
      <c r="CN190" s="541">
        <f t="shared" si="539"/>
        <v>19</v>
      </c>
      <c r="CO190" s="443">
        <f t="shared" si="540"/>
        <v>28.7</v>
      </c>
      <c r="CP190" s="443">
        <f t="shared" si="541"/>
        <v>47.7</v>
      </c>
      <c r="CQ190" s="443"/>
      <c r="CR190" s="217">
        <f t="shared" si="542"/>
        <v>0.59915611814345993</v>
      </c>
      <c r="CS190" s="172">
        <f t="shared" si="543"/>
        <v>85.685767433419556</v>
      </c>
      <c r="CT190" s="172">
        <f t="shared" si="544"/>
        <v>10.164255575647982</v>
      </c>
      <c r="CU190" s="217">
        <f t="shared" si="545"/>
        <v>3.0602059797649841</v>
      </c>
      <c r="CV190" s="217">
        <f t="shared" si="546"/>
        <v>2.8561922477806521</v>
      </c>
      <c r="CW190" s="217">
        <f t="shared" si="547"/>
        <v>28</v>
      </c>
      <c r="CX190" s="217">
        <f t="shared" si="548"/>
        <v>10.892512972572275</v>
      </c>
      <c r="CY190" s="217">
        <f t="shared" si="549"/>
        <v>2.6944637353205101</v>
      </c>
      <c r="CZ190" s="217">
        <f t="shared" si="550"/>
        <v>1.7837913230344842</v>
      </c>
      <c r="DA190" s="197">
        <f t="shared" si="551"/>
        <v>350</v>
      </c>
      <c r="DB190" s="443">
        <f t="shared" si="552"/>
        <v>223.30126064041823</v>
      </c>
      <c r="DD190" s="217">
        <f t="shared" si="553"/>
        <v>6.9494625094785683</v>
      </c>
      <c r="DE190" s="173">
        <f t="shared" si="554"/>
        <v>1.1380652890086853</v>
      </c>
      <c r="DF190" s="173">
        <f t="shared" si="555"/>
        <v>1.2501230996965573</v>
      </c>
      <c r="DG190" s="173"/>
      <c r="DH190" s="173">
        <f t="shared" si="556"/>
        <v>0.54587688734030204</v>
      </c>
      <c r="DI190" s="545">
        <f t="shared" si="557"/>
        <v>2198.2978723404253</v>
      </c>
      <c r="DJ190" s="528">
        <f t="shared" si="558"/>
        <v>0.31842818428184283</v>
      </c>
      <c r="DL190" s="173">
        <f t="shared" si="559"/>
        <v>8.6821621275881764</v>
      </c>
      <c r="DM190" s="173">
        <f t="shared" si="560"/>
        <v>10.892512972572275</v>
      </c>
      <c r="DN190" s="173">
        <f t="shared" si="561"/>
        <v>6.7993923253621782</v>
      </c>
      <c r="DP190" s="545">
        <f t="shared" si="562"/>
        <v>2000</v>
      </c>
      <c r="DQ190" s="460">
        <f t="shared" si="563"/>
        <v>223.30126064041823</v>
      </c>
      <c r="DS190">
        <f t="shared" si="564"/>
        <v>2000</v>
      </c>
      <c r="DT190">
        <f t="shared" si="565"/>
        <v>223.30126064041823</v>
      </c>
      <c r="DV190" s="5">
        <f t="shared" si="566"/>
        <v>4.4782550583549945</v>
      </c>
      <c r="DW190" s="5">
        <f t="shared" si="567"/>
        <v>2.6944637353205101</v>
      </c>
      <c r="DX190" s="5">
        <f t="shared" si="568"/>
        <v>1.7837913230344844</v>
      </c>
      <c r="DY190" s="173">
        <f t="shared" si="569"/>
        <v>0.60167714884696011</v>
      </c>
      <c r="EA190" s="5">
        <f t="shared" si="570"/>
        <v>19.246169538003642</v>
      </c>
      <c r="EB190" s="5">
        <f t="shared" si="571"/>
        <v>1.7963091568803402</v>
      </c>
      <c r="EC190" s="5">
        <f t="shared" si="572"/>
        <v>3.7553501537568086</v>
      </c>
      <c r="ED190" s="5"/>
      <c r="EE190" s="173">
        <f t="shared" si="573"/>
        <v>4.8780833573436322</v>
      </c>
      <c r="EF190" s="173">
        <f t="shared" si="574"/>
        <v>3.9690362866434188</v>
      </c>
      <c r="EG190" s="173">
        <f t="shared" si="575"/>
        <v>0.40015693709601685</v>
      </c>
      <c r="EH190" s="173"/>
      <c r="EI190" s="528">
        <f t="shared" si="576"/>
        <v>0.28554836689431506</v>
      </c>
      <c r="EJ190" s="528">
        <f t="shared" si="577"/>
        <v>2.2044042553191496</v>
      </c>
      <c r="EK190" s="528">
        <f t="shared" si="578"/>
        <v>2.5679644973648101E-2</v>
      </c>
      <c r="EL190" s="528">
        <f t="shared" si="579"/>
        <v>0.25022699922134961</v>
      </c>
      <c r="EM190">
        <f t="shared" si="580"/>
        <v>8.5500000000000003E-3</v>
      </c>
      <c r="EN190" s="460">
        <f t="shared" si="581"/>
        <v>34.229644973648107</v>
      </c>
      <c r="EP190" s="460">
        <f t="shared" si="601"/>
        <v>2774.4092664084624</v>
      </c>
      <c r="EQ190" s="173">
        <f t="shared" si="582"/>
        <v>1.4</v>
      </c>
      <c r="ER190" s="173">
        <f t="shared" si="583"/>
        <v>9.5799999999999996E-2</v>
      </c>
      <c r="ES190" s="528"/>
      <c r="EU190" s="460">
        <f t="shared" si="496"/>
        <v>1495.8</v>
      </c>
      <c r="EV190" s="528">
        <f t="shared" si="584"/>
        <v>0.33313976137670093</v>
      </c>
      <c r="EW190" s="528">
        <f t="shared" si="585"/>
        <v>0.22054548662569051</v>
      </c>
      <c r="EX190" s="528">
        <f t="shared" si="586"/>
        <v>8.0062787153032788E-4</v>
      </c>
      <c r="EY190" s="528">
        <f t="shared" si="587"/>
        <v>14.588752487337175</v>
      </c>
      <c r="EZ190" s="528"/>
      <c r="FA190" s="625">
        <f t="shared" si="588"/>
        <v>2.6493988687914989</v>
      </c>
      <c r="FB190" s="460">
        <f t="shared" si="497"/>
        <v>17792.637232002598</v>
      </c>
      <c r="FC190" s="173">
        <f t="shared" si="589"/>
        <v>22.062846498411055</v>
      </c>
      <c r="FD190" s="5">
        <f t="shared" si="590"/>
        <v>62</v>
      </c>
      <c r="FE190" s="173">
        <f t="shared" si="591"/>
        <v>0.7375434283107688</v>
      </c>
      <c r="FF190" s="5">
        <f t="shared" si="592"/>
        <v>73.754342831076883</v>
      </c>
      <c r="FG190">
        <f t="shared" si="593"/>
        <v>80</v>
      </c>
      <c r="FI190" s="562">
        <f t="shared" si="594"/>
        <v>-50</v>
      </c>
      <c r="FJ190">
        <f t="shared" si="595"/>
        <v>-50</v>
      </c>
    </row>
    <row r="191" spans="5:166">
      <c r="E191" s="170">
        <v>81</v>
      </c>
      <c r="F191" s="217">
        <f t="shared" si="596"/>
        <v>2.0250000000000004</v>
      </c>
      <c r="G191" s="217">
        <f t="shared" si="498"/>
        <v>0.20250000000000001</v>
      </c>
      <c r="H191" s="217">
        <f t="shared" si="499"/>
        <v>56.70000000000001</v>
      </c>
      <c r="I191" s="217">
        <f t="shared" si="500"/>
        <v>6.0750000000000002</v>
      </c>
      <c r="J191" s="541">
        <f t="shared" si="501"/>
        <v>18.818182148998215</v>
      </c>
      <c r="K191" s="443">
        <f t="shared" si="502"/>
        <v>28.773737383187768</v>
      </c>
      <c r="L191" s="172">
        <f t="shared" si="503"/>
        <v>47.591919532185983</v>
      </c>
      <c r="M191" s="443"/>
      <c r="N191" s="217">
        <f t="shared" si="504"/>
        <v>0.60459291547861083</v>
      </c>
      <c r="O191" s="172">
        <f t="shared" si="505"/>
        <v>85.63588953364804</v>
      </c>
      <c r="P191" s="172">
        <f t="shared" si="506"/>
        <v>10.158338937027127</v>
      </c>
      <c r="Q191" s="217">
        <f t="shared" si="507"/>
        <v>3.0584246262017158</v>
      </c>
      <c r="R191" s="217">
        <f t="shared" si="508"/>
        <v>2.8545296511216014</v>
      </c>
      <c r="S191" s="217">
        <f t="shared" si="509"/>
        <v>28</v>
      </c>
      <c r="T191" s="217">
        <f t="shared" si="510"/>
        <v>11.035092939960542</v>
      </c>
      <c r="U191" s="217">
        <f t="shared" si="511"/>
        <v>2.7561077051523584</v>
      </c>
      <c r="V191" s="217">
        <f t="shared" si="512"/>
        <v>1.8025095637426214</v>
      </c>
      <c r="W191" s="197">
        <f t="shared" si="513"/>
        <v>350</v>
      </c>
      <c r="X191" s="443">
        <f t="shared" si="597"/>
        <v>210.14507860015701</v>
      </c>
      <c r="Z191" s="217">
        <f t="shared" si="514"/>
        <v>6.916315872018469</v>
      </c>
      <c r="AA191" s="173">
        <f t="shared" si="515"/>
        <v>1.1297345272039692</v>
      </c>
      <c r="AB191" s="173">
        <f t="shared" si="516"/>
        <v>1.2350530362636662</v>
      </c>
      <c r="AC191" s="173"/>
      <c r="AD191" s="173">
        <f t="shared" si="517"/>
        <v>0.54447798900884381</v>
      </c>
      <c r="AE191" s="545">
        <f t="shared" si="518"/>
        <v>2231.4951651429665</v>
      </c>
      <c r="AF191" s="528">
        <f t="shared" si="519"/>
        <v>0.31761216025515887</v>
      </c>
      <c r="AH191" s="173">
        <f t="shared" si="520"/>
        <v>8.736257119032615</v>
      </c>
      <c r="AI191" s="173">
        <f t="shared" si="521"/>
        <v>11.035092939960542</v>
      </c>
      <c r="AJ191" s="173">
        <f t="shared" si="522"/>
        <v>6.9050071160201547</v>
      </c>
      <c r="AL191" s="545">
        <f t="shared" si="523"/>
        <v>2025.0000000000005</v>
      </c>
      <c r="AM191" s="460">
        <f t="shared" si="524"/>
        <v>210.14507860015701</v>
      </c>
      <c r="AO191">
        <f t="shared" si="525"/>
        <v>2025.0000000000005</v>
      </c>
      <c r="AP191">
        <f t="shared" si="526"/>
        <v>210.14507860015701</v>
      </c>
      <c r="AR191" s="5">
        <f t="shared" si="442"/>
        <v>4.7586172688949802</v>
      </c>
      <c r="AS191" s="5">
        <f t="shared" si="602"/>
        <v>2.7561077051523584</v>
      </c>
      <c r="AT191" s="5">
        <f t="shared" si="603"/>
        <v>2.0025095637426218</v>
      </c>
      <c r="AU191" s="173">
        <f t="shared" si="604"/>
        <v>0.57918247032974068</v>
      </c>
      <c r="AW191" s="5">
        <f t="shared" si="475"/>
        <v>19.932564653334023</v>
      </c>
      <c r="AX191" s="5">
        <f t="shared" si="476"/>
        <v>1.8603727009778424</v>
      </c>
      <c r="AY191" s="5">
        <f t="shared" si="477"/>
        <v>4.3097487679432218</v>
      </c>
      <c r="AZ191" s="5"/>
      <c r="BA191" s="173">
        <f t="shared" si="478"/>
        <v>4.8486749710938533</v>
      </c>
      <c r="BB191" s="173">
        <f t="shared" si="479"/>
        <v>4.1329702502208212</v>
      </c>
      <c r="BC191" s="173">
        <f t="shared" si="480"/>
        <v>0.41668470555504994</v>
      </c>
      <c r="BD191" s="173"/>
      <c r="BE191" s="528">
        <f t="shared" si="481"/>
        <v>0.28211578770374374</v>
      </c>
      <c r="BF191" s="528">
        <f t="shared" si="527"/>
        <v>2.0141476749087652</v>
      </c>
      <c r="BG191" s="528">
        <f t="shared" si="482"/>
        <v>2.4166684039018057E-2</v>
      </c>
      <c r="BH191" s="528">
        <f t="shared" si="483"/>
        <v>0.23441851031704941</v>
      </c>
      <c r="BI191">
        <f t="shared" si="484"/>
        <v>8.4681819670491959E-3</v>
      </c>
      <c r="BJ191" s="460">
        <f t="shared" si="598"/>
        <v>32.634866006067256</v>
      </c>
      <c r="BK191">
        <f t="shared" si="528"/>
        <v>2.7941468886358902</v>
      </c>
      <c r="BL191" s="460">
        <f t="shared" si="599"/>
        <v>2563.3168389356251</v>
      </c>
      <c r="BM191" s="173">
        <f t="shared" si="529"/>
        <v>1.3579650000000001</v>
      </c>
      <c r="BN191" s="173">
        <f t="shared" si="530"/>
        <v>0.13579649999999999</v>
      </c>
      <c r="BO191" s="528"/>
      <c r="BQ191" s="460">
        <f t="shared" si="485"/>
        <v>1493.7615000000003</v>
      </c>
      <c r="BR191" s="528">
        <f t="shared" si="486"/>
        <v>0.32913508565436772</v>
      </c>
      <c r="BS191" s="528">
        <f t="shared" si="487"/>
        <v>0.239140203248945</v>
      </c>
      <c r="BT191" s="528">
        <f t="shared" si="488"/>
        <v>8.6813071921749334E-4</v>
      </c>
      <c r="BU191" s="528">
        <f t="shared" si="489"/>
        <v>12.948159830985949</v>
      </c>
      <c r="BV191" s="528"/>
      <c r="BW191" s="625">
        <f t="shared" si="531"/>
        <v>2.559005469709577</v>
      </c>
      <c r="BX191" s="460">
        <f t="shared" si="490"/>
        <v>16076.308720318057</v>
      </c>
      <c r="BY191" s="173">
        <f t="shared" si="491"/>
        <v>20.133387059253678</v>
      </c>
      <c r="BZ191" s="5">
        <f t="shared" si="492"/>
        <v>62.775000000000013</v>
      </c>
      <c r="CA191" s="173">
        <f t="shared" si="493"/>
        <v>0.75716103311882577</v>
      </c>
      <c r="CB191" s="5">
        <f t="shared" si="494"/>
        <v>75.716103311882577</v>
      </c>
      <c r="CC191">
        <f t="shared" si="495"/>
        <v>81.000000000000014</v>
      </c>
      <c r="CE191" s="562">
        <f t="shared" si="532"/>
        <v>-50</v>
      </c>
      <c r="CF191">
        <f t="shared" si="533"/>
        <v>-50</v>
      </c>
      <c r="CG191" s="173">
        <f t="shared" si="534"/>
        <v>0.38447255346461451</v>
      </c>
      <c r="CH191" s="173">
        <f t="shared" si="535"/>
        <v>0.12467877742130104</v>
      </c>
      <c r="CI191" s="170">
        <v>81</v>
      </c>
      <c r="CJ191" s="217">
        <f t="shared" si="600"/>
        <v>2.0250000000000004</v>
      </c>
      <c r="CK191" s="217">
        <f t="shared" si="536"/>
        <v>0.20250000000000001</v>
      </c>
      <c r="CL191" s="217">
        <f t="shared" si="537"/>
        <v>56.70000000000001</v>
      </c>
      <c r="CM191" s="217">
        <f t="shared" si="538"/>
        <v>6.0750000000000002</v>
      </c>
      <c r="CN191" s="541">
        <f t="shared" si="539"/>
        <v>19</v>
      </c>
      <c r="CO191" s="443">
        <f t="shared" si="540"/>
        <v>28.7</v>
      </c>
      <c r="CP191" s="443">
        <f t="shared" si="541"/>
        <v>47.7</v>
      </c>
      <c r="CQ191" s="443"/>
      <c r="CR191" s="217">
        <f t="shared" si="542"/>
        <v>0.59915611814345993</v>
      </c>
      <c r="CS191" s="172">
        <f t="shared" si="543"/>
        <v>85.685767433419556</v>
      </c>
      <c r="CT191" s="172">
        <f t="shared" si="544"/>
        <v>10.164255575647982</v>
      </c>
      <c r="CU191" s="217">
        <f t="shared" si="545"/>
        <v>3.0602059797649841</v>
      </c>
      <c r="CV191" s="217">
        <f t="shared" si="546"/>
        <v>2.8561922477806521</v>
      </c>
      <c r="CW191" s="217">
        <f t="shared" si="547"/>
        <v>28</v>
      </c>
      <c r="CX191" s="217">
        <f t="shared" si="548"/>
        <v>11.028669384729431</v>
      </c>
      <c r="CY191" s="217">
        <f t="shared" si="549"/>
        <v>2.728144532012017</v>
      </c>
      <c r="CZ191" s="217">
        <f t="shared" si="550"/>
        <v>1.8060887145724156</v>
      </c>
      <c r="DA191" s="197">
        <f t="shared" si="551"/>
        <v>350</v>
      </c>
      <c r="DB191" s="443">
        <f t="shared" si="552"/>
        <v>220.54445495349947</v>
      </c>
      <c r="DD191" s="217">
        <f t="shared" si="553"/>
        <v>6.9494625094785683</v>
      </c>
      <c r="DE191" s="173">
        <f t="shared" si="554"/>
        <v>1.1380652890086853</v>
      </c>
      <c r="DF191" s="173">
        <f t="shared" si="555"/>
        <v>1.2501230996965573</v>
      </c>
      <c r="DG191" s="173"/>
      <c r="DH191" s="173">
        <f t="shared" si="556"/>
        <v>0.54587688734030204</v>
      </c>
      <c r="DI191" s="545">
        <f t="shared" si="557"/>
        <v>2225.7765957446809</v>
      </c>
      <c r="DJ191" s="528">
        <f t="shared" si="558"/>
        <v>0.31842818428184283</v>
      </c>
      <c r="DL191" s="173">
        <f t="shared" si="559"/>
        <v>8.736257119032615</v>
      </c>
      <c r="DM191" s="173">
        <f t="shared" si="560"/>
        <v>11.028669384729431</v>
      </c>
      <c r="DN191" s="173">
        <f t="shared" si="561"/>
        <v>6.9002489269600717</v>
      </c>
      <c r="DP191" s="545">
        <f t="shared" si="562"/>
        <v>2025.0000000000005</v>
      </c>
      <c r="DQ191" s="460">
        <f t="shared" si="563"/>
        <v>220.54445495349947</v>
      </c>
      <c r="DS191">
        <f t="shared" si="564"/>
        <v>2025.0000000000005</v>
      </c>
      <c r="DT191">
        <f t="shared" si="565"/>
        <v>220.54445495349947</v>
      </c>
      <c r="DV191" s="5">
        <f t="shared" si="566"/>
        <v>4.5342332465844324</v>
      </c>
      <c r="DW191" s="5">
        <f t="shared" si="567"/>
        <v>2.728144532012017</v>
      </c>
      <c r="DX191" s="5">
        <f t="shared" si="568"/>
        <v>1.8060887145724154</v>
      </c>
      <c r="DY191" s="173">
        <f t="shared" si="569"/>
        <v>0.60167714884696022</v>
      </c>
      <c r="EA191" s="5">
        <f t="shared" si="570"/>
        <v>19.730330990444056</v>
      </c>
      <c r="EB191" s="5">
        <f t="shared" si="571"/>
        <v>1.8414975591081117</v>
      </c>
      <c r="EC191" s="5">
        <f t="shared" si="572"/>
        <v>3.8498206810622544</v>
      </c>
      <c r="ED191" s="5"/>
      <c r="EE191" s="173">
        <f t="shared" si="573"/>
        <v>4.9390593993104295</v>
      </c>
      <c r="EF191" s="173">
        <f t="shared" si="574"/>
        <v>4.0186492402264626</v>
      </c>
      <c r="EG191" s="173">
        <f t="shared" si="575"/>
        <v>0.40515889880971712</v>
      </c>
      <c r="EH191" s="173"/>
      <c r="EI191" s="528">
        <f t="shared" si="576"/>
        <v>0.29273169299900037</v>
      </c>
      <c r="EJ191" s="528">
        <f t="shared" si="577"/>
        <v>2.2044042553191496</v>
      </c>
      <c r="EK191" s="528">
        <f t="shared" si="578"/>
        <v>2.5362612319652443E-2</v>
      </c>
      <c r="EL191" s="528">
        <f t="shared" si="579"/>
        <v>0.24713777700874037</v>
      </c>
      <c r="EM191">
        <f t="shared" si="580"/>
        <v>8.5500000000000003E-3</v>
      </c>
      <c r="EN191" s="460">
        <f t="shared" si="581"/>
        <v>33.912612319652446</v>
      </c>
      <c r="EP191" s="460">
        <f t="shared" si="601"/>
        <v>2778.1863376465431</v>
      </c>
      <c r="EQ191" s="173">
        <f t="shared" si="582"/>
        <v>1.4175000000000002</v>
      </c>
      <c r="ER191" s="173">
        <f t="shared" si="583"/>
        <v>9.69975E-2</v>
      </c>
      <c r="ES191" s="528"/>
      <c r="EU191" s="460">
        <f t="shared" si="496"/>
        <v>1514.4975000000002</v>
      </c>
      <c r="EV191" s="528">
        <f t="shared" si="584"/>
        <v>0.3415203084988338</v>
      </c>
      <c r="EW191" s="528">
        <f t="shared" si="585"/>
        <v>0.22609358402361815</v>
      </c>
      <c r="EX191" s="528">
        <f t="shared" si="586"/>
        <v>8.2076866642351299E-4</v>
      </c>
      <c r="EY191" s="528">
        <f t="shared" si="587"/>
        <v>14.588752487337159</v>
      </c>
      <c r="EZ191" s="528"/>
      <c r="FA191" s="625">
        <f t="shared" si="588"/>
        <v>2.6825163546513937</v>
      </c>
      <c r="FB191" s="460">
        <f t="shared" si="497"/>
        <v>17839.703503177429</v>
      </c>
      <c r="FC191" s="173">
        <f t="shared" si="589"/>
        <v>22.132387340823971</v>
      </c>
      <c r="FD191" s="5">
        <f t="shared" si="590"/>
        <v>62.775000000000013</v>
      </c>
      <c r="FE191" s="173">
        <f t="shared" si="591"/>
        <v>0.73933496208070715</v>
      </c>
      <c r="FF191" s="5">
        <f t="shared" si="592"/>
        <v>73.933496208070721</v>
      </c>
      <c r="FG191">
        <f t="shared" si="593"/>
        <v>81.000000000000014</v>
      </c>
      <c r="FI191" s="562">
        <f t="shared" si="594"/>
        <v>-50</v>
      </c>
      <c r="FJ191">
        <f t="shared" si="595"/>
        <v>-50</v>
      </c>
    </row>
    <row r="192" spans="5:166">
      <c r="E192" s="170">
        <v>82</v>
      </c>
      <c r="F192" s="217">
        <f t="shared" si="596"/>
        <v>2.0499999999999998</v>
      </c>
      <c r="G192" s="217">
        <f t="shared" si="498"/>
        <v>0.20499999999999999</v>
      </c>
      <c r="H192" s="217">
        <f t="shared" si="499"/>
        <v>57.399999999999991</v>
      </c>
      <c r="I192" s="217">
        <f t="shared" si="500"/>
        <v>6.1499999999999995</v>
      </c>
      <c r="J192" s="541">
        <f t="shared" si="501"/>
        <v>18.815937484171034</v>
      </c>
      <c r="K192" s="443">
        <f t="shared" si="502"/>
        <v>28.774647721251814</v>
      </c>
      <c r="L192" s="172">
        <f t="shared" si="503"/>
        <v>47.590585205422848</v>
      </c>
      <c r="M192" s="443"/>
      <c r="N192" s="217">
        <f t="shared" si="504"/>
        <v>0.60462899535795167</v>
      </c>
      <c r="O192" s="172">
        <f t="shared" si="505"/>
        <v>85.630784563877967</v>
      </c>
      <c r="P192" s="172">
        <f t="shared" si="506"/>
        <v>10.157733373011032</v>
      </c>
      <c r="Q192" s="217">
        <f t="shared" si="507"/>
        <v>3.0582423058527843</v>
      </c>
      <c r="R192" s="217">
        <f t="shared" si="508"/>
        <v>2.8543594854625991</v>
      </c>
      <c r="S192" s="217">
        <f t="shared" si="509"/>
        <v>28</v>
      </c>
      <c r="T192" s="217">
        <f t="shared" si="510"/>
        <v>11.171994645839341</v>
      </c>
      <c r="U192" s="217">
        <f t="shared" si="511"/>
        <v>2.7906329344268781</v>
      </c>
      <c r="V192" s="217">
        <f t="shared" si="512"/>
        <v>1.8248138202805624</v>
      </c>
      <c r="W192" s="197">
        <f t="shared" si="513"/>
        <v>350</v>
      </c>
      <c r="X192" s="443">
        <f t="shared" si="597"/>
        <v>207.66505185057423</v>
      </c>
      <c r="Z192" s="217">
        <f t="shared" si="514"/>
        <v>6.9159035731138934</v>
      </c>
      <c r="AA192" s="173">
        <f t="shared" si="515"/>
        <v>1.1296314418344235</v>
      </c>
      <c r="AB192" s="173">
        <f t="shared" si="516"/>
        <v>1.2348667229656127</v>
      </c>
      <c r="AC192" s="173"/>
      <c r="AD192" s="173">
        <f t="shared" si="517"/>
        <v>0.54446076346213224</v>
      </c>
      <c r="AE192" s="545">
        <f t="shared" si="518"/>
        <v>2259.1159593918974</v>
      </c>
      <c r="AF192" s="528">
        <f t="shared" si="519"/>
        <v>0.31760211201957711</v>
      </c>
      <c r="AH192" s="173">
        <f t="shared" si="520"/>
        <v>8.7900192087372364</v>
      </c>
      <c r="AI192" s="173">
        <f t="shared" si="521"/>
        <v>11.171994645839341</v>
      </c>
      <c r="AJ192" s="173">
        <f t="shared" si="522"/>
        <v>7.0064157870414867</v>
      </c>
      <c r="AL192" s="545">
        <f t="shared" si="523"/>
        <v>2050</v>
      </c>
      <c r="AM192" s="460">
        <f t="shared" si="524"/>
        <v>207.66505185057423</v>
      </c>
      <c r="AO192">
        <f t="shared" si="525"/>
        <v>2050</v>
      </c>
      <c r="AP192">
        <f t="shared" si="526"/>
        <v>207.66505185057423</v>
      </c>
      <c r="AR192" s="5">
        <f t="shared" si="442"/>
        <v>4.8154467547074402</v>
      </c>
      <c r="AS192" s="5">
        <f t="shared" si="602"/>
        <v>2.7906329344268781</v>
      </c>
      <c r="AT192" s="5">
        <f t="shared" si="603"/>
        <v>2.0248138202805621</v>
      </c>
      <c r="AU192" s="173">
        <f t="shared" si="604"/>
        <v>0.57951693302367779</v>
      </c>
      <c r="AW192" s="5">
        <f t="shared" si="475"/>
        <v>20.431419698482497</v>
      </c>
      <c r="AX192" s="5">
        <f t="shared" si="476"/>
        <v>1.9069325051916999</v>
      </c>
      <c r="AY192" s="5">
        <f t="shared" si="477"/>
        <v>4.4120770863180026</v>
      </c>
      <c r="AZ192" s="5"/>
      <c r="BA192" s="173">
        <f t="shared" si="478"/>
        <v>4.9102449385554614</v>
      </c>
      <c r="BB192" s="173">
        <f t="shared" si="479"/>
        <v>4.1825808737681855</v>
      </c>
      <c r="BC192" s="173">
        <f t="shared" si="480"/>
        <v>0.42168643235531711</v>
      </c>
      <c r="BD192" s="173"/>
      <c r="BE192" s="528">
        <f t="shared" si="481"/>
        <v>0.28932606427931429</v>
      </c>
      <c r="BF192" s="528">
        <f t="shared" si="527"/>
        <v>2.0150139064923702</v>
      </c>
      <c r="BG192" s="528">
        <f t="shared" si="482"/>
        <v>2.3881480962816039E-2</v>
      </c>
      <c r="BH192" s="528">
        <f t="shared" si="483"/>
        <v>0.2316390313121871</v>
      </c>
      <c r="BI192">
        <f t="shared" si="484"/>
        <v>8.4671718678769655E-3</v>
      </c>
      <c r="BJ192" s="460">
        <f t="shared" si="598"/>
        <v>32.348652830693005</v>
      </c>
      <c r="BK192">
        <f t="shared" si="528"/>
        <v>2.8070656002053123</v>
      </c>
      <c r="BL192" s="460">
        <f t="shared" si="599"/>
        <v>2568.3276549145644</v>
      </c>
      <c r="BM192" s="173">
        <f t="shared" si="529"/>
        <v>1.3747299999999998</v>
      </c>
      <c r="BN192" s="173">
        <f t="shared" si="530"/>
        <v>0.13747299999999998</v>
      </c>
      <c r="BO192" s="528"/>
      <c r="BQ192" s="460">
        <f t="shared" si="485"/>
        <v>1512.2029999999997</v>
      </c>
      <c r="BR192" s="528">
        <f t="shared" si="486"/>
        <v>0.33754707499253339</v>
      </c>
      <c r="BS192" s="528">
        <f t="shared" si="487"/>
        <v>0.24491575871856014</v>
      </c>
      <c r="BT192" s="528">
        <f t="shared" si="488"/>
        <v>8.890972361627772E-4</v>
      </c>
      <c r="BU192" s="528">
        <f t="shared" si="489"/>
        <v>12.96299455777184</v>
      </c>
      <c r="BV192" s="528"/>
      <c r="BW192" s="625">
        <f t="shared" si="531"/>
        <v>2.591939454935285</v>
      </c>
      <c r="BX192" s="460">
        <f t="shared" si="490"/>
        <v>16138.28594365438</v>
      </c>
      <c r="BY192" s="173">
        <f t="shared" si="491"/>
        <v>20.218816598568946</v>
      </c>
      <c r="BZ192" s="5">
        <f t="shared" si="492"/>
        <v>63.54999999999999</v>
      </c>
      <c r="CA192" s="173">
        <f t="shared" si="493"/>
        <v>0.75863552310330296</v>
      </c>
      <c r="CB192" s="5">
        <f t="shared" si="494"/>
        <v>75.863552310330292</v>
      </c>
      <c r="CC192">
        <f t="shared" si="495"/>
        <v>82</v>
      </c>
      <c r="CE192" s="562">
        <f t="shared" si="532"/>
        <v>-50</v>
      </c>
      <c r="CF192">
        <f t="shared" si="533"/>
        <v>-50</v>
      </c>
      <c r="CG192" s="173">
        <f t="shared" si="534"/>
        <v>0.38447255346461451</v>
      </c>
      <c r="CH192" s="173">
        <f t="shared" si="535"/>
        <v>0.12467877742130107</v>
      </c>
      <c r="CI192" s="170">
        <v>82</v>
      </c>
      <c r="CJ192" s="217">
        <f t="shared" si="600"/>
        <v>2.0499999999999998</v>
      </c>
      <c r="CK192" s="217">
        <f t="shared" si="536"/>
        <v>0.20499999999999999</v>
      </c>
      <c r="CL192" s="217">
        <f t="shared" si="537"/>
        <v>57.399999999999991</v>
      </c>
      <c r="CM192" s="217">
        <f t="shared" si="538"/>
        <v>6.1499999999999995</v>
      </c>
      <c r="CN192" s="541">
        <f t="shared" si="539"/>
        <v>19</v>
      </c>
      <c r="CO192" s="443">
        <f t="shared" si="540"/>
        <v>28.7</v>
      </c>
      <c r="CP192" s="443">
        <f t="shared" si="541"/>
        <v>47.7</v>
      </c>
      <c r="CQ192" s="443"/>
      <c r="CR192" s="217">
        <f t="shared" si="542"/>
        <v>0.59915611814345993</v>
      </c>
      <c r="CS192" s="172">
        <f t="shared" si="543"/>
        <v>85.685767433419556</v>
      </c>
      <c r="CT192" s="172">
        <f t="shared" si="544"/>
        <v>10.164255575647982</v>
      </c>
      <c r="CU192" s="217">
        <f t="shared" si="545"/>
        <v>3.0602059797649841</v>
      </c>
      <c r="CV192" s="217">
        <f t="shared" si="546"/>
        <v>2.8561922477806521</v>
      </c>
      <c r="CW192" s="217">
        <f t="shared" si="547"/>
        <v>28</v>
      </c>
      <c r="CX192" s="217">
        <f t="shared" si="548"/>
        <v>11.16482579688658</v>
      </c>
      <c r="CY192" s="217">
        <f t="shared" si="549"/>
        <v>2.7618253287035226</v>
      </c>
      <c r="CZ192" s="217">
        <f t="shared" si="550"/>
        <v>1.8283861061103459</v>
      </c>
      <c r="DA192" s="197">
        <f t="shared" si="551"/>
        <v>350</v>
      </c>
      <c r="DB192" s="443">
        <f t="shared" si="552"/>
        <v>217.85488842967638</v>
      </c>
      <c r="DD192" s="217">
        <f t="shared" si="553"/>
        <v>6.9494625094785683</v>
      </c>
      <c r="DE192" s="173">
        <f t="shared" si="554"/>
        <v>1.1380652890086853</v>
      </c>
      <c r="DF192" s="173">
        <f t="shared" si="555"/>
        <v>1.2501230996965573</v>
      </c>
      <c r="DG192" s="173"/>
      <c r="DH192" s="173">
        <f t="shared" si="556"/>
        <v>0.54587688734030204</v>
      </c>
      <c r="DI192" s="545">
        <f t="shared" si="557"/>
        <v>2253.255319148936</v>
      </c>
      <c r="DJ192" s="528">
        <f t="shared" si="558"/>
        <v>0.31842818428184283</v>
      </c>
      <c r="DL192" s="173">
        <f t="shared" si="559"/>
        <v>8.7900192087372364</v>
      </c>
      <c r="DM192" s="173">
        <f t="shared" si="560"/>
        <v>11.16482579688658</v>
      </c>
      <c r="DN192" s="173">
        <f t="shared" si="561"/>
        <v>7.0011055285579609</v>
      </c>
      <c r="DP192" s="545">
        <f t="shared" si="562"/>
        <v>2050</v>
      </c>
      <c r="DQ192" s="460">
        <f t="shared" si="563"/>
        <v>217.85488842967638</v>
      </c>
      <c r="DS192">
        <f t="shared" si="564"/>
        <v>2050</v>
      </c>
      <c r="DT192">
        <f t="shared" si="565"/>
        <v>217.85488842967638</v>
      </c>
      <c r="DV192" s="5">
        <f t="shared" si="566"/>
        <v>4.5902114348138685</v>
      </c>
      <c r="DW192" s="5">
        <f t="shared" si="567"/>
        <v>2.7618253287035226</v>
      </c>
      <c r="DX192" s="5">
        <f t="shared" si="568"/>
        <v>1.8283861061103459</v>
      </c>
      <c r="DY192" s="173">
        <f t="shared" si="569"/>
        <v>0.60167714884696022</v>
      </c>
      <c r="EA192" s="5">
        <f t="shared" si="570"/>
        <v>20.220506870865073</v>
      </c>
      <c r="EB192" s="5">
        <f t="shared" si="571"/>
        <v>1.8872473079474068</v>
      </c>
      <c r="EC192" s="5">
        <f t="shared" si="572"/>
        <v>3.9454647552907454</v>
      </c>
      <c r="ED192" s="5"/>
      <c r="EE192" s="173">
        <f t="shared" si="573"/>
        <v>5.0000354412772223</v>
      </c>
      <c r="EF192" s="173">
        <f t="shared" si="574"/>
        <v>4.0682621938095034</v>
      </c>
      <c r="EG192" s="173">
        <f t="shared" si="575"/>
        <v>0.41016086052341721</v>
      </c>
      <c r="EH192" s="173"/>
      <c r="EI192" s="528">
        <f t="shared" si="576"/>
        <v>0.30000425296833971</v>
      </c>
      <c r="EJ192" s="528">
        <f t="shared" si="577"/>
        <v>2.2044042553191496</v>
      </c>
      <c r="EK192" s="528">
        <f t="shared" si="578"/>
        <v>2.5053312169412784E-2</v>
      </c>
      <c r="EL192" s="528">
        <f t="shared" si="579"/>
        <v>0.24412390167936554</v>
      </c>
      <c r="EM192">
        <f t="shared" si="580"/>
        <v>8.5500000000000003E-3</v>
      </c>
      <c r="EN192" s="460">
        <f t="shared" si="581"/>
        <v>33.603312169412789</v>
      </c>
      <c r="EP192" s="460">
        <f t="shared" si="601"/>
        <v>2782.1357221362673</v>
      </c>
      <c r="EQ192" s="173">
        <f t="shared" si="582"/>
        <v>1.4349999999999998</v>
      </c>
      <c r="ER192" s="173">
        <f t="shared" si="583"/>
        <v>9.8194999999999991E-2</v>
      </c>
      <c r="ES192" s="528"/>
      <c r="EU192" s="460">
        <f t="shared" si="496"/>
        <v>1533.1949999999999</v>
      </c>
      <c r="EV192" s="528">
        <f t="shared" si="584"/>
        <v>0.35000496179639634</v>
      </c>
      <c r="EW192" s="528">
        <f t="shared" si="585"/>
        <v>0.23171060188611597</v>
      </c>
      <c r="EX192" s="528">
        <f t="shared" si="586"/>
        <v>8.4115965752655053E-4</v>
      </c>
      <c r="EY192" s="528">
        <f t="shared" si="587"/>
        <v>14.588752487337175</v>
      </c>
      <c r="EZ192" s="528"/>
      <c r="FA192" s="625">
        <f t="shared" si="588"/>
        <v>2.7156338405112863</v>
      </c>
      <c r="FB192" s="460">
        <f t="shared" si="497"/>
        <v>17886.9430511885</v>
      </c>
      <c r="FC192" s="173">
        <f t="shared" si="589"/>
        <v>22.202273773324769</v>
      </c>
      <c r="FD192" s="5">
        <f t="shared" si="590"/>
        <v>63.54999999999999</v>
      </c>
      <c r="FE192" s="173">
        <f t="shared" si="591"/>
        <v>0.74108822079734404</v>
      </c>
      <c r="FF192" s="5">
        <f t="shared" si="592"/>
        <v>74.108822079734409</v>
      </c>
      <c r="FG192">
        <f t="shared" si="593"/>
        <v>82</v>
      </c>
      <c r="FI192" s="562">
        <f t="shared" si="594"/>
        <v>-50</v>
      </c>
      <c r="FJ192">
        <f t="shared" si="595"/>
        <v>-50</v>
      </c>
    </row>
    <row r="193" spans="5:166">
      <c r="E193" s="170">
        <v>83</v>
      </c>
      <c r="F193" s="217">
        <f t="shared" si="596"/>
        <v>2.0749999999999997</v>
      </c>
      <c r="G193" s="217">
        <f t="shared" si="498"/>
        <v>0.20749999999999999</v>
      </c>
      <c r="H193" s="217">
        <f t="shared" si="499"/>
        <v>58.099999999999994</v>
      </c>
      <c r="I193" s="217">
        <f t="shared" si="500"/>
        <v>6.2249999999999996</v>
      </c>
      <c r="J193" s="541">
        <f t="shared" si="501"/>
        <v>18.813692819343853</v>
      </c>
      <c r="K193" s="443">
        <f t="shared" si="502"/>
        <v>28.775558059315859</v>
      </c>
      <c r="L193" s="172">
        <f t="shared" si="503"/>
        <v>47.589250878659712</v>
      </c>
      <c r="M193" s="443"/>
      <c r="N193" s="217">
        <f t="shared" si="504"/>
        <v>0.60466507726053709</v>
      </c>
      <c r="O193" s="172">
        <f t="shared" si="505"/>
        <v>85.625678661453705</v>
      </c>
      <c r="P193" s="172">
        <f t="shared" si="506"/>
        <v>10.157127698361217</v>
      </c>
      <c r="Q193" s="217">
        <f t="shared" si="507"/>
        <v>3.0580599521947751</v>
      </c>
      <c r="R193" s="217">
        <f t="shared" si="508"/>
        <v>2.8541892887151237</v>
      </c>
      <c r="S193" s="217">
        <f t="shared" si="509"/>
        <v>28</v>
      </c>
      <c r="T193" s="217">
        <f t="shared" si="510"/>
        <v>11.308912798950461</v>
      </c>
      <c r="U193" s="217">
        <f t="shared" si="511"/>
        <v>2.8251705109385798</v>
      </c>
      <c r="V193" s="217">
        <f t="shared" si="512"/>
        <v>1.8471193519689069</v>
      </c>
      <c r="W193" s="197">
        <f t="shared" si="513"/>
        <v>350</v>
      </c>
      <c r="X193" s="443">
        <f t="shared" si="597"/>
        <v>205.2423045707836</v>
      </c>
      <c r="Z193" s="217">
        <f t="shared" si="514"/>
        <v>6.915491198884232</v>
      </c>
      <c r="AA193" s="173">
        <f t="shared" si="515"/>
        <v>1.1295283506841796</v>
      </c>
      <c r="AB193" s="173">
        <f t="shared" si="516"/>
        <v>1.2346804033364085</v>
      </c>
      <c r="AC193" s="173"/>
      <c r="AD193" s="173">
        <f t="shared" si="517"/>
        <v>0.54444353900530895</v>
      </c>
      <c r="AE193" s="545">
        <f t="shared" si="518"/>
        <v>2286.7384968413767</v>
      </c>
      <c r="AF193" s="528">
        <f t="shared" si="519"/>
        <v>0.31759206441976356</v>
      </c>
      <c r="AH193" s="173">
        <f t="shared" si="520"/>
        <v>8.8434544681414611</v>
      </c>
      <c r="AI193" s="173">
        <f t="shared" si="521"/>
        <v>11.308912798950461</v>
      </c>
      <c r="AJ193" s="173">
        <f t="shared" si="522"/>
        <v>7.1078366411978715</v>
      </c>
      <c r="AL193" s="545">
        <f t="shared" si="523"/>
        <v>2074.9999999999995</v>
      </c>
      <c r="AM193" s="460">
        <f t="shared" si="524"/>
        <v>205.2423045707836</v>
      </c>
      <c r="AO193">
        <f t="shared" si="525"/>
        <v>2074.9999999999995</v>
      </c>
      <c r="AP193">
        <f t="shared" si="526"/>
        <v>205.2423045707836</v>
      </c>
      <c r="AR193" s="5">
        <f t="shared" si="442"/>
        <v>4.8722898629074871</v>
      </c>
      <c r="AS193" s="5">
        <f t="shared" si="602"/>
        <v>2.8251705109385798</v>
      </c>
      <c r="AT193" s="5">
        <f t="shared" si="603"/>
        <v>2.0471193519689073</v>
      </c>
      <c r="AU193" s="173">
        <f t="shared" si="604"/>
        <v>0.57984450647045238</v>
      </c>
      <c r="AW193" s="5">
        <f t="shared" si="475"/>
        <v>20.936531464991258</v>
      </c>
      <c r="AX193" s="5">
        <f t="shared" si="476"/>
        <v>1.9540762700658512</v>
      </c>
      <c r="AY193" s="5">
        <f t="shared" si="477"/>
        <v>4.515618168239687</v>
      </c>
      <c r="AZ193" s="5"/>
      <c r="BA193" s="173">
        <f t="shared" si="478"/>
        <v>4.9718269191042168</v>
      </c>
      <c r="BB193" s="173">
        <f t="shared" si="479"/>
        <v>4.2321909201451664</v>
      </c>
      <c r="BC193" s="173">
        <f t="shared" si="480"/>
        <v>0.42668810096545529</v>
      </c>
      <c r="BD193" s="173"/>
      <c r="BE193" s="528">
        <f t="shared" si="481"/>
        <v>0.29662875496235191</v>
      </c>
      <c r="BF193" s="528">
        <f t="shared" si="527"/>
        <v>2.0158558580917365</v>
      </c>
      <c r="BG193" s="528">
        <f t="shared" si="482"/>
        <v>2.3602865025640116E-2</v>
      </c>
      <c r="BH193" s="528">
        <f t="shared" si="483"/>
        <v>0.22892375145687124</v>
      </c>
      <c r="BI193">
        <f t="shared" si="484"/>
        <v>8.4661617687047334E-3</v>
      </c>
      <c r="BJ193" s="460">
        <f t="shared" si="598"/>
        <v>32.06902679434485</v>
      </c>
      <c r="BK193">
        <f t="shared" si="528"/>
        <v>2.8202677575801252</v>
      </c>
      <c r="BL193" s="460">
        <f t="shared" si="599"/>
        <v>2573.4773913053041</v>
      </c>
      <c r="BM193" s="173">
        <f t="shared" si="529"/>
        <v>1.3914949999999997</v>
      </c>
      <c r="BN193" s="173">
        <f t="shared" si="530"/>
        <v>0.13914949999999998</v>
      </c>
      <c r="BO193" s="528"/>
      <c r="BQ193" s="460">
        <f t="shared" si="485"/>
        <v>1530.6444999999997</v>
      </c>
      <c r="BR193" s="528">
        <f t="shared" si="486"/>
        <v>0.34606688078941061</v>
      </c>
      <c r="BS193" s="528">
        <f t="shared" si="487"/>
        <v>0.25076015978382871</v>
      </c>
      <c r="BT193" s="528">
        <f t="shared" si="488"/>
        <v>9.1031367752753283E-4</v>
      </c>
      <c r="BU193" s="528">
        <f t="shared" si="489"/>
        <v>12.977449539438538</v>
      </c>
      <c r="BV193" s="528"/>
      <c r="BW193" s="625">
        <f t="shared" si="531"/>
        <v>2.624874797944547</v>
      </c>
      <c r="BX193" s="460">
        <f t="shared" ref="BX193:BX210" si="605">SUM(BR193:BW193)*1000</f>
        <v>16200.061691633853</v>
      </c>
      <c r="BY193" s="173">
        <f t="shared" ref="BY193:BY210" si="606">SUM(BE193:BI193,BM193:BP193,BR193:BW193)</f>
        <v>20.304183582939157</v>
      </c>
      <c r="BZ193" s="5">
        <f t="shared" ref="BZ193:BZ210" si="607">MIN(H193+I193,O193+P193)</f>
        <v>64.324999999999989</v>
      </c>
      <c r="CA193" s="173">
        <f t="shared" ref="CA193:CA210" si="608">BZ193/(BZ193+BY193)</f>
        <v>0.76008059249395399</v>
      </c>
      <c r="CB193" s="5">
        <f t="shared" ref="CB193:CB210" si="609">CA193*100</f>
        <v>76.008059249395401</v>
      </c>
      <c r="CC193">
        <f t="shared" ref="CC193:CC210" si="610">F193/Iout*100</f>
        <v>82.999999999999986</v>
      </c>
      <c r="CE193" s="562">
        <f t="shared" si="532"/>
        <v>-50</v>
      </c>
      <c r="CF193">
        <f t="shared" si="533"/>
        <v>-50</v>
      </c>
      <c r="CG193" s="173">
        <f t="shared" si="534"/>
        <v>0.38447255346461451</v>
      </c>
      <c r="CH193" s="173">
        <f t="shared" si="535"/>
        <v>0.12467877742130107</v>
      </c>
      <c r="CI193" s="170">
        <v>83</v>
      </c>
      <c r="CJ193" s="217">
        <f t="shared" si="600"/>
        <v>2.0749999999999997</v>
      </c>
      <c r="CK193" s="217">
        <f t="shared" si="536"/>
        <v>0.20749999999999999</v>
      </c>
      <c r="CL193" s="217">
        <f t="shared" si="537"/>
        <v>58.099999999999994</v>
      </c>
      <c r="CM193" s="217">
        <f t="shared" si="538"/>
        <v>6.2249999999999996</v>
      </c>
      <c r="CN193" s="541">
        <f t="shared" si="539"/>
        <v>19</v>
      </c>
      <c r="CO193" s="443">
        <f t="shared" si="540"/>
        <v>28.7</v>
      </c>
      <c r="CP193" s="443">
        <f t="shared" si="541"/>
        <v>47.7</v>
      </c>
      <c r="CQ193" s="443"/>
      <c r="CR193" s="217">
        <f t="shared" si="542"/>
        <v>0.59915611814345993</v>
      </c>
      <c r="CS193" s="172">
        <f t="shared" si="543"/>
        <v>85.685767433419556</v>
      </c>
      <c r="CT193" s="172">
        <f t="shared" si="544"/>
        <v>10.164255575647982</v>
      </c>
      <c r="CU193" s="217">
        <f t="shared" si="545"/>
        <v>3.0602059797649841</v>
      </c>
      <c r="CV193" s="217">
        <f t="shared" si="546"/>
        <v>2.8561922477806521</v>
      </c>
      <c r="CW193" s="217">
        <f t="shared" si="547"/>
        <v>28</v>
      </c>
      <c r="CX193" s="217">
        <f t="shared" si="548"/>
        <v>11.300982209043733</v>
      </c>
      <c r="CY193" s="217">
        <f t="shared" si="549"/>
        <v>2.7955061253950286</v>
      </c>
      <c r="CZ193" s="217">
        <f t="shared" si="550"/>
        <v>1.8506834976482767</v>
      </c>
      <c r="DA193" s="197">
        <f t="shared" si="551"/>
        <v>350</v>
      </c>
      <c r="DB193" s="443">
        <f t="shared" si="552"/>
        <v>215.23013073775257</v>
      </c>
      <c r="DD193" s="217">
        <f t="shared" si="553"/>
        <v>6.9494625094785683</v>
      </c>
      <c r="DE193" s="173">
        <f t="shared" si="554"/>
        <v>1.1380652890086853</v>
      </c>
      <c r="DF193" s="173">
        <f t="shared" si="555"/>
        <v>1.2501230996965573</v>
      </c>
      <c r="DG193" s="173"/>
      <c r="DH193" s="173">
        <f t="shared" si="556"/>
        <v>0.54587688734030204</v>
      </c>
      <c r="DI193" s="545">
        <f t="shared" si="557"/>
        <v>2280.7340425531911</v>
      </c>
      <c r="DJ193" s="528">
        <f t="shared" si="558"/>
        <v>0.31842818428184283</v>
      </c>
      <c r="DL193" s="173">
        <f t="shared" si="559"/>
        <v>8.8434544681414611</v>
      </c>
      <c r="DM193" s="173">
        <f t="shared" si="560"/>
        <v>11.300982209043733</v>
      </c>
      <c r="DN193" s="173">
        <f t="shared" si="561"/>
        <v>7.1019621301558518</v>
      </c>
      <c r="DP193" s="545">
        <f t="shared" si="562"/>
        <v>2074.9999999999995</v>
      </c>
      <c r="DQ193" s="460">
        <f t="shared" si="563"/>
        <v>215.23013073775257</v>
      </c>
      <c r="DS193">
        <f>IF(CL193&gt;CS193, "",DP193)</f>
        <v>2074.9999999999995</v>
      </c>
      <c r="DT193">
        <f t="shared" si="565"/>
        <v>215.23013073775257</v>
      </c>
      <c r="DV193" s="5">
        <f t="shared" si="566"/>
        <v>4.6461896230433055</v>
      </c>
      <c r="DW193" s="5">
        <f t="shared" si="567"/>
        <v>2.7955061253950286</v>
      </c>
      <c r="DX193" s="5">
        <f t="shared" si="568"/>
        <v>1.8506834976482769</v>
      </c>
      <c r="DY193" s="173">
        <f t="shared" si="569"/>
        <v>0.60167714884696011</v>
      </c>
      <c r="EA193" s="5">
        <f t="shared" si="570"/>
        <v>20.716697179266728</v>
      </c>
      <c r="EB193" s="5">
        <f t="shared" si="571"/>
        <v>1.9335584033982283</v>
      </c>
      <c r="EC193" s="5">
        <f t="shared" si="572"/>
        <v>4.0422823764422873</v>
      </c>
      <c r="ED193" s="5"/>
      <c r="EE193" s="173">
        <f t="shared" si="573"/>
        <v>5.061011483244017</v>
      </c>
      <c r="EF193" s="173">
        <f t="shared" si="574"/>
        <v>4.1178751473925459</v>
      </c>
      <c r="EG193" s="173">
        <f t="shared" si="575"/>
        <v>0.41516282223711731</v>
      </c>
      <c r="EH193" s="173"/>
      <c r="EI193" s="528">
        <f t="shared" si="576"/>
        <v>0.30736604680233365</v>
      </c>
      <c r="EJ193" s="528">
        <f t="shared" si="577"/>
        <v>2.2044042553191492</v>
      </c>
      <c r="EK193" s="528">
        <f t="shared" si="578"/>
        <v>2.4751465034841547E-2</v>
      </c>
      <c r="EL193" s="528">
        <f t="shared" si="579"/>
        <v>0.24118264985190332</v>
      </c>
      <c r="EM193">
        <f t="shared" si="580"/>
        <v>8.5500000000000003E-3</v>
      </c>
      <c r="EN193" s="460">
        <f t="shared" si="581"/>
        <v>33.301465034841549</v>
      </c>
      <c r="EP193" s="460">
        <f t="shared" si="601"/>
        <v>2786.2544170082274</v>
      </c>
      <c r="EQ193" s="173">
        <f t="shared" si="582"/>
        <v>1.4524999999999997</v>
      </c>
      <c r="ER193" s="173">
        <f t="shared" si="583"/>
        <v>9.9392499999999995E-2</v>
      </c>
      <c r="ES193" s="528"/>
      <c r="EU193" s="460">
        <f t="shared" si="496"/>
        <v>1551.8924999999997</v>
      </c>
      <c r="EV193" s="528">
        <f t="shared" si="584"/>
        <v>0.35859372126938927</v>
      </c>
      <c r="EW193" s="528">
        <f t="shared" si="585"/>
        <v>0.23739654021318454</v>
      </c>
      <c r="EX193" s="528">
        <f t="shared" si="586"/>
        <v>8.6180084483944137E-4</v>
      </c>
      <c r="EY193" s="528">
        <f t="shared" si="587"/>
        <v>14.588752487337132</v>
      </c>
      <c r="EZ193" s="528"/>
      <c r="FA193" s="625">
        <f t="shared" si="588"/>
        <v>2.7487513263711798</v>
      </c>
      <c r="FB193" s="460">
        <f t="shared" ref="FB193:FB210" si="611">SUM(EV193:FA193)*1000</f>
        <v>17934.355876035723</v>
      </c>
      <c r="FC193" s="173">
        <f t="shared" si="589"/>
        <v>22.272502793043955</v>
      </c>
      <c r="FD193" s="5">
        <f t="shared" si="590"/>
        <v>64.324999999999989</v>
      </c>
      <c r="FE193" s="173">
        <f t="shared" si="591"/>
        <v>0.74280432951661257</v>
      </c>
      <c r="FF193" s="5">
        <f t="shared" si="592"/>
        <v>74.280432951661254</v>
      </c>
      <c r="FG193">
        <f t="shared" si="593"/>
        <v>82.999999999999986</v>
      </c>
      <c r="FI193" s="562">
        <f t="shared" si="594"/>
        <v>-50</v>
      </c>
      <c r="FJ193">
        <f t="shared" si="595"/>
        <v>-50</v>
      </c>
    </row>
    <row r="194" spans="5:166">
      <c r="E194" s="170">
        <v>84</v>
      </c>
      <c r="F194" s="217">
        <f t="shared" si="596"/>
        <v>2.1</v>
      </c>
      <c r="G194" s="217">
        <f t="shared" si="498"/>
        <v>0.21</v>
      </c>
      <c r="H194" s="217">
        <f t="shared" si="499"/>
        <v>58.800000000000004</v>
      </c>
      <c r="I194" s="217">
        <f t="shared" si="500"/>
        <v>6.3</v>
      </c>
      <c r="J194" s="541">
        <f t="shared" si="501"/>
        <v>18.811448154516668</v>
      </c>
      <c r="K194" s="443">
        <f t="shared" si="502"/>
        <v>28.776468397379908</v>
      </c>
      <c r="L194" s="172">
        <f t="shared" si="503"/>
        <v>47.587916551896576</v>
      </c>
      <c r="M194" s="443"/>
      <c r="N194" s="217">
        <f t="shared" si="504"/>
        <v>0.60470116118653749</v>
      </c>
      <c r="O194" s="172">
        <f t="shared" si="505"/>
        <v>85.620571826296825</v>
      </c>
      <c r="P194" s="172">
        <f t="shared" si="506"/>
        <v>10.156521913068373</v>
      </c>
      <c r="Q194" s="217">
        <f t="shared" si="507"/>
        <v>3.0578775652248864</v>
      </c>
      <c r="R194" s="217">
        <f t="shared" si="508"/>
        <v>2.8540190608765608</v>
      </c>
      <c r="S194" s="217">
        <f t="shared" si="509"/>
        <v>28</v>
      </c>
      <c r="T194" s="217">
        <f t="shared" si="510"/>
        <v>11.445847406721136</v>
      </c>
      <c r="U194" s="217">
        <f t="shared" si="511"/>
        <v>2.8597204409631232</v>
      </c>
      <c r="V194" s="217">
        <f t="shared" si="512"/>
        <v>1.8694261598997117</v>
      </c>
      <c r="W194" s="197">
        <f t="shared" si="513"/>
        <v>350</v>
      </c>
      <c r="X194" s="443">
        <f t="shared" si="597"/>
        <v>202.87487489719871</v>
      </c>
      <c r="Z194" s="217">
        <f t="shared" si="514"/>
        <v>6.9150787493231478</v>
      </c>
      <c r="AA194" s="173">
        <f t="shared" si="515"/>
        <v>1.1294252537527498</v>
      </c>
      <c r="AB194" s="173">
        <f t="shared" si="516"/>
        <v>1.2344940773792021</v>
      </c>
      <c r="AC194" s="173"/>
      <c r="AD194" s="173">
        <f t="shared" si="517"/>
        <v>0.54442631563827049</v>
      </c>
      <c r="AE194" s="545">
        <f t="shared" si="518"/>
        <v>2314.3627774914053</v>
      </c>
      <c r="AF194" s="528">
        <f t="shared" si="519"/>
        <v>0.31758201745565773</v>
      </c>
      <c r="AH194" s="173">
        <f t="shared" si="520"/>
        <v>8.8965687863475083</v>
      </c>
      <c r="AI194" s="173">
        <f t="shared" si="521"/>
        <v>11.445847406721136</v>
      </c>
      <c r="AJ194" s="173">
        <f t="shared" si="522"/>
        <v>7.2092696839909642</v>
      </c>
      <c r="AL194" s="545">
        <f t="shared" si="523"/>
        <v>2100</v>
      </c>
      <c r="AM194" s="460">
        <f t="shared" si="524"/>
        <v>202.87487489719871</v>
      </c>
      <c r="AO194">
        <f t="shared" si="525"/>
        <v>2100</v>
      </c>
      <c r="AP194">
        <f t="shared" si="526"/>
        <v>202.87487489719871</v>
      </c>
      <c r="AR194" s="5">
        <f t="shared" si="442"/>
        <v>4.9291466008628362</v>
      </c>
      <c r="AS194" s="5">
        <f t="shared" si="602"/>
        <v>2.8597204409631232</v>
      </c>
      <c r="AT194" s="5">
        <f t="shared" si="603"/>
        <v>2.069426159899713</v>
      </c>
      <c r="AU194" s="173">
        <f t="shared" si="604"/>
        <v>0.5801654267013554</v>
      </c>
      <c r="AW194" s="5">
        <f t="shared" si="475"/>
        <v>21.447903307223424</v>
      </c>
      <c r="AX194" s="5">
        <f t="shared" si="476"/>
        <v>2.0018043086741861</v>
      </c>
      <c r="AY194" s="5">
        <f t="shared" si="477"/>
        <v>4.6203725519621548</v>
      </c>
      <c r="AZ194" s="5"/>
      <c r="BA194" s="173">
        <f t="shared" si="478"/>
        <v>5.0334208838994225</v>
      </c>
      <c r="BB194" s="173">
        <f t="shared" si="479"/>
        <v>4.2818004575380986</v>
      </c>
      <c r="BC194" s="173">
        <f t="shared" si="480"/>
        <v>0.43168971825998864</v>
      </c>
      <c r="BD194" s="173"/>
      <c r="BE194" s="528">
        <f t="shared" si="481"/>
        <v>0.30402390953369812</v>
      </c>
      <c r="BF194" s="528">
        <f t="shared" si="527"/>
        <v>2.0166743607699371</v>
      </c>
      <c r="BG194" s="528">
        <f t="shared" si="482"/>
        <v>2.3330610613177854E-2</v>
      </c>
      <c r="BH194" s="528">
        <f t="shared" si="483"/>
        <v>0.22627047188387028</v>
      </c>
      <c r="BI194">
        <f t="shared" si="484"/>
        <v>8.4651516695325012E-3</v>
      </c>
      <c r="BJ194" s="460">
        <f t="shared" si="598"/>
        <v>31.795762282710353</v>
      </c>
      <c r="BK194">
        <f t="shared" si="528"/>
        <v>2.8337545184196613</v>
      </c>
      <c r="BL194" s="460">
        <f t="shared" si="599"/>
        <v>2578.7645044702158</v>
      </c>
      <c r="BM194" s="173">
        <f t="shared" si="529"/>
        <v>1.4082599999999998</v>
      </c>
      <c r="BN194" s="173">
        <f t="shared" si="530"/>
        <v>0.14082599999999998</v>
      </c>
      <c r="BO194" s="528"/>
      <c r="BQ194" s="460">
        <f t="shared" si="485"/>
        <v>1549.0859999999998</v>
      </c>
      <c r="BR194" s="528">
        <f t="shared" si="486"/>
        <v>0.3546945611226478</v>
      </c>
      <c r="BS194" s="528">
        <f t="shared" si="487"/>
        <v>0.25667341221442858</v>
      </c>
      <c r="BT194" s="528">
        <f t="shared" si="488"/>
        <v>9.3178006425694189E-4</v>
      </c>
      <c r="BU194" s="528">
        <f t="shared" si="489"/>
        <v>12.991537347744012</v>
      </c>
      <c r="BV194" s="528"/>
      <c r="BW194" s="625">
        <f t="shared" si="531"/>
        <v>2.6578114522909995</v>
      </c>
      <c r="BX194" s="460">
        <f t="shared" si="605"/>
        <v>16261.648553436346</v>
      </c>
      <c r="BY194" s="173">
        <f t="shared" si="606"/>
        <v>20.389499057906562</v>
      </c>
      <c r="BZ194" s="5">
        <f t="shared" si="607"/>
        <v>65.100000000000009</v>
      </c>
      <c r="CA194" s="173">
        <f t="shared" si="608"/>
        <v>0.76149703434224514</v>
      </c>
      <c r="CB194" s="5">
        <f t="shared" si="609"/>
        <v>76.14970343422452</v>
      </c>
      <c r="CC194">
        <f t="shared" si="610"/>
        <v>84.000000000000014</v>
      </c>
      <c r="CE194" s="562">
        <f t="shared" si="532"/>
        <v>-50</v>
      </c>
      <c r="CF194">
        <f t="shared" si="533"/>
        <v>-50</v>
      </c>
      <c r="CG194" s="173">
        <f t="shared" si="534"/>
        <v>0.38447255346461451</v>
      </c>
      <c r="CH194" s="173">
        <f t="shared" si="535"/>
        <v>0.12467877742130105</v>
      </c>
      <c r="CI194" s="170">
        <v>84</v>
      </c>
      <c r="CJ194" s="217">
        <f t="shared" si="600"/>
        <v>2.1</v>
      </c>
      <c r="CK194" s="217">
        <f t="shared" si="536"/>
        <v>0.21</v>
      </c>
      <c r="CL194" s="217">
        <f t="shared" si="537"/>
        <v>58.800000000000004</v>
      </c>
      <c r="CM194" s="217">
        <f t="shared" si="538"/>
        <v>6.3</v>
      </c>
      <c r="CN194" s="541">
        <f t="shared" si="539"/>
        <v>19</v>
      </c>
      <c r="CO194" s="443">
        <f t="shared" si="540"/>
        <v>28.7</v>
      </c>
      <c r="CP194" s="443">
        <f t="shared" si="541"/>
        <v>47.7</v>
      </c>
      <c r="CQ194" s="443"/>
      <c r="CR194" s="217">
        <f t="shared" si="542"/>
        <v>0.59915611814345993</v>
      </c>
      <c r="CS194" s="172">
        <f t="shared" si="543"/>
        <v>85.685767433419556</v>
      </c>
      <c r="CT194" s="172">
        <f t="shared" si="544"/>
        <v>10.164255575647982</v>
      </c>
      <c r="CU194" s="217">
        <f t="shared" si="545"/>
        <v>3.0602059797649841</v>
      </c>
      <c r="CV194" s="217">
        <f t="shared" si="546"/>
        <v>2.8561922477806521</v>
      </c>
      <c r="CW194" s="217">
        <f t="shared" si="547"/>
        <v>28</v>
      </c>
      <c r="CX194" s="217">
        <f t="shared" si="548"/>
        <v>11.437138621200891</v>
      </c>
      <c r="CY194" s="217">
        <f t="shared" si="549"/>
        <v>2.829186922086536</v>
      </c>
      <c r="CZ194" s="217">
        <f t="shared" si="550"/>
        <v>1.8729808891862085</v>
      </c>
      <c r="DA194" s="197">
        <f t="shared" si="551"/>
        <v>350</v>
      </c>
      <c r="DB194" s="443">
        <f t="shared" si="552"/>
        <v>212.66786727658879</v>
      </c>
      <c r="DD194" s="217">
        <f t="shared" si="553"/>
        <v>6.9494625094785683</v>
      </c>
      <c r="DE194" s="173">
        <f t="shared" si="554"/>
        <v>1.1380652890086853</v>
      </c>
      <c r="DF194" s="173">
        <f t="shared" si="555"/>
        <v>1.2501230996965573</v>
      </c>
      <c r="DG194" s="173"/>
      <c r="DH194" s="173">
        <f t="shared" si="556"/>
        <v>0.54587688734030204</v>
      </c>
      <c r="DI194" s="545">
        <f t="shared" si="557"/>
        <v>2308.2127659574467</v>
      </c>
      <c r="DJ194" s="528">
        <f t="shared" si="558"/>
        <v>0.31842818428184283</v>
      </c>
      <c r="DL194" s="173">
        <f t="shared" si="559"/>
        <v>8.8965687863475083</v>
      </c>
      <c r="DM194" s="173">
        <f t="shared" si="560"/>
        <v>11.437138621200891</v>
      </c>
      <c r="DN194" s="173">
        <f t="shared" si="561"/>
        <v>7.2028187317537453</v>
      </c>
      <c r="DP194" s="545">
        <f t="shared" si="562"/>
        <v>2100</v>
      </c>
      <c r="DQ194" s="460">
        <f t="shared" si="563"/>
        <v>212.66786727658879</v>
      </c>
      <c r="DS194">
        <f t="shared" ref="DS194:DS210" si="612">IF(CL194&gt;CS194, "",DP194)</f>
        <v>2100</v>
      </c>
      <c r="DT194">
        <f t="shared" ref="DT194:DT210" si="613">IF(CL194&gt;CS194, "",DQ194)</f>
        <v>212.66786727658879</v>
      </c>
      <c r="DV194" s="5">
        <f t="shared" si="566"/>
        <v>4.7021678112727443</v>
      </c>
      <c r="DW194" s="5">
        <f t="shared" si="567"/>
        <v>2.829186922086536</v>
      </c>
      <c r="DX194" s="5">
        <f t="shared" si="568"/>
        <v>1.8729808891862083</v>
      </c>
      <c r="DY194" s="173">
        <f t="shared" si="569"/>
        <v>0.60167714884696022</v>
      </c>
      <c r="EA194" s="5">
        <f t="shared" si="570"/>
        <v>21.21890191564902</v>
      </c>
      <c r="EB194" s="5">
        <f t="shared" si="571"/>
        <v>1.9804308454605748</v>
      </c>
      <c r="EC194" s="5">
        <f t="shared" si="572"/>
        <v>4.140273544516881</v>
      </c>
      <c r="ED194" s="5"/>
      <c r="EE194" s="173">
        <f t="shared" si="573"/>
        <v>5.1219875252108151</v>
      </c>
      <c r="EF194" s="173">
        <f t="shared" si="574"/>
        <v>4.1674881009755902</v>
      </c>
      <c r="EG194" s="173">
        <f t="shared" si="575"/>
        <v>0.42016478395081769</v>
      </c>
      <c r="EH194" s="173"/>
      <c r="EI194" s="528">
        <f t="shared" si="576"/>
        <v>0.31481707450098251</v>
      </c>
      <c r="EJ194" s="528">
        <f t="shared" si="577"/>
        <v>2.2044042553191496</v>
      </c>
      <c r="EK194" s="528">
        <f t="shared" si="578"/>
        <v>2.4456804736807714E-2</v>
      </c>
      <c r="EL194" s="528">
        <f t="shared" si="579"/>
        <v>0.23831142782985679</v>
      </c>
      <c r="EM194">
        <f t="shared" si="580"/>
        <v>8.5500000000000003E-3</v>
      </c>
      <c r="EN194" s="460">
        <f t="shared" si="581"/>
        <v>33.006804736807716</v>
      </c>
      <c r="EP194" s="460">
        <f t="shared" si="601"/>
        <v>2790.5395623867967</v>
      </c>
      <c r="EQ194" s="173">
        <f t="shared" si="582"/>
        <v>1.47</v>
      </c>
      <c r="ER194" s="173">
        <f t="shared" si="583"/>
        <v>0.10059</v>
      </c>
      <c r="ES194" s="528"/>
      <c r="EU194" s="460">
        <f t="shared" si="496"/>
        <v>1570.59</v>
      </c>
      <c r="EV194" s="528">
        <f t="shared" si="584"/>
        <v>0.36728658691781296</v>
      </c>
      <c r="EW194" s="528">
        <f t="shared" si="585"/>
        <v>0.24315139900482383</v>
      </c>
      <c r="EX194" s="528">
        <f t="shared" si="586"/>
        <v>8.8269222836218661E-4</v>
      </c>
      <c r="EY194" s="528">
        <f t="shared" si="587"/>
        <v>14.588752487337171</v>
      </c>
      <c r="EZ194" s="528"/>
      <c r="FA194" s="625">
        <f t="shared" si="588"/>
        <v>2.7818688122310746</v>
      </c>
      <c r="FB194" s="460">
        <f t="shared" si="611"/>
        <v>17981.941977719245</v>
      </c>
      <c r="FC194" s="173">
        <f t="shared" si="589"/>
        <v>22.343071540106042</v>
      </c>
      <c r="FD194" s="5">
        <f t="shared" si="590"/>
        <v>65.100000000000009</v>
      </c>
      <c r="FE194" s="173">
        <f t="shared" si="591"/>
        <v>0.74448436969808052</v>
      </c>
      <c r="FF194" s="5">
        <f t="shared" si="592"/>
        <v>74.448436969808057</v>
      </c>
      <c r="FG194">
        <f t="shared" si="593"/>
        <v>84.000000000000014</v>
      </c>
      <c r="FI194" s="562">
        <f t="shared" si="594"/>
        <v>-50</v>
      </c>
      <c r="FJ194">
        <f t="shared" si="595"/>
        <v>-50</v>
      </c>
    </row>
    <row r="195" spans="5:166">
      <c r="E195" s="170">
        <v>85</v>
      </c>
      <c r="F195" s="217">
        <f t="shared" si="596"/>
        <v>2.125</v>
      </c>
      <c r="G195" s="217">
        <f t="shared" si="498"/>
        <v>0.21249999999999999</v>
      </c>
      <c r="H195" s="217">
        <f t="shared" si="499"/>
        <v>59.5</v>
      </c>
      <c r="I195" s="217">
        <f t="shared" si="500"/>
        <v>6.375</v>
      </c>
      <c r="J195" s="541">
        <f t="shared" si="501"/>
        <v>18.809203489689487</v>
      </c>
      <c r="K195" s="443">
        <f t="shared" si="502"/>
        <v>28.777378735443953</v>
      </c>
      <c r="L195" s="172">
        <f t="shared" si="503"/>
        <v>47.586582225133441</v>
      </c>
      <c r="M195" s="443"/>
      <c r="N195" s="217">
        <f t="shared" si="504"/>
        <v>0.60473724713612287</v>
      </c>
      <c r="O195" s="172">
        <f t="shared" si="505"/>
        <v>85.615464058328868</v>
      </c>
      <c r="P195" s="172">
        <f t="shared" si="506"/>
        <v>10.155916017123195</v>
      </c>
      <c r="Q195" s="217">
        <f t="shared" si="507"/>
        <v>3.0576951449403169</v>
      </c>
      <c r="R195" s="217">
        <f t="shared" si="508"/>
        <v>2.8538488019442956</v>
      </c>
      <c r="S195" s="217">
        <f t="shared" si="509"/>
        <v>28</v>
      </c>
      <c r="T195" s="217">
        <f t="shared" si="510"/>
        <v>11.582798476581933</v>
      </c>
      <c r="U195" s="217">
        <f t="shared" si="511"/>
        <v>2.8942827307799939</v>
      </c>
      <c r="V195" s="217">
        <f t="shared" si="512"/>
        <v>1.8917342451654411</v>
      </c>
      <c r="W195" s="197">
        <f t="shared" si="513"/>
        <v>350</v>
      </c>
      <c r="X195" s="443">
        <f t="shared" si="597"/>
        <v>200.56088954859257</v>
      </c>
      <c r="Z195" s="217">
        <f t="shared" si="514"/>
        <v>6.9146662244243018</v>
      </c>
      <c r="AA195" s="173">
        <f t="shared" si="515"/>
        <v>1.1293221510396489</v>
      </c>
      <c r="AB195" s="173">
        <f t="shared" si="516"/>
        <v>1.2343077450971449</v>
      </c>
      <c r="AC195" s="173"/>
      <c r="AD195" s="173">
        <f t="shared" si="517"/>
        <v>0.54440909336091325</v>
      </c>
      <c r="AE195" s="545">
        <f t="shared" si="518"/>
        <v>2341.9888013419818</v>
      </c>
      <c r="AF195" s="528">
        <f t="shared" si="519"/>
        <v>0.31757197112719937</v>
      </c>
      <c r="AH195" s="173">
        <f t="shared" si="520"/>
        <v>8.9493678776958507</v>
      </c>
      <c r="AI195" s="173">
        <f t="shared" si="521"/>
        <v>11.582798476581933</v>
      </c>
      <c r="AJ195" s="173">
        <f t="shared" si="522"/>
        <v>7.3107149209248883</v>
      </c>
      <c r="AL195" s="545">
        <f t="shared" si="523"/>
        <v>2125</v>
      </c>
      <c r="AM195" s="460">
        <f t="shared" si="524"/>
        <v>200.56088954859257</v>
      </c>
      <c r="AO195">
        <f t="shared" si="525"/>
        <v>2125</v>
      </c>
      <c r="AP195">
        <f t="shared" si="526"/>
        <v>200.56088954859257</v>
      </c>
      <c r="AR195" s="5">
        <f t="shared" si="442"/>
        <v>4.9860169759454349</v>
      </c>
      <c r="AS195" s="5">
        <f t="shared" si="602"/>
        <v>2.8942827307799939</v>
      </c>
      <c r="AT195" s="5">
        <f t="shared" si="603"/>
        <v>2.091734245165441</v>
      </c>
      <c r="AU195" s="173">
        <f t="shared" si="604"/>
        <v>0.58047991909036534</v>
      </c>
      <c r="AW195" s="5">
        <f t="shared" si="475"/>
        <v>21.965538581812453</v>
      </c>
      <c r="AX195" s="5">
        <f t="shared" si="476"/>
        <v>2.0501169343024959</v>
      </c>
      <c r="AY195" s="5">
        <f t="shared" si="477"/>
        <v>4.7263407761132594</v>
      </c>
      <c r="AZ195" s="5"/>
      <c r="BA195" s="173">
        <f t="shared" si="478"/>
        <v>5.0950268056020835</v>
      </c>
      <c r="BB195" s="173">
        <f t="shared" si="479"/>
        <v>4.3314095511622019</v>
      </c>
      <c r="BC195" s="173">
        <f t="shared" si="480"/>
        <v>0.43669129081389413</v>
      </c>
      <c r="BD195" s="173"/>
      <c r="BE195" s="528">
        <f t="shared" si="481"/>
        <v>0.31151157779764527</v>
      </c>
      <c r="BF195" s="528">
        <f t="shared" si="527"/>
        <v>2.0174702080657605</v>
      </c>
      <c r="BG195" s="528">
        <f t="shared" si="482"/>
        <v>2.3064502298088149E-2</v>
      </c>
      <c r="BH195" s="528">
        <f t="shared" si="483"/>
        <v>0.22367709300953598</v>
      </c>
      <c r="BI195">
        <f t="shared" si="484"/>
        <v>8.4641415703602691E-3</v>
      </c>
      <c r="BJ195" s="460">
        <f t="shared" si="598"/>
        <v>31.52864386844842</v>
      </c>
      <c r="BK195">
        <f t="shared" si="528"/>
        <v>2.8475271570561569</v>
      </c>
      <c r="BL195" s="460">
        <f t="shared" si="599"/>
        <v>2584.1875227413902</v>
      </c>
      <c r="BM195" s="173">
        <f t="shared" si="529"/>
        <v>1.4250249999999998</v>
      </c>
      <c r="BN195" s="173">
        <f t="shared" si="530"/>
        <v>0.14250249999999998</v>
      </c>
      <c r="BO195" s="528"/>
      <c r="BQ195" s="460">
        <f t="shared" si="485"/>
        <v>1567.5274999999997</v>
      </c>
      <c r="BR195" s="528">
        <f t="shared" si="486"/>
        <v>0.36343017409725281</v>
      </c>
      <c r="BS195" s="528">
        <f t="shared" si="487"/>
        <v>0.26265552179858809</v>
      </c>
      <c r="BT195" s="528">
        <f t="shared" si="488"/>
        <v>9.5349641736352533E-4</v>
      </c>
      <c r="BU195" s="528">
        <f t="shared" si="489"/>
        <v>13.005270005776744</v>
      </c>
      <c r="BV195" s="528"/>
      <c r="BW195" s="625">
        <f t="shared" si="531"/>
        <v>2.6907493736254171</v>
      </c>
      <c r="BX195" s="460">
        <f t="shared" si="605"/>
        <v>16323.058571715364</v>
      </c>
      <c r="BY195" s="173">
        <f t="shared" si="606"/>
        <v>20.474773594456757</v>
      </c>
      <c r="BZ195" s="5">
        <f t="shared" si="607"/>
        <v>65.875</v>
      </c>
      <c r="CA195" s="173">
        <f t="shared" si="608"/>
        <v>0.76288561345143879</v>
      </c>
      <c r="CB195" s="5">
        <f t="shared" si="609"/>
        <v>76.288561345143876</v>
      </c>
      <c r="CC195">
        <f t="shared" si="610"/>
        <v>85</v>
      </c>
      <c r="CE195" s="562">
        <f t="shared" si="532"/>
        <v>-50</v>
      </c>
      <c r="CF195">
        <f t="shared" si="533"/>
        <v>-50</v>
      </c>
      <c r="CG195" s="173">
        <f t="shared" si="534"/>
        <v>0.38447255346461451</v>
      </c>
      <c r="CH195" s="173">
        <f t="shared" si="535"/>
        <v>0.12467877742130105</v>
      </c>
      <c r="CI195" s="170">
        <v>85</v>
      </c>
      <c r="CJ195" s="217">
        <f t="shared" si="600"/>
        <v>2.125</v>
      </c>
      <c r="CK195" s="217">
        <f t="shared" si="536"/>
        <v>0.21249999999999999</v>
      </c>
      <c r="CL195" s="217">
        <f t="shared" si="537"/>
        <v>59.5</v>
      </c>
      <c r="CM195" s="217">
        <f t="shared" si="538"/>
        <v>6.375</v>
      </c>
      <c r="CN195" s="541">
        <f t="shared" si="539"/>
        <v>19</v>
      </c>
      <c r="CO195" s="443">
        <f t="shared" si="540"/>
        <v>28.7</v>
      </c>
      <c r="CP195" s="443">
        <f t="shared" si="541"/>
        <v>47.7</v>
      </c>
      <c r="CQ195" s="443"/>
      <c r="CR195" s="217">
        <f t="shared" si="542"/>
        <v>0.59915611814345993</v>
      </c>
      <c r="CS195" s="172">
        <f t="shared" si="543"/>
        <v>85.685767433419556</v>
      </c>
      <c r="CT195" s="172">
        <f t="shared" si="544"/>
        <v>10.164255575647982</v>
      </c>
      <c r="CU195" s="217">
        <f t="shared" si="545"/>
        <v>3.0602059797649841</v>
      </c>
      <c r="CV195" s="217">
        <f t="shared" si="546"/>
        <v>2.8561922477806521</v>
      </c>
      <c r="CW195" s="217">
        <f t="shared" si="547"/>
        <v>28</v>
      </c>
      <c r="CX195" s="217">
        <f t="shared" si="548"/>
        <v>11.573295033358042</v>
      </c>
      <c r="CY195" s="217">
        <f t="shared" si="549"/>
        <v>2.862867718778042</v>
      </c>
      <c r="CZ195" s="217">
        <f t="shared" si="550"/>
        <v>1.8952782807241391</v>
      </c>
      <c r="DA195" s="197">
        <f t="shared" si="551"/>
        <v>350</v>
      </c>
      <c r="DB195" s="443">
        <f t="shared" si="552"/>
        <v>210.16589236745247</v>
      </c>
      <c r="DD195" s="217">
        <f t="shared" si="553"/>
        <v>6.9494625094785683</v>
      </c>
      <c r="DE195" s="173">
        <f t="shared" si="554"/>
        <v>1.1380652890086853</v>
      </c>
      <c r="DF195" s="173">
        <f t="shared" si="555"/>
        <v>1.2501230996965573</v>
      </c>
      <c r="DG195" s="173"/>
      <c r="DH195" s="173">
        <f t="shared" si="556"/>
        <v>0.54587688734030204</v>
      </c>
      <c r="DI195" s="545">
        <f t="shared" si="557"/>
        <v>2335.6914893617022</v>
      </c>
      <c r="DJ195" s="528">
        <f t="shared" si="558"/>
        <v>0.31842818428184283</v>
      </c>
      <c r="DL195" s="173">
        <f t="shared" si="559"/>
        <v>8.9493678776958507</v>
      </c>
      <c r="DM195" s="173">
        <f t="shared" si="560"/>
        <v>11.573295033358042</v>
      </c>
      <c r="DN195" s="173">
        <f t="shared" si="561"/>
        <v>7.3036753333516353</v>
      </c>
      <c r="DP195" s="545">
        <f t="shared" si="562"/>
        <v>2125</v>
      </c>
      <c r="DQ195" s="460">
        <f t="shared" si="563"/>
        <v>210.16589236745247</v>
      </c>
      <c r="DS195">
        <f t="shared" si="612"/>
        <v>2125</v>
      </c>
      <c r="DT195">
        <f t="shared" si="613"/>
        <v>210.16589236745247</v>
      </c>
      <c r="DV195" s="5">
        <f t="shared" si="566"/>
        <v>4.7581459995021813</v>
      </c>
      <c r="DW195" s="5">
        <f t="shared" si="567"/>
        <v>2.862867718778042</v>
      </c>
      <c r="DX195" s="5">
        <f t="shared" si="568"/>
        <v>1.8952782807241393</v>
      </c>
      <c r="DY195" s="173">
        <f t="shared" si="569"/>
        <v>0.60167714884696022</v>
      </c>
      <c r="EA195" s="5">
        <f t="shared" si="570"/>
        <v>21.727121080011926</v>
      </c>
      <c r="EB195" s="5">
        <f t="shared" si="571"/>
        <v>2.0278646341344464</v>
      </c>
      <c r="EC195" s="5">
        <f t="shared" si="572"/>
        <v>4.2394382595145217</v>
      </c>
      <c r="ED195" s="5"/>
      <c r="EE195" s="173">
        <f t="shared" si="573"/>
        <v>5.1829635671776089</v>
      </c>
      <c r="EF195" s="173">
        <f t="shared" si="574"/>
        <v>4.2171010545586318</v>
      </c>
      <c r="EG195" s="173">
        <f t="shared" si="575"/>
        <v>0.42516674566451784</v>
      </c>
      <c r="EH195" s="173"/>
      <c r="EI195" s="528">
        <f t="shared" si="576"/>
        <v>0.32235733606428535</v>
      </c>
      <c r="EJ195" s="528">
        <f t="shared" si="577"/>
        <v>2.2044042553191492</v>
      </c>
      <c r="EK195" s="528">
        <f t="shared" si="578"/>
        <v>2.4169077622257035E-2</v>
      </c>
      <c r="EL195" s="528">
        <f t="shared" si="579"/>
        <v>0.23550776397303497</v>
      </c>
      <c r="EM195">
        <f t="shared" si="580"/>
        <v>8.5500000000000003E-3</v>
      </c>
      <c r="EN195" s="460">
        <f t="shared" si="581"/>
        <v>32.719077622257039</v>
      </c>
      <c r="EP195" s="460">
        <f t="shared" si="601"/>
        <v>2794.9884329787269</v>
      </c>
      <c r="EQ195" s="173">
        <f t="shared" si="582"/>
        <v>1.4874999999999998</v>
      </c>
      <c r="ER195" s="173">
        <f t="shared" si="583"/>
        <v>0.10178749999999999</v>
      </c>
      <c r="ES195" s="528"/>
      <c r="EU195" s="460">
        <f t="shared" si="496"/>
        <v>1589.2874999999997</v>
      </c>
      <c r="EV195" s="528">
        <f t="shared" si="584"/>
        <v>0.37608355874166621</v>
      </c>
      <c r="EW195" s="528">
        <f t="shared" si="585"/>
        <v>0.24897517826103333</v>
      </c>
      <c r="EX195" s="528">
        <f t="shared" si="586"/>
        <v>9.0383380809478406E-4</v>
      </c>
      <c r="EY195" s="528">
        <f t="shared" si="587"/>
        <v>14.588752487337144</v>
      </c>
      <c r="EZ195" s="528"/>
      <c r="FA195" s="625">
        <f t="shared" si="588"/>
        <v>2.8149862980909677</v>
      </c>
      <c r="FB195" s="460">
        <f t="shared" si="611"/>
        <v>18029.701356238907</v>
      </c>
      <c r="FC195" s="173">
        <f t="shared" si="589"/>
        <v>22.413977289217634</v>
      </c>
      <c r="FD195" s="5">
        <f t="shared" si="590"/>
        <v>65.875</v>
      </c>
      <c r="FE195" s="173">
        <f t="shared" si="591"/>
        <v>0.74612938129531425</v>
      </c>
      <c r="FF195" s="5">
        <f t="shared" si="592"/>
        <v>74.612938129531429</v>
      </c>
      <c r="FG195">
        <f t="shared" si="593"/>
        <v>85</v>
      </c>
      <c r="FI195" s="562">
        <f t="shared" si="594"/>
        <v>-50</v>
      </c>
      <c r="FJ195">
        <f t="shared" si="595"/>
        <v>-50</v>
      </c>
    </row>
    <row r="196" spans="5:166">
      <c r="E196" s="170">
        <v>86</v>
      </c>
      <c r="F196" s="217">
        <f t="shared" si="596"/>
        <v>2.15</v>
      </c>
      <c r="G196" s="217">
        <f t="shared" si="498"/>
        <v>0.215</v>
      </c>
      <c r="H196" s="217">
        <f t="shared" si="499"/>
        <v>60.199999999999996</v>
      </c>
      <c r="I196" s="217">
        <f t="shared" si="500"/>
        <v>6.45</v>
      </c>
      <c r="J196" s="541">
        <f t="shared" si="501"/>
        <v>18.806958824862303</v>
      </c>
      <c r="K196" s="443">
        <f t="shared" si="502"/>
        <v>28.778289073507999</v>
      </c>
      <c r="L196" s="172">
        <f t="shared" si="503"/>
        <v>47.585247898370298</v>
      </c>
      <c r="M196" s="443"/>
      <c r="N196" s="217">
        <f t="shared" si="504"/>
        <v>0.60477333510946363</v>
      </c>
      <c r="O196" s="172">
        <f t="shared" si="505"/>
        <v>85.610355357471335</v>
      </c>
      <c r="P196" s="172">
        <f t="shared" si="506"/>
        <v>10.155310010516368</v>
      </c>
      <c r="Q196" s="217">
        <f t="shared" si="507"/>
        <v>3.0575126913382618</v>
      </c>
      <c r="R196" s="217">
        <f t="shared" si="508"/>
        <v>2.8536785119157111</v>
      </c>
      <c r="S196" s="217">
        <f t="shared" si="509"/>
        <v>28</v>
      </c>
      <c r="T196" s="217">
        <f t="shared" si="510"/>
        <v>11.719766015966794</v>
      </c>
      <c r="U196" s="217">
        <f t="shared" si="511"/>
        <v>2.9288573866725218</v>
      </c>
      <c r="V196" s="217">
        <f t="shared" si="512"/>
        <v>1.9140436088589705</v>
      </c>
      <c r="W196" s="197">
        <f t="shared" si="513"/>
        <v>350</v>
      </c>
      <c r="X196" s="443">
        <f t="shared" si="597"/>
        <v>198.29855888229784</v>
      </c>
      <c r="Z196" s="217">
        <f t="shared" si="514"/>
        <v>6.9142536241813577</v>
      </c>
      <c r="AA196" s="173">
        <f t="shared" si="515"/>
        <v>1.1292190425443898</v>
      </c>
      <c r="AB196" s="173">
        <f t="shared" si="516"/>
        <v>1.2341214064933883</v>
      </c>
      <c r="AC196" s="173"/>
      <c r="AD196" s="173">
        <f t="shared" si="517"/>
        <v>0.54439187217313401</v>
      </c>
      <c r="AE196" s="545">
        <f t="shared" si="518"/>
        <v>2369.6165683931054</v>
      </c>
      <c r="AF196" s="528">
        <f t="shared" si="519"/>
        <v>0.31756192543432826</v>
      </c>
      <c r="AH196" s="173">
        <f t="shared" si="520"/>
        <v>9.0018572889407622</v>
      </c>
      <c r="AI196" s="173">
        <f t="shared" si="521"/>
        <v>11.719766015966794</v>
      </c>
      <c r="AJ196" s="173">
        <f t="shared" si="522"/>
        <v>7.4121723575062664</v>
      </c>
      <c r="AL196" s="545">
        <f t="shared" si="523"/>
        <v>2150</v>
      </c>
      <c r="AM196" s="460">
        <f t="shared" si="524"/>
        <v>198.29855888229784</v>
      </c>
      <c r="AO196">
        <f t="shared" si="525"/>
        <v>2150</v>
      </c>
      <c r="AP196">
        <f t="shared" si="526"/>
        <v>198.29855888229784</v>
      </c>
      <c r="AR196" s="5">
        <f t="shared" si="442"/>
        <v>5.0429009955314914</v>
      </c>
      <c r="AS196" s="5">
        <f t="shared" si="602"/>
        <v>2.9288573866725218</v>
      </c>
      <c r="AT196" s="5">
        <f t="shared" si="603"/>
        <v>2.1140436088589696</v>
      </c>
      <c r="AU196" s="173">
        <f t="shared" si="604"/>
        <v>0.58078819894893419</v>
      </c>
      <c r="AW196" s="5">
        <f t="shared" si="475"/>
        <v>22.489440647664004</v>
      </c>
      <c r="AX196" s="5">
        <f t="shared" si="476"/>
        <v>2.0990144604486405</v>
      </c>
      <c r="AY196" s="5">
        <f t="shared" si="477"/>
        <v>4.8335233796951345</v>
      </c>
      <c r="AZ196" s="5"/>
      <c r="BA196" s="173">
        <f t="shared" si="478"/>
        <v>5.156644658290622</v>
      </c>
      <c r="BB196" s="173">
        <f t="shared" si="479"/>
        <v>4.381018263424556</v>
      </c>
      <c r="BC196" s="173">
        <f t="shared" si="480"/>
        <v>0.44169282491903317</v>
      </c>
      <c r="BD196" s="173"/>
      <c r="BE196" s="528">
        <f t="shared" si="481"/>
        <v>0.31909180958252648</v>
      </c>
      <c r="BF196" s="528">
        <f t="shared" si="527"/>
        <v>2.0182441580879473</v>
      </c>
      <c r="BG196" s="528">
        <f t="shared" si="482"/>
        <v>2.2804334271464256E-2</v>
      </c>
      <c r="BH196" s="528">
        <f t="shared" si="483"/>
        <v>0.22114160899276633</v>
      </c>
      <c r="BI196">
        <f t="shared" si="484"/>
        <v>8.4631314711880352E-3</v>
      </c>
      <c r="BJ196" s="460">
        <f t="shared" si="598"/>
        <v>31.267465742652295</v>
      </c>
      <c r="BK196">
        <f t="shared" si="528"/>
        <v>2.8615870622154862</v>
      </c>
      <c r="BL196" s="460">
        <f t="shared" si="599"/>
        <v>2589.7450424058925</v>
      </c>
      <c r="BM196" s="173">
        <f t="shared" si="529"/>
        <v>1.4417899999999999</v>
      </c>
      <c r="BN196" s="173">
        <f t="shared" si="530"/>
        <v>0.144179</v>
      </c>
      <c r="BO196" s="528"/>
      <c r="BQ196" s="460">
        <f t="shared" si="485"/>
        <v>1585.9690000000001</v>
      </c>
      <c r="BR196" s="528">
        <f t="shared" si="486"/>
        <v>0.37227377784628091</v>
      </c>
      <c r="BS196" s="528">
        <f t="shared" si="487"/>
        <v>0.26870649434243316</v>
      </c>
      <c r="BT196" s="528">
        <f t="shared" si="488"/>
        <v>9.7546275792477846E-4</v>
      </c>
      <c r="BU196" s="528">
        <f t="shared" si="489"/>
        <v>13.018659017537608</v>
      </c>
      <c r="BV196" s="528"/>
      <c r="BW196" s="625">
        <f t="shared" si="531"/>
        <v>2.7236885195786797</v>
      </c>
      <c r="BX196" s="460">
        <f t="shared" si="605"/>
        <v>16384.303272062927</v>
      </c>
      <c r="BY196" s="173">
        <f t="shared" si="606"/>
        <v>20.560017314468819</v>
      </c>
      <c r="BZ196" s="5">
        <f t="shared" si="607"/>
        <v>66.649999999999991</v>
      </c>
      <c r="CA196" s="173">
        <f t="shared" si="608"/>
        <v>0.76424706762375838</v>
      </c>
      <c r="CB196" s="5">
        <f t="shared" si="609"/>
        <v>76.424706762375834</v>
      </c>
      <c r="CC196">
        <f t="shared" si="610"/>
        <v>86</v>
      </c>
      <c r="CE196" s="562">
        <f t="shared" si="532"/>
        <v>-50</v>
      </c>
      <c r="CF196">
        <f t="shared" si="533"/>
        <v>-50</v>
      </c>
      <c r="CG196" s="173">
        <f t="shared" si="534"/>
        <v>0.38447255346461451</v>
      </c>
      <c r="CH196" s="173">
        <f t="shared" si="535"/>
        <v>0.12467877742130105</v>
      </c>
      <c r="CI196" s="170">
        <v>86</v>
      </c>
      <c r="CJ196" s="217">
        <f t="shared" si="600"/>
        <v>2.15</v>
      </c>
      <c r="CK196" s="217">
        <f t="shared" si="536"/>
        <v>0.215</v>
      </c>
      <c r="CL196" s="217">
        <f t="shared" si="537"/>
        <v>60.199999999999996</v>
      </c>
      <c r="CM196" s="217">
        <f t="shared" si="538"/>
        <v>6.45</v>
      </c>
      <c r="CN196" s="541">
        <f t="shared" si="539"/>
        <v>19</v>
      </c>
      <c r="CO196" s="443">
        <f t="shared" si="540"/>
        <v>28.7</v>
      </c>
      <c r="CP196" s="443">
        <f t="shared" si="541"/>
        <v>47.7</v>
      </c>
      <c r="CQ196" s="443"/>
      <c r="CR196" s="217">
        <f t="shared" si="542"/>
        <v>0.59915611814345993</v>
      </c>
      <c r="CS196" s="172">
        <f t="shared" si="543"/>
        <v>85.685767433419556</v>
      </c>
      <c r="CT196" s="172">
        <f t="shared" si="544"/>
        <v>10.164255575647982</v>
      </c>
      <c r="CU196" s="217">
        <f t="shared" si="545"/>
        <v>3.0602059797649841</v>
      </c>
      <c r="CV196" s="217">
        <f t="shared" si="546"/>
        <v>2.8561922477806521</v>
      </c>
      <c r="CW196" s="217">
        <f t="shared" si="547"/>
        <v>28</v>
      </c>
      <c r="CX196" s="217">
        <f t="shared" si="548"/>
        <v>11.709451445515194</v>
      </c>
      <c r="CY196" s="217">
        <f t="shared" si="549"/>
        <v>2.8965485154695481</v>
      </c>
      <c r="CZ196" s="217">
        <f t="shared" si="550"/>
        <v>1.9175756722620703</v>
      </c>
      <c r="DA196" s="197">
        <f t="shared" si="551"/>
        <v>350</v>
      </c>
      <c r="DB196" s="443">
        <f t="shared" si="552"/>
        <v>207.7221029213193</v>
      </c>
      <c r="DD196" s="217">
        <f t="shared" si="553"/>
        <v>6.9494625094785683</v>
      </c>
      <c r="DE196" s="173">
        <f t="shared" si="554"/>
        <v>1.1380652890086853</v>
      </c>
      <c r="DF196" s="173">
        <f t="shared" si="555"/>
        <v>1.2501230996965573</v>
      </c>
      <c r="DG196" s="173"/>
      <c r="DH196" s="173">
        <f t="shared" si="556"/>
        <v>0.54587688734030204</v>
      </c>
      <c r="DI196" s="545">
        <f t="shared" si="557"/>
        <v>2363.1702127659573</v>
      </c>
      <c r="DJ196" s="528">
        <f t="shared" si="558"/>
        <v>0.31842818428184283</v>
      </c>
      <c r="DL196" s="173">
        <f t="shared" si="559"/>
        <v>9.0018572889407622</v>
      </c>
      <c r="DM196" s="173">
        <f t="shared" si="560"/>
        <v>11.709451445515194</v>
      </c>
      <c r="DN196" s="173">
        <f t="shared" si="561"/>
        <v>7.4045319349495262</v>
      </c>
      <c r="DP196" s="545">
        <f t="shared" si="562"/>
        <v>2150</v>
      </c>
      <c r="DQ196" s="460">
        <f t="shared" si="563"/>
        <v>207.7221029213193</v>
      </c>
      <c r="DS196">
        <f t="shared" si="612"/>
        <v>2150</v>
      </c>
      <c r="DT196">
        <f t="shared" si="613"/>
        <v>207.7221029213193</v>
      </c>
      <c r="DV196" s="5">
        <f t="shared" si="566"/>
        <v>4.8141241877316192</v>
      </c>
      <c r="DW196" s="5">
        <f t="shared" si="567"/>
        <v>2.8965485154695481</v>
      </c>
      <c r="DX196" s="5">
        <f t="shared" si="568"/>
        <v>1.9175756722620712</v>
      </c>
      <c r="DY196" s="173">
        <f t="shared" si="569"/>
        <v>0.60167714884696</v>
      </c>
      <c r="EA196" s="5">
        <f t="shared" si="570"/>
        <v>22.241354672355456</v>
      </c>
      <c r="EB196" s="5">
        <f t="shared" si="571"/>
        <v>2.0758597694198428</v>
      </c>
      <c r="EC196" s="5">
        <f t="shared" si="572"/>
        <v>4.3397765214352129</v>
      </c>
      <c r="ED196" s="5"/>
      <c r="EE196" s="173">
        <f t="shared" si="573"/>
        <v>5.2439396091444026</v>
      </c>
      <c r="EF196" s="173">
        <f t="shared" si="574"/>
        <v>4.2667140081416752</v>
      </c>
      <c r="EG196" s="173">
        <f t="shared" si="575"/>
        <v>0.43016870737821811</v>
      </c>
      <c r="EH196" s="173"/>
      <c r="EI196" s="528">
        <f t="shared" si="576"/>
        <v>0.32998683149224262</v>
      </c>
      <c r="EJ196" s="528">
        <f t="shared" si="577"/>
        <v>2.2044042553191487</v>
      </c>
      <c r="EK196" s="528">
        <f t="shared" si="578"/>
        <v>2.388804183595172E-2</v>
      </c>
      <c r="EL196" s="528">
        <f t="shared" si="579"/>
        <v>0.2327693016012555</v>
      </c>
      <c r="EM196">
        <f t="shared" si="580"/>
        <v>8.5500000000000003E-3</v>
      </c>
      <c r="EN196" s="460">
        <f t="shared" si="581"/>
        <v>32.438041835951715</v>
      </c>
      <c r="EP196" s="460">
        <f t="shared" si="601"/>
        <v>2799.5984302485981</v>
      </c>
      <c r="EQ196" s="173">
        <f t="shared" si="582"/>
        <v>1.5049999999999999</v>
      </c>
      <c r="ER196" s="173">
        <f t="shared" si="583"/>
        <v>0.10298499999999999</v>
      </c>
      <c r="ES196" s="528"/>
      <c r="EU196" s="460">
        <f t="shared" si="496"/>
        <v>1607.9849999999997</v>
      </c>
      <c r="EV196" s="528">
        <f t="shared" si="584"/>
        <v>0.38498463674094974</v>
      </c>
      <c r="EW196" s="528">
        <f t="shared" si="585"/>
        <v>0.2548678779818136</v>
      </c>
      <c r="EX196" s="528">
        <f t="shared" si="586"/>
        <v>9.2522558403723525E-4</v>
      </c>
      <c r="EY196" s="528">
        <f t="shared" si="587"/>
        <v>14.588752487337148</v>
      </c>
      <c r="EZ196" s="528"/>
      <c r="FA196" s="625">
        <f t="shared" si="588"/>
        <v>2.8481037839508607</v>
      </c>
      <c r="FB196" s="460">
        <f t="shared" si="611"/>
        <v>18077.634011594811</v>
      </c>
      <c r="FC196" s="173">
        <f t="shared" si="589"/>
        <v>22.48521744184341</v>
      </c>
      <c r="FD196" s="5">
        <f t="shared" si="590"/>
        <v>66.649999999999991</v>
      </c>
      <c r="FE196" s="173">
        <f t="shared" si="591"/>
        <v>0.74774036472717453</v>
      </c>
      <c r="FF196" s="5">
        <f t="shared" si="592"/>
        <v>74.774036472717455</v>
      </c>
      <c r="FG196">
        <f t="shared" si="593"/>
        <v>86</v>
      </c>
      <c r="FI196" s="562">
        <f t="shared" si="594"/>
        <v>-50</v>
      </c>
      <c r="FJ196">
        <f t="shared" si="595"/>
        <v>-50</v>
      </c>
    </row>
    <row r="197" spans="5:166">
      <c r="E197" s="170">
        <v>87</v>
      </c>
      <c r="F197" s="217">
        <f t="shared" si="596"/>
        <v>2.1749999999999998</v>
      </c>
      <c r="G197" s="217">
        <f t="shared" si="498"/>
        <v>0.2175</v>
      </c>
      <c r="H197" s="217">
        <f t="shared" si="499"/>
        <v>60.899999999999991</v>
      </c>
      <c r="I197" s="217">
        <f t="shared" si="500"/>
        <v>6.5250000000000004</v>
      </c>
      <c r="J197" s="541">
        <f t="shared" si="501"/>
        <v>18.804714160035122</v>
      </c>
      <c r="K197" s="443">
        <f t="shared" si="502"/>
        <v>28.779199411572048</v>
      </c>
      <c r="L197" s="172">
        <f t="shared" si="503"/>
        <v>47.58391357160717</v>
      </c>
      <c r="M197" s="443"/>
      <c r="N197" s="217">
        <f t="shared" si="504"/>
        <v>0.60480942510672975</v>
      </c>
      <c r="O197" s="172">
        <f t="shared" si="505"/>
        <v>85.605245723645766</v>
      </c>
      <c r="P197" s="172">
        <f t="shared" si="506"/>
        <v>10.154703893238592</v>
      </c>
      <c r="Q197" s="217">
        <f t="shared" si="507"/>
        <v>3.0573302044159201</v>
      </c>
      <c r="R197" s="217">
        <f t="shared" si="508"/>
        <v>2.8535081907881921</v>
      </c>
      <c r="S197" s="217">
        <f t="shared" si="509"/>
        <v>28</v>
      </c>
      <c r="T197" s="217">
        <f t="shared" si="510"/>
        <v>11.856750032313009</v>
      </c>
      <c r="U197" s="217">
        <f t="shared" si="511"/>
        <v>2.9634444149278716</v>
      </c>
      <c r="V197" s="217">
        <f t="shared" si="512"/>
        <v>1.9363542520735846</v>
      </c>
      <c r="W197" s="197">
        <f t="shared" si="513"/>
        <v>350</v>
      </c>
      <c r="X197" s="443">
        <f t="shared" si="597"/>
        <v>196.08617227785052</v>
      </c>
      <c r="Z197" s="217">
        <f t="shared" si="514"/>
        <v>6.9138409485879775</v>
      </c>
      <c r="AA197" s="173">
        <f t="shared" si="515"/>
        <v>1.1291159282664864</v>
      </c>
      <c r="AB197" s="173">
        <f t="shared" si="516"/>
        <v>1.2339350615710845</v>
      </c>
      <c r="AC197" s="173"/>
      <c r="AD197" s="173">
        <f t="shared" si="517"/>
        <v>0.54437465207482927</v>
      </c>
      <c r="AE197" s="545">
        <f t="shared" si="518"/>
        <v>2397.2460786447782</v>
      </c>
      <c r="AF197" s="528">
        <f t="shared" si="519"/>
        <v>0.31755188037698379</v>
      </c>
      <c r="AH197" s="173">
        <f t="shared" si="520"/>
        <v>9.0540424060514262</v>
      </c>
      <c r="AI197" s="173">
        <f t="shared" si="521"/>
        <v>11.856750032313009</v>
      </c>
      <c r="AJ197" s="173">
        <f t="shared" si="522"/>
        <v>7.5136419992442045</v>
      </c>
      <c r="AL197" s="545">
        <f t="shared" si="523"/>
        <v>2175</v>
      </c>
      <c r="AM197" s="460">
        <f t="shared" si="524"/>
        <v>196.08617227785052</v>
      </c>
      <c r="AO197">
        <f t="shared" si="525"/>
        <v>2175</v>
      </c>
      <c r="AP197">
        <f t="shared" si="526"/>
        <v>196.08617227785052</v>
      </c>
      <c r="AR197" s="5">
        <f t="shared" si="442"/>
        <v>5.0997986670014566</v>
      </c>
      <c r="AS197" s="5">
        <f t="shared" si="602"/>
        <v>2.9634444149278716</v>
      </c>
      <c r="AT197" s="5">
        <f t="shared" si="603"/>
        <v>2.136354252073585</v>
      </c>
      <c r="AU197" s="173">
        <f t="shared" si="604"/>
        <v>0.58109047208138054</v>
      </c>
      <c r="AW197" s="5">
        <f t="shared" si="475"/>
        <v>23.019612865957573</v>
      </c>
      <c r="AX197" s="5">
        <f t="shared" si="476"/>
        <v>2.1484972008227072</v>
      </c>
      <c r="AY197" s="5">
        <f t="shared" si="477"/>
        <v>4.9419209020844459</v>
      </c>
      <c r="AZ197" s="5"/>
      <c r="BA197" s="173">
        <f t="shared" si="478"/>
        <v>5.2182744173822035</v>
      </c>
      <c r="BB197" s="173">
        <f t="shared" si="479"/>
        <v>4.4306266540764412</v>
      </c>
      <c r="BC197" s="173">
        <f t="shared" si="480"/>
        <v>0.44669432659951008</v>
      </c>
      <c r="BD197" s="173"/>
      <c r="BE197" s="528">
        <f t="shared" si="481"/>
        <v>0.32676465474126692</v>
      </c>
      <c r="BF197" s="528">
        <f t="shared" si="527"/>
        <v>2.018996935470724</v>
      </c>
      <c r="BG197" s="528">
        <f t="shared" si="482"/>
        <v>2.2549909811952814E-2</v>
      </c>
      <c r="BH197" s="528">
        <f t="shared" si="483"/>
        <v>0.21866210256096874</v>
      </c>
      <c r="BI197">
        <f t="shared" si="484"/>
        <v>8.4621213720158048E-3</v>
      </c>
      <c r="BJ197" s="460">
        <f t="shared" si="598"/>
        <v>31.01203118396862</v>
      </c>
      <c r="BK197">
        <f t="shared" si="528"/>
        <v>2.8759357350004038</v>
      </c>
      <c r="BL197" s="460">
        <f t="shared" si="599"/>
        <v>2595.4357239569281</v>
      </c>
      <c r="BM197" s="173">
        <f t="shared" si="529"/>
        <v>1.4585549999999996</v>
      </c>
      <c r="BN197" s="173">
        <f t="shared" si="530"/>
        <v>0.1458555</v>
      </c>
      <c r="BO197" s="528"/>
      <c r="BQ197" s="460">
        <f t="shared" si="485"/>
        <v>1604.4104999999995</v>
      </c>
      <c r="BR197" s="528">
        <f t="shared" si="486"/>
        <v>0.38122543053147806</v>
      </c>
      <c r="BS197" s="528">
        <f t="shared" si="487"/>
        <v>0.27482633566937636</v>
      </c>
      <c r="BT197" s="528">
        <f t="shared" si="488"/>
        <v>9.9767910708094894E-4</v>
      </c>
      <c r="BU197" s="528">
        <f t="shared" si="489"/>
        <v>13.031715395630272</v>
      </c>
      <c r="BV197" s="528"/>
      <c r="BW197" s="625">
        <f t="shared" si="531"/>
        <v>2.7566288496524765</v>
      </c>
      <c r="BX197" s="460">
        <f t="shared" si="605"/>
        <v>16445.393690590685</v>
      </c>
      <c r="BY197" s="173">
        <f t="shared" si="606"/>
        <v>20.645239914547609</v>
      </c>
      <c r="BZ197" s="5">
        <f t="shared" si="607"/>
        <v>67.424999999999997</v>
      </c>
      <c r="CA197" s="173">
        <f t="shared" si="608"/>
        <v>0.76558210884199718</v>
      </c>
      <c r="CB197" s="5">
        <f t="shared" si="609"/>
        <v>76.558210884199724</v>
      </c>
      <c r="CC197">
        <f t="shared" si="610"/>
        <v>86.999999999999986</v>
      </c>
      <c r="CE197" s="562">
        <f t="shared" si="532"/>
        <v>-50</v>
      </c>
      <c r="CF197">
        <f t="shared" si="533"/>
        <v>-50</v>
      </c>
      <c r="CG197" s="173">
        <f t="shared" si="534"/>
        <v>0.38447255346461445</v>
      </c>
      <c r="CH197" s="173">
        <f t="shared" si="535"/>
        <v>0.12467877742130107</v>
      </c>
      <c r="CI197" s="170">
        <v>87</v>
      </c>
      <c r="CJ197" s="217">
        <f t="shared" si="600"/>
        <v>2.1749999999999998</v>
      </c>
      <c r="CK197" s="217">
        <f t="shared" si="536"/>
        <v>0.2175</v>
      </c>
      <c r="CL197" s="217">
        <f t="shared" si="537"/>
        <v>60.899999999999991</v>
      </c>
      <c r="CM197" s="217">
        <f t="shared" si="538"/>
        <v>6.5250000000000004</v>
      </c>
      <c r="CN197" s="541">
        <f t="shared" si="539"/>
        <v>19</v>
      </c>
      <c r="CO197" s="443">
        <f t="shared" si="540"/>
        <v>28.7</v>
      </c>
      <c r="CP197" s="443">
        <f t="shared" si="541"/>
        <v>47.7</v>
      </c>
      <c r="CQ197" s="443"/>
      <c r="CR197" s="217">
        <f t="shared" si="542"/>
        <v>0.59915611814345993</v>
      </c>
      <c r="CS197" s="172">
        <f t="shared" si="543"/>
        <v>85.685767433419556</v>
      </c>
      <c r="CT197" s="172">
        <f t="shared" si="544"/>
        <v>10.164255575647982</v>
      </c>
      <c r="CU197" s="217">
        <f t="shared" si="545"/>
        <v>3.0602059797649841</v>
      </c>
      <c r="CV197" s="217">
        <f t="shared" si="546"/>
        <v>2.8561922477806521</v>
      </c>
      <c r="CW197" s="217">
        <f t="shared" si="547"/>
        <v>28</v>
      </c>
      <c r="CX197" s="217">
        <f t="shared" si="548"/>
        <v>11.845607857672348</v>
      </c>
      <c r="CY197" s="217">
        <f t="shared" si="549"/>
        <v>2.9302293121610545</v>
      </c>
      <c r="CZ197" s="217">
        <f t="shared" si="550"/>
        <v>1.939873063800001</v>
      </c>
      <c r="DA197" s="197">
        <f t="shared" si="551"/>
        <v>350</v>
      </c>
      <c r="DB197" s="443">
        <f t="shared" si="552"/>
        <v>205.33449254291335</v>
      </c>
      <c r="DD197" s="217">
        <f t="shared" si="553"/>
        <v>6.9494625094785683</v>
      </c>
      <c r="DE197" s="173">
        <f t="shared" si="554"/>
        <v>1.1380652890086853</v>
      </c>
      <c r="DF197" s="173">
        <f t="shared" si="555"/>
        <v>1.2501230996965573</v>
      </c>
      <c r="DG197" s="173"/>
      <c r="DH197" s="173">
        <f t="shared" si="556"/>
        <v>0.54587688734030204</v>
      </c>
      <c r="DI197" s="545">
        <f t="shared" si="557"/>
        <v>2390.6489361702124</v>
      </c>
      <c r="DJ197" s="528">
        <f t="shared" si="558"/>
        <v>0.31842818428184283</v>
      </c>
      <c r="DL197" s="173">
        <f t="shared" si="559"/>
        <v>9.0540424060514262</v>
      </c>
      <c r="DM197" s="173">
        <f t="shared" si="560"/>
        <v>11.845607857672348</v>
      </c>
      <c r="DN197" s="173">
        <f t="shared" si="561"/>
        <v>7.5053885365474189</v>
      </c>
      <c r="DP197" s="545">
        <f t="shared" si="562"/>
        <v>2175</v>
      </c>
      <c r="DQ197" s="460">
        <f t="shared" si="563"/>
        <v>205.33449254291335</v>
      </c>
      <c r="DS197">
        <f t="shared" si="612"/>
        <v>2175</v>
      </c>
      <c r="DT197">
        <f t="shared" si="613"/>
        <v>205.33449254291335</v>
      </c>
      <c r="DV197" s="5">
        <f t="shared" si="566"/>
        <v>4.8701023759610562</v>
      </c>
      <c r="DW197" s="5">
        <f t="shared" si="567"/>
        <v>2.9302293121610545</v>
      </c>
      <c r="DX197" s="5">
        <f t="shared" si="568"/>
        <v>1.9398730638000017</v>
      </c>
      <c r="DY197" s="173">
        <f t="shared" si="569"/>
        <v>0.60167714884696011</v>
      </c>
      <c r="EA197" s="5">
        <f t="shared" si="570"/>
        <v>22.761602692679617</v>
      </c>
      <c r="EB197" s="5">
        <f t="shared" si="571"/>
        <v>2.1244162513167644</v>
      </c>
      <c r="EC197" s="5">
        <f t="shared" si="572"/>
        <v>4.4412883302789501</v>
      </c>
      <c r="ED197" s="5"/>
      <c r="EE197" s="173">
        <f t="shared" si="573"/>
        <v>5.304915651111199</v>
      </c>
      <c r="EF197" s="173">
        <f t="shared" si="574"/>
        <v>4.3163269617247177</v>
      </c>
      <c r="EG197" s="173">
        <f t="shared" si="575"/>
        <v>0.43517066909191826</v>
      </c>
      <c r="EH197" s="173"/>
      <c r="EI197" s="528">
        <f t="shared" si="576"/>
        <v>0.3377055607848547</v>
      </c>
      <c r="EJ197" s="528">
        <f t="shared" si="577"/>
        <v>2.2044042553191496</v>
      </c>
      <c r="EK197" s="528">
        <f t="shared" si="578"/>
        <v>2.3613466642435035E-2</v>
      </c>
      <c r="EL197" s="528">
        <f t="shared" si="579"/>
        <v>0.23009379238744795</v>
      </c>
      <c r="EM197">
        <f t="shared" si="580"/>
        <v>8.5500000000000003E-3</v>
      </c>
      <c r="EN197" s="460">
        <f t="shared" si="581"/>
        <v>32.16346664243504</v>
      </c>
      <c r="EP197" s="460">
        <f t="shared" si="601"/>
        <v>2804.3670751338873</v>
      </c>
      <c r="EQ197" s="173">
        <f t="shared" si="582"/>
        <v>1.5224999999999997</v>
      </c>
      <c r="ER197" s="173">
        <f t="shared" si="583"/>
        <v>0.1041825</v>
      </c>
      <c r="ES197" s="528"/>
      <c r="EU197" s="460">
        <f t="shared" si="496"/>
        <v>1626.6824999999999</v>
      </c>
      <c r="EV197" s="528">
        <f t="shared" si="584"/>
        <v>0.39398982091566381</v>
      </c>
      <c r="EW197" s="528">
        <f t="shared" si="585"/>
        <v>0.26082949816716428</v>
      </c>
      <c r="EX197" s="528">
        <f t="shared" si="586"/>
        <v>9.4686755618953919E-4</v>
      </c>
      <c r="EY197" s="528">
        <f t="shared" si="587"/>
        <v>14.588752487337148</v>
      </c>
      <c r="EZ197" s="528"/>
      <c r="FA197" s="625">
        <f t="shared" si="588"/>
        <v>2.8812212698107555</v>
      </c>
      <c r="FB197" s="460">
        <f t="shared" si="611"/>
        <v>18125.739943786921</v>
      </c>
      <c r="FC197" s="173">
        <f t="shared" si="589"/>
        <v>22.556789518920809</v>
      </c>
      <c r="FD197" s="5">
        <f t="shared" si="590"/>
        <v>67.424999999999997</v>
      </c>
      <c r="FE197" s="173">
        <f t="shared" si="591"/>
        <v>0.74931828273788992</v>
      </c>
      <c r="FF197" s="5">
        <f t="shared" si="592"/>
        <v>74.931828273788994</v>
      </c>
      <c r="FG197">
        <f t="shared" si="593"/>
        <v>86.999999999999986</v>
      </c>
      <c r="FI197" s="562">
        <f t="shared" si="594"/>
        <v>-50</v>
      </c>
      <c r="FJ197">
        <f t="shared" si="595"/>
        <v>-50</v>
      </c>
    </row>
    <row r="198" spans="5:166">
      <c r="E198" s="170">
        <v>88</v>
      </c>
      <c r="F198" s="217">
        <f t="shared" si="596"/>
        <v>2.2000000000000002</v>
      </c>
      <c r="G198" s="217">
        <f t="shared" si="498"/>
        <v>0.22</v>
      </c>
      <c r="H198" s="217">
        <f t="shared" si="499"/>
        <v>61.600000000000009</v>
      </c>
      <c r="I198" s="217">
        <f t="shared" si="500"/>
        <v>6.6</v>
      </c>
      <c r="J198" s="541">
        <f t="shared" si="501"/>
        <v>18.802469495207937</v>
      </c>
      <c r="K198" s="443">
        <f t="shared" si="502"/>
        <v>28.780109749636093</v>
      </c>
      <c r="L198" s="172">
        <f t="shared" si="503"/>
        <v>47.582579244844027</v>
      </c>
      <c r="M198" s="443"/>
      <c r="N198" s="217">
        <f t="shared" si="504"/>
        <v>0.60484551712809176</v>
      </c>
      <c r="O198" s="172">
        <f t="shared" si="505"/>
        <v>85.600135156773675</v>
      </c>
      <c r="P198" s="172">
        <f t="shared" si="506"/>
        <v>10.154097665280551</v>
      </c>
      <c r="Q198" s="217">
        <f t="shared" si="507"/>
        <v>3.0571476841704883</v>
      </c>
      <c r="R198" s="217">
        <f t="shared" si="508"/>
        <v>2.8533378385591224</v>
      </c>
      <c r="S198" s="217">
        <f t="shared" si="509"/>
        <v>28</v>
      </c>
      <c r="T198" s="217">
        <f t="shared" si="510"/>
        <v>11.99375053306122</v>
      </c>
      <c r="U198" s="217">
        <f t="shared" si="511"/>
        <v>2.9980438218370495</v>
      </c>
      <c r="V198" s="217">
        <f t="shared" si="512"/>
        <v>1.958666175902978</v>
      </c>
      <c r="W198" s="197">
        <f t="shared" si="513"/>
        <v>350</v>
      </c>
      <c r="X198" s="443">
        <f t="shared" si="597"/>
        <v>193.92209382304969</v>
      </c>
      <c r="Z198" s="217">
        <f t="shared" si="514"/>
        <v>6.9134281976378213</v>
      </c>
      <c r="AA198" s="173">
        <f t="shared" si="515"/>
        <v>1.1290128082054522</v>
      </c>
      <c r="AB198" s="173">
        <f t="shared" si="516"/>
        <v>1.2337487103333868</v>
      </c>
      <c r="AC198" s="173"/>
      <c r="AD198" s="173">
        <f t="shared" si="517"/>
        <v>0.5443574330658959</v>
      </c>
      <c r="AE198" s="545">
        <f t="shared" si="518"/>
        <v>2424.8773320969985</v>
      </c>
      <c r="AF198" s="528">
        <f t="shared" si="519"/>
        <v>0.31754183595510593</v>
      </c>
      <c r="AH198" s="173">
        <f t="shared" si="520"/>
        <v>9.1059284606622679</v>
      </c>
      <c r="AI198" s="173">
        <f t="shared" si="521"/>
        <v>11.99375053306122</v>
      </c>
      <c r="AJ198" s="173">
        <f t="shared" si="522"/>
        <v>7.6151238516502859</v>
      </c>
      <c r="AL198" s="545">
        <f t="shared" si="523"/>
        <v>2200</v>
      </c>
      <c r="AM198" s="460">
        <f t="shared" si="524"/>
        <v>193.92209382304969</v>
      </c>
      <c r="AO198">
        <f t="shared" si="525"/>
        <v>2200</v>
      </c>
      <c r="AP198">
        <f t="shared" si="526"/>
        <v>193.92209382304969</v>
      </c>
      <c r="AR198" s="5">
        <f t="shared" ref="AR198:AR262" si="614">1/AM198*1000</f>
        <v>5.1567099977400277</v>
      </c>
      <c r="AS198" s="5">
        <f t="shared" si="602"/>
        <v>2.9980438218370495</v>
      </c>
      <c r="AT198" s="5">
        <f t="shared" si="603"/>
        <v>2.1586661759029782</v>
      </c>
      <c r="AU198" s="173">
        <f t="shared" si="604"/>
        <v>0.58138693530389873</v>
      </c>
      <c r="AW198" s="5">
        <f t="shared" si="475"/>
        <v>23.556058600148248</v>
      </c>
      <c r="AX198" s="5">
        <f t="shared" si="476"/>
        <v>2.1985654693471695</v>
      </c>
      <c r="AY198" s="5">
        <f t="shared" si="477"/>
        <v>5.0515338830326684</v>
      </c>
      <c r="AZ198" s="5"/>
      <c r="BA198" s="173">
        <f t="shared" si="478"/>
        <v>5.2799160595592527</v>
      </c>
      <c r="BB198" s="173">
        <f t="shared" si="479"/>
        <v>4.4802347803558682</v>
      </c>
      <c r="BC198" s="173">
        <f t="shared" si="480"/>
        <v>0.45169580162604239</v>
      </c>
      <c r="BD198" s="173"/>
      <c r="BE198" s="528">
        <f t="shared" si="481"/>
        <v>0.33453016315190048</v>
      </c>
      <c r="BF198" s="528">
        <f t="shared" si="527"/>
        <v>2.0197292332012204</v>
      </c>
      <c r="BG198" s="528">
        <f t="shared" si="482"/>
        <v>2.2301040789650714E-2</v>
      </c>
      <c r="BH198" s="528">
        <f t="shared" si="483"/>
        <v>0.21623674017497221</v>
      </c>
      <c r="BI198">
        <f t="shared" si="484"/>
        <v>8.461111272843571E-3</v>
      </c>
      <c r="BJ198" s="460">
        <f t="shared" si="598"/>
        <v>30.762152062494284</v>
      </c>
      <c r="BK198">
        <f t="shared" si="528"/>
        <v>2.8905747871198919</v>
      </c>
      <c r="BL198" s="460">
        <f t="shared" si="599"/>
        <v>2601.2582885905877</v>
      </c>
      <c r="BM198" s="173">
        <f t="shared" si="529"/>
        <v>1.47532</v>
      </c>
      <c r="BN198" s="173">
        <f t="shared" si="530"/>
        <v>0.147532</v>
      </c>
      <c r="BO198" s="528"/>
      <c r="BQ198" s="460">
        <f t="shared" si="485"/>
        <v>1622.8519999999999</v>
      </c>
      <c r="BR198" s="528">
        <f t="shared" si="486"/>
        <v>0.39028519034388387</v>
      </c>
      <c r="BS198" s="528">
        <f t="shared" si="487"/>
        <v>0.28101505161954554</v>
      </c>
      <c r="BT198" s="528">
        <f t="shared" si="488"/>
        <v>1.0201454860329653E-3</v>
      </c>
      <c r="BU198" s="528">
        <f t="shared" si="489"/>
        <v>13.044449687199034</v>
      </c>
      <c r="BV198" s="528"/>
      <c r="BW198" s="625">
        <f t="shared" si="531"/>
        <v>2.7895703251171744</v>
      </c>
      <c r="BX198" s="460">
        <f t="shared" si="605"/>
        <v>16506.340399765668</v>
      </c>
      <c r="BY198" s="173">
        <f t="shared" si="606"/>
        <v>20.730450688356257</v>
      </c>
      <c r="BZ198" s="5">
        <f t="shared" si="607"/>
        <v>68.2</v>
      </c>
      <c r="CA198" s="173">
        <f t="shared" si="608"/>
        <v>0.76689142438957059</v>
      </c>
      <c r="CB198" s="5">
        <f t="shared" si="609"/>
        <v>76.689142438957063</v>
      </c>
      <c r="CC198">
        <f t="shared" si="610"/>
        <v>88.000000000000014</v>
      </c>
      <c r="CE198" s="562">
        <f t="shared" si="532"/>
        <v>-50</v>
      </c>
      <c r="CF198">
        <f t="shared" si="533"/>
        <v>-50</v>
      </c>
      <c r="CG198" s="173">
        <f t="shared" si="534"/>
        <v>0.38447255346461451</v>
      </c>
      <c r="CH198" s="173">
        <f t="shared" si="535"/>
        <v>0.12467877742130107</v>
      </c>
      <c r="CI198" s="170">
        <v>88</v>
      </c>
      <c r="CJ198" s="217">
        <f t="shared" si="600"/>
        <v>2.2000000000000002</v>
      </c>
      <c r="CK198" s="217">
        <f t="shared" si="536"/>
        <v>0.22</v>
      </c>
      <c r="CL198" s="217">
        <f t="shared" si="537"/>
        <v>61.600000000000009</v>
      </c>
      <c r="CM198" s="217">
        <f t="shared" si="538"/>
        <v>6.6</v>
      </c>
      <c r="CN198" s="541">
        <f t="shared" si="539"/>
        <v>19</v>
      </c>
      <c r="CO198" s="443">
        <f t="shared" si="540"/>
        <v>28.7</v>
      </c>
      <c r="CP198" s="443">
        <f t="shared" si="541"/>
        <v>47.7</v>
      </c>
      <c r="CQ198" s="443"/>
      <c r="CR198" s="217">
        <f t="shared" si="542"/>
        <v>0.59915611814345993</v>
      </c>
      <c r="CS198" s="172">
        <f t="shared" si="543"/>
        <v>85.685767433419556</v>
      </c>
      <c r="CT198" s="172">
        <f t="shared" si="544"/>
        <v>10.164255575647982</v>
      </c>
      <c r="CU198" s="217">
        <f t="shared" si="545"/>
        <v>3.0602059797649841</v>
      </c>
      <c r="CV198" s="217">
        <f t="shared" si="546"/>
        <v>2.8561922477806521</v>
      </c>
      <c r="CW198" s="217">
        <f t="shared" si="547"/>
        <v>28</v>
      </c>
      <c r="CX198" s="217">
        <f t="shared" si="548"/>
        <v>11.981764269829503</v>
      </c>
      <c r="CY198" s="217">
        <f t="shared" si="549"/>
        <v>2.963910108852561</v>
      </c>
      <c r="CZ198" s="217">
        <f t="shared" si="550"/>
        <v>1.9621704553379324</v>
      </c>
      <c r="DA198" s="197">
        <f t="shared" si="551"/>
        <v>350</v>
      </c>
      <c r="DB198" s="443">
        <f t="shared" si="552"/>
        <v>203.00114603674388</v>
      </c>
      <c r="DD198" s="217">
        <f t="shared" si="553"/>
        <v>6.9494625094785683</v>
      </c>
      <c r="DE198" s="173">
        <f t="shared" si="554"/>
        <v>1.1380652890086853</v>
      </c>
      <c r="DF198" s="173">
        <f t="shared" si="555"/>
        <v>1.2501230996965573</v>
      </c>
      <c r="DG198" s="173"/>
      <c r="DH198" s="173">
        <f t="shared" si="556"/>
        <v>0.54587688734030204</v>
      </c>
      <c r="DI198" s="545">
        <f t="shared" si="557"/>
        <v>2418.127659574468</v>
      </c>
      <c r="DJ198" s="528">
        <f t="shared" si="558"/>
        <v>0.31842818428184283</v>
      </c>
      <c r="DL198" s="173">
        <f t="shared" si="559"/>
        <v>9.1059284606622679</v>
      </c>
      <c r="DM198" s="173">
        <f t="shared" si="560"/>
        <v>11.981764269829503</v>
      </c>
      <c r="DN198" s="173">
        <f t="shared" si="561"/>
        <v>7.6062451381453107</v>
      </c>
      <c r="DP198" s="545">
        <f t="shared" si="562"/>
        <v>2200</v>
      </c>
      <c r="DQ198" s="460">
        <f t="shared" si="563"/>
        <v>203.00114603674388</v>
      </c>
      <c r="DS198">
        <f t="shared" si="612"/>
        <v>2200</v>
      </c>
      <c r="DT198">
        <f t="shared" si="613"/>
        <v>203.00114603674388</v>
      </c>
      <c r="DV198" s="5">
        <f t="shared" si="566"/>
        <v>4.9260805641904932</v>
      </c>
      <c r="DW198" s="5">
        <f t="shared" si="567"/>
        <v>2.963910108852561</v>
      </c>
      <c r="DX198" s="5">
        <f t="shared" si="568"/>
        <v>1.9621704553379322</v>
      </c>
      <c r="DY198" s="173">
        <f t="shared" si="569"/>
        <v>0.60167714884696022</v>
      </c>
      <c r="EA198" s="5">
        <f t="shared" si="570"/>
        <v>23.287865140984408</v>
      </c>
      <c r="EB198" s="5">
        <f t="shared" si="571"/>
        <v>2.1735340798252114</v>
      </c>
      <c r="EC198" s="5">
        <f t="shared" si="572"/>
        <v>4.5439736860457378</v>
      </c>
      <c r="ED198" s="5"/>
      <c r="EE198" s="173">
        <f t="shared" si="573"/>
        <v>5.3658916930779963</v>
      </c>
      <c r="EF198" s="173">
        <f t="shared" si="574"/>
        <v>4.3659399153077612</v>
      </c>
      <c r="EG198" s="173">
        <f t="shared" si="575"/>
        <v>0.44017263080561853</v>
      </c>
      <c r="EH198" s="173"/>
      <c r="EI198" s="528">
        <f t="shared" si="576"/>
        <v>0.34551352394212137</v>
      </c>
      <c r="EJ198" s="528">
        <f t="shared" si="577"/>
        <v>2.2044042553191496</v>
      </c>
      <c r="EK198" s="528">
        <f t="shared" si="578"/>
        <v>2.3345131794225548E-2</v>
      </c>
      <c r="EL198" s="528">
        <f t="shared" si="579"/>
        <v>0.22747909020122697</v>
      </c>
      <c r="EM198">
        <f t="shared" si="580"/>
        <v>8.5500000000000003E-3</v>
      </c>
      <c r="EN198" s="460">
        <f t="shared" si="581"/>
        <v>31.895131794225545</v>
      </c>
      <c r="EP198" s="460">
        <f t="shared" si="601"/>
        <v>2809.2920012567238</v>
      </c>
      <c r="EQ198" s="173">
        <f t="shared" si="582"/>
        <v>1.54</v>
      </c>
      <c r="ER198" s="173">
        <f t="shared" si="583"/>
        <v>0.10538</v>
      </c>
      <c r="ES198" s="528"/>
      <c r="EU198" s="460">
        <f t="shared" si="496"/>
        <v>1645.38</v>
      </c>
      <c r="EV198" s="528">
        <f t="shared" si="584"/>
        <v>0.40309911126580827</v>
      </c>
      <c r="EW198" s="528">
        <f t="shared" si="585"/>
        <v>0.26686003881708559</v>
      </c>
      <c r="EX198" s="528">
        <f t="shared" si="586"/>
        <v>9.6875972455169677E-4</v>
      </c>
      <c r="EY198" s="528">
        <f t="shared" si="587"/>
        <v>14.588752487337162</v>
      </c>
      <c r="EZ198" s="528"/>
      <c r="FA198" s="625">
        <f t="shared" si="588"/>
        <v>2.9143387556706495</v>
      </c>
      <c r="FB198" s="460">
        <f t="shared" si="611"/>
        <v>18174.019152815257</v>
      </c>
      <c r="FC198" s="173">
        <f t="shared" si="589"/>
        <v>22.62869115407198</v>
      </c>
      <c r="FD198" s="5">
        <f t="shared" si="590"/>
        <v>68.2</v>
      </c>
      <c r="FE198" s="173">
        <f t="shared" si="591"/>
        <v>0.75086406215314605</v>
      </c>
      <c r="FF198" s="5">
        <f t="shared" si="592"/>
        <v>75.086406215314611</v>
      </c>
      <c r="FG198">
        <f t="shared" si="593"/>
        <v>88.000000000000014</v>
      </c>
      <c r="FI198" s="562">
        <f t="shared" si="594"/>
        <v>-50</v>
      </c>
      <c r="FJ198">
        <f t="shared" si="595"/>
        <v>-50</v>
      </c>
    </row>
    <row r="199" spans="5:166">
      <c r="E199" s="170">
        <v>89</v>
      </c>
      <c r="F199" s="217">
        <f t="shared" si="596"/>
        <v>2.2250000000000001</v>
      </c>
      <c r="G199" s="217">
        <f t="shared" si="498"/>
        <v>0.2225</v>
      </c>
      <c r="H199" s="217">
        <f t="shared" si="499"/>
        <v>62.300000000000004</v>
      </c>
      <c r="I199" s="217">
        <f t="shared" si="500"/>
        <v>6.6749999999999998</v>
      </c>
      <c r="J199" s="541">
        <f t="shared" si="501"/>
        <v>18.800224830380756</v>
      </c>
      <c r="K199" s="443">
        <f t="shared" si="502"/>
        <v>28.781020087700139</v>
      </c>
      <c r="L199" s="172">
        <f t="shared" si="503"/>
        <v>47.581244918080898</v>
      </c>
      <c r="M199" s="443"/>
      <c r="N199" s="217">
        <f t="shared" si="504"/>
        <v>0.60488161117371975</v>
      </c>
      <c r="O199" s="172">
        <f t="shared" si="505"/>
        <v>85.595023656776547</v>
      </c>
      <c r="P199" s="172">
        <f t="shared" si="506"/>
        <v>10.153491326632931</v>
      </c>
      <c r="Q199" s="217">
        <f t="shared" si="507"/>
        <v>3.0569651305991625</v>
      </c>
      <c r="R199" s="217">
        <f t="shared" si="508"/>
        <v>2.853167455225885</v>
      </c>
      <c r="S199" s="217">
        <f t="shared" si="509"/>
        <v>28</v>
      </c>
      <c r="T199" s="217">
        <f t="shared" si="510"/>
        <v>12.130767525655433</v>
      </c>
      <c r="U199" s="217">
        <f t="shared" si="511"/>
        <v>3.0326556136949048</v>
      </c>
      <c r="V199" s="217">
        <f t="shared" si="512"/>
        <v>1.9809793814412544</v>
      </c>
      <c r="W199" s="197">
        <f t="shared" si="513"/>
        <v>350</v>
      </c>
      <c r="X199" s="443">
        <f t="shared" si="597"/>
        <v>191.80475827957036</v>
      </c>
      <c r="Z199" s="217">
        <f t="shared" si="514"/>
        <v>6.9130153713245504</v>
      </c>
      <c r="AA199" s="173">
        <f t="shared" si="515"/>
        <v>1.1289096823608005</v>
      </c>
      <c r="AB199" s="173">
        <f t="shared" si="516"/>
        <v>1.2335623527834489</v>
      </c>
      <c r="AC199" s="173"/>
      <c r="AD199" s="173">
        <f t="shared" si="517"/>
        <v>0.54434021514623021</v>
      </c>
      <c r="AE199" s="545">
        <f t="shared" si="518"/>
        <v>2452.5103287497668</v>
      </c>
      <c r="AF199" s="528">
        <f t="shared" si="519"/>
        <v>0.31753179216863431</v>
      </c>
      <c r="AH199" s="173">
        <f t="shared" si="520"/>
        <v>9.157520536194319</v>
      </c>
      <c r="AI199" s="173">
        <f t="shared" si="521"/>
        <v>12.130767525655433</v>
      </c>
      <c r="AJ199" s="173">
        <f t="shared" si="522"/>
        <v>7.7166179202385914</v>
      </c>
      <c r="AL199" s="545">
        <f t="shared" si="523"/>
        <v>2225</v>
      </c>
      <c r="AM199" s="460">
        <f t="shared" si="524"/>
        <v>191.80475827957036</v>
      </c>
      <c r="AO199">
        <f t="shared" si="525"/>
        <v>2225</v>
      </c>
      <c r="AP199">
        <f t="shared" si="526"/>
        <v>191.80475827957036</v>
      </c>
      <c r="AR199" s="5">
        <f t="shared" si="614"/>
        <v>5.2136349951361591</v>
      </c>
      <c r="AS199" s="5">
        <f t="shared" si="602"/>
        <v>3.0326556136949048</v>
      </c>
      <c r="AT199" s="5">
        <f t="shared" si="603"/>
        <v>2.1809793814412544</v>
      </c>
      <c r="AU199" s="173">
        <f t="shared" si="604"/>
        <v>0.58167777692993328</v>
      </c>
      <c r="AW199" s="5">
        <f t="shared" si="475"/>
        <v>24.09878121596844</v>
      </c>
      <c r="AX199" s="5">
        <f t="shared" si="476"/>
        <v>2.249219580157054</v>
      </c>
      <c r="AY199" s="5">
        <f t="shared" si="477"/>
        <v>5.162362862666372</v>
      </c>
      <c r="AZ199" s="5"/>
      <c r="BA199" s="173">
        <f t="shared" si="478"/>
        <v>5.3415695627007702</v>
      </c>
      <c r="BB199" s="173">
        <f t="shared" si="479"/>
        <v>4.529842697121043</v>
      </c>
      <c r="BC199" s="173">
        <f t="shared" si="480"/>
        <v>0.45669725552941665</v>
      </c>
      <c r="BD199" s="173"/>
      <c r="BE199" s="528">
        <f t="shared" si="481"/>
        <v>0.34238838471805555</v>
      </c>
      <c r="BF199" s="528">
        <f t="shared" si="527"/>
        <v>2.0204417143284821</v>
      </c>
      <c r="BG199" s="528">
        <f t="shared" si="482"/>
        <v>2.2057547202150595E-2</v>
      </c>
      <c r="BH199" s="528">
        <f t="shared" si="483"/>
        <v>0.21386376750726524</v>
      </c>
      <c r="BI199">
        <f t="shared" si="484"/>
        <v>8.4601011736713406E-3</v>
      </c>
      <c r="BJ199" s="460">
        <f t="shared" si="598"/>
        <v>30.517648375821938</v>
      </c>
      <c r="BK199">
        <f t="shared" si="528"/>
        <v>2.9055059393498586</v>
      </c>
      <c r="BL199" s="460">
        <f t="shared" si="599"/>
        <v>2607.2115149296246</v>
      </c>
      <c r="BM199" s="173">
        <f t="shared" si="529"/>
        <v>1.4920849999999999</v>
      </c>
      <c r="BN199" s="173">
        <f t="shared" si="530"/>
        <v>0.14920849999999999</v>
      </c>
      <c r="BO199" s="528"/>
      <c r="BQ199" s="460">
        <f t="shared" si="485"/>
        <v>1641.2935</v>
      </c>
      <c r="BR199" s="528">
        <f t="shared" si="486"/>
        <v>0.39945311550439816</v>
      </c>
      <c r="BS199" s="528">
        <f t="shared" si="487"/>
        <v>0.28727264804925184</v>
      </c>
      <c r="BT199" s="528">
        <f t="shared" si="488"/>
        <v>1.0428619160405064E-3</v>
      </c>
      <c r="BU199" s="528">
        <f t="shared" si="489"/>
        <v>13.056871998242812</v>
      </c>
      <c r="BV199" s="528"/>
      <c r="BW199" s="625">
        <f t="shared" si="531"/>
        <v>2.8225129089163126</v>
      </c>
      <c r="BX199" s="460">
        <f t="shared" si="605"/>
        <v>16567.153532628814</v>
      </c>
      <c r="BY199" s="173">
        <f t="shared" si="606"/>
        <v>20.815658547558442</v>
      </c>
      <c r="BZ199" s="5">
        <f t="shared" si="607"/>
        <v>68.975000000000009</v>
      </c>
      <c r="CA199" s="173">
        <f t="shared" si="608"/>
        <v>0.76817567791271701</v>
      </c>
      <c r="CB199" s="5">
        <f t="shared" si="609"/>
        <v>76.817567791271699</v>
      </c>
      <c r="CC199">
        <f t="shared" si="610"/>
        <v>89</v>
      </c>
      <c r="CE199" s="562">
        <f t="shared" si="532"/>
        <v>-50</v>
      </c>
      <c r="CF199">
        <f t="shared" si="533"/>
        <v>-50</v>
      </c>
      <c r="CG199" s="173">
        <f t="shared" si="534"/>
        <v>0.38447255346461445</v>
      </c>
      <c r="CH199" s="173">
        <f t="shared" si="535"/>
        <v>0.12467877742130104</v>
      </c>
      <c r="CI199" s="170">
        <v>89</v>
      </c>
      <c r="CJ199" s="217">
        <f t="shared" si="600"/>
        <v>2.2250000000000001</v>
      </c>
      <c r="CK199" s="217">
        <f t="shared" si="536"/>
        <v>0.2225</v>
      </c>
      <c r="CL199" s="217">
        <f t="shared" si="537"/>
        <v>62.300000000000004</v>
      </c>
      <c r="CM199" s="217">
        <f t="shared" si="538"/>
        <v>6.6749999999999998</v>
      </c>
      <c r="CN199" s="541">
        <f t="shared" si="539"/>
        <v>19</v>
      </c>
      <c r="CO199" s="443">
        <f t="shared" si="540"/>
        <v>28.7</v>
      </c>
      <c r="CP199" s="443">
        <f t="shared" si="541"/>
        <v>47.7</v>
      </c>
      <c r="CQ199" s="443"/>
      <c r="CR199" s="217">
        <f t="shared" si="542"/>
        <v>0.59915611814345993</v>
      </c>
      <c r="CS199" s="172">
        <f t="shared" si="543"/>
        <v>85.685767433419556</v>
      </c>
      <c r="CT199" s="172">
        <f t="shared" si="544"/>
        <v>10.164255575647982</v>
      </c>
      <c r="CU199" s="217">
        <f t="shared" si="545"/>
        <v>3.0602059797649841</v>
      </c>
      <c r="CV199" s="217">
        <f t="shared" si="546"/>
        <v>2.8561922477806521</v>
      </c>
      <c r="CW199" s="217">
        <f t="shared" si="547"/>
        <v>28</v>
      </c>
      <c r="CX199" s="217">
        <f t="shared" si="548"/>
        <v>12.117920681986657</v>
      </c>
      <c r="CY199" s="217">
        <f t="shared" si="549"/>
        <v>2.9975909055440679</v>
      </c>
      <c r="CZ199" s="217">
        <f t="shared" si="550"/>
        <v>1.9844678468758636</v>
      </c>
      <c r="DA199" s="197">
        <f t="shared" si="551"/>
        <v>350</v>
      </c>
      <c r="DB199" s="443">
        <f t="shared" si="552"/>
        <v>200.72023428352202</v>
      </c>
      <c r="DD199" s="217">
        <f t="shared" si="553"/>
        <v>6.9494625094785683</v>
      </c>
      <c r="DE199" s="173">
        <f t="shared" si="554"/>
        <v>1.1380652890086853</v>
      </c>
      <c r="DF199" s="173">
        <f t="shared" si="555"/>
        <v>1.2501230996965573</v>
      </c>
      <c r="DG199" s="173"/>
      <c r="DH199" s="173">
        <f t="shared" si="556"/>
        <v>0.54587688734030204</v>
      </c>
      <c r="DI199" s="545">
        <f t="shared" si="557"/>
        <v>2445.6063829787236</v>
      </c>
      <c r="DJ199" s="528">
        <f t="shared" si="558"/>
        <v>0.31842818428184283</v>
      </c>
      <c r="DL199" s="173">
        <f t="shared" si="559"/>
        <v>9.157520536194319</v>
      </c>
      <c r="DM199" s="173">
        <f t="shared" si="560"/>
        <v>12.117920681986657</v>
      </c>
      <c r="DN199" s="173">
        <f t="shared" si="561"/>
        <v>7.7071017397432025</v>
      </c>
      <c r="DP199" s="545">
        <f t="shared" si="562"/>
        <v>2225</v>
      </c>
      <c r="DQ199" s="460">
        <f t="shared" si="563"/>
        <v>200.72023428352202</v>
      </c>
      <c r="DS199">
        <f t="shared" si="612"/>
        <v>2225</v>
      </c>
      <c r="DT199">
        <f t="shared" si="613"/>
        <v>200.72023428352202</v>
      </c>
      <c r="DV199" s="5">
        <f t="shared" si="566"/>
        <v>4.9820587524199311</v>
      </c>
      <c r="DW199" s="5">
        <f t="shared" si="567"/>
        <v>2.9975909055440679</v>
      </c>
      <c r="DX199" s="5">
        <f t="shared" si="568"/>
        <v>1.9844678468758632</v>
      </c>
      <c r="DY199" s="173">
        <f t="shared" si="569"/>
        <v>0.60167714884696022</v>
      </c>
      <c r="EA199" s="5">
        <f t="shared" si="570"/>
        <v>23.820142017269827</v>
      </c>
      <c r="EB199" s="5">
        <f t="shared" si="571"/>
        <v>2.223213254945184</v>
      </c>
      <c r="EC199" s="5">
        <f t="shared" si="572"/>
        <v>4.6478325887355743</v>
      </c>
      <c r="ED199" s="5"/>
      <c r="EE199" s="173">
        <f t="shared" si="573"/>
        <v>5.4268677350447918</v>
      </c>
      <c r="EF199" s="173">
        <f t="shared" si="574"/>
        <v>4.4155528688908037</v>
      </c>
      <c r="EG199" s="173">
        <f t="shared" si="575"/>
        <v>0.44517459251931879</v>
      </c>
      <c r="EH199" s="173"/>
      <c r="EI199" s="528">
        <f t="shared" si="576"/>
        <v>0.3534107209640423</v>
      </c>
      <c r="EJ199" s="528">
        <f t="shared" si="577"/>
        <v>2.2044042553191496</v>
      </c>
      <c r="EK199" s="528">
        <f t="shared" si="578"/>
        <v>2.3082826942605033E-2</v>
      </c>
      <c r="EL199" s="528">
        <f t="shared" si="579"/>
        <v>0.22492314536750527</v>
      </c>
      <c r="EM199">
        <f t="shared" si="580"/>
        <v>8.5500000000000003E-3</v>
      </c>
      <c r="EN199" s="460">
        <f t="shared" si="581"/>
        <v>31.632826942605032</v>
      </c>
      <c r="EP199" s="460">
        <f t="shared" si="601"/>
        <v>2814.3709485933023</v>
      </c>
      <c r="EQ199" s="173">
        <f t="shared" si="582"/>
        <v>1.5574999999999999</v>
      </c>
      <c r="ER199" s="173">
        <f t="shared" si="583"/>
        <v>0.10657749999999999</v>
      </c>
      <c r="ES199" s="528"/>
      <c r="EU199" s="460">
        <f t="shared" si="496"/>
        <v>1664.0774999999999</v>
      </c>
      <c r="EV199" s="528">
        <f t="shared" si="584"/>
        <v>0.41231250779138268</v>
      </c>
      <c r="EW199" s="528">
        <f t="shared" si="585"/>
        <v>0.27295949993157731</v>
      </c>
      <c r="EX199" s="528">
        <f t="shared" si="586"/>
        <v>9.9090208912370765E-4</v>
      </c>
      <c r="EY199" s="528">
        <f t="shared" si="587"/>
        <v>14.588752487337148</v>
      </c>
      <c r="EZ199" s="528"/>
      <c r="FA199" s="625">
        <f t="shared" si="588"/>
        <v>2.947456241530543</v>
      </c>
      <c r="FB199" s="460">
        <f t="shared" si="611"/>
        <v>18222.471638679774</v>
      </c>
      <c r="FC199" s="173">
        <f t="shared" si="589"/>
        <v>22.700920087273076</v>
      </c>
      <c r="FD199" s="5">
        <f t="shared" si="590"/>
        <v>68.975000000000009</v>
      </c>
      <c r="FE199" s="173">
        <f t="shared" si="591"/>
        <v>0.75237859553891151</v>
      </c>
      <c r="FF199" s="5">
        <f t="shared" si="592"/>
        <v>75.237859553891155</v>
      </c>
      <c r="FG199">
        <f t="shared" si="593"/>
        <v>89</v>
      </c>
      <c r="FI199" s="562">
        <f t="shared" si="594"/>
        <v>-50</v>
      </c>
      <c r="FJ199">
        <f t="shared" si="595"/>
        <v>-50</v>
      </c>
    </row>
    <row r="200" spans="5:166">
      <c r="E200" s="170">
        <v>90</v>
      </c>
      <c r="F200" s="217">
        <f t="shared" si="596"/>
        <v>2.25</v>
      </c>
      <c r="G200" s="217">
        <f t="shared" si="498"/>
        <v>0.22500000000000001</v>
      </c>
      <c r="H200" s="217">
        <f t="shared" si="499"/>
        <v>63</v>
      </c>
      <c r="I200" s="217">
        <f t="shared" si="500"/>
        <v>6.75</v>
      </c>
      <c r="J200" s="541">
        <f t="shared" si="501"/>
        <v>18.797980165553575</v>
      </c>
      <c r="K200" s="443">
        <f t="shared" si="502"/>
        <v>28.781930425764187</v>
      </c>
      <c r="L200" s="172">
        <f t="shared" si="503"/>
        <v>47.579910591317763</v>
      </c>
      <c r="M200" s="443"/>
      <c r="N200" s="217">
        <f t="shared" si="504"/>
        <v>0.60491770724378424</v>
      </c>
      <c r="O200" s="172">
        <f t="shared" si="505"/>
        <v>85.589911223575925</v>
      </c>
      <c r="P200" s="172">
        <f t="shared" si="506"/>
        <v>10.15288487728643</v>
      </c>
      <c r="Q200" s="217">
        <f t="shared" si="507"/>
        <v>3.05678254369914</v>
      </c>
      <c r="R200" s="217">
        <f t="shared" si="508"/>
        <v>2.8529970407858642</v>
      </c>
      <c r="S200" s="217">
        <f t="shared" si="509"/>
        <v>28</v>
      </c>
      <c r="T200" s="217">
        <f t="shared" si="510"/>
        <v>12.267801017543004</v>
      </c>
      <c r="U200" s="217">
        <f t="shared" si="511"/>
        <v>3.067279796800134</v>
      </c>
      <c r="V200" s="217">
        <f t="shared" si="512"/>
        <v>2.0032938697829272</v>
      </c>
      <c r="W200" s="197">
        <f t="shared" si="513"/>
        <v>350</v>
      </c>
      <c r="X200" s="443">
        <f t="shared" si="597"/>
        <v>189.73266730722025</v>
      </c>
      <c r="Z200" s="217">
        <f t="shared" si="514"/>
        <v>6.9126024696418247</v>
      </c>
      <c r="AA200" s="173">
        <f t="shared" si="515"/>
        <v>1.1288065507320453</v>
      </c>
      <c r="AB200" s="173">
        <f t="shared" si="516"/>
        <v>1.2333759889244258</v>
      </c>
      <c r="AC200" s="173"/>
      <c r="AD200" s="173">
        <f t="shared" si="517"/>
        <v>0.54432299831572895</v>
      </c>
      <c r="AE200" s="545">
        <f t="shared" si="518"/>
        <v>2480.1450686030839</v>
      </c>
      <c r="AF200" s="528">
        <f t="shared" si="519"/>
        <v>0.31752174901750851</v>
      </c>
      <c r="AH200" s="173">
        <f t="shared" si="520"/>
        <v>9.2088235736679334</v>
      </c>
      <c r="AI200" s="173">
        <f t="shared" si="521"/>
        <v>12.267801017543004</v>
      </c>
      <c r="AJ200" s="173">
        <f t="shared" si="522"/>
        <v>7.8181242105256823</v>
      </c>
      <c r="AL200" s="545">
        <f t="shared" si="523"/>
        <v>2250</v>
      </c>
      <c r="AM200" s="460">
        <f t="shared" si="524"/>
        <v>189.73266730722025</v>
      </c>
      <c r="AO200">
        <f t="shared" si="525"/>
        <v>2250</v>
      </c>
      <c r="AP200">
        <f t="shared" si="526"/>
        <v>189.73266730722025</v>
      </c>
      <c r="AR200" s="5">
        <f t="shared" si="614"/>
        <v>5.2705736665830614</v>
      </c>
      <c r="AS200" s="5">
        <f t="shared" si="602"/>
        <v>3.067279796800134</v>
      </c>
      <c r="AT200" s="5">
        <f t="shared" si="603"/>
        <v>2.2032938697829274</v>
      </c>
      <c r="AU200" s="173">
        <f t="shared" si="604"/>
        <v>0.58196317722443791</v>
      </c>
      <c r="AW200" s="5">
        <f t="shared" si="475"/>
        <v>24.647784081429648</v>
      </c>
      <c r="AX200" s="5">
        <f t="shared" si="476"/>
        <v>2.3004598476001004</v>
      </c>
      <c r="AY200" s="5">
        <f t="shared" si="477"/>
        <v>5.2744083814875085</v>
      </c>
      <c r="AZ200" s="5"/>
      <c r="BA200" s="173">
        <f t="shared" si="478"/>
        <v>5.4032349058180724</v>
      </c>
      <c r="BB200" s="173">
        <f t="shared" si="479"/>
        <v>4.579450456975402</v>
      </c>
      <c r="BC200" s="173">
        <f t="shared" si="480"/>
        <v>0.46169869361309379</v>
      </c>
      <c r="BD200" s="173"/>
      <c r="BE200" s="528">
        <f t="shared" si="481"/>
        <v>0.35033936936941001</v>
      </c>
      <c r="BF200" s="528">
        <f t="shared" si="527"/>
        <v>2.0211350135628985</v>
      </c>
      <c r="BG200" s="528">
        <f t="shared" si="482"/>
        <v>2.1819256740330334E-2</v>
      </c>
      <c r="BH200" s="528">
        <f t="shared" si="483"/>
        <v>0.21154150521012208</v>
      </c>
      <c r="BI200">
        <f t="shared" si="484"/>
        <v>8.4590910744991085E-3</v>
      </c>
      <c r="BJ200" s="460">
        <f t="shared" si="598"/>
        <v>30.278347814829445</v>
      </c>
      <c r="BK200">
        <f t="shared" si="528"/>
        <v>2.920731020211722</v>
      </c>
      <c r="BL200" s="460">
        <f t="shared" si="599"/>
        <v>2613.2942359572603</v>
      </c>
      <c r="BM200" s="173">
        <f t="shared" si="529"/>
        <v>1.5088499999999998</v>
      </c>
      <c r="BN200" s="173">
        <f t="shared" si="530"/>
        <v>0.15088499999999999</v>
      </c>
      <c r="BO200" s="528"/>
      <c r="BQ200" s="460">
        <f t="shared" si="485"/>
        <v>1659.7349999999997</v>
      </c>
      <c r="BR200" s="528">
        <f t="shared" si="486"/>
        <v>0.40872926426431166</v>
      </c>
      <c r="BS200" s="528">
        <f t="shared" si="487"/>
        <v>0.29359913083049105</v>
      </c>
      <c r="BT200" s="528">
        <f t="shared" si="488"/>
        <v>1.0658284184201874E-3</v>
      </c>
      <c r="BU200" s="528">
        <f t="shared" si="489"/>
        <v>13.068992016421783</v>
      </c>
      <c r="BV200" s="528"/>
      <c r="BW200" s="625">
        <f t="shared" si="531"/>
        <v>2.8554565655772035</v>
      </c>
      <c r="BX200" s="460">
        <f t="shared" si="605"/>
        <v>16627.842805512209</v>
      </c>
      <c r="BY200" s="173">
        <f t="shared" si="606"/>
        <v>20.900872041469469</v>
      </c>
      <c r="BZ200" s="5">
        <f t="shared" si="607"/>
        <v>69.75</v>
      </c>
      <c r="CA200" s="173">
        <f t="shared" si="608"/>
        <v>0.76943551042831582</v>
      </c>
      <c r="CB200" s="5">
        <f t="shared" si="609"/>
        <v>76.943551042831587</v>
      </c>
      <c r="CC200">
        <f t="shared" si="610"/>
        <v>90</v>
      </c>
      <c r="CE200" s="562">
        <f t="shared" si="532"/>
        <v>-50</v>
      </c>
      <c r="CF200">
        <f t="shared" si="533"/>
        <v>-50</v>
      </c>
      <c r="CG200" s="173">
        <f t="shared" si="534"/>
        <v>0.38447255346461445</v>
      </c>
      <c r="CH200" s="173">
        <f t="shared" si="535"/>
        <v>0.12467877742130105</v>
      </c>
      <c r="CI200" s="170">
        <v>90</v>
      </c>
      <c r="CJ200" s="217">
        <f t="shared" si="600"/>
        <v>2.25</v>
      </c>
      <c r="CK200" s="217">
        <f t="shared" si="536"/>
        <v>0.22500000000000001</v>
      </c>
      <c r="CL200" s="217">
        <f t="shared" si="537"/>
        <v>63</v>
      </c>
      <c r="CM200" s="217">
        <f t="shared" si="538"/>
        <v>6.75</v>
      </c>
      <c r="CN200" s="541">
        <f t="shared" si="539"/>
        <v>19</v>
      </c>
      <c r="CO200" s="443">
        <f t="shared" si="540"/>
        <v>28.7</v>
      </c>
      <c r="CP200" s="443">
        <f t="shared" si="541"/>
        <v>47.7</v>
      </c>
      <c r="CQ200" s="443"/>
      <c r="CR200" s="217">
        <f t="shared" si="542"/>
        <v>0.59915611814345993</v>
      </c>
      <c r="CS200" s="172">
        <f t="shared" si="543"/>
        <v>85.685767433419556</v>
      </c>
      <c r="CT200" s="172">
        <f t="shared" si="544"/>
        <v>10.164255575647982</v>
      </c>
      <c r="CU200" s="217">
        <f t="shared" si="545"/>
        <v>3.0602059797649841</v>
      </c>
      <c r="CV200" s="217">
        <f t="shared" si="546"/>
        <v>2.8561922477806521</v>
      </c>
      <c r="CW200" s="217">
        <f t="shared" si="547"/>
        <v>28</v>
      </c>
      <c r="CX200" s="217">
        <f t="shared" si="548"/>
        <v>12.25407709414381</v>
      </c>
      <c r="CY200" s="217">
        <f t="shared" si="549"/>
        <v>3.031271702235574</v>
      </c>
      <c r="CZ200" s="217">
        <f t="shared" si="550"/>
        <v>2.0067652384137946</v>
      </c>
      <c r="DA200" s="197">
        <f t="shared" si="551"/>
        <v>350</v>
      </c>
      <c r="DB200" s="443">
        <f t="shared" si="552"/>
        <v>198.49000945814956</v>
      </c>
      <c r="DD200" s="217">
        <f t="shared" si="553"/>
        <v>6.9494625094785683</v>
      </c>
      <c r="DE200" s="173">
        <f t="shared" si="554"/>
        <v>1.1380652890086853</v>
      </c>
      <c r="DF200" s="173">
        <f t="shared" si="555"/>
        <v>1.2501230996965573</v>
      </c>
      <c r="DG200" s="173"/>
      <c r="DH200" s="173">
        <f t="shared" si="556"/>
        <v>0.54587688734030204</v>
      </c>
      <c r="DI200" s="545">
        <f t="shared" si="557"/>
        <v>2473.0851063829787</v>
      </c>
      <c r="DJ200" s="528">
        <f t="shared" si="558"/>
        <v>0.31842818428184283</v>
      </c>
      <c r="DL200" s="173">
        <f t="shared" si="559"/>
        <v>9.2088235736679334</v>
      </c>
      <c r="DM200" s="173">
        <f t="shared" si="560"/>
        <v>12.25407709414381</v>
      </c>
      <c r="DN200" s="173">
        <f t="shared" si="561"/>
        <v>7.8079583413410933</v>
      </c>
      <c r="DP200" s="545">
        <f t="shared" si="562"/>
        <v>2250</v>
      </c>
      <c r="DQ200" s="460">
        <f t="shared" si="563"/>
        <v>198.49000945814956</v>
      </c>
      <c r="DS200">
        <f t="shared" si="612"/>
        <v>2250</v>
      </c>
      <c r="DT200">
        <f t="shared" si="613"/>
        <v>198.49000945814956</v>
      </c>
      <c r="DV200" s="5">
        <f t="shared" si="566"/>
        <v>5.0380369406493681</v>
      </c>
      <c r="DW200" s="5">
        <f t="shared" si="567"/>
        <v>3.031271702235574</v>
      </c>
      <c r="DX200" s="5">
        <f t="shared" si="568"/>
        <v>2.0067652384137942</v>
      </c>
      <c r="DY200" s="173">
        <f t="shared" si="569"/>
        <v>0.60167714884696022</v>
      </c>
      <c r="EA200" s="5">
        <f t="shared" si="570"/>
        <v>24.358433321535863</v>
      </c>
      <c r="EB200" s="5">
        <f t="shared" si="571"/>
        <v>2.2734537766766802</v>
      </c>
      <c r="EC200" s="5">
        <f t="shared" si="572"/>
        <v>4.7528650383484594</v>
      </c>
      <c r="ED200" s="5"/>
      <c r="EE200" s="173">
        <f t="shared" si="573"/>
        <v>5.4878437770115864</v>
      </c>
      <c r="EF200" s="173">
        <f t="shared" si="574"/>
        <v>4.4651658224738462</v>
      </c>
      <c r="EG200" s="173">
        <f t="shared" si="575"/>
        <v>0.45017655423301894</v>
      </c>
      <c r="EH200" s="173"/>
      <c r="EI200" s="528">
        <f t="shared" si="576"/>
        <v>0.36139715185061755</v>
      </c>
      <c r="EJ200" s="528">
        <f t="shared" si="577"/>
        <v>2.2044042553191492</v>
      </c>
      <c r="EK200" s="528">
        <f t="shared" si="578"/>
        <v>2.2826351087687199E-2</v>
      </c>
      <c r="EL200" s="528">
        <f t="shared" si="579"/>
        <v>0.22242399930786635</v>
      </c>
      <c r="EM200">
        <f t="shared" si="580"/>
        <v>8.5500000000000003E-3</v>
      </c>
      <c r="EN200" s="460">
        <f t="shared" si="581"/>
        <v>31.376351087687201</v>
      </c>
      <c r="EP200" s="460">
        <f t="shared" si="601"/>
        <v>2819.6017575653204</v>
      </c>
      <c r="EQ200" s="173">
        <f t="shared" si="582"/>
        <v>1.575</v>
      </c>
      <c r="ER200" s="173">
        <f t="shared" si="583"/>
        <v>0.107775</v>
      </c>
      <c r="ES200" s="528"/>
      <c r="EU200" s="460">
        <f t="shared" si="496"/>
        <v>1682.7749999999999</v>
      </c>
      <c r="EV200" s="528">
        <f t="shared" si="584"/>
        <v>0.42163001049238713</v>
      </c>
      <c r="EW200" s="528">
        <f t="shared" si="585"/>
        <v>0.27912788151063955</v>
      </c>
      <c r="EX200" s="528">
        <f t="shared" si="586"/>
        <v>1.0132946499055713E-3</v>
      </c>
      <c r="EY200" s="528">
        <f t="shared" si="587"/>
        <v>14.588752487337144</v>
      </c>
      <c r="EZ200" s="528"/>
      <c r="FA200" s="625">
        <f t="shared" si="588"/>
        <v>2.9805737273904369</v>
      </c>
      <c r="FB200" s="460">
        <f t="shared" si="611"/>
        <v>18271.097401380513</v>
      </c>
      <c r="FC200" s="173">
        <f t="shared" si="589"/>
        <v>22.773474158945831</v>
      </c>
      <c r="FD200" s="5">
        <f t="shared" si="590"/>
        <v>69.75</v>
      </c>
      <c r="FE200" s="173">
        <f t="shared" si="591"/>
        <v>0.7538627427692205</v>
      </c>
      <c r="FF200" s="5">
        <f t="shared" si="592"/>
        <v>75.386274276922052</v>
      </c>
      <c r="FG200">
        <f t="shared" si="593"/>
        <v>90</v>
      </c>
      <c r="FI200" s="562">
        <f t="shared" si="594"/>
        <v>-50</v>
      </c>
      <c r="FJ200">
        <f t="shared" si="595"/>
        <v>-50</v>
      </c>
    </row>
    <row r="201" spans="5:166">
      <c r="E201" s="170">
        <v>91</v>
      </c>
      <c r="F201" s="217">
        <f t="shared" si="596"/>
        <v>2.2749999999999999</v>
      </c>
      <c r="G201" s="217">
        <f t="shared" si="498"/>
        <v>0.22750000000000001</v>
      </c>
      <c r="H201" s="217">
        <f t="shared" si="499"/>
        <v>63.699999999999996</v>
      </c>
      <c r="I201" s="217">
        <f t="shared" si="500"/>
        <v>6.8250000000000002</v>
      </c>
      <c r="J201" s="541">
        <f t="shared" si="501"/>
        <v>18.795735500726391</v>
      </c>
      <c r="K201" s="443">
        <f t="shared" si="502"/>
        <v>28.782840763828233</v>
      </c>
      <c r="L201" s="172">
        <f t="shared" si="503"/>
        <v>47.578576264554627</v>
      </c>
      <c r="M201" s="443"/>
      <c r="N201" s="217">
        <f t="shared" si="504"/>
        <v>0.60495380533845533</v>
      </c>
      <c r="O201" s="172">
        <f t="shared" si="505"/>
        <v>85.584797857093221</v>
      </c>
      <c r="P201" s="172">
        <f t="shared" si="506"/>
        <v>10.152278317231721</v>
      </c>
      <c r="Q201" s="217">
        <f t="shared" si="507"/>
        <v>3.0565999234676151</v>
      </c>
      <c r="R201" s="217">
        <f t="shared" si="508"/>
        <v>2.8528265952364409</v>
      </c>
      <c r="S201" s="217">
        <f t="shared" si="509"/>
        <v>28</v>
      </c>
      <c r="T201" s="217">
        <f t="shared" si="510"/>
        <v>12.404851016174671</v>
      </c>
      <c r="U201" s="217">
        <f t="shared" si="511"/>
        <v>3.1019163774552876</v>
      </c>
      <c r="V201" s="217">
        <f t="shared" si="512"/>
        <v>2.0256096420229248</v>
      </c>
      <c r="W201" s="197">
        <f t="shared" si="513"/>
        <v>350</v>
      </c>
      <c r="X201" s="443">
        <f t="shared" si="597"/>
        <v>187.70438592769966</v>
      </c>
      <c r="Z201" s="217">
        <f t="shared" si="514"/>
        <v>6.9121894925832992</v>
      </c>
      <c r="AA201" s="173">
        <f t="shared" si="515"/>
        <v>1.1287034133186986</v>
      </c>
      <c r="AB201" s="173">
        <f t="shared" si="516"/>
        <v>1.233189618759472</v>
      </c>
      <c r="AC201" s="173"/>
      <c r="AD201" s="173">
        <f t="shared" si="517"/>
        <v>0.54430578257428874</v>
      </c>
      <c r="AE201" s="545">
        <f t="shared" si="518"/>
        <v>2507.781551656949</v>
      </c>
      <c r="AF201" s="528">
        <f t="shared" si="519"/>
        <v>0.31751170650166843</v>
      </c>
      <c r="AH201" s="173">
        <f t="shared" si="520"/>
        <v>9.2598423772256417</v>
      </c>
      <c r="AI201" s="173">
        <f t="shared" si="521"/>
        <v>12.404851016174671</v>
      </c>
      <c r="AJ201" s="173">
        <f t="shared" si="522"/>
        <v>7.9196427280306203</v>
      </c>
      <c r="AL201" s="545">
        <f t="shared" si="523"/>
        <v>2275</v>
      </c>
      <c r="AM201" s="460">
        <f t="shared" si="524"/>
        <v>187.70438592769966</v>
      </c>
      <c r="AO201">
        <f t="shared" si="525"/>
        <v>2275</v>
      </c>
      <c r="AP201">
        <f t="shared" si="526"/>
        <v>187.70438592769966</v>
      </c>
      <c r="AR201" s="5">
        <f t="shared" si="614"/>
        <v>5.3275260194782126</v>
      </c>
      <c r="AS201" s="5">
        <f t="shared" si="602"/>
        <v>3.1019163774552876</v>
      </c>
      <c r="AT201" s="5">
        <f t="shared" si="603"/>
        <v>2.225609642022925</v>
      </c>
      <c r="AU201" s="173">
        <f t="shared" si="604"/>
        <v>0.58224330882931941</v>
      </c>
      <c r="AW201" s="5">
        <f t="shared" si="475"/>
        <v>25.203070566824209</v>
      </c>
      <c r="AX201" s="5">
        <f t="shared" si="476"/>
        <v>2.3522865862369264</v>
      </c>
      <c r="AY201" s="5">
        <f t="shared" si="477"/>
        <v>5.3876709803736871</v>
      </c>
      <c r="AZ201" s="5"/>
      <c r="BA201" s="173">
        <f t="shared" si="478"/>
        <v>5.4649120689946598</v>
      </c>
      <c r="BB201" s="173">
        <f t="shared" si="479"/>
        <v>4.6290581103848503</v>
      </c>
      <c r="BC201" s="173">
        <f t="shared" si="480"/>
        <v>0.46670012096502994</v>
      </c>
      <c r="BD201" s="173"/>
      <c r="BE201" s="528">
        <f t="shared" si="481"/>
        <v>0.35838316706212192</v>
      </c>
      <c r="BF201" s="528">
        <f t="shared" si="527"/>
        <v>2.0218097387741927</v>
      </c>
      <c r="BG201" s="528">
        <f t="shared" si="482"/>
        <v>2.1586004381685463E-2</v>
      </c>
      <c r="BH201" s="528">
        <f t="shared" si="483"/>
        <v>0.20926834495216579</v>
      </c>
      <c r="BI201">
        <f t="shared" si="484"/>
        <v>8.4580809753268763E-3</v>
      </c>
      <c r="BJ201" s="460">
        <f t="shared" si="598"/>
        <v>30.044085357012342</v>
      </c>
      <c r="BK201">
        <f t="shared" si="528"/>
        <v>2.9362519648568179</v>
      </c>
      <c r="BL201" s="460">
        <f t="shared" si="599"/>
        <v>2619.5053361454925</v>
      </c>
      <c r="BM201" s="173">
        <f t="shared" si="529"/>
        <v>1.5256149999999997</v>
      </c>
      <c r="BN201" s="173">
        <f t="shared" si="530"/>
        <v>0.15256149999999999</v>
      </c>
      <c r="BO201" s="528"/>
      <c r="BQ201" s="460">
        <f t="shared" si="485"/>
        <v>1678.1764999999998</v>
      </c>
      <c r="BR201" s="528">
        <f t="shared" si="486"/>
        <v>0.41811369490580891</v>
      </c>
      <c r="BS201" s="528">
        <f t="shared" si="487"/>
        <v>0.29999450585047666</v>
      </c>
      <c r="BT201" s="528">
        <f t="shared" si="488"/>
        <v>1.0890450145438679E-3</v>
      </c>
      <c r="BU201" s="528">
        <f t="shared" si="489"/>
        <v>13.080819032465</v>
      </c>
      <c r="BV201" s="528"/>
      <c r="BW201" s="625">
        <f t="shared" si="531"/>
        <v>2.8884012611272252</v>
      </c>
      <c r="BX201" s="460">
        <f t="shared" si="605"/>
        <v>16688.417539363054</v>
      </c>
      <c r="BY201" s="173">
        <f t="shared" si="606"/>
        <v>20.986099375508548</v>
      </c>
      <c r="BZ201" s="5">
        <f t="shared" si="607"/>
        <v>70.524999999999991</v>
      </c>
      <c r="CA201" s="173">
        <f t="shared" si="608"/>
        <v>0.77067154128054183</v>
      </c>
      <c r="CB201" s="5">
        <f t="shared" si="609"/>
        <v>77.067154128054185</v>
      </c>
      <c r="CC201">
        <f t="shared" si="610"/>
        <v>90.999999999999986</v>
      </c>
      <c r="CE201" s="562">
        <f t="shared" si="532"/>
        <v>-50</v>
      </c>
      <c r="CF201">
        <f t="shared" si="533"/>
        <v>-50</v>
      </c>
      <c r="CG201" s="173">
        <f t="shared" si="534"/>
        <v>0.38447255346461451</v>
      </c>
      <c r="CH201" s="173">
        <f t="shared" si="535"/>
        <v>0.12467877742130107</v>
      </c>
      <c r="CI201" s="170">
        <v>91</v>
      </c>
      <c r="CJ201" s="217">
        <f t="shared" si="600"/>
        <v>2.2749999999999999</v>
      </c>
      <c r="CK201" s="217">
        <f t="shared" si="536"/>
        <v>0.22750000000000001</v>
      </c>
      <c r="CL201" s="217">
        <f t="shared" si="537"/>
        <v>63.699999999999996</v>
      </c>
      <c r="CM201" s="217">
        <f t="shared" si="538"/>
        <v>6.8250000000000002</v>
      </c>
      <c r="CN201" s="541">
        <f t="shared" si="539"/>
        <v>19</v>
      </c>
      <c r="CO201" s="443">
        <f t="shared" si="540"/>
        <v>28.7</v>
      </c>
      <c r="CP201" s="443">
        <f t="shared" si="541"/>
        <v>47.7</v>
      </c>
      <c r="CQ201" s="443"/>
      <c r="CR201" s="217">
        <f t="shared" si="542"/>
        <v>0.59915611814345993</v>
      </c>
      <c r="CS201" s="172">
        <f t="shared" si="543"/>
        <v>85.685767433419556</v>
      </c>
      <c r="CT201" s="172">
        <f t="shared" si="544"/>
        <v>10.164255575647982</v>
      </c>
      <c r="CU201" s="217">
        <f t="shared" si="545"/>
        <v>3.0602059797649841</v>
      </c>
      <c r="CV201" s="217">
        <f t="shared" si="546"/>
        <v>2.8561922477806521</v>
      </c>
      <c r="CW201" s="217">
        <f t="shared" si="547"/>
        <v>28</v>
      </c>
      <c r="CX201" s="217">
        <f t="shared" si="548"/>
        <v>12.390233506300961</v>
      </c>
      <c r="CY201" s="217">
        <f t="shared" si="549"/>
        <v>3.06495249892708</v>
      </c>
      <c r="CZ201" s="217">
        <f t="shared" si="550"/>
        <v>2.0290626299517256</v>
      </c>
      <c r="DA201" s="197">
        <f t="shared" si="551"/>
        <v>350</v>
      </c>
      <c r="DB201" s="443">
        <f t="shared" si="552"/>
        <v>196.30880056300509</v>
      </c>
      <c r="DD201" s="217">
        <f t="shared" si="553"/>
        <v>6.9494625094785683</v>
      </c>
      <c r="DE201" s="173">
        <f t="shared" si="554"/>
        <v>1.1380652890086853</v>
      </c>
      <c r="DF201" s="173">
        <f t="shared" si="555"/>
        <v>1.2501230996965573</v>
      </c>
      <c r="DG201" s="173"/>
      <c r="DH201" s="173">
        <f t="shared" si="556"/>
        <v>0.54587688734030204</v>
      </c>
      <c r="DI201" s="545">
        <f t="shared" si="557"/>
        <v>2500.5638297872338</v>
      </c>
      <c r="DJ201" s="528">
        <f t="shared" si="558"/>
        <v>0.31842818428184283</v>
      </c>
      <c r="DL201" s="173">
        <f t="shared" si="559"/>
        <v>9.2598423772256417</v>
      </c>
      <c r="DM201" s="173">
        <f t="shared" si="560"/>
        <v>12.390233506300961</v>
      </c>
      <c r="DN201" s="173">
        <f t="shared" si="561"/>
        <v>7.9088149429389825</v>
      </c>
      <c r="DP201" s="545">
        <f t="shared" si="562"/>
        <v>2275</v>
      </c>
      <c r="DQ201" s="460">
        <f t="shared" si="563"/>
        <v>196.30880056300509</v>
      </c>
      <c r="DS201">
        <f t="shared" si="612"/>
        <v>2275</v>
      </c>
      <c r="DT201">
        <f t="shared" si="613"/>
        <v>196.30880056300509</v>
      </c>
      <c r="DV201" s="5">
        <f t="shared" si="566"/>
        <v>5.0940151288788043</v>
      </c>
      <c r="DW201" s="5">
        <f t="shared" si="567"/>
        <v>3.06495249892708</v>
      </c>
      <c r="DX201" s="5">
        <f t="shared" si="568"/>
        <v>2.0290626299517243</v>
      </c>
      <c r="DY201" s="173">
        <f t="shared" si="569"/>
        <v>0.60167714884696033</v>
      </c>
      <c r="EA201" s="5">
        <f t="shared" si="570"/>
        <v>24.902739053782522</v>
      </c>
      <c r="EB201" s="5">
        <f t="shared" si="571"/>
        <v>2.3242556450197025</v>
      </c>
      <c r="EC201" s="5">
        <f t="shared" si="572"/>
        <v>4.8590710348843915</v>
      </c>
      <c r="ED201" s="5"/>
      <c r="EE201" s="173">
        <f t="shared" si="573"/>
        <v>5.5488198189783811</v>
      </c>
      <c r="EF201" s="173">
        <f t="shared" si="574"/>
        <v>4.5147787760568869</v>
      </c>
      <c r="EG201" s="173">
        <f t="shared" si="575"/>
        <v>0.45517851594671893</v>
      </c>
      <c r="EH201" s="173"/>
      <c r="EI201" s="528">
        <f t="shared" si="576"/>
        <v>0.36947281660184728</v>
      </c>
      <c r="EJ201" s="528">
        <f t="shared" si="577"/>
        <v>2.2044042553191496</v>
      </c>
      <c r="EK201" s="528">
        <f t="shared" si="578"/>
        <v>2.2575512064745586E-2</v>
      </c>
      <c r="EL201" s="528">
        <f t="shared" si="579"/>
        <v>0.2199797795352525</v>
      </c>
      <c r="EM201">
        <f t="shared" si="580"/>
        <v>8.5500000000000003E-3</v>
      </c>
      <c r="EN201" s="460">
        <f t="shared" si="581"/>
        <v>31.125512064745585</v>
      </c>
      <c r="EP201" s="460">
        <f t="shared" si="601"/>
        <v>2824.9823635209946</v>
      </c>
      <c r="EQ201" s="173">
        <f t="shared" si="582"/>
        <v>1.5924999999999998</v>
      </c>
      <c r="ER201" s="173">
        <f t="shared" si="583"/>
        <v>0.1089725</v>
      </c>
      <c r="ES201" s="528"/>
      <c r="EU201" s="460">
        <f t="shared" si="496"/>
        <v>1701.4724999999996</v>
      </c>
      <c r="EV201" s="528">
        <f t="shared" si="584"/>
        <v>0.43105161936882186</v>
      </c>
      <c r="EW201" s="528">
        <f t="shared" si="585"/>
        <v>0.28536518355427215</v>
      </c>
      <c r="EX201" s="528">
        <f t="shared" si="586"/>
        <v>1.0359374068972874E-3</v>
      </c>
      <c r="EY201" s="528">
        <f t="shared" si="587"/>
        <v>14.588752487337144</v>
      </c>
      <c r="EZ201" s="528"/>
      <c r="FA201" s="625">
        <f t="shared" si="588"/>
        <v>3.01369121325033</v>
      </c>
      <c r="FB201" s="460">
        <f t="shared" si="611"/>
        <v>18319.896440917466</v>
      </c>
      <c r="FC201" s="173">
        <f t="shared" si="589"/>
        <v>22.846351304438461</v>
      </c>
      <c r="FD201" s="5">
        <f t="shared" si="590"/>
        <v>70.524999999999991</v>
      </c>
      <c r="FE201" s="173">
        <f t="shared" si="591"/>
        <v>0.75531733250868738</v>
      </c>
      <c r="FF201" s="5">
        <f t="shared" si="592"/>
        <v>75.53173325086874</v>
      </c>
      <c r="FG201">
        <f t="shared" si="593"/>
        <v>90.999999999999986</v>
      </c>
      <c r="FI201" s="562">
        <f t="shared" si="594"/>
        <v>-50</v>
      </c>
      <c r="FJ201">
        <f t="shared" si="595"/>
        <v>-50</v>
      </c>
    </row>
    <row r="202" spans="5:166">
      <c r="E202" s="170">
        <v>92</v>
      </c>
      <c r="F202" s="217">
        <f t="shared" si="596"/>
        <v>2.3000000000000003</v>
      </c>
      <c r="G202" s="217">
        <f t="shared" si="498"/>
        <v>0.23</v>
      </c>
      <c r="H202" s="217">
        <f t="shared" si="499"/>
        <v>64.400000000000006</v>
      </c>
      <c r="I202" s="217">
        <f t="shared" si="500"/>
        <v>6.9</v>
      </c>
      <c r="J202" s="541">
        <f t="shared" si="501"/>
        <v>18.79349083589921</v>
      </c>
      <c r="K202" s="443">
        <f t="shared" si="502"/>
        <v>28.783751101892278</v>
      </c>
      <c r="L202" s="172">
        <f t="shared" si="503"/>
        <v>47.577241937791484</v>
      </c>
      <c r="M202" s="443"/>
      <c r="N202" s="217">
        <f t="shared" si="504"/>
        <v>0.60498990545790365</v>
      </c>
      <c r="O202" s="172">
        <f t="shared" si="505"/>
        <v>85.579683557250007</v>
      </c>
      <c r="P202" s="172">
        <f t="shared" si="506"/>
        <v>10.151671646459503</v>
      </c>
      <c r="Q202" s="217">
        <f t="shared" si="507"/>
        <v>3.056417269901786</v>
      </c>
      <c r="R202" s="217">
        <f t="shared" si="508"/>
        <v>2.8526561185750001</v>
      </c>
      <c r="S202" s="217">
        <f t="shared" si="509"/>
        <v>28</v>
      </c>
      <c r="T202" s="217">
        <f t="shared" si="510"/>
        <v>12.541917529004518</v>
      </c>
      <c r="U202" s="217">
        <f t="shared" si="511"/>
        <v>3.1365653619667619</v>
      </c>
      <c r="V202" s="217">
        <f t="shared" si="512"/>
        <v>2.047926699256581</v>
      </c>
      <c r="W202" s="197">
        <f t="shared" si="513"/>
        <v>350</v>
      </c>
      <c r="X202" s="443">
        <f t="shared" si="597"/>
        <v>185.71853921032664</v>
      </c>
      <c r="Z202" s="217">
        <f t="shared" si="514"/>
        <v>6.9117764401426394</v>
      </c>
      <c r="AA202" s="173">
        <f t="shared" si="515"/>
        <v>1.1286002701202758</v>
      </c>
      <c r="AB202" s="173">
        <f t="shared" si="516"/>
        <v>1.2330032422917454</v>
      </c>
      <c r="AC202" s="173"/>
      <c r="AD202" s="173">
        <f t="shared" si="517"/>
        <v>0.54428856792180647</v>
      </c>
      <c r="AE202" s="545">
        <f t="shared" si="518"/>
        <v>2535.4197779113629</v>
      </c>
      <c r="AF202" s="528">
        <f t="shared" si="519"/>
        <v>0.31750166462105378</v>
      </c>
      <c r="AH202" s="173">
        <f t="shared" si="520"/>
        <v>9.3105816193826154</v>
      </c>
      <c r="AI202" s="173">
        <f t="shared" si="521"/>
        <v>12.541917529004518</v>
      </c>
      <c r="AJ202" s="173">
        <f t="shared" si="522"/>
        <v>8.0211734782749495</v>
      </c>
      <c r="AL202" s="545">
        <f t="shared" si="523"/>
        <v>2300.0000000000005</v>
      </c>
      <c r="AM202" s="460">
        <f t="shared" si="524"/>
        <v>185.71853921032664</v>
      </c>
      <c r="AO202">
        <f t="shared" si="525"/>
        <v>2300.0000000000005</v>
      </c>
      <c r="AP202">
        <f t="shared" si="526"/>
        <v>185.71853921032664</v>
      </c>
      <c r="AR202" s="5">
        <f t="shared" si="614"/>
        <v>5.3844920612233436</v>
      </c>
      <c r="AS202" s="5">
        <f t="shared" si="602"/>
        <v>3.1365653619667619</v>
      </c>
      <c r="AT202" s="5">
        <f t="shared" si="603"/>
        <v>2.2479266992565816</v>
      </c>
      <c r="AU202" s="173">
        <f t="shared" si="604"/>
        <v>0.58251833716217638</v>
      </c>
      <c r="AW202" s="5">
        <f t="shared" si="475"/>
        <v>25.764644044726975</v>
      </c>
      <c r="AX202" s="5">
        <f t="shared" si="476"/>
        <v>2.4047001108411843</v>
      </c>
      <c r="AY202" s="5">
        <f t="shared" si="477"/>
        <v>5.5021512005784405</v>
      </c>
      <c r="AZ202" s="5"/>
      <c r="BA202" s="173">
        <f t="shared" si="478"/>
        <v>5.5266010333298423</v>
      </c>
      <c r="BB202" s="173">
        <f t="shared" si="479"/>
        <v>4.6786657057877576</v>
      </c>
      <c r="BC202" s="173">
        <f t="shared" si="480"/>
        <v>0.47170154246876572</v>
      </c>
      <c r="BD202" s="173"/>
      <c r="BE202" s="528">
        <f t="shared" si="481"/>
        <v>0.36651982777922981</v>
      </c>
      <c r="BF202" s="528">
        <f t="shared" si="527"/>
        <v>2.0224664723953767</v>
      </c>
      <c r="BG202" s="528">
        <f t="shared" si="482"/>
        <v>2.1357632009187565E-2</v>
      </c>
      <c r="BH202" s="528">
        <f t="shared" si="483"/>
        <v>0.20704274570371162</v>
      </c>
      <c r="BI202">
        <f t="shared" si="484"/>
        <v>8.4570708761546442E-3</v>
      </c>
      <c r="BJ202" s="460">
        <f t="shared" si="598"/>
        <v>29.814702885342207</v>
      </c>
      <c r="BK202">
        <f t="shared" si="528"/>
        <v>2.9520708141456264</v>
      </c>
      <c r="BL202" s="460">
        <f t="shared" si="599"/>
        <v>2625.8437487636606</v>
      </c>
      <c r="BM202" s="173">
        <f t="shared" si="529"/>
        <v>1.5423800000000001</v>
      </c>
      <c r="BN202" s="173">
        <f t="shared" si="530"/>
        <v>0.15423799999999999</v>
      </c>
      <c r="BO202" s="528"/>
      <c r="BQ202" s="460">
        <f t="shared" si="485"/>
        <v>1696.6179999999999</v>
      </c>
      <c r="BR202" s="528">
        <f t="shared" si="486"/>
        <v>0.42760646574243477</v>
      </c>
      <c r="BS202" s="528">
        <f t="shared" si="487"/>
        <v>0.30645877901120244</v>
      </c>
      <c r="BT202" s="528">
        <f t="shared" si="488"/>
        <v>1.1125117258370639E-3</v>
      </c>
      <c r="BU202" s="528">
        <f t="shared" si="489"/>
        <v>13.092361960277552</v>
      </c>
      <c r="BV202" s="528"/>
      <c r="BW202" s="625">
        <f t="shared" si="531"/>
        <v>2.9213469630153508</v>
      </c>
      <c r="BX202" s="460">
        <f t="shared" si="605"/>
        <v>16748.886679772375</v>
      </c>
      <c r="BY202" s="173">
        <f t="shared" si="606"/>
        <v>21.071348428536041</v>
      </c>
      <c r="BZ202" s="5">
        <f t="shared" si="607"/>
        <v>71.300000000000011</v>
      </c>
      <c r="CA202" s="173">
        <f t="shared" si="608"/>
        <v>0.77188436904936941</v>
      </c>
      <c r="CB202" s="5">
        <f t="shared" si="609"/>
        <v>77.188436904936935</v>
      </c>
      <c r="CC202">
        <f t="shared" si="610"/>
        <v>92.000000000000014</v>
      </c>
      <c r="CE202" s="562">
        <f t="shared" si="532"/>
        <v>-50</v>
      </c>
      <c r="CF202">
        <f t="shared" si="533"/>
        <v>-50</v>
      </c>
      <c r="CG202" s="173">
        <f t="shared" si="534"/>
        <v>0.38447255346461451</v>
      </c>
      <c r="CH202" s="173">
        <f t="shared" si="535"/>
        <v>0.12467877742130107</v>
      </c>
      <c r="CI202" s="170">
        <v>92</v>
      </c>
      <c r="CJ202" s="217">
        <f t="shared" si="600"/>
        <v>2.3000000000000003</v>
      </c>
      <c r="CK202" s="217">
        <f t="shared" si="536"/>
        <v>0.23</v>
      </c>
      <c r="CL202" s="217">
        <f t="shared" si="537"/>
        <v>64.400000000000006</v>
      </c>
      <c r="CM202" s="217">
        <f t="shared" si="538"/>
        <v>6.9</v>
      </c>
      <c r="CN202" s="541">
        <f t="shared" si="539"/>
        <v>19</v>
      </c>
      <c r="CO202" s="443">
        <f t="shared" si="540"/>
        <v>28.7</v>
      </c>
      <c r="CP202" s="443">
        <f t="shared" si="541"/>
        <v>47.7</v>
      </c>
      <c r="CQ202" s="443"/>
      <c r="CR202" s="217">
        <f t="shared" si="542"/>
        <v>0.59915611814345993</v>
      </c>
      <c r="CS202" s="172">
        <f t="shared" si="543"/>
        <v>85.685767433419556</v>
      </c>
      <c r="CT202" s="172">
        <f t="shared" si="544"/>
        <v>10.164255575647982</v>
      </c>
      <c r="CU202" s="217">
        <f t="shared" si="545"/>
        <v>3.0602059797649841</v>
      </c>
      <c r="CV202" s="217">
        <f t="shared" si="546"/>
        <v>2.8561922477806521</v>
      </c>
      <c r="CW202" s="217">
        <f t="shared" si="547"/>
        <v>28</v>
      </c>
      <c r="CX202" s="217">
        <f t="shared" si="548"/>
        <v>12.526389918458118</v>
      </c>
      <c r="CY202" s="217">
        <f t="shared" si="549"/>
        <v>3.0986332956185874</v>
      </c>
      <c r="CZ202" s="217">
        <f t="shared" si="550"/>
        <v>2.051360021489657</v>
      </c>
      <c r="DA202" s="197">
        <f t="shared" si="551"/>
        <v>350</v>
      </c>
      <c r="DB202" s="443">
        <f t="shared" si="552"/>
        <v>194.17500925253759</v>
      </c>
      <c r="DD202" s="217">
        <f t="shared" si="553"/>
        <v>6.9494625094785683</v>
      </c>
      <c r="DE202" s="173">
        <f t="shared" si="554"/>
        <v>1.1380652890086853</v>
      </c>
      <c r="DF202" s="173">
        <f t="shared" si="555"/>
        <v>1.2501230996965573</v>
      </c>
      <c r="DG202" s="173"/>
      <c r="DH202" s="173">
        <f t="shared" si="556"/>
        <v>0.54587688734030204</v>
      </c>
      <c r="DI202" s="545">
        <f t="shared" si="557"/>
        <v>2528.0425531914893</v>
      </c>
      <c r="DJ202" s="528">
        <f t="shared" si="558"/>
        <v>0.31842818428184283</v>
      </c>
      <c r="DL202" s="173">
        <f t="shared" si="559"/>
        <v>9.3105816193826154</v>
      </c>
      <c r="DM202" s="173">
        <f t="shared" si="560"/>
        <v>12.526389918458118</v>
      </c>
      <c r="DN202" s="173">
        <f t="shared" si="561"/>
        <v>8.0096715445368769</v>
      </c>
      <c r="DP202" s="545">
        <f t="shared" si="562"/>
        <v>2300.0000000000005</v>
      </c>
      <c r="DQ202" s="460">
        <f t="shared" si="563"/>
        <v>194.17500925253759</v>
      </c>
      <c r="DS202">
        <f t="shared" si="612"/>
        <v>2300.0000000000005</v>
      </c>
      <c r="DT202">
        <f t="shared" si="613"/>
        <v>194.17500925253759</v>
      </c>
      <c r="DV202" s="5">
        <f t="shared" si="566"/>
        <v>5.1499933171082439</v>
      </c>
      <c r="DW202" s="5">
        <f t="shared" si="567"/>
        <v>3.0986332956185874</v>
      </c>
      <c r="DX202" s="5">
        <f t="shared" si="568"/>
        <v>2.0513600214896566</v>
      </c>
      <c r="DY202" s="173">
        <f t="shared" si="569"/>
        <v>0.60167714884696022</v>
      </c>
      <c r="EA202" s="5">
        <f t="shared" si="570"/>
        <v>25.453059214009826</v>
      </c>
      <c r="EB202" s="5">
        <f t="shared" si="571"/>
        <v>2.3756188599742507</v>
      </c>
      <c r="EC202" s="5">
        <f t="shared" si="572"/>
        <v>4.9664505783433794</v>
      </c>
      <c r="ED202" s="5"/>
      <c r="EE202" s="173">
        <f t="shared" si="573"/>
        <v>5.6097958609451783</v>
      </c>
      <c r="EF202" s="173">
        <f t="shared" si="574"/>
        <v>4.5643917296399321</v>
      </c>
      <c r="EG202" s="173">
        <f t="shared" si="575"/>
        <v>0.46018047766041936</v>
      </c>
      <c r="EH202" s="173"/>
      <c r="EI202" s="528">
        <f t="shared" si="576"/>
        <v>0.37763771521773187</v>
      </c>
      <c r="EJ202" s="528">
        <f t="shared" si="577"/>
        <v>2.2044042553191496</v>
      </c>
      <c r="EK202" s="528">
        <f t="shared" si="578"/>
        <v>2.2330126064041826E-2</v>
      </c>
      <c r="EL202" s="528">
        <f t="shared" si="579"/>
        <v>0.21758869497508662</v>
      </c>
      <c r="EM202">
        <f t="shared" si="580"/>
        <v>8.5500000000000003E-3</v>
      </c>
      <c r="EN202" s="460">
        <f t="shared" si="581"/>
        <v>30.880126064041828</v>
      </c>
      <c r="EP202" s="460">
        <f t="shared" si="601"/>
        <v>2830.5107915760095</v>
      </c>
      <c r="EQ202" s="173">
        <f t="shared" si="582"/>
        <v>1.61</v>
      </c>
      <c r="ER202" s="173">
        <f t="shared" si="583"/>
        <v>0.11017</v>
      </c>
      <c r="ES202" s="528"/>
      <c r="EU202" s="460">
        <f t="shared" si="496"/>
        <v>1720.1700000000003</v>
      </c>
      <c r="EV202" s="528">
        <f t="shared" si="584"/>
        <v>0.44057733442068714</v>
      </c>
      <c r="EW202" s="528">
        <f t="shared" si="585"/>
        <v>0.29167140606247577</v>
      </c>
      <c r="EX202" s="528">
        <f t="shared" si="586"/>
        <v>1.0588303600988587E-3</v>
      </c>
      <c r="EY202" s="528">
        <f t="shared" si="587"/>
        <v>14.588752487337148</v>
      </c>
      <c r="EZ202" s="528"/>
      <c r="FA202" s="625">
        <f t="shared" si="588"/>
        <v>3.0468086991102252</v>
      </c>
      <c r="FB202" s="460">
        <f t="shared" si="611"/>
        <v>18368.868757290635</v>
      </c>
      <c r="FC202" s="173">
        <f t="shared" si="589"/>
        <v>22.919549548866645</v>
      </c>
      <c r="FD202" s="5">
        <f t="shared" si="590"/>
        <v>71.300000000000011</v>
      </c>
      <c r="FE202" s="173">
        <f t="shared" si="591"/>
        <v>0.75674316361511051</v>
      </c>
      <c r="FF202" s="5">
        <f t="shared" si="592"/>
        <v>75.674316361511046</v>
      </c>
      <c r="FG202">
        <f t="shared" si="593"/>
        <v>92.000000000000014</v>
      </c>
      <c r="FI202" s="562">
        <f t="shared" si="594"/>
        <v>-50</v>
      </c>
      <c r="FJ202">
        <f t="shared" si="595"/>
        <v>-50</v>
      </c>
    </row>
    <row r="203" spans="5:166">
      <c r="E203" s="170">
        <v>93</v>
      </c>
      <c r="F203" s="217">
        <f t="shared" si="596"/>
        <v>2.3250000000000002</v>
      </c>
      <c r="G203" s="217">
        <f t="shared" si="498"/>
        <v>0.23250000000000001</v>
      </c>
      <c r="H203" s="217">
        <f t="shared" si="499"/>
        <v>65.100000000000009</v>
      </c>
      <c r="I203" s="217">
        <f t="shared" si="500"/>
        <v>6.9750000000000005</v>
      </c>
      <c r="J203" s="541">
        <f t="shared" si="501"/>
        <v>18.791246171072025</v>
      </c>
      <c r="K203" s="443">
        <f t="shared" si="502"/>
        <v>28.784661439956327</v>
      </c>
      <c r="L203" s="172">
        <f t="shared" si="503"/>
        <v>47.575907611028356</v>
      </c>
      <c r="M203" s="443"/>
      <c r="N203" s="217">
        <f t="shared" si="504"/>
        <v>0.60502600760229919</v>
      </c>
      <c r="O203" s="172">
        <f t="shared" si="505"/>
        <v>85.57456832396764</v>
      </c>
      <c r="P203" s="172">
        <f t="shared" si="506"/>
        <v>10.151064864960444</v>
      </c>
      <c r="Q203" s="217">
        <f t="shared" si="507"/>
        <v>3.0562345829988442</v>
      </c>
      <c r="R203" s="217">
        <f t="shared" si="508"/>
        <v>2.8524856107989214</v>
      </c>
      <c r="S203" s="217">
        <f t="shared" si="509"/>
        <v>28</v>
      </c>
      <c r="T203" s="217">
        <f t="shared" si="510"/>
        <v>12.679000563490012</v>
      </c>
      <c r="U203" s="217">
        <f t="shared" si="511"/>
        <v>3.171226756644816</v>
      </c>
      <c r="V203" s="217">
        <f t="shared" si="512"/>
        <v>2.070245042579645</v>
      </c>
      <c r="W203" s="197">
        <f t="shared" si="513"/>
        <v>350</v>
      </c>
      <c r="X203" s="443">
        <f t="shared" si="597"/>
        <v>183.77380916363907</v>
      </c>
      <c r="Z203" s="217">
        <f t="shared" si="514"/>
        <v>6.9113633123134948</v>
      </c>
      <c r="AA203" s="173">
        <f t="shared" si="515"/>
        <v>1.1284971211362878</v>
      </c>
      <c r="AB203" s="173">
        <f t="shared" si="516"/>
        <v>1.2328168595244002</v>
      </c>
      <c r="AC203" s="173"/>
      <c r="AD203" s="173">
        <f t="shared" si="517"/>
        <v>0.54427135435817853</v>
      </c>
      <c r="AE203" s="545">
        <f t="shared" si="518"/>
        <v>2563.0597473663238</v>
      </c>
      <c r="AF203" s="528">
        <f t="shared" si="519"/>
        <v>0.31749162337560416</v>
      </c>
      <c r="AH203" s="173">
        <f t="shared" si="520"/>
        <v>9.3610458460209998</v>
      </c>
      <c r="AI203" s="173">
        <f t="shared" si="521"/>
        <v>12.679000563490012</v>
      </c>
      <c r="AJ203" s="173">
        <f t="shared" si="522"/>
        <v>8.1227164667827232</v>
      </c>
      <c r="AL203" s="545">
        <f t="shared" si="523"/>
        <v>2325</v>
      </c>
      <c r="AM203" s="460">
        <f t="shared" si="524"/>
        <v>183.77380916363907</v>
      </c>
      <c r="AO203">
        <f t="shared" si="525"/>
        <v>2325</v>
      </c>
      <c r="AP203">
        <f t="shared" si="526"/>
        <v>183.77380916363907</v>
      </c>
      <c r="AR203" s="5">
        <f t="shared" si="614"/>
        <v>5.4414717992244617</v>
      </c>
      <c r="AS203" s="5">
        <f t="shared" si="602"/>
        <v>3.171226756644816</v>
      </c>
      <c r="AT203" s="5">
        <f t="shared" si="603"/>
        <v>2.2702450425796457</v>
      </c>
      <c r="AU203" s="173">
        <f t="shared" si="604"/>
        <v>0.58278842079027049</v>
      </c>
      <c r="AW203" s="5">
        <f t="shared" si="475"/>
        <v>26.332507889997135</v>
      </c>
      <c r="AX203" s="5">
        <f t="shared" si="476"/>
        <v>2.4577007363997327</v>
      </c>
      <c r="AY203" s="5">
        <f t="shared" si="477"/>
        <v>5.6178495837315214</v>
      </c>
      <c r="AZ203" s="5"/>
      <c r="BA203" s="173">
        <f t="shared" si="478"/>
        <v>5.5883017808859394</v>
      </c>
      <c r="BB203" s="173">
        <f t="shared" si="479"/>
        <v>4.7282732896982296</v>
      </c>
      <c r="BC203" s="173">
        <f t="shared" si="480"/>
        <v>0.47670296281383789</v>
      </c>
      <c r="BD203" s="173"/>
      <c r="BE203" s="528">
        <f t="shared" si="481"/>
        <v>0.37474940153103559</v>
      </c>
      <c r="BF203" s="528">
        <f t="shared" si="527"/>
        <v>2.023105772739497</v>
      </c>
      <c r="BG203" s="528">
        <f t="shared" si="482"/>
        <v>2.1133988053818498E-2</v>
      </c>
      <c r="BH203" s="528">
        <f t="shared" si="483"/>
        <v>0.20486323025285805</v>
      </c>
      <c r="BI203">
        <f t="shared" si="484"/>
        <v>8.4560607769824103E-3</v>
      </c>
      <c r="BJ203" s="460">
        <f t="shared" si="598"/>
        <v>29.590048830800907</v>
      </c>
      <c r="BK203">
        <f t="shared" si="528"/>
        <v>2.9681897139119426</v>
      </c>
      <c r="BL203" s="460">
        <f t="shared" si="599"/>
        <v>2632.3084533541914</v>
      </c>
      <c r="BM203" s="173">
        <f t="shared" si="529"/>
        <v>1.5591449999999998</v>
      </c>
      <c r="BN203" s="173">
        <f t="shared" si="530"/>
        <v>0.15591450000000001</v>
      </c>
      <c r="BO203" s="528"/>
      <c r="BQ203" s="460">
        <f t="shared" si="485"/>
        <v>1715.0594999999998</v>
      </c>
      <c r="BR203" s="528">
        <f t="shared" si="486"/>
        <v>0.43720763511954147</v>
      </c>
      <c r="BS203" s="528">
        <f t="shared" si="487"/>
        <v>0.31299195622903209</v>
      </c>
      <c r="BT203" s="528">
        <f t="shared" si="488"/>
        <v>1.1362285737774567E-3</v>
      </c>
      <c r="BU203" s="528">
        <f t="shared" si="489"/>
        <v>13.103629355839221</v>
      </c>
      <c r="BV203" s="528"/>
      <c r="BW203" s="625">
        <f t="shared" si="531"/>
        <v>2.9542936400385593</v>
      </c>
      <c r="BX203" s="460">
        <f t="shared" si="605"/>
        <v>16809.258815800131</v>
      </c>
      <c r="BY203" s="173">
        <f t="shared" si="606"/>
        <v>21.156626769154325</v>
      </c>
      <c r="BZ203" s="5">
        <f t="shared" si="607"/>
        <v>72.075000000000003</v>
      </c>
      <c r="CA203" s="173">
        <f t="shared" si="608"/>
        <v>0.77307457241372524</v>
      </c>
      <c r="CB203" s="5">
        <f t="shared" si="609"/>
        <v>77.307457241372518</v>
      </c>
      <c r="CC203">
        <f t="shared" si="610"/>
        <v>93</v>
      </c>
      <c r="CE203" s="562">
        <f t="shared" si="532"/>
        <v>-50</v>
      </c>
      <c r="CF203">
        <f t="shared" si="533"/>
        <v>-50</v>
      </c>
      <c r="CG203" s="173">
        <f t="shared" si="534"/>
        <v>0.38447255346461451</v>
      </c>
      <c r="CH203" s="173">
        <f t="shared" si="535"/>
        <v>0.12467877742130105</v>
      </c>
      <c r="CI203" s="170">
        <v>93</v>
      </c>
      <c r="CJ203" s="217">
        <f t="shared" si="600"/>
        <v>2.3250000000000002</v>
      </c>
      <c r="CK203" s="217">
        <f t="shared" si="536"/>
        <v>0.23250000000000001</v>
      </c>
      <c r="CL203" s="217">
        <f t="shared" si="537"/>
        <v>65.100000000000009</v>
      </c>
      <c r="CM203" s="217">
        <f t="shared" si="538"/>
        <v>6.9750000000000005</v>
      </c>
      <c r="CN203" s="541">
        <f t="shared" si="539"/>
        <v>19</v>
      </c>
      <c r="CO203" s="443">
        <f t="shared" si="540"/>
        <v>28.7</v>
      </c>
      <c r="CP203" s="443">
        <f t="shared" si="541"/>
        <v>47.7</v>
      </c>
      <c r="CQ203" s="443"/>
      <c r="CR203" s="217">
        <f t="shared" si="542"/>
        <v>0.59915611814345993</v>
      </c>
      <c r="CS203" s="172">
        <f t="shared" si="543"/>
        <v>85.685767433419556</v>
      </c>
      <c r="CT203" s="172">
        <f t="shared" si="544"/>
        <v>10.164255575647982</v>
      </c>
      <c r="CU203" s="217">
        <f t="shared" si="545"/>
        <v>3.0602059797649841</v>
      </c>
      <c r="CV203" s="217">
        <f t="shared" si="546"/>
        <v>2.8561922477806521</v>
      </c>
      <c r="CW203" s="217">
        <f t="shared" si="547"/>
        <v>28</v>
      </c>
      <c r="CX203" s="217">
        <f t="shared" si="548"/>
        <v>12.662546330615269</v>
      </c>
      <c r="CY203" s="217">
        <f t="shared" si="549"/>
        <v>3.1323140923100929</v>
      </c>
      <c r="CZ203" s="217">
        <f t="shared" si="550"/>
        <v>2.0736574130275875</v>
      </c>
      <c r="DA203" s="197">
        <f t="shared" si="551"/>
        <v>350</v>
      </c>
      <c r="DB203" s="443">
        <f t="shared" si="552"/>
        <v>192.08710592724148</v>
      </c>
      <c r="DD203" s="217">
        <f t="shared" si="553"/>
        <v>6.9494625094785683</v>
      </c>
      <c r="DE203" s="173">
        <f t="shared" si="554"/>
        <v>1.1380652890086853</v>
      </c>
      <c r="DF203" s="173">
        <f t="shared" si="555"/>
        <v>1.2501230996965573</v>
      </c>
      <c r="DG203" s="173"/>
      <c r="DH203" s="173">
        <f t="shared" si="556"/>
        <v>0.54587688734030204</v>
      </c>
      <c r="DI203" s="545">
        <f t="shared" si="557"/>
        <v>2555.5212765957449</v>
      </c>
      <c r="DJ203" s="528">
        <f t="shared" si="558"/>
        <v>0.31842818428184283</v>
      </c>
      <c r="DL203" s="173">
        <f t="shared" si="559"/>
        <v>9.3610458460209998</v>
      </c>
      <c r="DM203" s="173">
        <f t="shared" si="560"/>
        <v>12.662546330615269</v>
      </c>
      <c r="DN203" s="173">
        <f t="shared" si="561"/>
        <v>8.1105281461347651</v>
      </c>
      <c r="DP203" s="545">
        <f t="shared" si="562"/>
        <v>2325</v>
      </c>
      <c r="DQ203" s="460">
        <f t="shared" si="563"/>
        <v>192.08710592724148</v>
      </c>
      <c r="DS203">
        <f t="shared" si="612"/>
        <v>2325</v>
      </c>
      <c r="DT203">
        <f t="shared" si="613"/>
        <v>192.08710592724148</v>
      </c>
      <c r="DV203" s="5">
        <f t="shared" si="566"/>
        <v>5.2059715053376818</v>
      </c>
      <c r="DW203" s="5">
        <f t="shared" si="567"/>
        <v>3.1323140923100929</v>
      </c>
      <c r="DX203" s="5">
        <f t="shared" si="568"/>
        <v>2.0736574130275889</v>
      </c>
      <c r="DY203" s="173">
        <f t="shared" si="569"/>
        <v>0.60167714884696</v>
      </c>
      <c r="EA203" s="5">
        <f t="shared" si="570"/>
        <v>26.00939380221774</v>
      </c>
      <c r="EB203" s="5">
        <f t="shared" si="571"/>
        <v>2.4275434215403222</v>
      </c>
      <c r="EC203" s="5">
        <f t="shared" si="572"/>
        <v>5.0750036687254152</v>
      </c>
      <c r="ED203" s="5"/>
      <c r="EE203" s="173">
        <f t="shared" si="573"/>
        <v>5.6707719029119712</v>
      </c>
      <c r="EF203" s="173">
        <f t="shared" si="574"/>
        <v>4.6140046832229746</v>
      </c>
      <c r="EG203" s="173">
        <f t="shared" si="575"/>
        <v>0.46518243937411963</v>
      </c>
      <c r="EH203" s="173"/>
      <c r="EI203" s="528">
        <f t="shared" si="576"/>
        <v>0.38589184769827034</v>
      </c>
      <c r="EJ203" s="528">
        <f t="shared" si="577"/>
        <v>2.2044042553191487</v>
      </c>
      <c r="EK203" s="528">
        <f t="shared" si="578"/>
        <v>2.2090017181632771E-2</v>
      </c>
      <c r="EL203" s="528">
        <f t="shared" si="579"/>
        <v>0.21524903158825773</v>
      </c>
      <c r="EM203">
        <f t="shared" si="580"/>
        <v>8.5500000000000003E-3</v>
      </c>
      <c r="EN203" s="460">
        <f t="shared" si="581"/>
        <v>30.640017181632771</v>
      </c>
      <c r="EP203" s="460">
        <f t="shared" si="601"/>
        <v>2836.1851517873097</v>
      </c>
      <c r="EQ203" s="173">
        <f t="shared" si="582"/>
        <v>1.6274999999999999</v>
      </c>
      <c r="ER203" s="173">
        <f t="shared" si="583"/>
        <v>0.11136750000000001</v>
      </c>
      <c r="ES203" s="528"/>
      <c r="EU203" s="460">
        <f t="shared" si="496"/>
        <v>1738.8675000000001</v>
      </c>
      <c r="EV203" s="528">
        <f t="shared" si="584"/>
        <v>0.45020715564798208</v>
      </c>
      <c r="EW203" s="528">
        <f t="shared" si="585"/>
        <v>0.29804654903524957</v>
      </c>
      <c r="EX203" s="528">
        <f t="shared" si="586"/>
        <v>1.0819735095102825E-3</v>
      </c>
      <c r="EY203" s="528">
        <f t="shared" si="587"/>
        <v>14.588752487337159</v>
      </c>
      <c r="EZ203" s="528"/>
      <c r="FA203" s="625">
        <f t="shared" si="588"/>
        <v>3.0799261849701174</v>
      </c>
      <c r="FB203" s="460">
        <f t="shared" si="611"/>
        <v>18418.014350500016</v>
      </c>
      <c r="FC203" s="173">
        <f t="shared" si="589"/>
        <v>22.993067002287326</v>
      </c>
      <c r="FD203" s="5">
        <f t="shared" si="590"/>
        <v>72.075000000000003</v>
      </c>
      <c r="FE203" s="173">
        <f t="shared" si="591"/>
        <v>0.758141006467144</v>
      </c>
      <c r="FF203" s="5">
        <f t="shared" si="592"/>
        <v>75.814100646714394</v>
      </c>
      <c r="FG203">
        <f t="shared" si="593"/>
        <v>93</v>
      </c>
      <c r="FI203" s="562">
        <f t="shared" si="594"/>
        <v>-50</v>
      </c>
      <c r="FJ203">
        <f t="shared" si="595"/>
        <v>-50</v>
      </c>
    </row>
    <row r="204" spans="5:166">
      <c r="E204" s="170">
        <v>94</v>
      </c>
      <c r="F204" s="217">
        <f t="shared" si="596"/>
        <v>2.3499999999999996</v>
      </c>
      <c r="G204" s="217">
        <f t="shared" si="498"/>
        <v>0.23499999999999999</v>
      </c>
      <c r="H204" s="217">
        <f t="shared" si="499"/>
        <v>65.799999999999983</v>
      </c>
      <c r="I204" s="217">
        <f t="shared" si="500"/>
        <v>7.05</v>
      </c>
      <c r="J204" s="541">
        <f t="shared" si="501"/>
        <v>18.789001506244844</v>
      </c>
      <c r="K204" s="443">
        <f t="shared" si="502"/>
        <v>28.785571778020373</v>
      </c>
      <c r="L204" s="172">
        <f t="shared" si="503"/>
        <v>47.574573284265213</v>
      </c>
      <c r="M204" s="443"/>
      <c r="N204" s="217">
        <f t="shared" si="504"/>
        <v>0.60506211177181268</v>
      </c>
      <c r="O204" s="172">
        <f t="shared" si="505"/>
        <v>85.56945215716766</v>
      </c>
      <c r="P204" s="172">
        <f t="shared" si="506"/>
        <v>10.150457972725246</v>
      </c>
      <c r="Q204" s="217">
        <f t="shared" si="507"/>
        <v>3.0560518627559881</v>
      </c>
      <c r="R204" s="217">
        <f t="shared" si="508"/>
        <v>2.8523150719055885</v>
      </c>
      <c r="S204" s="217">
        <f t="shared" si="509"/>
        <v>28</v>
      </c>
      <c r="T204" s="217">
        <f t="shared" si="510"/>
        <v>12.816100127091968</v>
      </c>
      <c r="U204" s="217">
        <f t="shared" si="511"/>
        <v>3.2059005678035573</v>
      </c>
      <c r="V204" s="217">
        <f t="shared" si="512"/>
        <v>2.0925646730882739</v>
      </c>
      <c r="W204" s="197">
        <f t="shared" si="513"/>
        <v>350</v>
      </c>
      <c r="X204" s="443">
        <f t="shared" si="597"/>
        <v>181.86893181810922</v>
      </c>
      <c r="Z204" s="217">
        <f t="shared" si="514"/>
        <v>6.9109501090895291</v>
      </c>
      <c r="AA204" s="173">
        <f t="shared" si="515"/>
        <v>1.1283939663662497</v>
      </c>
      <c r="AB204" s="173">
        <f t="shared" si="516"/>
        <v>1.2326304704605975</v>
      </c>
      <c r="AC204" s="173"/>
      <c r="AD204" s="173">
        <f t="shared" si="517"/>
        <v>0.54425414188330179</v>
      </c>
      <c r="AE204" s="545">
        <f t="shared" si="518"/>
        <v>2590.7014600218331</v>
      </c>
      <c r="AF204" s="528">
        <f t="shared" si="519"/>
        <v>0.3174815827652594</v>
      </c>
      <c r="AH204" s="173">
        <f t="shared" si="520"/>
        <v>9.4112394811432001</v>
      </c>
      <c r="AI204" s="173">
        <f t="shared" si="521"/>
        <v>12.816100127091968</v>
      </c>
      <c r="AJ204" s="173">
        <f t="shared" si="522"/>
        <v>8.2242716990804698</v>
      </c>
      <c r="AL204" s="545">
        <f t="shared" si="523"/>
        <v>2349.9999999999995</v>
      </c>
      <c r="AM204" s="460">
        <f t="shared" si="524"/>
        <v>181.86893181810922</v>
      </c>
      <c r="AO204">
        <f t="shared" si="525"/>
        <v>2349.9999999999995</v>
      </c>
      <c r="AP204">
        <f t="shared" si="526"/>
        <v>181.86893181810922</v>
      </c>
      <c r="AR204" s="5">
        <f t="shared" si="614"/>
        <v>5.4984652408918322</v>
      </c>
      <c r="AS204" s="5">
        <f t="shared" si="602"/>
        <v>3.2059005678035573</v>
      </c>
      <c r="AT204" s="5">
        <f t="shared" si="603"/>
        <v>2.2925646730882749</v>
      </c>
      <c r="AU204" s="173">
        <f t="shared" si="604"/>
        <v>0.58305371178150267</v>
      </c>
      <c r="AW204" s="5">
        <f t="shared" si="475"/>
        <v>26.90666547977985</v>
      </c>
      <c r="AX204" s="5">
        <f t="shared" si="476"/>
        <v>2.5112887781127866</v>
      </c>
      <c r="AY204" s="5">
        <f t="shared" si="477"/>
        <v>5.7347666718391688</v>
      </c>
      <c r="AZ204" s="5"/>
      <c r="BA204" s="173">
        <f t="shared" si="478"/>
        <v>5.6500142946386998</v>
      </c>
      <c r="BB204" s="173">
        <f t="shared" si="479"/>
        <v>4.7778809068031345</v>
      </c>
      <c r="BC204" s="173">
        <f t="shared" si="480"/>
        <v>0.48170438650556197</v>
      </c>
      <c r="BD204" s="173"/>
      <c r="BE204" s="528">
        <f t="shared" si="481"/>
        <v>0.38307193835545972</v>
      </c>
      <c r="BF204" s="528">
        <f t="shared" si="527"/>
        <v>2.0237281752354215</v>
      </c>
      <c r="BG204" s="528">
        <f t="shared" si="482"/>
        <v>2.0914927159082563E-2</v>
      </c>
      <c r="BH204" s="528">
        <f t="shared" si="483"/>
        <v>0.20272838193577666</v>
      </c>
      <c r="BI204">
        <f t="shared" si="484"/>
        <v>8.4550506778101799E-3</v>
      </c>
      <c r="BJ204" s="460">
        <f t="shared" si="598"/>
        <v>29.36997783689274</v>
      </c>
      <c r="BK204">
        <f t="shared" si="528"/>
        <v>2.9846109144030475</v>
      </c>
      <c r="BL204" s="460">
        <f t="shared" si="599"/>
        <v>2638.8984733635507</v>
      </c>
      <c r="BM204" s="173">
        <f t="shared" si="529"/>
        <v>1.5759099999999995</v>
      </c>
      <c r="BN204" s="173">
        <f t="shared" si="530"/>
        <v>0.15759099999999998</v>
      </c>
      <c r="BO204" s="528"/>
      <c r="BQ204" s="460">
        <f t="shared" si="485"/>
        <v>1733.5009999999995</v>
      </c>
      <c r="BR204" s="528">
        <f t="shared" si="486"/>
        <v>0.446917261414703</v>
      </c>
      <c r="BS204" s="528">
        <f t="shared" si="487"/>
        <v>0.31959404343431519</v>
      </c>
      <c r="BT204" s="528">
        <f t="shared" si="488"/>
        <v>1.1601955798934993E-3</v>
      </c>
      <c r="BU204" s="528">
        <f t="shared" si="489"/>
        <v>13.114629434977422</v>
      </c>
      <c r="BV204" s="528"/>
      <c r="BW204" s="625">
        <f t="shared" si="531"/>
        <v>2.987241262272772</v>
      </c>
      <c r="BX204" s="460">
        <f t="shared" si="605"/>
        <v>16869.542197679108</v>
      </c>
      <c r="BY204" s="173">
        <f t="shared" si="606"/>
        <v>21.241941671042657</v>
      </c>
      <c r="BZ204" s="5">
        <f t="shared" si="607"/>
        <v>72.84999999999998</v>
      </c>
      <c r="CA204" s="173">
        <f t="shared" si="608"/>
        <v>0.77424271097192177</v>
      </c>
      <c r="CB204" s="5">
        <f t="shared" si="609"/>
        <v>77.424271097192175</v>
      </c>
      <c r="CC204">
        <f t="shared" si="610"/>
        <v>93.999999999999986</v>
      </c>
      <c r="CE204" s="562">
        <f t="shared" si="532"/>
        <v>-50</v>
      </c>
      <c r="CF204">
        <f t="shared" si="533"/>
        <v>-50</v>
      </c>
      <c r="CG204" s="173">
        <f t="shared" si="534"/>
        <v>0.38447255346461451</v>
      </c>
      <c r="CH204" s="173">
        <f t="shared" si="535"/>
        <v>0.12467877742130108</v>
      </c>
      <c r="CI204" s="170">
        <v>94</v>
      </c>
      <c r="CJ204" s="217">
        <f t="shared" si="600"/>
        <v>2.3499999999999996</v>
      </c>
      <c r="CK204" s="217">
        <f t="shared" si="536"/>
        <v>0.23499999999999999</v>
      </c>
      <c r="CL204" s="217">
        <f t="shared" si="537"/>
        <v>65.799999999999983</v>
      </c>
      <c r="CM204" s="217">
        <f t="shared" si="538"/>
        <v>7.05</v>
      </c>
      <c r="CN204" s="541">
        <f t="shared" si="539"/>
        <v>19</v>
      </c>
      <c r="CO204" s="443">
        <f t="shared" si="540"/>
        <v>28.7</v>
      </c>
      <c r="CP204" s="443">
        <f t="shared" si="541"/>
        <v>47.7</v>
      </c>
      <c r="CQ204" s="443"/>
      <c r="CR204" s="217">
        <f t="shared" si="542"/>
        <v>0.59915611814345993</v>
      </c>
      <c r="CS204" s="172">
        <f t="shared" si="543"/>
        <v>85.685767433419556</v>
      </c>
      <c r="CT204" s="172">
        <f t="shared" si="544"/>
        <v>10.164255575647982</v>
      </c>
      <c r="CU204" s="217">
        <f t="shared" si="545"/>
        <v>3.0602059797649841</v>
      </c>
      <c r="CV204" s="217">
        <f t="shared" si="546"/>
        <v>2.8561922477806521</v>
      </c>
      <c r="CW204" s="217">
        <f t="shared" si="547"/>
        <v>28</v>
      </c>
      <c r="CX204" s="217">
        <f t="shared" si="548"/>
        <v>12.79870274277242</v>
      </c>
      <c r="CY204" s="217">
        <f t="shared" si="549"/>
        <v>3.1659948890015985</v>
      </c>
      <c r="CZ204" s="217">
        <f t="shared" si="550"/>
        <v>2.0959548045655181</v>
      </c>
      <c r="DA204" s="197">
        <f t="shared" si="551"/>
        <v>350</v>
      </c>
      <c r="DB204" s="443">
        <f t="shared" si="552"/>
        <v>190.04362607695177</v>
      </c>
      <c r="DD204" s="217">
        <f t="shared" si="553"/>
        <v>6.9494625094785683</v>
      </c>
      <c r="DE204" s="173">
        <f t="shared" si="554"/>
        <v>1.1380652890086853</v>
      </c>
      <c r="DF204" s="173">
        <f t="shared" si="555"/>
        <v>1.2501230996965573</v>
      </c>
      <c r="DG204" s="173"/>
      <c r="DH204" s="173">
        <f t="shared" si="556"/>
        <v>0.54587688734030204</v>
      </c>
      <c r="DI204" s="545">
        <f t="shared" si="557"/>
        <v>2582.9999999999995</v>
      </c>
      <c r="DJ204" s="528">
        <f t="shared" si="558"/>
        <v>0.31842818428184283</v>
      </c>
      <c r="DL204" s="173">
        <f t="shared" si="559"/>
        <v>9.4112394811432001</v>
      </c>
      <c r="DM204" s="173">
        <f t="shared" si="560"/>
        <v>12.79870274277242</v>
      </c>
      <c r="DN204" s="173">
        <f t="shared" si="561"/>
        <v>8.2113847477326551</v>
      </c>
      <c r="DP204" s="545">
        <f t="shared" si="562"/>
        <v>2349.9999999999995</v>
      </c>
      <c r="DQ204" s="460">
        <f t="shared" si="563"/>
        <v>190.04362607695177</v>
      </c>
      <c r="DS204">
        <f t="shared" si="612"/>
        <v>2349.9999999999995</v>
      </c>
      <c r="DT204">
        <f t="shared" si="613"/>
        <v>190.04362607695177</v>
      </c>
      <c r="DV204" s="5">
        <f t="shared" si="566"/>
        <v>5.2619496935671162</v>
      </c>
      <c r="DW204" s="5">
        <f t="shared" si="567"/>
        <v>3.1659948890015985</v>
      </c>
      <c r="DX204" s="5">
        <f t="shared" si="568"/>
        <v>2.0959548045655176</v>
      </c>
      <c r="DY204" s="173">
        <f t="shared" si="569"/>
        <v>0.60167714884696022</v>
      </c>
      <c r="EA204" s="5">
        <f t="shared" si="570"/>
        <v>26.571742818406268</v>
      </c>
      <c r="EB204" s="5">
        <f t="shared" si="571"/>
        <v>2.4800293297179188</v>
      </c>
      <c r="EC204" s="5">
        <f t="shared" si="572"/>
        <v>5.184730306030489</v>
      </c>
      <c r="ED204" s="5"/>
      <c r="EE204" s="173">
        <f t="shared" si="573"/>
        <v>5.7317479448787667</v>
      </c>
      <c r="EF204" s="173">
        <f t="shared" si="574"/>
        <v>4.6636176368060163</v>
      </c>
      <c r="EG204" s="173">
        <f t="shared" si="575"/>
        <v>0.47018440108781961</v>
      </c>
      <c r="EH204" s="173"/>
      <c r="EI204" s="528">
        <f t="shared" si="576"/>
        <v>0.39423521404346362</v>
      </c>
      <c r="EJ204" s="528">
        <f t="shared" si="577"/>
        <v>2.2044042553191496</v>
      </c>
      <c r="EK204" s="528">
        <f t="shared" si="578"/>
        <v>2.1855016998849456E-2</v>
      </c>
      <c r="EL204" s="528">
        <f t="shared" si="579"/>
        <v>0.21295914827348914</v>
      </c>
      <c r="EM204">
        <f t="shared" si="580"/>
        <v>8.5500000000000003E-3</v>
      </c>
      <c r="EN204" s="460">
        <f t="shared" si="581"/>
        <v>30.405016998849455</v>
      </c>
      <c r="EP204" s="460">
        <f t="shared" si="601"/>
        <v>2842.0036346349516</v>
      </c>
      <c r="EQ204" s="173">
        <f t="shared" si="582"/>
        <v>1.6449999999999996</v>
      </c>
      <c r="ER204" s="173">
        <f t="shared" si="583"/>
        <v>0.11256499999999998</v>
      </c>
      <c r="ES204" s="528"/>
      <c r="EU204" s="460">
        <f t="shared" si="496"/>
        <v>1757.5649999999996</v>
      </c>
      <c r="EV204" s="528">
        <f t="shared" si="584"/>
        <v>0.45994108305070752</v>
      </c>
      <c r="EW204" s="528">
        <f t="shared" si="585"/>
        <v>0.30449061247259385</v>
      </c>
      <c r="EX204" s="528">
        <f t="shared" si="586"/>
        <v>1.1053668551315582E-3</v>
      </c>
      <c r="EY204" s="528">
        <f t="shared" si="587"/>
        <v>14.588752487337171</v>
      </c>
      <c r="EZ204" s="528"/>
      <c r="FA204" s="625">
        <f t="shared" si="588"/>
        <v>3.1130436708300118</v>
      </c>
      <c r="FB204" s="460">
        <f t="shared" si="611"/>
        <v>18467.333220545617</v>
      </c>
      <c r="FC204" s="173">
        <f t="shared" si="589"/>
        <v>23.066901855180568</v>
      </c>
      <c r="FD204" s="5">
        <f t="shared" si="590"/>
        <v>72.84999999999998</v>
      </c>
      <c r="FE204" s="173">
        <f t="shared" si="591"/>
        <v>0.75951160422166297</v>
      </c>
      <c r="FF204" s="5">
        <f t="shared" si="592"/>
        <v>75.951160422166296</v>
      </c>
      <c r="FG204">
        <f t="shared" si="593"/>
        <v>93.999999999999986</v>
      </c>
      <c r="FI204" s="562">
        <f t="shared" si="594"/>
        <v>-50</v>
      </c>
      <c r="FJ204">
        <f t="shared" si="595"/>
        <v>-50</v>
      </c>
    </row>
    <row r="205" spans="5:166">
      <c r="E205" s="170">
        <v>95</v>
      </c>
      <c r="F205" s="217">
        <f t="shared" si="596"/>
        <v>2.375</v>
      </c>
      <c r="G205" s="217">
        <f t="shared" si="498"/>
        <v>0.23749999999999999</v>
      </c>
      <c r="H205" s="217">
        <f t="shared" si="499"/>
        <v>66.5</v>
      </c>
      <c r="I205" s="217">
        <f t="shared" si="500"/>
        <v>7.125</v>
      </c>
      <c r="J205" s="541">
        <f t="shared" si="501"/>
        <v>18.786756841417663</v>
      </c>
      <c r="K205" s="443">
        <f t="shared" si="502"/>
        <v>28.786482116084418</v>
      </c>
      <c r="L205" s="172">
        <f t="shared" si="503"/>
        <v>47.573238957502085</v>
      </c>
      <c r="M205" s="443"/>
      <c r="N205" s="217">
        <f t="shared" si="504"/>
        <v>0.60509821796661423</v>
      </c>
      <c r="O205" s="172">
        <f t="shared" si="505"/>
        <v>85.564335056771498</v>
      </c>
      <c r="P205" s="172">
        <f t="shared" si="506"/>
        <v>10.149850969744577</v>
      </c>
      <c r="Q205" s="217">
        <f t="shared" si="507"/>
        <v>3.0558691091704104</v>
      </c>
      <c r="R205" s="217">
        <f t="shared" si="508"/>
        <v>2.8521445018923832</v>
      </c>
      <c r="S205" s="217">
        <f t="shared" si="509"/>
        <v>28</v>
      </c>
      <c r="T205" s="217">
        <f t="shared" si="510"/>
        <v>12.9532162272746</v>
      </c>
      <c r="U205" s="217">
        <f t="shared" si="511"/>
        <v>3.240586801760966</v>
      </c>
      <c r="V205" s="217">
        <f t="shared" si="512"/>
        <v>2.114885591879041</v>
      </c>
      <c r="W205" s="197">
        <f t="shared" si="513"/>
        <v>350</v>
      </c>
      <c r="X205" s="443">
        <f t="shared" si="597"/>
        <v>180.00269448639793</v>
      </c>
      <c r="Z205" s="217">
        <f t="shared" si="514"/>
        <v>6.9105368304643919</v>
      </c>
      <c r="AA205" s="173">
        <f t="shared" si="515"/>
        <v>1.1282908058096737</v>
      </c>
      <c r="AB205" s="173">
        <f t="shared" si="516"/>
        <v>1.2324440751034929</v>
      </c>
      <c r="AC205" s="173"/>
      <c r="AD205" s="173">
        <f t="shared" si="517"/>
        <v>0.54423693049707289</v>
      </c>
      <c r="AE205" s="545">
        <f t="shared" si="518"/>
        <v>2618.3449158778913</v>
      </c>
      <c r="AF205" s="528">
        <f t="shared" si="519"/>
        <v>0.3174715427899592</v>
      </c>
      <c r="AH205" s="173">
        <f t="shared" si="520"/>
        <v>9.461166831398236</v>
      </c>
      <c r="AI205" s="173">
        <f t="shared" si="521"/>
        <v>12.9532162272746</v>
      </c>
      <c r="AJ205" s="173">
        <f t="shared" si="522"/>
        <v>8.3258391806972334</v>
      </c>
      <c r="AL205" s="545">
        <f t="shared" si="523"/>
        <v>2375</v>
      </c>
      <c r="AM205" s="460">
        <f t="shared" si="524"/>
        <v>180.00269448639793</v>
      </c>
      <c r="AO205">
        <f t="shared" si="525"/>
        <v>2375</v>
      </c>
      <c r="AP205">
        <f t="shared" si="526"/>
        <v>180.00269448639793</v>
      </c>
      <c r="AR205" s="5">
        <f t="shared" si="614"/>
        <v>5.5554723936400077</v>
      </c>
      <c r="AS205" s="5">
        <f t="shared" si="602"/>
        <v>3.240586801760966</v>
      </c>
      <c r="AT205" s="5">
        <f t="shared" si="603"/>
        <v>2.3148855918790416</v>
      </c>
      <c r="AU205" s="173">
        <f t="shared" si="604"/>
        <v>0.58331435603403248</v>
      </c>
      <c r="AW205" s="5">
        <f t="shared" si="475"/>
        <v>27.487120193508197</v>
      </c>
      <c r="AX205" s="5">
        <f t="shared" si="476"/>
        <v>2.5654645513940979</v>
      </c>
      <c r="AY205" s="5">
        <f t="shared" si="477"/>
        <v>5.8529030072844135</v>
      </c>
      <c r="AZ205" s="5"/>
      <c r="BA205" s="173">
        <f t="shared" si="478"/>
        <v>5.7117385584308087</v>
      </c>
      <c r="BB205" s="173">
        <f t="shared" si="479"/>
        <v>4.8274886000533197</v>
      </c>
      <c r="BC205" s="173">
        <f t="shared" si="480"/>
        <v>0.48670581787422812</v>
      </c>
      <c r="BD205" s="173"/>
      <c r="BE205" s="528">
        <f t="shared" si="481"/>
        <v>0.39148748831838304</v>
      </c>
      <c r="BF205" s="528">
        <f t="shared" si="527"/>
        <v>2.0243341935884231</v>
      </c>
      <c r="BG205" s="528">
        <f t="shared" si="482"/>
        <v>2.0700309865935764E-2</v>
      </c>
      <c r="BH205" s="528">
        <f t="shared" si="483"/>
        <v>0.20063684156599157</v>
      </c>
      <c r="BI205">
        <f t="shared" si="484"/>
        <v>8.4540405786379478E-3</v>
      </c>
      <c r="BJ205" s="460">
        <f t="shared" si="598"/>
        <v>29.154350444573712</v>
      </c>
      <c r="BK205">
        <f t="shared" si="528"/>
        <v>3.0013367698878648</v>
      </c>
      <c r="BL205" s="460">
        <f t="shared" si="599"/>
        <v>2645.6128739173714</v>
      </c>
      <c r="BM205" s="173">
        <f t="shared" si="529"/>
        <v>1.5926749999999998</v>
      </c>
      <c r="BN205" s="173">
        <f t="shared" si="530"/>
        <v>0.15926749999999998</v>
      </c>
      <c r="BO205" s="528"/>
      <c r="BQ205" s="460">
        <f t="shared" si="485"/>
        <v>1751.9424999999997</v>
      </c>
      <c r="BR205" s="528">
        <f t="shared" si="486"/>
        <v>0.45673540303811355</v>
      </c>
      <c r="BS205" s="528">
        <f t="shared" si="487"/>
        <v>0.32626504657102662</v>
      </c>
      <c r="BT205" s="528">
        <f t="shared" si="488"/>
        <v>1.1844127657631065E-3</v>
      </c>
      <c r="BU205" s="528">
        <f t="shared" si="489"/>
        <v>13.125370090092657</v>
      </c>
      <c r="BV205" s="528"/>
      <c r="BW205" s="625">
        <f t="shared" si="531"/>
        <v>3.0201898010079917</v>
      </c>
      <c r="BX205" s="460">
        <f t="shared" si="605"/>
        <v>16929.744753475552</v>
      </c>
      <c r="BY205" s="173">
        <f t="shared" si="606"/>
        <v>21.32730012739292</v>
      </c>
      <c r="BZ205" s="5">
        <f t="shared" si="607"/>
        <v>73.625</v>
      </c>
      <c r="CA205" s="173">
        <f t="shared" si="608"/>
        <v>0.77538932602181188</v>
      </c>
      <c r="CB205" s="5">
        <f t="shared" si="609"/>
        <v>77.538932602181191</v>
      </c>
      <c r="CC205">
        <f t="shared" si="610"/>
        <v>95</v>
      </c>
      <c r="CE205" s="562">
        <f t="shared" si="532"/>
        <v>-50</v>
      </c>
      <c r="CF205">
        <f t="shared" si="533"/>
        <v>-50</v>
      </c>
      <c r="CG205" s="173">
        <f t="shared" si="534"/>
        <v>0.38447255346461445</v>
      </c>
      <c r="CH205" s="173">
        <f t="shared" si="535"/>
        <v>0.12467877742130105</v>
      </c>
      <c r="CI205" s="170">
        <v>95</v>
      </c>
      <c r="CJ205" s="217">
        <f t="shared" si="600"/>
        <v>2.375</v>
      </c>
      <c r="CK205" s="217">
        <f t="shared" si="536"/>
        <v>0.23749999999999999</v>
      </c>
      <c r="CL205" s="217">
        <f t="shared" si="537"/>
        <v>66.5</v>
      </c>
      <c r="CM205" s="217">
        <f t="shared" si="538"/>
        <v>7.125</v>
      </c>
      <c r="CN205" s="541">
        <f t="shared" si="539"/>
        <v>19</v>
      </c>
      <c r="CO205" s="443">
        <f t="shared" si="540"/>
        <v>28.7</v>
      </c>
      <c r="CP205" s="443">
        <f t="shared" si="541"/>
        <v>47.7</v>
      </c>
      <c r="CQ205" s="443"/>
      <c r="CR205" s="217">
        <f t="shared" si="542"/>
        <v>0.59915611814345993</v>
      </c>
      <c r="CS205" s="172">
        <f t="shared" si="543"/>
        <v>85.685767433419556</v>
      </c>
      <c r="CT205" s="172">
        <f t="shared" si="544"/>
        <v>10.164255575647982</v>
      </c>
      <c r="CU205" s="217">
        <f t="shared" si="545"/>
        <v>3.0602059797649841</v>
      </c>
      <c r="CV205" s="217">
        <f t="shared" si="546"/>
        <v>2.8561922477806521</v>
      </c>
      <c r="CW205" s="217">
        <f t="shared" si="547"/>
        <v>28</v>
      </c>
      <c r="CX205" s="217">
        <f t="shared" si="548"/>
        <v>12.934859154929576</v>
      </c>
      <c r="CY205" s="217">
        <f t="shared" si="549"/>
        <v>3.1996756856931059</v>
      </c>
      <c r="CZ205" s="217">
        <f t="shared" si="550"/>
        <v>2.1182521961034499</v>
      </c>
      <c r="DA205" s="197">
        <f t="shared" si="551"/>
        <v>350</v>
      </c>
      <c r="DB205" s="443">
        <f t="shared" si="552"/>
        <v>188.04316685508903</v>
      </c>
      <c r="DD205" s="217">
        <f t="shared" si="553"/>
        <v>6.9494625094785683</v>
      </c>
      <c r="DE205" s="173">
        <f t="shared" si="554"/>
        <v>1.1380652890086853</v>
      </c>
      <c r="DF205" s="173">
        <f t="shared" si="555"/>
        <v>1.2501230996965573</v>
      </c>
      <c r="DG205" s="173"/>
      <c r="DH205" s="173">
        <f t="shared" si="556"/>
        <v>0.54587688734030204</v>
      </c>
      <c r="DI205" s="545">
        <f t="shared" si="557"/>
        <v>2610.4787234042551</v>
      </c>
      <c r="DJ205" s="528">
        <f t="shared" si="558"/>
        <v>0.31842818428184283</v>
      </c>
      <c r="DL205" s="173">
        <f t="shared" si="559"/>
        <v>9.461166831398236</v>
      </c>
      <c r="DM205" s="173">
        <f t="shared" si="560"/>
        <v>12.934859154929576</v>
      </c>
      <c r="DN205" s="173">
        <f t="shared" si="561"/>
        <v>8.3122413493305487</v>
      </c>
      <c r="DP205" s="545">
        <f t="shared" si="562"/>
        <v>2375</v>
      </c>
      <c r="DQ205" s="460">
        <f t="shared" si="563"/>
        <v>188.04316685508903</v>
      </c>
      <c r="DS205">
        <f t="shared" si="612"/>
        <v>2375</v>
      </c>
      <c r="DT205">
        <f t="shared" si="613"/>
        <v>188.04316685508903</v>
      </c>
      <c r="DV205" s="5">
        <f t="shared" si="566"/>
        <v>5.3179278817965558</v>
      </c>
      <c r="DW205" s="5">
        <f t="shared" si="567"/>
        <v>3.1996756856931059</v>
      </c>
      <c r="DX205" s="5">
        <f t="shared" si="568"/>
        <v>2.1182521961034499</v>
      </c>
      <c r="DY205" s="173">
        <f t="shared" si="569"/>
        <v>0.60167714884696011</v>
      </c>
      <c r="EA205" s="5">
        <f t="shared" si="570"/>
        <v>27.140106262575451</v>
      </c>
      <c r="EB205" s="5">
        <f t="shared" si="571"/>
        <v>2.5330765845070422</v>
      </c>
      <c r="EC205" s="5">
        <f t="shared" si="572"/>
        <v>5.295630490258624</v>
      </c>
      <c r="ED205" s="5"/>
      <c r="EE205" s="173">
        <f t="shared" si="573"/>
        <v>5.7927239868455631</v>
      </c>
      <c r="EF205" s="173">
        <f t="shared" si="574"/>
        <v>4.7132305903890597</v>
      </c>
      <c r="EG205" s="173">
        <f t="shared" si="575"/>
        <v>0.47518636280151999</v>
      </c>
      <c r="EH205" s="173"/>
      <c r="EI205" s="528">
        <f t="shared" si="576"/>
        <v>0.4026678142533115</v>
      </c>
      <c r="EJ205" s="528">
        <f t="shared" si="577"/>
        <v>2.2044042553191492</v>
      </c>
      <c r="EK205" s="528">
        <f t="shared" si="578"/>
        <v>2.162496418833524E-2</v>
      </c>
      <c r="EL205" s="528">
        <f t="shared" si="579"/>
        <v>0.21071747302850494</v>
      </c>
      <c r="EM205">
        <f t="shared" si="580"/>
        <v>8.5500000000000003E-3</v>
      </c>
      <c r="EN205" s="460">
        <f t="shared" si="581"/>
        <v>30.174964188335242</v>
      </c>
      <c r="EP205" s="460">
        <f t="shared" si="601"/>
        <v>2847.9645067893007</v>
      </c>
      <c r="EQ205" s="173">
        <f t="shared" si="582"/>
        <v>1.6624999999999999</v>
      </c>
      <c r="ER205" s="173">
        <f t="shared" si="583"/>
        <v>0.11376249999999999</v>
      </c>
      <c r="ES205" s="528"/>
      <c r="EU205" s="460">
        <f t="shared" si="496"/>
        <v>1776.2624999999998</v>
      </c>
      <c r="EV205" s="528">
        <f t="shared" si="584"/>
        <v>0.4697791166288634</v>
      </c>
      <c r="EW205" s="528">
        <f t="shared" si="585"/>
        <v>0.31100359637450886</v>
      </c>
      <c r="EX205" s="528">
        <f t="shared" si="586"/>
        <v>1.1290103969626888E-3</v>
      </c>
      <c r="EY205" s="528">
        <f t="shared" si="587"/>
        <v>14.588752487337148</v>
      </c>
      <c r="EZ205" s="528"/>
      <c r="FA205" s="625">
        <f t="shared" si="588"/>
        <v>3.1461611566899048</v>
      </c>
      <c r="FB205" s="460">
        <f t="shared" si="611"/>
        <v>18516.825367427387</v>
      </c>
      <c r="FC205" s="173">
        <f t="shared" si="589"/>
        <v>23.141052374216692</v>
      </c>
      <c r="FD205" s="5">
        <f t="shared" si="590"/>
        <v>73.625</v>
      </c>
      <c r="FE205" s="173">
        <f t="shared" si="591"/>
        <v>0.76085567400512644</v>
      </c>
      <c r="FF205" s="5">
        <f t="shared" si="592"/>
        <v>76.085567400512645</v>
      </c>
      <c r="FG205">
        <f t="shared" si="593"/>
        <v>95</v>
      </c>
      <c r="FI205" s="562">
        <f t="shared" si="594"/>
        <v>-50</v>
      </c>
      <c r="FJ205">
        <f t="shared" si="595"/>
        <v>-50</v>
      </c>
    </row>
    <row r="206" spans="5:166">
      <c r="E206" s="170">
        <v>96</v>
      </c>
      <c r="F206" s="217">
        <f t="shared" si="596"/>
        <v>2.4</v>
      </c>
      <c r="G206" s="217">
        <f t="shared" si="498"/>
        <v>0.24</v>
      </c>
      <c r="H206" s="217">
        <f t="shared" si="499"/>
        <v>67.2</v>
      </c>
      <c r="I206" s="217">
        <f t="shared" si="500"/>
        <v>7.1999999999999993</v>
      </c>
      <c r="J206" s="541">
        <f t="shared" si="501"/>
        <v>18.784512176590479</v>
      </c>
      <c r="K206" s="443">
        <f t="shared" si="502"/>
        <v>28.787392454148467</v>
      </c>
      <c r="L206" s="172">
        <f t="shared" si="503"/>
        <v>47.571904630738942</v>
      </c>
      <c r="M206" s="443"/>
      <c r="N206" s="217">
        <f t="shared" si="504"/>
        <v>0.60513432618687457</v>
      </c>
      <c r="O206" s="172">
        <f>N206*J206*Isw_max*0.5*Efficiency*Pout/(Pout+Pout2)</f>
        <v>85.559217022700594</v>
      </c>
      <c r="P206" s="172">
        <f t="shared" si="506"/>
        <v>10.149243856009125</v>
      </c>
      <c r="Q206" s="217">
        <f t="shared" si="507"/>
        <v>3.0556863222393069</v>
      </c>
      <c r="R206" s="217">
        <f t="shared" si="508"/>
        <v>2.8519739007566867</v>
      </c>
      <c r="S206" s="217">
        <f t="shared" si="509"/>
        <v>28</v>
      </c>
      <c r="T206" s="217">
        <f t="shared" si="510"/>
        <v>13.090348871505469</v>
      </c>
      <c r="U206" s="217">
        <f t="shared" si="511"/>
        <v>3.2752854648388783</v>
      </c>
      <c r="V206" s="217">
        <f t="shared" si="512"/>
        <v>2.1372078000489263</v>
      </c>
      <c r="W206" s="197">
        <f t="shared" si="513"/>
        <v>350</v>
      </c>
      <c r="X206" s="443">
        <f t="shared" si="597"/>
        <v>178.17393318867354</v>
      </c>
      <c r="Z206" s="217">
        <f t="shared" si="514"/>
        <v>6.9101234764317434</v>
      </c>
      <c r="AA206" s="173">
        <f t="shared" si="515"/>
        <v>1.1281876394660726</v>
      </c>
      <c r="AB206" s="173">
        <f>0.5*AA206*Z206*Nps*W206/1000*(Pout/(Pout+Pout2))</f>
        <v>1.232257673456246</v>
      </c>
      <c r="AC206" s="173"/>
      <c r="AD206" s="173">
        <f t="shared" si="517"/>
        <v>0.54421972019938847</v>
      </c>
      <c r="AE206" s="545">
        <f>MAX(10, F206/(0.5*AD206/1000000*Isw_min*Nps)/1000*Pout_total/Pout)</f>
        <v>2645.9901149344973</v>
      </c>
      <c r="AF206" s="528">
        <f t="shared" si="519"/>
        <v>0.31746150344964325</v>
      </c>
      <c r="AH206" s="173">
        <f t="shared" si="520"/>
        <v>9.5108320903941799</v>
      </c>
      <c r="AI206" s="173">
        <f>MAX(IF(F206&gt;AB206,T206,AH206),Isw_min)</f>
        <v>13.090348871505469</v>
      </c>
      <c r="AJ206" s="173">
        <f>IF(F206&gt;AF206, (AI206-Isw_min)/1.08*0.8+1.2, AE206*0.2/350+1)</f>
        <v>8.4274189171645446</v>
      </c>
      <c r="AL206" s="545">
        <f t="shared" si="523"/>
        <v>2400</v>
      </c>
      <c r="AM206" s="460">
        <f t="shared" si="524"/>
        <v>178.17393318867354</v>
      </c>
      <c r="AO206">
        <f t="shared" si="525"/>
        <v>2400</v>
      </c>
      <c r="AP206">
        <f t="shared" si="526"/>
        <v>178.17393318867354</v>
      </c>
      <c r="AR206" s="5">
        <f t="shared" si="614"/>
        <v>5.6124932648878048</v>
      </c>
      <c r="AS206" s="5">
        <f t="shared" si="602"/>
        <v>3.2752854648388783</v>
      </c>
      <c r="AT206" s="5">
        <f t="shared" si="603"/>
        <v>2.3372078000489265</v>
      </c>
      <c r="AU206" s="173">
        <f t="shared" si="604"/>
        <v>0.58357049358603585</v>
      </c>
      <c r="AW206" s="5">
        <f t="shared" si="475"/>
        <v>28.07387541290467</v>
      </c>
      <c r="AX206" s="5">
        <f t="shared" si="476"/>
        <v>2.6202283718711024</v>
      </c>
      <c r="AY206" s="5">
        <f t="shared" si="477"/>
        <v>5.9722591328273191</v>
      </c>
      <c r="AZ206" s="5"/>
      <c r="BA206" s="173">
        <f t="shared" si="478"/>
        <v>5.7734745569281571</v>
      </c>
      <c r="BB206" s="173">
        <f t="shared" si="479"/>
        <v>4.877096410749405</v>
      </c>
      <c r="BC206" s="173">
        <f t="shared" si="480"/>
        <v>0.49170726108375157</v>
      </c>
      <c r="BD206" s="173"/>
      <c r="BE206" s="528">
        <f t="shared" si="481"/>
        <v>0.39999610151396137</v>
      </c>
      <c r="BF206" s="528">
        <f t="shared" si="527"/>
        <v>2.0249243208708321</v>
      </c>
      <c r="BG206" s="528">
        <f t="shared" si="482"/>
        <v>2.049000231669746E-2</v>
      </c>
      <c r="BH206" s="528">
        <f t="shared" si="483"/>
        <v>0.19858730454866219</v>
      </c>
      <c r="BI206">
        <f t="shared" si="484"/>
        <v>8.4530304794657157E-3</v>
      </c>
      <c r="BJ206" s="460">
        <f t="shared" si="598"/>
        <v>28.943032796163177</v>
      </c>
      <c r="BK206">
        <f t="shared" si="528"/>
        <v>3.0183697384258421</v>
      </c>
      <c r="BL206" s="460">
        <f t="shared" si="599"/>
        <v>2652.4507597296192</v>
      </c>
      <c r="BM206" s="173">
        <f t="shared" si="529"/>
        <v>1.60944</v>
      </c>
      <c r="BN206" s="173">
        <f t="shared" si="530"/>
        <v>0.16094399999999998</v>
      </c>
      <c r="BO206" s="528"/>
      <c r="BQ206" s="460">
        <f t="shared" si="485"/>
        <v>1770.384</v>
      </c>
      <c r="BR206" s="528">
        <f t="shared" si="486"/>
        <v>0.46666211843295496</v>
      </c>
      <c r="BS206" s="528">
        <f t="shared" si="487"/>
        <v>0.33300497159642622</v>
      </c>
      <c r="BT206" s="528">
        <f t="shared" si="488"/>
        <v>1.2088801530124231E-3</v>
      </c>
      <c r="BU206" s="528">
        <f t="shared" si="489"/>
        <v>13.135858905907238</v>
      </c>
      <c r="BV206" s="528"/>
      <c r="BW206" s="625">
        <f t="shared" si="531"/>
        <v>3.0531392286873413</v>
      </c>
      <c r="BX206" s="460">
        <f t="shared" si="605"/>
        <v>16989.874104776973</v>
      </c>
      <c r="BY206" s="173">
        <f t="shared" si="606"/>
        <v>21.412708864506595</v>
      </c>
      <c r="BZ206" s="5">
        <f t="shared" si="607"/>
        <v>74.400000000000006</v>
      </c>
      <c r="CA206" s="173">
        <f t="shared" si="608"/>
        <v>0.77651494130296073</v>
      </c>
      <c r="CB206" s="5">
        <f t="shared" si="609"/>
        <v>77.651494130296072</v>
      </c>
      <c r="CC206">
        <f t="shared" si="610"/>
        <v>96</v>
      </c>
      <c r="CE206" s="562">
        <f t="shared" si="532"/>
        <v>-50</v>
      </c>
      <c r="CF206">
        <f t="shared" si="533"/>
        <v>-50</v>
      </c>
      <c r="CG206" s="173">
        <f t="shared" si="534"/>
        <v>0.38447255346461445</v>
      </c>
      <c r="CH206" s="173">
        <f t="shared" si="535"/>
        <v>0.12467877742130103</v>
      </c>
      <c r="CI206" s="170">
        <v>96</v>
      </c>
      <c r="CJ206" s="217">
        <f t="shared" si="600"/>
        <v>2.4</v>
      </c>
      <c r="CK206" s="217">
        <f t="shared" si="536"/>
        <v>0.24</v>
      </c>
      <c r="CL206" s="217">
        <f t="shared" si="537"/>
        <v>67.2</v>
      </c>
      <c r="CM206" s="217">
        <f t="shared" si="538"/>
        <v>7.1999999999999993</v>
      </c>
      <c r="CN206" s="541">
        <f t="shared" si="539"/>
        <v>19</v>
      </c>
      <c r="CO206" s="443">
        <f t="shared" si="540"/>
        <v>28.7</v>
      </c>
      <c r="CP206" s="443">
        <f t="shared" si="541"/>
        <v>47.7</v>
      </c>
      <c r="CQ206" s="443"/>
      <c r="CR206" s="217">
        <f t="shared" si="542"/>
        <v>0.59915611814345993</v>
      </c>
      <c r="CS206" s="172">
        <f t="shared" si="543"/>
        <v>85.685767433419556</v>
      </c>
      <c r="CT206" s="172">
        <f t="shared" si="544"/>
        <v>10.164255575647982</v>
      </c>
      <c r="CU206" s="217">
        <f t="shared" si="545"/>
        <v>3.0602059797649841</v>
      </c>
      <c r="CV206" s="217">
        <f t="shared" si="546"/>
        <v>2.8561922477806521</v>
      </c>
      <c r="CW206" s="217">
        <f t="shared" si="547"/>
        <v>28</v>
      </c>
      <c r="CX206" s="217">
        <f t="shared" si="548"/>
        <v>13.071015567086731</v>
      </c>
      <c r="CY206" s="217">
        <f t="shared" si="549"/>
        <v>3.2333564823846124</v>
      </c>
      <c r="CZ206" s="217">
        <f t="shared" si="550"/>
        <v>2.1405495876413809</v>
      </c>
      <c r="DA206" s="197">
        <f t="shared" si="551"/>
        <v>350</v>
      </c>
      <c r="DB206" s="443">
        <f t="shared" si="552"/>
        <v>186.08438386701516</v>
      </c>
      <c r="DD206" s="217">
        <f t="shared" si="553"/>
        <v>6.9494625094785683</v>
      </c>
      <c r="DE206" s="173">
        <f t="shared" si="554"/>
        <v>1.1380652890086853</v>
      </c>
      <c r="DF206" s="173">
        <f t="shared" si="555"/>
        <v>1.2501230996965573</v>
      </c>
      <c r="DG206" s="173"/>
      <c r="DH206" s="173">
        <f t="shared" si="556"/>
        <v>0.54587688734030204</v>
      </c>
      <c r="DI206" s="545">
        <f t="shared" si="557"/>
        <v>2637.9574468085107</v>
      </c>
      <c r="DJ206" s="528">
        <f t="shared" si="558"/>
        <v>0.31842818428184283</v>
      </c>
      <c r="DL206" s="173">
        <f t="shared" si="559"/>
        <v>9.5108320903941799</v>
      </c>
      <c r="DM206" s="173">
        <f t="shared" si="560"/>
        <v>13.071015567086731</v>
      </c>
      <c r="DN206" s="173">
        <f t="shared" si="561"/>
        <v>8.4130979509284423</v>
      </c>
      <c r="DP206" s="545">
        <f t="shared" si="562"/>
        <v>2400</v>
      </c>
      <c r="DQ206" s="460">
        <f t="shared" si="563"/>
        <v>186.08438386701516</v>
      </c>
      <c r="DS206">
        <f t="shared" si="612"/>
        <v>2400</v>
      </c>
      <c r="DT206">
        <f t="shared" si="613"/>
        <v>186.08438386701516</v>
      </c>
      <c r="DV206" s="5">
        <f t="shared" si="566"/>
        <v>5.3739060700259937</v>
      </c>
      <c r="DW206" s="5">
        <f t="shared" si="567"/>
        <v>3.2333564823846124</v>
      </c>
      <c r="DX206" s="5">
        <f t="shared" si="568"/>
        <v>2.1405495876413814</v>
      </c>
      <c r="DY206" s="173">
        <f t="shared" si="569"/>
        <v>0.60167714884696011</v>
      </c>
      <c r="EA206" s="5">
        <f t="shared" si="570"/>
        <v>27.714484134725247</v>
      </c>
      <c r="EB206" s="5">
        <f t="shared" si="571"/>
        <v>2.5866851859076898</v>
      </c>
      <c r="EC206" s="5">
        <f t="shared" si="572"/>
        <v>5.407704221409805</v>
      </c>
      <c r="ED206" s="5"/>
      <c r="EE206" s="173">
        <f t="shared" si="573"/>
        <v>5.8537000288123586</v>
      </c>
      <c r="EF206" s="173">
        <f t="shared" si="574"/>
        <v>4.7628435439721031</v>
      </c>
      <c r="EG206" s="173">
        <f t="shared" si="575"/>
        <v>0.48018832451522014</v>
      </c>
      <c r="EH206" s="173"/>
      <c r="EI206" s="528">
        <f t="shared" si="576"/>
        <v>0.41118964832781368</v>
      </c>
      <c r="EJ206" s="528">
        <f t="shared" si="577"/>
        <v>2.2044042553191487</v>
      </c>
      <c r="EK206" s="528">
        <f t="shared" si="578"/>
        <v>2.1399704144706745E-2</v>
      </c>
      <c r="EL206" s="528">
        <f t="shared" si="579"/>
        <v>0.20852249935112466</v>
      </c>
      <c r="EM206">
        <f t="shared" si="580"/>
        <v>8.5500000000000003E-3</v>
      </c>
      <c r="EN206" s="460">
        <f t="shared" si="581"/>
        <v>29.949704144706747</v>
      </c>
      <c r="EP206" s="460">
        <f t="shared" si="601"/>
        <v>2854.066107142794</v>
      </c>
      <c r="EQ206" s="173">
        <f t="shared" si="582"/>
        <v>1.68</v>
      </c>
      <c r="ER206" s="173">
        <f t="shared" si="583"/>
        <v>0.11495999999999999</v>
      </c>
      <c r="ES206" s="528"/>
      <c r="EU206" s="460">
        <f t="shared" si="496"/>
        <v>1794.9599999999998</v>
      </c>
      <c r="EV206" s="528">
        <f t="shared" si="584"/>
        <v>0.47972125638244928</v>
      </c>
      <c r="EW206" s="528">
        <f t="shared" si="585"/>
        <v>0.3175855007409944</v>
      </c>
      <c r="EX206" s="528">
        <f t="shared" si="586"/>
        <v>1.1529041350036718E-3</v>
      </c>
      <c r="EY206" s="528">
        <f t="shared" si="587"/>
        <v>14.588752487337148</v>
      </c>
      <c r="EZ206" s="528"/>
      <c r="FA206" s="625">
        <f t="shared" si="588"/>
        <v>3.1792786425497988</v>
      </c>
      <c r="FB206" s="460">
        <f t="shared" si="611"/>
        <v>18566.490791145396</v>
      </c>
      <c r="FC206" s="173">
        <f t="shared" si="589"/>
        <v>23.21551689828819</v>
      </c>
      <c r="FD206" s="5">
        <f t="shared" si="590"/>
        <v>74.400000000000006</v>
      </c>
      <c r="FE206" s="173">
        <f t="shared" si="591"/>
        <v>0.7621739080429405</v>
      </c>
      <c r="FF206" s="5">
        <f t="shared" si="592"/>
        <v>76.217390804294055</v>
      </c>
      <c r="FG206">
        <f t="shared" si="593"/>
        <v>96</v>
      </c>
      <c r="FI206" s="562">
        <f t="shared" si="594"/>
        <v>-50</v>
      </c>
      <c r="FJ206">
        <f t="shared" si="595"/>
        <v>-50</v>
      </c>
    </row>
    <row r="207" spans="5:166">
      <c r="E207" s="170">
        <v>97</v>
      </c>
      <c r="F207" s="217">
        <f>IF(PLOT_TYPE=1, E207/100*Iout_max, min_I*EXP(O207*rr/100))</f>
        <v>2.4249999999999998</v>
      </c>
      <c r="G207" s="217">
        <f t="shared" si="498"/>
        <v>0.24249999999999999</v>
      </c>
      <c r="H207" s="217">
        <f t="shared" si="499"/>
        <v>67.899999999999991</v>
      </c>
      <c r="I207" s="217">
        <f t="shared" si="500"/>
        <v>7.2749999999999995</v>
      </c>
      <c r="J207" s="541">
        <f t="shared" si="501"/>
        <v>18.782267511763298</v>
      </c>
      <c r="K207" s="443">
        <f t="shared" si="502"/>
        <v>28.788302792212512</v>
      </c>
      <c r="L207" s="172">
        <f t="shared" si="503"/>
        <v>47.570570303975813</v>
      </c>
      <c r="M207" s="443"/>
      <c r="N207" s="217">
        <f t="shared" si="504"/>
        <v>0.60517043643276369</v>
      </c>
      <c r="O207" s="172">
        <f>N207*J207*Isw_max*0.5*Efficiency*Pout/(Pout+Pout2)</f>
        <v>85.554098054876349</v>
      </c>
      <c r="P207" s="172">
        <f t="shared" si="506"/>
        <v>10.148636631509566</v>
      </c>
      <c r="Q207" s="217">
        <f t="shared" si="507"/>
        <v>3.0555035019598695</v>
      </c>
      <c r="R207" s="217">
        <f t="shared" si="508"/>
        <v>2.8518032684958783</v>
      </c>
      <c r="S207" s="217">
        <f t="shared" si="509"/>
        <v>28</v>
      </c>
      <c r="T207" s="217">
        <f t="shared" si="510"/>
        <v>13.227498067255528</v>
      </c>
      <c r="U207" s="217">
        <f t="shared" si="511"/>
        <v>3.3099965633629971</v>
      </c>
      <c r="V207" s="217">
        <f t="shared" si="512"/>
        <v>2.159531298695327</v>
      </c>
      <c r="W207" s="197">
        <f t="shared" si="513"/>
        <v>350</v>
      </c>
      <c r="X207" s="443">
        <f t="shared" si="597"/>
        <v>176.38153023150494</v>
      </c>
      <c r="Z207" s="217">
        <f t="shared" si="514"/>
        <v>6.9097100469852357</v>
      </c>
      <c r="AA207" s="173">
        <f t="shared" si="515"/>
        <v>1.1280844673349606</v>
      </c>
      <c r="AB207" s="173">
        <f>0.5*AA207*Z207*Nps*W207/1000*(Pout/(Pout+Pout2))</f>
        <v>1.2320712655220192</v>
      </c>
      <c r="AC207" s="173"/>
      <c r="AD207" s="173">
        <f t="shared" si="517"/>
        <v>0.54420251099014549</v>
      </c>
      <c r="AE207" s="545">
        <f>MAX(10, F207/(0.5*AD207/1000000*Isw_min*Nps)/1000*Pout_total/Pout)</f>
        <v>2673.6370571916509</v>
      </c>
      <c r="AF207" s="528">
        <f t="shared" si="519"/>
        <v>0.31745146474425157</v>
      </c>
      <c r="AH207" s="173">
        <f t="shared" si="520"/>
        <v>9.5602393428090124</v>
      </c>
      <c r="AI207" s="173">
        <f>MAX(IF(F207&gt;AB207,T207,AH207),Isw_min)</f>
        <v>13.227498067255528</v>
      </c>
      <c r="AJ207" s="173">
        <f>IF(F207&gt;AF207, (AI207-Isw_min)/1.08*0.8+1.2, AE207*0.2/350+1)</f>
        <v>8.529010914016439</v>
      </c>
      <c r="AL207" s="545">
        <f t="shared" si="523"/>
        <v>2425</v>
      </c>
      <c r="AM207" s="460">
        <f t="shared" si="524"/>
        <v>176.38153023150494</v>
      </c>
      <c r="AO207">
        <f t="shared" si="525"/>
        <v>2425</v>
      </c>
      <c r="AP207">
        <f t="shared" si="526"/>
        <v>176.38153023150494</v>
      </c>
      <c r="AR207" s="5">
        <f t="shared" si="614"/>
        <v>5.6695278620583247</v>
      </c>
      <c r="AS207" s="5">
        <f t="shared" si="602"/>
        <v>3.3099965633629971</v>
      </c>
      <c r="AT207" s="5">
        <f t="shared" si="603"/>
        <v>2.3595312986953276</v>
      </c>
      <c r="AU207" s="173">
        <f t="shared" si="604"/>
        <v>0.58382225890698791</v>
      </c>
      <c r="AW207" s="5">
        <f t="shared" si="475"/>
        <v>28.666934521983098</v>
      </c>
      <c r="AX207" s="5">
        <f t="shared" si="476"/>
        <v>2.6755805553850895</v>
      </c>
      <c r="AY207" s="5">
        <f t="shared" si="477"/>
        <v>6.0928355916053007</v>
      </c>
      <c r="AZ207" s="5"/>
      <c r="BA207" s="173">
        <f t="shared" si="478"/>
        <v>5.8352222755787873</v>
      </c>
      <c r="BB207" s="173">
        <f t="shared" si="479"/>
        <v>4.9267043786225591</v>
      </c>
      <c r="BC207" s="173">
        <f t="shared" si="480"/>
        <v>0.49670872013981548</v>
      </c>
      <c r="BD207" s="173"/>
      <c r="BE207" s="528">
        <f t="shared" si="481"/>
        <v>0.40859782806493061</v>
      </c>
      <c r="BF207" s="528">
        <f t="shared" si="527"/>
        <v>2.0254990305476488</v>
      </c>
      <c r="BG207" s="528">
        <f t="shared" si="482"/>
        <v>2.028387597662307E-2</v>
      </c>
      <c r="BH207" s="528">
        <f t="shared" si="483"/>
        <v>0.19657851816699409</v>
      </c>
      <c r="BI207">
        <f t="shared" si="484"/>
        <v>8.4520203802934835E-3</v>
      </c>
      <c r="BJ207" s="460">
        <f t="shared" si="598"/>
        <v>28.735896356916555</v>
      </c>
      <c r="BK207">
        <f t="shared" si="528"/>
        <v>3.0357123817901388</v>
      </c>
      <c r="BL207" s="460">
        <f t="shared" si="599"/>
        <v>2659.4112731364903</v>
      </c>
      <c r="BM207" s="173">
        <f t="shared" si="529"/>
        <v>1.6262049999999997</v>
      </c>
      <c r="BN207" s="173">
        <f t="shared" si="530"/>
        <v>0.16262049999999997</v>
      </c>
      <c r="BO207" s="528"/>
      <c r="BQ207" s="460">
        <f t="shared" si="485"/>
        <v>1788.8254999999997</v>
      </c>
      <c r="BR207" s="528">
        <f t="shared" si="486"/>
        <v>0.47669746607575236</v>
      </c>
      <c r="BS207" s="528">
        <f t="shared" si="487"/>
        <v>0.33981382448074177</v>
      </c>
      <c r="BT207" s="528">
        <f t="shared" si="488"/>
        <v>1.2335977633146677E-3</v>
      </c>
      <c r="BU207" s="528">
        <f t="shared" si="489"/>
        <v>13.146103174303667</v>
      </c>
      <c r="BV207" s="528"/>
      <c r="BW207" s="625">
        <f t="shared" si="531"/>
        <v>3.0860895188497586</v>
      </c>
      <c r="BX207" s="460">
        <f t="shared" si="605"/>
        <v>17049.937581473234</v>
      </c>
      <c r="BY207" s="173">
        <f t="shared" si="606"/>
        <v>21.498174354609723</v>
      </c>
      <c r="BZ207" s="5">
        <f t="shared" si="607"/>
        <v>75.174999999999997</v>
      </c>
      <c r="CA207" s="173">
        <f t="shared" si="608"/>
        <v>0.77762006370297054</v>
      </c>
      <c r="CB207" s="5">
        <f t="shared" si="609"/>
        <v>77.762006370297058</v>
      </c>
      <c r="CC207">
        <f t="shared" si="610"/>
        <v>97</v>
      </c>
      <c r="CE207" s="562">
        <f t="shared" si="532"/>
        <v>-50</v>
      </c>
      <c r="CF207">
        <f t="shared" si="533"/>
        <v>-50</v>
      </c>
      <c r="CG207" s="173">
        <f t="shared" si="534"/>
        <v>0.38447255346461445</v>
      </c>
      <c r="CH207" s="173">
        <f t="shared" si="535"/>
        <v>0.12467877742130104</v>
      </c>
      <c r="CI207" s="170">
        <v>97</v>
      </c>
      <c r="CJ207" s="217">
        <f t="shared" si="600"/>
        <v>2.4249999999999998</v>
      </c>
      <c r="CK207" s="217">
        <f t="shared" si="536"/>
        <v>0.24249999999999999</v>
      </c>
      <c r="CL207" s="217">
        <f t="shared" si="537"/>
        <v>67.899999999999991</v>
      </c>
      <c r="CM207" s="217">
        <f t="shared" si="538"/>
        <v>7.2749999999999995</v>
      </c>
      <c r="CN207" s="541">
        <f t="shared" si="539"/>
        <v>19</v>
      </c>
      <c r="CO207" s="443">
        <f t="shared" si="540"/>
        <v>28.7</v>
      </c>
      <c r="CP207" s="443">
        <f t="shared" si="541"/>
        <v>47.7</v>
      </c>
      <c r="CQ207" s="443"/>
      <c r="CR207" s="217">
        <f t="shared" si="542"/>
        <v>0.59915611814345993</v>
      </c>
      <c r="CS207" s="172">
        <f t="shared" si="543"/>
        <v>85.685767433419556</v>
      </c>
      <c r="CT207" s="172">
        <f t="shared" si="544"/>
        <v>10.164255575647982</v>
      </c>
      <c r="CU207" s="217">
        <f t="shared" si="545"/>
        <v>3.0602059797649841</v>
      </c>
      <c r="CV207" s="217">
        <f t="shared" si="546"/>
        <v>2.8561922477806521</v>
      </c>
      <c r="CW207" s="217">
        <f t="shared" si="547"/>
        <v>28</v>
      </c>
      <c r="CX207" s="217">
        <f t="shared" si="548"/>
        <v>13.207171979243883</v>
      </c>
      <c r="CY207" s="217">
        <f t="shared" si="549"/>
        <v>3.2670372790761184</v>
      </c>
      <c r="CZ207" s="217">
        <f t="shared" si="550"/>
        <v>2.1628469791793119</v>
      </c>
      <c r="DA207" s="197">
        <f t="shared" si="551"/>
        <v>350</v>
      </c>
      <c r="DB207" s="443">
        <f t="shared" si="552"/>
        <v>184.16598815704597</v>
      </c>
      <c r="DD207" s="217">
        <f t="shared" si="553"/>
        <v>6.9494625094785683</v>
      </c>
      <c r="DE207" s="173">
        <f t="shared" si="554"/>
        <v>1.1380652890086853</v>
      </c>
      <c r="DF207" s="173">
        <f t="shared" si="555"/>
        <v>1.2501230996965573</v>
      </c>
      <c r="DG207" s="173"/>
      <c r="DH207" s="173">
        <f t="shared" si="556"/>
        <v>0.54587688734030204</v>
      </c>
      <c r="DI207" s="545">
        <f t="shared" si="557"/>
        <v>2665.4361702127658</v>
      </c>
      <c r="DJ207" s="528">
        <f t="shared" si="558"/>
        <v>0.31842818428184283</v>
      </c>
      <c r="DL207" s="173">
        <f t="shared" si="559"/>
        <v>9.5602393428090124</v>
      </c>
      <c r="DM207" s="173">
        <f t="shared" si="560"/>
        <v>13.207171979243883</v>
      </c>
      <c r="DN207" s="173">
        <f t="shared" si="561"/>
        <v>8.5139545525263323</v>
      </c>
      <c r="DP207" s="545">
        <f t="shared" si="562"/>
        <v>2425</v>
      </c>
      <c r="DQ207" s="460">
        <f t="shared" si="563"/>
        <v>184.16598815704597</v>
      </c>
      <c r="DS207">
        <f t="shared" si="612"/>
        <v>2425</v>
      </c>
      <c r="DT207">
        <f t="shared" si="613"/>
        <v>184.16598815704597</v>
      </c>
      <c r="DV207" s="5">
        <f t="shared" si="566"/>
        <v>5.4298842582554308</v>
      </c>
      <c r="DW207" s="5">
        <f t="shared" si="567"/>
        <v>3.2670372790761184</v>
      </c>
      <c r="DX207" s="5">
        <f t="shared" si="568"/>
        <v>2.1628469791793123</v>
      </c>
      <c r="DY207" s="173">
        <f t="shared" si="569"/>
        <v>0.60167714884696011</v>
      </c>
      <c r="EA207" s="5">
        <f t="shared" si="570"/>
        <v>28.294876434855667</v>
      </c>
      <c r="EB207" s="5">
        <f t="shared" si="571"/>
        <v>2.6408551339198625</v>
      </c>
      <c r="EC207" s="5">
        <f t="shared" si="572"/>
        <v>5.5209514994840321</v>
      </c>
      <c r="ED207" s="5"/>
      <c r="EE207" s="173">
        <f t="shared" si="573"/>
        <v>5.9146760707791532</v>
      </c>
      <c r="EF207" s="173">
        <f t="shared" si="574"/>
        <v>4.8124564975551447</v>
      </c>
      <c r="EG207" s="173">
        <f t="shared" si="575"/>
        <v>0.48519028622892041</v>
      </c>
      <c r="EH207" s="173"/>
      <c r="EI207" s="528">
        <f t="shared" si="576"/>
        <v>0.4198007162669703</v>
      </c>
      <c r="EJ207" s="528">
        <f t="shared" si="577"/>
        <v>2.2044042553191492</v>
      </c>
      <c r="EK207" s="528">
        <f t="shared" si="578"/>
        <v>2.1179088638060291E-2</v>
      </c>
      <c r="EL207" s="528">
        <f t="shared" si="579"/>
        <v>0.20637278286296876</v>
      </c>
      <c r="EM207">
        <f t="shared" si="580"/>
        <v>8.5500000000000003E-3</v>
      </c>
      <c r="EN207" s="460">
        <f t="shared" si="581"/>
        <v>29.729088638060293</v>
      </c>
      <c r="EP207" s="460">
        <f t="shared" si="601"/>
        <v>2860.3068430871485</v>
      </c>
      <c r="EQ207" s="173">
        <f t="shared" si="582"/>
        <v>1.6974999999999998</v>
      </c>
      <c r="ER207" s="173">
        <f t="shared" si="583"/>
        <v>0.1161575</v>
      </c>
      <c r="ES207" s="528"/>
      <c r="EU207" s="460">
        <f t="shared" si="496"/>
        <v>1813.6574999999998</v>
      </c>
      <c r="EV207" s="528">
        <f t="shared" si="584"/>
        <v>0.48976750231146537</v>
      </c>
      <c r="EW207" s="528">
        <f t="shared" si="585"/>
        <v>0.32423632557205023</v>
      </c>
      <c r="EX207" s="528">
        <f t="shared" si="586"/>
        <v>1.1770480692545086E-3</v>
      </c>
      <c r="EY207" s="528">
        <f t="shared" si="587"/>
        <v>14.588752487337148</v>
      </c>
      <c r="EZ207" s="528"/>
      <c r="FA207" s="625">
        <f t="shared" si="588"/>
        <v>3.2123961284096922</v>
      </c>
      <c r="FB207" s="460">
        <f t="shared" si="611"/>
        <v>18616.329491699609</v>
      </c>
      <c r="FC207" s="173">
        <f t="shared" si="589"/>
        <v>23.290293834786759</v>
      </c>
      <c r="FD207" s="5">
        <f t="shared" si="590"/>
        <v>75.174999999999997</v>
      </c>
      <c r="FE207" s="173">
        <f t="shared" si="591"/>
        <v>0.7634669747305568</v>
      </c>
      <c r="FF207" s="5">
        <f t="shared" si="592"/>
        <v>76.346697473055684</v>
      </c>
      <c r="FG207">
        <f t="shared" si="593"/>
        <v>97</v>
      </c>
      <c r="FI207" s="562">
        <f t="shared" si="594"/>
        <v>-50</v>
      </c>
      <c r="FJ207">
        <f t="shared" si="595"/>
        <v>-50</v>
      </c>
    </row>
    <row r="208" spans="5:166">
      <c r="E208" s="170">
        <v>98</v>
      </c>
      <c r="F208" s="217">
        <f>IF(PLOT_TYPE=1, E208/100*Iout_max, min_I*EXP(O208*rr/100))</f>
        <v>2.4500000000000002</v>
      </c>
      <c r="G208" s="217">
        <f t="shared" si="498"/>
        <v>0.245</v>
      </c>
      <c r="H208" s="217">
        <f t="shared" si="499"/>
        <v>68.600000000000009</v>
      </c>
      <c r="I208" s="217">
        <f t="shared" si="500"/>
        <v>7.35</v>
      </c>
      <c r="J208" s="541">
        <f t="shared" si="501"/>
        <v>18.780022846936113</v>
      </c>
      <c r="K208" s="443">
        <f t="shared" si="502"/>
        <v>28.789213130276558</v>
      </c>
      <c r="L208" s="172">
        <f t="shared" si="503"/>
        <v>47.569235977212671</v>
      </c>
      <c r="M208" s="443"/>
      <c r="N208" s="217">
        <f t="shared" si="504"/>
        <v>0.60520654870445256</v>
      </c>
      <c r="O208" s="172">
        <f>N208*J208*Isw_max*0.5*Efficiency*Pout/(Pout+Pout2)</f>
        <v>85.548978153220233</v>
      </c>
      <c r="P208" s="172">
        <f t="shared" si="506"/>
        <v>10.148029296236583</v>
      </c>
      <c r="Q208" s="217">
        <f t="shared" si="507"/>
        <v>3.0553206483292938</v>
      </c>
      <c r="R208" s="217">
        <f t="shared" si="508"/>
        <v>2.8516326051073411</v>
      </c>
      <c r="S208" s="217">
        <f t="shared" si="509"/>
        <v>28</v>
      </c>
      <c r="T208" s="217">
        <f t="shared" si="510"/>
        <v>13.364663821999097</v>
      </c>
      <c r="U208" s="217">
        <f t="shared" si="511"/>
        <v>3.3447201036628984</v>
      </c>
      <c r="V208" s="217">
        <f t="shared" si="512"/>
        <v>2.1818560889160485</v>
      </c>
      <c r="W208" s="197">
        <f t="shared" si="513"/>
        <v>350</v>
      </c>
      <c r="X208" s="443">
        <f t="shared" si="597"/>
        <v>174.62441192974907</v>
      </c>
      <c r="Z208" s="217">
        <f t="shared" si="514"/>
        <v>6.9092965421185246</v>
      </c>
      <c r="AA208" s="173">
        <f t="shared" si="515"/>
        <v>1.1279812894158499</v>
      </c>
      <c r="AB208" s="173">
        <f>0.5*AA208*Z208*Nps*W208/1000*(Pout/(Pout+Pout2))</f>
        <v>1.2318848513039709</v>
      </c>
      <c r="AC208" s="173"/>
      <c r="AD208" s="173">
        <f t="shared" si="517"/>
        <v>0.54418530286924061</v>
      </c>
      <c r="AE208" s="545">
        <f>MAX(10, F208/(0.5*AD208/1000000*Isw_min*Nps)/1000*Pout_total/Pout)</f>
        <v>2701.2857426493538</v>
      </c>
      <c r="AF208" s="528">
        <f t="shared" si="519"/>
        <v>0.31744142667372371</v>
      </c>
      <c r="AH208" s="173">
        <f t="shared" si="520"/>
        <v>9.60939256831122</v>
      </c>
      <c r="AI208" s="173">
        <f>MAX(IF(F208&gt;AB208,T208,AH208),Isw_min)</f>
        <v>13.364663821999097</v>
      </c>
      <c r="AJ208" s="173">
        <f>IF(F208&gt;AF208, (AI208-Isw_min)/1.08*0.8+1.2, AE208*0.2/350+1)</f>
        <v>8.630615176789453</v>
      </c>
      <c r="AL208" s="545">
        <f t="shared" si="523"/>
        <v>2450</v>
      </c>
      <c r="AM208" s="460">
        <f t="shared" si="524"/>
        <v>174.62441192974907</v>
      </c>
      <c r="AO208">
        <f t="shared" si="525"/>
        <v>2450</v>
      </c>
      <c r="AP208">
        <f t="shared" si="526"/>
        <v>174.62441192974907</v>
      </c>
      <c r="AR208" s="5">
        <f t="shared" si="614"/>
        <v>5.7265761925789462</v>
      </c>
      <c r="AS208" s="5">
        <f t="shared" si="602"/>
        <v>3.3447201036628984</v>
      </c>
      <c r="AT208" s="5">
        <f t="shared" si="603"/>
        <v>2.3818560889160478</v>
      </c>
      <c r="AU208" s="173">
        <f t="shared" si="604"/>
        <v>0.58406978117174302</v>
      </c>
      <c r="AW208" s="5">
        <f t="shared" si="475"/>
        <v>29.266300907050365</v>
      </c>
      <c r="AX208" s="5">
        <f t="shared" si="476"/>
        <v>2.7315214179913672</v>
      </c>
      <c r="AY208" s="5">
        <f t="shared" si="477"/>
        <v>6.2146329271333798</v>
      </c>
      <c r="AZ208" s="5"/>
      <c r="BA208" s="173">
        <f t="shared" si="478"/>
        <v>5.8969817005742504</v>
      </c>
      <c r="BB208" s="173">
        <f t="shared" si="479"/>
        <v>4.9763125419105521</v>
      </c>
      <c r="BC208" s="173">
        <f t="shared" si="480"/>
        <v>0.50171019889753932</v>
      </c>
      <c r="BD208" s="173"/>
      <c r="BE208" s="528">
        <f t="shared" si="481"/>
        <v>0.41729271812289098</v>
      </c>
      <c r="BF208" s="528">
        <f t="shared" si="527"/>
        <v>2.0260587774415622</v>
      </c>
      <c r="BG208" s="528">
        <f t="shared" si="482"/>
        <v>2.0081807371921147E-2</v>
      </c>
      <c r="BH208" s="528">
        <f t="shared" si="483"/>
        <v>0.19460927902891786</v>
      </c>
      <c r="BI208">
        <f t="shared" si="484"/>
        <v>8.4510102811212514E-3</v>
      </c>
      <c r="BJ208" s="460">
        <f t="shared" si="598"/>
        <v>28.5328176530424</v>
      </c>
      <c r="BK208">
        <f t="shared" si="528"/>
        <v>3.0533673655392741</v>
      </c>
      <c r="BL208" s="460">
        <f t="shared" si="599"/>
        <v>2666.4935922464138</v>
      </c>
      <c r="BM208" s="173">
        <f t="shared" si="529"/>
        <v>1.64297</v>
      </c>
      <c r="BN208" s="173">
        <f t="shared" si="530"/>
        <v>0.16429699999999997</v>
      </c>
      <c r="BO208" s="528"/>
      <c r="BQ208" s="460">
        <f t="shared" si="485"/>
        <v>1807.2670000000001</v>
      </c>
      <c r="BR208" s="528">
        <f t="shared" si="486"/>
        <v>0.48684150447670616</v>
      </c>
      <c r="BS208" s="528">
        <f t="shared" si="487"/>
        <v>0.34669161120686764</v>
      </c>
      <c r="BT208" s="528">
        <f t="shared" si="488"/>
        <v>1.2585656183890423E-3</v>
      </c>
      <c r="BU208" s="528">
        <f t="shared" si="489"/>
        <v>13.156109908312628</v>
      </c>
      <c r="BV208" s="528"/>
      <c r="BW208" s="625">
        <f t="shared" si="531"/>
        <v>3.1190406460760478</v>
      </c>
      <c r="BX208" s="460">
        <f t="shared" si="605"/>
        <v>17109.94223569064</v>
      </c>
      <c r="BY208" s="173">
        <f t="shared" si="606"/>
        <v>21.583702827937053</v>
      </c>
      <c r="BZ208" s="5">
        <f t="shared" si="607"/>
        <v>75.95</v>
      </c>
      <c r="CA208" s="173">
        <f t="shared" si="608"/>
        <v>0.77870518392997257</v>
      </c>
      <c r="CB208" s="5">
        <f t="shared" si="609"/>
        <v>77.870518392997255</v>
      </c>
      <c r="CC208">
        <f t="shared" si="610"/>
        <v>98.000000000000014</v>
      </c>
      <c r="CE208" s="562">
        <f t="shared" si="532"/>
        <v>-50</v>
      </c>
      <c r="CF208">
        <f t="shared" si="533"/>
        <v>-50</v>
      </c>
      <c r="CG208" s="173">
        <f t="shared" si="534"/>
        <v>0.38447255346461451</v>
      </c>
      <c r="CH208" s="173">
        <f t="shared" si="535"/>
        <v>0.12467877742130104</v>
      </c>
      <c r="CI208" s="170">
        <v>98</v>
      </c>
      <c r="CJ208" s="217">
        <f t="shared" si="600"/>
        <v>2.4500000000000002</v>
      </c>
      <c r="CK208" s="217">
        <f t="shared" si="536"/>
        <v>0.245</v>
      </c>
      <c r="CL208" s="217">
        <f t="shared" si="537"/>
        <v>68.600000000000009</v>
      </c>
      <c r="CM208" s="217">
        <f t="shared" si="538"/>
        <v>7.35</v>
      </c>
      <c r="CN208" s="541">
        <f t="shared" si="539"/>
        <v>19</v>
      </c>
      <c r="CO208" s="443">
        <f t="shared" si="540"/>
        <v>28.7</v>
      </c>
      <c r="CP208" s="443">
        <f t="shared" si="541"/>
        <v>47.7</v>
      </c>
      <c r="CQ208" s="443"/>
      <c r="CR208" s="217">
        <f t="shared" si="542"/>
        <v>0.59915611814345993</v>
      </c>
      <c r="CS208" s="172">
        <f t="shared" si="543"/>
        <v>85.685767433419556</v>
      </c>
      <c r="CT208" s="172">
        <f t="shared" si="544"/>
        <v>10.164255575647982</v>
      </c>
      <c r="CU208" s="217">
        <f t="shared" si="545"/>
        <v>3.0602059797649841</v>
      </c>
      <c r="CV208" s="217">
        <f t="shared" si="546"/>
        <v>2.8561922477806521</v>
      </c>
      <c r="CW208" s="217">
        <f t="shared" si="547"/>
        <v>28</v>
      </c>
      <c r="CX208" s="217">
        <f t="shared" si="548"/>
        <v>13.343328391401037</v>
      </c>
      <c r="CY208" s="217">
        <f t="shared" si="549"/>
        <v>3.3007180757676253</v>
      </c>
      <c r="CZ208" s="217">
        <f t="shared" si="550"/>
        <v>2.1851443707172433</v>
      </c>
      <c r="DA208" s="197">
        <f t="shared" si="551"/>
        <v>350</v>
      </c>
      <c r="DB208" s="443">
        <f t="shared" si="552"/>
        <v>182.28674337993326</v>
      </c>
      <c r="DD208" s="217">
        <f t="shared" si="553"/>
        <v>6.9494625094785683</v>
      </c>
      <c r="DE208" s="173">
        <f t="shared" si="554"/>
        <v>1.1380652890086853</v>
      </c>
      <c r="DF208" s="173">
        <f t="shared" si="555"/>
        <v>1.2501230996965573</v>
      </c>
      <c r="DG208" s="173"/>
      <c r="DH208" s="173">
        <f t="shared" si="556"/>
        <v>0.54587688734030204</v>
      </c>
      <c r="DI208" s="545">
        <f t="shared" si="557"/>
        <v>2692.9148936170213</v>
      </c>
      <c r="DJ208" s="528">
        <f t="shared" si="558"/>
        <v>0.31842818428184283</v>
      </c>
      <c r="DL208" s="173">
        <f t="shared" si="559"/>
        <v>9.60939256831122</v>
      </c>
      <c r="DM208" s="173">
        <f t="shared" si="560"/>
        <v>13.343328391401037</v>
      </c>
      <c r="DN208" s="173">
        <f t="shared" si="561"/>
        <v>8.614811154124224</v>
      </c>
      <c r="DP208" s="545">
        <f t="shared" si="562"/>
        <v>2450</v>
      </c>
      <c r="DQ208" s="460">
        <f t="shared" si="563"/>
        <v>182.28674337993326</v>
      </c>
      <c r="DS208">
        <f t="shared" si="612"/>
        <v>2450</v>
      </c>
      <c r="DT208">
        <f t="shared" si="613"/>
        <v>182.28674337993326</v>
      </c>
      <c r="DV208" s="5">
        <f t="shared" si="566"/>
        <v>5.4858624464848686</v>
      </c>
      <c r="DW208" s="5">
        <f t="shared" si="567"/>
        <v>3.3007180757676253</v>
      </c>
      <c r="DX208" s="5">
        <f t="shared" si="568"/>
        <v>2.1851443707172433</v>
      </c>
      <c r="DY208" s="173">
        <f t="shared" si="569"/>
        <v>0.60167714884696011</v>
      </c>
      <c r="EA208" s="5">
        <f t="shared" si="570"/>
        <v>28.881283162966724</v>
      </c>
      <c r="EB208" s="5">
        <f t="shared" si="571"/>
        <v>2.6955864285435602</v>
      </c>
      <c r="EC208" s="5">
        <f t="shared" si="572"/>
        <v>5.6353723244813123</v>
      </c>
      <c r="ED208" s="5"/>
      <c r="EE208" s="173">
        <f t="shared" si="573"/>
        <v>5.9756521127459497</v>
      </c>
      <c r="EF208" s="173">
        <f t="shared" si="574"/>
        <v>4.8620694511381881</v>
      </c>
      <c r="EG208" s="173">
        <f t="shared" si="575"/>
        <v>0.49019224794262062</v>
      </c>
      <c r="EH208" s="173"/>
      <c r="EI208" s="528">
        <f t="shared" si="576"/>
        <v>0.42850101807078161</v>
      </c>
      <c r="EJ208" s="528">
        <f t="shared" si="577"/>
        <v>2.2044042553191496</v>
      </c>
      <c r="EK208" s="528">
        <f t="shared" si="578"/>
        <v>2.0962975488692324E-2</v>
      </c>
      <c r="EL208" s="528">
        <f t="shared" si="579"/>
        <v>0.20426693813987723</v>
      </c>
      <c r="EM208">
        <f t="shared" si="580"/>
        <v>8.5500000000000003E-3</v>
      </c>
      <c r="EN208" s="460">
        <f t="shared" si="581"/>
        <v>29.512975488692327</v>
      </c>
      <c r="EP208" s="460">
        <f t="shared" si="601"/>
        <v>2866.685187018501</v>
      </c>
      <c r="EQ208" s="173">
        <f t="shared" si="582"/>
        <v>1.7150000000000001</v>
      </c>
      <c r="ER208" s="173">
        <f t="shared" si="583"/>
        <v>0.11735499999999999</v>
      </c>
      <c r="ES208" s="528"/>
      <c r="EU208" s="460">
        <f t="shared" si="496"/>
        <v>1832.3550000000002</v>
      </c>
      <c r="EV208" s="528">
        <f t="shared" si="584"/>
        <v>0.49991785441591186</v>
      </c>
      <c r="EW208" s="528">
        <f t="shared" si="585"/>
        <v>0.33095607086767681</v>
      </c>
      <c r="EX208" s="528">
        <f t="shared" si="586"/>
        <v>1.2014421997151982E-3</v>
      </c>
      <c r="EY208" s="528">
        <f t="shared" si="587"/>
        <v>14.588752487337148</v>
      </c>
      <c r="EZ208" s="528"/>
      <c r="FA208" s="625">
        <f t="shared" si="588"/>
        <v>3.2455136142695866</v>
      </c>
      <c r="FB208" s="460">
        <f t="shared" si="611"/>
        <v>18666.341469090039</v>
      </c>
      <c r="FC208" s="173">
        <f t="shared" si="589"/>
        <v>23.365381656108539</v>
      </c>
      <c r="FD208" s="5">
        <f t="shared" si="590"/>
        <v>75.95</v>
      </c>
      <c r="FE208" s="173">
        <f t="shared" si="591"/>
        <v>0.76473551964977604</v>
      </c>
      <c r="FF208" s="5">
        <f t="shared" si="592"/>
        <v>76.473551964977602</v>
      </c>
      <c r="FG208">
        <f t="shared" si="593"/>
        <v>98.000000000000014</v>
      </c>
      <c r="FI208" s="562">
        <f t="shared" si="594"/>
        <v>-50</v>
      </c>
      <c r="FJ208">
        <f t="shared" si="595"/>
        <v>-50</v>
      </c>
    </row>
    <row r="209" spans="1:169">
      <c r="E209" s="170">
        <v>99</v>
      </c>
      <c r="F209" s="217">
        <f>IF(PLOT_TYPE=1, E209/100*Iout_max, min_I*EXP(O209*rr/100))</f>
        <v>2.4750000000000001</v>
      </c>
      <c r="G209" s="217">
        <f t="shared" si="498"/>
        <v>0.2475</v>
      </c>
      <c r="H209" s="217">
        <f t="shared" si="499"/>
        <v>69.3</v>
      </c>
      <c r="I209" s="217">
        <f t="shared" si="500"/>
        <v>7.4249999999999998</v>
      </c>
      <c r="J209" s="541">
        <f t="shared" si="501"/>
        <v>18.777778182108932</v>
      </c>
      <c r="K209" s="443">
        <f t="shared" si="502"/>
        <v>28.790123468340607</v>
      </c>
      <c r="L209" s="172">
        <f t="shared" si="503"/>
        <v>47.567901650449542</v>
      </c>
      <c r="M209" s="443"/>
      <c r="N209" s="217">
        <f t="shared" si="504"/>
        <v>0.60524266300211127</v>
      </c>
      <c r="O209" s="172">
        <f>N209*J209*Isw_max*0.5*Efficiency*Pout/(Pout+Pout2)</f>
        <v>85.543857317653647</v>
      </c>
      <c r="P209" s="172">
        <f t="shared" si="506"/>
        <v>10.147421850180853</v>
      </c>
      <c r="Q209" s="217">
        <f t="shared" si="507"/>
        <v>3.0551377613447732</v>
      </c>
      <c r="R209" s="217">
        <f t="shared" si="508"/>
        <v>2.8514619105884549</v>
      </c>
      <c r="S209" s="217">
        <f t="shared" si="509"/>
        <v>28</v>
      </c>
      <c r="T209" s="217">
        <f t="shared" si="510"/>
        <v>13.501846143213877</v>
      </c>
      <c r="U209" s="217">
        <f t="shared" si="511"/>
        <v>3.3794560920720267</v>
      </c>
      <c r="V209" s="217">
        <f t="shared" si="512"/>
        <v>2.2041821718093111</v>
      </c>
      <c r="W209" s="197">
        <f t="shared" si="513"/>
        <v>350</v>
      </c>
      <c r="X209" s="443">
        <f t="shared" si="597"/>
        <v>172.90154646167491</v>
      </c>
      <c r="Z209" s="217">
        <f t="shared" si="514"/>
        <v>6.9088829618252632</v>
      </c>
      <c r="AA209" s="173">
        <f t="shared" si="515"/>
        <v>1.1278781057082534</v>
      </c>
      <c r="AB209" s="173">
        <f>0.5*AA209*Z209*Nps*W209/1000*(Pout/(Pout+Pout2))</f>
        <v>1.2316984308052636</v>
      </c>
      <c r="AC209" s="173"/>
      <c r="AD209" s="173">
        <f t="shared" si="517"/>
        <v>0.54416809583657044</v>
      </c>
      <c r="AE209" s="545">
        <f>MAX(10, F209/(0.5*AD209/1000000*Isw_min*Nps)/1000*Pout_total/Pout)</f>
        <v>2728.9361713076041</v>
      </c>
      <c r="AF209" s="528">
        <f t="shared" si="519"/>
        <v>0.31743138923799941</v>
      </c>
      <c r="AH209" s="173">
        <f t="shared" si="520"/>
        <v>9.6582956453008038</v>
      </c>
      <c r="AI209" s="173">
        <f>MAX(IF(F209&gt;AB209,T209,AH209),Isw_min)</f>
        <v>13.501846143213877</v>
      </c>
      <c r="AJ209" s="173">
        <f>IF(F209&gt;AF209, (AI209-Isw_min)/1.08*0.8+1.2, AE209*0.2/350+1)</f>
        <v>8.7322317110226244</v>
      </c>
      <c r="AL209" s="545">
        <f t="shared" si="523"/>
        <v>2475</v>
      </c>
      <c r="AM209" s="460">
        <f t="shared" si="524"/>
        <v>172.90154646167491</v>
      </c>
      <c r="AO209">
        <f t="shared" si="525"/>
        <v>2475</v>
      </c>
      <c r="AP209">
        <f t="shared" si="526"/>
        <v>172.90154646167491</v>
      </c>
      <c r="AR209" s="5">
        <f t="shared" si="614"/>
        <v>5.7836382638813388</v>
      </c>
      <c r="AS209" s="5">
        <f t="shared" si="602"/>
        <v>3.3794560920720267</v>
      </c>
      <c r="AT209" s="5">
        <f t="shared" si="603"/>
        <v>2.4041821718093122</v>
      </c>
      <c r="AU209" s="173">
        <f t="shared" si="604"/>
        <v>0.58431318451858172</v>
      </c>
      <c r="AW209" s="5">
        <f t="shared" si="475"/>
        <v>29.871977956708097</v>
      </c>
      <c r="AX209" s="5">
        <f t="shared" si="476"/>
        <v>2.7880512759594218</v>
      </c>
      <c r="AY209" s="5">
        <f t="shared" si="477"/>
        <v>6.3376516833044869</v>
      </c>
      <c r="AZ209" s="5"/>
      <c r="BA209" s="173">
        <f t="shared" si="478"/>
        <v>5.9587528188132364</v>
      </c>
      <c r="BB209" s="173">
        <f t="shared" si="479"/>
        <v>5.0259209374294569</v>
      </c>
      <c r="BC209" s="173">
        <f t="shared" si="480"/>
        <v>0.50671170106870755</v>
      </c>
      <c r="BD209" s="173"/>
      <c r="BE209" s="528">
        <f t="shared" si="481"/>
        <v>0.42608082186857632</v>
      </c>
      <c r="BF209" s="528">
        <f t="shared" si="527"/>
        <v>2.0266039986415447</v>
      </c>
      <c r="BG209" s="528">
        <f t="shared" si="482"/>
        <v>1.9883677843092615E-2</v>
      </c>
      <c r="BH209" s="528">
        <f t="shared" si="483"/>
        <v>0.19267843066310114</v>
      </c>
      <c r="BI209">
        <f t="shared" si="484"/>
        <v>8.4500001819490193E-3</v>
      </c>
      <c r="BJ209" s="460">
        <f t="shared" si="598"/>
        <v>28.333678025041635</v>
      </c>
      <c r="BK209">
        <f t="shared" si="528"/>
        <v>3.0713374592321521</v>
      </c>
      <c r="BL209" s="460">
        <f t="shared" si="599"/>
        <v>2673.6969291982632</v>
      </c>
      <c r="BM209" s="173">
        <f t="shared" si="529"/>
        <v>1.659735</v>
      </c>
      <c r="BN209" s="173">
        <f t="shared" si="530"/>
        <v>0.16597349999999997</v>
      </c>
      <c r="BO209" s="528"/>
      <c r="BQ209" s="460">
        <f t="shared" si="485"/>
        <v>1825.7085</v>
      </c>
      <c r="BR209" s="528">
        <f t="shared" si="486"/>
        <v>0.49709429218000573</v>
      </c>
      <c r="BS209" s="528">
        <f t="shared" si="487"/>
        <v>0.35363833777008508</v>
      </c>
      <c r="BT209" s="528">
        <f t="shared" si="488"/>
        <v>1.2837837399997162E-3</v>
      </c>
      <c r="BU209" s="528">
        <f t="shared" si="489"/>
        <v>13.165885855307808</v>
      </c>
      <c r="BV209" s="528"/>
      <c r="BW209" s="625">
        <f t="shared" si="531"/>
        <v>3.1519925859381108</v>
      </c>
      <c r="BX209" s="460">
        <f t="shared" si="605"/>
        <v>17169.89485493601</v>
      </c>
      <c r="BY209" s="173">
        <f t="shared" si="606"/>
        <v>21.669300284134273</v>
      </c>
      <c r="BZ209" s="5">
        <f t="shared" si="607"/>
        <v>76.724999999999994</v>
      </c>
      <c r="CA209" s="173">
        <f t="shared" si="608"/>
        <v>0.77977077715315213</v>
      </c>
      <c r="CB209" s="5">
        <f t="shared" si="609"/>
        <v>77.977077715315218</v>
      </c>
      <c r="CC209">
        <f t="shared" si="610"/>
        <v>99</v>
      </c>
      <c r="CE209" s="562">
        <f t="shared" si="532"/>
        <v>-50</v>
      </c>
      <c r="CF209">
        <f t="shared" si="533"/>
        <v>-50</v>
      </c>
      <c r="CG209" s="173">
        <f t="shared" si="534"/>
        <v>0.38447255346461445</v>
      </c>
      <c r="CH209" s="173">
        <f t="shared" si="535"/>
        <v>0.12467877742130104</v>
      </c>
      <c r="CI209" s="170">
        <v>99</v>
      </c>
      <c r="CJ209" s="217">
        <f t="shared" si="600"/>
        <v>2.4750000000000001</v>
      </c>
      <c r="CK209" s="217">
        <f t="shared" si="536"/>
        <v>0.2475</v>
      </c>
      <c r="CL209" s="217">
        <f t="shared" si="537"/>
        <v>69.3</v>
      </c>
      <c r="CM209" s="217">
        <f t="shared" si="538"/>
        <v>7.4249999999999998</v>
      </c>
      <c r="CN209" s="541">
        <f t="shared" si="539"/>
        <v>19</v>
      </c>
      <c r="CO209" s="443">
        <f t="shared" si="540"/>
        <v>28.7</v>
      </c>
      <c r="CP209" s="443">
        <f t="shared" si="541"/>
        <v>47.7</v>
      </c>
      <c r="CQ209" s="443"/>
      <c r="CR209" s="217">
        <f t="shared" si="542"/>
        <v>0.59915611814345993</v>
      </c>
      <c r="CS209" s="172">
        <f t="shared" si="543"/>
        <v>85.685767433419556</v>
      </c>
      <c r="CT209" s="172">
        <f t="shared" si="544"/>
        <v>10.164255575647982</v>
      </c>
      <c r="CU209" s="217">
        <f t="shared" si="545"/>
        <v>3.0602059797649841</v>
      </c>
      <c r="CV209" s="217">
        <f t="shared" si="546"/>
        <v>2.8561922477806521</v>
      </c>
      <c r="CW209" s="217">
        <f t="shared" si="547"/>
        <v>28</v>
      </c>
      <c r="CX209" s="217">
        <f t="shared" si="548"/>
        <v>13.47948480355819</v>
      </c>
      <c r="CY209" s="217">
        <f t="shared" si="549"/>
        <v>3.3343988724591314</v>
      </c>
      <c r="CZ209" s="217">
        <f t="shared" si="550"/>
        <v>2.2074417622551743</v>
      </c>
      <c r="DA209" s="197">
        <f t="shared" si="551"/>
        <v>350</v>
      </c>
      <c r="DB209" s="443">
        <f t="shared" si="552"/>
        <v>180.44546314377229</v>
      </c>
      <c r="DD209" s="217">
        <f t="shared" si="553"/>
        <v>6.9494625094785683</v>
      </c>
      <c r="DE209" s="173">
        <f t="shared" si="554"/>
        <v>1.1380652890086853</v>
      </c>
      <c r="DF209" s="173">
        <f t="shared" si="555"/>
        <v>1.2501230996965573</v>
      </c>
      <c r="DG209" s="173"/>
      <c r="DH209" s="173">
        <f t="shared" si="556"/>
        <v>0.54587688734030204</v>
      </c>
      <c r="DI209" s="545">
        <f t="shared" si="557"/>
        <v>2720.3936170212764</v>
      </c>
      <c r="DJ209" s="528">
        <f t="shared" si="558"/>
        <v>0.31842818428184283</v>
      </c>
      <c r="DL209" s="173">
        <f t="shared" si="559"/>
        <v>9.6582956453008038</v>
      </c>
      <c r="DM209" s="173">
        <f t="shared" si="560"/>
        <v>13.47948480355819</v>
      </c>
      <c r="DN209" s="173">
        <f t="shared" si="561"/>
        <v>8.7156677557221158</v>
      </c>
      <c r="DP209" s="545">
        <f t="shared" si="562"/>
        <v>2475</v>
      </c>
      <c r="DQ209" s="460">
        <f t="shared" si="563"/>
        <v>180.44546314377229</v>
      </c>
      <c r="DS209">
        <f t="shared" si="612"/>
        <v>2475</v>
      </c>
      <c r="DT209">
        <f t="shared" si="613"/>
        <v>180.44546314377229</v>
      </c>
      <c r="DV209" s="5">
        <f t="shared" si="566"/>
        <v>5.5418406347143065</v>
      </c>
      <c r="DW209" s="5">
        <f t="shared" si="567"/>
        <v>3.3343988724591314</v>
      </c>
      <c r="DX209" s="5">
        <f t="shared" si="568"/>
        <v>2.2074417622551752</v>
      </c>
      <c r="DY209" s="173">
        <f t="shared" si="569"/>
        <v>0.60167714884696</v>
      </c>
      <c r="EA209" s="5">
        <f t="shared" si="570"/>
        <v>29.473704319058399</v>
      </c>
      <c r="EB209" s="5">
        <f t="shared" si="571"/>
        <v>2.7508790697787835</v>
      </c>
      <c r="EC209" s="5">
        <f t="shared" si="572"/>
        <v>5.7509666964016395</v>
      </c>
      <c r="ED209" s="5"/>
      <c r="EE209" s="173">
        <f t="shared" si="573"/>
        <v>6.0366281547127434</v>
      </c>
      <c r="EF209" s="173">
        <f t="shared" si="574"/>
        <v>4.9116824047212315</v>
      </c>
      <c r="EG209" s="173">
        <f t="shared" si="575"/>
        <v>0.49519420965632088</v>
      </c>
      <c r="EH209" s="173"/>
      <c r="EI209" s="528">
        <f t="shared" si="576"/>
        <v>0.43729055373924697</v>
      </c>
      <c r="EJ209" s="528">
        <f t="shared" si="577"/>
        <v>2.2044042553191487</v>
      </c>
      <c r="EK209" s="528">
        <f t="shared" si="578"/>
        <v>2.0751228261533815E-2</v>
      </c>
      <c r="EL209" s="528">
        <f t="shared" si="579"/>
        <v>0.2022036357344239</v>
      </c>
      <c r="EM209">
        <f t="shared" si="580"/>
        <v>8.5500000000000003E-3</v>
      </c>
      <c r="EN209" s="460">
        <f t="shared" si="581"/>
        <v>29.301228261533815</v>
      </c>
      <c r="EP209" s="460">
        <f t="shared" si="601"/>
        <v>2873.1996730543538</v>
      </c>
      <c r="EQ209" s="173">
        <f t="shared" si="582"/>
        <v>1.7324999999999999</v>
      </c>
      <c r="ER209" s="173">
        <f t="shared" si="583"/>
        <v>0.11855249999999999</v>
      </c>
      <c r="ES209" s="528"/>
      <c r="EU209" s="460">
        <f t="shared" si="496"/>
        <v>1851.0525</v>
      </c>
      <c r="EV209" s="528">
        <f t="shared" si="584"/>
        <v>0.51017231269578811</v>
      </c>
      <c r="EW209" s="528">
        <f t="shared" si="585"/>
        <v>0.33774473662787396</v>
      </c>
      <c r="EX209" s="528">
        <f t="shared" si="586"/>
        <v>1.2260865263857413E-3</v>
      </c>
      <c r="EY209" s="528">
        <f t="shared" si="587"/>
        <v>14.588752487337148</v>
      </c>
      <c r="EZ209" s="528"/>
      <c r="FA209" s="625">
        <f t="shared" si="588"/>
        <v>3.2786311001294797</v>
      </c>
      <c r="FB209" s="460">
        <f t="shared" si="611"/>
        <v>18716.526723316674</v>
      </c>
      <c r="FC209" s="173">
        <f t="shared" si="589"/>
        <v>23.440778896371029</v>
      </c>
      <c r="FD209" s="5">
        <f t="shared" si="590"/>
        <v>76.724999999999994</v>
      </c>
      <c r="FE209" s="173">
        <f t="shared" si="591"/>
        <v>0.76598016653349976</v>
      </c>
      <c r="FF209" s="5">
        <f t="shared" si="592"/>
        <v>76.598016653349973</v>
      </c>
      <c r="FG209">
        <f t="shared" si="593"/>
        <v>99</v>
      </c>
      <c r="FI209" s="562">
        <f t="shared" si="594"/>
        <v>-50</v>
      </c>
      <c r="FJ209">
        <f t="shared" si="595"/>
        <v>-50</v>
      </c>
    </row>
    <row r="210" spans="1:169">
      <c r="A210" t="s">
        <v>862</v>
      </c>
      <c r="E210" s="170">
        <v>100</v>
      </c>
      <c r="F210" s="217">
        <f>IF(PLOT_TYPE=1, E210/100*Iout_max, min_I*EXP(O210*rr/100))</f>
        <v>2.5</v>
      </c>
      <c r="G210" s="217">
        <f t="shared" si="498"/>
        <v>0.25</v>
      </c>
      <c r="H210" s="217">
        <f t="shared" si="499"/>
        <v>70</v>
      </c>
      <c r="I210" s="217">
        <f t="shared" si="500"/>
        <v>7.5</v>
      </c>
      <c r="J210" s="541">
        <f t="shared" si="501"/>
        <v>18.775533517281747</v>
      </c>
      <c r="K210" s="443">
        <f t="shared" si="502"/>
        <v>28.791033806404652</v>
      </c>
      <c r="L210" s="172">
        <f t="shared" si="503"/>
        <v>47.5665673236864</v>
      </c>
      <c r="M210" s="443"/>
      <c r="N210" s="217">
        <f t="shared" si="504"/>
        <v>0.60527877932591068</v>
      </c>
      <c r="O210" s="172">
        <f>N210*J210*Isw_max*0.5*Efficiency*Pout/(Pout+Pout2)</f>
        <v>85.538735548098003</v>
      </c>
      <c r="P210" s="172">
        <f t="shared" si="506"/>
        <v>10.146814293333053</v>
      </c>
      <c r="Q210" s="217">
        <f t="shared" si="507"/>
        <v>3.0549548410035001</v>
      </c>
      <c r="R210" s="217">
        <f t="shared" si="508"/>
        <v>2.8512911849366001</v>
      </c>
      <c r="S210" s="217">
        <f t="shared" si="509"/>
        <v>28</v>
      </c>
      <c r="T210" s="217">
        <f t="shared" si="510"/>
        <v>13.639045038380956</v>
      </c>
      <c r="U210" s="217">
        <f t="shared" si="511"/>
        <v>3.4142045349277059</v>
      </c>
      <c r="V210" s="217">
        <f t="shared" si="512"/>
        <v>2.22650954847375</v>
      </c>
      <c r="W210" s="197">
        <f t="shared" si="513"/>
        <v>350</v>
      </c>
      <c r="X210" s="443">
        <f t="shared" si="597"/>
        <v>171.21194184832109</v>
      </c>
      <c r="Z210" s="217">
        <f t="shared" si="514"/>
        <v>6.9084693060990983</v>
      </c>
      <c r="AA210" s="173">
        <f t="shared" si="515"/>
        <v>1.1277749162116837</v>
      </c>
      <c r="AB210" s="173">
        <f>0.5*AA210*Z210*Nps*W210/1000*(Pout/(Pout+Pout2))</f>
        <v>1.2315120040290584</v>
      </c>
      <c r="AC210" s="173"/>
      <c r="AD210" s="173">
        <f t="shared" si="517"/>
        <v>0.54415088989203197</v>
      </c>
      <c r="AE210" s="545">
        <f>MAX(10, F210/(0.5*AD210/1000000*Isw_min*Nps)/1000*Pout_total/Pout)</f>
        <v>2756.5883431664024</v>
      </c>
      <c r="AF210" s="528">
        <f t="shared" si="519"/>
        <v>0.31742135243701869</v>
      </c>
      <c r="AH210" s="173">
        <f t="shared" si="520"/>
        <v>9.7069523544806824</v>
      </c>
      <c r="AI210" s="173">
        <f>MAX(IF(F210&gt;AB210,T210,AH210),Isw_min)</f>
        <v>13.639045038380956</v>
      </c>
      <c r="AJ210" s="173">
        <f>IF(F210&gt;AF210, (AI210-Isw_min)/1.08*0.8+1.2, AE210*0.2/350+1)</f>
        <v>8.8338605222574991</v>
      </c>
      <c r="AL210" s="545">
        <f t="shared" si="523"/>
        <v>2500</v>
      </c>
      <c r="AM210" s="460">
        <f t="shared" si="524"/>
        <v>171.21194184832109</v>
      </c>
      <c r="AO210">
        <f t="shared" si="525"/>
        <v>2500</v>
      </c>
      <c r="AP210">
        <f t="shared" si="526"/>
        <v>171.21194184832109</v>
      </c>
      <c r="AR210" s="5">
        <f t="shared" si="614"/>
        <v>5.8407140834014557</v>
      </c>
      <c r="AS210" s="5">
        <f t="shared" si="602"/>
        <v>3.4142045349277059</v>
      </c>
      <c r="AT210" s="5">
        <f t="shared" si="603"/>
        <v>2.4265095484737498</v>
      </c>
      <c r="AU210" s="173">
        <f t="shared" si="604"/>
        <v>0.58455258829231649</v>
      </c>
      <c r="AW210" s="5">
        <f t="shared" si="475"/>
        <v>30.48396906185452</v>
      </c>
      <c r="AX210" s="5">
        <f t="shared" si="476"/>
        <v>2.8451704457730882</v>
      </c>
      <c r="AY210" s="5">
        <f t="shared" si="477"/>
        <v>6.461892404389717</v>
      </c>
      <c r="AZ210" s="5"/>
      <c r="BA210" s="173">
        <f>AI210*SQRT(AU210/3)</f>
        <v>6.0205356178673508</v>
      </c>
      <c r="BB210" s="173">
        <f t="shared" si="479"/>
        <v>5.0755296006412296</v>
      </c>
      <c r="BC210" s="173">
        <f t="shared" si="480"/>
        <v>0.51171323022858306</v>
      </c>
      <c r="BD210" s="173"/>
      <c r="BE210" s="528">
        <f t="shared" si="481"/>
        <v>0.43496218951211285</v>
      </c>
      <c r="BF210" s="528">
        <f t="shared" si="527"/>
        <v>2.0271351143588117</v>
      </c>
      <c r="BG210" s="528">
        <f t="shared" si="482"/>
        <v>1.9689373312556928E-2</v>
      </c>
      <c r="BH210" s="528">
        <f t="shared" si="483"/>
        <v>0.19078486125420099</v>
      </c>
      <c r="BI210">
        <f t="shared" si="484"/>
        <v>8.4489900827767854E-3</v>
      </c>
      <c r="BJ210" s="460">
        <f t="shared" si="598"/>
        <v>28.138363395333712</v>
      </c>
      <c r="BK210">
        <f t="shared" si="528"/>
        <v>3.089625536781877</v>
      </c>
      <c r="BL210" s="460">
        <f t="shared" si="599"/>
        <v>2681.0205285204593</v>
      </c>
      <c r="BM210" s="173">
        <f t="shared" si="529"/>
        <v>1.6764999999999999</v>
      </c>
      <c r="BN210" s="173">
        <f t="shared" si="530"/>
        <v>0.16764999999999999</v>
      </c>
      <c r="BO210" s="528"/>
      <c r="BQ210" s="460">
        <f t="shared" si="485"/>
        <v>1844.1499999999999</v>
      </c>
      <c r="BR210" s="528">
        <f t="shared" si="486"/>
        <v>0.50745588776413164</v>
      </c>
      <c r="BS210" s="528">
        <f t="shared" si="487"/>
        <v>0.36065401017779447</v>
      </c>
      <c r="BT210" s="528">
        <f t="shared" si="488"/>
        <v>1.3092521499548542E-3</v>
      </c>
      <c r="BU210" s="528">
        <f t="shared" si="489"/>
        <v>13.175437509458641</v>
      </c>
      <c r="BV210" s="528"/>
      <c r="BW210" s="625">
        <f t="shared" si="531"/>
        <v>3.1849453149511078</v>
      </c>
      <c r="BX210" s="460">
        <f t="shared" si="605"/>
        <v>17229.801974501628</v>
      </c>
      <c r="BY210" s="173">
        <f t="shared" si="606"/>
        <v>21.754972503022088</v>
      </c>
      <c r="BZ210" s="5">
        <f t="shared" si="607"/>
        <v>77.5</v>
      </c>
      <c r="CA210" s="173">
        <f t="shared" si="608"/>
        <v>0.78081730361307899</v>
      </c>
      <c r="CB210" s="5">
        <f t="shared" si="609"/>
        <v>78.081730361307905</v>
      </c>
      <c r="CC210">
        <f t="shared" si="610"/>
        <v>100</v>
      </c>
      <c r="CE210" s="562">
        <f t="shared" si="532"/>
        <v>-50</v>
      </c>
      <c r="CF210">
        <f t="shared" si="533"/>
        <v>-50</v>
      </c>
      <c r="CG210" s="173">
        <f t="shared" si="534"/>
        <v>0.38447255346461451</v>
      </c>
      <c r="CH210" s="173">
        <f t="shared" si="535"/>
        <v>0.12467877742130107</v>
      </c>
      <c r="CI210" s="170">
        <v>100</v>
      </c>
      <c r="CJ210" s="217">
        <f t="shared" si="600"/>
        <v>2.5</v>
      </c>
      <c r="CK210" s="217">
        <f t="shared" si="536"/>
        <v>0.25</v>
      </c>
      <c r="CL210" s="217">
        <f t="shared" si="537"/>
        <v>70</v>
      </c>
      <c r="CM210" s="217">
        <f t="shared" si="538"/>
        <v>7.5</v>
      </c>
      <c r="CN210" s="541">
        <f t="shared" si="539"/>
        <v>19</v>
      </c>
      <c r="CO210" s="443">
        <f t="shared" si="540"/>
        <v>28.7</v>
      </c>
      <c r="CP210" s="443">
        <f t="shared" si="541"/>
        <v>47.7</v>
      </c>
      <c r="CQ210" s="443"/>
      <c r="CR210" s="217">
        <f t="shared" si="542"/>
        <v>0.59915611814345993</v>
      </c>
      <c r="CS210" s="172">
        <f t="shared" si="543"/>
        <v>85.685767433419556</v>
      </c>
      <c r="CT210" s="172">
        <f t="shared" si="544"/>
        <v>10.164255575647982</v>
      </c>
      <c r="CU210" s="217">
        <f t="shared" si="545"/>
        <v>3.0602059797649841</v>
      </c>
      <c r="CV210" s="217">
        <f t="shared" si="546"/>
        <v>2.8561922477806521</v>
      </c>
      <c r="CW210" s="217">
        <f t="shared" si="547"/>
        <v>28</v>
      </c>
      <c r="CX210" s="217">
        <f t="shared" si="548"/>
        <v>13.615641215715344</v>
      </c>
      <c r="CY210" s="217">
        <f t="shared" si="549"/>
        <v>3.3680796691506378</v>
      </c>
      <c r="CZ210" s="217">
        <f t="shared" si="550"/>
        <v>2.2297391537931053</v>
      </c>
      <c r="DA210" s="197">
        <f t="shared" si="551"/>
        <v>350</v>
      </c>
      <c r="DB210" s="443">
        <f t="shared" si="552"/>
        <v>178.64100851233459</v>
      </c>
      <c r="DD210" s="217">
        <f t="shared" si="553"/>
        <v>6.9494625094785683</v>
      </c>
      <c r="DE210" s="173">
        <f t="shared" si="554"/>
        <v>1.1380652890086853</v>
      </c>
      <c r="DF210" s="173">
        <f t="shared" si="555"/>
        <v>1.2501230996965573</v>
      </c>
      <c r="DG210" s="173"/>
      <c r="DH210" s="173">
        <f t="shared" si="556"/>
        <v>0.54587688734030204</v>
      </c>
      <c r="DI210" s="545">
        <f t="shared" si="557"/>
        <v>2747.872340425532</v>
      </c>
      <c r="DJ210" s="528">
        <f t="shared" si="558"/>
        <v>0.31842818428184283</v>
      </c>
      <c r="DL210" s="173">
        <f t="shared" si="559"/>
        <v>9.7069523544806824</v>
      </c>
      <c r="DM210" s="173">
        <f t="shared" si="560"/>
        <v>13.615641215715344</v>
      </c>
      <c r="DN210" s="173">
        <f t="shared" si="561"/>
        <v>8.8165243573200076</v>
      </c>
      <c r="DP210" s="545">
        <f t="shared" si="562"/>
        <v>2500</v>
      </c>
      <c r="DQ210" s="460">
        <f t="shared" si="563"/>
        <v>178.64100851233459</v>
      </c>
      <c r="DS210">
        <f t="shared" si="612"/>
        <v>2500</v>
      </c>
      <c r="DT210">
        <f t="shared" si="613"/>
        <v>178.64100851233459</v>
      </c>
      <c r="DV210" s="5">
        <f t="shared" si="566"/>
        <v>5.5978188229437427</v>
      </c>
      <c r="DW210" s="5">
        <f t="shared" si="567"/>
        <v>3.3680796691506378</v>
      </c>
      <c r="DX210" s="5">
        <f t="shared" si="568"/>
        <v>2.2297391537931048</v>
      </c>
      <c r="DY210" s="173">
        <f t="shared" si="569"/>
        <v>0.60167714884696022</v>
      </c>
      <c r="EA210" s="5">
        <f t="shared" si="570"/>
        <v>30.072139903130697</v>
      </c>
      <c r="EB210" s="5">
        <f t="shared" si="571"/>
        <v>2.8067330576255314</v>
      </c>
      <c r="EC210" s="5">
        <f t="shared" si="572"/>
        <v>5.8677346152450118</v>
      </c>
      <c r="ED210" s="5"/>
      <c r="EE210" s="173">
        <f t="shared" si="573"/>
        <v>6.0976041966795407</v>
      </c>
      <c r="EF210" s="173">
        <f t="shared" si="574"/>
        <v>4.961295358304274</v>
      </c>
      <c r="EG210" s="173">
        <f t="shared" si="575"/>
        <v>0.50019617137002104</v>
      </c>
      <c r="EH210" s="173"/>
      <c r="EI210" s="528">
        <f t="shared" si="576"/>
        <v>0.44616932327236736</v>
      </c>
      <c r="EJ210" s="528">
        <f t="shared" si="577"/>
        <v>2.2044042553191496</v>
      </c>
      <c r="EK210" s="528">
        <f t="shared" si="578"/>
        <v>2.0543715978918478E-2</v>
      </c>
      <c r="EL210" s="528">
        <f t="shared" si="579"/>
        <v>0.20018159937707969</v>
      </c>
      <c r="EM210">
        <f t="shared" si="580"/>
        <v>8.5500000000000003E-3</v>
      </c>
      <c r="EN210" s="460">
        <f t="shared" si="581"/>
        <v>29.093715978918482</v>
      </c>
      <c r="EP210" s="460">
        <f t="shared" si="601"/>
        <v>2879.8488939475151</v>
      </c>
      <c r="EQ210" s="173">
        <f t="shared" si="582"/>
        <v>1.75</v>
      </c>
      <c r="ER210" s="173">
        <f t="shared" si="583"/>
        <v>0.11975</v>
      </c>
      <c r="ES210" s="528"/>
      <c r="EU210" s="460">
        <f t="shared" si="496"/>
        <v>1869.75</v>
      </c>
      <c r="EV210" s="528">
        <f t="shared" si="584"/>
        <v>0.52053087715109525</v>
      </c>
      <c r="EW210" s="528">
        <f t="shared" si="585"/>
        <v>0.34460232285264147</v>
      </c>
      <c r="EX210" s="528">
        <f t="shared" si="586"/>
        <v>1.2509810492661371E-3</v>
      </c>
      <c r="EY210" s="528">
        <f t="shared" si="587"/>
        <v>14.588752487337171</v>
      </c>
      <c r="EZ210" s="528"/>
      <c r="FA210" s="625">
        <f t="shared" si="588"/>
        <v>3.3117485859893745</v>
      </c>
      <c r="FB210" s="460">
        <f t="shared" si="611"/>
        <v>18766.885254379547</v>
      </c>
      <c r="FC210" s="173">
        <f t="shared" si="589"/>
        <v>23.516484148327063</v>
      </c>
      <c r="FD210" s="5">
        <f t="shared" si="590"/>
        <v>77.5</v>
      </c>
      <c r="FE210" s="173">
        <f t="shared" si="591"/>
        <v>0.76720151818195581</v>
      </c>
      <c r="FF210" s="5">
        <f t="shared" si="592"/>
        <v>76.720151818195575</v>
      </c>
      <c r="FG210">
        <f t="shared" si="593"/>
        <v>100</v>
      </c>
      <c r="FI210" s="562">
        <f t="shared" si="594"/>
        <v>-50</v>
      </c>
      <c r="FJ210">
        <f t="shared" si="595"/>
        <v>-50</v>
      </c>
    </row>
    <row r="211" spans="1:169" ht="13">
      <c r="E211" s="170"/>
      <c r="F211" s="217"/>
      <c r="G211" s="217"/>
      <c r="H211" s="217"/>
      <c r="I211" s="217"/>
      <c r="J211" s="541"/>
      <c r="K211" s="443"/>
      <c r="L211" s="172"/>
      <c r="M211" s="443"/>
      <c r="N211" s="217"/>
      <c r="O211" s="172"/>
      <c r="P211" s="172"/>
      <c r="Q211" s="217"/>
      <c r="R211" s="217"/>
      <c r="S211" s="217"/>
      <c r="T211" s="217"/>
      <c r="U211" s="217"/>
      <c r="V211" s="217"/>
      <c r="W211" s="197"/>
      <c r="X211" s="443"/>
      <c r="Z211" s="217"/>
      <c r="AA211" s="173"/>
      <c r="AB211" s="173"/>
      <c r="AC211" s="173"/>
      <c r="AD211" s="173"/>
      <c r="AE211" s="545"/>
      <c r="AF211" s="528"/>
      <c r="AH211" s="173"/>
      <c r="AI211" s="173"/>
      <c r="AJ211" s="173"/>
      <c r="AL211" s="545"/>
      <c r="AM211" s="460"/>
      <c r="AR211" s="5"/>
      <c r="AS211" s="5"/>
      <c r="AT211" s="5"/>
      <c r="AU211" s="173"/>
      <c r="CE211" s="562"/>
      <c r="CF211" s="539">
        <f>MAX(CF110:CF210)</f>
        <v>-50</v>
      </c>
      <c r="CG211" s="173"/>
      <c r="CH211" s="173"/>
      <c r="CI211" s="170"/>
      <c r="CJ211" s="217"/>
      <c r="CK211" s="217"/>
      <c r="CL211" s="217"/>
      <c r="CM211" s="217"/>
      <c r="CN211" s="541"/>
      <c r="CO211" s="443"/>
      <c r="CP211" s="443"/>
      <c r="CQ211" s="443"/>
      <c r="CR211" s="217"/>
      <c r="CS211" s="172"/>
      <c r="CT211" s="172"/>
      <c r="CU211" s="217"/>
      <c r="CV211" s="217"/>
      <c r="CW211" s="217"/>
      <c r="CX211" s="217"/>
      <c r="CY211" s="217"/>
      <c r="CZ211" s="217"/>
      <c r="DA211" s="197"/>
      <c r="DB211" s="443"/>
      <c r="DD211" s="217"/>
      <c r="DE211" s="173"/>
      <c r="DF211" s="173"/>
      <c r="DG211" s="173"/>
      <c r="DH211" s="173"/>
      <c r="DI211" s="545"/>
      <c r="DJ211" s="528"/>
      <c r="DL211" s="173"/>
      <c r="DM211" s="173"/>
      <c r="DN211" s="173"/>
      <c r="DP211" s="545"/>
      <c r="DQ211" s="460"/>
      <c r="DV211" s="5"/>
      <c r="DW211" s="5"/>
      <c r="DX211" s="5"/>
      <c r="DY211" s="173"/>
      <c r="FI211" s="562"/>
      <c r="FJ211" s="539">
        <f>MAX(FJ110:FJ210)</f>
        <v>-50</v>
      </c>
    </row>
    <row r="212" spans="1:169">
      <c r="A212" t="s">
        <v>862</v>
      </c>
      <c r="E212" s="170">
        <v>101</v>
      </c>
      <c r="F212" s="217">
        <f>'Calculations - Dual'!Ioutmax_Vinmin+0*H210/(H210+I210)</f>
        <v>3.0724138298521888</v>
      </c>
      <c r="G212" s="217">
        <f>'Calculations - Dual'!Ioutmax_Vinmin/Nsec1sec2*(1-H210/(H210+I210))</f>
        <v>0.2797830044952655</v>
      </c>
      <c r="H212" s="217">
        <f>F212*Vout</f>
        <v>86.02758723586129</v>
      </c>
      <c r="I212" s="217">
        <f>Vout2*G212</f>
        <v>8.3934901348579647</v>
      </c>
      <c r="J212" s="541">
        <f>VIN_min-(F212/CG212/Nps+G212/CH212/(Nps/Nsec1sec2))*(Rdcr_pri+RON/1000)</f>
        <v>18.730223612654228</v>
      </c>
      <c r="K212" s="443">
        <f>MAX((S212+Vfwd2+Rdcr_sec*F212/CG212)*Nps,(Vout2+Vfwd22+Rdcr_sec2*G212/CH212)*Nps/Nsec1sec2)</f>
        <v>28.710557980518765</v>
      </c>
      <c r="L212" s="172">
        <f>MAX((Vout+Vfwd2+F212/CG212*Rdcr_sec)*Nps+J212, (Vout2+Vfwd22+G212/CH212*Rdcr_sec2)*Nps/Nsec1sec2+J212)</f>
        <v>47.542101022966925</v>
      </c>
      <c r="M212" s="443"/>
      <c r="N212" s="217">
        <f>MAX((Vout+Vfwd2+F212/CG212*Rdcr_sec)*Nps/((Vout+Vfwd2+F212/CG212*Rdcr_sec)*Nps+J212), (Vout2+Vfwd22+G212/CH212*Rdcr_sec2)*Nps/Nsec1sec2/((Vout2+Vfwd22+G212/CH212*Rdcr_sec2)*Nps/Nsec1sec2+J212))</f>
        <v>0.60602869436489737</v>
      </c>
      <c r="O212" s="172">
        <f>N212*J212*Isw_max*0.5*Efficiency*Pout/(Pout+Pout2)</f>
        <v>85.438033040834284</v>
      </c>
      <c r="P212" s="172">
        <f>N212*J212*Isw_max*0.5*Efficiency*(Pout2/Pout_total)</f>
        <v>10.134868715303046</v>
      </c>
      <c r="Q212" s="217">
        <f>O212/Vout</f>
        <v>3.0513583228869385</v>
      </c>
      <c r="R212" s="217">
        <f>O212/Vout2</f>
        <v>2.8479344346944759</v>
      </c>
      <c r="S212" s="217">
        <f>MIN(Vout,O212/F212)</f>
        <v>27.808113676192061</v>
      </c>
      <c r="T212" s="217">
        <f>MIN(2*(Vout*F212+Vout2*G212)/(Efficiency*J212*N212), Isw_max)</f>
        <v>16.636531904832434</v>
      </c>
      <c r="U212" s="217">
        <f>L*T212/J212*1000000</f>
        <v>4.1746271464632043</v>
      </c>
      <c r="V212" s="217">
        <f>L*T212/K212*1000000</f>
        <v>2.7234475904567432</v>
      </c>
      <c r="W212" s="197">
        <f>IF(1/((350000*L)*(1/J212+1/K212))&gt;Isw_min, 350, 0.001/((Isw_min*L)*(1/J212+1/K212)))</f>
        <v>350</v>
      </c>
      <c r="X212" s="443">
        <f>MIN(1/(U212+V212+0.2)*1000, 350)</f>
        <v>140.88327286814788</v>
      </c>
      <c r="Z212" s="217">
        <f>1/((W212*1000*L)*(1/J212+1/K212))</f>
        <v>6.8907557706087035</v>
      </c>
      <c r="AA212" s="173">
        <f>L*Z212/K212*1000000</f>
        <v>1.1280363183410245</v>
      </c>
      <c r="AB212" s="173">
        <f>0.5*AA212*Z212*Nps*W212/1000*(Pout/(Pout+Pout2))</f>
        <v>1.2286390830102125</v>
      </c>
      <c r="AC212" s="173"/>
      <c r="AD212" s="173">
        <f>L*Isw_min/K212*1000000</f>
        <v>0.5456761473356635</v>
      </c>
      <c r="AE212" s="545">
        <f>MAX(10, F212/(0.5*AD212/1000000*Isw_min*Nps)/1000*Pout_total/Pout)</f>
        <v>3378.2827175279608</v>
      </c>
      <c r="AF212" s="528">
        <f>0.5*AD212/1000000*Isw_min*Nps*W212*1000*(Pout/Pout_total)</f>
        <v>0.31831108594580371</v>
      </c>
      <c r="AH212" s="173">
        <f>SQRT((H212+I212)/(0.5*L*Fsw_DCM))</f>
        <v>10.714367104817789</v>
      </c>
      <c r="AI212" s="173">
        <f>MAX(IF(F212&gt;AB212,T212,AH212),Isw_min)</f>
        <v>16.636531904832434</v>
      </c>
      <c r="AJ212" s="173">
        <f>IF(F212&gt;AF212, (AI212-Isw_min)/1.08*0.8+1.2, AE212*0.2/350+1)</f>
        <v>11.054221164073407</v>
      </c>
      <c r="AL212" s="545">
        <f>F212*1000</f>
        <v>3072.4138298521889</v>
      </c>
      <c r="AM212" s="460">
        <f>IF(F212&gt;AF212, X212, AE212)</f>
        <v>140.88327286814788</v>
      </c>
      <c r="AO212" t="str">
        <f>IF(H212&gt;O212, "",AL212)</f>
        <v/>
      </c>
      <c r="AP212" t="str">
        <f>IF(H212&gt;O212, "",AM212)</f>
        <v/>
      </c>
      <c r="AR212" s="5">
        <f>1/AM212*1000</f>
        <v>7.0980747369199477</v>
      </c>
      <c r="AS212" s="5">
        <f>L*AI212/J212*1000000</f>
        <v>4.1746271464632043</v>
      </c>
      <c r="AT212" s="5">
        <f>AR212-AS212</f>
        <v>2.9234475904567434</v>
      </c>
      <c r="AU212" s="173">
        <f>AS212/AR212</f>
        <v>0.58813513539795315</v>
      </c>
      <c r="AW212" s="5">
        <f>F212*AS212/Vout_ripple*1000</f>
        <v>45.807793497392602</v>
      </c>
      <c r="AX212" s="5">
        <f>G212*AS212/Vout_ripple2*1000</f>
        <v>3.8932990856165737</v>
      </c>
      <c r="AY212" s="5">
        <f>H212/Efficiency/J212*AT212/Vinripple1</f>
        <v>9.5909595032266939</v>
      </c>
      <c r="AZ212" s="5"/>
      <c r="BA212" s="173">
        <f>AI212*SQRT(AU212/3)</f>
        <v>7.3661529524640272</v>
      </c>
      <c r="BB212" s="173">
        <f>AI212*Npri_sec1*SQRT((1-AU212)/3)*(Pout/Pout_total)</f>
        <v>6.1642400413790943</v>
      </c>
      <c r="BC212" s="173">
        <f>AI212*Npri_sec2*SQRT((1-AU212)/3)*(Pout2/Pout_total)</f>
        <v>0.6214766599095316</v>
      </c>
      <c r="BD212" s="173"/>
      <c r="BE212" s="528">
        <f>Rdson*BA212^2</f>
        <v>0.65112251182913405</v>
      </c>
      <c r="BF212" s="528">
        <f>0.5*L212*AI212*AM212*1000*Tfall</f>
        <v>2.0335903331486773</v>
      </c>
      <c r="BG212" s="528">
        <f>Qg*Vdd*AM212*1000</f>
        <v>1.6201576379837008E-2</v>
      </c>
      <c r="BH212" s="528">
        <f>0.5*(Coss+Csw)*L212^2*AM212*1000</f>
        <v>0.15682756815398771</v>
      </c>
      <c r="BI212">
        <f>J212*IQ</f>
        <v>8.4286006256944022E-3</v>
      </c>
      <c r="BJ212" s="460">
        <f>(BG212+BI212)*1000</f>
        <v>24.630177005531412</v>
      </c>
      <c r="BK212">
        <f>(BF212+BG212*0+BH212+BI212*0+BE212*(1+RdsonTC*(Ta-25)))/(1-BE212*RdsonTC*ThetaJA)</f>
        <v>3.569581733081086</v>
      </c>
      <c r="BL212" s="460">
        <f>SUM(BE212:BI212)*1000</f>
        <v>2866.1705901373302</v>
      </c>
      <c r="BM212" s="173">
        <f>Vfwd2*F212*(1+Diode_TC/1000*(Ta-25))</f>
        <v>2.0603607142988776</v>
      </c>
      <c r="BN212" s="173">
        <f>Vfwd2*G212*(1+Diode_TC/1000*(Ta-25))</f>
        <v>0.18762248281452501</v>
      </c>
      <c r="BO212" s="528"/>
      <c r="BQ212" s="460">
        <f>SUM(BM212:BP212)*1000</f>
        <v>2247.9831971134026</v>
      </c>
      <c r="BR212" s="528">
        <f>Rdcr_pri*BA212^2</f>
        <v>0.75964293046732312</v>
      </c>
      <c r="BS212" s="528">
        <f>Rdcr_sec*BB212^2</f>
        <v>0.53196997402837876</v>
      </c>
      <c r="BT212" s="528">
        <f>Rdcr_sec2*BC212^2</f>
        <v>1.9311661940615379E-3</v>
      </c>
      <c r="BU212" s="528">
        <f>AI212^2.5*AM212^2.5*k_core</f>
        <v>13.297670819103239</v>
      </c>
      <c r="BV212" s="528"/>
      <c r="BW212" s="625">
        <f>0.5*Lleak*0.000000001*AI212^2*AM212*1000</f>
        <v>3.8992854270876212</v>
      </c>
      <c r="BX212" s="460">
        <f>SUM(BR212:BW212)*1000</f>
        <v>18490.500316880625</v>
      </c>
      <c r="BY212" s="173">
        <f>SUM(BE212:BI212,BM212:BP212,BR212:BW212)</f>
        <v>23.604654104131356</v>
      </c>
      <c r="BZ212" s="5">
        <f>MIN(H212+I212,O212+P212)</f>
        <v>94.42107737071926</v>
      </c>
      <c r="CA212" s="173">
        <f>BZ212/(BZ212+BY212)</f>
        <v>0.80000417019943548</v>
      </c>
      <c r="CB212" s="5">
        <f>CA212*100</f>
        <v>80.000417019943555</v>
      </c>
      <c r="CC212">
        <f>F212/Iout*100</f>
        <v>122.89655319408755</v>
      </c>
      <c r="CE212" s="562">
        <f>IF(ABS(F212-Ioutmax_Vinmin)&lt;Iout/200, AM212, -50)</f>
        <v>140.88327286814788</v>
      </c>
      <c r="CF212">
        <f>IF(ABS(F212-Ioutmax_Vinmin)&lt;Iout/200, (O212+P212)*CA212, -50)</f>
        <v>76.458719962970818</v>
      </c>
      <c r="CG212" s="173">
        <f>MIN(SQRT(2*DT212*1000*Ls1_*(CL212+CJ212*Vfwd1))/(CW212+Vfwd1), 1-DY212)</f>
        <v>0.38447255346461451</v>
      </c>
      <c r="CH212" s="173">
        <f>MIN(SQRT(2*DT212*1000*Ls2_*(CM212+CK212*Vfwd22))/(Vout2+Vfwd22), 1-DY212)</f>
        <v>0.12467877742130107</v>
      </c>
      <c r="CI212" s="170">
        <v>100</v>
      </c>
      <c r="CJ212" s="217">
        <f>IF(PLOT_TYPE=1, CI212/100*Iout_max, min_I*EXP(CS212*rr/100))</f>
        <v>2.5</v>
      </c>
      <c r="CK212" s="217">
        <f>IF(PLOT_TYPE=1, CI212/100*Iout2, min_I*EXP(CU212*rr/100))</f>
        <v>0.25</v>
      </c>
      <c r="CL212" s="217">
        <f>CJ212*Vout</f>
        <v>70</v>
      </c>
      <c r="CM212" s="217">
        <f>Vout2*CK212</f>
        <v>7.5</v>
      </c>
      <c r="CN212" s="541">
        <f t="shared" si="539"/>
        <v>19</v>
      </c>
      <c r="CO212" s="443">
        <f>(CW212+Vfwd2)*Nps</f>
        <v>28.7</v>
      </c>
      <c r="CP212" s="443">
        <f>(Vout+Vfwd2)*Nps+CN212</f>
        <v>47.7</v>
      </c>
      <c r="CQ212" s="443"/>
      <c r="CR212" s="217">
        <f>(Vout+Vfwd1)*Nps/((Vout+Vfwd1)*Nps+CN212)</f>
        <v>0.59915611814345993</v>
      </c>
      <c r="CS212" s="172">
        <f>CR212*CN212*Isw_max*0.5*Efficiency*Pout/(Pout+Pout2)</f>
        <v>85.685767433419556</v>
      </c>
      <c r="CT212" s="172">
        <f>CR212*CN212*Isw_max*0.5*Efficiency*(Pout2/Pout_total)</f>
        <v>10.164255575647982</v>
      </c>
      <c r="CU212" s="217">
        <f>CS212/Vout</f>
        <v>3.0602059797649841</v>
      </c>
      <c r="CV212" s="217">
        <f>CS212/Vout2</f>
        <v>2.8561922477806521</v>
      </c>
      <c r="CW212" s="217">
        <f>MIN(Vout,CS212/CJ212)</f>
        <v>28</v>
      </c>
      <c r="CX212" s="217">
        <f>MIN(2*(Vout*CJ212+Vout2*CK212)/(Efficiency*CN212*CR212), Isw_max)</f>
        <v>13.615641215715344</v>
      </c>
      <c r="CY212" s="217">
        <f>L*CX212/CN212*1000000</f>
        <v>3.3680796691506378</v>
      </c>
      <c r="CZ212" s="217">
        <f>L*CX212/CO212*1000000</f>
        <v>2.2297391537931053</v>
      </c>
      <c r="DA212" s="197">
        <f>IF(1/((350000*L)*(1/CN212+1/CO212))&gt;Isw_min, 350, 0.001/((Isw_min*L)*(1/CN212+1/CO212)))</f>
        <v>350</v>
      </c>
      <c r="DB212" s="443">
        <f>MIN(1/(CY212+CZ212)*1000, 350)</f>
        <v>178.64100851233459</v>
      </c>
      <c r="DD212" s="217">
        <f>1/((DA212*1000*L)*(1/CN212+1/CO212))</f>
        <v>6.9494625094785683</v>
      </c>
      <c r="DE212" s="173">
        <f>L*DD212/CO212*1000000</f>
        <v>1.1380652890086853</v>
      </c>
      <c r="DF212" s="173">
        <f>0.5*DE212*DD212*Nps*DA212/1000*(Pout/(Pout+Pout2))</f>
        <v>1.2501230996965573</v>
      </c>
      <c r="DG212" s="173"/>
      <c r="DH212" s="173">
        <f>L*Isw_min/CO212*1000000</f>
        <v>0.54587688734030204</v>
      </c>
      <c r="DI212" s="545">
        <f>MAX(10, CJ212/(0.5*DH212/1000000*Isw_min*Nps)/1000*Pout_total/Pout)</f>
        <v>2747.872340425532</v>
      </c>
      <c r="DJ212" s="528">
        <f>0.5*DH212/1000000*Isw_min*Nps*DA212*1000*(Pout/Pout_total)</f>
        <v>0.31842818428184283</v>
      </c>
      <c r="DL212" s="173">
        <f>SQRT((CL212+CM212)/(0.5*L*Fsw_DCM))</f>
        <v>9.7069523544806824</v>
      </c>
      <c r="DM212" s="173">
        <f>MAX(IF(CJ212&gt;DF212,CX212,DL212),Isw_min)</f>
        <v>13.615641215715344</v>
      </c>
      <c r="DN212" s="173">
        <f>IF(CJ212&gt;DJ212, (DM212-Isw_min)/1.08*0.8+1.2, DI212*0.2/350+1)</f>
        <v>8.8165243573200076</v>
      </c>
      <c r="DP212" s="545">
        <f>CJ212*1000</f>
        <v>2500</v>
      </c>
      <c r="DQ212" s="460">
        <f>IF(CJ212&gt;DJ212, DB212, DI212)</f>
        <v>178.64100851233459</v>
      </c>
      <c r="DS212">
        <f>IF(CL212&gt;CS212, "",DP212)</f>
        <v>2500</v>
      </c>
      <c r="DT212">
        <f>IF(CL212&gt;CS212, "",DQ212)</f>
        <v>178.64100851233459</v>
      </c>
      <c r="DV212" s="5">
        <f>1/DQ212*1000</f>
        <v>5.5978188229437427</v>
      </c>
      <c r="DW212" s="5">
        <f>L*DM212/CN212*1000000</f>
        <v>3.3680796691506378</v>
      </c>
      <c r="DX212" s="5">
        <f>DV212-DW212</f>
        <v>2.2297391537931048</v>
      </c>
      <c r="DY212" s="173">
        <f>DW212/DV212</f>
        <v>0.60167714884696022</v>
      </c>
      <c r="EA212" s="5">
        <f>CJ212*DW212/Vout_ripple*1000</f>
        <v>30.072139903130697</v>
      </c>
      <c r="EB212" s="5">
        <f>CK212*DW212/Vout_ripple2*1000</f>
        <v>2.8067330576255314</v>
      </c>
      <c r="EC212" s="5">
        <f>CL212/Efficiency/CN212*DX212/Vinripple1</f>
        <v>5.8677346152450118</v>
      </c>
      <c r="ED212" s="5"/>
      <c r="EE212" s="173">
        <f>DM212*SQRT(DY212/3)</f>
        <v>6.0976041966795407</v>
      </c>
      <c r="EF212" s="173">
        <f>DM212*Npri_sec1*SQRT((1-DY212)/3)*(Pout/Pout_total)</f>
        <v>4.961295358304274</v>
      </c>
      <c r="EG212" s="173">
        <f>DM212*Npri_sec2*SQRT((1-DY212)/3)*(Pout2/Pout_total)</f>
        <v>0.50019617137002104</v>
      </c>
      <c r="EH212" s="173"/>
      <c r="EI212" s="528">
        <f>Rdson*EE212^2</f>
        <v>0.44616932327236736</v>
      </c>
      <c r="EJ212" s="528">
        <f>0.5*CP212*DM212*DQ212*1000*Trise</f>
        <v>2.2044042553191496</v>
      </c>
      <c r="EK212" s="528">
        <f>Qg*Vdd*DQ212*1000</f>
        <v>2.0543715978918478E-2</v>
      </c>
      <c r="EL212" s="528">
        <f>0.5*(Coss+Csw)*CP212^2*DQ212*1000</f>
        <v>0.20018159937707969</v>
      </c>
      <c r="EM212">
        <f>CN212*IQ</f>
        <v>8.5500000000000003E-3</v>
      </c>
      <c r="EN212" s="460">
        <f>(EK212+EM212)*1000</f>
        <v>29.093715978918482</v>
      </c>
      <c r="EP212" s="460">
        <f>SUM(EI212:EM212)*1000</f>
        <v>2879.8488939475151</v>
      </c>
      <c r="EQ212" s="173">
        <f>Vfwd2*CJ212</f>
        <v>1.75</v>
      </c>
      <c r="ER212" s="173">
        <f>Vfwd22*CK212*(1+Diode_TC/1000*(Ta-25))</f>
        <v>0.11975</v>
      </c>
      <c r="ES212" s="528"/>
      <c r="EU212" s="460">
        <f>SUM(EQ212:ET212)*1000</f>
        <v>1869.75</v>
      </c>
      <c r="EV212" s="528">
        <f>Rdcr_pri*EE212^2</f>
        <v>0.52053087715109525</v>
      </c>
      <c r="EW212" s="528">
        <f>Rdcr_sec*EF212^2</f>
        <v>0.34460232285264147</v>
      </c>
      <c r="EX212" s="528">
        <f>Rdcr_sec2*EG212^2</f>
        <v>1.2509810492661371E-3</v>
      </c>
      <c r="EY212" s="528">
        <f>DM212^2.5*DQ212^2.5*k_core</f>
        <v>14.588752487337171</v>
      </c>
      <c r="EZ212" s="528"/>
      <c r="FA212" s="625">
        <f>0.5*Lleak*0.000000001*DM212^2*DQ212*1000</f>
        <v>3.3117485859893745</v>
      </c>
      <c r="FB212" s="460">
        <f>SUM(EV212:FA212)*1000</f>
        <v>18766.885254379547</v>
      </c>
      <c r="FC212" s="173">
        <f>SUM(EI212:EM212,EQ212:ET212,EV212:FA212)</f>
        <v>23.516484148327063</v>
      </c>
      <c r="FD212" s="5">
        <f>MIN(CL212+CM212,CS212+CT212)</f>
        <v>77.5</v>
      </c>
      <c r="FE212" s="173">
        <f>FD212/(FD212+FC212)</f>
        <v>0.76720151818195581</v>
      </c>
      <c r="FF212" s="5">
        <f>FE212*100</f>
        <v>76.720151818195575</v>
      </c>
      <c r="FG212">
        <f>CJ212/Iout*100</f>
        <v>100</v>
      </c>
      <c r="FI212" s="562">
        <f>IF(ABS(CJ212-Ioutmax_Vinmin)&lt;Iout/200, DQ212, -50)</f>
        <v>-50</v>
      </c>
      <c r="FJ212">
        <f>IF(ABS(CJ212-Ioutmax_Vinmin)&lt;Iout/200, (CS212+CT212)*FE212, -50)</f>
        <v>-50</v>
      </c>
    </row>
    <row r="213" spans="1:169">
      <c r="G213" s="217"/>
      <c r="H213" s="217"/>
      <c r="I213" s="217"/>
      <c r="J213" s="541"/>
      <c r="K213" s="443"/>
      <c r="L213" s="172"/>
      <c r="M213" s="443"/>
      <c r="N213" s="217"/>
      <c r="O213" s="172"/>
      <c r="P213" s="172"/>
      <c r="Q213" s="217"/>
      <c r="R213" s="217"/>
      <c r="S213" s="217"/>
      <c r="T213" s="217"/>
      <c r="U213" s="217"/>
      <c r="V213" s="217"/>
      <c r="W213" s="197"/>
      <c r="X213" s="443"/>
      <c r="Z213" s="217"/>
      <c r="AA213" s="173"/>
      <c r="AB213" s="173"/>
      <c r="AC213" s="173"/>
      <c r="AD213" s="173"/>
      <c r="AE213" s="545"/>
      <c r="AF213" s="528"/>
      <c r="AH213" s="173"/>
      <c r="AI213" s="173"/>
      <c r="AJ213" s="173"/>
      <c r="AL213" s="545"/>
      <c r="AM213" s="460"/>
      <c r="AR213" s="5"/>
      <c r="AS213" s="5"/>
      <c r="AT213" s="5"/>
      <c r="AU213" s="173"/>
      <c r="CE213" s="562"/>
      <c r="CG213" s="173"/>
      <c r="CH213" s="173"/>
      <c r="CK213" s="217"/>
      <c r="CL213" s="217"/>
      <c r="CM213" s="217"/>
      <c r="CN213" s="541"/>
      <c r="CO213" s="443"/>
      <c r="CP213" s="443"/>
      <c r="CQ213" s="443"/>
      <c r="CR213" s="217"/>
      <c r="CS213" s="172"/>
      <c r="CT213" s="172"/>
      <c r="CU213" s="217"/>
      <c r="CV213" s="217"/>
      <c r="CW213" s="217"/>
      <c r="CX213" s="217"/>
      <c r="CY213" s="217"/>
      <c r="CZ213" s="217"/>
      <c r="DA213" s="197"/>
      <c r="DB213" s="443"/>
      <c r="DD213" s="217"/>
      <c r="DE213" s="173"/>
      <c r="DF213" s="173"/>
      <c r="DG213" s="173"/>
      <c r="DH213" s="173"/>
      <c r="DI213" s="545"/>
      <c r="DJ213" s="528"/>
      <c r="DL213" s="173"/>
      <c r="DM213" s="173"/>
      <c r="DN213" s="173"/>
      <c r="DP213" s="545"/>
      <c r="DQ213" s="460"/>
      <c r="DV213" s="5"/>
      <c r="DW213" s="5"/>
      <c r="DX213" s="5"/>
      <c r="DY213" s="173"/>
      <c r="FI213" s="562"/>
    </row>
    <row r="214" spans="1:169" ht="13">
      <c r="E214" s="445" t="s">
        <v>435</v>
      </c>
      <c r="G214" s="217"/>
      <c r="H214" s="217"/>
      <c r="I214" s="217"/>
      <c r="J214" s="541"/>
      <c r="K214" s="443"/>
      <c r="L214" s="172"/>
      <c r="M214" s="443"/>
      <c r="N214" s="217"/>
      <c r="O214" s="172"/>
      <c r="P214" s="172"/>
      <c r="Q214" s="217"/>
      <c r="R214" s="217"/>
      <c r="S214" s="217"/>
      <c r="T214" s="217"/>
      <c r="U214" s="217"/>
      <c r="V214" s="217"/>
      <c r="W214" s="197"/>
      <c r="X214" s="443"/>
      <c r="Z214" s="217"/>
      <c r="AA214" s="173"/>
      <c r="AB214" s="173"/>
      <c r="AC214" s="173"/>
      <c r="AD214" s="173"/>
      <c r="AE214" s="545"/>
      <c r="AF214" s="528"/>
      <c r="AH214" s="173"/>
      <c r="AI214" s="173"/>
      <c r="AJ214" s="173"/>
      <c r="AL214" s="545"/>
      <c r="AM214" s="460"/>
      <c r="AR214" s="5"/>
      <c r="AS214" s="5"/>
      <c r="AT214" s="5"/>
      <c r="AU214" s="173"/>
      <c r="CE214" s="562"/>
      <c r="CG214" s="173"/>
      <c r="CH214" s="173"/>
      <c r="CI214" s="445" t="s">
        <v>435</v>
      </c>
      <c r="CK214" s="217"/>
      <c r="CL214" s="217"/>
      <c r="CM214" s="217"/>
      <c r="CN214" s="541"/>
      <c r="CO214" s="443"/>
      <c r="CP214" s="443"/>
      <c r="CQ214" s="443"/>
      <c r="CR214" s="217"/>
      <c r="CS214" s="172"/>
      <c r="CT214" s="172"/>
      <c r="CU214" s="217"/>
      <c r="CV214" s="217"/>
      <c r="CW214" s="217"/>
      <c r="CX214" s="217"/>
      <c r="CY214" s="217"/>
      <c r="CZ214" s="217"/>
      <c r="DA214" s="197"/>
      <c r="DB214" s="443"/>
      <c r="DD214" s="217"/>
      <c r="DE214" s="173"/>
      <c r="DF214" s="173"/>
      <c r="DG214" s="173"/>
      <c r="DH214" s="173"/>
      <c r="DI214" s="545"/>
      <c r="DJ214" s="528"/>
      <c r="DL214" s="173"/>
      <c r="DM214" s="173"/>
      <c r="DN214" s="173"/>
      <c r="DP214" s="545"/>
      <c r="DQ214" s="460"/>
      <c r="DV214" s="5"/>
      <c r="DW214" s="5"/>
      <c r="DX214" s="5"/>
      <c r="DY214" s="173"/>
      <c r="FI214" s="562"/>
    </row>
    <row r="215" spans="1:169" ht="45" customHeight="1" thickBot="1">
      <c r="E215" s="241" t="s">
        <v>25</v>
      </c>
      <c r="F215" s="602" t="s">
        <v>580</v>
      </c>
      <c r="G215" s="444" t="s">
        <v>579</v>
      </c>
      <c r="H215" s="603" t="s">
        <v>581</v>
      </c>
      <c r="I215" s="604" t="s">
        <v>582</v>
      </c>
      <c r="J215" s="242" t="s">
        <v>412</v>
      </c>
      <c r="K215" s="243" t="s">
        <v>586</v>
      </c>
      <c r="L215" s="605" t="s">
        <v>413</v>
      </c>
      <c r="M215" s="606"/>
      <c r="N215" s="244" t="s">
        <v>48</v>
      </c>
      <c r="O215" s="606" t="s">
        <v>590</v>
      </c>
      <c r="P215" s="606" t="s">
        <v>606</v>
      </c>
      <c r="Q215" s="606" t="s">
        <v>583</v>
      </c>
      <c r="R215" s="606" t="s">
        <v>584</v>
      </c>
      <c r="S215" s="606" t="s">
        <v>585</v>
      </c>
      <c r="T215" s="606" t="s">
        <v>414</v>
      </c>
      <c r="U215" s="606" t="s">
        <v>466</v>
      </c>
      <c r="V215" s="606" t="s">
        <v>465</v>
      </c>
      <c r="W215" s="607" t="s">
        <v>420</v>
      </c>
      <c r="X215" s="608" t="s">
        <v>425</v>
      </c>
      <c r="Z215" s="245" t="s">
        <v>417</v>
      </c>
      <c r="AA215" s="245" t="s">
        <v>464</v>
      </c>
      <c r="AB215" s="245" t="s">
        <v>587</v>
      </c>
      <c r="AC215" s="544"/>
      <c r="AD215" s="245" t="s">
        <v>463</v>
      </c>
      <c r="AE215" s="607" t="s">
        <v>426</v>
      </c>
      <c r="AF215" s="245" t="s">
        <v>588</v>
      </c>
      <c r="AG215" s="544"/>
      <c r="AH215" s="245" t="s">
        <v>429</v>
      </c>
      <c r="AI215" s="547" t="s">
        <v>430</v>
      </c>
      <c r="AJ215" s="547" t="s">
        <v>431</v>
      </c>
      <c r="AL215" s="543" t="s">
        <v>275</v>
      </c>
      <c r="AM215" s="543" t="s">
        <v>432</v>
      </c>
      <c r="AO215" s="245" t="s">
        <v>275</v>
      </c>
      <c r="AP215" s="245" t="s">
        <v>432</v>
      </c>
      <c r="AQ215" s="548"/>
      <c r="AR215" s="245" t="s">
        <v>467</v>
      </c>
      <c r="AS215" s="245" t="s">
        <v>461</v>
      </c>
      <c r="AT215" s="245" t="s">
        <v>462</v>
      </c>
      <c r="AU215" s="245" t="s">
        <v>48</v>
      </c>
      <c r="AV215" s="544"/>
      <c r="AW215" s="245" t="s">
        <v>591</v>
      </c>
      <c r="AX215" s="245" t="s">
        <v>592</v>
      </c>
      <c r="AY215" s="245" t="s">
        <v>514</v>
      </c>
      <c r="AZ215" s="544"/>
      <c r="BA215" s="557" t="s">
        <v>456</v>
      </c>
      <c r="BB215" s="245" t="s">
        <v>599</v>
      </c>
      <c r="BC215" s="245" t="s">
        <v>598</v>
      </c>
      <c r="BD215" s="544"/>
      <c r="BE215" s="557" t="s">
        <v>474</v>
      </c>
      <c r="BF215" s="245" t="s">
        <v>475</v>
      </c>
      <c r="BG215" s="245" t="s">
        <v>473</v>
      </c>
      <c r="BH215" s="245" t="s">
        <v>469</v>
      </c>
      <c r="BI215" s="245" t="s">
        <v>478</v>
      </c>
      <c r="BJ215" s="245" t="s">
        <v>491</v>
      </c>
      <c r="BK215" s="245" t="s">
        <v>776</v>
      </c>
      <c r="BL215" s="245" t="s">
        <v>778</v>
      </c>
      <c r="BM215" s="557" t="s">
        <v>601</v>
      </c>
      <c r="BN215" s="245" t="s">
        <v>600</v>
      </c>
      <c r="BO215" s="245" t="s">
        <v>477</v>
      </c>
      <c r="BP215" s="245" t="s">
        <v>483</v>
      </c>
      <c r="BQ215" s="245" t="s">
        <v>487</v>
      </c>
      <c r="BR215" s="557" t="s">
        <v>458</v>
      </c>
      <c r="BS215" s="245" t="s">
        <v>603</v>
      </c>
      <c r="BT215" s="245" t="s">
        <v>602</v>
      </c>
      <c r="BU215" s="245" t="s">
        <v>468</v>
      </c>
      <c r="BV215" s="245" t="s">
        <v>673</v>
      </c>
      <c r="BW215" s="245" t="s">
        <v>484</v>
      </c>
      <c r="BX215" s="245" t="s">
        <v>667</v>
      </c>
      <c r="BY215" s="557" t="s">
        <v>482</v>
      </c>
      <c r="BZ215" s="245" t="s">
        <v>223</v>
      </c>
      <c r="CA215" s="245" t="s">
        <v>47</v>
      </c>
      <c r="CB215" s="245" t="s">
        <v>485</v>
      </c>
      <c r="CC215" s="245" t="s">
        <v>604</v>
      </c>
      <c r="CE215" s="569" t="s">
        <v>497</v>
      </c>
      <c r="CG215" s="782" t="s">
        <v>829</v>
      </c>
      <c r="CH215" s="783" t="s">
        <v>830</v>
      </c>
      <c r="CI215" s="241" t="s">
        <v>25</v>
      </c>
      <c r="CJ215" s="602" t="s">
        <v>580</v>
      </c>
      <c r="CK215" s="444" t="s">
        <v>579</v>
      </c>
      <c r="CL215" s="603" t="s">
        <v>581</v>
      </c>
      <c r="CM215" s="604" t="s">
        <v>582</v>
      </c>
      <c r="CN215" s="242" t="s">
        <v>412</v>
      </c>
      <c r="CO215" s="243" t="s">
        <v>586</v>
      </c>
      <c r="CP215" s="605" t="s">
        <v>413</v>
      </c>
      <c r="CQ215" s="606"/>
      <c r="CR215" s="244" t="s">
        <v>48</v>
      </c>
      <c r="CS215" s="606" t="s">
        <v>590</v>
      </c>
      <c r="CT215" s="606" t="s">
        <v>606</v>
      </c>
      <c r="CU215" s="606" t="s">
        <v>583</v>
      </c>
      <c r="CV215" s="606" t="s">
        <v>584</v>
      </c>
      <c r="CW215" s="606" t="s">
        <v>585</v>
      </c>
      <c r="CX215" s="606" t="s">
        <v>414</v>
      </c>
      <c r="CY215" s="606" t="s">
        <v>466</v>
      </c>
      <c r="CZ215" s="606" t="s">
        <v>465</v>
      </c>
      <c r="DA215" s="607" t="s">
        <v>420</v>
      </c>
      <c r="DB215" s="608" t="s">
        <v>425</v>
      </c>
      <c r="DD215" s="245" t="s">
        <v>417</v>
      </c>
      <c r="DE215" s="245" t="s">
        <v>464</v>
      </c>
      <c r="DF215" s="245" t="s">
        <v>587</v>
      </c>
      <c r="DG215" s="544"/>
      <c r="DH215" s="245" t="s">
        <v>463</v>
      </c>
      <c r="DI215" s="607" t="s">
        <v>426</v>
      </c>
      <c r="DJ215" s="245" t="s">
        <v>588</v>
      </c>
      <c r="DK215" s="544"/>
      <c r="DL215" s="245" t="s">
        <v>429</v>
      </c>
      <c r="DM215" s="547" t="s">
        <v>430</v>
      </c>
      <c r="DN215" s="547" t="s">
        <v>431</v>
      </c>
      <c r="DP215" s="543" t="s">
        <v>275</v>
      </c>
      <c r="DQ215" s="543" t="s">
        <v>432</v>
      </c>
      <c r="DS215" s="245" t="s">
        <v>275</v>
      </c>
      <c r="DT215" s="245" t="s">
        <v>432</v>
      </c>
      <c r="DU215" s="548"/>
      <c r="DV215" s="245" t="s">
        <v>467</v>
      </c>
      <c r="DW215" s="245" t="s">
        <v>461</v>
      </c>
      <c r="DX215" s="245" t="s">
        <v>462</v>
      </c>
      <c r="DY215" s="245" t="s">
        <v>48</v>
      </c>
      <c r="DZ215" s="544"/>
      <c r="EA215" s="245" t="s">
        <v>591</v>
      </c>
      <c r="EB215" s="245" t="s">
        <v>592</v>
      </c>
      <c r="EC215" s="245" t="s">
        <v>514</v>
      </c>
      <c r="ED215" s="544"/>
      <c r="EE215" s="557" t="s">
        <v>456</v>
      </c>
      <c r="EF215" s="245" t="s">
        <v>599</v>
      </c>
      <c r="EG215" s="245" t="s">
        <v>598</v>
      </c>
      <c r="EH215" s="544"/>
      <c r="EI215" s="557" t="s">
        <v>474</v>
      </c>
      <c r="EJ215" s="245" t="s">
        <v>475</v>
      </c>
      <c r="EK215" s="245" t="s">
        <v>473</v>
      </c>
      <c r="EL215" s="245" t="s">
        <v>469</v>
      </c>
      <c r="EM215" s="245" t="s">
        <v>478</v>
      </c>
      <c r="EN215" s="245" t="s">
        <v>491</v>
      </c>
      <c r="EO215" s="245" t="s">
        <v>776</v>
      </c>
      <c r="EP215" s="245" t="s">
        <v>778</v>
      </c>
      <c r="EQ215" s="557" t="s">
        <v>601</v>
      </c>
      <c r="ER215" s="245" t="s">
        <v>600</v>
      </c>
      <c r="ES215" s="245" t="s">
        <v>477</v>
      </c>
      <c r="ET215" s="245" t="s">
        <v>483</v>
      </c>
      <c r="EU215" s="245" t="s">
        <v>487</v>
      </c>
      <c r="EV215" s="557" t="s">
        <v>458</v>
      </c>
      <c r="EW215" s="245" t="s">
        <v>603</v>
      </c>
      <c r="EX215" s="245" t="s">
        <v>602</v>
      </c>
      <c r="EY215" s="245" t="s">
        <v>468</v>
      </c>
      <c r="EZ215" s="245" t="s">
        <v>673</v>
      </c>
      <c r="FA215" s="245" t="s">
        <v>484</v>
      </c>
      <c r="FB215" s="245" t="s">
        <v>486</v>
      </c>
      <c r="FC215" s="557" t="s">
        <v>482</v>
      </c>
      <c r="FD215" s="245" t="s">
        <v>223</v>
      </c>
      <c r="FE215" s="245" t="s">
        <v>47</v>
      </c>
      <c r="FF215" s="245" t="s">
        <v>485</v>
      </c>
      <c r="FG215" s="245" t="s">
        <v>604</v>
      </c>
      <c r="FI215" s="569" t="s">
        <v>497</v>
      </c>
      <c r="FL215" s="782" t="s">
        <v>876</v>
      </c>
      <c r="FM215" s="782" t="s">
        <v>875</v>
      </c>
    </row>
    <row r="216" spans="1:169">
      <c r="E216" s="170">
        <v>0.1</v>
      </c>
      <c r="F216" s="217">
        <v>1.0000000000000001E-9</v>
      </c>
      <c r="G216" s="217">
        <f t="shared" ref="G216:G247" si="615">IF(PLOT_TYPE=1, E216/100*Iout2, min_I*EXP(Q216*rr/100))</f>
        <v>2.5000000000000001E-4</v>
      </c>
      <c r="H216" s="217">
        <f t="shared" ref="H216:H247" si="616">F216*Vout</f>
        <v>2.8000000000000003E-8</v>
      </c>
      <c r="I216" s="217">
        <f t="shared" ref="I216:I247" si="617">Vout2*G216</f>
        <v>7.4999999999999997E-3</v>
      </c>
      <c r="J216" s="541">
        <f t="shared" ref="J216:J247" si="618">VIN_max-(F216/CG216/Nps+G216/CH216/(Nps/Nsec1sec2))*(Rdcr_pri+RON/1000)</f>
        <v>39.992641684925346</v>
      </c>
      <c r="K216" s="443">
        <f t="shared" ref="K216:K247" si="619">MAX((S216+Vfwd2+Rdcr_sec*F216/CG216)*Nps,(Vout2+Vfwd22+Rdcr_sec2*G216/CH216)*Nps/Nsec1sec2)</f>
        <v>28.701250549318868</v>
      </c>
      <c r="L216" s="172">
        <f t="shared" ref="L216:L247" si="620">MAX((Vout+Vfwd2+F216/CG216*Rdcr_sec)*Nps+J216, (Vout2+Vfwd22+G216/CH216*Rdcr_sec2)*Nps/Nsec1sec2+J216)</f>
        <v>68.693892234244217</v>
      </c>
      <c r="M216" s="443"/>
      <c r="N216" s="217">
        <f t="shared" ref="N216:N247" si="621">MAX((Vout+Vfwd2+F216/CG216*Rdcr_sec)*Nps/((Vout+Vfwd2+F216/CG216*Rdcr_sec)*Nps+J216), (Vout2+Vfwd22+G216/CH216*Rdcr_sec2)*Nps/Nsec1sec2/((Vout2+Vfwd22+G216/CH216*Rdcr_sec2)*Nps/Nsec1sec2+J216))</f>
        <v>0.41781371845183002</v>
      </c>
      <c r="O216" s="172">
        <f t="shared" ref="O216:O247" si="622">N216*J216*Isw_max*0.5*Efficiency*Pout/(Pout+Pout2)</f>
        <v>125.77023691573362</v>
      </c>
      <c r="P216" s="172">
        <f t="shared" ref="P216:P247" si="623">N216*J216*Isw_max*0.5*Efficiency*(Pout2/Pout_total)</f>
        <v>14.919173511687788</v>
      </c>
      <c r="Q216" s="217">
        <f t="shared" ref="Q216:Q279" si="624">O216/Vout</f>
        <v>4.4917941755619148</v>
      </c>
      <c r="R216" s="217">
        <f t="shared" ref="R216:R247" si="625">O216/Vout2</f>
        <v>4.1923412305244536</v>
      </c>
      <c r="S216" s="217">
        <f t="shared" ref="S216:S247" si="626">MIN(Vout,O216/F216)</f>
        <v>28</v>
      </c>
      <c r="T216" s="217">
        <f t="shared" ref="T216:T247" si="627">MIN(2*(Vout*F216+Vout2*G216)/(Efficiency*J216*N216), Isw_max)</f>
        <v>8.9769765948261439E-4</v>
      </c>
      <c r="U216" s="217">
        <f t="shared" ref="U216:U279" si="628">L*T216/J216*1000000</f>
        <v>1.0549888233961416E-4</v>
      </c>
      <c r="V216" s="217">
        <f t="shared" ref="V216:V279" si="629">L*T216/K216*1000000</f>
        <v>1.4700331584222262E-4</v>
      </c>
      <c r="W216" s="197">
        <f t="shared" ref="W216:W279" si="630">IF(1/((350000*L)*(1/J216+1/K216))&gt;Isw_min, 350, 0.001/((Isw_min*L)*(1/J216+1/K216)))</f>
        <v>350</v>
      </c>
      <c r="X216" s="443">
        <f>MIN(1/(U216+V216+0.2)*1000, 350)</f>
        <v>350</v>
      </c>
      <c r="Z216" s="217">
        <f t="shared" ref="Z216:Z279" si="631">1/((W216*1000*L)*(1/J216+1/K216))</f>
        <v>10.157735156893814</v>
      </c>
      <c r="AA216" s="173">
        <f t="shared" ref="AA216:AA279" si="632">L*Z216/K216*1000000</f>
        <v>1.6633893758519143</v>
      </c>
      <c r="AB216" s="173">
        <f t="shared" ref="AB216:AB247" si="633">0.5*AA216*Z216*Nps*W216/1000*(Pout/(Pout+Pout2))</f>
        <v>2.6707005432001214</v>
      </c>
      <c r="AC216" s="173"/>
      <c r="AD216" s="173">
        <f t="shared" ref="AD216:AD279" si="634">L*Isw_min/K216*1000000</f>
        <v>0.54585310280281374</v>
      </c>
      <c r="AE216" s="545">
        <f t="shared" ref="AE216:AE247" si="635">MAX(10, F216/(0.5*AD216/1000000*Isw_min*Nps)/1000*Pout_total/Pout)</f>
        <v>10</v>
      </c>
      <c r="AF216" s="528">
        <f t="shared" ref="AF216:AF247" si="636">0.5*AD216/1000000*Isw_min*Nps*W216*1000*(Pout/Pout_total)</f>
        <v>0.31841430996830805</v>
      </c>
      <c r="AH216" s="173">
        <f t="shared" ref="AH216:AH247" si="637">SQRT((H216+I216)/(0.5*L*Fsw_DCM))</f>
        <v>9.5491230361682125E-2</v>
      </c>
      <c r="AI216" s="173">
        <f t="shared" ref="AI216:AI247" si="638">MAX(IF(F216&gt;AB216,T216,AH216),Isw_min)</f>
        <v>3.3333333333333335</v>
      </c>
      <c r="AJ216" s="173">
        <f t="shared" ref="AJ216:AJ247" si="639">IF(F216&gt;AF216, (AI216-Isw_min)/1.08*0.8+1.2, AE216*0.2/350+1)</f>
        <v>1.0057142857142858</v>
      </c>
      <c r="AL216" s="545">
        <f t="shared" ref="AL216:AL247" si="640">F216*1000</f>
        <v>1.0000000000000002E-6</v>
      </c>
      <c r="AM216" s="460">
        <f t="shared" ref="AM216:AM247" si="641">IF(F216&gt;AF216, X216, AE216)</f>
        <v>10</v>
      </c>
      <c r="AO216">
        <f t="shared" ref="AO216:AO279" si="642">IF(H216&gt;O216, "",AL216)</f>
        <v>1.0000000000000002E-6</v>
      </c>
      <c r="AP216">
        <f t="shared" ref="AP216:AP279" si="643">IF(H216&gt;O216, "",AM216)</f>
        <v>10</v>
      </c>
      <c r="AR216" s="5">
        <f t="shared" si="614"/>
        <v>100</v>
      </c>
      <c r="AS216" s="5">
        <f t="shared" si="602"/>
        <v>0.39173873009174071</v>
      </c>
      <c r="AT216" s="5">
        <f t="shared" si="603"/>
        <v>99.608261269908255</v>
      </c>
      <c r="AU216" s="173">
        <f t="shared" si="604"/>
        <v>3.9173873009174069E-3</v>
      </c>
      <c r="BA216" s="173">
        <f>AI216*SQRT(AU216/3)</f>
        <v>0.12045265399836426</v>
      </c>
      <c r="BB216" s="173">
        <f>AI216*Npri_sec1*SQRT((1-AU216)/3)*(Pout/Pout_total)</f>
        <v>1.9207276907069504</v>
      </c>
      <c r="BC216" s="173">
        <f>AI216*Npri_sec2*SQRT((1-AU216)/3)*(Pout2/Pout_total)</f>
        <v>0.19364713603029091</v>
      </c>
      <c r="BD216" s="173"/>
      <c r="BE216" s="528">
        <f>Rdson*BA216^2</f>
        <v>1.7410610226299589E-4</v>
      </c>
      <c r="BF216" s="528">
        <f t="shared" ref="BF216:BF247" si="644">0.5*L216*AI216*AM216*1000*Tfall</f>
        <v>4.1788784442498568E-2</v>
      </c>
      <c r="BG216" s="528">
        <f>Qg*Vdd*AM216*1000</f>
        <v>1.15E-3</v>
      </c>
      <c r="BH216" s="528">
        <f>0.5*(Coss+Csw)*L216^2*AM216*1000</f>
        <v>2.3240340339178045E-2</v>
      </c>
      <c r="BI216">
        <f>J216*IQ</f>
        <v>1.7996688758216407E-2</v>
      </c>
      <c r="BJ216" s="460">
        <f>(BG216+BI216)*1000</f>
        <v>19.14668875821641</v>
      </c>
      <c r="BK216">
        <f t="shared" ref="BK216:BK247" si="645">(BF216+BG216*0+BH216+BI216*0+BE216*(1+RdsonTC*(Ta-25)))/(1-BE216*RdsonTC*ThetaJA)</f>
        <v>6.5252938889671278E-2</v>
      </c>
      <c r="BL216" s="460">
        <f>SUM(BE216:BI216)*1000</f>
        <v>84.34991964215601</v>
      </c>
      <c r="BM216" s="173">
        <f t="shared" ref="BM216:BM247" si="646">Vfwd2*F216*(1+Diode_TC/1000*(Ta-25))</f>
        <v>6.7059999999999994E-10</v>
      </c>
      <c r="BN216" s="173">
        <f t="shared" ref="BN216:BN247" si="647">Vfwd22*G216*(1+Diode_TC/1000*(Ta-25))</f>
        <v>1.1975E-4</v>
      </c>
      <c r="BQ216" s="460">
        <f>SUM(BM216:BP216)*1000</f>
        <v>0.1197506706</v>
      </c>
      <c r="BR216" s="528">
        <f>Rdcr_pri*BA216^2</f>
        <v>2.031237859734952E-4</v>
      </c>
      <c r="BS216" s="528">
        <f>Rdcr_sec*BB216^2</f>
        <v>5.1648728065878363E-2</v>
      </c>
      <c r="BT216" s="528">
        <f>Rdcr_sec2*BC216^2</f>
        <v>1.8749606646366996E-4</v>
      </c>
      <c r="BU216" s="528">
        <f>AI216^2.5*AM216^2.5*k_core</f>
        <v>3.2075014954979249E-4</v>
      </c>
      <c r="BV216" s="528"/>
      <c r="BW216" s="625">
        <f>0.5*Lleak*0.000000001*AI216^2*AM216*1000</f>
        <v>1.1111111111111112E-2</v>
      </c>
      <c r="BX216" s="460">
        <f>SUM(BR216:BW216)*1000</f>
        <v>63.47120917897643</v>
      </c>
      <c r="BY216" s="173">
        <f>SUM(BE216:BI216,BM216:BP216,BR216:BW216)</f>
        <v>0.14794087949173243</v>
      </c>
      <c r="BZ216" s="5">
        <f>MIN(H216+I216,O216+P216)</f>
        <v>7.5000279999999997E-3</v>
      </c>
      <c r="CA216" s="173">
        <f>BZ216/(BZ216+BY216)</f>
        <v>4.825002710691785E-2</v>
      </c>
      <c r="CB216" s="5">
        <f>CA216*100</f>
        <v>4.825002710691785</v>
      </c>
      <c r="CC216">
        <f>F216/Iout*100</f>
        <v>4.0000000000000001E-8</v>
      </c>
      <c r="CE216" s="562">
        <f t="shared" ref="CE216:CE247" si="648">IF(ABS(F216-Ioutmax_Vinmax)&lt;Iout/200, AM216, -50)</f>
        <v>-50</v>
      </c>
      <c r="CG216" s="173">
        <f t="shared" ref="CG216:CG247" si="649">MIN(SQRT(2*DT216*1000*Ls1_*CL216)/CW216, 1-DY216)</f>
        <v>1.8322507626258086E-6</v>
      </c>
      <c r="CH216" s="173">
        <f t="shared" ref="CH216:CH247" si="650">MIN(SQRT(2*DT216*1000*Ls2_*CM216)/Vout2, 1-DY216)</f>
        <v>9.4057026816313227E-4</v>
      </c>
      <c r="CI216" s="170">
        <v>0.1</v>
      </c>
      <c r="CJ216" s="217">
        <v>1.0000000000000001E-9</v>
      </c>
      <c r="CK216" s="217">
        <f t="shared" ref="CK216:CK279" si="651">IF(PLOT_TYPE=1, CI216/100*Iout2, min_I*EXP(CU216*rr/100))</f>
        <v>2.5000000000000001E-4</v>
      </c>
      <c r="CL216" s="217">
        <f t="shared" ref="CL216:CL279" si="652">CJ216*Vout</f>
        <v>2.8000000000000003E-8</v>
      </c>
      <c r="CM216" s="217">
        <f t="shared" ref="CM216:CM279" si="653">Vout2*CK216</f>
        <v>7.4999999999999997E-3</v>
      </c>
      <c r="CN216" s="541">
        <f t="shared" ref="CN216:CN279" si="654">VIN_max</f>
        <v>40</v>
      </c>
      <c r="CO216" s="443">
        <f t="shared" ref="CO216:CO247" si="655">(CW216+Vfwd2)*Nps</f>
        <v>28.7</v>
      </c>
      <c r="CP216" s="443">
        <f t="shared" ref="CP216:CP247" si="656">(Vout+Vfwd2)*Nps+CN216</f>
        <v>68.7</v>
      </c>
      <c r="CQ216" s="443"/>
      <c r="CR216" s="217">
        <f t="shared" ref="CR216:CR279" si="657">(Vout+Vfwd1)*Nps/((Vout+Vfwd1)*Nps+CN216)</f>
        <v>0.41520467836257302</v>
      </c>
      <c r="CS216" s="172">
        <f t="shared" ref="CS216:CS279" si="658">CR216*CN216*Isw_max*0.5*Efficiency*Pout/(Pout+Pout2)</f>
        <v>125.00786015217253</v>
      </c>
      <c r="CT216" s="172">
        <f t="shared" ref="CT216:CT279" si="659">CR216*CN216*Isw_max*0.5*Efficiency*(Pout2/Pout_total)</f>
        <v>14.828738512949037</v>
      </c>
      <c r="CU216" s="217">
        <f t="shared" ref="CU216:CU279" si="660">CS216/Vout</f>
        <v>4.4645664340061613</v>
      </c>
      <c r="CV216" s="217">
        <f t="shared" ref="CV216:CV279" si="661">CS216/Vout2</f>
        <v>4.1669286717390843</v>
      </c>
      <c r="CW216" s="217">
        <f t="shared" ref="CW216:CW279" si="662">MIN(Vout,CS216/CJ216)</f>
        <v>28</v>
      </c>
      <c r="CX216" s="217">
        <f t="shared" ref="CX216:CX279" si="663">MIN(2*(Vout*CJ216+Vout2*CK216)/(Efficiency*CN216*CR216), Isw_max)</f>
        <v>9.0317238591549318E-4</v>
      </c>
      <c r="CY216" s="217">
        <f t="shared" ref="CY216:CY279" si="664">L*CX216/CN216*1000000</f>
        <v>1.0612275534507044E-4</v>
      </c>
      <c r="CZ216" s="217">
        <f t="shared" ref="CZ216:CZ279" si="665">L*CX216/CO216*1000000</f>
        <v>1.4790627922657904E-4</v>
      </c>
      <c r="DA216" s="197">
        <f t="shared" ref="DA216:DA279" si="666">IF(1/((350000*L)*(1/CN216+1/CO216))&gt;Isw_min, 350, 0.001/((Isw_min*L)*(1/CN216+1/CO216)))</f>
        <v>350</v>
      </c>
      <c r="DB216" s="443">
        <f t="shared" ref="DB216:DB279" si="667">MIN(1/(CY216+CZ216)*1000, 350)</f>
        <v>350</v>
      </c>
      <c r="DD216" s="217">
        <f t="shared" ref="DD216:DD279" si="668">1/((DA216*1000*L)*(1/CN216+1/CO216))</f>
        <v>10.158258230357086</v>
      </c>
      <c r="DE216" s="173">
        <f t="shared" ref="DE216:DE279" si="669">L*DD216/CO216*1000000</f>
        <v>1.6635475150758992</v>
      </c>
      <c r="DF216" s="173">
        <f t="shared" ref="DF216:DF279" si="670">0.5*DE216*DD216*Nps*DA216/1000*(Pout/(Pout+Pout2))</f>
        <v>2.6710919890125213</v>
      </c>
      <c r="DG216" s="173"/>
      <c r="DH216" s="173">
        <f t="shared" ref="DH216:DH279" si="671">L*Isw_min/CO216*1000000</f>
        <v>0.54587688734030204</v>
      </c>
      <c r="DI216" s="545">
        <f t="shared" ref="DI216:DI279" si="672">MAX(10, CJ216/(0.5*DH216/1000000*Isw_min*Nps)/1000*Pout_total/Pout)</f>
        <v>10</v>
      </c>
      <c r="DJ216" s="528">
        <f t="shared" ref="DJ216:DJ279" si="673">0.5*DH216/1000000*Isw_min*Nps*DA216*1000*(Pout/Pout_total)</f>
        <v>0.31842818428184283</v>
      </c>
      <c r="DL216" s="173">
        <f t="shared" ref="DL216:DL279" si="674">SQRT((CL216+CM216)/(0.5*L*Fsw_DCM))</f>
        <v>9.5491230361682125E-2</v>
      </c>
      <c r="DM216" s="173">
        <f t="shared" ref="DM216:DM279" si="675">MAX(IF(CJ216&gt;DF216,CX216,DL216),Isw_min)</f>
        <v>3.3333333333333335</v>
      </c>
      <c r="DN216" s="173">
        <f t="shared" ref="DN216:DN279" si="676">IF(CJ216&gt;DJ216, (DM216-Isw_min)/1.08*0.8+1.2, DI216*0.2/350+1)</f>
        <v>1.0057142857142858</v>
      </c>
      <c r="DP216" s="545">
        <f t="shared" ref="DP216:DP279" si="677">CJ216*1000</f>
        <v>1.0000000000000002E-6</v>
      </c>
      <c r="DQ216" s="460">
        <f t="shared" ref="DQ216:DQ279" si="678">IF(CJ216&gt;DJ216, DB216, DI216)</f>
        <v>10</v>
      </c>
      <c r="DS216">
        <f t="shared" ref="DS216:DS279" si="679">IF(CL216&gt;CS216, "",DP216)</f>
        <v>1.0000000000000002E-6</v>
      </c>
      <c r="DT216">
        <f t="shared" ref="DT216:DT279" si="680">IF(CL216&gt;CS216, "",DQ216)</f>
        <v>10</v>
      </c>
      <c r="DV216" s="5">
        <f t="shared" ref="DV216:DV280" si="681">1/DQ216*1000</f>
        <v>100</v>
      </c>
      <c r="DW216" s="5">
        <f t="shared" ref="DW216:DW279" si="682">L*DM216/CN216*1000000</f>
        <v>0.39166666666666672</v>
      </c>
      <c r="DX216" s="5">
        <f t="shared" ref="DX216:DX279" si="683">DV216-DW216</f>
        <v>99.608333333333334</v>
      </c>
      <c r="DY216" s="173">
        <f t="shared" ref="DY216:DY279" si="684">DW216/DV216</f>
        <v>3.9166666666666673E-3</v>
      </c>
      <c r="EA216" s="5">
        <f>CJ216*DW216/Vout_ripple*1000</f>
        <v>1.3988095238095243E-9</v>
      </c>
      <c r="EB216" s="5">
        <f>CK216*DW216/Vout_ripple2*1000</f>
        <v>3.2638888888888897E-4</v>
      </c>
      <c r="EC216" s="5">
        <f>CL216/Efficiency/CN216*DX216/Vinripple1</f>
        <v>4.9804166666666665E-8</v>
      </c>
      <c r="ED216" s="5"/>
      <c r="EE216" s="173">
        <f>DM216*SQRT(DY216/3)</f>
        <v>0.1204415743815489</v>
      </c>
      <c r="EF216" s="173">
        <f>DM216*Npri_sec1*SQRT((1-DY216)/3)*(Pout/Pout_total)</f>
        <v>1.9207283854996775</v>
      </c>
      <c r="EG216" s="173">
        <f>DM216*Npri_sec2*SQRT((1-DY216)/3)*(Pout2/Pout_total)</f>
        <v>0.19364720607906585</v>
      </c>
      <c r="EH216" s="173"/>
      <c r="EI216" s="528">
        <f>Rdson*EE216^2</f>
        <v>1.7407407407407411E-4</v>
      </c>
      <c r="EJ216" s="528">
        <f>0.5*CP216*DM216*DQ216*1000*Trise</f>
        <v>4.3510000000000014E-2</v>
      </c>
      <c r="EK216" s="528">
        <f>Qg*Vdd*DQ216*1000</f>
        <v>1.15E-3</v>
      </c>
      <c r="EL216" s="528">
        <f>0.5*(Coss+Csw)*CP216^2*DQ216*1000</f>
        <v>2.3244473250000001E-2</v>
      </c>
      <c r="EM216">
        <f>CN216*IQ</f>
        <v>1.7999999999999999E-2</v>
      </c>
      <c r="EN216" s="460">
        <f>(EK216+EM216)*1000</f>
        <v>19.149999999999999</v>
      </c>
      <c r="EP216" s="460">
        <f>SUM(EI216:EM216)*1000</f>
        <v>86.078547324074094</v>
      </c>
      <c r="EQ216" s="173">
        <f>Vfwd2*CJ216</f>
        <v>6.9999999999999996E-10</v>
      </c>
      <c r="ER216" s="173">
        <f t="shared" ref="ER216:ER247" si="685">Vfwd22*CK216*(1+Diode_TC/1000*(Ta-25))</f>
        <v>1.1975E-4</v>
      </c>
      <c r="ES216" s="528"/>
      <c r="EU216" s="460">
        <f>SUM(EQ216:ET216)*1000</f>
        <v>0.11975069999999999</v>
      </c>
      <c r="EV216" s="528">
        <f>Rdcr_pri*EE216^2</f>
        <v>2.0308641975308646E-4</v>
      </c>
      <c r="EW216" s="528">
        <f>Rdcr_sec*EF216^2</f>
        <v>5.1648765432098766E-2</v>
      </c>
      <c r="EX216" s="528">
        <f>Rdcr_sec2*EG216^2</f>
        <v>1.87496202111141E-4</v>
      </c>
      <c r="EY216" s="528">
        <f>DM216^2.5*DQ216^2.5*k_core</f>
        <v>3.2075014954979249E-4</v>
      </c>
      <c r="EZ216" s="528"/>
      <c r="FA216" s="625">
        <f>0.5*Lleak*0.000000001*DM216^2*DQ216*1000</f>
        <v>1.1111111111111112E-2</v>
      </c>
      <c r="FB216" s="460">
        <f>SUM(EV216:FA216)*1000</f>
        <v>63.471209314623898</v>
      </c>
      <c r="FC216" s="173">
        <f>SUM(EI216:EM216,EQ216:ET216,EV216:FA216)</f>
        <v>0.14966950733869799</v>
      </c>
      <c r="FD216" s="5">
        <f>MIN(CL216+CM216,CS216+CT216)</f>
        <v>7.5000279999999997E-3</v>
      </c>
      <c r="FE216" s="173">
        <f>FD216/(FD216+FC216)</f>
        <v>4.7719349579023393E-2</v>
      </c>
      <c r="FF216" s="5">
        <f>FE216*100</f>
        <v>4.7719349579023396</v>
      </c>
      <c r="FG216">
        <f>CJ216/Iout*100</f>
        <v>4.0000000000000001E-8</v>
      </c>
      <c r="FI216" s="562">
        <f t="shared" ref="FI216:FI279" si="686">IF(ABS(CJ216-Ioutmax_Vinmax)&lt;Iout/200, DQ216, -50)</f>
        <v>-50</v>
      </c>
    </row>
    <row r="217" spans="1:169">
      <c r="E217" s="170">
        <v>1</v>
      </c>
      <c r="F217" s="217">
        <f t="shared" ref="F217:F248" si="687">IF(PLOT_TYPE=1, E217/100*Iout_max, min_I*EXP(O217*rr/100))</f>
        <v>2.5000000000000001E-2</v>
      </c>
      <c r="G217" s="217">
        <f t="shared" si="615"/>
        <v>2.5000000000000001E-3</v>
      </c>
      <c r="H217" s="217">
        <f t="shared" si="616"/>
        <v>0.70000000000000007</v>
      </c>
      <c r="I217" s="217">
        <f t="shared" si="617"/>
        <v>7.4999999999999997E-2</v>
      </c>
      <c r="J217" s="541">
        <f t="shared" si="618"/>
        <v>39.943188266679392</v>
      </c>
      <c r="K217" s="443">
        <f t="shared" si="619"/>
        <v>28.723047023921822</v>
      </c>
      <c r="L217" s="172">
        <f t="shared" si="620"/>
        <v>68.666235290601207</v>
      </c>
      <c r="M217" s="443"/>
      <c r="N217" s="217">
        <f t="shared" si="621"/>
        <v>0.41829942914976337</v>
      </c>
      <c r="O217" s="172">
        <f t="shared" si="622"/>
        <v>125.76074188453187</v>
      </c>
      <c r="P217" s="172">
        <f t="shared" si="623"/>
        <v>14.918047187833498</v>
      </c>
      <c r="Q217" s="217">
        <f t="shared" si="624"/>
        <v>4.4914550673047096</v>
      </c>
      <c r="R217" s="217">
        <f t="shared" si="625"/>
        <v>4.1920247294843955</v>
      </c>
      <c r="S217" s="217">
        <f t="shared" si="626"/>
        <v>28</v>
      </c>
      <c r="T217" s="217">
        <f t="shared" si="627"/>
        <v>9.276874875132736E-2</v>
      </c>
      <c r="U217" s="217">
        <f t="shared" si="628"/>
        <v>1.0915831661213703E-2</v>
      </c>
      <c r="V217" s="217">
        <f t="shared" si="629"/>
        <v>1.5179904791024003E-2</v>
      </c>
      <c r="W217" s="197">
        <f t="shared" si="630"/>
        <v>350</v>
      </c>
      <c r="X217" s="443">
        <f t="shared" ref="X217:X280" si="688">MIN(1/(U217+V217+0.2)*1000, 350)</f>
        <v>350</v>
      </c>
      <c r="Z217" s="217">
        <f t="shared" si="631"/>
        <v>10.1569682980994</v>
      </c>
      <c r="AA217" s="173">
        <f t="shared" si="632"/>
        <v>1.662001631000676</v>
      </c>
      <c r="AB217" s="173">
        <f t="shared" si="633"/>
        <v>2.6682709548248544</v>
      </c>
      <c r="AC217" s="173"/>
      <c r="AD217" s="173">
        <f t="shared" si="634"/>
        <v>0.54543888235878235</v>
      </c>
      <c r="AE217" s="545">
        <f t="shared" si="635"/>
        <v>27.500789703754936</v>
      </c>
      <c r="AF217" s="528">
        <f t="shared" si="636"/>
        <v>0.31817268137595633</v>
      </c>
      <c r="AH217" s="173">
        <f t="shared" si="637"/>
        <v>0.97069523544806813</v>
      </c>
      <c r="AI217" s="173">
        <f t="shared" si="638"/>
        <v>3.3333333333333335</v>
      </c>
      <c r="AJ217" s="173">
        <f t="shared" si="639"/>
        <v>1.0157147369735742</v>
      </c>
      <c r="AL217" s="545">
        <f t="shared" si="640"/>
        <v>25</v>
      </c>
      <c r="AM217" s="460">
        <f t="shared" si="641"/>
        <v>27.500789703754936</v>
      </c>
      <c r="AO217">
        <f t="shared" si="642"/>
        <v>25</v>
      </c>
      <c r="AP217">
        <f t="shared" si="643"/>
        <v>27.500789703754936</v>
      </c>
      <c r="AR217" s="5">
        <f t="shared" si="614"/>
        <v>36.362592157252152</v>
      </c>
      <c r="AS217" s="5">
        <f t="shared" si="602"/>
        <v>0.39222373942882771</v>
      </c>
      <c r="AT217" s="5">
        <f t="shared" si="603"/>
        <v>35.970368417823323</v>
      </c>
      <c r="AU217" s="173">
        <f t="shared" si="604"/>
        <v>1.0786462574852565E-2</v>
      </c>
      <c r="BA217" s="173">
        <f t="shared" ref="BA217:BA280" si="689">AI217*SQRT(AU217/3)</f>
        <v>0.19987461416683919</v>
      </c>
      <c r="BB217" s="173">
        <f t="shared" ref="BB217:BB280" si="690">AI217*Npri_sec1*SQRT((1-AU217)/3)*(Pout/Pout_total)</f>
        <v>1.9140934779459859</v>
      </c>
      <c r="BC217" s="173">
        <f t="shared" ref="BC217:BC280" si="691">AI217*Npri_sec2*SQRT((1-AU217)/3)*(Pout2/Pout_total)</f>
        <v>0.19297827687488217</v>
      </c>
      <c r="BD217" s="173"/>
      <c r="BE217" s="528">
        <f t="shared" ref="BE217:BE280" si="692">Rdson*BA217^2</f>
        <v>4.7939833666011403E-4</v>
      </c>
      <c r="BF217" s="528">
        <f t="shared" si="644"/>
        <v>0.11487618820225225</v>
      </c>
      <c r="BG217" s="528">
        <f t="shared" ref="BG217:BG280" si="693">Qg*Vdd*AM217*1000</f>
        <v>3.1625908159318176E-3</v>
      </c>
      <c r="BH217" s="528">
        <f t="shared" ref="BH217:BH280" si="694">0.5*(Coss+Csw)*L217^2*AM217*1000</f>
        <v>6.3861317571431431E-2</v>
      </c>
      <c r="BI217">
        <f t="shared" ref="BI217:BI280" si="695">J217*IQ</f>
        <v>1.7974434720005726E-2</v>
      </c>
      <c r="BJ217" s="460">
        <f t="shared" ref="BJ217:BJ280" si="696">(BG217+BI217)*1000</f>
        <v>21.137025535937546</v>
      </c>
      <c r="BK217">
        <f t="shared" si="645"/>
        <v>0.17936677244149091</v>
      </c>
      <c r="BL217" s="460">
        <f t="shared" ref="BL217:BL280" si="697">SUM(BE217:BI217)*1000</f>
        <v>200.35392964628133</v>
      </c>
      <c r="BM217" s="173">
        <f t="shared" si="646"/>
        <v>1.6764999999999999E-2</v>
      </c>
      <c r="BN217" s="173">
        <f t="shared" si="647"/>
        <v>1.1975E-3</v>
      </c>
      <c r="BQ217" s="460">
        <f t="shared" ref="BQ217:BQ280" si="698">SUM(BM217:BP217)*1000</f>
        <v>17.962499999999999</v>
      </c>
      <c r="BR217" s="528">
        <f t="shared" ref="BR217:BR280" si="699">Rdcr_pri*BA217^2</f>
        <v>5.5929805943679973E-4</v>
      </c>
      <c r="BS217" s="528">
        <f t="shared" ref="BS217:BS280" si="700">Rdcr_sec*BB217^2</f>
        <v>5.1292553792415048E-2</v>
      </c>
      <c r="BT217" s="528">
        <f t="shared" ref="BT217:BT280" si="701">Rdcr_sec2*BC217^2</f>
        <v>1.8620307672799339E-4</v>
      </c>
      <c r="BU217" s="528">
        <f t="shared" ref="BU217:BU280" si="702">AI217^2.5*AM217^2.5*k_core</f>
        <v>4.0228124006682362E-3</v>
      </c>
      <c r="BV217" s="528"/>
      <c r="BW217" s="625">
        <f t="shared" ref="BW217:BW280" si="703">0.5*Lleak*0.000000001*AI217^2*AM217*1000</f>
        <v>3.0556433004172153E-2</v>
      </c>
      <c r="BX217" s="460">
        <f t="shared" ref="BX217:BX280" si="704">SUM(BR217:BW217)*1000</f>
        <v>86.617300333420232</v>
      </c>
      <c r="BY217" s="173">
        <f t="shared" ref="BY217:BY280" si="705">SUM(BE217:BI217,BM217:BP217,BR217:BW217)</f>
        <v>0.30493372997970158</v>
      </c>
      <c r="BZ217" s="5">
        <f t="shared" ref="BZ217:BZ280" si="706">MIN(H217+I217,O217+P217)</f>
        <v>0.77500000000000002</v>
      </c>
      <c r="CA217" s="173">
        <f t="shared" ref="CA217:CA280" si="707">BZ217/(BZ217+BY217)</f>
        <v>0.71763662758692326</v>
      </c>
      <c r="CB217" s="5">
        <f t="shared" ref="CB217:CB280" si="708">CA217*100</f>
        <v>71.76366275869232</v>
      </c>
      <c r="CC217">
        <f t="shared" ref="CC217:CC280" si="709">F217/Iout*100</f>
        <v>1</v>
      </c>
      <c r="CE217" s="562">
        <f t="shared" si="648"/>
        <v>-50</v>
      </c>
      <c r="CG217" s="173">
        <f t="shared" si="649"/>
        <v>1.5186342548487441E-2</v>
      </c>
      <c r="CH217" s="173">
        <f t="shared" si="650"/>
        <v>4.9304836466159217E-3</v>
      </c>
      <c r="CI217" s="170">
        <v>1</v>
      </c>
      <c r="CJ217" s="217">
        <f t="shared" ref="CJ217:CJ280" si="710">IF(PLOT_TYPE=1, CI217/100*Iout_max, min_I*EXP(CS217*rr/100))</f>
        <v>2.5000000000000001E-2</v>
      </c>
      <c r="CK217" s="217">
        <f t="shared" si="651"/>
        <v>2.5000000000000001E-3</v>
      </c>
      <c r="CL217" s="217">
        <f t="shared" si="652"/>
        <v>0.70000000000000007</v>
      </c>
      <c r="CM217" s="217">
        <f t="shared" si="653"/>
        <v>7.4999999999999997E-2</v>
      </c>
      <c r="CN217" s="541">
        <f t="shared" si="654"/>
        <v>40</v>
      </c>
      <c r="CO217" s="443">
        <f t="shared" si="655"/>
        <v>28.7</v>
      </c>
      <c r="CP217" s="443">
        <f t="shared" si="656"/>
        <v>68.7</v>
      </c>
      <c r="CQ217" s="443"/>
      <c r="CR217" s="217">
        <f t="shared" si="657"/>
        <v>0.41520467836257302</v>
      </c>
      <c r="CS217" s="172">
        <f t="shared" si="658"/>
        <v>125.00786015217253</v>
      </c>
      <c r="CT217" s="172">
        <f t="shared" si="659"/>
        <v>14.828738512949037</v>
      </c>
      <c r="CU217" s="217">
        <f t="shared" si="660"/>
        <v>4.4645664340061613</v>
      </c>
      <c r="CV217" s="217">
        <f t="shared" si="661"/>
        <v>4.1669286717390843</v>
      </c>
      <c r="CW217" s="217">
        <f t="shared" si="662"/>
        <v>28</v>
      </c>
      <c r="CX217" s="217">
        <f t="shared" si="663"/>
        <v>9.3327464788732425E-2</v>
      </c>
      <c r="CY217" s="217">
        <f t="shared" si="664"/>
        <v>1.0965977112676059E-2</v>
      </c>
      <c r="CZ217" s="217">
        <f t="shared" si="665"/>
        <v>1.5283591794670467E-2</v>
      </c>
      <c r="DA217" s="197">
        <f t="shared" si="666"/>
        <v>350</v>
      </c>
      <c r="DB217" s="443">
        <f t="shared" si="667"/>
        <v>350</v>
      </c>
      <c r="DD217" s="217">
        <f t="shared" si="668"/>
        <v>10.158258230357086</v>
      </c>
      <c r="DE217" s="173">
        <f t="shared" si="669"/>
        <v>1.6635475150758992</v>
      </c>
      <c r="DF217" s="173">
        <f t="shared" si="670"/>
        <v>2.6710919890125213</v>
      </c>
      <c r="DG217" s="173"/>
      <c r="DH217" s="173">
        <f t="shared" si="671"/>
        <v>0.54587688734030204</v>
      </c>
      <c r="DI217" s="545">
        <f t="shared" si="672"/>
        <v>27.478723404255319</v>
      </c>
      <c r="DJ217" s="528">
        <f t="shared" si="673"/>
        <v>0.31842818428184283</v>
      </c>
      <c r="DL217" s="173">
        <f t="shared" si="674"/>
        <v>0.97069523544806813</v>
      </c>
      <c r="DM217" s="173">
        <f t="shared" si="675"/>
        <v>3.3333333333333335</v>
      </c>
      <c r="DN217" s="173">
        <f t="shared" si="676"/>
        <v>1.0157021276595746</v>
      </c>
      <c r="DP217" s="545">
        <f t="shared" si="677"/>
        <v>25</v>
      </c>
      <c r="DQ217" s="460">
        <f t="shared" si="678"/>
        <v>27.478723404255319</v>
      </c>
      <c r="DS217">
        <f t="shared" si="679"/>
        <v>25</v>
      </c>
      <c r="DT217">
        <f t="shared" si="680"/>
        <v>27.478723404255319</v>
      </c>
      <c r="DV217" s="5">
        <f t="shared" si="681"/>
        <v>36.391792489353463</v>
      </c>
      <c r="DW217" s="5">
        <f t="shared" si="682"/>
        <v>0.39166666666666672</v>
      </c>
      <c r="DX217" s="5">
        <f t="shared" si="683"/>
        <v>36.000125822686798</v>
      </c>
      <c r="DY217" s="173">
        <f t="shared" si="684"/>
        <v>1.0762500000000001E-2</v>
      </c>
      <c r="EA217" s="5">
        <f t="shared" ref="EA217:EA280" si="711">CJ217*DW217/Vout_ripple*1000</f>
        <v>3.4970238095238103E-2</v>
      </c>
      <c r="EB217" s="5">
        <f t="shared" ref="EB217:EB280" si="712">CK217*DW217/Vout_ripple2*1000</f>
        <v>3.2638888888888891E-3</v>
      </c>
      <c r="EC217" s="5">
        <f t="shared" ref="EC217:EC280" si="713">CL217/Efficiency/CN217*DX217/Vinripple1</f>
        <v>0.45000157278358499</v>
      </c>
      <c r="ED217" s="5"/>
      <c r="EE217" s="173">
        <f t="shared" ref="EE217:EE280" si="714">DM217*SQRT(DY217/3)</f>
        <v>0.19965247584518234</v>
      </c>
      <c r="EF217" s="173">
        <f t="shared" ref="EF217:EF280" si="715">DM217*Npri_sec1*SQRT((1-DY217)/3)*(Pout/Pout_total)</f>
        <v>1.9141166611762703</v>
      </c>
      <c r="EG217" s="173">
        <f t="shared" ref="EG217:EG280" si="716">DM217*Npri_sec2*SQRT((1-DY217)/3)*(Pout2/Pout_total)</f>
        <v>0.1929806142005584</v>
      </c>
      <c r="EH217" s="173"/>
      <c r="EI217" s="528">
        <f t="shared" ref="EI217:EI280" si="717">Rdson*EE217^2</f>
        <v>4.7833333333333343E-4</v>
      </c>
      <c r="EJ217" s="528">
        <f t="shared" ref="EJ217:EJ280" si="718">0.5*CP217*DM217*DQ217*1000*Trise</f>
        <v>0.11955992553191493</v>
      </c>
      <c r="EK217" s="528">
        <f t="shared" ref="EK217:EK280" si="719">Qg*Vdd*DQ217*1000</f>
        <v>3.160053191489362E-3</v>
      </c>
      <c r="EL217" s="528">
        <f t="shared" ref="EL217:EL280" si="720">0.5*(Coss+Csw)*CP217^2*DQ217*1000</f>
        <v>6.3872845111436177E-2</v>
      </c>
      <c r="EM217">
        <f t="shared" ref="EM217:EM280" si="721">CN217*IQ</f>
        <v>1.7999999999999999E-2</v>
      </c>
      <c r="EN217" s="460">
        <f t="shared" ref="EN217:EN280" si="722">(EK217+EM217)*1000</f>
        <v>21.160053191489361</v>
      </c>
      <c r="EP217" s="460">
        <f t="shared" ref="EP217:EP280" si="723">SUM(EI217:EM217)*1000</f>
        <v>205.07115716817378</v>
      </c>
      <c r="EQ217" s="173">
        <f t="shared" ref="EQ217:EQ280" si="724">Vfwd2*CJ217</f>
        <v>1.7499999999999998E-2</v>
      </c>
      <c r="ER217" s="173">
        <f t="shared" si="685"/>
        <v>1.1975E-3</v>
      </c>
      <c r="ES217" s="528"/>
      <c r="EU217" s="460">
        <f t="shared" ref="EU217:EU280" si="725">SUM(EQ217:ET217)*1000</f>
        <v>18.697499999999998</v>
      </c>
      <c r="EV217" s="528">
        <f t="shared" ref="EV217:EV280" si="726">Rdcr_pri*EE217^2</f>
        <v>5.5805555555555567E-4</v>
      </c>
      <c r="EW217" s="528">
        <f t="shared" ref="EW217:EW280" si="727">Rdcr_sec*EF217^2</f>
        <v>5.1293796296296303E-2</v>
      </c>
      <c r="EX217" s="528">
        <f t="shared" ref="EX217:EX280" si="728">Rdcr_sec2*EG217^2</f>
        <v>1.8620758728612381E-4</v>
      </c>
      <c r="EY217" s="528">
        <f t="shared" ref="EY217:EY280" si="729">DM217^2.5*DQ217^2.5*k_core</f>
        <v>4.0147476167802301E-3</v>
      </c>
      <c r="EZ217" s="528"/>
      <c r="FA217" s="625">
        <f t="shared" ref="FA217:FA280" si="730">0.5*Lleak*0.000000001*DM217^2*DQ217*1000</f>
        <v>3.0531914893617024E-2</v>
      </c>
      <c r="FB217" s="460">
        <f t="shared" ref="FB217:FB280" si="731">SUM(EV217:FA217)*1000</f>
        <v>86.584721949535236</v>
      </c>
      <c r="FC217" s="173">
        <f t="shared" ref="FC217:FC280" si="732">SUM(EI217:EM217,EQ217:ET217,EV217:FA217)</f>
        <v>0.31035337911770894</v>
      </c>
      <c r="FD217" s="5">
        <f t="shared" ref="FD217:FD280" si="733">MIN(CL217+CM217,CS217+CT217)</f>
        <v>0.77500000000000002</v>
      </c>
      <c r="FE217" s="173">
        <f t="shared" ref="FE217:FE280" si="734">FD217/(FD217+FC217)</f>
        <v>0.71405315071668429</v>
      </c>
      <c r="FF217" s="5">
        <f t="shared" ref="FF217:FF280" si="735">FE217*100</f>
        <v>71.405315071668426</v>
      </c>
      <c r="FG217">
        <f t="shared" ref="FG217:FG280" si="736">CJ217/Iout*100</f>
        <v>1</v>
      </c>
      <c r="FI217" s="562">
        <f t="shared" si="686"/>
        <v>-50</v>
      </c>
    </row>
    <row r="218" spans="1:169">
      <c r="E218" s="170">
        <v>2</v>
      </c>
      <c r="F218" s="217">
        <f t="shared" si="687"/>
        <v>0.05</v>
      </c>
      <c r="G218" s="217">
        <f t="shared" si="615"/>
        <v>5.0000000000000001E-3</v>
      </c>
      <c r="H218" s="217">
        <f t="shared" si="616"/>
        <v>1.4000000000000001</v>
      </c>
      <c r="I218" s="217">
        <f t="shared" si="617"/>
        <v>0.15</v>
      </c>
      <c r="J218" s="541">
        <f t="shared" si="618"/>
        <v>39.943188266679392</v>
      </c>
      <c r="K218" s="443">
        <f t="shared" si="619"/>
        <v>28.723047023921822</v>
      </c>
      <c r="L218" s="172">
        <f t="shared" si="620"/>
        <v>68.666235290601207</v>
      </c>
      <c r="M218" s="443"/>
      <c r="N218" s="217">
        <f t="shared" si="621"/>
        <v>0.41829942914976337</v>
      </c>
      <c r="O218" s="172">
        <f t="shared" si="622"/>
        <v>125.76074188453187</v>
      </c>
      <c r="P218" s="172">
        <f t="shared" si="623"/>
        <v>14.918047187833498</v>
      </c>
      <c r="Q218" s="217">
        <f t="shared" si="624"/>
        <v>4.4914550673047096</v>
      </c>
      <c r="R218" s="217">
        <f t="shared" si="625"/>
        <v>4.1920247294843955</v>
      </c>
      <c r="S218" s="217">
        <f t="shared" si="626"/>
        <v>28</v>
      </c>
      <c r="T218" s="217">
        <f t="shared" si="627"/>
        <v>0.18553749750265472</v>
      </c>
      <c r="U218" s="217">
        <f t="shared" si="628"/>
        <v>2.1831663322427405E-2</v>
      </c>
      <c r="V218" s="217">
        <f t="shared" si="629"/>
        <v>3.0359809582048005E-2</v>
      </c>
      <c r="W218" s="197">
        <f t="shared" si="630"/>
        <v>350</v>
      </c>
      <c r="X218" s="443">
        <f t="shared" si="688"/>
        <v>350</v>
      </c>
      <c r="Z218" s="217">
        <f t="shared" si="631"/>
        <v>10.1569682980994</v>
      </c>
      <c r="AA218" s="173">
        <f t="shared" si="632"/>
        <v>1.662001631000676</v>
      </c>
      <c r="AB218" s="173">
        <f t="shared" si="633"/>
        <v>2.6682709548248544</v>
      </c>
      <c r="AC218" s="173"/>
      <c r="AD218" s="173">
        <f t="shared" si="634"/>
        <v>0.54543888235878235</v>
      </c>
      <c r="AE218" s="545">
        <f t="shared" si="635"/>
        <v>55.001579407509873</v>
      </c>
      <c r="AF218" s="528">
        <f t="shared" si="636"/>
        <v>0.31817268137595633</v>
      </c>
      <c r="AH218" s="173">
        <f t="shared" si="637"/>
        <v>1.3727703669016027</v>
      </c>
      <c r="AI218" s="173">
        <f t="shared" si="638"/>
        <v>3.3333333333333335</v>
      </c>
      <c r="AJ218" s="173">
        <f t="shared" si="639"/>
        <v>1.0314294739471486</v>
      </c>
      <c r="AL218" s="545">
        <f t="shared" si="640"/>
        <v>50</v>
      </c>
      <c r="AM218" s="460">
        <f t="shared" si="641"/>
        <v>55.001579407509873</v>
      </c>
      <c r="AO218">
        <f t="shared" si="642"/>
        <v>50</v>
      </c>
      <c r="AP218">
        <f t="shared" si="643"/>
        <v>55.001579407509873</v>
      </c>
      <c r="AR218" s="5">
        <f t="shared" si="614"/>
        <v>18.181296078626076</v>
      </c>
      <c r="AS218" s="5">
        <f t="shared" si="602"/>
        <v>0.39222373942882771</v>
      </c>
      <c r="AT218" s="5">
        <f t="shared" si="603"/>
        <v>17.789072339197247</v>
      </c>
      <c r="AU218" s="173">
        <f t="shared" si="604"/>
        <v>2.157292514970513E-2</v>
      </c>
      <c r="BA218" s="173">
        <f t="shared" si="689"/>
        <v>0.28266539012883357</v>
      </c>
      <c r="BB218" s="173">
        <f t="shared" si="690"/>
        <v>1.9036291605580691</v>
      </c>
      <c r="BC218" s="173">
        <f t="shared" si="691"/>
        <v>0.19192326782675617</v>
      </c>
      <c r="BD218" s="173"/>
      <c r="BE218" s="528">
        <f t="shared" si="692"/>
        <v>9.5879667332022817E-4</v>
      </c>
      <c r="BF218" s="528">
        <f t="shared" si="644"/>
        <v>0.22975237640450449</v>
      </c>
      <c r="BG218" s="528">
        <f t="shared" si="693"/>
        <v>6.3251816318636352E-3</v>
      </c>
      <c r="BH218" s="528">
        <f t="shared" si="694"/>
        <v>0.12772263514286286</v>
      </c>
      <c r="BI218">
        <f t="shared" si="695"/>
        <v>1.7974434720005726E-2</v>
      </c>
      <c r="BJ218" s="460">
        <f t="shared" si="696"/>
        <v>24.299616351869364</v>
      </c>
      <c r="BK218">
        <f t="shared" si="645"/>
        <v>0.35877441575427632</v>
      </c>
      <c r="BL218" s="460">
        <f t="shared" si="697"/>
        <v>382.73342457255688</v>
      </c>
      <c r="BM218" s="173">
        <f t="shared" si="646"/>
        <v>3.3529999999999997E-2</v>
      </c>
      <c r="BN218" s="173">
        <f t="shared" si="647"/>
        <v>2.395E-3</v>
      </c>
      <c r="BQ218" s="460">
        <f t="shared" si="698"/>
        <v>35.924999999999997</v>
      </c>
      <c r="BR218" s="528">
        <f t="shared" si="699"/>
        <v>1.1185961188735995E-3</v>
      </c>
      <c r="BS218" s="528">
        <f t="shared" si="700"/>
        <v>5.0733255732978266E-2</v>
      </c>
      <c r="BT218" s="528">
        <f t="shared" si="701"/>
        <v>1.8417270366650391E-4</v>
      </c>
      <c r="BU218" s="528">
        <f t="shared" si="702"/>
        <v>2.2756463423630781E-2</v>
      </c>
      <c r="BV218" s="528"/>
      <c r="BW218" s="625">
        <f t="shared" si="703"/>
        <v>6.1112866008344306E-2</v>
      </c>
      <c r="BX218" s="460">
        <f t="shared" si="704"/>
        <v>135.90535398749344</v>
      </c>
      <c r="BY218" s="173">
        <f t="shared" si="705"/>
        <v>0.55456377856005035</v>
      </c>
      <c r="BZ218" s="5">
        <f t="shared" si="706"/>
        <v>1.55</v>
      </c>
      <c r="CA218" s="173">
        <f t="shared" si="707"/>
        <v>0.73649466734646329</v>
      </c>
      <c r="CB218" s="5">
        <f t="shared" si="708"/>
        <v>73.649466734646325</v>
      </c>
      <c r="CC218">
        <f t="shared" si="709"/>
        <v>2</v>
      </c>
      <c r="CE218" s="562">
        <f t="shared" si="648"/>
        <v>-50</v>
      </c>
      <c r="CG218" s="173">
        <f t="shared" si="649"/>
        <v>3.0372685096974883E-2</v>
      </c>
      <c r="CH218" s="173">
        <f t="shared" si="650"/>
        <v>9.8609672932318433E-3</v>
      </c>
      <c r="CI218" s="170">
        <v>2</v>
      </c>
      <c r="CJ218" s="217">
        <f t="shared" si="710"/>
        <v>0.05</v>
      </c>
      <c r="CK218" s="217">
        <f t="shared" si="651"/>
        <v>5.0000000000000001E-3</v>
      </c>
      <c r="CL218" s="217">
        <f t="shared" si="652"/>
        <v>1.4000000000000001</v>
      </c>
      <c r="CM218" s="217">
        <f t="shared" si="653"/>
        <v>0.15</v>
      </c>
      <c r="CN218" s="541">
        <f t="shared" si="654"/>
        <v>40</v>
      </c>
      <c r="CO218" s="443">
        <f t="shared" si="655"/>
        <v>28.7</v>
      </c>
      <c r="CP218" s="443">
        <f t="shared" si="656"/>
        <v>68.7</v>
      </c>
      <c r="CQ218" s="443"/>
      <c r="CR218" s="217">
        <f t="shared" si="657"/>
        <v>0.41520467836257302</v>
      </c>
      <c r="CS218" s="172">
        <f t="shared" si="658"/>
        <v>125.00786015217253</v>
      </c>
      <c r="CT218" s="172">
        <f t="shared" si="659"/>
        <v>14.828738512949037</v>
      </c>
      <c r="CU218" s="217">
        <f t="shared" si="660"/>
        <v>4.4645664340061613</v>
      </c>
      <c r="CV218" s="217">
        <f t="shared" si="661"/>
        <v>4.1669286717390843</v>
      </c>
      <c r="CW218" s="217">
        <f t="shared" si="662"/>
        <v>28</v>
      </c>
      <c r="CX218" s="217">
        <f t="shared" si="663"/>
        <v>0.18665492957746485</v>
      </c>
      <c r="CY218" s="217">
        <f t="shared" si="664"/>
        <v>2.1931954225352119E-2</v>
      </c>
      <c r="CZ218" s="217">
        <f t="shared" si="665"/>
        <v>3.0567183589340935E-2</v>
      </c>
      <c r="DA218" s="197">
        <f t="shared" si="666"/>
        <v>350</v>
      </c>
      <c r="DB218" s="443">
        <f t="shared" si="667"/>
        <v>350</v>
      </c>
      <c r="DD218" s="217">
        <f t="shared" si="668"/>
        <v>10.158258230357086</v>
      </c>
      <c r="DE218" s="173">
        <f t="shared" si="669"/>
        <v>1.6635475150758992</v>
      </c>
      <c r="DF218" s="173">
        <f t="shared" si="670"/>
        <v>2.6710919890125213</v>
      </c>
      <c r="DG218" s="173"/>
      <c r="DH218" s="173">
        <f t="shared" si="671"/>
        <v>0.54587688734030204</v>
      </c>
      <c r="DI218" s="545">
        <f t="shared" si="672"/>
        <v>54.957446808510639</v>
      </c>
      <c r="DJ218" s="528">
        <f t="shared" si="673"/>
        <v>0.31842818428184283</v>
      </c>
      <c r="DL218" s="173">
        <f t="shared" si="674"/>
        <v>1.3727703669016027</v>
      </c>
      <c r="DM218" s="173">
        <f t="shared" si="675"/>
        <v>3.3333333333333335</v>
      </c>
      <c r="DN218" s="173">
        <f t="shared" si="676"/>
        <v>1.0314042553191489</v>
      </c>
      <c r="DP218" s="545">
        <f t="shared" si="677"/>
        <v>50</v>
      </c>
      <c r="DQ218" s="460">
        <f t="shared" si="678"/>
        <v>54.957446808510639</v>
      </c>
      <c r="DS218">
        <f t="shared" si="679"/>
        <v>50</v>
      </c>
      <c r="DT218">
        <f t="shared" si="680"/>
        <v>54.957446808510639</v>
      </c>
      <c r="DV218" s="5">
        <f t="shared" si="681"/>
        <v>18.195896244676732</v>
      </c>
      <c r="DW218" s="5">
        <f t="shared" si="682"/>
        <v>0.39166666666666672</v>
      </c>
      <c r="DX218" s="5">
        <f t="shared" si="683"/>
        <v>17.804229578010066</v>
      </c>
      <c r="DY218" s="173">
        <f t="shared" si="684"/>
        <v>2.1525000000000002E-2</v>
      </c>
      <c r="EA218" s="5">
        <f t="shared" si="711"/>
        <v>6.9940476190476206E-2</v>
      </c>
      <c r="EB218" s="5">
        <f t="shared" si="712"/>
        <v>6.5277777777777782E-3</v>
      </c>
      <c r="EC218" s="5">
        <f t="shared" si="713"/>
        <v>0.44510573945025161</v>
      </c>
      <c r="ED218" s="5"/>
      <c r="EE218" s="173">
        <f t="shared" si="714"/>
        <v>0.28235123910162363</v>
      </c>
      <c r="EF218" s="173">
        <f t="shared" si="715"/>
        <v>1.9036757816081711</v>
      </c>
      <c r="EG218" s="173">
        <f t="shared" si="716"/>
        <v>0.19192796814574184</v>
      </c>
      <c r="EH218" s="173"/>
      <c r="EI218" s="528">
        <f t="shared" si="717"/>
        <v>9.5666666666666686E-4</v>
      </c>
      <c r="EJ218" s="528">
        <f t="shared" si="718"/>
        <v>0.23911985106382985</v>
      </c>
      <c r="EK218" s="528">
        <f t="shared" si="719"/>
        <v>6.3201063829787241E-3</v>
      </c>
      <c r="EL218" s="528">
        <f t="shared" si="720"/>
        <v>0.12774569022287235</v>
      </c>
      <c r="EM218">
        <f t="shared" si="721"/>
        <v>1.7999999999999999E-2</v>
      </c>
      <c r="EN218" s="460">
        <f t="shared" si="722"/>
        <v>24.320106382978722</v>
      </c>
      <c r="EP218" s="460">
        <f t="shared" si="723"/>
        <v>392.14231433634762</v>
      </c>
      <c r="EQ218" s="173">
        <f t="shared" si="724"/>
        <v>3.4999999999999996E-2</v>
      </c>
      <c r="ER218" s="173">
        <f t="shared" si="685"/>
        <v>2.395E-3</v>
      </c>
      <c r="ES218" s="528"/>
      <c r="EU218" s="460">
        <f t="shared" si="725"/>
        <v>37.394999999999996</v>
      </c>
      <c r="EV218" s="528">
        <f t="shared" si="726"/>
        <v>1.1161111111111113E-3</v>
      </c>
      <c r="EW218" s="528">
        <f t="shared" si="727"/>
        <v>5.0735740740740734E-2</v>
      </c>
      <c r="EX218" s="528">
        <f t="shared" si="728"/>
        <v>1.8418172478276446E-4</v>
      </c>
      <c r="EY218" s="528">
        <f t="shared" si="729"/>
        <v>2.2710842116622672E-2</v>
      </c>
      <c r="EZ218" s="528"/>
      <c r="FA218" s="625">
        <f t="shared" si="730"/>
        <v>6.1063829787234049E-2</v>
      </c>
      <c r="FB218" s="460">
        <f t="shared" si="731"/>
        <v>135.81070548049132</v>
      </c>
      <c r="FC218" s="173">
        <f t="shared" si="732"/>
        <v>0.5653480198168388</v>
      </c>
      <c r="FD218" s="5">
        <f t="shared" si="733"/>
        <v>1.55</v>
      </c>
      <c r="FE218" s="173">
        <f t="shared" si="734"/>
        <v>0.73273994892538274</v>
      </c>
      <c r="FF218" s="5">
        <f t="shared" si="735"/>
        <v>73.273994892538269</v>
      </c>
      <c r="FG218">
        <f t="shared" si="736"/>
        <v>2</v>
      </c>
      <c r="FI218" s="562">
        <f t="shared" si="686"/>
        <v>-50</v>
      </c>
    </row>
    <row r="219" spans="1:169">
      <c r="E219" s="170">
        <v>3</v>
      </c>
      <c r="F219" s="217">
        <f t="shared" si="687"/>
        <v>7.4999999999999997E-2</v>
      </c>
      <c r="G219" s="217">
        <f t="shared" si="615"/>
        <v>7.4999999999999997E-3</v>
      </c>
      <c r="H219" s="217">
        <f t="shared" si="616"/>
        <v>2.1</v>
      </c>
      <c r="I219" s="217">
        <f t="shared" si="617"/>
        <v>0.22499999999999998</v>
      </c>
      <c r="J219" s="541">
        <f t="shared" si="618"/>
        <v>39.943188266679392</v>
      </c>
      <c r="K219" s="443">
        <f t="shared" si="619"/>
        <v>28.723047023921822</v>
      </c>
      <c r="L219" s="172">
        <f t="shared" si="620"/>
        <v>68.666235290601207</v>
      </c>
      <c r="M219" s="443"/>
      <c r="N219" s="217">
        <f t="shared" si="621"/>
        <v>0.41829942914976337</v>
      </c>
      <c r="O219" s="172">
        <f t="shared" si="622"/>
        <v>125.76074188453187</v>
      </c>
      <c r="P219" s="172">
        <f t="shared" si="623"/>
        <v>14.918047187833498</v>
      </c>
      <c r="Q219" s="217">
        <f t="shared" si="624"/>
        <v>4.4914550673047096</v>
      </c>
      <c r="R219" s="217">
        <f t="shared" si="625"/>
        <v>4.1920247294843955</v>
      </c>
      <c r="S219" s="217">
        <f t="shared" si="626"/>
        <v>28</v>
      </c>
      <c r="T219" s="217">
        <f t="shared" si="627"/>
        <v>0.27830624625398209</v>
      </c>
      <c r="U219" s="217">
        <f t="shared" si="628"/>
        <v>3.2747494983641108E-2</v>
      </c>
      <c r="V219" s="217">
        <f t="shared" si="629"/>
        <v>4.5539714373072013E-2</v>
      </c>
      <c r="W219" s="197">
        <f t="shared" si="630"/>
        <v>350</v>
      </c>
      <c r="X219" s="443">
        <f t="shared" si="688"/>
        <v>350</v>
      </c>
      <c r="Z219" s="217">
        <f t="shared" si="631"/>
        <v>10.1569682980994</v>
      </c>
      <c r="AA219" s="173">
        <f t="shared" si="632"/>
        <v>1.662001631000676</v>
      </c>
      <c r="AB219" s="173">
        <f t="shared" si="633"/>
        <v>2.6682709548248544</v>
      </c>
      <c r="AC219" s="173"/>
      <c r="AD219" s="173">
        <f t="shared" si="634"/>
        <v>0.54543888235878235</v>
      </c>
      <c r="AE219" s="545">
        <f t="shared" si="635"/>
        <v>82.502369111264812</v>
      </c>
      <c r="AF219" s="528">
        <f t="shared" si="636"/>
        <v>0.31817268137595633</v>
      </c>
      <c r="AH219" s="173">
        <f t="shared" si="637"/>
        <v>1.6812934664610881</v>
      </c>
      <c r="AI219" s="173">
        <f t="shared" si="638"/>
        <v>3.3333333333333335</v>
      </c>
      <c r="AJ219" s="173">
        <f t="shared" si="639"/>
        <v>1.0471442109207227</v>
      </c>
      <c r="AL219" s="545">
        <f t="shared" si="640"/>
        <v>75</v>
      </c>
      <c r="AM219" s="460">
        <f t="shared" si="641"/>
        <v>82.502369111264812</v>
      </c>
      <c r="AO219">
        <f t="shared" si="642"/>
        <v>75</v>
      </c>
      <c r="AP219">
        <f t="shared" si="643"/>
        <v>82.502369111264812</v>
      </c>
      <c r="AR219" s="5">
        <f t="shared" si="614"/>
        <v>12.120864052417383</v>
      </c>
      <c r="AS219" s="5">
        <f t="shared" si="602"/>
        <v>0.39222373942882771</v>
      </c>
      <c r="AT219" s="5">
        <f t="shared" si="603"/>
        <v>11.728640312988556</v>
      </c>
      <c r="AU219" s="173">
        <f t="shared" si="604"/>
        <v>3.2359387724557695E-2</v>
      </c>
      <c r="BA219" s="173">
        <f t="shared" si="689"/>
        <v>0.34619298688019157</v>
      </c>
      <c r="BB219" s="173">
        <f t="shared" si="690"/>
        <v>1.8931070016083811</v>
      </c>
      <c r="BC219" s="173">
        <f t="shared" si="691"/>
        <v>0.19086242721133678</v>
      </c>
      <c r="BD219" s="173"/>
      <c r="BE219" s="528">
        <f t="shared" si="692"/>
        <v>1.4381950099803418E-3</v>
      </c>
      <c r="BF219" s="528">
        <f t="shared" si="644"/>
        <v>0.34462856460675678</v>
      </c>
      <c r="BG219" s="528">
        <f t="shared" si="693"/>
        <v>9.4877724477954537E-3</v>
      </c>
      <c r="BH219" s="528">
        <f t="shared" si="694"/>
        <v>0.19158395271429432</v>
      </c>
      <c r="BI219">
        <f t="shared" si="695"/>
        <v>1.7974434720005726E-2</v>
      </c>
      <c r="BJ219" s="460">
        <f t="shared" si="696"/>
        <v>27.462207167801179</v>
      </c>
      <c r="BK219">
        <f t="shared" si="645"/>
        <v>0.53822294390932579</v>
      </c>
      <c r="BL219" s="460">
        <f t="shared" si="697"/>
        <v>565.11291949883253</v>
      </c>
      <c r="BM219" s="173">
        <f t="shared" si="646"/>
        <v>5.0294999999999999E-2</v>
      </c>
      <c r="BN219" s="173">
        <f t="shared" si="647"/>
        <v>3.5924999999999998E-3</v>
      </c>
      <c r="BQ219" s="460">
        <f t="shared" si="698"/>
        <v>53.887499999999996</v>
      </c>
      <c r="BR219" s="528">
        <f t="shared" si="699"/>
        <v>1.6778941783103989E-3</v>
      </c>
      <c r="BS219" s="528">
        <f t="shared" si="700"/>
        <v>5.017395767354145E-2</v>
      </c>
      <c r="BT219" s="528">
        <f t="shared" si="701"/>
        <v>1.8214233060501417E-4</v>
      </c>
      <c r="BU219" s="528">
        <f t="shared" si="702"/>
        <v>6.2709439205479681E-2</v>
      </c>
      <c r="BV219" s="528"/>
      <c r="BW219" s="625">
        <f t="shared" si="703"/>
        <v>9.166929901251647E-2</v>
      </c>
      <c r="BX219" s="460">
        <f t="shared" si="704"/>
        <v>206.41273240045302</v>
      </c>
      <c r="BY219" s="173">
        <f t="shared" si="705"/>
        <v>0.82541315189928555</v>
      </c>
      <c r="BZ219" s="5">
        <f t="shared" si="706"/>
        <v>2.3250000000000002</v>
      </c>
      <c r="CA219" s="173">
        <f t="shared" si="707"/>
        <v>0.73799844271165849</v>
      </c>
      <c r="CB219" s="5">
        <f t="shared" si="708"/>
        <v>73.799844271165853</v>
      </c>
      <c r="CC219">
        <f t="shared" si="709"/>
        <v>3</v>
      </c>
      <c r="CE219" s="562">
        <f t="shared" si="648"/>
        <v>-50</v>
      </c>
      <c r="CG219" s="173">
        <f t="shared" si="649"/>
        <v>4.5559027645462317E-2</v>
      </c>
      <c r="CH219" s="173">
        <f t="shared" si="650"/>
        <v>1.4791450939847763E-2</v>
      </c>
      <c r="CI219" s="170">
        <v>3</v>
      </c>
      <c r="CJ219" s="217">
        <f t="shared" si="710"/>
        <v>7.4999999999999997E-2</v>
      </c>
      <c r="CK219" s="217">
        <f t="shared" si="651"/>
        <v>7.4999999999999997E-3</v>
      </c>
      <c r="CL219" s="217">
        <f t="shared" si="652"/>
        <v>2.1</v>
      </c>
      <c r="CM219" s="217">
        <f t="shared" si="653"/>
        <v>0.22499999999999998</v>
      </c>
      <c r="CN219" s="541">
        <f t="shared" si="654"/>
        <v>40</v>
      </c>
      <c r="CO219" s="443">
        <f t="shared" si="655"/>
        <v>28.7</v>
      </c>
      <c r="CP219" s="443">
        <f t="shared" si="656"/>
        <v>68.7</v>
      </c>
      <c r="CQ219" s="443"/>
      <c r="CR219" s="217">
        <f t="shared" si="657"/>
        <v>0.41520467836257302</v>
      </c>
      <c r="CS219" s="172">
        <f t="shared" si="658"/>
        <v>125.00786015217253</v>
      </c>
      <c r="CT219" s="172">
        <f t="shared" si="659"/>
        <v>14.828738512949037</v>
      </c>
      <c r="CU219" s="217">
        <f t="shared" si="660"/>
        <v>4.4645664340061613</v>
      </c>
      <c r="CV219" s="217">
        <f t="shared" si="661"/>
        <v>4.1669286717390843</v>
      </c>
      <c r="CW219" s="217">
        <f t="shared" si="662"/>
        <v>28</v>
      </c>
      <c r="CX219" s="217">
        <f t="shared" si="663"/>
        <v>0.27998239436619726</v>
      </c>
      <c r="CY219" s="217">
        <f t="shared" si="664"/>
        <v>3.2897931338028173E-2</v>
      </c>
      <c r="CZ219" s="217">
        <f t="shared" si="665"/>
        <v>4.5850775384011395E-2</v>
      </c>
      <c r="DA219" s="197">
        <f t="shared" si="666"/>
        <v>350</v>
      </c>
      <c r="DB219" s="443">
        <f t="shared" si="667"/>
        <v>350</v>
      </c>
      <c r="DD219" s="217">
        <f t="shared" si="668"/>
        <v>10.158258230357086</v>
      </c>
      <c r="DE219" s="173">
        <f t="shared" si="669"/>
        <v>1.6635475150758992</v>
      </c>
      <c r="DF219" s="173">
        <f t="shared" si="670"/>
        <v>2.6710919890125213</v>
      </c>
      <c r="DG219" s="173"/>
      <c r="DH219" s="173">
        <f t="shared" si="671"/>
        <v>0.54587688734030204</v>
      </c>
      <c r="DI219" s="545">
        <f t="shared" si="672"/>
        <v>82.436170212765958</v>
      </c>
      <c r="DJ219" s="528">
        <f t="shared" si="673"/>
        <v>0.31842818428184283</v>
      </c>
      <c r="DL219" s="173">
        <f t="shared" si="674"/>
        <v>1.6812934664610881</v>
      </c>
      <c r="DM219" s="173">
        <f t="shared" si="675"/>
        <v>3.3333333333333335</v>
      </c>
      <c r="DN219" s="173">
        <f t="shared" si="676"/>
        <v>1.0471063829787235</v>
      </c>
      <c r="DP219" s="545">
        <f t="shared" si="677"/>
        <v>75</v>
      </c>
      <c r="DQ219" s="460">
        <f t="shared" si="678"/>
        <v>82.436170212765958</v>
      </c>
      <c r="DS219">
        <f t="shared" si="679"/>
        <v>75</v>
      </c>
      <c r="DT219">
        <f t="shared" si="680"/>
        <v>82.436170212765958</v>
      </c>
      <c r="DV219" s="5">
        <f t="shared" si="681"/>
        <v>12.130597496451154</v>
      </c>
      <c r="DW219" s="5">
        <f t="shared" si="682"/>
        <v>0.39166666666666672</v>
      </c>
      <c r="DX219" s="5">
        <f t="shared" si="683"/>
        <v>11.738930829784486</v>
      </c>
      <c r="DY219" s="173">
        <f t="shared" si="684"/>
        <v>3.2287500000000011E-2</v>
      </c>
      <c r="EA219" s="5">
        <f t="shared" si="711"/>
        <v>0.10491071428571429</v>
      </c>
      <c r="EB219" s="5">
        <f t="shared" si="712"/>
        <v>9.7916666666666673E-3</v>
      </c>
      <c r="EC219" s="5">
        <f t="shared" si="713"/>
        <v>0.44020990611691824</v>
      </c>
      <c r="ED219" s="5"/>
      <c r="EE219" s="173">
        <f t="shared" si="714"/>
        <v>0.34580823202077388</v>
      </c>
      <c r="EF219" s="173">
        <f t="shared" si="715"/>
        <v>1.8931773214282837</v>
      </c>
      <c r="EG219" s="173">
        <f t="shared" si="716"/>
        <v>0.19086951683252368</v>
      </c>
      <c r="EH219" s="173"/>
      <c r="EI219" s="528">
        <f t="shared" si="717"/>
        <v>1.4350000000000005E-3</v>
      </c>
      <c r="EJ219" s="528">
        <f t="shared" si="718"/>
        <v>0.35867977659574474</v>
      </c>
      <c r="EK219" s="528">
        <f t="shared" si="719"/>
        <v>9.4801595744680861E-3</v>
      </c>
      <c r="EL219" s="528">
        <f t="shared" si="720"/>
        <v>0.19161853533430853</v>
      </c>
      <c r="EM219">
        <f t="shared" si="721"/>
        <v>1.7999999999999999E-2</v>
      </c>
      <c r="EN219" s="460">
        <f t="shared" si="722"/>
        <v>27.480159574468086</v>
      </c>
      <c r="EP219" s="460">
        <f t="shared" si="723"/>
        <v>579.21347150452141</v>
      </c>
      <c r="EQ219" s="173">
        <f t="shared" si="724"/>
        <v>5.2499999999999998E-2</v>
      </c>
      <c r="ER219" s="173">
        <f t="shared" si="685"/>
        <v>3.5924999999999998E-3</v>
      </c>
      <c r="ES219" s="528"/>
      <c r="EU219" s="460">
        <f t="shared" si="725"/>
        <v>56.092499999999994</v>
      </c>
      <c r="EV219" s="528">
        <f t="shared" si="726"/>
        <v>1.6741666666666673E-3</v>
      </c>
      <c r="EW219" s="528">
        <f t="shared" si="727"/>
        <v>5.0177685185185193E-2</v>
      </c>
      <c r="EX219" s="528">
        <f t="shared" si="728"/>
        <v>1.8215586227940519E-4</v>
      </c>
      <c r="EY219" s="528">
        <f t="shared" si="729"/>
        <v>6.2583721666464864E-2</v>
      </c>
      <c r="EZ219" s="528"/>
      <c r="FA219" s="625">
        <f t="shared" si="730"/>
        <v>9.1595744680851077E-2</v>
      </c>
      <c r="FB219" s="460">
        <f t="shared" si="731"/>
        <v>206.21347406144719</v>
      </c>
      <c r="FC219" s="173">
        <f t="shared" si="732"/>
        <v>0.84151944556596858</v>
      </c>
      <c r="FD219" s="5">
        <f t="shared" si="733"/>
        <v>2.3250000000000002</v>
      </c>
      <c r="FE219" s="173">
        <f t="shared" si="734"/>
        <v>0.7342446619917854</v>
      </c>
      <c r="FF219" s="5">
        <f t="shared" si="735"/>
        <v>73.424466199178539</v>
      </c>
      <c r="FG219">
        <f t="shared" si="736"/>
        <v>3</v>
      </c>
      <c r="FI219" s="562">
        <f t="shared" si="686"/>
        <v>-50</v>
      </c>
    </row>
    <row r="220" spans="1:169">
      <c r="E220" s="170">
        <v>4</v>
      </c>
      <c r="F220" s="217">
        <f t="shared" si="687"/>
        <v>0.1</v>
      </c>
      <c r="G220" s="217">
        <f t="shared" si="615"/>
        <v>0.01</v>
      </c>
      <c r="H220" s="217">
        <f t="shared" si="616"/>
        <v>2.8000000000000003</v>
      </c>
      <c r="I220" s="217">
        <f t="shared" si="617"/>
        <v>0.3</v>
      </c>
      <c r="J220" s="541">
        <f t="shared" si="618"/>
        <v>39.943188266679392</v>
      </c>
      <c r="K220" s="443">
        <f t="shared" si="619"/>
        <v>28.723047023921822</v>
      </c>
      <c r="L220" s="172">
        <f t="shared" si="620"/>
        <v>68.666235290601207</v>
      </c>
      <c r="M220" s="443"/>
      <c r="N220" s="217">
        <f t="shared" si="621"/>
        <v>0.41829942914976337</v>
      </c>
      <c r="O220" s="172">
        <f t="shared" si="622"/>
        <v>125.76074188453187</v>
      </c>
      <c r="P220" s="172">
        <f t="shared" si="623"/>
        <v>14.918047187833498</v>
      </c>
      <c r="Q220" s="217">
        <f t="shared" si="624"/>
        <v>4.4914550673047096</v>
      </c>
      <c r="R220" s="217">
        <f t="shared" si="625"/>
        <v>4.1920247294843955</v>
      </c>
      <c r="S220" s="217">
        <f t="shared" si="626"/>
        <v>28</v>
      </c>
      <c r="T220" s="217">
        <f t="shared" si="627"/>
        <v>0.37107499500530944</v>
      </c>
      <c r="U220" s="217">
        <f t="shared" si="628"/>
        <v>4.3663326644854811E-2</v>
      </c>
      <c r="V220" s="217">
        <f t="shared" si="629"/>
        <v>6.071961916409601E-2</v>
      </c>
      <c r="W220" s="197">
        <f t="shared" si="630"/>
        <v>350</v>
      </c>
      <c r="X220" s="443">
        <f t="shared" si="688"/>
        <v>350</v>
      </c>
      <c r="Z220" s="217">
        <f t="shared" si="631"/>
        <v>10.1569682980994</v>
      </c>
      <c r="AA220" s="173">
        <f t="shared" si="632"/>
        <v>1.662001631000676</v>
      </c>
      <c r="AB220" s="173">
        <f t="shared" si="633"/>
        <v>2.6682709548248544</v>
      </c>
      <c r="AC220" s="173"/>
      <c r="AD220" s="173">
        <f t="shared" si="634"/>
        <v>0.54543888235878235</v>
      </c>
      <c r="AE220" s="545">
        <f t="shared" si="635"/>
        <v>110.00315881501975</v>
      </c>
      <c r="AF220" s="528">
        <f t="shared" si="636"/>
        <v>0.31817268137595633</v>
      </c>
      <c r="AH220" s="173">
        <f t="shared" si="637"/>
        <v>1.9413904708961363</v>
      </c>
      <c r="AI220" s="173">
        <f t="shared" si="638"/>
        <v>3.3333333333333335</v>
      </c>
      <c r="AJ220" s="173">
        <f t="shared" si="639"/>
        <v>1.0628589478942969</v>
      </c>
      <c r="AL220" s="545">
        <f t="shared" si="640"/>
        <v>100</v>
      </c>
      <c r="AM220" s="460">
        <f t="shared" si="641"/>
        <v>110.00315881501975</v>
      </c>
      <c r="AO220">
        <f t="shared" si="642"/>
        <v>100</v>
      </c>
      <c r="AP220">
        <f t="shared" si="643"/>
        <v>110.00315881501975</v>
      </c>
      <c r="AR220" s="5">
        <f t="shared" si="614"/>
        <v>9.090648039313038</v>
      </c>
      <c r="AS220" s="5">
        <f t="shared" si="602"/>
        <v>0.39222373942882771</v>
      </c>
      <c r="AT220" s="5">
        <f t="shared" si="603"/>
        <v>8.698424299884211</v>
      </c>
      <c r="AU220" s="173">
        <f t="shared" si="604"/>
        <v>4.314585029941026E-2</v>
      </c>
      <c r="BA220" s="173">
        <f t="shared" si="689"/>
        <v>0.39974922833367837</v>
      </c>
      <c r="BB220" s="173">
        <f t="shared" si="690"/>
        <v>1.8825260312012508</v>
      </c>
      <c r="BC220" s="173">
        <f t="shared" si="691"/>
        <v>0.18979565724406056</v>
      </c>
      <c r="BD220" s="173"/>
      <c r="BE220" s="528">
        <f t="shared" si="692"/>
        <v>1.9175933466404561E-3</v>
      </c>
      <c r="BF220" s="528">
        <f t="shared" si="644"/>
        <v>0.45950475280900899</v>
      </c>
      <c r="BG220" s="528">
        <f t="shared" si="693"/>
        <v>1.265036326372727E-2</v>
      </c>
      <c r="BH220" s="528">
        <f t="shared" si="694"/>
        <v>0.25544527028572572</v>
      </c>
      <c r="BI220">
        <f t="shared" si="695"/>
        <v>1.7974434720005726E-2</v>
      </c>
      <c r="BJ220" s="460">
        <f t="shared" si="696"/>
        <v>30.624797983732996</v>
      </c>
      <c r="BK220">
        <f t="shared" si="645"/>
        <v>0.71771237088397688</v>
      </c>
      <c r="BL220" s="460">
        <f t="shared" si="697"/>
        <v>747.49241442510811</v>
      </c>
      <c r="BM220" s="173">
        <f t="shared" si="646"/>
        <v>6.7059999999999995E-2</v>
      </c>
      <c r="BN220" s="173">
        <f t="shared" si="647"/>
        <v>4.79E-3</v>
      </c>
      <c r="BQ220" s="460">
        <f t="shared" si="698"/>
        <v>71.849999999999994</v>
      </c>
      <c r="BR220" s="528">
        <f t="shared" si="699"/>
        <v>2.2371922377471989E-3</v>
      </c>
      <c r="BS220" s="528">
        <f t="shared" si="700"/>
        <v>4.9614659614104661E-2</v>
      </c>
      <c r="BT220" s="528">
        <f t="shared" si="701"/>
        <v>1.8011195754352461E-4</v>
      </c>
      <c r="BU220" s="528">
        <f t="shared" si="702"/>
        <v>0.12872999682138361</v>
      </c>
      <c r="BV220" s="528"/>
      <c r="BW220" s="625">
        <f t="shared" si="703"/>
        <v>0.12222573201668861</v>
      </c>
      <c r="BX220" s="460">
        <f t="shared" si="704"/>
        <v>302.98769264746761</v>
      </c>
      <c r="BY220" s="173">
        <f t="shared" si="705"/>
        <v>1.1223301070725755</v>
      </c>
      <c r="BZ220" s="5">
        <f t="shared" si="706"/>
        <v>3.1</v>
      </c>
      <c r="CA220" s="173">
        <f t="shared" si="707"/>
        <v>0.73419176648632301</v>
      </c>
      <c r="CB220" s="5">
        <f t="shared" si="708"/>
        <v>73.419176648632302</v>
      </c>
      <c r="CC220">
        <f t="shared" si="709"/>
        <v>4</v>
      </c>
      <c r="CE220" s="562">
        <f t="shared" si="648"/>
        <v>-50</v>
      </c>
      <c r="CG220" s="173">
        <f t="shared" si="649"/>
        <v>6.0745370193949766E-2</v>
      </c>
      <c r="CH220" s="173">
        <f t="shared" si="650"/>
        <v>1.9721934586463687E-2</v>
      </c>
      <c r="CI220" s="170">
        <v>4</v>
      </c>
      <c r="CJ220" s="217">
        <f t="shared" si="710"/>
        <v>0.1</v>
      </c>
      <c r="CK220" s="217">
        <f t="shared" si="651"/>
        <v>0.01</v>
      </c>
      <c r="CL220" s="217">
        <f t="shared" si="652"/>
        <v>2.8000000000000003</v>
      </c>
      <c r="CM220" s="217">
        <f t="shared" si="653"/>
        <v>0.3</v>
      </c>
      <c r="CN220" s="541">
        <f t="shared" si="654"/>
        <v>40</v>
      </c>
      <c r="CO220" s="443">
        <f t="shared" si="655"/>
        <v>28.7</v>
      </c>
      <c r="CP220" s="443">
        <f t="shared" si="656"/>
        <v>68.7</v>
      </c>
      <c r="CQ220" s="443"/>
      <c r="CR220" s="217">
        <f t="shared" si="657"/>
        <v>0.41520467836257302</v>
      </c>
      <c r="CS220" s="172">
        <f t="shared" si="658"/>
        <v>125.00786015217253</v>
      </c>
      <c r="CT220" s="172">
        <f t="shared" si="659"/>
        <v>14.828738512949037</v>
      </c>
      <c r="CU220" s="217">
        <f t="shared" si="660"/>
        <v>4.4645664340061613</v>
      </c>
      <c r="CV220" s="217">
        <f t="shared" si="661"/>
        <v>4.1669286717390843</v>
      </c>
      <c r="CW220" s="217">
        <f t="shared" si="662"/>
        <v>28</v>
      </c>
      <c r="CX220" s="217">
        <f t="shared" si="663"/>
        <v>0.3733098591549297</v>
      </c>
      <c r="CY220" s="217">
        <f t="shared" si="664"/>
        <v>4.3863908450704238E-2</v>
      </c>
      <c r="CZ220" s="217">
        <f t="shared" si="665"/>
        <v>6.113436717868187E-2</v>
      </c>
      <c r="DA220" s="197">
        <f t="shared" si="666"/>
        <v>350</v>
      </c>
      <c r="DB220" s="443">
        <f t="shared" si="667"/>
        <v>350</v>
      </c>
      <c r="DD220" s="217">
        <f t="shared" si="668"/>
        <v>10.158258230357086</v>
      </c>
      <c r="DE220" s="173">
        <f t="shared" si="669"/>
        <v>1.6635475150758992</v>
      </c>
      <c r="DF220" s="173">
        <f t="shared" si="670"/>
        <v>2.6710919890125213</v>
      </c>
      <c r="DG220" s="173"/>
      <c r="DH220" s="173">
        <f t="shared" si="671"/>
        <v>0.54587688734030204</v>
      </c>
      <c r="DI220" s="545">
        <f t="shared" si="672"/>
        <v>109.91489361702128</v>
      </c>
      <c r="DJ220" s="528">
        <f t="shared" si="673"/>
        <v>0.31842818428184283</v>
      </c>
      <c r="DL220" s="173">
        <f t="shared" si="674"/>
        <v>1.9413904708961363</v>
      </c>
      <c r="DM220" s="173">
        <f t="shared" si="675"/>
        <v>3.3333333333333335</v>
      </c>
      <c r="DN220" s="173">
        <f t="shared" si="676"/>
        <v>1.0628085106382978</v>
      </c>
      <c r="DP220" s="545">
        <f t="shared" si="677"/>
        <v>100</v>
      </c>
      <c r="DQ220" s="460">
        <f t="shared" si="678"/>
        <v>109.91489361702128</v>
      </c>
      <c r="DS220">
        <f t="shared" si="679"/>
        <v>100</v>
      </c>
      <c r="DT220">
        <f t="shared" si="680"/>
        <v>109.91489361702128</v>
      </c>
      <c r="DV220" s="5">
        <f t="shared" si="681"/>
        <v>9.0979481223383658</v>
      </c>
      <c r="DW220" s="5">
        <f t="shared" si="682"/>
        <v>0.39166666666666672</v>
      </c>
      <c r="DX220" s="5">
        <f t="shared" si="683"/>
        <v>8.7062814556716983</v>
      </c>
      <c r="DY220" s="173">
        <f t="shared" si="684"/>
        <v>4.3050000000000005E-2</v>
      </c>
      <c r="EA220" s="5">
        <f t="shared" si="711"/>
        <v>0.13988095238095241</v>
      </c>
      <c r="EB220" s="5">
        <f t="shared" si="712"/>
        <v>1.3055555555555556E-2</v>
      </c>
      <c r="EC220" s="5">
        <f t="shared" si="713"/>
        <v>0.43531407278358492</v>
      </c>
      <c r="ED220" s="5"/>
      <c r="EE220" s="173">
        <f t="shared" si="714"/>
        <v>0.39930495169036467</v>
      </c>
      <c r="EF220" s="173">
        <f t="shared" si="715"/>
        <v>1.8826203173394416</v>
      </c>
      <c r="EG220" s="173">
        <f t="shared" si="716"/>
        <v>0.18980516314159943</v>
      </c>
      <c r="EH220" s="173"/>
      <c r="EI220" s="528">
        <f t="shared" si="717"/>
        <v>1.9133333333333337E-3</v>
      </c>
      <c r="EJ220" s="528">
        <f t="shared" si="718"/>
        <v>0.4782397021276597</v>
      </c>
      <c r="EK220" s="528">
        <f t="shared" si="719"/>
        <v>1.2640212765957448E-2</v>
      </c>
      <c r="EL220" s="528">
        <f t="shared" si="720"/>
        <v>0.25549138044574471</v>
      </c>
      <c r="EM220">
        <f t="shared" si="721"/>
        <v>1.7999999999999999E-2</v>
      </c>
      <c r="EN220" s="460">
        <f t="shared" si="722"/>
        <v>30.640212765957447</v>
      </c>
      <c r="EP220" s="460">
        <f t="shared" si="723"/>
        <v>766.28462867269525</v>
      </c>
      <c r="EQ220" s="173">
        <f t="shared" si="724"/>
        <v>6.9999999999999993E-2</v>
      </c>
      <c r="ER220" s="173">
        <f t="shared" si="685"/>
        <v>4.79E-3</v>
      </c>
      <c r="ES220" s="528"/>
      <c r="EU220" s="460">
        <f t="shared" si="725"/>
        <v>74.789999999999992</v>
      </c>
      <c r="EV220" s="528">
        <f t="shared" si="726"/>
        <v>2.2322222222222227E-3</v>
      </c>
      <c r="EW220" s="528">
        <f t="shared" si="727"/>
        <v>4.9619629629629639E-2</v>
      </c>
      <c r="EX220" s="528">
        <f t="shared" si="728"/>
        <v>1.8012999977604587E-4</v>
      </c>
      <c r="EY220" s="528">
        <f t="shared" si="729"/>
        <v>0.12847192373696739</v>
      </c>
      <c r="EZ220" s="528"/>
      <c r="FA220" s="625">
        <f t="shared" si="730"/>
        <v>0.1221276595744681</v>
      </c>
      <c r="FB220" s="460">
        <f t="shared" si="731"/>
        <v>302.63156516306339</v>
      </c>
      <c r="FC220" s="173">
        <f t="shared" si="732"/>
        <v>1.1437061938357584</v>
      </c>
      <c r="FD220" s="5">
        <f t="shared" si="733"/>
        <v>3.1</v>
      </c>
      <c r="FE220" s="173">
        <f t="shared" si="734"/>
        <v>0.73049354936563204</v>
      </c>
      <c r="FF220" s="5">
        <f t="shared" si="735"/>
        <v>73.049354936563205</v>
      </c>
      <c r="FG220">
        <f t="shared" si="736"/>
        <v>4</v>
      </c>
      <c r="FI220" s="562">
        <f t="shared" si="686"/>
        <v>-50</v>
      </c>
    </row>
    <row r="221" spans="1:169">
      <c r="E221" s="170">
        <v>5</v>
      </c>
      <c r="F221" s="217">
        <f t="shared" si="687"/>
        <v>0.125</v>
      </c>
      <c r="G221" s="217">
        <f t="shared" si="615"/>
        <v>1.2500000000000001E-2</v>
      </c>
      <c r="H221" s="217">
        <f t="shared" si="616"/>
        <v>3.5</v>
      </c>
      <c r="I221" s="217">
        <f t="shared" si="617"/>
        <v>0.375</v>
      </c>
      <c r="J221" s="541">
        <f t="shared" si="618"/>
        <v>39.943188266679392</v>
      </c>
      <c r="K221" s="443">
        <f t="shared" si="619"/>
        <v>28.723047023921822</v>
      </c>
      <c r="L221" s="172">
        <f t="shared" si="620"/>
        <v>68.666235290601207</v>
      </c>
      <c r="M221" s="443"/>
      <c r="N221" s="217">
        <f t="shared" si="621"/>
        <v>0.41829942914976337</v>
      </c>
      <c r="O221" s="172">
        <f t="shared" si="622"/>
        <v>125.76074188453187</v>
      </c>
      <c r="P221" s="172">
        <f t="shared" si="623"/>
        <v>14.918047187833498</v>
      </c>
      <c r="Q221" s="217">
        <f t="shared" si="624"/>
        <v>4.4914550673047096</v>
      </c>
      <c r="R221" s="217">
        <f t="shared" si="625"/>
        <v>4.1920247294843955</v>
      </c>
      <c r="S221" s="217">
        <f t="shared" si="626"/>
        <v>28</v>
      </c>
      <c r="T221" s="217">
        <f t="shared" si="627"/>
        <v>0.46384374375663684</v>
      </c>
      <c r="U221" s="217">
        <f t="shared" si="628"/>
        <v>5.4579158306068513E-2</v>
      </c>
      <c r="V221" s="217">
        <f t="shared" si="629"/>
        <v>7.5899523955120021E-2</v>
      </c>
      <c r="W221" s="197">
        <f t="shared" si="630"/>
        <v>350</v>
      </c>
      <c r="X221" s="443">
        <f t="shared" si="688"/>
        <v>350</v>
      </c>
      <c r="Z221" s="217">
        <f t="shared" si="631"/>
        <v>10.1569682980994</v>
      </c>
      <c r="AA221" s="173">
        <f t="shared" si="632"/>
        <v>1.662001631000676</v>
      </c>
      <c r="AB221" s="173">
        <f t="shared" si="633"/>
        <v>2.6682709548248544</v>
      </c>
      <c r="AC221" s="173"/>
      <c r="AD221" s="173">
        <f t="shared" si="634"/>
        <v>0.54543888235878235</v>
      </c>
      <c r="AE221" s="545">
        <f t="shared" si="635"/>
        <v>137.50394851877468</v>
      </c>
      <c r="AF221" s="528">
        <f t="shared" si="636"/>
        <v>0.31817268137595633</v>
      </c>
      <c r="AH221" s="173">
        <f t="shared" si="637"/>
        <v>2.1705405318970441</v>
      </c>
      <c r="AI221" s="173">
        <f t="shared" si="638"/>
        <v>3.3333333333333335</v>
      </c>
      <c r="AJ221" s="173">
        <f t="shared" si="639"/>
        <v>1.0785736848678713</v>
      </c>
      <c r="AL221" s="545">
        <f t="shared" si="640"/>
        <v>125</v>
      </c>
      <c r="AM221" s="460">
        <f t="shared" si="641"/>
        <v>137.50394851877468</v>
      </c>
      <c r="AO221">
        <f t="shared" si="642"/>
        <v>125</v>
      </c>
      <c r="AP221">
        <f t="shared" si="643"/>
        <v>137.50394851877468</v>
      </c>
      <c r="AR221" s="5">
        <f t="shared" si="614"/>
        <v>7.2725184314504308</v>
      </c>
      <c r="AS221" s="5">
        <f t="shared" si="602"/>
        <v>0.39222373942882771</v>
      </c>
      <c r="AT221" s="5">
        <f t="shared" si="603"/>
        <v>6.8802946920216028</v>
      </c>
      <c r="AU221" s="173">
        <f t="shared" si="604"/>
        <v>5.3932312874262818E-2</v>
      </c>
      <c r="BA221" s="173">
        <f t="shared" si="689"/>
        <v>0.44693322425359489</v>
      </c>
      <c r="BB221" s="173">
        <f t="shared" si="690"/>
        <v>1.8718852520285505</v>
      </c>
      <c r="BC221" s="173">
        <f t="shared" si="691"/>
        <v>0.18872285737664896</v>
      </c>
      <c r="BD221" s="173"/>
      <c r="BE221" s="528">
        <f t="shared" si="692"/>
        <v>2.3969916833005696E-3</v>
      </c>
      <c r="BF221" s="528">
        <f t="shared" si="644"/>
        <v>0.57438094101126125</v>
      </c>
      <c r="BG221" s="528">
        <f t="shared" si="693"/>
        <v>1.5812954079659089E-2</v>
      </c>
      <c r="BH221" s="528">
        <f t="shared" si="694"/>
        <v>0.31930658785715715</v>
      </c>
      <c r="BI221">
        <f t="shared" si="695"/>
        <v>1.7974434720005726E-2</v>
      </c>
      <c r="BJ221" s="460">
        <f t="shared" si="696"/>
        <v>33.787388799664818</v>
      </c>
      <c r="BK221">
        <f t="shared" si="645"/>
        <v>0.89724271066193939</v>
      </c>
      <c r="BL221" s="460">
        <f t="shared" si="697"/>
        <v>929.87190935138381</v>
      </c>
      <c r="BM221" s="173">
        <f t="shared" si="646"/>
        <v>8.3824999999999997E-2</v>
      </c>
      <c r="BN221" s="173">
        <f t="shared" si="647"/>
        <v>5.9874999999999998E-3</v>
      </c>
      <c r="BQ221" s="460">
        <f t="shared" si="698"/>
        <v>89.812499999999986</v>
      </c>
      <c r="BR221" s="528">
        <f t="shared" si="699"/>
        <v>2.7964902971839979E-3</v>
      </c>
      <c r="BS221" s="528">
        <f t="shared" si="700"/>
        <v>4.9055361554667866E-2</v>
      </c>
      <c r="BT221" s="528">
        <f t="shared" si="701"/>
        <v>1.7808158448203492E-4</v>
      </c>
      <c r="BU221" s="528">
        <f t="shared" si="702"/>
        <v>0.22488204971558237</v>
      </c>
      <c r="BV221" s="528"/>
      <c r="BW221" s="625">
        <f t="shared" si="703"/>
        <v>0.15278216502086076</v>
      </c>
      <c r="BX221" s="460">
        <f t="shared" si="704"/>
        <v>429.69414817277709</v>
      </c>
      <c r="BY221" s="173">
        <f t="shared" si="705"/>
        <v>1.4493785575241607</v>
      </c>
      <c r="BZ221" s="5">
        <f t="shared" si="706"/>
        <v>3.875</v>
      </c>
      <c r="CA221" s="173">
        <f t="shared" si="707"/>
        <v>0.72778446501029359</v>
      </c>
      <c r="CB221" s="5">
        <f t="shared" si="708"/>
        <v>72.778446501029364</v>
      </c>
      <c r="CC221">
        <f t="shared" si="709"/>
        <v>5</v>
      </c>
      <c r="CE221" s="562">
        <f t="shared" si="648"/>
        <v>-50</v>
      </c>
      <c r="CG221" s="173">
        <f t="shared" si="649"/>
        <v>7.5931712742437193E-2</v>
      </c>
      <c r="CH221" s="173">
        <f t="shared" si="650"/>
        <v>2.4652418233079607E-2</v>
      </c>
      <c r="CI221" s="170">
        <v>5</v>
      </c>
      <c r="CJ221" s="217">
        <f t="shared" si="710"/>
        <v>0.125</v>
      </c>
      <c r="CK221" s="217">
        <f t="shared" si="651"/>
        <v>1.2500000000000001E-2</v>
      </c>
      <c r="CL221" s="217">
        <f t="shared" si="652"/>
        <v>3.5</v>
      </c>
      <c r="CM221" s="217">
        <f t="shared" si="653"/>
        <v>0.375</v>
      </c>
      <c r="CN221" s="541">
        <f t="shared" si="654"/>
        <v>40</v>
      </c>
      <c r="CO221" s="443">
        <f t="shared" si="655"/>
        <v>28.7</v>
      </c>
      <c r="CP221" s="443">
        <f t="shared" si="656"/>
        <v>68.7</v>
      </c>
      <c r="CQ221" s="443"/>
      <c r="CR221" s="217">
        <f t="shared" si="657"/>
        <v>0.41520467836257302</v>
      </c>
      <c r="CS221" s="172">
        <f t="shared" si="658"/>
        <v>125.00786015217253</v>
      </c>
      <c r="CT221" s="172">
        <f t="shared" si="659"/>
        <v>14.828738512949037</v>
      </c>
      <c r="CU221" s="217">
        <f t="shared" si="660"/>
        <v>4.4645664340061613</v>
      </c>
      <c r="CV221" s="217">
        <f t="shared" si="661"/>
        <v>4.1669286717390843</v>
      </c>
      <c r="CW221" s="217">
        <f t="shared" si="662"/>
        <v>28</v>
      </c>
      <c r="CX221" s="217">
        <f t="shared" si="663"/>
        <v>0.46663732394366209</v>
      </c>
      <c r="CY221" s="217">
        <f t="shared" si="664"/>
        <v>5.4829885563380296E-2</v>
      </c>
      <c r="CZ221" s="217">
        <f t="shared" si="665"/>
        <v>7.6417958973352323E-2</v>
      </c>
      <c r="DA221" s="197">
        <f t="shared" si="666"/>
        <v>350</v>
      </c>
      <c r="DB221" s="443">
        <f t="shared" si="667"/>
        <v>350</v>
      </c>
      <c r="DD221" s="217">
        <f t="shared" si="668"/>
        <v>10.158258230357086</v>
      </c>
      <c r="DE221" s="173">
        <f t="shared" si="669"/>
        <v>1.6635475150758992</v>
      </c>
      <c r="DF221" s="173">
        <f t="shared" si="670"/>
        <v>2.6710919890125213</v>
      </c>
      <c r="DG221" s="173"/>
      <c r="DH221" s="173">
        <f t="shared" si="671"/>
        <v>0.54587688734030204</v>
      </c>
      <c r="DI221" s="545">
        <f t="shared" si="672"/>
        <v>137.39361702127658</v>
      </c>
      <c r="DJ221" s="528">
        <f t="shared" si="673"/>
        <v>0.31842818428184283</v>
      </c>
      <c r="DL221" s="173">
        <f t="shared" si="674"/>
        <v>2.1705405318970441</v>
      </c>
      <c r="DM221" s="173">
        <f t="shared" si="675"/>
        <v>3.3333333333333335</v>
      </c>
      <c r="DN221" s="173">
        <f t="shared" si="676"/>
        <v>1.0785106382978724</v>
      </c>
      <c r="DP221" s="545">
        <f t="shared" si="677"/>
        <v>125</v>
      </c>
      <c r="DQ221" s="460">
        <f t="shared" si="678"/>
        <v>137.39361702127658</v>
      </c>
      <c r="DS221">
        <f t="shared" si="679"/>
        <v>125</v>
      </c>
      <c r="DT221">
        <f t="shared" si="680"/>
        <v>137.39361702127658</v>
      </c>
      <c r="DV221" s="5">
        <f t="shared" si="681"/>
        <v>7.2783584978706939</v>
      </c>
      <c r="DW221" s="5">
        <f t="shared" si="682"/>
        <v>0.39166666666666672</v>
      </c>
      <c r="DX221" s="5">
        <f t="shared" si="683"/>
        <v>6.8866918312040273</v>
      </c>
      <c r="DY221" s="173">
        <f t="shared" si="684"/>
        <v>5.3812499999999999E-2</v>
      </c>
      <c r="EA221" s="5">
        <f t="shared" si="711"/>
        <v>0.17485119047619049</v>
      </c>
      <c r="EB221" s="5">
        <f t="shared" si="712"/>
        <v>1.6319444444444449E-2</v>
      </c>
      <c r="EC221" s="5">
        <f t="shared" si="713"/>
        <v>0.43041823945025159</v>
      </c>
      <c r="ED221" s="5"/>
      <c r="EE221" s="173">
        <f t="shared" si="714"/>
        <v>0.4464365078659624</v>
      </c>
      <c r="EF221" s="173">
        <f t="shared" si="715"/>
        <v>1.8720037788819093</v>
      </c>
      <c r="EG221" s="173">
        <f t="shared" si="716"/>
        <v>0.18873480721514332</v>
      </c>
      <c r="EH221" s="173"/>
      <c r="EI221" s="528">
        <f t="shared" si="717"/>
        <v>2.3916666666666661E-3</v>
      </c>
      <c r="EJ221" s="528">
        <f t="shared" si="718"/>
        <v>0.59779962765957451</v>
      </c>
      <c r="EK221" s="528">
        <f t="shared" si="719"/>
        <v>1.5800265957446807E-2</v>
      </c>
      <c r="EL221" s="528">
        <f t="shared" si="720"/>
        <v>0.3193642255571808</v>
      </c>
      <c r="EM221">
        <f t="shared" si="721"/>
        <v>1.7999999999999999E-2</v>
      </c>
      <c r="EN221" s="460">
        <f t="shared" si="722"/>
        <v>33.800265957446804</v>
      </c>
      <c r="EP221" s="460">
        <f t="shared" si="723"/>
        <v>953.35578584086875</v>
      </c>
      <c r="EQ221" s="173">
        <f t="shared" si="724"/>
        <v>8.7499999999999994E-2</v>
      </c>
      <c r="ER221" s="173">
        <f t="shared" si="685"/>
        <v>5.9874999999999998E-3</v>
      </c>
      <c r="ES221" s="528"/>
      <c r="EU221" s="460">
        <f t="shared" si="725"/>
        <v>93.487499999999997</v>
      </c>
      <c r="EV221" s="528">
        <f t="shared" si="726"/>
        <v>2.7902777777777774E-3</v>
      </c>
      <c r="EW221" s="528">
        <f t="shared" si="727"/>
        <v>4.9061574074074077E-2</v>
      </c>
      <c r="EX221" s="528">
        <f t="shared" si="728"/>
        <v>1.781041372726866E-4</v>
      </c>
      <c r="EY221" s="528">
        <f t="shared" si="729"/>
        <v>0.2244312145906471</v>
      </c>
      <c r="EZ221" s="528"/>
      <c r="FA221" s="625">
        <f t="shared" si="730"/>
        <v>0.15265957446808512</v>
      </c>
      <c r="FB221" s="460">
        <f t="shared" si="731"/>
        <v>429.12074504785681</v>
      </c>
      <c r="FC221" s="173">
        <f t="shared" si="732"/>
        <v>1.4759640308887254</v>
      </c>
      <c r="FD221" s="5">
        <f t="shared" si="733"/>
        <v>3.875</v>
      </c>
      <c r="FE221" s="173">
        <f t="shared" si="734"/>
        <v>0.72416857553729674</v>
      </c>
      <c r="FF221" s="5">
        <f t="shared" si="735"/>
        <v>72.41685755372967</v>
      </c>
      <c r="FG221">
        <f t="shared" si="736"/>
        <v>5</v>
      </c>
      <c r="FI221" s="562">
        <f t="shared" si="686"/>
        <v>-50</v>
      </c>
    </row>
    <row r="222" spans="1:169">
      <c r="E222" s="170">
        <v>6</v>
      </c>
      <c r="F222" s="217">
        <f t="shared" si="687"/>
        <v>0.15</v>
      </c>
      <c r="G222" s="217">
        <f t="shared" si="615"/>
        <v>1.4999999999999999E-2</v>
      </c>
      <c r="H222" s="217">
        <f t="shared" si="616"/>
        <v>4.2</v>
      </c>
      <c r="I222" s="217">
        <f t="shared" si="617"/>
        <v>0.44999999999999996</v>
      </c>
      <c r="J222" s="541">
        <f t="shared" si="618"/>
        <v>39.943188266679392</v>
      </c>
      <c r="K222" s="443">
        <f t="shared" si="619"/>
        <v>28.723047023921822</v>
      </c>
      <c r="L222" s="172">
        <f t="shared" si="620"/>
        <v>68.666235290601207</v>
      </c>
      <c r="M222" s="443"/>
      <c r="N222" s="217">
        <f t="shared" si="621"/>
        <v>0.41829942914976337</v>
      </c>
      <c r="O222" s="172">
        <f t="shared" si="622"/>
        <v>125.76074188453187</v>
      </c>
      <c r="P222" s="172">
        <f t="shared" si="623"/>
        <v>14.918047187833498</v>
      </c>
      <c r="Q222" s="217">
        <f t="shared" si="624"/>
        <v>4.4914550673047096</v>
      </c>
      <c r="R222" s="217">
        <f t="shared" si="625"/>
        <v>4.1920247294843955</v>
      </c>
      <c r="S222" s="217">
        <f t="shared" si="626"/>
        <v>28</v>
      </c>
      <c r="T222" s="217">
        <f t="shared" si="627"/>
        <v>0.55661249250796418</v>
      </c>
      <c r="U222" s="217">
        <f t="shared" si="628"/>
        <v>6.5494989967282216E-2</v>
      </c>
      <c r="V222" s="217">
        <f t="shared" si="629"/>
        <v>9.1079428746144026E-2</v>
      </c>
      <c r="W222" s="197">
        <f t="shared" si="630"/>
        <v>350</v>
      </c>
      <c r="X222" s="443">
        <f t="shared" si="688"/>
        <v>350</v>
      </c>
      <c r="Z222" s="217">
        <f t="shared" si="631"/>
        <v>10.1569682980994</v>
      </c>
      <c r="AA222" s="173">
        <f t="shared" si="632"/>
        <v>1.662001631000676</v>
      </c>
      <c r="AB222" s="173">
        <f t="shared" si="633"/>
        <v>2.6682709548248544</v>
      </c>
      <c r="AC222" s="173"/>
      <c r="AD222" s="173">
        <f t="shared" si="634"/>
        <v>0.54543888235878235</v>
      </c>
      <c r="AE222" s="545">
        <f t="shared" si="635"/>
        <v>165.00473822252962</v>
      </c>
      <c r="AF222" s="528">
        <f t="shared" si="636"/>
        <v>0.31817268137595633</v>
      </c>
      <c r="AH222" s="173">
        <f t="shared" si="637"/>
        <v>2.377708022598545</v>
      </c>
      <c r="AI222" s="173">
        <f t="shared" si="638"/>
        <v>3.3333333333333335</v>
      </c>
      <c r="AJ222" s="173">
        <f t="shared" si="639"/>
        <v>1.0942884218414455</v>
      </c>
      <c r="AL222" s="545">
        <f t="shared" si="640"/>
        <v>150</v>
      </c>
      <c r="AM222" s="460">
        <f t="shared" si="641"/>
        <v>165.00473822252962</v>
      </c>
      <c r="AO222">
        <f t="shared" si="642"/>
        <v>150</v>
      </c>
      <c r="AP222">
        <f t="shared" si="643"/>
        <v>165.00473822252962</v>
      </c>
      <c r="AR222" s="5">
        <f t="shared" si="614"/>
        <v>6.0604320262086917</v>
      </c>
      <c r="AS222" s="5">
        <f t="shared" si="602"/>
        <v>0.39222373942882771</v>
      </c>
      <c r="AT222" s="5">
        <f t="shared" si="603"/>
        <v>5.6682082867798638</v>
      </c>
      <c r="AU222" s="173">
        <f t="shared" si="604"/>
        <v>6.471877544911539E-2</v>
      </c>
      <c r="BA222" s="173">
        <f t="shared" si="689"/>
        <v>0.48959081724441794</v>
      </c>
      <c r="BB222" s="173">
        <f t="shared" si="690"/>
        <v>1.8611836382726041</v>
      </c>
      <c r="BC222" s="173">
        <f t="shared" si="691"/>
        <v>0.18764392418650025</v>
      </c>
      <c r="BD222" s="173"/>
      <c r="BE222" s="528">
        <f t="shared" si="692"/>
        <v>2.8763900199606845E-3</v>
      </c>
      <c r="BF222" s="528">
        <f t="shared" si="644"/>
        <v>0.68925712921351356</v>
      </c>
      <c r="BG222" s="528">
        <f t="shared" si="693"/>
        <v>1.8975544895590907E-2</v>
      </c>
      <c r="BH222" s="528">
        <f t="shared" si="694"/>
        <v>0.38316790542858864</v>
      </c>
      <c r="BI222">
        <f t="shared" si="695"/>
        <v>1.7974434720005726E-2</v>
      </c>
      <c r="BJ222" s="460">
        <f t="shared" si="696"/>
        <v>36.949979615596639</v>
      </c>
      <c r="BK222">
        <f t="shared" si="645"/>
        <v>1.0768139772332985</v>
      </c>
      <c r="BL222" s="460">
        <f t="shared" si="697"/>
        <v>1112.2514042776595</v>
      </c>
      <c r="BM222" s="173">
        <f t="shared" si="646"/>
        <v>0.10059</v>
      </c>
      <c r="BN222" s="173">
        <f t="shared" si="647"/>
        <v>7.1849999999999995E-3</v>
      </c>
      <c r="BQ222" s="460">
        <f t="shared" si="698"/>
        <v>107.77499999999999</v>
      </c>
      <c r="BR222" s="528">
        <f t="shared" si="699"/>
        <v>3.355788356620799E-3</v>
      </c>
      <c r="BS222" s="528">
        <f t="shared" si="700"/>
        <v>4.849606349523107E-2</v>
      </c>
      <c r="BT222" s="528">
        <f t="shared" si="701"/>
        <v>1.7605121142054525E-4</v>
      </c>
      <c r="BU222" s="528">
        <f t="shared" si="702"/>
        <v>0.3547381576528022</v>
      </c>
      <c r="BV222" s="528"/>
      <c r="BW222" s="625">
        <f t="shared" si="703"/>
        <v>0.18333859802503294</v>
      </c>
      <c r="BX222" s="460">
        <f t="shared" si="704"/>
        <v>590.10465874110764</v>
      </c>
      <c r="BY222" s="173">
        <f t="shared" si="705"/>
        <v>1.8101310630187673</v>
      </c>
      <c r="BZ222" s="5">
        <f t="shared" si="706"/>
        <v>4.6500000000000004</v>
      </c>
      <c r="CA222" s="173">
        <f t="shared" si="707"/>
        <v>0.71979963790813439</v>
      </c>
      <c r="CB222" s="5">
        <f t="shared" si="708"/>
        <v>71.979963790813443</v>
      </c>
      <c r="CC222">
        <f t="shared" si="709"/>
        <v>6</v>
      </c>
      <c r="CE222" s="562">
        <f t="shared" si="648"/>
        <v>-50</v>
      </c>
      <c r="CG222" s="173">
        <f t="shared" si="649"/>
        <v>9.1118055290924635E-2</v>
      </c>
      <c r="CH222" s="173">
        <f t="shared" si="650"/>
        <v>2.9582901879695526E-2</v>
      </c>
      <c r="CI222" s="170">
        <v>6</v>
      </c>
      <c r="CJ222" s="217">
        <f t="shared" si="710"/>
        <v>0.15</v>
      </c>
      <c r="CK222" s="217">
        <f t="shared" si="651"/>
        <v>1.4999999999999999E-2</v>
      </c>
      <c r="CL222" s="217">
        <f t="shared" si="652"/>
        <v>4.2</v>
      </c>
      <c r="CM222" s="217">
        <f t="shared" si="653"/>
        <v>0.44999999999999996</v>
      </c>
      <c r="CN222" s="541">
        <f t="shared" si="654"/>
        <v>40</v>
      </c>
      <c r="CO222" s="443">
        <f t="shared" si="655"/>
        <v>28.7</v>
      </c>
      <c r="CP222" s="443">
        <f t="shared" si="656"/>
        <v>68.7</v>
      </c>
      <c r="CQ222" s="443"/>
      <c r="CR222" s="217">
        <f t="shared" si="657"/>
        <v>0.41520467836257302</v>
      </c>
      <c r="CS222" s="172">
        <f t="shared" si="658"/>
        <v>125.00786015217253</v>
      </c>
      <c r="CT222" s="172">
        <f t="shared" si="659"/>
        <v>14.828738512949037</v>
      </c>
      <c r="CU222" s="217">
        <f t="shared" si="660"/>
        <v>4.4645664340061613</v>
      </c>
      <c r="CV222" s="217">
        <f t="shared" si="661"/>
        <v>4.1669286717390843</v>
      </c>
      <c r="CW222" s="217">
        <f t="shared" si="662"/>
        <v>28</v>
      </c>
      <c r="CX222" s="217">
        <f t="shared" si="663"/>
        <v>0.55996478873239453</v>
      </c>
      <c r="CY222" s="217">
        <f t="shared" si="664"/>
        <v>6.5795862676056346E-2</v>
      </c>
      <c r="CZ222" s="217">
        <f t="shared" si="665"/>
        <v>9.1701550768022791E-2</v>
      </c>
      <c r="DA222" s="197">
        <f t="shared" si="666"/>
        <v>350</v>
      </c>
      <c r="DB222" s="443">
        <f t="shared" si="667"/>
        <v>350</v>
      </c>
      <c r="DD222" s="217">
        <f t="shared" si="668"/>
        <v>10.158258230357086</v>
      </c>
      <c r="DE222" s="173">
        <f t="shared" si="669"/>
        <v>1.6635475150758992</v>
      </c>
      <c r="DF222" s="173">
        <f t="shared" si="670"/>
        <v>2.6710919890125213</v>
      </c>
      <c r="DG222" s="173"/>
      <c r="DH222" s="173">
        <f t="shared" si="671"/>
        <v>0.54587688734030204</v>
      </c>
      <c r="DI222" s="545">
        <f t="shared" si="672"/>
        <v>164.87234042553192</v>
      </c>
      <c r="DJ222" s="528">
        <f t="shared" si="673"/>
        <v>0.31842818428184283</v>
      </c>
      <c r="DL222" s="173">
        <f t="shared" si="674"/>
        <v>2.377708022598545</v>
      </c>
      <c r="DM222" s="173">
        <f t="shared" si="675"/>
        <v>3.3333333333333335</v>
      </c>
      <c r="DN222" s="173">
        <f t="shared" si="676"/>
        <v>1.0942127659574468</v>
      </c>
      <c r="DP222" s="545">
        <f t="shared" si="677"/>
        <v>150</v>
      </c>
      <c r="DQ222" s="460">
        <f t="shared" si="678"/>
        <v>164.87234042553192</v>
      </c>
      <c r="DS222">
        <f t="shared" si="679"/>
        <v>150</v>
      </c>
      <c r="DT222">
        <f t="shared" si="680"/>
        <v>164.87234042553192</v>
      </c>
      <c r="DV222" s="5">
        <f t="shared" si="681"/>
        <v>6.0652987482255769</v>
      </c>
      <c r="DW222" s="5">
        <f t="shared" si="682"/>
        <v>0.39166666666666672</v>
      </c>
      <c r="DX222" s="5">
        <f t="shared" si="683"/>
        <v>5.6736320815589103</v>
      </c>
      <c r="DY222" s="173">
        <f t="shared" si="684"/>
        <v>6.4575000000000021E-2</v>
      </c>
      <c r="EA222" s="5">
        <f t="shared" si="711"/>
        <v>0.20982142857142858</v>
      </c>
      <c r="EB222" s="5">
        <f t="shared" si="712"/>
        <v>1.9583333333333335E-2</v>
      </c>
      <c r="EC222" s="5">
        <f t="shared" si="713"/>
        <v>0.42552240611691833</v>
      </c>
      <c r="ED222" s="5"/>
      <c r="EE222" s="173">
        <f t="shared" si="714"/>
        <v>0.48904669170404036</v>
      </c>
      <c r="EF222" s="173">
        <f t="shared" si="715"/>
        <v>1.8613266873488481</v>
      </c>
      <c r="EG222" s="173">
        <f t="shared" si="716"/>
        <v>0.18765834634746584</v>
      </c>
      <c r="EH222" s="173"/>
      <c r="EI222" s="528">
        <f t="shared" si="717"/>
        <v>2.8700000000000006E-3</v>
      </c>
      <c r="EJ222" s="528">
        <f t="shared" si="718"/>
        <v>0.71735955319148947</v>
      </c>
      <c r="EK222" s="528">
        <f t="shared" si="719"/>
        <v>1.8960319148936172E-2</v>
      </c>
      <c r="EL222" s="528">
        <f t="shared" si="720"/>
        <v>0.38323707066861706</v>
      </c>
      <c r="EM222">
        <f t="shared" si="721"/>
        <v>1.7999999999999999E-2</v>
      </c>
      <c r="EN222" s="460">
        <f t="shared" si="722"/>
        <v>36.960319148936172</v>
      </c>
      <c r="EP222" s="460">
        <f t="shared" si="723"/>
        <v>1140.4269430090428</v>
      </c>
      <c r="EQ222" s="173">
        <f t="shared" si="724"/>
        <v>0.105</v>
      </c>
      <c r="ER222" s="173">
        <f t="shared" si="685"/>
        <v>7.1849999999999995E-3</v>
      </c>
      <c r="ES222" s="528"/>
      <c r="EU222" s="460">
        <f t="shared" si="725"/>
        <v>112.18499999999999</v>
      </c>
      <c r="EV222" s="528">
        <f t="shared" si="726"/>
        <v>3.3483333333333338E-3</v>
      </c>
      <c r="EW222" s="528">
        <f t="shared" si="727"/>
        <v>4.8503518518518515E-2</v>
      </c>
      <c r="EX222" s="528">
        <f t="shared" si="728"/>
        <v>1.7607827476932722E-4</v>
      </c>
      <c r="EY222" s="528">
        <f t="shared" si="729"/>
        <v>0.3540269918579893</v>
      </c>
      <c r="EZ222" s="528"/>
      <c r="FA222" s="625">
        <f t="shared" si="730"/>
        <v>0.18319148936170215</v>
      </c>
      <c r="FB222" s="460">
        <f t="shared" si="731"/>
        <v>589.24641134631258</v>
      </c>
      <c r="FC222" s="173">
        <f t="shared" si="732"/>
        <v>1.8418583543553553</v>
      </c>
      <c r="FD222" s="5">
        <f t="shared" si="733"/>
        <v>4.6500000000000004</v>
      </c>
      <c r="FE222" s="173">
        <f t="shared" si="734"/>
        <v>0.71628180194047808</v>
      </c>
      <c r="FF222" s="5">
        <f t="shared" si="735"/>
        <v>71.628180194047815</v>
      </c>
      <c r="FG222">
        <f t="shared" si="736"/>
        <v>6</v>
      </c>
      <c r="FI222" s="562">
        <f t="shared" si="686"/>
        <v>-50</v>
      </c>
    </row>
    <row r="223" spans="1:169">
      <c r="E223" s="170">
        <v>7</v>
      </c>
      <c r="F223" s="217">
        <f t="shared" si="687"/>
        <v>0.17500000000000002</v>
      </c>
      <c r="G223" s="217">
        <f t="shared" si="615"/>
        <v>1.7500000000000002E-2</v>
      </c>
      <c r="H223" s="217">
        <f t="shared" si="616"/>
        <v>4.9000000000000004</v>
      </c>
      <c r="I223" s="217">
        <f t="shared" si="617"/>
        <v>0.52500000000000002</v>
      </c>
      <c r="J223" s="541">
        <f t="shared" si="618"/>
        <v>39.943188266679392</v>
      </c>
      <c r="K223" s="443">
        <f t="shared" si="619"/>
        <v>28.723047023921822</v>
      </c>
      <c r="L223" s="172">
        <f t="shared" si="620"/>
        <v>68.666235290601207</v>
      </c>
      <c r="M223" s="443"/>
      <c r="N223" s="217">
        <f t="shared" si="621"/>
        <v>0.41829942914976337</v>
      </c>
      <c r="O223" s="172">
        <f t="shared" si="622"/>
        <v>125.76074188453187</v>
      </c>
      <c r="P223" s="172">
        <f t="shared" si="623"/>
        <v>14.918047187833498</v>
      </c>
      <c r="Q223" s="217">
        <f t="shared" si="624"/>
        <v>4.4914550673047096</v>
      </c>
      <c r="R223" s="217">
        <f t="shared" si="625"/>
        <v>4.1920247294843955</v>
      </c>
      <c r="S223" s="217">
        <f t="shared" si="626"/>
        <v>28</v>
      </c>
      <c r="T223" s="217">
        <f t="shared" si="627"/>
        <v>0.64938124125929164</v>
      </c>
      <c r="U223" s="217">
        <f t="shared" si="628"/>
        <v>7.6410821628495926E-2</v>
      </c>
      <c r="V223" s="217">
        <f t="shared" si="629"/>
        <v>0.10625933353716803</v>
      </c>
      <c r="W223" s="197">
        <f t="shared" si="630"/>
        <v>350</v>
      </c>
      <c r="X223" s="443">
        <f t="shared" si="688"/>
        <v>350</v>
      </c>
      <c r="Z223" s="217">
        <f t="shared" si="631"/>
        <v>10.1569682980994</v>
      </c>
      <c r="AA223" s="173">
        <f t="shared" si="632"/>
        <v>1.662001631000676</v>
      </c>
      <c r="AB223" s="173">
        <f t="shared" si="633"/>
        <v>2.6682709548248544</v>
      </c>
      <c r="AC223" s="173"/>
      <c r="AD223" s="173">
        <f t="shared" si="634"/>
        <v>0.54543888235878235</v>
      </c>
      <c r="AE223" s="545">
        <f t="shared" si="635"/>
        <v>192.50552792628457</v>
      </c>
      <c r="AF223" s="528">
        <f t="shared" si="636"/>
        <v>0.31817268137595633</v>
      </c>
      <c r="AH223" s="173">
        <f t="shared" si="637"/>
        <v>2.5682181918308777</v>
      </c>
      <c r="AI223" s="173">
        <f t="shared" si="638"/>
        <v>3.3333333333333335</v>
      </c>
      <c r="AJ223" s="173">
        <f t="shared" si="639"/>
        <v>1.1100031588150197</v>
      </c>
      <c r="AL223" s="545">
        <f t="shared" si="640"/>
        <v>175.00000000000003</v>
      </c>
      <c r="AM223" s="460">
        <f t="shared" si="641"/>
        <v>192.50552792628457</v>
      </c>
      <c r="AO223">
        <f t="shared" si="642"/>
        <v>175.00000000000003</v>
      </c>
      <c r="AP223">
        <f t="shared" si="643"/>
        <v>192.50552792628457</v>
      </c>
      <c r="AR223" s="5">
        <f t="shared" si="614"/>
        <v>5.1946560224645921</v>
      </c>
      <c r="AS223" s="5">
        <f t="shared" si="602"/>
        <v>0.39222373942882771</v>
      </c>
      <c r="AT223" s="5">
        <f t="shared" si="603"/>
        <v>4.8024322830357642</v>
      </c>
      <c r="AU223" s="173">
        <f t="shared" si="604"/>
        <v>7.5505238023967969E-2</v>
      </c>
      <c r="BA223" s="173">
        <f t="shared" si="689"/>
        <v>0.52881852248044403</v>
      </c>
      <c r="BB223" s="173">
        <f t="shared" si="690"/>
        <v>1.8504201344519855</v>
      </c>
      <c r="BC223" s="173">
        <f t="shared" si="691"/>
        <v>0.18655875126032315</v>
      </c>
      <c r="BD223" s="173"/>
      <c r="BE223" s="528">
        <f t="shared" si="692"/>
        <v>3.3557883566207986E-3</v>
      </c>
      <c r="BF223" s="528">
        <f t="shared" si="644"/>
        <v>0.80413331741576588</v>
      </c>
      <c r="BG223" s="528">
        <f t="shared" si="693"/>
        <v>2.2138135711522729E-2</v>
      </c>
      <c r="BH223" s="528">
        <f t="shared" si="694"/>
        <v>0.44702922300002007</v>
      </c>
      <c r="BI223">
        <f t="shared" si="695"/>
        <v>1.7974434720005726E-2</v>
      </c>
      <c r="BJ223" s="460">
        <f t="shared" si="696"/>
        <v>40.112570431528454</v>
      </c>
      <c r="BK223">
        <f t="shared" si="645"/>
        <v>1.2564261845945193</v>
      </c>
      <c r="BL223" s="460">
        <f t="shared" si="697"/>
        <v>1294.6308992039351</v>
      </c>
      <c r="BM223" s="173">
        <f t="shared" si="646"/>
        <v>0.11735499999999999</v>
      </c>
      <c r="BN223" s="173">
        <f t="shared" si="647"/>
        <v>8.3825000000000011E-3</v>
      </c>
      <c r="BQ223" s="460">
        <f t="shared" si="698"/>
        <v>125.7375</v>
      </c>
      <c r="BR223" s="528">
        <f t="shared" si="699"/>
        <v>3.9150864160575989E-3</v>
      </c>
      <c r="BS223" s="528">
        <f t="shared" si="700"/>
        <v>4.7936765435794254E-2</v>
      </c>
      <c r="BT223" s="528">
        <f t="shared" si="701"/>
        <v>1.7402083835905562E-4</v>
      </c>
      <c r="BU223" s="528">
        <f t="shared" si="702"/>
        <v>0.52152469797850964</v>
      </c>
      <c r="BV223" s="528"/>
      <c r="BW223" s="625">
        <f t="shared" si="703"/>
        <v>0.2138950310292051</v>
      </c>
      <c r="BX223" s="460">
        <f t="shared" si="704"/>
        <v>787.44560169792567</v>
      </c>
      <c r="BY223" s="173">
        <f t="shared" si="705"/>
        <v>2.2078140009018603</v>
      </c>
      <c r="BZ223" s="5">
        <f t="shared" si="706"/>
        <v>5.4250000000000007</v>
      </c>
      <c r="CA223" s="173">
        <f t="shared" si="707"/>
        <v>0.71074704550104395</v>
      </c>
      <c r="CB223" s="5">
        <f t="shared" si="708"/>
        <v>71.0747045501044</v>
      </c>
      <c r="CC223">
        <f t="shared" si="709"/>
        <v>7.0000000000000009</v>
      </c>
      <c r="CE223" s="562">
        <f t="shared" si="648"/>
        <v>-50</v>
      </c>
      <c r="CG223" s="173">
        <f t="shared" si="649"/>
        <v>0.10630439783941208</v>
      </c>
      <c r="CH223" s="173">
        <f t="shared" si="650"/>
        <v>3.4513385526311453E-2</v>
      </c>
      <c r="CI223" s="170">
        <v>7</v>
      </c>
      <c r="CJ223" s="217">
        <f t="shared" si="710"/>
        <v>0.17500000000000002</v>
      </c>
      <c r="CK223" s="217">
        <f t="shared" si="651"/>
        <v>1.7500000000000002E-2</v>
      </c>
      <c r="CL223" s="217">
        <f t="shared" si="652"/>
        <v>4.9000000000000004</v>
      </c>
      <c r="CM223" s="217">
        <f t="shared" si="653"/>
        <v>0.52500000000000002</v>
      </c>
      <c r="CN223" s="541">
        <f t="shared" si="654"/>
        <v>40</v>
      </c>
      <c r="CO223" s="443">
        <f t="shared" si="655"/>
        <v>28.7</v>
      </c>
      <c r="CP223" s="443">
        <f t="shared" si="656"/>
        <v>68.7</v>
      </c>
      <c r="CQ223" s="443"/>
      <c r="CR223" s="217">
        <f t="shared" si="657"/>
        <v>0.41520467836257302</v>
      </c>
      <c r="CS223" s="172">
        <f t="shared" si="658"/>
        <v>125.00786015217253</v>
      </c>
      <c r="CT223" s="172">
        <f t="shared" si="659"/>
        <v>14.828738512949037</v>
      </c>
      <c r="CU223" s="217">
        <f t="shared" si="660"/>
        <v>4.4645664340061613</v>
      </c>
      <c r="CV223" s="217">
        <f t="shared" si="661"/>
        <v>4.1669286717390843</v>
      </c>
      <c r="CW223" s="217">
        <f t="shared" si="662"/>
        <v>28</v>
      </c>
      <c r="CX223" s="217">
        <f t="shared" si="663"/>
        <v>0.65329225352112696</v>
      </c>
      <c r="CY223" s="217">
        <f t="shared" si="664"/>
        <v>7.6761839788732425E-2</v>
      </c>
      <c r="CZ223" s="217">
        <f t="shared" si="665"/>
        <v>0.10698514256269326</v>
      </c>
      <c r="DA223" s="197">
        <f t="shared" si="666"/>
        <v>350</v>
      </c>
      <c r="DB223" s="443">
        <f t="shared" si="667"/>
        <v>350</v>
      </c>
      <c r="DD223" s="217">
        <f t="shared" si="668"/>
        <v>10.158258230357086</v>
      </c>
      <c r="DE223" s="173">
        <f t="shared" si="669"/>
        <v>1.6635475150758992</v>
      </c>
      <c r="DF223" s="173">
        <f t="shared" si="670"/>
        <v>2.6710919890125213</v>
      </c>
      <c r="DG223" s="173"/>
      <c r="DH223" s="173">
        <f t="shared" si="671"/>
        <v>0.54587688734030204</v>
      </c>
      <c r="DI223" s="545">
        <f t="shared" si="672"/>
        <v>192.35106382978725</v>
      </c>
      <c r="DJ223" s="528">
        <f t="shared" si="673"/>
        <v>0.31842818428184283</v>
      </c>
      <c r="DL223" s="173">
        <f t="shared" si="674"/>
        <v>2.5682181918308777</v>
      </c>
      <c r="DM223" s="173">
        <f t="shared" si="675"/>
        <v>3.3333333333333335</v>
      </c>
      <c r="DN223" s="173">
        <f t="shared" si="676"/>
        <v>1.1099148936170213</v>
      </c>
      <c r="DP223" s="545">
        <f t="shared" si="677"/>
        <v>175.00000000000003</v>
      </c>
      <c r="DQ223" s="460">
        <f t="shared" si="678"/>
        <v>192.35106382978725</v>
      </c>
      <c r="DS223">
        <f t="shared" si="679"/>
        <v>175.00000000000003</v>
      </c>
      <c r="DT223">
        <f t="shared" si="680"/>
        <v>192.35106382978725</v>
      </c>
      <c r="DV223" s="5">
        <f t="shared" si="681"/>
        <v>5.1988274984790657</v>
      </c>
      <c r="DW223" s="5">
        <f t="shared" si="682"/>
        <v>0.39166666666666672</v>
      </c>
      <c r="DX223" s="5">
        <f t="shared" si="683"/>
        <v>4.8071608318123991</v>
      </c>
      <c r="DY223" s="173">
        <f t="shared" si="684"/>
        <v>7.5337500000000016E-2</v>
      </c>
      <c r="EA223" s="5">
        <f t="shared" si="711"/>
        <v>0.24479166666666671</v>
      </c>
      <c r="EB223" s="5">
        <f t="shared" si="712"/>
        <v>2.2847222222222227E-2</v>
      </c>
      <c r="EC223" s="5">
        <f t="shared" si="713"/>
        <v>0.42062657278358495</v>
      </c>
      <c r="ED223" s="5"/>
      <c r="EE223" s="173">
        <f t="shared" si="714"/>
        <v>0.52823079972468268</v>
      </c>
      <c r="EF223" s="173">
        <f t="shared" si="715"/>
        <v>1.8505879946454655</v>
      </c>
      <c r="EG223" s="173">
        <f t="shared" si="716"/>
        <v>0.18657567486999366</v>
      </c>
      <c r="EH223" s="173"/>
      <c r="EI223" s="528">
        <f t="shared" si="717"/>
        <v>3.3483333333333338E-3</v>
      </c>
      <c r="EJ223" s="528">
        <f t="shared" si="718"/>
        <v>0.83691947872340444</v>
      </c>
      <c r="EK223" s="528">
        <f t="shared" si="719"/>
        <v>2.2120372340425534E-2</v>
      </c>
      <c r="EL223" s="528">
        <f t="shared" si="720"/>
        <v>0.44710991578005327</v>
      </c>
      <c r="EM223">
        <f t="shared" si="721"/>
        <v>1.7999999999999999E-2</v>
      </c>
      <c r="EN223" s="460">
        <f t="shared" si="722"/>
        <v>40.120372340425533</v>
      </c>
      <c r="EP223" s="460">
        <f t="shared" si="723"/>
        <v>1327.4981001772167</v>
      </c>
      <c r="EQ223" s="173">
        <f t="shared" si="724"/>
        <v>0.1225</v>
      </c>
      <c r="ER223" s="173">
        <f t="shared" si="685"/>
        <v>8.3825000000000011E-3</v>
      </c>
      <c r="ES223" s="528"/>
      <c r="EU223" s="460">
        <f t="shared" si="725"/>
        <v>130.88250000000002</v>
      </c>
      <c r="EV223" s="528">
        <f t="shared" si="726"/>
        <v>3.9063888888888898E-3</v>
      </c>
      <c r="EW223" s="528">
        <f t="shared" si="727"/>
        <v>4.7945462962962954E-2</v>
      </c>
      <c r="EX223" s="528">
        <f t="shared" si="728"/>
        <v>1.7405241226596793E-4</v>
      </c>
      <c r="EY223" s="528">
        <f t="shared" si="729"/>
        <v>0.52047916476379752</v>
      </c>
      <c r="EZ223" s="528"/>
      <c r="FA223" s="625">
        <f t="shared" si="730"/>
        <v>0.21372340425531919</v>
      </c>
      <c r="FB223" s="460">
        <f t="shared" si="731"/>
        <v>786.22847328323451</v>
      </c>
      <c r="FC223" s="173">
        <f t="shared" si="732"/>
        <v>2.2446090734604511</v>
      </c>
      <c r="FD223" s="5">
        <f t="shared" si="733"/>
        <v>5.4250000000000007</v>
      </c>
      <c r="FE223" s="173">
        <f t="shared" si="734"/>
        <v>0.70733722514911634</v>
      </c>
      <c r="FF223" s="5">
        <f t="shared" si="735"/>
        <v>70.733722514911634</v>
      </c>
      <c r="FG223">
        <f t="shared" si="736"/>
        <v>7.0000000000000009</v>
      </c>
      <c r="FI223" s="562">
        <f t="shared" si="686"/>
        <v>-50</v>
      </c>
    </row>
    <row r="224" spans="1:169">
      <c r="E224" s="170">
        <v>8</v>
      </c>
      <c r="F224" s="217">
        <f t="shared" si="687"/>
        <v>0.2</v>
      </c>
      <c r="G224" s="217">
        <f t="shared" si="615"/>
        <v>0.02</v>
      </c>
      <c r="H224" s="217">
        <f t="shared" si="616"/>
        <v>5.6000000000000005</v>
      </c>
      <c r="I224" s="217">
        <f t="shared" si="617"/>
        <v>0.6</v>
      </c>
      <c r="J224" s="541">
        <f t="shared" si="618"/>
        <v>39.943188266679392</v>
      </c>
      <c r="K224" s="443">
        <f t="shared" si="619"/>
        <v>28.723047023921822</v>
      </c>
      <c r="L224" s="172">
        <f t="shared" si="620"/>
        <v>68.666235290601207</v>
      </c>
      <c r="M224" s="443"/>
      <c r="N224" s="217">
        <f t="shared" si="621"/>
        <v>0.41829942914976337</v>
      </c>
      <c r="O224" s="172">
        <f t="shared" si="622"/>
        <v>125.76074188453187</v>
      </c>
      <c r="P224" s="172">
        <f t="shared" si="623"/>
        <v>14.918047187833498</v>
      </c>
      <c r="Q224" s="217">
        <f t="shared" si="624"/>
        <v>4.4914550673047096</v>
      </c>
      <c r="R224" s="217">
        <f t="shared" si="625"/>
        <v>4.1920247294843955</v>
      </c>
      <c r="S224" s="217">
        <f t="shared" si="626"/>
        <v>28</v>
      </c>
      <c r="T224" s="217">
        <f t="shared" si="627"/>
        <v>0.74214999001061888</v>
      </c>
      <c r="U224" s="217">
        <f t="shared" si="628"/>
        <v>8.7326653289709621E-2</v>
      </c>
      <c r="V224" s="217">
        <f t="shared" si="629"/>
        <v>0.12143923832819202</v>
      </c>
      <c r="W224" s="197">
        <f t="shared" si="630"/>
        <v>350</v>
      </c>
      <c r="X224" s="443">
        <f t="shared" si="688"/>
        <v>350</v>
      </c>
      <c r="Z224" s="217">
        <f t="shared" si="631"/>
        <v>10.1569682980994</v>
      </c>
      <c r="AA224" s="173">
        <f t="shared" si="632"/>
        <v>1.662001631000676</v>
      </c>
      <c r="AB224" s="173">
        <f t="shared" si="633"/>
        <v>2.6682709548248544</v>
      </c>
      <c r="AC224" s="173"/>
      <c r="AD224" s="173">
        <f t="shared" si="634"/>
        <v>0.54543888235878235</v>
      </c>
      <c r="AE224" s="545">
        <f t="shared" si="635"/>
        <v>220.00631763003949</v>
      </c>
      <c r="AF224" s="528">
        <f t="shared" si="636"/>
        <v>0.31817268137595633</v>
      </c>
      <c r="AH224" s="173">
        <f t="shared" si="637"/>
        <v>2.7455407338032054</v>
      </c>
      <c r="AI224" s="173">
        <f t="shared" si="638"/>
        <v>3.3333333333333335</v>
      </c>
      <c r="AJ224" s="173">
        <f t="shared" si="639"/>
        <v>1.125717895788594</v>
      </c>
      <c r="AL224" s="545">
        <f t="shared" si="640"/>
        <v>200</v>
      </c>
      <c r="AM224" s="460">
        <f t="shared" si="641"/>
        <v>220.00631763003949</v>
      </c>
      <c r="AO224">
        <f t="shared" si="642"/>
        <v>200</v>
      </c>
      <c r="AP224">
        <f t="shared" si="643"/>
        <v>220.00631763003949</v>
      </c>
      <c r="AR224" s="5">
        <f t="shared" si="614"/>
        <v>4.545324019656519</v>
      </c>
      <c r="AS224" s="5">
        <f t="shared" si="602"/>
        <v>0.39222373942882771</v>
      </c>
      <c r="AT224" s="5">
        <f t="shared" si="603"/>
        <v>4.1531002802276911</v>
      </c>
      <c r="AU224" s="173">
        <f t="shared" si="604"/>
        <v>8.629170059882052E-2</v>
      </c>
      <c r="BA224" s="173">
        <f t="shared" si="689"/>
        <v>0.56533078025766714</v>
      </c>
      <c r="BB224" s="173">
        <f t="shared" si="690"/>
        <v>1.8395936542065372</v>
      </c>
      <c r="BC224" s="173">
        <f t="shared" si="691"/>
        <v>0.1854672290716427</v>
      </c>
      <c r="BD224" s="173"/>
      <c r="BE224" s="528">
        <f t="shared" si="692"/>
        <v>3.8351866932809127E-3</v>
      </c>
      <c r="BF224" s="528">
        <f t="shared" si="644"/>
        <v>0.91900950561801797</v>
      </c>
      <c r="BG224" s="528">
        <f t="shared" si="693"/>
        <v>2.5300726527454541E-2</v>
      </c>
      <c r="BH224" s="528">
        <f t="shared" si="694"/>
        <v>0.51089054057145145</v>
      </c>
      <c r="BI224">
        <f t="shared" si="695"/>
        <v>1.7974434720005726E-2</v>
      </c>
      <c r="BJ224" s="460">
        <f t="shared" si="696"/>
        <v>43.275161247460268</v>
      </c>
      <c r="BK224">
        <f t="shared" si="645"/>
        <v>1.4360793467484483</v>
      </c>
      <c r="BL224" s="460">
        <f t="shared" si="697"/>
        <v>1477.0103941302104</v>
      </c>
      <c r="BM224" s="173">
        <f t="shared" si="646"/>
        <v>0.13411999999999999</v>
      </c>
      <c r="BN224" s="173">
        <f t="shared" si="647"/>
        <v>9.58E-3</v>
      </c>
      <c r="BQ224" s="460">
        <f t="shared" si="698"/>
        <v>143.69999999999999</v>
      </c>
      <c r="BR224" s="528">
        <f t="shared" si="699"/>
        <v>4.4743844754943978E-3</v>
      </c>
      <c r="BS224" s="528">
        <f t="shared" si="700"/>
        <v>4.7377467376357452E-2</v>
      </c>
      <c r="BT224" s="528">
        <f t="shared" si="701"/>
        <v>1.7199046529756595E-4</v>
      </c>
      <c r="BU224" s="528">
        <f t="shared" si="702"/>
        <v>0.72820682955618521</v>
      </c>
      <c r="BV224" s="528"/>
      <c r="BW224" s="625">
        <f t="shared" si="703"/>
        <v>0.24445146403337722</v>
      </c>
      <c r="BX224" s="460">
        <f t="shared" si="704"/>
        <v>1024.6821359067117</v>
      </c>
      <c r="BY224" s="173">
        <f t="shared" si="705"/>
        <v>2.6453925300369221</v>
      </c>
      <c r="BZ224" s="5">
        <f t="shared" si="706"/>
        <v>6.2</v>
      </c>
      <c r="CA224" s="173">
        <f t="shared" si="707"/>
        <v>0.70092988852063087</v>
      </c>
      <c r="CB224" s="5">
        <f t="shared" si="708"/>
        <v>70.092988852063087</v>
      </c>
      <c r="CC224">
        <f t="shared" si="709"/>
        <v>8</v>
      </c>
      <c r="CE224" s="562">
        <f t="shared" si="648"/>
        <v>-50</v>
      </c>
      <c r="CG224" s="173">
        <f t="shared" si="649"/>
        <v>0.12149074038789953</v>
      </c>
      <c r="CH224" s="173">
        <f t="shared" si="650"/>
        <v>3.9443869172927373E-2</v>
      </c>
      <c r="CI224" s="170">
        <v>8</v>
      </c>
      <c r="CJ224" s="217">
        <f t="shared" si="710"/>
        <v>0.2</v>
      </c>
      <c r="CK224" s="217">
        <f t="shared" si="651"/>
        <v>0.02</v>
      </c>
      <c r="CL224" s="217">
        <f t="shared" si="652"/>
        <v>5.6000000000000005</v>
      </c>
      <c r="CM224" s="217">
        <f t="shared" si="653"/>
        <v>0.6</v>
      </c>
      <c r="CN224" s="541">
        <f t="shared" si="654"/>
        <v>40</v>
      </c>
      <c r="CO224" s="443">
        <f t="shared" si="655"/>
        <v>28.7</v>
      </c>
      <c r="CP224" s="443">
        <f t="shared" si="656"/>
        <v>68.7</v>
      </c>
      <c r="CQ224" s="443"/>
      <c r="CR224" s="217">
        <f t="shared" si="657"/>
        <v>0.41520467836257302</v>
      </c>
      <c r="CS224" s="172">
        <f t="shared" si="658"/>
        <v>125.00786015217253</v>
      </c>
      <c r="CT224" s="172">
        <f t="shared" si="659"/>
        <v>14.828738512949037</v>
      </c>
      <c r="CU224" s="217">
        <f t="shared" si="660"/>
        <v>4.4645664340061613</v>
      </c>
      <c r="CV224" s="217">
        <f t="shared" si="661"/>
        <v>4.1669286717390843</v>
      </c>
      <c r="CW224" s="217">
        <f t="shared" si="662"/>
        <v>28</v>
      </c>
      <c r="CX224" s="217">
        <f t="shared" si="663"/>
        <v>0.7466197183098594</v>
      </c>
      <c r="CY224" s="217">
        <f t="shared" si="664"/>
        <v>8.7727816901408476E-2</v>
      </c>
      <c r="CZ224" s="217">
        <f t="shared" si="665"/>
        <v>0.12226873435736374</v>
      </c>
      <c r="DA224" s="197">
        <f t="shared" si="666"/>
        <v>350</v>
      </c>
      <c r="DB224" s="443">
        <f t="shared" si="667"/>
        <v>350</v>
      </c>
      <c r="DD224" s="217">
        <f t="shared" si="668"/>
        <v>10.158258230357086</v>
      </c>
      <c r="DE224" s="173">
        <f t="shared" si="669"/>
        <v>1.6635475150758992</v>
      </c>
      <c r="DF224" s="173">
        <f t="shared" si="670"/>
        <v>2.6710919890125213</v>
      </c>
      <c r="DG224" s="173"/>
      <c r="DH224" s="173">
        <f t="shared" si="671"/>
        <v>0.54587688734030204</v>
      </c>
      <c r="DI224" s="545">
        <f t="shared" si="672"/>
        <v>219.82978723404256</v>
      </c>
      <c r="DJ224" s="528">
        <f t="shared" si="673"/>
        <v>0.31842818428184283</v>
      </c>
      <c r="DL224" s="173">
        <f t="shared" si="674"/>
        <v>2.7455407338032054</v>
      </c>
      <c r="DM224" s="173">
        <f t="shared" si="675"/>
        <v>3.3333333333333335</v>
      </c>
      <c r="DN224" s="173">
        <f t="shared" si="676"/>
        <v>1.1256170212765957</v>
      </c>
      <c r="DP224" s="545">
        <f t="shared" si="677"/>
        <v>200</v>
      </c>
      <c r="DQ224" s="460">
        <f t="shared" si="678"/>
        <v>219.82978723404256</v>
      </c>
      <c r="DS224">
        <f t="shared" si="679"/>
        <v>200</v>
      </c>
      <c r="DT224">
        <f t="shared" si="680"/>
        <v>219.82978723404256</v>
      </c>
      <c r="DV224" s="5">
        <f t="shared" si="681"/>
        <v>4.5489740611691829</v>
      </c>
      <c r="DW224" s="5">
        <f t="shared" si="682"/>
        <v>0.39166666666666672</v>
      </c>
      <c r="DX224" s="5">
        <f t="shared" si="683"/>
        <v>4.1573073945025163</v>
      </c>
      <c r="DY224" s="173">
        <f t="shared" si="684"/>
        <v>8.610000000000001E-2</v>
      </c>
      <c r="EA224" s="5">
        <f t="shared" si="711"/>
        <v>0.27976190476190482</v>
      </c>
      <c r="EB224" s="5">
        <f t="shared" si="712"/>
        <v>2.6111111111111113E-2</v>
      </c>
      <c r="EC224" s="5">
        <f t="shared" si="713"/>
        <v>0.41573073945025163</v>
      </c>
      <c r="ED224" s="5"/>
      <c r="EE224" s="173">
        <f t="shared" si="714"/>
        <v>0.56470247820324726</v>
      </c>
      <c r="EF224" s="173">
        <f t="shared" si="715"/>
        <v>1.8397866220882286</v>
      </c>
      <c r="EG224" s="173">
        <f t="shared" si="716"/>
        <v>0.18548668403020666</v>
      </c>
      <c r="EH224" s="173"/>
      <c r="EI224" s="528">
        <f t="shared" si="717"/>
        <v>3.8266666666666675E-3</v>
      </c>
      <c r="EJ224" s="528">
        <f t="shared" si="718"/>
        <v>0.95647940425531941</v>
      </c>
      <c r="EK224" s="528">
        <f t="shared" si="719"/>
        <v>2.5280425531914896E-2</v>
      </c>
      <c r="EL224" s="528">
        <f t="shared" si="720"/>
        <v>0.51098276089148942</v>
      </c>
      <c r="EM224">
        <f t="shared" si="721"/>
        <v>1.7999999999999999E-2</v>
      </c>
      <c r="EN224" s="460">
        <f t="shared" si="722"/>
        <v>43.280425531914901</v>
      </c>
      <c r="EP224" s="460">
        <f t="shared" si="723"/>
        <v>1514.5692573453905</v>
      </c>
      <c r="EQ224" s="173">
        <f t="shared" si="724"/>
        <v>0.13999999999999999</v>
      </c>
      <c r="ER224" s="173">
        <f t="shared" si="685"/>
        <v>9.58E-3</v>
      </c>
      <c r="ES224" s="528"/>
      <c r="EU224" s="460">
        <f t="shared" si="725"/>
        <v>149.57999999999998</v>
      </c>
      <c r="EV224" s="528">
        <f t="shared" si="726"/>
        <v>4.4644444444444454E-3</v>
      </c>
      <c r="EW224" s="528">
        <f t="shared" si="727"/>
        <v>4.7387407407407406E-2</v>
      </c>
      <c r="EX224" s="528">
        <f t="shared" si="728"/>
        <v>1.7202654976260863E-4</v>
      </c>
      <c r="EY224" s="528">
        <f t="shared" si="729"/>
        <v>0.72674694773192594</v>
      </c>
      <c r="EZ224" s="528"/>
      <c r="FA224" s="625">
        <f t="shared" si="730"/>
        <v>0.2442553191489362</v>
      </c>
      <c r="FB224" s="460">
        <f t="shared" si="731"/>
        <v>1023.0261452824767</v>
      </c>
      <c r="FC224" s="173">
        <f t="shared" si="732"/>
        <v>2.6871754026278665</v>
      </c>
      <c r="FD224" s="5">
        <f t="shared" si="733"/>
        <v>6.2</v>
      </c>
      <c r="FE224" s="173">
        <f t="shared" si="734"/>
        <v>0.69763448104858039</v>
      </c>
      <c r="FF224" s="5">
        <f t="shared" si="735"/>
        <v>69.763448104858043</v>
      </c>
      <c r="FG224">
        <f t="shared" si="736"/>
        <v>8</v>
      </c>
      <c r="FI224" s="562">
        <f t="shared" si="686"/>
        <v>-50</v>
      </c>
    </row>
    <row r="225" spans="5:165">
      <c r="E225" s="170">
        <v>9</v>
      </c>
      <c r="F225" s="217">
        <f t="shared" si="687"/>
        <v>0.22499999999999998</v>
      </c>
      <c r="G225" s="217">
        <f t="shared" si="615"/>
        <v>2.2499999999999999E-2</v>
      </c>
      <c r="H225" s="217">
        <f t="shared" si="616"/>
        <v>6.2999999999999989</v>
      </c>
      <c r="I225" s="217">
        <f t="shared" si="617"/>
        <v>0.67499999999999993</v>
      </c>
      <c r="J225" s="541">
        <f t="shared" si="618"/>
        <v>39.943188266679392</v>
      </c>
      <c r="K225" s="443">
        <f t="shared" si="619"/>
        <v>28.723047023921822</v>
      </c>
      <c r="L225" s="172">
        <f t="shared" si="620"/>
        <v>68.666235290601207</v>
      </c>
      <c r="M225" s="443"/>
      <c r="N225" s="217">
        <f t="shared" si="621"/>
        <v>0.41829942914976337</v>
      </c>
      <c r="O225" s="172">
        <f t="shared" si="622"/>
        <v>125.76074188453187</v>
      </c>
      <c r="P225" s="172">
        <f t="shared" si="623"/>
        <v>14.918047187833498</v>
      </c>
      <c r="Q225" s="217">
        <f t="shared" si="624"/>
        <v>4.4914550673047096</v>
      </c>
      <c r="R225" s="217">
        <f t="shared" si="625"/>
        <v>4.1920247294843955</v>
      </c>
      <c r="S225" s="217">
        <f t="shared" si="626"/>
        <v>28</v>
      </c>
      <c r="T225" s="217">
        <f t="shared" si="627"/>
        <v>0.83491873876194611</v>
      </c>
      <c r="U225" s="217">
        <f t="shared" si="628"/>
        <v>9.8242484950923289E-2</v>
      </c>
      <c r="V225" s="217">
        <f t="shared" si="629"/>
        <v>0.136619143119216</v>
      </c>
      <c r="W225" s="197">
        <f t="shared" si="630"/>
        <v>350</v>
      </c>
      <c r="X225" s="443">
        <f t="shared" si="688"/>
        <v>350</v>
      </c>
      <c r="Z225" s="217">
        <f t="shared" si="631"/>
        <v>10.1569682980994</v>
      </c>
      <c r="AA225" s="173">
        <f t="shared" si="632"/>
        <v>1.662001631000676</v>
      </c>
      <c r="AB225" s="173">
        <f t="shared" si="633"/>
        <v>2.6682709548248544</v>
      </c>
      <c r="AC225" s="173"/>
      <c r="AD225" s="173">
        <f t="shared" si="634"/>
        <v>0.54543888235878235</v>
      </c>
      <c r="AE225" s="545">
        <f t="shared" si="635"/>
        <v>247.50710733379441</v>
      </c>
      <c r="AF225" s="528">
        <f t="shared" si="636"/>
        <v>0.31817268137595633</v>
      </c>
      <c r="AH225" s="173">
        <f t="shared" si="637"/>
        <v>2.9120857063442043</v>
      </c>
      <c r="AI225" s="173">
        <f t="shared" si="638"/>
        <v>3.3333333333333335</v>
      </c>
      <c r="AJ225" s="173">
        <f t="shared" si="639"/>
        <v>1.1414326327621682</v>
      </c>
      <c r="AL225" s="545">
        <f t="shared" si="640"/>
        <v>224.99999999999997</v>
      </c>
      <c r="AM225" s="460">
        <f t="shared" si="641"/>
        <v>247.50710733379441</v>
      </c>
      <c r="AO225">
        <f t="shared" si="642"/>
        <v>224.99999999999997</v>
      </c>
      <c r="AP225">
        <f t="shared" si="643"/>
        <v>247.50710733379441</v>
      </c>
      <c r="AR225" s="5">
        <f t="shared" si="614"/>
        <v>4.0402880174724611</v>
      </c>
      <c r="AS225" s="5">
        <f t="shared" si="602"/>
        <v>0.39222373942882771</v>
      </c>
      <c r="AT225" s="5">
        <f t="shared" si="603"/>
        <v>3.6480642780436332</v>
      </c>
      <c r="AU225" s="173">
        <f t="shared" si="604"/>
        <v>9.7078163173673085E-2</v>
      </c>
      <c r="BA225" s="173">
        <f t="shared" si="689"/>
        <v>0.59962384250051759</v>
      </c>
      <c r="BB225" s="173">
        <f t="shared" si="690"/>
        <v>1.8287030790176459</v>
      </c>
      <c r="BC225" s="173">
        <f t="shared" si="691"/>
        <v>0.18436924485177905</v>
      </c>
      <c r="BD225" s="173"/>
      <c r="BE225" s="528">
        <f t="shared" si="692"/>
        <v>4.3145850299410263E-3</v>
      </c>
      <c r="BF225" s="528">
        <f t="shared" si="644"/>
        <v>1.0338856938202703</v>
      </c>
      <c r="BG225" s="528">
        <f t="shared" si="693"/>
        <v>2.8463317343386359E-2</v>
      </c>
      <c r="BH225" s="528">
        <f t="shared" si="694"/>
        <v>0.57475185814288288</v>
      </c>
      <c r="BI225">
        <f t="shared" si="695"/>
        <v>1.7974434720005726E-2</v>
      </c>
      <c r="BJ225" s="460">
        <f t="shared" si="696"/>
        <v>46.437752063392082</v>
      </c>
      <c r="BK225">
        <f t="shared" si="645"/>
        <v>1.6157734777043204</v>
      </c>
      <c r="BL225" s="460">
        <f t="shared" si="697"/>
        <v>1659.3898890564865</v>
      </c>
      <c r="BM225" s="173">
        <f t="shared" si="646"/>
        <v>0.15088499999999996</v>
      </c>
      <c r="BN225" s="173">
        <f t="shared" si="647"/>
        <v>1.0777499999999999E-2</v>
      </c>
      <c r="BQ225" s="460">
        <f t="shared" si="698"/>
        <v>161.66249999999997</v>
      </c>
      <c r="BR225" s="528">
        <f t="shared" si="699"/>
        <v>5.0336825349311968E-3</v>
      </c>
      <c r="BS225" s="528">
        <f t="shared" si="700"/>
        <v>4.6818169316920663E-2</v>
      </c>
      <c r="BT225" s="528">
        <f t="shared" si="701"/>
        <v>1.6996009223607629E-4</v>
      </c>
      <c r="BU225" s="528">
        <f t="shared" si="702"/>
        <v>0.97754341336238026</v>
      </c>
      <c r="BV225" s="528"/>
      <c r="BW225" s="625">
        <f t="shared" si="703"/>
        <v>0.27500789703754941</v>
      </c>
      <c r="BX225" s="460">
        <f t="shared" si="704"/>
        <v>1304.5731223440175</v>
      </c>
      <c r="BY225" s="173">
        <f t="shared" si="705"/>
        <v>3.1256255114005045</v>
      </c>
      <c r="BZ225" s="5">
        <f t="shared" si="706"/>
        <v>6.9749999999999988</v>
      </c>
      <c r="CA225" s="173">
        <f t="shared" si="707"/>
        <v>0.69055129230633949</v>
      </c>
      <c r="CB225" s="5">
        <f t="shared" si="708"/>
        <v>69.055129230633952</v>
      </c>
      <c r="CC225">
        <f t="shared" si="709"/>
        <v>9</v>
      </c>
      <c r="CE225" s="562">
        <f t="shared" si="648"/>
        <v>-50</v>
      </c>
      <c r="CG225" s="173">
        <f t="shared" si="649"/>
        <v>0.13667708293638695</v>
      </c>
      <c r="CH225" s="173">
        <f t="shared" si="650"/>
        <v>4.4374352819543286E-2</v>
      </c>
      <c r="CI225" s="170">
        <v>9</v>
      </c>
      <c r="CJ225" s="217">
        <f t="shared" si="710"/>
        <v>0.22499999999999998</v>
      </c>
      <c r="CK225" s="217">
        <f t="shared" si="651"/>
        <v>2.2499999999999999E-2</v>
      </c>
      <c r="CL225" s="217">
        <f t="shared" si="652"/>
        <v>6.2999999999999989</v>
      </c>
      <c r="CM225" s="217">
        <f t="shared" si="653"/>
        <v>0.67499999999999993</v>
      </c>
      <c r="CN225" s="541">
        <f t="shared" si="654"/>
        <v>40</v>
      </c>
      <c r="CO225" s="443">
        <f t="shared" si="655"/>
        <v>28.7</v>
      </c>
      <c r="CP225" s="443">
        <f t="shared" si="656"/>
        <v>68.7</v>
      </c>
      <c r="CQ225" s="443"/>
      <c r="CR225" s="217">
        <f t="shared" si="657"/>
        <v>0.41520467836257302</v>
      </c>
      <c r="CS225" s="172">
        <f t="shared" si="658"/>
        <v>125.00786015217253</v>
      </c>
      <c r="CT225" s="172">
        <f t="shared" si="659"/>
        <v>14.828738512949037</v>
      </c>
      <c r="CU225" s="217">
        <f t="shared" si="660"/>
        <v>4.4645664340061613</v>
      </c>
      <c r="CV225" s="217">
        <f t="shared" si="661"/>
        <v>4.1669286717390843</v>
      </c>
      <c r="CW225" s="217">
        <f t="shared" si="662"/>
        <v>28</v>
      </c>
      <c r="CX225" s="217">
        <f t="shared" si="663"/>
        <v>0.83994718309859162</v>
      </c>
      <c r="CY225" s="217">
        <f t="shared" si="664"/>
        <v>9.8693794014084513E-2</v>
      </c>
      <c r="CZ225" s="217">
        <f t="shared" si="665"/>
        <v>0.13755232615203417</v>
      </c>
      <c r="DA225" s="197">
        <f t="shared" si="666"/>
        <v>350</v>
      </c>
      <c r="DB225" s="443">
        <f t="shared" si="667"/>
        <v>350</v>
      </c>
      <c r="DD225" s="217">
        <f t="shared" si="668"/>
        <v>10.158258230357086</v>
      </c>
      <c r="DE225" s="173">
        <f t="shared" si="669"/>
        <v>1.6635475150758992</v>
      </c>
      <c r="DF225" s="173">
        <f t="shared" si="670"/>
        <v>2.6710919890125213</v>
      </c>
      <c r="DG225" s="173"/>
      <c r="DH225" s="173">
        <f t="shared" si="671"/>
        <v>0.54587688734030204</v>
      </c>
      <c r="DI225" s="545">
        <f t="shared" si="672"/>
        <v>247.30851063829786</v>
      </c>
      <c r="DJ225" s="528">
        <f t="shared" si="673"/>
        <v>0.31842818428184283</v>
      </c>
      <c r="DL225" s="173">
        <f t="shared" si="674"/>
        <v>2.9120857063442043</v>
      </c>
      <c r="DM225" s="173">
        <f t="shared" si="675"/>
        <v>3.3333333333333335</v>
      </c>
      <c r="DN225" s="173">
        <f t="shared" si="676"/>
        <v>1.1413191489361703</v>
      </c>
      <c r="DP225" s="545">
        <f t="shared" si="677"/>
        <v>224.99999999999997</v>
      </c>
      <c r="DQ225" s="460">
        <f t="shared" si="678"/>
        <v>247.30851063829786</v>
      </c>
      <c r="DS225">
        <f t="shared" si="679"/>
        <v>224.99999999999997</v>
      </c>
      <c r="DT225">
        <f t="shared" si="680"/>
        <v>247.30851063829786</v>
      </c>
      <c r="DV225" s="5">
        <f t="shared" si="681"/>
        <v>4.0435324988170516</v>
      </c>
      <c r="DW225" s="5">
        <f t="shared" si="682"/>
        <v>0.39166666666666672</v>
      </c>
      <c r="DX225" s="5">
        <f t="shared" si="683"/>
        <v>3.651865832150385</v>
      </c>
      <c r="DY225" s="173">
        <f t="shared" si="684"/>
        <v>9.6862500000000018E-2</v>
      </c>
      <c r="EA225" s="5">
        <f t="shared" si="711"/>
        <v>0.3147321428571429</v>
      </c>
      <c r="EB225" s="5">
        <f t="shared" si="712"/>
        <v>2.9375000000000002E-2</v>
      </c>
      <c r="EC225" s="5">
        <f t="shared" si="713"/>
        <v>0.4108349061169182</v>
      </c>
      <c r="ED225" s="5"/>
      <c r="EE225" s="173">
        <f t="shared" si="714"/>
        <v>0.59895742753554704</v>
      </c>
      <c r="EF225" s="173">
        <f t="shared" si="715"/>
        <v>1.8289214591402507</v>
      </c>
      <c r="EG225" s="173">
        <f t="shared" si="716"/>
        <v>0.18439126186414004</v>
      </c>
      <c r="EH225" s="173"/>
      <c r="EI225" s="528">
        <f t="shared" si="717"/>
        <v>4.3050000000000007E-3</v>
      </c>
      <c r="EJ225" s="528">
        <f t="shared" si="718"/>
        <v>1.0760393297872342</v>
      </c>
      <c r="EK225" s="528">
        <f t="shared" si="719"/>
        <v>2.8440478723404255E-2</v>
      </c>
      <c r="EL225" s="528">
        <f t="shared" si="720"/>
        <v>0.57485560600292551</v>
      </c>
      <c r="EM225">
        <f t="shared" si="721"/>
        <v>1.7999999999999999E-2</v>
      </c>
      <c r="EN225" s="460">
        <f t="shared" si="722"/>
        <v>46.440478723404254</v>
      </c>
      <c r="EP225" s="460">
        <f t="shared" si="723"/>
        <v>1701.6404145135639</v>
      </c>
      <c r="EQ225" s="173">
        <f t="shared" si="724"/>
        <v>0.15749999999999997</v>
      </c>
      <c r="ER225" s="173">
        <f t="shared" si="685"/>
        <v>1.0777499999999999E-2</v>
      </c>
      <c r="ES225" s="528"/>
      <c r="EU225" s="460">
        <f t="shared" si="725"/>
        <v>168.27749999999997</v>
      </c>
      <c r="EV225" s="528">
        <f t="shared" si="726"/>
        <v>5.0225000000000009E-3</v>
      </c>
      <c r="EW225" s="528">
        <f t="shared" si="727"/>
        <v>4.6829351851851851E-2</v>
      </c>
      <c r="EX225" s="528">
        <f t="shared" si="728"/>
        <v>1.7000068725924931E-4</v>
      </c>
      <c r="EY225" s="528">
        <f t="shared" si="729"/>
        <v>0.97558367087759645</v>
      </c>
      <c r="EZ225" s="528"/>
      <c r="FA225" s="625">
        <f t="shared" si="730"/>
        <v>0.27478723404255323</v>
      </c>
      <c r="FB225" s="460">
        <f t="shared" si="731"/>
        <v>1302.3927574592608</v>
      </c>
      <c r="FC225" s="173">
        <f t="shared" si="732"/>
        <v>3.1723106719728245</v>
      </c>
      <c r="FD225" s="5">
        <f t="shared" si="733"/>
        <v>6.9749999999999988</v>
      </c>
      <c r="FE225" s="173">
        <f t="shared" si="734"/>
        <v>0.68737424382453949</v>
      </c>
      <c r="FF225" s="5">
        <f t="shared" si="735"/>
        <v>68.737424382453952</v>
      </c>
      <c r="FG225">
        <f t="shared" si="736"/>
        <v>9</v>
      </c>
      <c r="FI225" s="562">
        <f t="shared" si="686"/>
        <v>-50</v>
      </c>
    </row>
    <row r="226" spans="5:165">
      <c r="E226" s="170">
        <v>10</v>
      </c>
      <c r="F226" s="217">
        <f t="shared" si="687"/>
        <v>0.25</v>
      </c>
      <c r="G226" s="217">
        <f t="shared" si="615"/>
        <v>2.5000000000000001E-2</v>
      </c>
      <c r="H226" s="217">
        <f t="shared" si="616"/>
        <v>7</v>
      </c>
      <c r="I226" s="217">
        <f t="shared" si="617"/>
        <v>0.75</v>
      </c>
      <c r="J226" s="541">
        <f t="shared" si="618"/>
        <v>39.943188266679392</v>
      </c>
      <c r="K226" s="443">
        <f t="shared" si="619"/>
        <v>28.723047023921822</v>
      </c>
      <c r="L226" s="172">
        <f t="shared" si="620"/>
        <v>68.666235290601207</v>
      </c>
      <c r="M226" s="443"/>
      <c r="N226" s="217">
        <f t="shared" si="621"/>
        <v>0.41829942914976337</v>
      </c>
      <c r="O226" s="172">
        <f t="shared" si="622"/>
        <v>125.76074188453187</v>
      </c>
      <c r="P226" s="172">
        <f t="shared" si="623"/>
        <v>14.918047187833498</v>
      </c>
      <c r="Q226" s="217">
        <f t="shared" si="624"/>
        <v>4.4914550673047096</v>
      </c>
      <c r="R226" s="217">
        <f t="shared" si="625"/>
        <v>4.1920247294843955</v>
      </c>
      <c r="S226" s="217">
        <f t="shared" si="626"/>
        <v>28</v>
      </c>
      <c r="T226" s="217">
        <f t="shared" si="627"/>
        <v>0.92768748751327368</v>
      </c>
      <c r="U226" s="217">
        <f t="shared" si="628"/>
        <v>0.10915831661213703</v>
      </c>
      <c r="V226" s="217">
        <f t="shared" si="629"/>
        <v>0.15179904791024004</v>
      </c>
      <c r="W226" s="197">
        <f t="shared" si="630"/>
        <v>350</v>
      </c>
      <c r="X226" s="443">
        <f t="shared" si="688"/>
        <v>350</v>
      </c>
      <c r="Z226" s="217">
        <f t="shared" si="631"/>
        <v>10.1569682980994</v>
      </c>
      <c r="AA226" s="173">
        <f t="shared" si="632"/>
        <v>1.662001631000676</v>
      </c>
      <c r="AB226" s="173">
        <f t="shared" si="633"/>
        <v>2.6682709548248544</v>
      </c>
      <c r="AC226" s="173"/>
      <c r="AD226" s="173">
        <f t="shared" si="634"/>
        <v>0.54543888235878235</v>
      </c>
      <c r="AE226" s="545">
        <f t="shared" si="635"/>
        <v>275.00789703754936</v>
      </c>
      <c r="AF226" s="528">
        <f t="shared" si="636"/>
        <v>0.31817268137595633</v>
      </c>
      <c r="AH226" s="173">
        <f t="shared" si="637"/>
        <v>3.0696078578893111</v>
      </c>
      <c r="AI226" s="173">
        <f t="shared" si="638"/>
        <v>3.3333333333333335</v>
      </c>
      <c r="AJ226" s="173">
        <f t="shared" si="639"/>
        <v>1.1571473697357426</v>
      </c>
      <c r="AL226" s="545">
        <f t="shared" si="640"/>
        <v>250</v>
      </c>
      <c r="AM226" s="460">
        <f t="shared" si="641"/>
        <v>275.00789703754936</v>
      </c>
      <c r="AO226">
        <f t="shared" si="642"/>
        <v>250</v>
      </c>
      <c r="AP226">
        <f t="shared" si="643"/>
        <v>275.00789703754936</v>
      </c>
      <c r="AR226" s="5">
        <f t="shared" si="614"/>
        <v>3.6362592157252154</v>
      </c>
      <c r="AS226" s="5">
        <f t="shared" si="602"/>
        <v>0.39222373942882771</v>
      </c>
      <c r="AT226" s="5">
        <f t="shared" si="603"/>
        <v>3.2440354762963874</v>
      </c>
      <c r="AU226" s="173">
        <f t="shared" si="604"/>
        <v>0.10786462574852564</v>
      </c>
      <c r="BA226" s="173">
        <f t="shared" si="689"/>
        <v>0.63205902721456975</v>
      </c>
      <c r="BB226" s="173">
        <f t="shared" si="690"/>
        <v>1.8177472568595108</v>
      </c>
      <c r="BC226" s="173">
        <f t="shared" si="691"/>
        <v>0.1832646824538687</v>
      </c>
      <c r="BD226" s="173"/>
      <c r="BE226" s="528">
        <f t="shared" si="692"/>
        <v>4.7939833666011391E-3</v>
      </c>
      <c r="BF226" s="528">
        <f t="shared" si="644"/>
        <v>1.1487618820225225</v>
      </c>
      <c r="BG226" s="528">
        <f t="shared" si="693"/>
        <v>3.1625908159318178E-2</v>
      </c>
      <c r="BH226" s="528">
        <f t="shared" si="694"/>
        <v>0.63861317571431431</v>
      </c>
      <c r="BI226">
        <f t="shared" si="695"/>
        <v>1.7974434720005726E-2</v>
      </c>
      <c r="BJ226" s="460">
        <f t="shared" si="696"/>
        <v>49.600342879323904</v>
      </c>
      <c r="BK226">
        <f t="shared" si="645"/>
        <v>1.7955085914777591</v>
      </c>
      <c r="BL226" s="460">
        <f t="shared" si="697"/>
        <v>1841.7693839827618</v>
      </c>
      <c r="BM226" s="173">
        <f t="shared" si="646"/>
        <v>0.16764999999999999</v>
      </c>
      <c r="BN226" s="173">
        <f t="shared" si="647"/>
        <v>1.1975E-2</v>
      </c>
      <c r="BQ226" s="460">
        <f t="shared" si="698"/>
        <v>179.62499999999997</v>
      </c>
      <c r="BR226" s="528">
        <f t="shared" si="699"/>
        <v>5.5929805943679949E-3</v>
      </c>
      <c r="BS226" s="528">
        <f t="shared" si="700"/>
        <v>4.6258871257483868E-2</v>
      </c>
      <c r="BT226" s="528">
        <f t="shared" si="701"/>
        <v>1.6792971917458665E-4</v>
      </c>
      <c r="BU226" s="528">
        <f t="shared" si="702"/>
        <v>1.2721249785681503</v>
      </c>
      <c r="BV226" s="528"/>
      <c r="BW226" s="625">
        <f t="shared" si="703"/>
        <v>0.30556433004172151</v>
      </c>
      <c r="BX226" s="460">
        <f t="shared" si="704"/>
        <v>1629.7090901808981</v>
      </c>
      <c r="BY226" s="173">
        <f t="shared" si="705"/>
        <v>3.6511034741636603</v>
      </c>
      <c r="BZ226" s="5">
        <f t="shared" si="706"/>
        <v>7.75</v>
      </c>
      <c r="CA226" s="173">
        <f t="shared" si="707"/>
        <v>0.67975876348833064</v>
      </c>
      <c r="CB226" s="5">
        <f t="shared" si="708"/>
        <v>67.975876348833069</v>
      </c>
      <c r="CC226">
        <f t="shared" si="709"/>
        <v>10</v>
      </c>
      <c r="CE226" s="562">
        <f t="shared" si="648"/>
        <v>-50</v>
      </c>
      <c r="CG226" s="173">
        <f t="shared" si="649"/>
        <v>0.15186342548487439</v>
      </c>
      <c r="CH226" s="173">
        <f t="shared" si="650"/>
        <v>4.9304836466159213E-2</v>
      </c>
      <c r="CI226" s="170">
        <v>10</v>
      </c>
      <c r="CJ226" s="217">
        <f t="shared" si="710"/>
        <v>0.25</v>
      </c>
      <c r="CK226" s="217">
        <f t="shared" si="651"/>
        <v>2.5000000000000001E-2</v>
      </c>
      <c r="CL226" s="217">
        <f t="shared" si="652"/>
        <v>7</v>
      </c>
      <c r="CM226" s="217">
        <f t="shared" si="653"/>
        <v>0.75</v>
      </c>
      <c r="CN226" s="541">
        <f t="shared" si="654"/>
        <v>40</v>
      </c>
      <c r="CO226" s="443">
        <f t="shared" si="655"/>
        <v>28.7</v>
      </c>
      <c r="CP226" s="443">
        <f t="shared" si="656"/>
        <v>68.7</v>
      </c>
      <c r="CQ226" s="443"/>
      <c r="CR226" s="217">
        <f t="shared" si="657"/>
        <v>0.41520467836257302</v>
      </c>
      <c r="CS226" s="172">
        <f t="shared" si="658"/>
        <v>125.00786015217253</v>
      </c>
      <c r="CT226" s="172">
        <f t="shared" si="659"/>
        <v>14.828738512949037</v>
      </c>
      <c r="CU226" s="217">
        <f t="shared" si="660"/>
        <v>4.4645664340061613</v>
      </c>
      <c r="CV226" s="217">
        <f t="shared" si="661"/>
        <v>4.1669286717390843</v>
      </c>
      <c r="CW226" s="217">
        <f t="shared" si="662"/>
        <v>28</v>
      </c>
      <c r="CX226" s="217">
        <f t="shared" si="663"/>
        <v>0.93327464788732417</v>
      </c>
      <c r="CY226" s="217">
        <f t="shared" si="664"/>
        <v>0.10965977112676059</v>
      </c>
      <c r="CZ226" s="217">
        <f t="shared" si="665"/>
        <v>0.15283591794670465</v>
      </c>
      <c r="DA226" s="197">
        <f t="shared" si="666"/>
        <v>350</v>
      </c>
      <c r="DB226" s="443">
        <f t="shared" si="667"/>
        <v>350</v>
      </c>
      <c r="DD226" s="217">
        <f t="shared" si="668"/>
        <v>10.158258230357086</v>
      </c>
      <c r="DE226" s="173">
        <f t="shared" si="669"/>
        <v>1.6635475150758992</v>
      </c>
      <c r="DF226" s="173">
        <f t="shared" si="670"/>
        <v>2.6710919890125213</v>
      </c>
      <c r="DG226" s="173"/>
      <c r="DH226" s="173">
        <f t="shared" si="671"/>
        <v>0.54587688734030204</v>
      </c>
      <c r="DI226" s="545">
        <f t="shared" si="672"/>
        <v>274.78723404255317</v>
      </c>
      <c r="DJ226" s="528">
        <f t="shared" si="673"/>
        <v>0.31842818428184283</v>
      </c>
      <c r="DL226" s="173">
        <f t="shared" si="674"/>
        <v>3.0696078578893111</v>
      </c>
      <c r="DM226" s="173">
        <f t="shared" si="675"/>
        <v>3.3333333333333335</v>
      </c>
      <c r="DN226" s="173">
        <f t="shared" si="676"/>
        <v>1.1570212765957446</v>
      </c>
      <c r="DP226" s="545">
        <f t="shared" si="677"/>
        <v>250</v>
      </c>
      <c r="DQ226" s="460">
        <f t="shared" si="678"/>
        <v>274.78723404255317</v>
      </c>
      <c r="DS226">
        <f t="shared" si="679"/>
        <v>250</v>
      </c>
      <c r="DT226">
        <f t="shared" si="680"/>
        <v>274.78723404255317</v>
      </c>
      <c r="DV226" s="5">
        <f t="shared" si="681"/>
        <v>3.6391792489353469</v>
      </c>
      <c r="DW226" s="5">
        <f t="shared" si="682"/>
        <v>0.39166666666666672</v>
      </c>
      <c r="DX226" s="5">
        <f t="shared" si="683"/>
        <v>3.2475125822686803</v>
      </c>
      <c r="DY226" s="173">
        <f t="shared" si="684"/>
        <v>0.107625</v>
      </c>
      <c r="EA226" s="5">
        <f t="shared" si="711"/>
        <v>0.34970238095238099</v>
      </c>
      <c r="EB226" s="5">
        <f t="shared" si="712"/>
        <v>3.2638888888888898E-2</v>
      </c>
      <c r="EC226" s="5">
        <f t="shared" si="713"/>
        <v>0.40593907278358499</v>
      </c>
      <c r="ED226" s="5"/>
      <c r="EE226" s="173">
        <f t="shared" si="714"/>
        <v>0.63135656416252706</v>
      </c>
      <c r="EF226" s="173">
        <f t="shared" si="715"/>
        <v>1.8179913620786523</v>
      </c>
      <c r="EG226" s="173">
        <f t="shared" si="716"/>
        <v>0.18328929306202807</v>
      </c>
      <c r="EH226" s="173"/>
      <c r="EI226" s="528">
        <f t="shared" si="717"/>
        <v>4.7833333333333339E-3</v>
      </c>
      <c r="EJ226" s="528">
        <f t="shared" si="718"/>
        <v>1.195599255319149</v>
      </c>
      <c r="EK226" s="528">
        <f t="shared" si="719"/>
        <v>3.1600531914893613E-2</v>
      </c>
      <c r="EL226" s="528">
        <f t="shared" si="720"/>
        <v>0.63872845111436161</v>
      </c>
      <c r="EM226">
        <f t="shared" si="721"/>
        <v>1.7999999999999999E-2</v>
      </c>
      <c r="EN226" s="460">
        <f t="shared" si="722"/>
        <v>49.600531914893608</v>
      </c>
      <c r="EP226" s="460">
        <f t="shared" si="723"/>
        <v>1888.7115716817375</v>
      </c>
      <c r="EQ226" s="173">
        <f t="shared" si="724"/>
        <v>0.17499999999999999</v>
      </c>
      <c r="ER226" s="173">
        <f t="shared" si="685"/>
        <v>1.1975E-2</v>
      </c>
      <c r="ES226" s="528"/>
      <c r="EU226" s="460">
        <f t="shared" si="725"/>
        <v>186.97499999999999</v>
      </c>
      <c r="EV226" s="528">
        <f t="shared" si="726"/>
        <v>5.5805555555555565E-3</v>
      </c>
      <c r="EW226" s="528">
        <f t="shared" si="727"/>
        <v>4.627129629629631E-2</v>
      </c>
      <c r="EX226" s="528">
        <f t="shared" si="728"/>
        <v>1.6797482475589006E-4</v>
      </c>
      <c r="EY226" s="528">
        <f t="shared" si="729"/>
        <v>1.2695746699758375</v>
      </c>
      <c r="EZ226" s="528"/>
      <c r="FA226" s="625">
        <f t="shared" si="730"/>
        <v>0.30531914893617024</v>
      </c>
      <c r="FB226" s="460">
        <f t="shared" si="731"/>
        <v>1626.9136455886153</v>
      </c>
      <c r="FC226" s="173">
        <f t="shared" si="732"/>
        <v>3.7026002172703532</v>
      </c>
      <c r="FD226" s="5">
        <f t="shared" si="733"/>
        <v>7.75</v>
      </c>
      <c r="FE226" s="173">
        <f t="shared" si="734"/>
        <v>0.67670222071605313</v>
      </c>
      <c r="FF226" s="5">
        <f t="shared" si="735"/>
        <v>67.670222071605309</v>
      </c>
      <c r="FG226">
        <f t="shared" si="736"/>
        <v>10</v>
      </c>
      <c r="FI226" s="562">
        <f t="shared" si="686"/>
        <v>-50</v>
      </c>
    </row>
    <row r="227" spans="5:165">
      <c r="E227" s="170">
        <v>11</v>
      </c>
      <c r="F227" s="217">
        <f t="shared" si="687"/>
        <v>0.27500000000000002</v>
      </c>
      <c r="G227" s="217">
        <f t="shared" si="615"/>
        <v>2.75E-2</v>
      </c>
      <c r="H227" s="217">
        <f t="shared" si="616"/>
        <v>7.7000000000000011</v>
      </c>
      <c r="I227" s="217">
        <f t="shared" si="617"/>
        <v>0.82499999999999996</v>
      </c>
      <c r="J227" s="541">
        <f t="shared" si="618"/>
        <v>39.943188266679392</v>
      </c>
      <c r="K227" s="443">
        <f t="shared" si="619"/>
        <v>28.723047023921822</v>
      </c>
      <c r="L227" s="172">
        <f t="shared" si="620"/>
        <v>68.666235290601207</v>
      </c>
      <c r="M227" s="443"/>
      <c r="N227" s="217">
        <f t="shared" si="621"/>
        <v>0.41829942914976337</v>
      </c>
      <c r="O227" s="172">
        <f t="shared" si="622"/>
        <v>125.76074188453187</v>
      </c>
      <c r="P227" s="172">
        <f t="shared" si="623"/>
        <v>14.918047187833498</v>
      </c>
      <c r="Q227" s="217">
        <f t="shared" si="624"/>
        <v>4.4914550673047096</v>
      </c>
      <c r="R227" s="217">
        <f t="shared" si="625"/>
        <v>4.1920247294843955</v>
      </c>
      <c r="S227" s="217">
        <f t="shared" si="626"/>
        <v>28</v>
      </c>
      <c r="T227" s="217">
        <f t="shared" si="627"/>
        <v>1.020456236264601</v>
      </c>
      <c r="U227" s="217">
        <f t="shared" si="628"/>
        <v>0.12007414827335074</v>
      </c>
      <c r="V227" s="217">
        <f t="shared" si="629"/>
        <v>0.16697895270126403</v>
      </c>
      <c r="W227" s="197">
        <f t="shared" si="630"/>
        <v>350</v>
      </c>
      <c r="X227" s="443">
        <f t="shared" si="688"/>
        <v>350</v>
      </c>
      <c r="Z227" s="217">
        <f t="shared" si="631"/>
        <v>10.1569682980994</v>
      </c>
      <c r="AA227" s="173">
        <f t="shared" si="632"/>
        <v>1.662001631000676</v>
      </c>
      <c r="AB227" s="173">
        <f t="shared" si="633"/>
        <v>2.6682709548248544</v>
      </c>
      <c r="AC227" s="173"/>
      <c r="AD227" s="173">
        <f t="shared" si="634"/>
        <v>0.54543888235878235</v>
      </c>
      <c r="AE227" s="545">
        <f t="shared" si="635"/>
        <v>302.5086867413043</v>
      </c>
      <c r="AF227" s="528">
        <f t="shared" si="636"/>
        <v>0.31817268137595633</v>
      </c>
      <c r="AH227" s="173">
        <f t="shared" si="637"/>
        <v>3.2194318817669347</v>
      </c>
      <c r="AI227" s="173">
        <f t="shared" si="638"/>
        <v>3.3333333333333335</v>
      </c>
      <c r="AJ227" s="173">
        <f t="shared" si="639"/>
        <v>1.1728621067093168</v>
      </c>
      <c r="AL227" s="545">
        <f t="shared" si="640"/>
        <v>275</v>
      </c>
      <c r="AM227" s="460">
        <f t="shared" si="641"/>
        <v>302.5086867413043</v>
      </c>
      <c r="AO227">
        <f t="shared" si="642"/>
        <v>275</v>
      </c>
      <c r="AP227">
        <f t="shared" si="643"/>
        <v>302.5086867413043</v>
      </c>
      <c r="AR227" s="5">
        <f t="shared" si="614"/>
        <v>3.3056901961138321</v>
      </c>
      <c r="AS227" s="5">
        <f t="shared" si="602"/>
        <v>0.39222373942882771</v>
      </c>
      <c r="AT227" s="5">
        <f t="shared" si="603"/>
        <v>2.9134664566850041</v>
      </c>
      <c r="AU227" s="173">
        <f t="shared" si="604"/>
        <v>0.1186510883233782</v>
      </c>
      <c r="BA227" s="173">
        <f t="shared" si="689"/>
        <v>0.6629091003084594</v>
      </c>
      <c r="BB227" s="173">
        <f t="shared" si="690"/>
        <v>1.8067250007768014</v>
      </c>
      <c r="BC227" s="173">
        <f t="shared" si="691"/>
        <v>0.1821534222094644</v>
      </c>
      <c r="BD227" s="173"/>
      <c r="BE227" s="528">
        <f t="shared" si="692"/>
        <v>5.2733817032612536E-3</v>
      </c>
      <c r="BF227" s="528">
        <f t="shared" si="644"/>
        <v>1.2636380702247749</v>
      </c>
      <c r="BG227" s="528">
        <f t="shared" si="693"/>
        <v>3.478849897525E-2</v>
      </c>
      <c r="BH227" s="528">
        <f t="shared" si="694"/>
        <v>0.70247449328574585</v>
      </c>
      <c r="BI227">
        <f t="shared" si="695"/>
        <v>1.7974434720005726E-2</v>
      </c>
      <c r="BJ227" s="460">
        <f t="shared" si="696"/>
        <v>52.762933695255725</v>
      </c>
      <c r="BK227">
        <f t="shared" si="645"/>
        <v>1.9752847020907833</v>
      </c>
      <c r="BL227" s="460">
        <f t="shared" si="697"/>
        <v>2024.1488789090379</v>
      </c>
      <c r="BM227" s="173">
        <f t="shared" si="646"/>
        <v>0.184415</v>
      </c>
      <c r="BN227" s="173">
        <f t="shared" si="647"/>
        <v>1.31725E-2</v>
      </c>
      <c r="BQ227" s="460">
        <f t="shared" si="698"/>
        <v>197.58750000000001</v>
      </c>
      <c r="BR227" s="528">
        <f t="shared" si="699"/>
        <v>6.1522786538047956E-3</v>
      </c>
      <c r="BS227" s="528">
        <f t="shared" si="700"/>
        <v>4.5699573198047065E-2</v>
      </c>
      <c r="BT227" s="528">
        <f t="shared" si="701"/>
        <v>1.6589934611309698E-4</v>
      </c>
      <c r="BU227" s="528">
        <f t="shared" si="702"/>
        <v>1.6144012795356544</v>
      </c>
      <c r="BV227" s="528"/>
      <c r="BW227" s="625">
        <f t="shared" si="703"/>
        <v>0.33612076304589372</v>
      </c>
      <c r="BX227" s="460">
        <f t="shared" si="704"/>
        <v>2002.5397937795128</v>
      </c>
      <c r="BY227" s="173">
        <f t="shared" si="705"/>
        <v>4.2242761726885503</v>
      </c>
      <c r="BZ227" s="5">
        <f t="shared" si="706"/>
        <v>8.5250000000000004</v>
      </c>
      <c r="CA227" s="173">
        <f t="shared" si="707"/>
        <v>0.66866541163036552</v>
      </c>
      <c r="CB227" s="5">
        <f t="shared" si="708"/>
        <v>66.866541163036558</v>
      </c>
      <c r="CC227">
        <f t="shared" si="709"/>
        <v>11.000000000000002</v>
      </c>
      <c r="CE227" s="562">
        <f t="shared" si="648"/>
        <v>-50</v>
      </c>
      <c r="CG227" s="173">
        <f t="shared" si="649"/>
        <v>0.16704976803336186</v>
      </c>
      <c r="CH227" s="173">
        <f t="shared" si="650"/>
        <v>5.4235320112775133E-2</v>
      </c>
      <c r="CI227" s="170">
        <v>11</v>
      </c>
      <c r="CJ227" s="217">
        <f t="shared" si="710"/>
        <v>0.27500000000000002</v>
      </c>
      <c r="CK227" s="217">
        <f t="shared" si="651"/>
        <v>2.75E-2</v>
      </c>
      <c r="CL227" s="217">
        <f t="shared" si="652"/>
        <v>7.7000000000000011</v>
      </c>
      <c r="CM227" s="217">
        <f t="shared" si="653"/>
        <v>0.82499999999999996</v>
      </c>
      <c r="CN227" s="541">
        <f t="shared" si="654"/>
        <v>40</v>
      </c>
      <c r="CO227" s="443">
        <f t="shared" si="655"/>
        <v>28.7</v>
      </c>
      <c r="CP227" s="443">
        <f t="shared" si="656"/>
        <v>68.7</v>
      </c>
      <c r="CQ227" s="443"/>
      <c r="CR227" s="217">
        <f t="shared" si="657"/>
        <v>0.41520467836257302</v>
      </c>
      <c r="CS227" s="172">
        <f t="shared" si="658"/>
        <v>125.00786015217253</v>
      </c>
      <c r="CT227" s="172">
        <f t="shared" si="659"/>
        <v>14.828738512949037</v>
      </c>
      <c r="CU227" s="217">
        <f t="shared" si="660"/>
        <v>4.4645664340061613</v>
      </c>
      <c r="CV227" s="217">
        <f t="shared" si="661"/>
        <v>4.1669286717390843</v>
      </c>
      <c r="CW227" s="217">
        <f t="shared" si="662"/>
        <v>28</v>
      </c>
      <c r="CX227" s="217">
        <f t="shared" si="663"/>
        <v>1.0266021126760567</v>
      </c>
      <c r="CY227" s="217">
        <f t="shared" si="664"/>
        <v>0.12062574823943666</v>
      </c>
      <c r="CZ227" s="217">
        <f t="shared" si="665"/>
        <v>0.16811950974137513</v>
      </c>
      <c r="DA227" s="197">
        <f t="shared" si="666"/>
        <v>350</v>
      </c>
      <c r="DB227" s="443">
        <f t="shared" si="667"/>
        <v>350</v>
      </c>
      <c r="DD227" s="217">
        <f t="shared" si="668"/>
        <v>10.158258230357086</v>
      </c>
      <c r="DE227" s="173">
        <f t="shared" si="669"/>
        <v>1.6635475150758992</v>
      </c>
      <c r="DF227" s="173">
        <f t="shared" si="670"/>
        <v>2.6710919890125213</v>
      </c>
      <c r="DG227" s="173"/>
      <c r="DH227" s="173">
        <f t="shared" si="671"/>
        <v>0.54587688734030204</v>
      </c>
      <c r="DI227" s="545">
        <f t="shared" si="672"/>
        <v>302.2659574468085</v>
      </c>
      <c r="DJ227" s="528">
        <f t="shared" si="673"/>
        <v>0.31842818428184283</v>
      </c>
      <c r="DL227" s="173">
        <f t="shared" si="674"/>
        <v>3.2194318817669347</v>
      </c>
      <c r="DM227" s="173">
        <f t="shared" si="675"/>
        <v>3.3333333333333335</v>
      </c>
      <c r="DN227" s="173">
        <f t="shared" si="676"/>
        <v>1.1727234042553192</v>
      </c>
      <c r="DP227" s="545">
        <f t="shared" si="677"/>
        <v>275</v>
      </c>
      <c r="DQ227" s="460">
        <f t="shared" si="678"/>
        <v>302.2659574468085</v>
      </c>
      <c r="DS227">
        <f t="shared" si="679"/>
        <v>275</v>
      </c>
      <c r="DT227">
        <f t="shared" si="680"/>
        <v>302.2659574468085</v>
      </c>
      <c r="DV227" s="5">
        <f t="shared" si="681"/>
        <v>3.3083447717594061</v>
      </c>
      <c r="DW227" s="5">
        <f t="shared" si="682"/>
        <v>0.39166666666666672</v>
      </c>
      <c r="DX227" s="5">
        <f t="shared" si="683"/>
        <v>2.9166781050927395</v>
      </c>
      <c r="DY227" s="173">
        <f t="shared" si="684"/>
        <v>0.11838750000000001</v>
      </c>
      <c r="EA227" s="5">
        <f t="shared" si="711"/>
        <v>0.38467261904761912</v>
      </c>
      <c r="EB227" s="5">
        <f t="shared" si="712"/>
        <v>3.5902777777777783E-2</v>
      </c>
      <c r="EC227" s="5">
        <f t="shared" si="713"/>
        <v>0.40104323945025172</v>
      </c>
      <c r="ED227" s="5"/>
      <c r="EE227" s="173">
        <f t="shared" si="714"/>
        <v>0.66217235084396442</v>
      </c>
      <c r="EF227" s="173">
        <f t="shared" si="715"/>
        <v>1.8069951525893702</v>
      </c>
      <c r="EG227" s="173">
        <f t="shared" si="716"/>
        <v>0.18218065882663323</v>
      </c>
      <c r="EH227" s="173"/>
      <c r="EI227" s="528">
        <f t="shared" si="717"/>
        <v>5.261666666666668E-3</v>
      </c>
      <c r="EJ227" s="528">
        <f t="shared" si="718"/>
        <v>1.3151591808510639</v>
      </c>
      <c r="EK227" s="528">
        <f t="shared" si="719"/>
        <v>3.4760585106382982E-2</v>
      </c>
      <c r="EL227" s="528">
        <f t="shared" si="720"/>
        <v>0.70260129622579792</v>
      </c>
      <c r="EM227">
        <f t="shared" si="721"/>
        <v>1.7999999999999999E-2</v>
      </c>
      <c r="EN227" s="460">
        <f t="shared" si="722"/>
        <v>52.760585106382983</v>
      </c>
      <c r="EP227" s="460">
        <f t="shared" si="723"/>
        <v>2075.7827288499111</v>
      </c>
      <c r="EQ227" s="173">
        <f t="shared" si="724"/>
        <v>0.1925</v>
      </c>
      <c r="ER227" s="173">
        <f t="shared" si="685"/>
        <v>1.31725E-2</v>
      </c>
      <c r="ES227" s="528"/>
      <c r="EU227" s="460">
        <f t="shared" si="725"/>
        <v>205.67250000000001</v>
      </c>
      <c r="EV227" s="528">
        <f t="shared" si="726"/>
        <v>6.1386111111111129E-3</v>
      </c>
      <c r="EW227" s="528">
        <f t="shared" si="727"/>
        <v>4.5713240740740742E-2</v>
      </c>
      <c r="EX227" s="528">
        <f t="shared" si="728"/>
        <v>1.6594896225253069E-4</v>
      </c>
      <c r="EY227" s="528">
        <f t="shared" si="729"/>
        <v>1.6111647882128641</v>
      </c>
      <c r="EZ227" s="528"/>
      <c r="FA227" s="625">
        <f t="shared" si="730"/>
        <v>0.3358510638297873</v>
      </c>
      <c r="FB227" s="460">
        <f t="shared" si="731"/>
        <v>1999.0336528567559</v>
      </c>
      <c r="FC227" s="173">
        <f t="shared" si="732"/>
        <v>4.2804888817066677</v>
      </c>
      <c r="FD227" s="5">
        <f t="shared" si="733"/>
        <v>8.5250000000000004</v>
      </c>
      <c r="FE227" s="173">
        <f t="shared" si="734"/>
        <v>0.66573014734161551</v>
      </c>
      <c r="FF227" s="5">
        <f t="shared" si="735"/>
        <v>66.573014734161546</v>
      </c>
      <c r="FG227">
        <f t="shared" si="736"/>
        <v>11.000000000000002</v>
      </c>
      <c r="FI227" s="562">
        <f t="shared" si="686"/>
        <v>-50</v>
      </c>
    </row>
    <row r="228" spans="5:165">
      <c r="E228" s="170">
        <v>12</v>
      </c>
      <c r="F228" s="217">
        <f t="shared" si="687"/>
        <v>0.3</v>
      </c>
      <c r="G228" s="217">
        <f t="shared" si="615"/>
        <v>0.03</v>
      </c>
      <c r="H228" s="217">
        <f t="shared" si="616"/>
        <v>8.4</v>
      </c>
      <c r="I228" s="217">
        <f t="shared" si="617"/>
        <v>0.89999999999999991</v>
      </c>
      <c r="J228" s="541">
        <f t="shared" si="618"/>
        <v>39.943188266679392</v>
      </c>
      <c r="K228" s="443">
        <f t="shared" si="619"/>
        <v>28.723047023921822</v>
      </c>
      <c r="L228" s="172">
        <f t="shared" si="620"/>
        <v>68.666235290601207</v>
      </c>
      <c r="M228" s="443"/>
      <c r="N228" s="217">
        <f t="shared" si="621"/>
        <v>0.41829942914976337</v>
      </c>
      <c r="O228" s="172">
        <f t="shared" si="622"/>
        <v>125.76074188453187</v>
      </c>
      <c r="P228" s="172">
        <f t="shared" si="623"/>
        <v>14.918047187833498</v>
      </c>
      <c r="Q228" s="217">
        <f t="shared" si="624"/>
        <v>4.4914550673047096</v>
      </c>
      <c r="R228" s="217">
        <f t="shared" si="625"/>
        <v>4.1920247294843955</v>
      </c>
      <c r="S228" s="217">
        <f t="shared" si="626"/>
        <v>28</v>
      </c>
      <c r="T228" s="217">
        <f t="shared" si="627"/>
        <v>1.1132249850159284</v>
      </c>
      <c r="U228" s="217">
        <f t="shared" si="628"/>
        <v>0.13098997993456443</v>
      </c>
      <c r="V228" s="217">
        <f t="shared" si="629"/>
        <v>0.18215885749228805</v>
      </c>
      <c r="W228" s="197">
        <f t="shared" si="630"/>
        <v>350</v>
      </c>
      <c r="X228" s="443">
        <f t="shared" si="688"/>
        <v>350</v>
      </c>
      <c r="Z228" s="217">
        <f t="shared" si="631"/>
        <v>10.1569682980994</v>
      </c>
      <c r="AA228" s="173">
        <f t="shared" si="632"/>
        <v>1.662001631000676</v>
      </c>
      <c r="AB228" s="173">
        <f t="shared" si="633"/>
        <v>2.6682709548248544</v>
      </c>
      <c r="AC228" s="173"/>
      <c r="AD228" s="173">
        <f t="shared" si="634"/>
        <v>0.54543888235878235</v>
      </c>
      <c r="AE228" s="545">
        <f t="shared" si="635"/>
        <v>330.00947644505925</v>
      </c>
      <c r="AF228" s="528">
        <f t="shared" si="636"/>
        <v>0.31817268137595633</v>
      </c>
      <c r="AH228" s="173">
        <f t="shared" si="637"/>
        <v>3.3625869329221763</v>
      </c>
      <c r="AI228" s="173">
        <f t="shared" si="638"/>
        <v>3.3625869329221763</v>
      </c>
      <c r="AJ228" s="173">
        <f t="shared" si="639"/>
        <v>1.188576843682891</v>
      </c>
      <c r="AL228" s="545">
        <f t="shared" si="640"/>
        <v>300</v>
      </c>
      <c r="AM228" s="460">
        <f t="shared" si="641"/>
        <v>330.00947644505925</v>
      </c>
      <c r="AO228">
        <f t="shared" si="642"/>
        <v>300</v>
      </c>
      <c r="AP228">
        <f t="shared" si="643"/>
        <v>330.00947644505925</v>
      </c>
      <c r="AR228" s="5">
        <f t="shared" si="614"/>
        <v>3.0302160131043459</v>
      </c>
      <c r="AS228" s="5">
        <f t="shared" si="602"/>
        <v>0.39566592629557457</v>
      </c>
      <c r="AT228" s="5">
        <f t="shared" si="603"/>
        <v>2.6345500868087712</v>
      </c>
      <c r="AU228" s="173">
        <f t="shared" si="604"/>
        <v>0.13057350518395197</v>
      </c>
      <c r="BA228" s="173">
        <f t="shared" si="689"/>
        <v>0.70152059425105984</v>
      </c>
      <c r="BB228" s="173">
        <f t="shared" si="690"/>
        <v>1.8102115391102673</v>
      </c>
      <c r="BC228" s="173">
        <f t="shared" si="691"/>
        <v>0.1825049338611171</v>
      </c>
      <c r="BD228" s="173"/>
      <c r="BE228" s="528">
        <f t="shared" si="692"/>
        <v>5.9055737299003215E-3</v>
      </c>
      <c r="BF228" s="528">
        <f t="shared" si="644"/>
        <v>1.3906122096700879</v>
      </c>
      <c r="BG228" s="528">
        <f t="shared" si="693"/>
        <v>3.7951089791181815E-2</v>
      </c>
      <c r="BH228" s="528">
        <f t="shared" si="694"/>
        <v>0.76633581085717728</v>
      </c>
      <c r="BI228">
        <f t="shared" si="695"/>
        <v>1.7974434720005726E-2</v>
      </c>
      <c r="BJ228" s="460">
        <f t="shared" si="696"/>
        <v>55.92552451118754</v>
      </c>
      <c r="BK228">
        <f t="shared" si="645"/>
        <v>2.1674894430107989</v>
      </c>
      <c r="BL228" s="460">
        <f t="shared" si="697"/>
        <v>2218.7791187683533</v>
      </c>
      <c r="BM228" s="173">
        <f t="shared" si="646"/>
        <v>0.20118</v>
      </c>
      <c r="BN228" s="173">
        <f t="shared" si="647"/>
        <v>1.4369999999999999E-2</v>
      </c>
      <c r="BQ228" s="460">
        <f t="shared" si="698"/>
        <v>215.54999999999998</v>
      </c>
      <c r="BR228" s="528">
        <f t="shared" si="699"/>
        <v>6.8898360182170415E-3</v>
      </c>
      <c r="BS228" s="528">
        <f t="shared" si="700"/>
        <v>4.5876121428591481E-2</v>
      </c>
      <c r="BT228" s="528">
        <f t="shared" si="701"/>
        <v>1.6654025441825365E-4</v>
      </c>
      <c r="BU228" s="528">
        <f t="shared" si="702"/>
        <v>2.0510197130551222</v>
      </c>
      <c r="BV228" s="528"/>
      <c r="BW228" s="625">
        <f t="shared" si="703"/>
        <v>0.37314141409593332</v>
      </c>
      <c r="BX228" s="460">
        <f t="shared" si="704"/>
        <v>2477.0936248522826</v>
      </c>
      <c r="BY228" s="173">
        <f t="shared" si="705"/>
        <v>4.9114227436206352</v>
      </c>
      <c r="BZ228" s="5">
        <f t="shared" si="706"/>
        <v>9.3000000000000007</v>
      </c>
      <c r="CA228" s="173">
        <f t="shared" si="707"/>
        <v>0.65440316341125504</v>
      </c>
      <c r="CB228" s="5">
        <f t="shared" si="708"/>
        <v>65.440316341125509</v>
      </c>
      <c r="CC228">
        <f t="shared" si="709"/>
        <v>12</v>
      </c>
      <c r="CE228" s="562">
        <f t="shared" si="648"/>
        <v>-50</v>
      </c>
      <c r="CG228" s="173">
        <f t="shared" si="649"/>
        <v>0.18223611058184927</v>
      </c>
      <c r="CH228" s="173">
        <f t="shared" si="650"/>
        <v>5.9165803759391053E-2</v>
      </c>
      <c r="CI228" s="170">
        <v>12</v>
      </c>
      <c r="CJ228" s="217">
        <f t="shared" si="710"/>
        <v>0.3</v>
      </c>
      <c r="CK228" s="217">
        <f t="shared" si="651"/>
        <v>0.03</v>
      </c>
      <c r="CL228" s="217">
        <f t="shared" si="652"/>
        <v>8.4</v>
      </c>
      <c r="CM228" s="217">
        <f t="shared" si="653"/>
        <v>0.89999999999999991</v>
      </c>
      <c r="CN228" s="541">
        <f t="shared" si="654"/>
        <v>40</v>
      </c>
      <c r="CO228" s="443">
        <f t="shared" si="655"/>
        <v>28.7</v>
      </c>
      <c r="CP228" s="443">
        <f t="shared" si="656"/>
        <v>68.7</v>
      </c>
      <c r="CQ228" s="443"/>
      <c r="CR228" s="217">
        <f t="shared" si="657"/>
        <v>0.41520467836257302</v>
      </c>
      <c r="CS228" s="172">
        <f t="shared" si="658"/>
        <v>125.00786015217253</v>
      </c>
      <c r="CT228" s="172">
        <f t="shared" si="659"/>
        <v>14.828738512949037</v>
      </c>
      <c r="CU228" s="217">
        <f t="shared" si="660"/>
        <v>4.4645664340061613</v>
      </c>
      <c r="CV228" s="217">
        <f t="shared" si="661"/>
        <v>4.1669286717390843</v>
      </c>
      <c r="CW228" s="217">
        <f t="shared" si="662"/>
        <v>28</v>
      </c>
      <c r="CX228" s="217">
        <f t="shared" si="663"/>
        <v>1.1199295774647891</v>
      </c>
      <c r="CY228" s="217">
        <f t="shared" si="664"/>
        <v>0.13159172535211269</v>
      </c>
      <c r="CZ228" s="217">
        <f t="shared" si="665"/>
        <v>0.18340310153604558</v>
      </c>
      <c r="DA228" s="197">
        <f t="shared" si="666"/>
        <v>350</v>
      </c>
      <c r="DB228" s="443">
        <f t="shared" si="667"/>
        <v>350</v>
      </c>
      <c r="DD228" s="217">
        <f t="shared" si="668"/>
        <v>10.158258230357086</v>
      </c>
      <c r="DE228" s="173">
        <f t="shared" si="669"/>
        <v>1.6635475150758992</v>
      </c>
      <c r="DF228" s="173">
        <f t="shared" si="670"/>
        <v>2.6710919890125213</v>
      </c>
      <c r="DG228" s="173"/>
      <c r="DH228" s="173">
        <f t="shared" si="671"/>
        <v>0.54587688734030204</v>
      </c>
      <c r="DI228" s="545">
        <f t="shared" si="672"/>
        <v>329.74468085106383</v>
      </c>
      <c r="DJ228" s="528">
        <f t="shared" si="673"/>
        <v>0.31842818428184283</v>
      </c>
      <c r="DL228" s="173">
        <f t="shared" si="674"/>
        <v>3.3625869329221763</v>
      </c>
      <c r="DM228" s="173">
        <f t="shared" si="675"/>
        <v>3.3625869329221763</v>
      </c>
      <c r="DN228" s="173">
        <f t="shared" si="676"/>
        <v>1.1884255319148935</v>
      </c>
      <c r="DP228" s="545">
        <f t="shared" si="677"/>
        <v>300</v>
      </c>
      <c r="DQ228" s="460">
        <f t="shared" si="678"/>
        <v>329.74468085106383</v>
      </c>
      <c r="DS228">
        <f t="shared" si="679"/>
        <v>300</v>
      </c>
      <c r="DT228">
        <f t="shared" si="680"/>
        <v>329.74468085106383</v>
      </c>
      <c r="DV228" s="5">
        <f t="shared" si="681"/>
        <v>3.0326493741127885</v>
      </c>
      <c r="DW228" s="5">
        <f t="shared" si="682"/>
        <v>0.39510396461835573</v>
      </c>
      <c r="DX228" s="5">
        <f t="shared" si="683"/>
        <v>2.6375454094944328</v>
      </c>
      <c r="DY228" s="173">
        <f t="shared" si="684"/>
        <v>0.13028343071606974</v>
      </c>
      <c r="EA228" s="5">
        <f t="shared" si="711"/>
        <v>0.42332567637680973</v>
      </c>
      <c r="EB228" s="5">
        <f t="shared" si="712"/>
        <v>3.9510396461835573E-2</v>
      </c>
      <c r="EC228" s="5">
        <f t="shared" si="713"/>
        <v>0.39563181142416493</v>
      </c>
      <c r="ED228" s="5"/>
      <c r="EE228" s="173">
        <f t="shared" si="714"/>
        <v>0.70074093242124602</v>
      </c>
      <c r="EF228" s="173">
        <f t="shared" si="715"/>
        <v>1.8105134923870978</v>
      </c>
      <c r="EG228" s="173">
        <f t="shared" si="716"/>
        <v>0.18253537669148609</v>
      </c>
      <c r="EH228" s="173"/>
      <c r="EI228" s="528">
        <f t="shared" si="717"/>
        <v>5.8924542524471674E-3</v>
      </c>
      <c r="EJ228" s="528">
        <f t="shared" si="718"/>
        <v>1.4473103158611558</v>
      </c>
      <c r="EK228" s="528">
        <f t="shared" si="719"/>
        <v>3.7920638297872344E-2</v>
      </c>
      <c r="EL228" s="528">
        <f t="shared" si="720"/>
        <v>0.76647414133723413</v>
      </c>
      <c r="EM228">
        <f t="shared" si="721"/>
        <v>1.7999999999999999E-2</v>
      </c>
      <c r="EN228" s="460">
        <f t="shared" si="722"/>
        <v>55.920638297872344</v>
      </c>
      <c r="EP228" s="460">
        <f t="shared" si="723"/>
        <v>2275.5975497487093</v>
      </c>
      <c r="EQ228" s="173">
        <f t="shared" si="724"/>
        <v>0.21</v>
      </c>
      <c r="ER228" s="173">
        <f t="shared" si="685"/>
        <v>1.4369999999999999E-2</v>
      </c>
      <c r="ES228" s="528"/>
      <c r="EU228" s="460">
        <f t="shared" si="725"/>
        <v>224.36999999999998</v>
      </c>
      <c r="EV228" s="528">
        <f t="shared" si="726"/>
        <v>6.8745299611883623E-3</v>
      </c>
      <c r="EW228" s="528">
        <f t="shared" si="727"/>
        <v>4.5891427485620161E-2</v>
      </c>
      <c r="EX228" s="528">
        <f t="shared" si="728"/>
        <v>1.6659581871951361E-4</v>
      </c>
      <c r="EY228" s="528">
        <f t="shared" si="729"/>
        <v>2.0469079054219601</v>
      </c>
      <c r="EZ228" s="528"/>
      <c r="FA228" s="625">
        <f t="shared" si="730"/>
        <v>0.37284200995925765</v>
      </c>
      <c r="FB228" s="460">
        <f t="shared" si="731"/>
        <v>2472.6824686467462</v>
      </c>
      <c r="FC228" s="173">
        <f t="shared" si="732"/>
        <v>4.9726500183954547</v>
      </c>
      <c r="FD228" s="5">
        <f t="shared" si="733"/>
        <v>9.3000000000000007</v>
      </c>
      <c r="FE228" s="173">
        <f t="shared" si="734"/>
        <v>0.65159588359650078</v>
      </c>
      <c r="FF228" s="5">
        <f t="shared" si="735"/>
        <v>65.159588359650073</v>
      </c>
      <c r="FG228">
        <f t="shared" si="736"/>
        <v>12</v>
      </c>
      <c r="FI228" s="562">
        <f t="shared" si="686"/>
        <v>-50</v>
      </c>
    </row>
    <row r="229" spans="5:165">
      <c r="E229" s="170">
        <v>13</v>
      </c>
      <c r="F229" s="217">
        <f t="shared" si="687"/>
        <v>0.32500000000000001</v>
      </c>
      <c r="G229" s="217">
        <f t="shared" si="615"/>
        <v>3.2500000000000001E-2</v>
      </c>
      <c r="H229" s="217">
        <f t="shared" si="616"/>
        <v>9.1</v>
      </c>
      <c r="I229" s="217">
        <f t="shared" si="617"/>
        <v>0.97500000000000009</v>
      </c>
      <c r="J229" s="541">
        <f t="shared" si="618"/>
        <v>39.942605011919539</v>
      </c>
      <c r="K229" s="443">
        <f t="shared" si="619"/>
        <v>28.723283635016347</v>
      </c>
      <c r="L229" s="172">
        <f t="shared" si="620"/>
        <v>68.665888646935883</v>
      </c>
      <c r="M229" s="443"/>
      <c r="N229" s="217">
        <f t="shared" si="621"/>
        <v>0.41830498666819604</v>
      </c>
      <c r="O229" s="172">
        <f t="shared" si="622"/>
        <v>125.76057634304102</v>
      </c>
      <c r="P229" s="172">
        <f t="shared" si="623"/>
        <v>14.918027550896449</v>
      </c>
      <c r="Q229" s="217">
        <f t="shared" si="624"/>
        <v>4.491449155108608</v>
      </c>
      <c r="R229" s="217">
        <f t="shared" si="625"/>
        <v>4.192019211434701</v>
      </c>
      <c r="S229" s="217">
        <f t="shared" si="626"/>
        <v>28</v>
      </c>
      <c r="T229" s="217">
        <f t="shared" si="627"/>
        <v>1.2059953212440819</v>
      </c>
      <c r="U229" s="217">
        <f t="shared" si="628"/>
        <v>0.14190807054661822</v>
      </c>
      <c r="V229" s="217">
        <f t="shared" si="629"/>
        <v>0.19733739644366949</v>
      </c>
      <c r="W229" s="197">
        <f t="shared" si="630"/>
        <v>350</v>
      </c>
      <c r="X229" s="443">
        <f t="shared" si="688"/>
        <v>350</v>
      </c>
      <c r="Z229" s="217">
        <f t="shared" si="631"/>
        <v>10.156954928269922</v>
      </c>
      <c r="AA229" s="173">
        <f t="shared" si="632"/>
        <v>1.6619857523765826</v>
      </c>
      <c r="AB229" s="173">
        <f t="shared" si="633"/>
        <v>2.6682419501208727</v>
      </c>
      <c r="AC229" s="173"/>
      <c r="AD229" s="173">
        <f t="shared" si="634"/>
        <v>0.54543438924815502</v>
      </c>
      <c r="AE229" s="545">
        <f t="shared" si="635"/>
        <v>357.51321120179921</v>
      </c>
      <c r="AF229" s="528">
        <f t="shared" si="636"/>
        <v>0.31817006039475709</v>
      </c>
      <c r="AH229" s="173">
        <f t="shared" si="637"/>
        <v>3.4998914442565998</v>
      </c>
      <c r="AI229" s="173">
        <f t="shared" si="638"/>
        <v>3.4998914442565998</v>
      </c>
      <c r="AJ229" s="173">
        <f t="shared" si="639"/>
        <v>1.3233763784616788</v>
      </c>
      <c r="AL229" s="545">
        <f t="shared" si="640"/>
        <v>325</v>
      </c>
      <c r="AM229" s="460">
        <f t="shared" si="641"/>
        <v>350</v>
      </c>
      <c r="AO229">
        <f t="shared" si="642"/>
        <v>325</v>
      </c>
      <c r="AP229">
        <f t="shared" si="643"/>
        <v>350</v>
      </c>
      <c r="AR229" s="5">
        <f t="shared" si="614"/>
        <v>2.8571428571428572</v>
      </c>
      <c r="AS229" s="5">
        <f t="shared" si="602"/>
        <v>0.41182816651786275</v>
      </c>
      <c r="AT229" s="5">
        <f t="shared" si="603"/>
        <v>2.4453146906249943</v>
      </c>
      <c r="AU229" s="173">
        <f t="shared" si="604"/>
        <v>0.14413985828125195</v>
      </c>
      <c r="BA229" s="173">
        <f t="shared" si="689"/>
        <v>0.76716007351305016</v>
      </c>
      <c r="BB229" s="173">
        <f t="shared" si="690"/>
        <v>1.8693703384119211</v>
      </c>
      <c r="BC229" s="173">
        <f t="shared" si="691"/>
        <v>0.18846930461038222</v>
      </c>
      <c r="BD229" s="173"/>
      <c r="BE229" s="528">
        <f t="shared" si="692"/>
        <v>7.0624149407105827E-3</v>
      </c>
      <c r="BF229" s="528">
        <f t="shared" si="644"/>
        <v>1.5350641601488528</v>
      </c>
      <c r="BG229" s="528">
        <f t="shared" si="693"/>
        <v>4.0250000000000001E-2</v>
      </c>
      <c r="BH229" s="528">
        <f t="shared" si="694"/>
        <v>0.81274885995070201</v>
      </c>
      <c r="BI229">
        <f t="shared" si="695"/>
        <v>1.7974172255363793E-2</v>
      </c>
      <c r="BJ229" s="460">
        <f t="shared" si="696"/>
        <v>58.22417225536379</v>
      </c>
      <c r="BK229">
        <f t="shared" si="645"/>
        <v>2.3607436853045467</v>
      </c>
      <c r="BL229" s="460">
        <f t="shared" si="697"/>
        <v>2413.0996072956291</v>
      </c>
      <c r="BM229" s="173">
        <f t="shared" si="646"/>
        <v>0.21794499999999997</v>
      </c>
      <c r="BN229" s="173">
        <f t="shared" si="647"/>
        <v>1.55675E-2</v>
      </c>
      <c r="BQ229" s="460">
        <f t="shared" si="698"/>
        <v>233.51249999999999</v>
      </c>
      <c r="BR229" s="528">
        <f t="shared" si="699"/>
        <v>8.23948409749568E-3</v>
      </c>
      <c r="BS229" s="528">
        <f t="shared" si="700"/>
        <v>4.8923636469880211E-2</v>
      </c>
      <c r="BT229" s="528">
        <f t="shared" si="701"/>
        <v>1.7760339390160524E-4</v>
      </c>
      <c r="BU229" s="528">
        <f t="shared" si="702"/>
        <v>2.6258901279086788</v>
      </c>
      <c r="BV229" s="528"/>
      <c r="BW229" s="625">
        <f t="shared" si="703"/>
        <v>0.42872340425531924</v>
      </c>
      <c r="BX229" s="460">
        <f t="shared" si="704"/>
        <v>3111.9542561252756</v>
      </c>
      <c r="BY229" s="173">
        <f t="shared" si="705"/>
        <v>5.758566363420905</v>
      </c>
      <c r="BZ229" s="5">
        <f t="shared" si="706"/>
        <v>10.074999999999999</v>
      </c>
      <c r="CA229" s="173">
        <f t="shared" si="707"/>
        <v>0.63630642451314778</v>
      </c>
      <c r="CB229" s="5">
        <f t="shared" si="708"/>
        <v>63.630642451314777</v>
      </c>
      <c r="CC229">
        <f t="shared" si="709"/>
        <v>13</v>
      </c>
      <c r="CE229" s="562">
        <f t="shared" si="648"/>
        <v>-50</v>
      </c>
      <c r="CG229" s="173">
        <f t="shared" si="649"/>
        <v>0.19541622245862802</v>
      </c>
      <c r="CH229" s="173">
        <f t="shared" si="650"/>
        <v>6.3444933237838008E-2</v>
      </c>
      <c r="CI229" s="170">
        <v>13</v>
      </c>
      <c r="CJ229" s="217">
        <f t="shared" si="710"/>
        <v>0.32500000000000001</v>
      </c>
      <c r="CK229" s="217">
        <f t="shared" si="651"/>
        <v>3.2500000000000001E-2</v>
      </c>
      <c r="CL229" s="217">
        <f t="shared" si="652"/>
        <v>9.1</v>
      </c>
      <c r="CM229" s="217">
        <f t="shared" si="653"/>
        <v>0.97500000000000009</v>
      </c>
      <c r="CN229" s="541">
        <f t="shared" si="654"/>
        <v>40</v>
      </c>
      <c r="CO229" s="443">
        <f t="shared" si="655"/>
        <v>28.7</v>
      </c>
      <c r="CP229" s="443">
        <f t="shared" si="656"/>
        <v>68.7</v>
      </c>
      <c r="CQ229" s="443"/>
      <c r="CR229" s="217">
        <f t="shared" si="657"/>
        <v>0.41520467836257302</v>
      </c>
      <c r="CS229" s="172">
        <f t="shared" si="658"/>
        <v>125.00786015217253</v>
      </c>
      <c r="CT229" s="172">
        <f t="shared" si="659"/>
        <v>14.828738512949037</v>
      </c>
      <c r="CU229" s="217">
        <f t="shared" si="660"/>
        <v>4.4645664340061613</v>
      </c>
      <c r="CV229" s="217">
        <f t="shared" si="661"/>
        <v>4.1669286717390843</v>
      </c>
      <c r="CW229" s="217">
        <f t="shared" si="662"/>
        <v>28</v>
      </c>
      <c r="CX229" s="217">
        <f t="shared" si="663"/>
        <v>1.2132570422535214</v>
      </c>
      <c r="CY229" s="217">
        <f t="shared" si="664"/>
        <v>0.14255770246478874</v>
      </c>
      <c r="CZ229" s="217">
        <f t="shared" si="665"/>
        <v>0.19868669333071604</v>
      </c>
      <c r="DA229" s="197">
        <f t="shared" si="666"/>
        <v>350</v>
      </c>
      <c r="DB229" s="443">
        <f t="shared" si="667"/>
        <v>350</v>
      </c>
      <c r="DD229" s="217">
        <f t="shared" si="668"/>
        <v>10.158258230357086</v>
      </c>
      <c r="DE229" s="173">
        <f t="shared" si="669"/>
        <v>1.6635475150758992</v>
      </c>
      <c r="DF229" s="173">
        <f t="shared" si="670"/>
        <v>2.6710919890125213</v>
      </c>
      <c r="DG229" s="173"/>
      <c r="DH229" s="173">
        <f t="shared" si="671"/>
        <v>0.54587688734030204</v>
      </c>
      <c r="DI229" s="545">
        <f t="shared" si="672"/>
        <v>357.22340425531917</v>
      </c>
      <c r="DJ229" s="528">
        <f t="shared" si="673"/>
        <v>0.31842818428184283</v>
      </c>
      <c r="DL229" s="173">
        <f t="shared" si="674"/>
        <v>3.4998914442565998</v>
      </c>
      <c r="DM229" s="173">
        <f t="shared" si="675"/>
        <v>3.4998914442565998</v>
      </c>
      <c r="DN229" s="173">
        <f t="shared" si="676"/>
        <v>1.3233763784616788</v>
      </c>
      <c r="DP229" s="545">
        <f t="shared" si="677"/>
        <v>325</v>
      </c>
      <c r="DQ229" s="460">
        <f t="shared" si="678"/>
        <v>350</v>
      </c>
      <c r="DS229">
        <f t="shared" si="679"/>
        <v>325</v>
      </c>
      <c r="DT229">
        <f t="shared" si="680"/>
        <v>350</v>
      </c>
      <c r="DV229" s="5">
        <f t="shared" si="681"/>
        <v>2.8571428571428572</v>
      </c>
      <c r="DW229" s="5">
        <f t="shared" si="682"/>
        <v>0.41123724470015049</v>
      </c>
      <c r="DX229" s="5">
        <f t="shared" si="683"/>
        <v>2.4459056124427065</v>
      </c>
      <c r="DY229" s="173">
        <f t="shared" si="684"/>
        <v>0.14393303564505266</v>
      </c>
      <c r="EA229" s="5">
        <f t="shared" si="711"/>
        <v>0.4773289447412461</v>
      </c>
      <c r="EB229" s="5">
        <f t="shared" si="712"/>
        <v>4.4550701509182972E-2</v>
      </c>
      <c r="EC229" s="5">
        <f t="shared" si="713"/>
        <v>0.39745966202193977</v>
      </c>
      <c r="ED229" s="5"/>
      <c r="EE229" s="173">
        <f t="shared" si="714"/>
        <v>0.76660948664541984</v>
      </c>
      <c r="EF229" s="173">
        <f t="shared" si="715"/>
        <v>1.8695961958433953</v>
      </c>
      <c r="EG229" s="173">
        <f t="shared" si="716"/>
        <v>0.18849207548257182</v>
      </c>
      <c r="EH229" s="173"/>
      <c r="EI229" s="528">
        <f t="shared" si="717"/>
        <v>7.0522812601770497E-3</v>
      </c>
      <c r="EJ229" s="528">
        <f t="shared" si="718"/>
        <v>1.5989429057658491</v>
      </c>
      <c r="EK229" s="528">
        <f t="shared" si="719"/>
        <v>4.0250000000000001E-2</v>
      </c>
      <c r="EL229" s="528">
        <f t="shared" si="720"/>
        <v>0.81355656375000007</v>
      </c>
      <c r="EM229">
        <f t="shared" si="721"/>
        <v>1.7999999999999999E-2</v>
      </c>
      <c r="EN229" s="460">
        <f t="shared" si="722"/>
        <v>58.249999999999993</v>
      </c>
      <c r="EP229" s="460">
        <f t="shared" si="723"/>
        <v>2477.8017507760255</v>
      </c>
      <c r="EQ229" s="173">
        <f t="shared" si="724"/>
        <v>0.22749999999999998</v>
      </c>
      <c r="ER229" s="173">
        <f t="shared" si="685"/>
        <v>1.55675E-2</v>
      </c>
      <c r="ES229" s="528"/>
      <c r="EU229" s="460">
        <f t="shared" si="725"/>
        <v>243.0675</v>
      </c>
      <c r="EV229" s="528">
        <f t="shared" si="726"/>
        <v>8.2276614702065584E-3</v>
      </c>
      <c r="EW229" s="528">
        <f t="shared" si="727"/>
        <v>4.8935459097169336E-2</v>
      </c>
      <c r="EX229" s="528">
        <f t="shared" si="728"/>
        <v>1.7764631259863776E-4</v>
      </c>
      <c r="EY229" s="528">
        <f t="shared" si="729"/>
        <v>2.6258901279086788</v>
      </c>
      <c r="EZ229" s="528"/>
      <c r="FA229" s="625">
        <f t="shared" si="730"/>
        <v>0.42872340425531924</v>
      </c>
      <c r="FB229" s="460">
        <f t="shared" si="731"/>
        <v>3111.9542990439727</v>
      </c>
      <c r="FC229" s="173">
        <f t="shared" si="732"/>
        <v>5.8328235498199978</v>
      </c>
      <c r="FD229" s="5">
        <f t="shared" si="733"/>
        <v>10.074999999999999</v>
      </c>
      <c r="FE229" s="173">
        <f t="shared" si="734"/>
        <v>0.63333616748056032</v>
      </c>
      <c r="FF229" s="5">
        <f t="shared" si="735"/>
        <v>63.333616748056031</v>
      </c>
      <c r="FG229">
        <f t="shared" si="736"/>
        <v>13</v>
      </c>
      <c r="FI229" s="562">
        <f t="shared" si="686"/>
        <v>-50</v>
      </c>
    </row>
    <row r="230" spans="5:165">
      <c r="E230" s="170">
        <v>14</v>
      </c>
      <c r="F230" s="217">
        <f t="shared" si="687"/>
        <v>0.35000000000000003</v>
      </c>
      <c r="G230" s="217">
        <f t="shared" si="615"/>
        <v>3.5000000000000003E-2</v>
      </c>
      <c r="H230" s="217">
        <f t="shared" si="616"/>
        <v>9.8000000000000007</v>
      </c>
      <c r="I230" s="217">
        <f t="shared" si="617"/>
        <v>1.05</v>
      </c>
      <c r="J230" s="541">
        <f t="shared" si="618"/>
        <v>39.940438406027823</v>
      </c>
      <c r="K230" s="443">
        <f t="shared" si="619"/>
        <v>28.724162569963354</v>
      </c>
      <c r="L230" s="172">
        <f t="shared" si="620"/>
        <v>68.664600975991178</v>
      </c>
      <c r="M230" s="443"/>
      <c r="N230" s="217">
        <f t="shared" si="621"/>
        <v>0.41832563157261859</v>
      </c>
      <c r="O230" s="172">
        <f t="shared" si="622"/>
        <v>125.75996112948604</v>
      </c>
      <c r="P230" s="172">
        <f t="shared" si="623"/>
        <v>14.91795457275791</v>
      </c>
      <c r="Q230" s="217">
        <f t="shared" si="624"/>
        <v>4.4914271831959303</v>
      </c>
      <c r="R230" s="217">
        <f t="shared" si="625"/>
        <v>4.1919987043162017</v>
      </c>
      <c r="S230" s="217">
        <f t="shared" si="626"/>
        <v>28</v>
      </c>
      <c r="T230" s="217">
        <f t="shared" si="627"/>
        <v>1.2987705456203242</v>
      </c>
      <c r="U230" s="217">
        <f t="shared" si="628"/>
        <v>0.15283311370699107</v>
      </c>
      <c r="V230" s="217">
        <f t="shared" si="629"/>
        <v>0.21251173291988895</v>
      </c>
      <c r="W230" s="197">
        <f t="shared" si="630"/>
        <v>350</v>
      </c>
      <c r="X230" s="443">
        <f t="shared" si="688"/>
        <v>350</v>
      </c>
      <c r="Z230" s="217">
        <f t="shared" si="631"/>
        <v>10.156905241026664</v>
      </c>
      <c r="AA230" s="173">
        <f t="shared" si="632"/>
        <v>1.6619267669353754</v>
      </c>
      <c r="AB230" s="173">
        <f t="shared" si="633"/>
        <v>2.6681341992746201</v>
      </c>
      <c r="AC230" s="173"/>
      <c r="AD230" s="173">
        <f t="shared" si="634"/>
        <v>0.54541769941969287</v>
      </c>
      <c r="AE230" s="545">
        <f t="shared" si="635"/>
        <v>385.02600891653015</v>
      </c>
      <c r="AF230" s="528">
        <f t="shared" si="636"/>
        <v>0.31816032466148753</v>
      </c>
      <c r="AH230" s="173">
        <f t="shared" si="637"/>
        <v>3.6320089980205346</v>
      </c>
      <c r="AI230" s="173">
        <f t="shared" si="638"/>
        <v>3.6320089980205346</v>
      </c>
      <c r="AJ230" s="173">
        <f t="shared" si="639"/>
        <v>1.4212412331016304</v>
      </c>
      <c r="AL230" s="545">
        <f t="shared" si="640"/>
        <v>350.00000000000006</v>
      </c>
      <c r="AM230" s="460">
        <f t="shared" si="641"/>
        <v>350</v>
      </c>
      <c r="AO230">
        <f t="shared" si="642"/>
        <v>350.00000000000006</v>
      </c>
      <c r="AP230">
        <f t="shared" si="643"/>
        <v>350</v>
      </c>
      <c r="AR230" s="5">
        <f t="shared" si="614"/>
        <v>2.8571428571428572</v>
      </c>
      <c r="AS230" s="5">
        <f t="shared" si="602"/>
        <v>0.42739746913043991</v>
      </c>
      <c r="AT230" s="5">
        <f t="shared" si="603"/>
        <v>2.4297453880124174</v>
      </c>
      <c r="AU230" s="173">
        <f t="shared" si="604"/>
        <v>0.14958911419565396</v>
      </c>
      <c r="BA230" s="173">
        <f t="shared" si="689"/>
        <v>0.8110288134089142</v>
      </c>
      <c r="BB230" s="173">
        <f t="shared" si="690"/>
        <v>1.9337516346180306</v>
      </c>
      <c r="BC230" s="173">
        <f t="shared" si="691"/>
        <v>0.19496020578526047</v>
      </c>
      <c r="BD230" s="173"/>
      <c r="BE230" s="528">
        <f t="shared" si="692"/>
        <v>7.893212834153656E-3</v>
      </c>
      <c r="BF230" s="528">
        <f t="shared" si="644"/>
        <v>1.5929814903704744</v>
      </c>
      <c r="BG230" s="528">
        <f t="shared" si="693"/>
        <v>4.0250000000000001E-2</v>
      </c>
      <c r="BH230" s="528">
        <f t="shared" si="694"/>
        <v>0.81271837776223621</v>
      </c>
      <c r="BI230">
        <f t="shared" si="695"/>
        <v>1.797319728271252E-2</v>
      </c>
      <c r="BJ230" s="460">
        <f t="shared" si="696"/>
        <v>58.223197282712526</v>
      </c>
      <c r="BK230">
        <f t="shared" si="645"/>
        <v>2.4202632764218288</v>
      </c>
      <c r="BL230" s="460">
        <f t="shared" si="697"/>
        <v>2471.8162782495765</v>
      </c>
      <c r="BM230" s="173">
        <f t="shared" si="646"/>
        <v>0.23470999999999997</v>
      </c>
      <c r="BN230" s="173">
        <f t="shared" si="647"/>
        <v>1.6765000000000002E-2</v>
      </c>
      <c r="BQ230" s="460">
        <f t="shared" si="698"/>
        <v>251.47499999999999</v>
      </c>
      <c r="BR230" s="528">
        <f t="shared" si="699"/>
        <v>9.2087483065125993E-3</v>
      </c>
      <c r="BS230" s="528">
        <f t="shared" si="700"/>
        <v>5.2351535381430669E-2</v>
      </c>
      <c r="BT230" s="528">
        <f t="shared" si="701"/>
        <v>1.9004740919915554E-4</v>
      </c>
      <c r="BU230" s="528">
        <f t="shared" si="702"/>
        <v>2.8807621659795424</v>
      </c>
      <c r="BV230" s="528"/>
      <c r="BW230" s="625">
        <f t="shared" si="703"/>
        <v>0.46170212765957447</v>
      </c>
      <c r="BX230" s="460">
        <f t="shared" si="704"/>
        <v>3404.2146247362593</v>
      </c>
      <c r="BY230" s="173">
        <f t="shared" si="705"/>
        <v>6.1275059029858348</v>
      </c>
      <c r="BZ230" s="5">
        <f t="shared" si="706"/>
        <v>10.850000000000001</v>
      </c>
      <c r="CA230" s="173">
        <f t="shared" si="707"/>
        <v>0.63908091459369254</v>
      </c>
      <c r="CB230" s="5">
        <f t="shared" si="708"/>
        <v>63.908091459369253</v>
      </c>
      <c r="CC230">
        <f t="shared" si="709"/>
        <v>14.000000000000002</v>
      </c>
      <c r="CE230" s="562">
        <f t="shared" si="648"/>
        <v>-50</v>
      </c>
      <c r="CG230" s="173">
        <f t="shared" si="649"/>
        <v>0.20279299790673247</v>
      </c>
      <c r="CH230" s="173">
        <f t="shared" si="650"/>
        <v>6.5839918771419259E-2</v>
      </c>
      <c r="CI230" s="170">
        <v>14</v>
      </c>
      <c r="CJ230" s="217">
        <f t="shared" si="710"/>
        <v>0.35000000000000003</v>
      </c>
      <c r="CK230" s="217">
        <f t="shared" si="651"/>
        <v>3.5000000000000003E-2</v>
      </c>
      <c r="CL230" s="217">
        <f t="shared" si="652"/>
        <v>9.8000000000000007</v>
      </c>
      <c r="CM230" s="217">
        <f t="shared" si="653"/>
        <v>1.05</v>
      </c>
      <c r="CN230" s="541">
        <f t="shared" si="654"/>
        <v>40</v>
      </c>
      <c r="CO230" s="443">
        <f t="shared" si="655"/>
        <v>28.7</v>
      </c>
      <c r="CP230" s="443">
        <f t="shared" si="656"/>
        <v>68.7</v>
      </c>
      <c r="CQ230" s="443"/>
      <c r="CR230" s="217">
        <f t="shared" si="657"/>
        <v>0.41520467836257302</v>
      </c>
      <c r="CS230" s="172">
        <f t="shared" si="658"/>
        <v>125.00786015217253</v>
      </c>
      <c r="CT230" s="172">
        <f t="shared" si="659"/>
        <v>14.828738512949037</v>
      </c>
      <c r="CU230" s="217">
        <f t="shared" si="660"/>
        <v>4.4645664340061613</v>
      </c>
      <c r="CV230" s="217">
        <f t="shared" si="661"/>
        <v>4.1669286717390843</v>
      </c>
      <c r="CW230" s="217">
        <f t="shared" si="662"/>
        <v>28</v>
      </c>
      <c r="CX230" s="217">
        <f t="shared" si="663"/>
        <v>1.3065845070422539</v>
      </c>
      <c r="CY230" s="217">
        <f t="shared" si="664"/>
        <v>0.15352367957746485</v>
      </c>
      <c r="CZ230" s="217">
        <f t="shared" si="665"/>
        <v>0.21397028512538652</v>
      </c>
      <c r="DA230" s="197">
        <f t="shared" si="666"/>
        <v>350</v>
      </c>
      <c r="DB230" s="443">
        <f t="shared" si="667"/>
        <v>350</v>
      </c>
      <c r="DD230" s="217">
        <f t="shared" si="668"/>
        <v>10.158258230357086</v>
      </c>
      <c r="DE230" s="173">
        <f t="shared" si="669"/>
        <v>1.6635475150758992</v>
      </c>
      <c r="DF230" s="173">
        <f t="shared" si="670"/>
        <v>2.6710919890125213</v>
      </c>
      <c r="DG230" s="173"/>
      <c r="DH230" s="173">
        <f t="shared" si="671"/>
        <v>0.54587688734030204</v>
      </c>
      <c r="DI230" s="545">
        <f t="shared" si="672"/>
        <v>384.7021276595745</v>
      </c>
      <c r="DJ230" s="528">
        <f t="shared" si="673"/>
        <v>0.31842818428184283</v>
      </c>
      <c r="DL230" s="173">
        <f t="shared" si="674"/>
        <v>3.6320089980205346</v>
      </c>
      <c r="DM230" s="173">
        <f t="shared" si="675"/>
        <v>3.6320089980205346</v>
      </c>
      <c r="DN230" s="173">
        <f t="shared" si="676"/>
        <v>1.4212412331016304</v>
      </c>
      <c r="DP230" s="545">
        <f t="shared" si="677"/>
        <v>350.00000000000006</v>
      </c>
      <c r="DQ230" s="460">
        <f t="shared" si="678"/>
        <v>350</v>
      </c>
      <c r="DS230">
        <f t="shared" si="679"/>
        <v>350.00000000000006</v>
      </c>
      <c r="DT230">
        <f t="shared" si="680"/>
        <v>350</v>
      </c>
      <c r="DV230" s="5">
        <f t="shared" si="681"/>
        <v>2.8571428571428572</v>
      </c>
      <c r="DW230" s="5">
        <f t="shared" si="682"/>
        <v>0.42676105726741281</v>
      </c>
      <c r="DX230" s="5">
        <f t="shared" si="683"/>
        <v>2.4303817998754442</v>
      </c>
      <c r="DY230" s="173">
        <f t="shared" si="684"/>
        <v>0.14936637004359449</v>
      </c>
      <c r="EA230" s="5">
        <f t="shared" si="711"/>
        <v>0.533451321584266</v>
      </c>
      <c r="EB230" s="5">
        <f t="shared" si="712"/>
        <v>4.97887900145315E-2</v>
      </c>
      <c r="EC230" s="5">
        <f t="shared" si="713"/>
        <v>0.42531681497820278</v>
      </c>
      <c r="ED230" s="5"/>
      <c r="EE230" s="173">
        <f t="shared" si="714"/>
        <v>0.81042476134969699</v>
      </c>
      <c r="EF230" s="173">
        <f t="shared" si="715"/>
        <v>1.9340048673048011</v>
      </c>
      <c r="EG230" s="173">
        <f t="shared" si="716"/>
        <v>0.19498573662171356</v>
      </c>
      <c r="EH230" s="173"/>
      <c r="EI230" s="528">
        <f t="shared" si="717"/>
        <v>7.8814595257045601E-3</v>
      </c>
      <c r="EJ230" s="528">
        <f t="shared" si="718"/>
        <v>1.6593014707906715</v>
      </c>
      <c r="EK230" s="528">
        <f t="shared" si="719"/>
        <v>4.0250000000000001E-2</v>
      </c>
      <c r="EL230" s="528">
        <f t="shared" si="720"/>
        <v>0.81355656375000007</v>
      </c>
      <c r="EM230">
        <f t="shared" si="721"/>
        <v>1.7999999999999999E-2</v>
      </c>
      <c r="EN230" s="460">
        <f t="shared" si="722"/>
        <v>58.249999999999993</v>
      </c>
      <c r="EP230" s="460">
        <f t="shared" si="723"/>
        <v>2538.9894940663758</v>
      </c>
      <c r="EQ230" s="173">
        <f t="shared" si="724"/>
        <v>0.245</v>
      </c>
      <c r="ER230" s="173">
        <f t="shared" si="685"/>
        <v>1.6765000000000002E-2</v>
      </c>
      <c r="ES230" s="528"/>
      <c r="EU230" s="460">
        <f t="shared" si="725"/>
        <v>261.76500000000004</v>
      </c>
      <c r="EV230" s="528">
        <f t="shared" si="726"/>
        <v>9.1950361133219857E-3</v>
      </c>
      <c r="EW230" s="528">
        <f t="shared" si="727"/>
        <v>5.2365247574621264E-2</v>
      </c>
      <c r="EX230" s="528">
        <f t="shared" si="728"/>
        <v>1.9009718742956126E-4</v>
      </c>
      <c r="EY230" s="528">
        <f t="shared" si="729"/>
        <v>2.8807621659795424</v>
      </c>
      <c r="EZ230" s="528"/>
      <c r="FA230" s="625">
        <f t="shared" si="730"/>
        <v>0.46170212765957447</v>
      </c>
      <c r="FB230" s="460">
        <f t="shared" si="731"/>
        <v>3404.2146745144896</v>
      </c>
      <c r="FC230" s="173">
        <f t="shared" si="732"/>
        <v>6.204969168580865</v>
      </c>
      <c r="FD230" s="5">
        <f t="shared" si="733"/>
        <v>10.850000000000001</v>
      </c>
      <c r="FE230" s="173">
        <f t="shared" si="734"/>
        <v>0.63617822423204196</v>
      </c>
      <c r="FF230" s="5">
        <f t="shared" si="735"/>
        <v>63.617822423204196</v>
      </c>
      <c r="FG230">
        <f t="shared" si="736"/>
        <v>14.000000000000002</v>
      </c>
      <c r="FI230" s="562">
        <f t="shared" si="686"/>
        <v>-50</v>
      </c>
    </row>
    <row r="231" spans="5:165">
      <c r="E231" s="170">
        <v>15</v>
      </c>
      <c r="F231" s="217">
        <f t="shared" si="687"/>
        <v>0.375</v>
      </c>
      <c r="G231" s="217">
        <f t="shared" si="615"/>
        <v>3.7499999999999999E-2</v>
      </c>
      <c r="H231" s="217">
        <f t="shared" si="616"/>
        <v>10.5</v>
      </c>
      <c r="I231" s="217">
        <f t="shared" si="617"/>
        <v>1.125</v>
      </c>
      <c r="J231" s="541">
        <f t="shared" si="618"/>
        <v>39.938347893010402</v>
      </c>
      <c r="K231" s="443">
        <f t="shared" si="619"/>
        <v>28.725010636035368</v>
      </c>
      <c r="L231" s="172">
        <f t="shared" si="620"/>
        <v>68.663358529045766</v>
      </c>
      <c r="M231" s="443"/>
      <c r="N231" s="217">
        <f t="shared" si="621"/>
        <v>0.41834555214604308</v>
      </c>
      <c r="O231" s="172">
        <f t="shared" si="622"/>
        <v>125.75936710507028</v>
      </c>
      <c r="P231" s="172">
        <f t="shared" si="623"/>
        <v>14.917884108126959</v>
      </c>
      <c r="Q231" s="217">
        <f t="shared" si="624"/>
        <v>4.4914059680382241</v>
      </c>
      <c r="R231" s="217">
        <f t="shared" si="625"/>
        <v>4.1919789035023429</v>
      </c>
      <c r="S231" s="217">
        <f t="shared" si="626"/>
        <v>28</v>
      </c>
      <c r="T231" s="217">
        <f t="shared" si="627"/>
        <v>1.3915464432465681</v>
      </c>
      <c r="U231" s="217">
        <f t="shared" si="628"/>
        <v>0.16375910943485672</v>
      </c>
      <c r="V231" s="217">
        <f t="shared" si="629"/>
        <v>0.22768549561663656</v>
      </c>
      <c r="W231" s="197">
        <f t="shared" si="630"/>
        <v>350</v>
      </c>
      <c r="X231" s="443">
        <f t="shared" si="688"/>
        <v>350</v>
      </c>
      <c r="Z231" s="217">
        <f t="shared" si="631"/>
        <v>10.156857265107716</v>
      </c>
      <c r="AA231" s="173">
        <f t="shared" si="632"/>
        <v>1.6618698510113055</v>
      </c>
      <c r="AB231" s="173">
        <f t="shared" si="633"/>
        <v>2.6680302213724998</v>
      </c>
      <c r="AC231" s="173"/>
      <c r="AD231" s="173">
        <f t="shared" si="634"/>
        <v>0.54540159671909472</v>
      </c>
      <c r="AE231" s="545">
        <f t="shared" si="635"/>
        <v>412.54004636859293</v>
      </c>
      <c r="AF231" s="528">
        <f t="shared" si="636"/>
        <v>0.31815093141947193</v>
      </c>
      <c r="AH231" s="173">
        <f t="shared" si="637"/>
        <v>3.7594864811332553</v>
      </c>
      <c r="AI231" s="173">
        <f t="shared" si="638"/>
        <v>3.7594864811332553</v>
      </c>
      <c r="AJ231" s="173">
        <f t="shared" si="639"/>
        <v>1.5156689983703124</v>
      </c>
      <c r="AL231" s="545">
        <f t="shared" si="640"/>
        <v>375</v>
      </c>
      <c r="AM231" s="460">
        <f t="shared" si="641"/>
        <v>350</v>
      </c>
      <c r="AO231">
        <f t="shared" si="642"/>
        <v>375</v>
      </c>
      <c r="AP231">
        <f t="shared" si="643"/>
        <v>350</v>
      </c>
      <c r="AR231" s="5">
        <f t="shared" si="614"/>
        <v>2.8571428571428572</v>
      </c>
      <c r="AS231" s="5">
        <f t="shared" si="602"/>
        <v>0.44242156707785724</v>
      </c>
      <c r="AT231" s="5">
        <f t="shared" si="603"/>
        <v>2.4147212900650001</v>
      </c>
      <c r="AU231" s="173">
        <f t="shared" si="604"/>
        <v>0.15484754847725002</v>
      </c>
      <c r="BA231" s="173">
        <f t="shared" si="689"/>
        <v>0.85412231233992009</v>
      </c>
      <c r="BB231" s="173">
        <f t="shared" si="690"/>
        <v>1.9954250865845629</v>
      </c>
      <c r="BC231" s="173">
        <f t="shared" si="691"/>
        <v>0.20117810299172234</v>
      </c>
      <c r="BD231" s="173"/>
      <c r="BE231" s="528">
        <f t="shared" si="692"/>
        <v>8.7542990932427036E-3</v>
      </c>
      <c r="BF231" s="528">
        <f t="shared" si="644"/>
        <v>1.648862658988842</v>
      </c>
      <c r="BG231" s="528">
        <f t="shared" si="693"/>
        <v>4.0250000000000001E-2</v>
      </c>
      <c r="BH231" s="528">
        <f t="shared" si="694"/>
        <v>0.81268896667366752</v>
      </c>
      <c r="BI231">
        <f t="shared" si="695"/>
        <v>1.7972256551854679E-2</v>
      </c>
      <c r="BJ231" s="460">
        <f t="shared" si="696"/>
        <v>58.222256551854677</v>
      </c>
      <c r="BK231">
        <f t="shared" si="645"/>
        <v>2.4778235116004339</v>
      </c>
      <c r="BL231" s="460">
        <f t="shared" si="697"/>
        <v>2528.5281813076067</v>
      </c>
      <c r="BM231" s="173">
        <f t="shared" si="646"/>
        <v>0.25147499999999995</v>
      </c>
      <c r="BN231" s="173">
        <f t="shared" si="647"/>
        <v>1.7962499999999999E-2</v>
      </c>
      <c r="BQ231" s="460">
        <f t="shared" si="698"/>
        <v>269.43749999999994</v>
      </c>
      <c r="BR231" s="528">
        <f t="shared" si="699"/>
        <v>1.0213348942116488E-2</v>
      </c>
      <c r="BS231" s="528">
        <f t="shared" si="700"/>
        <v>5.5744097866394143E-2</v>
      </c>
      <c r="BT231" s="528">
        <f t="shared" si="701"/>
        <v>2.0236314561674021E-4</v>
      </c>
      <c r="BU231" s="528">
        <f t="shared" si="702"/>
        <v>3.1402298235666453</v>
      </c>
      <c r="BV231" s="528"/>
      <c r="BW231" s="625">
        <f t="shared" si="703"/>
        <v>0.49468085106382981</v>
      </c>
      <c r="BX231" s="460">
        <f t="shared" si="704"/>
        <v>3701.0704845846021</v>
      </c>
      <c r="BY231" s="173">
        <f t="shared" si="705"/>
        <v>6.4990361658922096</v>
      </c>
      <c r="BZ231" s="5">
        <f t="shared" si="706"/>
        <v>11.625</v>
      </c>
      <c r="CA231" s="173">
        <f t="shared" si="707"/>
        <v>0.64141341882097946</v>
      </c>
      <c r="CB231" s="5">
        <f t="shared" si="708"/>
        <v>64.141341882097947</v>
      </c>
      <c r="CC231">
        <f t="shared" si="709"/>
        <v>15</v>
      </c>
      <c r="CE231" s="562">
        <f t="shared" si="648"/>
        <v>-50</v>
      </c>
      <c r="CG231" s="173">
        <f t="shared" si="649"/>
        <v>0.20991069529683332</v>
      </c>
      <c r="CH231" s="173">
        <f t="shared" si="650"/>
        <v>6.8150790561081892E-2</v>
      </c>
      <c r="CI231" s="170">
        <v>15</v>
      </c>
      <c r="CJ231" s="217">
        <f t="shared" si="710"/>
        <v>0.375</v>
      </c>
      <c r="CK231" s="217">
        <f t="shared" si="651"/>
        <v>3.7499999999999999E-2</v>
      </c>
      <c r="CL231" s="217">
        <f t="shared" si="652"/>
        <v>10.5</v>
      </c>
      <c r="CM231" s="217">
        <f t="shared" si="653"/>
        <v>1.125</v>
      </c>
      <c r="CN231" s="541">
        <f t="shared" si="654"/>
        <v>40</v>
      </c>
      <c r="CO231" s="443">
        <f t="shared" si="655"/>
        <v>28.7</v>
      </c>
      <c r="CP231" s="443">
        <f t="shared" si="656"/>
        <v>68.7</v>
      </c>
      <c r="CQ231" s="443"/>
      <c r="CR231" s="217">
        <f t="shared" si="657"/>
        <v>0.41520467836257302</v>
      </c>
      <c r="CS231" s="172">
        <f t="shared" si="658"/>
        <v>125.00786015217253</v>
      </c>
      <c r="CT231" s="172">
        <f t="shared" si="659"/>
        <v>14.828738512949037</v>
      </c>
      <c r="CU231" s="217">
        <f t="shared" si="660"/>
        <v>4.4645664340061613</v>
      </c>
      <c r="CV231" s="217">
        <f t="shared" si="661"/>
        <v>4.1669286717390843</v>
      </c>
      <c r="CW231" s="217">
        <f t="shared" si="662"/>
        <v>28</v>
      </c>
      <c r="CX231" s="217">
        <f t="shared" si="663"/>
        <v>1.3999119718309863</v>
      </c>
      <c r="CY231" s="217">
        <f t="shared" si="664"/>
        <v>0.16448965669014087</v>
      </c>
      <c r="CZ231" s="217">
        <f t="shared" si="665"/>
        <v>0.22925387692005697</v>
      </c>
      <c r="DA231" s="197">
        <f t="shared" si="666"/>
        <v>350</v>
      </c>
      <c r="DB231" s="443">
        <f t="shared" si="667"/>
        <v>350</v>
      </c>
      <c r="DD231" s="217">
        <f t="shared" si="668"/>
        <v>10.158258230357086</v>
      </c>
      <c r="DE231" s="173">
        <f t="shared" si="669"/>
        <v>1.6635475150758992</v>
      </c>
      <c r="DF231" s="173">
        <f t="shared" si="670"/>
        <v>2.6710919890125213</v>
      </c>
      <c r="DG231" s="173"/>
      <c r="DH231" s="173">
        <f t="shared" si="671"/>
        <v>0.54587688734030204</v>
      </c>
      <c r="DI231" s="545">
        <f t="shared" si="672"/>
        <v>412.18085106382978</v>
      </c>
      <c r="DJ231" s="528">
        <f t="shared" si="673"/>
        <v>0.31842818428184283</v>
      </c>
      <c r="DL231" s="173">
        <f t="shared" si="674"/>
        <v>3.7594864811332553</v>
      </c>
      <c r="DM231" s="173">
        <f t="shared" si="675"/>
        <v>3.7594864811332553</v>
      </c>
      <c r="DN231" s="173">
        <f t="shared" si="676"/>
        <v>1.5156689983703124</v>
      </c>
      <c r="DP231" s="545">
        <f t="shared" si="677"/>
        <v>375</v>
      </c>
      <c r="DQ231" s="460">
        <f t="shared" si="678"/>
        <v>350</v>
      </c>
      <c r="DS231">
        <f t="shared" si="679"/>
        <v>375</v>
      </c>
      <c r="DT231">
        <f t="shared" si="680"/>
        <v>350</v>
      </c>
      <c r="DV231" s="5">
        <f t="shared" si="681"/>
        <v>2.8571428571428572</v>
      </c>
      <c r="DW231" s="5">
        <f t="shared" si="682"/>
        <v>0.44173966153315752</v>
      </c>
      <c r="DX231" s="5">
        <f t="shared" si="683"/>
        <v>2.4154031956096995</v>
      </c>
      <c r="DY231" s="173">
        <f t="shared" si="684"/>
        <v>0.15460888153660513</v>
      </c>
      <c r="EA231" s="5">
        <f t="shared" si="711"/>
        <v>0.5916156181247646</v>
      </c>
      <c r="EB231" s="5">
        <f t="shared" si="712"/>
        <v>5.5217457691644684E-2</v>
      </c>
      <c r="EC231" s="5">
        <f t="shared" si="713"/>
        <v>0.45288809917681866</v>
      </c>
      <c r="ED231" s="5"/>
      <c r="EE231" s="173">
        <f t="shared" si="714"/>
        <v>0.85346382800887832</v>
      </c>
      <c r="EF231" s="173">
        <f t="shared" si="715"/>
        <v>1.9957068158645783</v>
      </c>
      <c r="EG231" s="173">
        <f t="shared" si="716"/>
        <v>0.2012065068453632</v>
      </c>
      <c r="EH231" s="173"/>
      <c r="EI231" s="528">
        <f t="shared" si="717"/>
        <v>8.7408060686348186E-3</v>
      </c>
      <c r="EJ231" s="528">
        <f t="shared" si="718"/>
        <v>1.7175401963381334</v>
      </c>
      <c r="EK231" s="528">
        <f t="shared" si="719"/>
        <v>4.0250000000000001E-2</v>
      </c>
      <c r="EL231" s="528">
        <f t="shared" si="720"/>
        <v>0.81355656375000007</v>
      </c>
      <c r="EM231">
        <f t="shared" si="721"/>
        <v>1.7999999999999999E-2</v>
      </c>
      <c r="EN231" s="460">
        <f t="shared" si="722"/>
        <v>58.249999999999993</v>
      </c>
      <c r="EP231" s="460">
        <f t="shared" si="723"/>
        <v>2598.0875661567684</v>
      </c>
      <c r="EQ231" s="173">
        <f t="shared" si="724"/>
        <v>0.26249999999999996</v>
      </c>
      <c r="ER231" s="173">
        <f t="shared" si="685"/>
        <v>1.7962499999999999E-2</v>
      </c>
      <c r="ES231" s="528"/>
      <c r="EU231" s="460">
        <f t="shared" si="725"/>
        <v>280.46249999999992</v>
      </c>
      <c r="EV231" s="528">
        <f t="shared" si="726"/>
        <v>1.0197607080073955E-2</v>
      </c>
      <c r="EW231" s="528">
        <f t="shared" si="727"/>
        <v>5.5759839728436671E-2</v>
      </c>
      <c r="EX231" s="528">
        <f t="shared" si="728"/>
        <v>2.0242029198456592E-4</v>
      </c>
      <c r="EY231" s="528">
        <f t="shared" si="729"/>
        <v>3.1402298235666453</v>
      </c>
      <c r="EZ231" s="528"/>
      <c r="FA231" s="625">
        <f t="shared" si="730"/>
        <v>0.49468085106382981</v>
      </c>
      <c r="FB231" s="460">
        <f t="shared" si="731"/>
        <v>3701.0705417309705</v>
      </c>
      <c r="FC231" s="173">
        <f t="shared" si="732"/>
        <v>6.5796206078877386</v>
      </c>
      <c r="FD231" s="5">
        <f t="shared" si="733"/>
        <v>11.625</v>
      </c>
      <c r="FE231" s="173">
        <f t="shared" si="734"/>
        <v>0.6385741428175159</v>
      </c>
      <c r="FF231" s="5">
        <f t="shared" si="735"/>
        <v>63.857414281751588</v>
      </c>
      <c r="FG231">
        <f t="shared" si="736"/>
        <v>15</v>
      </c>
      <c r="FI231" s="562">
        <f t="shared" si="686"/>
        <v>-50</v>
      </c>
    </row>
    <row r="232" spans="5:165">
      <c r="E232" s="170">
        <v>16</v>
      </c>
      <c r="F232" s="217">
        <f t="shared" si="687"/>
        <v>0.4</v>
      </c>
      <c r="G232" s="217">
        <f t="shared" si="615"/>
        <v>0.04</v>
      </c>
      <c r="H232" s="217">
        <f t="shared" si="616"/>
        <v>11.200000000000001</v>
      </c>
      <c r="I232" s="217">
        <f t="shared" si="617"/>
        <v>1.2</v>
      </c>
      <c r="J232" s="541">
        <f t="shared" si="618"/>
        <v>39.93632597769885</v>
      </c>
      <c r="K232" s="443">
        <f t="shared" si="619"/>
        <v>28.725830873824808</v>
      </c>
      <c r="L232" s="172">
        <f t="shared" si="620"/>
        <v>68.662156851523662</v>
      </c>
      <c r="M232" s="443"/>
      <c r="N232" s="217">
        <f t="shared" si="621"/>
        <v>0.41836481973530315</v>
      </c>
      <c r="O232" s="172">
        <f t="shared" si="622"/>
        <v>125.75879218263654</v>
      </c>
      <c r="P232" s="172">
        <f t="shared" si="623"/>
        <v>14.917815909419895</v>
      </c>
      <c r="Q232" s="217">
        <f t="shared" si="624"/>
        <v>4.4913854350941618</v>
      </c>
      <c r="R232" s="217">
        <f t="shared" si="625"/>
        <v>4.1919597394212182</v>
      </c>
      <c r="S232" s="217">
        <f t="shared" si="626"/>
        <v>28</v>
      </c>
      <c r="T232" s="217">
        <f t="shared" si="627"/>
        <v>1.4843229918714156</v>
      </c>
      <c r="U232" s="217">
        <f t="shared" si="628"/>
        <v>0.17468602559212262</v>
      </c>
      <c r="V232" s="217">
        <f t="shared" si="629"/>
        <v>0.24285870415509989</v>
      </c>
      <c r="W232" s="197">
        <f t="shared" si="630"/>
        <v>350</v>
      </c>
      <c r="X232" s="443">
        <f t="shared" si="688"/>
        <v>350</v>
      </c>
      <c r="Z232" s="217">
        <f t="shared" si="631"/>
        <v>10.156810831945462</v>
      </c>
      <c r="AA232" s="173">
        <f t="shared" si="632"/>
        <v>1.6618148007562765</v>
      </c>
      <c r="AB232" s="173">
        <f t="shared" si="633"/>
        <v>2.667929644778785</v>
      </c>
      <c r="AC232" s="173"/>
      <c r="AD232" s="173">
        <f t="shared" si="634"/>
        <v>0.54538602331402886</v>
      </c>
      <c r="AE232" s="545">
        <f t="shared" si="635"/>
        <v>440.05528147135874</v>
      </c>
      <c r="AF232" s="528">
        <f t="shared" si="636"/>
        <v>0.31814184693318354</v>
      </c>
      <c r="AH232" s="173">
        <f t="shared" si="637"/>
        <v>3.8827809417922725</v>
      </c>
      <c r="AI232" s="173">
        <f t="shared" si="638"/>
        <v>3.8827809417922725</v>
      </c>
      <c r="AJ232" s="173">
        <f t="shared" si="639"/>
        <v>1.606998228488103</v>
      </c>
      <c r="AL232" s="545">
        <f t="shared" si="640"/>
        <v>400</v>
      </c>
      <c r="AM232" s="460">
        <f t="shared" si="641"/>
        <v>350</v>
      </c>
      <c r="AO232">
        <f t="shared" si="642"/>
        <v>400</v>
      </c>
      <c r="AP232">
        <f t="shared" si="643"/>
        <v>350</v>
      </c>
      <c r="AR232" s="5">
        <f t="shared" si="614"/>
        <v>2.8571428571428572</v>
      </c>
      <c r="AS232" s="5">
        <f t="shared" si="602"/>
        <v>0.45695416340036593</v>
      </c>
      <c r="AT232" s="5">
        <f t="shared" si="603"/>
        <v>2.4001886937424914</v>
      </c>
      <c r="AU232" s="173">
        <f t="shared" si="604"/>
        <v>0.15993395719012807</v>
      </c>
      <c r="BA232" s="173">
        <f t="shared" si="689"/>
        <v>0.89650476743714136</v>
      </c>
      <c r="BB232" s="173">
        <f t="shared" si="690"/>
        <v>2.0546553196609172</v>
      </c>
      <c r="BC232" s="173">
        <f t="shared" si="691"/>
        <v>0.20714967567073181</v>
      </c>
      <c r="BD232" s="173"/>
      <c r="BE232" s="528">
        <f t="shared" si="692"/>
        <v>9.6446495764502763E-3</v>
      </c>
      <c r="BF232" s="528">
        <f t="shared" si="644"/>
        <v>1.7029082284652977</v>
      </c>
      <c r="BG232" s="528">
        <f t="shared" si="693"/>
        <v>4.0250000000000001E-2</v>
      </c>
      <c r="BH232" s="528">
        <f t="shared" si="694"/>
        <v>0.81266052118137055</v>
      </c>
      <c r="BI232">
        <f t="shared" si="695"/>
        <v>1.7971346689964481E-2</v>
      </c>
      <c r="BJ232" s="460">
        <f t="shared" si="696"/>
        <v>58.221346689964484</v>
      </c>
      <c r="BK232">
        <f t="shared" si="645"/>
        <v>2.5336234268510536</v>
      </c>
      <c r="BL232" s="460">
        <f t="shared" si="697"/>
        <v>2583.4347459130827</v>
      </c>
      <c r="BM232" s="173">
        <f t="shared" si="646"/>
        <v>0.26823999999999998</v>
      </c>
      <c r="BN232" s="173">
        <f t="shared" si="647"/>
        <v>1.916E-2</v>
      </c>
      <c r="BQ232" s="460">
        <f t="shared" si="698"/>
        <v>287.39999999999998</v>
      </c>
      <c r="BR232" s="528">
        <f t="shared" si="699"/>
        <v>1.1252091172525321E-2</v>
      </c>
      <c r="BS232" s="528">
        <f t="shared" si="700"/>
        <v>5.9102518756552681E-2</v>
      </c>
      <c r="BT232" s="528">
        <f t="shared" si="701"/>
        <v>2.145549406524469E-4</v>
      </c>
      <c r="BU232" s="528">
        <f t="shared" si="702"/>
        <v>3.4040610348501339</v>
      </c>
      <c r="BV232" s="528"/>
      <c r="BW232" s="625">
        <f t="shared" si="703"/>
        <v>0.52765957446808509</v>
      </c>
      <c r="BX232" s="460">
        <f t="shared" si="704"/>
        <v>4002.2897741879497</v>
      </c>
      <c r="BY232" s="173">
        <f t="shared" si="705"/>
        <v>6.8731245201010323</v>
      </c>
      <c r="BZ232" s="5">
        <f t="shared" si="706"/>
        <v>12.4</v>
      </c>
      <c r="CA232" s="173">
        <f t="shared" si="707"/>
        <v>0.64338296507488124</v>
      </c>
      <c r="CB232" s="5">
        <f t="shared" si="708"/>
        <v>64.338296507488124</v>
      </c>
      <c r="CC232">
        <f t="shared" si="709"/>
        <v>16</v>
      </c>
      <c r="CE232" s="562">
        <f t="shared" si="648"/>
        <v>-50</v>
      </c>
      <c r="CG232" s="173">
        <f t="shared" si="649"/>
        <v>0.216794833886788</v>
      </c>
      <c r="CH232" s="173">
        <f t="shared" si="650"/>
        <v>7.0385833833050609E-2</v>
      </c>
      <c r="CI232" s="170">
        <v>16</v>
      </c>
      <c r="CJ232" s="217">
        <f t="shared" si="710"/>
        <v>0.4</v>
      </c>
      <c r="CK232" s="217">
        <f t="shared" si="651"/>
        <v>0.04</v>
      </c>
      <c r="CL232" s="217">
        <f t="shared" si="652"/>
        <v>11.200000000000001</v>
      </c>
      <c r="CM232" s="217">
        <f t="shared" si="653"/>
        <v>1.2</v>
      </c>
      <c r="CN232" s="541">
        <f t="shared" si="654"/>
        <v>40</v>
      </c>
      <c r="CO232" s="443">
        <f t="shared" si="655"/>
        <v>28.7</v>
      </c>
      <c r="CP232" s="443">
        <f t="shared" si="656"/>
        <v>68.7</v>
      </c>
      <c r="CQ232" s="443"/>
      <c r="CR232" s="217">
        <f t="shared" si="657"/>
        <v>0.41520467836257302</v>
      </c>
      <c r="CS232" s="172">
        <f t="shared" si="658"/>
        <v>125.00786015217253</v>
      </c>
      <c r="CT232" s="172">
        <f t="shared" si="659"/>
        <v>14.828738512949037</v>
      </c>
      <c r="CU232" s="217">
        <f t="shared" si="660"/>
        <v>4.4645664340061613</v>
      </c>
      <c r="CV232" s="217">
        <f t="shared" si="661"/>
        <v>4.1669286717390843</v>
      </c>
      <c r="CW232" s="217">
        <f t="shared" si="662"/>
        <v>28</v>
      </c>
      <c r="CX232" s="217">
        <f t="shared" si="663"/>
        <v>1.4932394366197188</v>
      </c>
      <c r="CY232" s="217">
        <f t="shared" si="664"/>
        <v>0.17545563380281695</v>
      </c>
      <c r="CZ232" s="217">
        <f t="shared" si="665"/>
        <v>0.24453746871472748</v>
      </c>
      <c r="DA232" s="197">
        <f t="shared" si="666"/>
        <v>350</v>
      </c>
      <c r="DB232" s="443">
        <f t="shared" si="667"/>
        <v>350</v>
      </c>
      <c r="DD232" s="217">
        <f t="shared" si="668"/>
        <v>10.158258230357086</v>
      </c>
      <c r="DE232" s="173">
        <f t="shared" si="669"/>
        <v>1.6635475150758992</v>
      </c>
      <c r="DF232" s="173">
        <f t="shared" si="670"/>
        <v>2.6710919890125213</v>
      </c>
      <c r="DG232" s="173"/>
      <c r="DH232" s="173">
        <f t="shared" si="671"/>
        <v>0.54587688734030204</v>
      </c>
      <c r="DI232" s="545">
        <f t="shared" si="672"/>
        <v>439.65957446808511</v>
      </c>
      <c r="DJ232" s="528">
        <f t="shared" si="673"/>
        <v>0.31842818428184283</v>
      </c>
      <c r="DL232" s="173">
        <f t="shared" si="674"/>
        <v>3.8827809417922725</v>
      </c>
      <c r="DM232" s="173">
        <f t="shared" si="675"/>
        <v>3.8827809417922725</v>
      </c>
      <c r="DN232" s="173">
        <f t="shared" si="676"/>
        <v>1.606998228488103</v>
      </c>
      <c r="DP232" s="545">
        <f t="shared" si="677"/>
        <v>400</v>
      </c>
      <c r="DQ232" s="460">
        <f t="shared" si="678"/>
        <v>350</v>
      </c>
      <c r="DS232">
        <f t="shared" si="679"/>
        <v>400</v>
      </c>
      <c r="DT232">
        <f t="shared" si="680"/>
        <v>350</v>
      </c>
      <c r="DV232" s="5">
        <f t="shared" si="681"/>
        <v>2.8571428571428572</v>
      </c>
      <c r="DW232" s="5">
        <f t="shared" si="682"/>
        <v>0.45622676066059198</v>
      </c>
      <c r="DX232" s="5">
        <f t="shared" si="683"/>
        <v>2.4009160964822653</v>
      </c>
      <c r="DY232" s="173">
        <f t="shared" si="684"/>
        <v>0.15967936623120718</v>
      </c>
      <c r="EA232" s="5">
        <f t="shared" si="711"/>
        <v>0.65175251522941724</v>
      </c>
      <c r="EB232" s="5">
        <f t="shared" si="712"/>
        <v>6.0830234754745603E-2</v>
      </c>
      <c r="EC232" s="5">
        <f t="shared" si="713"/>
        <v>0.48018321929645308</v>
      </c>
      <c r="ED232" s="5"/>
      <c r="EE232" s="173">
        <f t="shared" si="714"/>
        <v>0.8957909324374016</v>
      </c>
      <c r="EF232" s="173">
        <f t="shared" si="715"/>
        <v>2.0549666386614063</v>
      </c>
      <c r="EG232" s="173">
        <f t="shared" si="716"/>
        <v>0.20718106275028933</v>
      </c>
      <c r="EH232" s="173"/>
      <c r="EI232" s="528">
        <f t="shared" si="717"/>
        <v>9.629296735644834E-3</v>
      </c>
      <c r="EJ232" s="528">
        <f t="shared" si="718"/>
        <v>1.7738678871625086</v>
      </c>
      <c r="EK232" s="528">
        <f t="shared" si="719"/>
        <v>4.0250000000000001E-2</v>
      </c>
      <c r="EL232" s="528">
        <f t="shared" si="720"/>
        <v>0.81355656375000007</v>
      </c>
      <c r="EM232">
        <f t="shared" si="721"/>
        <v>1.7999999999999999E-2</v>
      </c>
      <c r="EN232" s="460">
        <f t="shared" si="722"/>
        <v>58.249999999999993</v>
      </c>
      <c r="EP232" s="460">
        <f t="shared" si="723"/>
        <v>2655.3037476481531</v>
      </c>
      <c r="EQ232" s="173">
        <f t="shared" si="724"/>
        <v>0.27999999999999997</v>
      </c>
      <c r="ER232" s="173">
        <f t="shared" si="685"/>
        <v>1.916E-2</v>
      </c>
      <c r="ES232" s="528"/>
      <c r="EU232" s="460">
        <f t="shared" si="725"/>
        <v>299.15999999999997</v>
      </c>
      <c r="EV232" s="528">
        <f t="shared" si="726"/>
        <v>1.1234179524918972E-2</v>
      </c>
      <c r="EW232" s="528">
        <f t="shared" si="727"/>
        <v>5.912043040415902E-2</v>
      </c>
      <c r="EX232" s="528">
        <f t="shared" si="728"/>
        <v>2.1461996381169662E-4</v>
      </c>
      <c r="EY232" s="528">
        <f t="shared" si="729"/>
        <v>3.4040610348501339</v>
      </c>
      <c r="EZ232" s="528"/>
      <c r="FA232" s="625">
        <f t="shared" si="730"/>
        <v>0.52765957446808509</v>
      </c>
      <c r="FB232" s="460">
        <f t="shared" si="731"/>
        <v>4002.2898392111088</v>
      </c>
      <c r="FC232" s="173">
        <f t="shared" si="732"/>
        <v>6.9567535868592616</v>
      </c>
      <c r="FD232" s="5">
        <f t="shared" si="733"/>
        <v>12.4</v>
      </c>
      <c r="FE232" s="173">
        <f t="shared" si="734"/>
        <v>0.64060328837465808</v>
      </c>
      <c r="FF232" s="5">
        <f t="shared" si="735"/>
        <v>64.060328837465804</v>
      </c>
      <c r="FG232">
        <f t="shared" si="736"/>
        <v>16</v>
      </c>
      <c r="FI232" s="562">
        <f t="shared" si="686"/>
        <v>-50</v>
      </c>
    </row>
    <row r="233" spans="5:165">
      <c r="E233" s="170">
        <v>17</v>
      </c>
      <c r="F233" s="217">
        <f t="shared" si="687"/>
        <v>0.42500000000000004</v>
      </c>
      <c r="G233" s="217">
        <f t="shared" si="615"/>
        <v>4.2500000000000003E-2</v>
      </c>
      <c r="H233" s="217">
        <f t="shared" si="616"/>
        <v>11.900000000000002</v>
      </c>
      <c r="I233" s="217">
        <f t="shared" si="617"/>
        <v>1.2750000000000001</v>
      </c>
      <c r="J233" s="541">
        <f t="shared" si="618"/>
        <v>39.934366320111103</v>
      </c>
      <c r="K233" s="443">
        <f t="shared" si="619"/>
        <v>28.726625855295421</v>
      </c>
      <c r="L233" s="172">
        <f t="shared" si="620"/>
        <v>68.66099217540652</v>
      </c>
      <c r="M233" s="443"/>
      <c r="N233" s="217">
        <f t="shared" si="621"/>
        <v>0.41838349469096264</v>
      </c>
      <c r="O233" s="172">
        <f t="shared" si="622"/>
        <v>125.75823459670981</v>
      </c>
      <c r="P233" s="172">
        <f t="shared" si="623"/>
        <v>14.917749767211751</v>
      </c>
      <c r="Q233" s="217">
        <f t="shared" si="624"/>
        <v>4.4913655213110646</v>
      </c>
      <c r="R233" s="217">
        <f t="shared" si="625"/>
        <v>4.1919411532236603</v>
      </c>
      <c r="S233" s="217">
        <f t="shared" si="626"/>
        <v>28</v>
      </c>
      <c r="T233" s="217">
        <f t="shared" si="627"/>
        <v>1.5771001713674051</v>
      </c>
      <c r="U233" s="217">
        <f t="shared" si="628"/>
        <v>0.18561383310829963</v>
      </c>
      <c r="V233" s="217">
        <f t="shared" si="629"/>
        <v>0.2580313762836306</v>
      </c>
      <c r="W233" s="197">
        <f t="shared" si="630"/>
        <v>350</v>
      </c>
      <c r="X233" s="443">
        <f t="shared" si="688"/>
        <v>350</v>
      </c>
      <c r="Z233" s="217">
        <f t="shared" si="631"/>
        <v>10.156765798952682</v>
      </c>
      <c r="AA233" s="173">
        <f t="shared" si="632"/>
        <v>1.6617614437401069</v>
      </c>
      <c r="AB233" s="173">
        <f t="shared" si="633"/>
        <v>2.6678321551357733</v>
      </c>
      <c r="AC233" s="173"/>
      <c r="AD233" s="173">
        <f t="shared" si="634"/>
        <v>0.54537093028552452</v>
      </c>
      <c r="AE233" s="545">
        <f t="shared" si="635"/>
        <v>467.57167615534047</v>
      </c>
      <c r="AF233" s="528">
        <f t="shared" si="636"/>
        <v>0.31813304266655595</v>
      </c>
      <c r="AH233" s="173">
        <f t="shared" si="637"/>
        <v>4.00227898603619</v>
      </c>
      <c r="AI233" s="173">
        <f t="shared" si="638"/>
        <v>4.00227898603619</v>
      </c>
      <c r="AJ233" s="173">
        <f t="shared" si="639"/>
        <v>1.6955152982984123</v>
      </c>
      <c r="AL233" s="545">
        <f t="shared" si="640"/>
        <v>425.00000000000006</v>
      </c>
      <c r="AM233" s="460">
        <f t="shared" si="641"/>
        <v>350</v>
      </c>
      <c r="AO233">
        <f t="shared" si="642"/>
        <v>425.00000000000006</v>
      </c>
      <c r="AP233">
        <f t="shared" si="643"/>
        <v>350</v>
      </c>
      <c r="AR233" s="5">
        <f t="shared" si="614"/>
        <v>2.8571428571428572</v>
      </c>
      <c r="AS233" s="5">
        <f t="shared" si="602"/>
        <v>0.47104068419628192</v>
      </c>
      <c r="AT233" s="5">
        <f t="shared" si="603"/>
        <v>2.3861021729465755</v>
      </c>
      <c r="AU233" s="173">
        <f t="shared" si="604"/>
        <v>0.16486423946869866</v>
      </c>
      <c r="BA233" s="173">
        <f t="shared" si="689"/>
        <v>0.93823139899214314</v>
      </c>
      <c r="BB233" s="173">
        <f t="shared" si="690"/>
        <v>2.1116662147778476</v>
      </c>
      <c r="BC233" s="173">
        <f t="shared" si="691"/>
        <v>0.21289749542432398</v>
      </c>
      <c r="BD233" s="173"/>
      <c r="BE233" s="528">
        <f t="shared" si="692"/>
        <v>1.056333789665705E-2</v>
      </c>
      <c r="BF233" s="528">
        <f t="shared" si="644"/>
        <v>1.7552878497449584</v>
      </c>
      <c r="BG233" s="528">
        <f t="shared" si="693"/>
        <v>4.0250000000000001E-2</v>
      </c>
      <c r="BH233" s="528">
        <f t="shared" si="694"/>
        <v>0.81263295204237407</v>
      </c>
      <c r="BI233">
        <f t="shared" si="695"/>
        <v>1.7970464844049995E-2</v>
      </c>
      <c r="BJ233" s="460">
        <f t="shared" si="696"/>
        <v>58.220464844049999</v>
      </c>
      <c r="BK233">
        <f t="shared" si="645"/>
        <v>2.5878313069520229</v>
      </c>
      <c r="BL233" s="460">
        <f t="shared" si="697"/>
        <v>2636.7046045280395</v>
      </c>
      <c r="BM233" s="173">
        <f t="shared" si="646"/>
        <v>0.28500499999999995</v>
      </c>
      <c r="BN233" s="173">
        <f t="shared" si="647"/>
        <v>2.0357500000000001E-2</v>
      </c>
      <c r="BQ233" s="460">
        <f t="shared" si="698"/>
        <v>305.36249999999995</v>
      </c>
      <c r="BR233" s="528">
        <f t="shared" si="699"/>
        <v>1.2323894212766558E-2</v>
      </c>
      <c r="BS233" s="528">
        <f t="shared" si="700"/>
        <v>6.2427878836878836E-2</v>
      </c>
      <c r="BT233" s="528">
        <f t="shared" si="701"/>
        <v>2.2662671778975025E-4</v>
      </c>
      <c r="BU233" s="528">
        <f t="shared" si="702"/>
        <v>3.672049371821188</v>
      </c>
      <c r="BV233" s="528"/>
      <c r="BW233" s="625">
        <f t="shared" si="703"/>
        <v>0.56063829787234065</v>
      </c>
      <c r="BX233" s="460">
        <f t="shared" si="704"/>
        <v>4307.6660694609645</v>
      </c>
      <c r="BY233" s="173">
        <f t="shared" si="705"/>
        <v>7.2497331739890036</v>
      </c>
      <c r="BZ233" s="5">
        <f t="shared" si="706"/>
        <v>13.175000000000002</v>
      </c>
      <c r="CA233" s="173">
        <f t="shared" si="707"/>
        <v>0.64505126641156951</v>
      </c>
      <c r="CB233" s="5">
        <f t="shared" si="708"/>
        <v>64.505126641156949</v>
      </c>
      <c r="CC233">
        <f t="shared" si="709"/>
        <v>17</v>
      </c>
      <c r="CE233" s="562">
        <f t="shared" si="648"/>
        <v>-50</v>
      </c>
      <c r="CG233" s="173">
        <f t="shared" si="649"/>
        <v>0.22346699980086546</v>
      </c>
      <c r="CH233" s="173">
        <f t="shared" si="650"/>
        <v>7.2552056860210226E-2</v>
      </c>
      <c r="CI233" s="170">
        <v>17</v>
      </c>
      <c r="CJ233" s="217">
        <f t="shared" si="710"/>
        <v>0.42500000000000004</v>
      </c>
      <c r="CK233" s="217">
        <f t="shared" si="651"/>
        <v>4.2500000000000003E-2</v>
      </c>
      <c r="CL233" s="217">
        <f t="shared" si="652"/>
        <v>11.900000000000002</v>
      </c>
      <c r="CM233" s="217">
        <f t="shared" si="653"/>
        <v>1.2750000000000001</v>
      </c>
      <c r="CN233" s="541">
        <f t="shared" si="654"/>
        <v>40</v>
      </c>
      <c r="CO233" s="443">
        <f t="shared" si="655"/>
        <v>28.7</v>
      </c>
      <c r="CP233" s="443">
        <f t="shared" si="656"/>
        <v>68.7</v>
      </c>
      <c r="CQ233" s="443"/>
      <c r="CR233" s="217">
        <f t="shared" si="657"/>
        <v>0.41520467836257302</v>
      </c>
      <c r="CS233" s="172">
        <f t="shared" si="658"/>
        <v>125.00786015217253</v>
      </c>
      <c r="CT233" s="172">
        <f t="shared" si="659"/>
        <v>14.828738512949037</v>
      </c>
      <c r="CU233" s="217">
        <f t="shared" si="660"/>
        <v>4.4645664340061613</v>
      </c>
      <c r="CV233" s="217">
        <f t="shared" si="661"/>
        <v>4.1669286717390843</v>
      </c>
      <c r="CW233" s="217">
        <f t="shared" si="662"/>
        <v>28</v>
      </c>
      <c r="CX233" s="217">
        <f t="shared" si="663"/>
        <v>1.5865669014084514</v>
      </c>
      <c r="CY233" s="217">
        <f t="shared" si="664"/>
        <v>0.18642161091549303</v>
      </c>
      <c r="CZ233" s="217">
        <f t="shared" si="665"/>
        <v>0.25982106050939796</v>
      </c>
      <c r="DA233" s="197">
        <f t="shared" si="666"/>
        <v>350</v>
      </c>
      <c r="DB233" s="443">
        <f t="shared" si="667"/>
        <v>350</v>
      </c>
      <c r="DD233" s="217">
        <f t="shared" si="668"/>
        <v>10.158258230357086</v>
      </c>
      <c r="DE233" s="173">
        <f t="shared" si="669"/>
        <v>1.6635475150758992</v>
      </c>
      <c r="DF233" s="173">
        <f t="shared" si="670"/>
        <v>2.6710919890125213</v>
      </c>
      <c r="DG233" s="173"/>
      <c r="DH233" s="173">
        <f t="shared" si="671"/>
        <v>0.54587688734030204</v>
      </c>
      <c r="DI233" s="545">
        <f t="shared" si="672"/>
        <v>467.1382978723405</v>
      </c>
      <c r="DJ233" s="528">
        <f t="shared" si="673"/>
        <v>0.31842818428184283</v>
      </c>
      <c r="DL233" s="173">
        <f t="shared" si="674"/>
        <v>4.00227898603619</v>
      </c>
      <c r="DM233" s="173">
        <f t="shared" si="675"/>
        <v>4.00227898603619</v>
      </c>
      <c r="DN233" s="173">
        <f t="shared" si="676"/>
        <v>1.6955152982984123</v>
      </c>
      <c r="DP233" s="545">
        <f t="shared" si="677"/>
        <v>425.00000000000006</v>
      </c>
      <c r="DQ233" s="460">
        <f t="shared" si="678"/>
        <v>350</v>
      </c>
      <c r="DS233">
        <f t="shared" si="679"/>
        <v>425.00000000000006</v>
      </c>
      <c r="DT233">
        <f t="shared" si="680"/>
        <v>350</v>
      </c>
      <c r="DV233" s="5">
        <f t="shared" si="681"/>
        <v>2.8571428571428572</v>
      </c>
      <c r="DW233" s="5">
        <f t="shared" si="682"/>
        <v>0.47026778085925236</v>
      </c>
      <c r="DX233" s="5">
        <f t="shared" si="683"/>
        <v>2.3868750762836051</v>
      </c>
      <c r="DY233" s="173">
        <f t="shared" si="684"/>
        <v>0.16459372330073832</v>
      </c>
      <c r="EA233" s="5">
        <f t="shared" si="711"/>
        <v>0.71379931023279375</v>
      </c>
      <c r="EB233" s="5">
        <f t="shared" si="712"/>
        <v>6.662126895506075E-2</v>
      </c>
      <c r="EC233" s="5">
        <f t="shared" si="713"/>
        <v>0.50721095371026614</v>
      </c>
      <c r="ED233" s="5"/>
      <c r="EE233" s="173">
        <f t="shared" si="714"/>
        <v>0.937461338234159</v>
      </c>
      <c r="EF233" s="173">
        <f t="shared" si="715"/>
        <v>2.1120081912732203</v>
      </c>
      <c r="EG233" s="173">
        <f t="shared" si="716"/>
        <v>0.212931973382464</v>
      </c>
      <c r="EH233" s="173"/>
      <c r="EI233" s="528">
        <f t="shared" si="717"/>
        <v>1.0546005128205364E-2</v>
      </c>
      <c r="EJ233" s="528">
        <f t="shared" si="718"/>
        <v>1.8284611661655641</v>
      </c>
      <c r="EK233" s="528">
        <f t="shared" si="719"/>
        <v>4.0250000000000001E-2</v>
      </c>
      <c r="EL233" s="528">
        <f t="shared" si="720"/>
        <v>0.81355656375000007</v>
      </c>
      <c r="EM233">
        <f t="shared" si="721"/>
        <v>1.7999999999999999E-2</v>
      </c>
      <c r="EN233" s="460">
        <f t="shared" si="722"/>
        <v>58.249999999999993</v>
      </c>
      <c r="EP233" s="460">
        <f t="shared" si="723"/>
        <v>2710.8137350437692</v>
      </c>
      <c r="EQ233" s="173">
        <f t="shared" si="724"/>
        <v>0.29749999999999999</v>
      </c>
      <c r="ER233" s="173">
        <f t="shared" si="685"/>
        <v>2.0357500000000001E-2</v>
      </c>
      <c r="ES233" s="528"/>
      <c r="EU233" s="460">
        <f t="shared" si="725"/>
        <v>317.85750000000002</v>
      </c>
      <c r="EV233" s="528">
        <f t="shared" si="726"/>
        <v>1.2303672649572925E-2</v>
      </c>
      <c r="EW233" s="528">
        <f t="shared" si="727"/>
        <v>6.2448100400072516E-2</v>
      </c>
      <c r="EX233" s="528">
        <f t="shared" si="728"/>
        <v>2.2670012644275178E-4</v>
      </c>
      <c r="EY233" s="528">
        <f t="shared" si="729"/>
        <v>3.672049371821188</v>
      </c>
      <c r="EZ233" s="528"/>
      <c r="FA233" s="625">
        <f t="shared" si="730"/>
        <v>0.56063829787234065</v>
      </c>
      <c r="FB233" s="460">
        <f t="shared" si="731"/>
        <v>4307.666142869617</v>
      </c>
      <c r="FC233" s="173">
        <f t="shared" si="732"/>
        <v>7.3363373779133862</v>
      </c>
      <c r="FD233" s="5">
        <f t="shared" si="733"/>
        <v>13.175000000000002</v>
      </c>
      <c r="FE233" s="173">
        <f t="shared" si="734"/>
        <v>0.64232769210782148</v>
      </c>
      <c r="FF233" s="5">
        <f t="shared" si="735"/>
        <v>64.232769210782152</v>
      </c>
      <c r="FG233">
        <f t="shared" si="736"/>
        <v>17</v>
      </c>
      <c r="FI233" s="562">
        <f t="shared" si="686"/>
        <v>-50</v>
      </c>
    </row>
    <row r="234" spans="5:165">
      <c r="E234" s="170">
        <v>18</v>
      </c>
      <c r="F234" s="217">
        <f t="shared" si="687"/>
        <v>0.44999999999999996</v>
      </c>
      <c r="G234" s="217">
        <f t="shared" si="615"/>
        <v>4.4999999999999998E-2</v>
      </c>
      <c r="H234" s="217">
        <f t="shared" si="616"/>
        <v>12.599999999999998</v>
      </c>
      <c r="I234" s="217">
        <f t="shared" si="617"/>
        <v>1.3499999999999999</v>
      </c>
      <c r="J234" s="541">
        <f t="shared" si="618"/>
        <v>39.932463500568147</v>
      </c>
      <c r="K234" s="443">
        <f t="shared" si="619"/>
        <v>28.727397779068244</v>
      </c>
      <c r="L234" s="172">
        <f t="shared" si="620"/>
        <v>68.659861279636388</v>
      </c>
      <c r="M234" s="443"/>
      <c r="N234" s="217">
        <f t="shared" si="621"/>
        <v>0.41840162860317942</v>
      </c>
      <c r="O234" s="172">
        <f t="shared" si="622"/>
        <v>125.75769283808937</v>
      </c>
      <c r="P234" s="172">
        <f t="shared" si="623"/>
        <v>14.917685502477438</v>
      </c>
      <c r="Q234" s="217">
        <f t="shared" si="624"/>
        <v>4.4913461727889059</v>
      </c>
      <c r="R234" s="217">
        <f t="shared" si="625"/>
        <v>4.1919230946029788</v>
      </c>
      <c r="S234" s="217">
        <f t="shared" si="626"/>
        <v>28</v>
      </c>
      <c r="T234" s="217">
        <f t="shared" si="627"/>
        <v>1.6698779634131087</v>
      </c>
      <c r="U234" s="217">
        <f t="shared" si="628"/>
        <v>0.19654250552135222</v>
      </c>
      <c r="V234" s="217">
        <f t="shared" si="629"/>
        <v>0.27320352815806515</v>
      </c>
      <c r="W234" s="197">
        <f t="shared" si="630"/>
        <v>350</v>
      </c>
      <c r="X234" s="443">
        <f t="shared" si="688"/>
        <v>350</v>
      </c>
      <c r="Z234" s="217">
        <f t="shared" si="631"/>
        <v>10.156722044239958</v>
      </c>
      <c r="AA234" s="173">
        <f t="shared" si="632"/>
        <v>1.6617096325623442</v>
      </c>
      <c r="AB234" s="173">
        <f t="shared" si="633"/>
        <v>2.6677374837174845</v>
      </c>
      <c r="AC234" s="173"/>
      <c r="AD234" s="173">
        <f t="shared" si="634"/>
        <v>0.5453562758156234</v>
      </c>
      <c r="AE234" s="545">
        <f t="shared" si="635"/>
        <v>495.08919576692068</v>
      </c>
      <c r="AF234" s="528">
        <f t="shared" si="636"/>
        <v>0.31812449422578026</v>
      </c>
      <c r="AH234" s="173">
        <f t="shared" si="637"/>
        <v>4.1183111007048083</v>
      </c>
      <c r="AI234" s="173">
        <f t="shared" si="638"/>
        <v>4.1183111007048083</v>
      </c>
      <c r="AJ234" s="173">
        <f t="shared" si="639"/>
        <v>1.7814650128677592</v>
      </c>
      <c r="AL234" s="545">
        <f t="shared" si="640"/>
        <v>449.99999999999994</v>
      </c>
      <c r="AM234" s="460">
        <f t="shared" si="641"/>
        <v>350</v>
      </c>
      <c r="AO234">
        <f t="shared" si="642"/>
        <v>449.99999999999994</v>
      </c>
      <c r="AP234">
        <f t="shared" si="643"/>
        <v>350</v>
      </c>
      <c r="AR234" s="5">
        <f t="shared" si="614"/>
        <v>2.8571428571428572</v>
      </c>
      <c r="AS234" s="5">
        <f t="shared" si="602"/>
        <v>0.48471996156804115</v>
      </c>
      <c r="AT234" s="5">
        <f t="shared" si="603"/>
        <v>2.3724228955748159</v>
      </c>
      <c r="AU234" s="173">
        <f t="shared" si="604"/>
        <v>0.16965198654881439</v>
      </c>
      <c r="BA234" s="173">
        <f t="shared" si="689"/>
        <v>0.97935015825006211</v>
      </c>
      <c r="BB234" s="173">
        <f t="shared" si="690"/>
        <v>2.1666491890163164</v>
      </c>
      <c r="BC234" s="173">
        <f t="shared" si="691"/>
        <v>0.21844086085984174</v>
      </c>
      <c r="BD234" s="173"/>
      <c r="BE234" s="528">
        <f t="shared" si="692"/>
        <v>1.150952078957306E-2</v>
      </c>
      <c r="BF234" s="528">
        <f t="shared" si="644"/>
        <v>1.8061465474759746</v>
      </c>
      <c r="BG234" s="528">
        <f t="shared" si="693"/>
        <v>4.0250000000000001E-2</v>
      </c>
      <c r="BH234" s="528">
        <f t="shared" si="694"/>
        <v>0.81260618296809495</v>
      </c>
      <c r="BI234">
        <f t="shared" si="695"/>
        <v>1.7969608575255664E-2</v>
      </c>
      <c r="BJ234" s="460">
        <f t="shared" si="696"/>
        <v>58.21960857525567</v>
      </c>
      <c r="BK234">
        <f t="shared" si="645"/>
        <v>2.6405909459328472</v>
      </c>
      <c r="BL234" s="460">
        <f t="shared" si="697"/>
        <v>2688.4818598088982</v>
      </c>
      <c r="BM234" s="173">
        <f t="shared" si="646"/>
        <v>0.30176999999999993</v>
      </c>
      <c r="BN234" s="173">
        <f t="shared" si="647"/>
        <v>2.1554999999999998E-2</v>
      </c>
      <c r="BQ234" s="460">
        <f t="shared" si="698"/>
        <v>323.32499999999993</v>
      </c>
      <c r="BR234" s="528">
        <f t="shared" si="699"/>
        <v>1.3427774254501904E-2</v>
      </c>
      <c r="BS234" s="528">
        <f t="shared" si="700"/>
        <v>6.5721161915710868E-2</v>
      </c>
      <c r="BT234" s="528">
        <f t="shared" si="701"/>
        <v>2.385820484659437E-4</v>
      </c>
      <c r="BU234" s="528">
        <f t="shared" si="702"/>
        <v>3.9440098549343094</v>
      </c>
      <c r="BV234" s="528"/>
      <c r="BW234" s="625">
        <f t="shared" si="703"/>
        <v>0.59361702127659588</v>
      </c>
      <c r="BX234" s="460">
        <f t="shared" si="704"/>
        <v>4617.0143944295833</v>
      </c>
      <c r="BY234" s="173">
        <f t="shared" si="705"/>
        <v>7.6288212542384821</v>
      </c>
      <c r="BZ234" s="5">
        <f t="shared" si="706"/>
        <v>13.949999999999998</v>
      </c>
      <c r="CA234" s="173">
        <f t="shared" si="707"/>
        <v>0.64646719279256082</v>
      </c>
      <c r="CB234" s="5">
        <f t="shared" si="708"/>
        <v>64.646719279256075</v>
      </c>
      <c r="CC234">
        <f t="shared" si="709"/>
        <v>18</v>
      </c>
      <c r="CE234" s="562">
        <f t="shared" si="648"/>
        <v>-50</v>
      </c>
      <c r="CG234" s="173">
        <f t="shared" si="649"/>
        <v>0.22994564575133838</v>
      </c>
      <c r="CH234" s="173">
        <f t="shared" si="650"/>
        <v>7.4655450604229415E-2</v>
      </c>
      <c r="CI234" s="170">
        <v>18</v>
      </c>
      <c r="CJ234" s="217">
        <f t="shared" si="710"/>
        <v>0.44999999999999996</v>
      </c>
      <c r="CK234" s="217">
        <f t="shared" si="651"/>
        <v>4.4999999999999998E-2</v>
      </c>
      <c r="CL234" s="217">
        <f t="shared" si="652"/>
        <v>12.599999999999998</v>
      </c>
      <c r="CM234" s="217">
        <f t="shared" si="653"/>
        <v>1.3499999999999999</v>
      </c>
      <c r="CN234" s="541">
        <f t="shared" si="654"/>
        <v>40</v>
      </c>
      <c r="CO234" s="443">
        <f t="shared" si="655"/>
        <v>28.7</v>
      </c>
      <c r="CP234" s="443">
        <f t="shared" si="656"/>
        <v>68.7</v>
      </c>
      <c r="CQ234" s="443"/>
      <c r="CR234" s="217">
        <f t="shared" si="657"/>
        <v>0.41520467836257302</v>
      </c>
      <c r="CS234" s="172">
        <f t="shared" si="658"/>
        <v>125.00786015217253</v>
      </c>
      <c r="CT234" s="172">
        <f t="shared" si="659"/>
        <v>14.828738512949037</v>
      </c>
      <c r="CU234" s="217">
        <f t="shared" si="660"/>
        <v>4.4645664340061613</v>
      </c>
      <c r="CV234" s="217">
        <f t="shared" si="661"/>
        <v>4.1669286717390843</v>
      </c>
      <c r="CW234" s="217">
        <f t="shared" si="662"/>
        <v>28</v>
      </c>
      <c r="CX234" s="217">
        <f t="shared" si="663"/>
        <v>1.6798943661971832</v>
      </c>
      <c r="CY234" s="217">
        <f t="shared" si="664"/>
        <v>0.19738758802816903</v>
      </c>
      <c r="CZ234" s="217">
        <f t="shared" si="665"/>
        <v>0.27510465230406833</v>
      </c>
      <c r="DA234" s="197">
        <f t="shared" si="666"/>
        <v>350</v>
      </c>
      <c r="DB234" s="443">
        <f t="shared" si="667"/>
        <v>350</v>
      </c>
      <c r="DD234" s="217">
        <f t="shared" si="668"/>
        <v>10.158258230357086</v>
      </c>
      <c r="DE234" s="173">
        <f t="shared" si="669"/>
        <v>1.6635475150758992</v>
      </c>
      <c r="DF234" s="173">
        <f t="shared" si="670"/>
        <v>2.6710919890125213</v>
      </c>
      <c r="DG234" s="173"/>
      <c r="DH234" s="173">
        <f t="shared" si="671"/>
        <v>0.54587688734030204</v>
      </c>
      <c r="DI234" s="545">
        <f t="shared" si="672"/>
        <v>494.61702127659572</v>
      </c>
      <c r="DJ234" s="528">
        <f t="shared" si="673"/>
        <v>0.31842818428184283</v>
      </c>
      <c r="DL234" s="173">
        <f t="shared" si="674"/>
        <v>4.1183111007048083</v>
      </c>
      <c r="DM234" s="173">
        <f t="shared" si="675"/>
        <v>4.1183111007048083</v>
      </c>
      <c r="DN234" s="173">
        <f t="shared" si="676"/>
        <v>1.7814650128677592</v>
      </c>
      <c r="DP234" s="545">
        <f t="shared" si="677"/>
        <v>449.99999999999994</v>
      </c>
      <c r="DQ234" s="460">
        <f t="shared" si="678"/>
        <v>350</v>
      </c>
      <c r="DS234">
        <f t="shared" si="679"/>
        <v>449.99999999999994</v>
      </c>
      <c r="DT234">
        <f t="shared" si="680"/>
        <v>350</v>
      </c>
      <c r="DV234" s="5">
        <f t="shared" si="681"/>
        <v>2.8571428571428572</v>
      </c>
      <c r="DW234" s="5">
        <f t="shared" si="682"/>
        <v>0.48390155433281495</v>
      </c>
      <c r="DX234" s="5">
        <f t="shared" si="683"/>
        <v>2.3732413028100421</v>
      </c>
      <c r="DY234" s="173">
        <f t="shared" si="684"/>
        <v>0.16936554401648524</v>
      </c>
      <c r="EA234" s="5">
        <f t="shared" si="711"/>
        <v>0.77769892660630979</v>
      </c>
      <c r="EB234" s="5">
        <f t="shared" si="712"/>
        <v>7.258523314992224E-2</v>
      </c>
      <c r="EC234" s="5">
        <f t="shared" si="713"/>
        <v>0.53397929313225934</v>
      </c>
      <c r="ED234" s="5"/>
      <c r="EE234" s="173">
        <f t="shared" si="714"/>
        <v>0.9785230354538762</v>
      </c>
      <c r="EF234" s="173">
        <f t="shared" si="715"/>
        <v>2.1670228678571011</v>
      </c>
      <c r="EG234" s="173">
        <f t="shared" si="716"/>
        <v>0.21847853503805204</v>
      </c>
      <c r="EH234" s="173"/>
      <c r="EI234" s="528">
        <f t="shared" si="717"/>
        <v>1.1490087970966414E-2</v>
      </c>
      <c r="EJ234" s="528">
        <f t="shared" si="718"/>
        <v>1.8814710179124956</v>
      </c>
      <c r="EK234" s="528">
        <f t="shared" si="719"/>
        <v>4.0250000000000001E-2</v>
      </c>
      <c r="EL234" s="528">
        <f t="shared" si="720"/>
        <v>0.81355656375000007</v>
      </c>
      <c r="EM234">
        <f t="shared" si="721"/>
        <v>1.7999999999999999E-2</v>
      </c>
      <c r="EN234" s="460">
        <f t="shared" si="722"/>
        <v>58.249999999999993</v>
      </c>
      <c r="EP234" s="460">
        <f t="shared" si="723"/>
        <v>2764.767669633462</v>
      </c>
      <c r="EQ234" s="173">
        <f t="shared" si="724"/>
        <v>0.31499999999999995</v>
      </c>
      <c r="ER234" s="173">
        <f t="shared" si="685"/>
        <v>2.1554999999999998E-2</v>
      </c>
      <c r="ES234" s="528"/>
      <c r="EU234" s="460">
        <f t="shared" si="725"/>
        <v>336.55499999999995</v>
      </c>
      <c r="EV234" s="528">
        <f t="shared" si="726"/>
        <v>1.3405102632794151E-2</v>
      </c>
      <c r="EW234" s="528">
        <f t="shared" si="727"/>
        <v>6.5743833537418611E-2</v>
      </c>
      <c r="EX234" s="528">
        <f t="shared" si="728"/>
        <v>2.3866435136186666E-4</v>
      </c>
      <c r="EY234" s="528">
        <f t="shared" si="729"/>
        <v>3.9440098549343094</v>
      </c>
      <c r="EZ234" s="528"/>
      <c r="FA234" s="625">
        <f t="shared" si="730"/>
        <v>0.59361702127659588</v>
      </c>
      <c r="FB234" s="460">
        <f t="shared" si="731"/>
        <v>4617.0144767324791</v>
      </c>
      <c r="FC234" s="173">
        <f t="shared" si="732"/>
        <v>7.7183371463659416</v>
      </c>
      <c r="FD234" s="5">
        <f t="shared" si="733"/>
        <v>13.949999999999998</v>
      </c>
      <c r="FE234" s="173">
        <f t="shared" si="734"/>
        <v>0.64379651773784563</v>
      </c>
      <c r="FF234" s="5">
        <f t="shared" si="735"/>
        <v>64.379651773784559</v>
      </c>
      <c r="FG234">
        <f t="shared" si="736"/>
        <v>18</v>
      </c>
      <c r="FI234" s="562">
        <f t="shared" si="686"/>
        <v>-50</v>
      </c>
    </row>
    <row r="235" spans="5:165">
      <c r="E235" s="170">
        <v>19</v>
      </c>
      <c r="F235" s="217">
        <f t="shared" si="687"/>
        <v>0.47499999999999998</v>
      </c>
      <c r="G235" s="217">
        <f t="shared" si="615"/>
        <v>4.7500000000000001E-2</v>
      </c>
      <c r="H235" s="217">
        <f t="shared" si="616"/>
        <v>13.299999999999999</v>
      </c>
      <c r="I235" s="217">
        <f t="shared" si="617"/>
        <v>1.425</v>
      </c>
      <c r="J235" s="541">
        <f t="shared" si="618"/>
        <v>39.930612842865131</v>
      </c>
      <c r="K235" s="443">
        <f t="shared" si="619"/>
        <v>28.728148542156422</v>
      </c>
      <c r="L235" s="172">
        <f t="shared" si="620"/>
        <v>68.658761385021549</v>
      </c>
      <c r="M235" s="443"/>
      <c r="N235" s="217">
        <f t="shared" si="621"/>
        <v>0.41841926598494822</v>
      </c>
      <c r="O235" s="172">
        <f t="shared" si="622"/>
        <v>125.75716560460802</v>
      </c>
      <c r="P235" s="172">
        <f t="shared" si="623"/>
        <v>14.917622960750693</v>
      </c>
      <c r="Q235" s="217">
        <f t="shared" si="624"/>
        <v>4.4913273430217151</v>
      </c>
      <c r="R235" s="217">
        <f t="shared" si="625"/>
        <v>4.1919055201536004</v>
      </c>
      <c r="S235" s="217">
        <f t="shared" si="626"/>
        <v>28</v>
      </c>
      <c r="T235" s="217">
        <f t="shared" si="627"/>
        <v>1.7626563512381228</v>
      </c>
      <c r="U235" s="217">
        <f t="shared" si="628"/>
        <v>0.20747201860938788</v>
      </c>
      <c r="V235" s="217">
        <f t="shared" si="629"/>
        <v>0.28837517456658623</v>
      </c>
      <c r="W235" s="197">
        <f t="shared" si="630"/>
        <v>350</v>
      </c>
      <c r="X235" s="443">
        <f t="shared" si="688"/>
        <v>350</v>
      </c>
      <c r="Z235" s="217">
        <f t="shared" si="631"/>
        <v>10.156679462638769</v>
      </c>
      <c r="AA235" s="173">
        <f t="shared" si="632"/>
        <v>1.6616592400430052</v>
      </c>
      <c r="AB235" s="173">
        <f t="shared" si="633"/>
        <v>2.6676453986618966</v>
      </c>
      <c r="AC235" s="173"/>
      <c r="AD235" s="173">
        <f t="shared" si="634"/>
        <v>0.54534202382297625</v>
      </c>
      <c r="AE235" s="545">
        <f t="shared" si="635"/>
        <v>522.60780858603698</v>
      </c>
      <c r="AF235" s="528">
        <f t="shared" si="636"/>
        <v>0.31811618056340285</v>
      </c>
      <c r="AH235" s="173">
        <f t="shared" si="637"/>
        <v>4.2311624362945501</v>
      </c>
      <c r="AI235" s="173">
        <f t="shared" si="638"/>
        <v>4.2311624362945501</v>
      </c>
      <c r="AJ235" s="173">
        <f t="shared" si="639"/>
        <v>1.8650585947860865</v>
      </c>
      <c r="AL235" s="545">
        <f t="shared" si="640"/>
        <v>475</v>
      </c>
      <c r="AM235" s="460">
        <f t="shared" si="641"/>
        <v>350</v>
      </c>
      <c r="AO235">
        <f t="shared" si="642"/>
        <v>475</v>
      </c>
      <c r="AP235">
        <f t="shared" si="643"/>
        <v>350</v>
      </c>
      <c r="AR235" s="5">
        <f t="shared" si="614"/>
        <v>2.8571428571428572</v>
      </c>
      <c r="AS235" s="5">
        <f t="shared" si="602"/>
        <v>0.49802550060630324</v>
      </c>
      <c r="AT235" s="5">
        <f t="shared" si="603"/>
        <v>2.359117356536554</v>
      </c>
      <c r="AU235" s="173">
        <f t="shared" si="604"/>
        <v>0.17430892521220612</v>
      </c>
      <c r="BA235" s="173">
        <f t="shared" si="689"/>
        <v>1.0199030336629396</v>
      </c>
      <c r="BB235" s="173">
        <f t="shared" si="690"/>
        <v>2.2197694300749218</v>
      </c>
      <c r="BC235" s="173">
        <f t="shared" si="691"/>
        <v>0.22379642614689788</v>
      </c>
      <c r="BD235" s="173"/>
      <c r="BE235" s="528">
        <f t="shared" si="692"/>
        <v>1.2482426376898408E-2</v>
      </c>
      <c r="BF235" s="528">
        <f t="shared" si="644"/>
        <v>1.8556094517556243</v>
      </c>
      <c r="BG235" s="528">
        <f t="shared" si="693"/>
        <v>4.0250000000000001E-2</v>
      </c>
      <c r="BH235" s="528">
        <f t="shared" si="694"/>
        <v>0.81258014813525303</v>
      </c>
      <c r="BI235">
        <f t="shared" si="695"/>
        <v>1.7968775779289309E-2</v>
      </c>
      <c r="BJ235" s="460">
        <f t="shared" si="696"/>
        <v>58.218775779289317</v>
      </c>
      <c r="BK235">
        <f t="shared" si="645"/>
        <v>2.6920263591393705</v>
      </c>
      <c r="BL235" s="460">
        <f t="shared" si="697"/>
        <v>2738.8908020470649</v>
      </c>
      <c r="BM235" s="173">
        <f t="shared" si="646"/>
        <v>0.31853499999999996</v>
      </c>
      <c r="BN235" s="173">
        <f t="shared" si="647"/>
        <v>2.2752499999999998E-2</v>
      </c>
      <c r="BQ235" s="460">
        <f t="shared" si="698"/>
        <v>341.28749999999997</v>
      </c>
      <c r="BR235" s="528">
        <f t="shared" si="699"/>
        <v>1.4562830773048142E-2</v>
      </c>
      <c r="BS235" s="528">
        <f t="shared" si="700"/>
        <v>6.898326851773201E-2</v>
      </c>
      <c r="BT235" s="528">
        <f t="shared" si="701"/>
        <v>2.5042420178061957E-4</v>
      </c>
      <c r="BU235" s="528">
        <f t="shared" si="702"/>
        <v>4.2197756454136321</v>
      </c>
      <c r="BV235" s="528"/>
      <c r="BW235" s="625">
        <f t="shared" si="703"/>
        <v>0.62659574468085111</v>
      </c>
      <c r="BX235" s="460">
        <f t="shared" si="704"/>
        <v>4930.1679135870445</v>
      </c>
      <c r="BY235" s="173">
        <f t="shared" si="705"/>
        <v>8.0103462156341081</v>
      </c>
      <c r="BZ235" s="5">
        <f t="shared" si="706"/>
        <v>14.725</v>
      </c>
      <c r="CA235" s="173">
        <f t="shared" si="707"/>
        <v>0.64766992595319517</v>
      </c>
      <c r="CB235" s="5">
        <f t="shared" si="708"/>
        <v>64.766992595319522</v>
      </c>
      <c r="CC235">
        <f t="shared" si="709"/>
        <v>19</v>
      </c>
      <c r="CE235" s="562">
        <f t="shared" si="648"/>
        <v>-50</v>
      </c>
      <c r="CG235" s="173">
        <f t="shared" si="649"/>
        <v>0.23624669309854898</v>
      </c>
      <c r="CH235" s="173">
        <f t="shared" si="650"/>
        <v>7.6701184183778429E-2</v>
      </c>
      <c r="CI235" s="170">
        <v>19</v>
      </c>
      <c r="CJ235" s="217">
        <f t="shared" si="710"/>
        <v>0.47499999999999998</v>
      </c>
      <c r="CK235" s="217">
        <f t="shared" si="651"/>
        <v>4.7500000000000001E-2</v>
      </c>
      <c r="CL235" s="217">
        <f t="shared" si="652"/>
        <v>13.299999999999999</v>
      </c>
      <c r="CM235" s="217">
        <f t="shared" si="653"/>
        <v>1.425</v>
      </c>
      <c r="CN235" s="541">
        <f t="shared" si="654"/>
        <v>40</v>
      </c>
      <c r="CO235" s="443">
        <f t="shared" si="655"/>
        <v>28.7</v>
      </c>
      <c r="CP235" s="443">
        <f t="shared" si="656"/>
        <v>68.7</v>
      </c>
      <c r="CQ235" s="443"/>
      <c r="CR235" s="217">
        <f t="shared" si="657"/>
        <v>0.41520467836257302</v>
      </c>
      <c r="CS235" s="172">
        <f t="shared" si="658"/>
        <v>125.00786015217253</v>
      </c>
      <c r="CT235" s="172">
        <f t="shared" si="659"/>
        <v>14.828738512949037</v>
      </c>
      <c r="CU235" s="217">
        <f t="shared" si="660"/>
        <v>4.4645664340061613</v>
      </c>
      <c r="CV235" s="217">
        <f t="shared" si="661"/>
        <v>4.1669286717390843</v>
      </c>
      <c r="CW235" s="217">
        <f t="shared" si="662"/>
        <v>28</v>
      </c>
      <c r="CX235" s="217">
        <f t="shared" si="663"/>
        <v>1.7732218309859158</v>
      </c>
      <c r="CY235" s="217">
        <f t="shared" si="664"/>
        <v>0.2083535651408451</v>
      </c>
      <c r="CZ235" s="217">
        <f t="shared" si="665"/>
        <v>0.29038824409873881</v>
      </c>
      <c r="DA235" s="197">
        <f t="shared" si="666"/>
        <v>350</v>
      </c>
      <c r="DB235" s="443">
        <f t="shared" si="667"/>
        <v>350</v>
      </c>
      <c r="DD235" s="217">
        <f t="shared" si="668"/>
        <v>10.158258230357086</v>
      </c>
      <c r="DE235" s="173">
        <f t="shared" si="669"/>
        <v>1.6635475150758992</v>
      </c>
      <c r="DF235" s="173">
        <f t="shared" si="670"/>
        <v>2.6710919890125213</v>
      </c>
      <c r="DG235" s="173"/>
      <c r="DH235" s="173">
        <f t="shared" si="671"/>
        <v>0.54587688734030204</v>
      </c>
      <c r="DI235" s="545">
        <f t="shared" si="672"/>
        <v>522.095744680851</v>
      </c>
      <c r="DJ235" s="528">
        <f t="shared" si="673"/>
        <v>0.31842818428184283</v>
      </c>
      <c r="DL235" s="173">
        <f t="shared" si="674"/>
        <v>4.2311624362945501</v>
      </c>
      <c r="DM235" s="173">
        <f t="shared" si="675"/>
        <v>4.2311624362945501</v>
      </c>
      <c r="DN235" s="173">
        <f t="shared" si="676"/>
        <v>1.8650585947860865</v>
      </c>
      <c r="DP235" s="545">
        <f t="shared" si="677"/>
        <v>475</v>
      </c>
      <c r="DQ235" s="460">
        <f t="shared" si="678"/>
        <v>350</v>
      </c>
      <c r="DS235">
        <f t="shared" si="679"/>
        <v>475</v>
      </c>
      <c r="DT235">
        <f t="shared" si="680"/>
        <v>350</v>
      </c>
      <c r="DV235" s="5">
        <f t="shared" si="681"/>
        <v>2.8571428571428572</v>
      </c>
      <c r="DW235" s="5">
        <f t="shared" si="682"/>
        <v>0.49716158626460966</v>
      </c>
      <c r="DX235" s="5">
        <f t="shared" si="683"/>
        <v>2.3599812708782477</v>
      </c>
      <c r="DY235" s="173">
        <f t="shared" si="684"/>
        <v>0.17400655519261338</v>
      </c>
      <c r="EA235" s="5">
        <f t="shared" si="711"/>
        <v>0.84339911955603408</v>
      </c>
      <c r="EB235" s="5">
        <f t="shared" si="712"/>
        <v>7.8717251158563192E-2</v>
      </c>
      <c r="EC235" s="5">
        <f t="shared" si="713"/>
        <v>0.56049555183358368</v>
      </c>
      <c r="ED235" s="5"/>
      <c r="EE235" s="173">
        <f t="shared" si="714"/>
        <v>1.0190180475539288</v>
      </c>
      <c r="EF235" s="173">
        <f t="shared" si="715"/>
        <v>2.2201758352728262</v>
      </c>
      <c r="EG235" s="173">
        <f t="shared" si="716"/>
        <v>0.22383739978570294</v>
      </c>
      <c r="EH235" s="173"/>
      <c r="EI235" s="528">
        <f t="shared" si="717"/>
        <v>1.2460773374887454E-2</v>
      </c>
      <c r="EJ235" s="528">
        <f t="shared" si="718"/>
        <v>1.933027714833347</v>
      </c>
      <c r="EK235" s="528">
        <f t="shared" si="719"/>
        <v>4.0250000000000001E-2</v>
      </c>
      <c r="EL235" s="528">
        <f t="shared" si="720"/>
        <v>0.81355656375000007</v>
      </c>
      <c r="EM235">
        <f t="shared" si="721"/>
        <v>1.7999999999999999E-2</v>
      </c>
      <c r="EN235" s="460">
        <f t="shared" si="722"/>
        <v>58.249999999999993</v>
      </c>
      <c r="EP235" s="460">
        <f t="shared" si="723"/>
        <v>2817.2950519582341</v>
      </c>
      <c r="EQ235" s="173">
        <f t="shared" si="724"/>
        <v>0.33249999999999996</v>
      </c>
      <c r="ER235" s="173">
        <f t="shared" si="685"/>
        <v>2.2752499999999998E-2</v>
      </c>
      <c r="ES235" s="528"/>
      <c r="EU235" s="460">
        <f t="shared" si="725"/>
        <v>355.2525</v>
      </c>
      <c r="EV235" s="528">
        <f t="shared" si="726"/>
        <v>1.4537568937368696E-2</v>
      </c>
      <c r="EW235" s="528">
        <f t="shared" si="727"/>
        <v>6.9008530353411493E-2</v>
      </c>
      <c r="EX235" s="528">
        <f t="shared" si="728"/>
        <v>2.5051590771412303E-4</v>
      </c>
      <c r="EY235" s="528">
        <f t="shared" si="729"/>
        <v>4.2197756454136321</v>
      </c>
      <c r="EZ235" s="528"/>
      <c r="FA235" s="625">
        <f t="shared" si="730"/>
        <v>0.62659574468085111</v>
      </c>
      <c r="FB235" s="460">
        <f t="shared" si="731"/>
        <v>4930.1680052929778</v>
      </c>
      <c r="FC235" s="173">
        <f t="shared" si="732"/>
        <v>8.1027155572512122</v>
      </c>
      <c r="FD235" s="5">
        <f t="shared" si="733"/>
        <v>14.725</v>
      </c>
      <c r="FE235" s="173">
        <f t="shared" si="734"/>
        <v>0.64504921498036683</v>
      </c>
      <c r="FF235" s="5">
        <f t="shared" si="735"/>
        <v>64.50492149803668</v>
      </c>
      <c r="FG235">
        <f t="shared" si="736"/>
        <v>19</v>
      </c>
      <c r="FI235" s="562">
        <f t="shared" si="686"/>
        <v>-50</v>
      </c>
    </row>
    <row r="236" spans="5:165">
      <c r="E236" s="170">
        <v>20</v>
      </c>
      <c r="F236" s="217">
        <f t="shared" si="687"/>
        <v>0.5</v>
      </c>
      <c r="G236" s="217">
        <f t="shared" si="615"/>
        <v>0.05</v>
      </c>
      <c r="H236" s="217">
        <f t="shared" si="616"/>
        <v>14</v>
      </c>
      <c r="I236" s="217">
        <f t="shared" si="617"/>
        <v>1.5</v>
      </c>
      <c r="J236" s="541">
        <f t="shared" si="618"/>
        <v>39.928810278866898</v>
      </c>
      <c r="K236" s="443">
        <f t="shared" si="619"/>
        <v>28.728879794895246</v>
      </c>
      <c r="L236" s="172">
        <f t="shared" si="620"/>
        <v>68.65769007376214</v>
      </c>
      <c r="M236" s="443"/>
      <c r="N236" s="217">
        <f t="shared" si="621"/>
        <v>0.41843644556102133</v>
      </c>
      <c r="O236" s="172">
        <f t="shared" si="622"/>
        <v>125.75665176342588</v>
      </c>
      <c r="P236" s="172">
        <f t="shared" si="623"/>
        <v>14.917562007651284</v>
      </c>
      <c r="Q236" s="217">
        <f t="shared" si="624"/>
        <v>4.4913089915509241</v>
      </c>
      <c r="R236" s="217">
        <f t="shared" si="625"/>
        <v>4.1918883921141958</v>
      </c>
      <c r="S236" s="217">
        <f t="shared" si="626"/>
        <v>28</v>
      </c>
      <c r="T236" s="217">
        <f t="shared" si="627"/>
        <v>1.8554353194157978</v>
      </c>
      <c r="U236" s="217">
        <f t="shared" si="628"/>
        <v>0.21840235009130157</v>
      </c>
      <c r="V236" s="217">
        <f t="shared" si="629"/>
        <v>0.30354632911248347</v>
      </c>
      <c r="W236" s="197">
        <f t="shared" si="630"/>
        <v>350</v>
      </c>
      <c r="X236" s="443">
        <f t="shared" si="688"/>
        <v>350</v>
      </c>
      <c r="Z236" s="217">
        <f t="shared" si="631"/>
        <v>10.156637962656193</v>
      </c>
      <c r="AA236" s="173">
        <f t="shared" si="632"/>
        <v>1.661610155539939</v>
      </c>
      <c r="AB236" s="173">
        <f t="shared" si="633"/>
        <v>2.6675556982571234</v>
      </c>
      <c r="AC236" s="173"/>
      <c r="AD236" s="173">
        <f t="shared" si="634"/>
        <v>0.5453281429180693</v>
      </c>
      <c r="AE236" s="545">
        <f t="shared" si="635"/>
        <v>550.12748543416433</v>
      </c>
      <c r="AF236" s="528">
        <f t="shared" si="636"/>
        <v>0.31810808336887375</v>
      </c>
      <c r="AH236" s="173">
        <f t="shared" si="637"/>
        <v>4.3410810637940882</v>
      </c>
      <c r="AI236" s="173">
        <f t="shared" si="638"/>
        <v>4.3410810637940882</v>
      </c>
      <c r="AJ236" s="173">
        <f t="shared" si="639"/>
        <v>1.9464798003412997</v>
      </c>
      <c r="AL236" s="545">
        <f t="shared" si="640"/>
        <v>500</v>
      </c>
      <c r="AM236" s="460">
        <f t="shared" si="641"/>
        <v>350</v>
      </c>
      <c r="AO236">
        <f t="shared" si="642"/>
        <v>500</v>
      </c>
      <c r="AP236">
        <f t="shared" si="643"/>
        <v>350</v>
      </c>
      <c r="AR236" s="5">
        <f t="shared" si="614"/>
        <v>2.8571428571428572</v>
      </c>
      <c r="AS236" s="5">
        <f t="shared" si="602"/>
        <v>0.51098644956699213</v>
      </c>
      <c r="AT236" s="5">
        <f t="shared" si="603"/>
        <v>2.3461564075758652</v>
      </c>
      <c r="AU236" s="173">
        <f t="shared" si="604"/>
        <v>0.17884525734844725</v>
      </c>
      <c r="BA236" s="173">
        <f t="shared" si="689"/>
        <v>1.0599270661572993</v>
      </c>
      <c r="BB236" s="173">
        <f t="shared" si="690"/>
        <v>2.2711706706537309</v>
      </c>
      <c r="BC236" s="173">
        <f t="shared" si="691"/>
        <v>0.22897868236918764</v>
      </c>
      <c r="BD236" s="173"/>
      <c r="BE236" s="528">
        <f t="shared" si="692"/>
        <v>1.3481344626873839E-2</v>
      </c>
      <c r="BF236" s="528">
        <f t="shared" si="644"/>
        <v>1.9037854214052456</v>
      </c>
      <c r="BG236" s="528">
        <f t="shared" si="693"/>
        <v>4.0250000000000001E-2</v>
      </c>
      <c r="BH236" s="528">
        <f t="shared" si="694"/>
        <v>0.81255479027989086</v>
      </c>
      <c r="BI236">
        <f t="shared" si="695"/>
        <v>1.7967964625490104E-2</v>
      </c>
      <c r="BJ236" s="460">
        <f t="shared" si="696"/>
        <v>58.217964625490104</v>
      </c>
      <c r="BK236">
        <f t="shared" si="645"/>
        <v>2.7422453906278794</v>
      </c>
      <c r="BL236" s="460">
        <f t="shared" si="697"/>
        <v>2788.0395209375006</v>
      </c>
      <c r="BM236" s="173">
        <f t="shared" si="646"/>
        <v>0.33529999999999999</v>
      </c>
      <c r="BN236" s="173">
        <f t="shared" si="647"/>
        <v>2.3949999999999999E-2</v>
      </c>
      <c r="BQ236" s="460">
        <f t="shared" si="698"/>
        <v>359.24999999999994</v>
      </c>
      <c r="BR236" s="528">
        <f t="shared" si="699"/>
        <v>1.5728235398019479E-2</v>
      </c>
      <c r="BS236" s="528">
        <f t="shared" si="700"/>
        <v>7.2215027013328048E-2</v>
      </c>
      <c r="BT236" s="528">
        <f t="shared" si="701"/>
        <v>2.6215618489764661E-4</v>
      </c>
      <c r="BU236" s="528">
        <f t="shared" si="702"/>
        <v>4.4991953965603537</v>
      </c>
      <c r="BV236" s="528"/>
      <c r="BW236" s="625">
        <f t="shared" si="703"/>
        <v>0.65957446808510634</v>
      </c>
      <c r="BX236" s="460">
        <f t="shared" si="704"/>
        <v>5246.9752832417043</v>
      </c>
      <c r="BY236" s="173">
        <f t="shared" si="705"/>
        <v>8.3942648041792065</v>
      </c>
      <c r="BZ236" s="5">
        <f t="shared" si="706"/>
        <v>15.5</v>
      </c>
      <c r="CA236" s="173">
        <f t="shared" si="707"/>
        <v>0.64869122892155207</v>
      </c>
      <c r="CB236" s="5">
        <f t="shared" si="708"/>
        <v>64.869122892155204</v>
      </c>
      <c r="CC236">
        <f t="shared" si="709"/>
        <v>20</v>
      </c>
      <c r="CE236" s="562">
        <f t="shared" si="648"/>
        <v>-50</v>
      </c>
      <c r="CG236" s="173">
        <f t="shared" si="649"/>
        <v>0.24238399287081647</v>
      </c>
      <c r="CH236" s="173">
        <f t="shared" si="650"/>
        <v>7.8693754551852874E-2</v>
      </c>
      <c r="CI236" s="170">
        <v>20</v>
      </c>
      <c r="CJ236" s="217">
        <f t="shared" si="710"/>
        <v>0.5</v>
      </c>
      <c r="CK236" s="217">
        <f t="shared" si="651"/>
        <v>0.05</v>
      </c>
      <c r="CL236" s="217">
        <f t="shared" si="652"/>
        <v>14</v>
      </c>
      <c r="CM236" s="217">
        <f t="shared" si="653"/>
        <v>1.5</v>
      </c>
      <c r="CN236" s="541">
        <f t="shared" si="654"/>
        <v>40</v>
      </c>
      <c r="CO236" s="443">
        <f t="shared" si="655"/>
        <v>28.7</v>
      </c>
      <c r="CP236" s="443">
        <f t="shared" si="656"/>
        <v>68.7</v>
      </c>
      <c r="CQ236" s="443"/>
      <c r="CR236" s="217">
        <f t="shared" si="657"/>
        <v>0.41520467836257302</v>
      </c>
      <c r="CS236" s="172">
        <f t="shared" si="658"/>
        <v>125.00786015217253</v>
      </c>
      <c r="CT236" s="172">
        <f t="shared" si="659"/>
        <v>14.828738512949037</v>
      </c>
      <c r="CU236" s="217">
        <f t="shared" si="660"/>
        <v>4.4645664340061613</v>
      </c>
      <c r="CV236" s="217">
        <f t="shared" si="661"/>
        <v>4.1669286717390843</v>
      </c>
      <c r="CW236" s="217">
        <f t="shared" si="662"/>
        <v>28</v>
      </c>
      <c r="CX236" s="217">
        <f t="shared" si="663"/>
        <v>1.8665492957746483</v>
      </c>
      <c r="CY236" s="217">
        <f t="shared" si="664"/>
        <v>0.21931954225352118</v>
      </c>
      <c r="CZ236" s="217">
        <f t="shared" si="665"/>
        <v>0.30567183589340929</v>
      </c>
      <c r="DA236" s="197">
        <f t="shared" si="666"/>
        <v>350</v>
      </c>
      <c r="DB236" s="443">
        <f t="shared" si="667"/>
        <v>350</v>
      </c>
      <c r="DD236" s="217">
        <f t="shared" si="668"/>
        <v>10.158258230357086</v>
      </c>
      <c r="DE236" s="173">
        <f t="shared" si="669"/>
        <v>1.6635475150758992</v>
      </c>
      <c r="DF236" s="173">
        <f t="shared" si="670"/>
        <v>2.6710919890125213</v>
      </c>
      <c r="DG236" s="173"/>
      <c r="DH236" s="173">
        <f t="shared" si="671"/>
        <v>0.54587688734030204</v>
      </c>
      <c r="DI236" s="545">
        <f t="shared" si="672"/>
        <v>549.57446808510633</v>
      </c>
      <c r="DJ236" s="528">
        <f t="shared" si="673"/>
        <v>0.31842818428184283</v>
      </c>
      <c r="DL236" s="173">
        <f t="shared" si="674"/>
        <v>4.3410810637940882</v>
      </c>
      <c r="DM236" s="173">
        <f t="shared" si="675"/>
        <v>4.3410810637940882</v>
      </c>
      <c r="DN236" s="173">
        <f t="shared" si="676"/>
        <v>1.9464798003412997</v>
      </c>
      <c r="DP236" s="545">
        <f t="shared" si="677"/>
        <v>500</v>
      </c>
      <c r="DQ236" s="460">
        <f t="shared" si="678"/>
        <v>350</v>
      </c>
      <c r="DS236">
        <f t="shared" si="679"/>
        <v>500</v>
      </c>
      <c r="DT236">
        <f t="shared" si="680"/>
        <v>350</v>
      </c>
      <c r="DV236" s="5">
        <f t="shared" si="681"/>
        <v>2.8571428571428572</v>
      </c>
      <c r="DW236" s="5">
        <f t="shared" si="682"/>
        <v>0.51007702499580532</v>
      </c>
      <c r="DX236" s="5">
        <f t="shared" si="683"/>
        <v>2.3470658321470519</v>
      </c>
      <c r="DY236" s="173">
        <f t="shared" si="684"/>
        <v>0.17852695874853186</v>
      </c>
      <c r="EA236" s="5">
        <f t="shared" si="711"/>
        <v>0.91085183034965234</v>
      </c>
      <c r="EB236" s="5">
        <f t="shared" si="712"/>
        <v>8.5012837499300886E-2</v>
      </c>
      <c r="EC236" s="5">
        <f t="shared" si="713"/>
        <v>0.58676645803676286</v>
      </c>
      <c r="ED236" s="5"/>
      <c r="EE236" s="173">
        <f t="shared" si="714"/>
        <v>1.0589834472172543</v>
      </c>
      <c r="EF236" s="173">
        <f t="shared" si="715"/>
        <v>2.2716108071873578</v>
      </c>
      <c r="EG236" s="173">
        <f t="shared" si="716"/>
        <v>0.22902305679020085</v>
      </c>
      <c r="EH236" s="173"/>
      <c r="EI236" s="528">
        <f t="shared" si="717"/>
        <v>1.3457351297761674E-2</v>
      </c>
      <c r="EJ236" s="528">
        <f t="shared" si="718"/>
        <v>1.9832445893996486</v>
      </c>
      <c r="EK236" s="528">
        <f t="shared" si="719"/>
        <v>4.0250000000000001E-2</v>
      </c>
      <c r="EL236" s="528">
        <f t="shared" si="720"/>
        <v>0.81355656375000007</v>
      </c>
      <c r="EM236">
        <f t="shared" si="721"/>
        <v>1.7999999999999999E-2</v>
      </c>
      <c r="EN236" s="460">
        <f t="shared" si="722"/>
        <v>58.249999999999993</v>
      </c>
      <c r="EP236" s="460">
        <f t="shared" si="723"/>
        <v>2868.5085044474104</v>
      </c>
      <c r="EQ236" s="173">
        <f t="shared" si="724"/>
        <v>0.35</v>
      </c>
      <c r="ER236" s="173">
        <f t="shared" si="685"/>
        <v>2.3949999999999999E-2</v>
      </c>
      <c r="ES236" s="528"/>
      <c r="EU236" s="460">
        <f t="shared" si="725"/>
        <v>373.95</v>
      </c>
      <c r="EV236" s="528">
        <f t="shared" si="726"/>
        <v>1.5700243180721954E-2</v>
      </c>
      <c r="EW236" s="528">
        <f t="shared" si="727"/>
        <v>7.2243019230625594E-2</v>
      </c>
      <c r="EX236" s="528">
        <f t="shared" si="728"/>
        <v>2.6225780270763783E-4</v>
      </c>
      <c r="EY236" s="528">
        <f t="shared" si="729"/>
        <v>4.4991953965603537</v>
      </c>
      <c r="EZ236" s="528"/>
      <c r="FA236" s="625">
        <f t="shared" si="730"/>
        <v>0.65957446808510634</v>
      </c>
      <c r="FB236" s="460">
        <f t="shared" si="731"/>
        <v>5246.9753848595155</v>
      </c>
      <c r="FC236" s="173">
        <f t="shared" si="732"/>
        <v>8.489433889306925</v>
      </c>
      <c r="FD236" s="5">
        <f t="shared" si="733"/>
        <v>15.5</v>
      </c>
      <c r="FE236" s="173">
        <f t="shared" si="734"/>
        <v>0.64611778967026756</v>
      </c>
      <c r="FF236" s="5">
        <f t="shared" si="735"/>
        <v>64.611778967026751</v>
      </c>
      <c r="FG236">
        <f t="shared" si="736"/>
        <v>20</v>
      </c>
      <c r="FI236" s="562">
        <f t="shared" si="686"/>
        <v>-50</v>
      </c>
    </row>
    <row r="237" spans="5:165">
      <c r="E237" s="170">
        <v>21</v>
      </c>
      <c r="F237" s="217">
        <f t="shared" si="687"/>
        <v>0.52500000000000002</v>
      </c>
      <c r="G237" s="217">
        <f t="shared" si="615"/>
        <v>5.2499999999999998E-2</v>
      </c>
      <c r="H237" s="217">
        <f t="shared" si="616"/>
        <v>14.700000000000001</v>
      </c>
      <c r="I237" s="217">
        <f t="shared" si="617"/>
        <v>1.575</v>
      </c>
      <c r="J237" s="541">
        <f t="shared" si="618"/>
        <v>39.927052243250671</v>
      </c>
      <c r="K237" s="443">
        <f t="shared" si="619"/>
        <v>28.729592983642259</v>
      </c>
      <c r="L237" s="172">
        <f t="shared" si="620"/>
        <v>68.656645226892934</v>
      </c>
      <c r="M237" s="443"/>
      <c r="N237" s="217">
        <f t="shared" si="621"/>
        <v>0.41845320126985791</v>
      </c>
      <c r="O237" s="172">
        <f t="shared" si="622"/>
        <v>125.75615032172014</v>
      </c>
      <c r="P237" s="172">
        <f t="shared" si="623"/>
        <v>14.917502525408128</v>
      </c>
      <c r="Q237" s="217">
        <f t="shared" si="624"/>
        <v>4.4912910829185764</v>
      </c>
      <c r="R237" s="217">
        <f t="shared" si="625"/>
        <v>4.1918716773906715</v>
      </c>
      <c r="S237" s="217">
        <f t="shared" si="626"/>
        <v>28</v>
      </c>
      <c r="T237" s="217">
        <f t="shared" si="627"/>
        <v>1.9482148536928021</v>
      </c>
      <c r="U237" s="217">
        <f t="shared" si="628"/>
        <v>0.2293334793806126</v>
      </c>
      <c r="V237" s="217">
        <f t="shared" si="629"/>
        <v>0.31871700436444261</v>
      </c>
      <c r="W237" s="197">
        <f t="shared" si="630"/>
        <v>350</v>
      </c>
      <c r="X237" s="443">
        <f t="shared" si="688"/>
        <v>350</v>
      </c>
      <c r="Z237" s="217">
        <f t="shared" si="631"/>
        <v>10.156597464107662</v>
      </c>
      <c r="AA237" s="173">
        <f t="shared" si="632"/>
        <v>1.6615622820861198</v>
      </c>
      <c r="AB237" s="173">
        <f t="shared" si="633"/>
        <v>2.6674682057224142</v>
      </c>
      <c r="AC237" s="173"/>
      <c r="AD237" s="173">
        <f t="shared" si="634"/>
        <v>0.54531460559106359</v>
      </c>
      <c r="AE237" s="545">
        <f t="shared" si="635"/>
        <v>577.64819935195601</v>
      </c>
      <c r="AF237" s="528">
        <f t="shared" si="636"/>
        <v>0.31810018659478712</v>
      </c>
      <c r="AH237" s="173">
        <f t="shared" si="637"/>
        <v>4.4482843931737541</v>
      </c>
      <c r="AI237" s="173">
        <f t="shared" si="638"/>
        <v>4.4482843931737541</v>
      </c>
      <c r="AJ237" s="173">
        <f t="shared" si="639"/>
        <v>2.0258896739558669</v>
      </c>
      <c r="AL237" s="545">
        <f t="shared" si="640"/>
        <v>525</v>
      </c>
      <c r="AM237" s="460">
        <f t="shared" si="641"/>
        <v>350</v>
      </c>
      <c r="AO237">
        <f t="shared" si="642"/>
        <v>525</v>
      </c>
      <c r="AP237">
        <f t="shared" si="643"/>
        <v>350</v>
      </c>
      <c r="AR237" s="5">
        <f t="shared" si="614"/>
        <v>2.8571428571428572</v>
      </c>
      <c r="AS237" s="5">
        <f t="shared" si="602"/>
        <v>0.52362835404286023</v>
      </c>
      <c r="AT237" s="5">
        <f t="shared" si="603"/>
        <v>2.3335145030999969</v>
      </c>
      <c r="AU237" s="173">
        <f t="shared" si="604"/>
        <v>0.18326992391500108</v>
      </c>
      <c r="BA237" s="173">
        <f t="shared" si="689"/>
        <v>1.0994551495274136</v>
      </c>
      <c r="BB237" s="173">
        <f t="shared" si="690"/>
        <v>2.3209789001687882</v>
      </c>
      <c r="BC237" s="173">
        <f t="shared" si="691"/>
        <v>0.23400033173832868</v>
      </c>
      <c r="BD237" s="173"/>
      <c r="BE237" s="528">
        <f t="shared" si="692"/>
        <v>1.4505619509868171E-2</v>
      </c>
      <c r="BF237" s="528">
        <f t="shared" si="644"/>
        <v>1.9507698605397827</v>
      </c>
      <c r="BG237" s="528">
        <f t="shared" si="693"/>
        <v>4.0250000000000001E-2</v>
      </c>
      <c r="BH237" s="528">
        <f t="shared" si="694"/>
        <v>0.81253005921574695</v>
      </c>
      <c r="BI237">
        <f t="shared" si="695"/>
        <v>1.7967173509462801E-2</v>
      </c>
      <c r="BJ237" s="460">
        <f t="shared" si="696"/>
        <v>58.217173509462803</v>
      </c>
      <c r="BK237">
        <f t="shared" si="645"/>
        <v>2.7913425167598955</v>
      </c>
      <c r="BL237" s="460">
        <f t="shared" si="697"/>
        <v>2836.0227127748608</v>
      </c>
      <c r="BM237" s="173">
        <f t="shared" si="646"/>
        <v>0.35206499999999996</v>
      </c>
      <c r="BN237" s="173">
        <f t="shared" si="647"/>
        <v>2.51475E-2</v>
      </c>
      <c r="BQ237" s="460">
        <f t="shared" si="698"/>
        <v>377.21249999999998</v>
      </c>
      <c r="BR237" s="528">
        <f t="shared" si="699"/>
        <v>1.6923222761512865E-2</v>
      </c>
      <c r="BS237" s="528">
        <f t="shared" si="700"/>
        <v>7.5417202770402036E-2</v>
      </c>
      <c r="BT237" s="528">
        <f t="shared" si="701"/>
        <v>2.7378077626823936E-4</v>
      </c>
      <c r="BU237" s="528">
        <f t="shared" si="702"/>
        <v>4.7821311060694471</v>
      </c>
      <c r="BV237" s="528"/>
      <c r="BW237" s="625">
        <f t="shared" si="703"/>
        <v>0.6925531914893619</v>
      </c>
      <c r="BX237" s="460">
        <f t="shared" si="704"/>
        <v>5567.2985038669922</v>
      </c>
      <c r="BY237" s="173">
        <f t="shared" si="705"/>
        <v>8.7805337166418536</v>
      </c>
      <c r="BZ237" s="5">
        <f t="shared" si="706"/>
        <v>16.275000000000002</v>
      </c>
      <c r="CA237" s="173">
        <f t="shared" si="707"/>
        <v>0.64955710718667181</v>
      </c>
      <c r="CB237" s="5">
        <f t="shared" si="708"/>
        <v>64.955710718667177</v>
      </c>
      <c r="CC237">
        <f t="shared" si="709"/>
        <v>21.000000000000004</v>
      </c>
      <c r="CE237" s="562">
        <f t="shared" si="648"/>
        <v>-50</v>
      </c>
      <c r="CG237" s="173">
        <f t="shared" si="649"/>
        <v>0.24836968414039587</v>
      </c>
      <c r="CH237" s="173">
        <f t="shared" si="650"/>
        <v>8.0637102848134551E-2</v>
      </c>
      <c r="CI237" s="170">
        <v>21</v>
      </c>
      <c r="CJ237" s="217">
        <f t="shared" si="710"/>
        <v>0.52500000000000002</v>
      </c>
      <c r="CK237" s="217">
        <f t="shared" si="651"/>
        <v>5.2499999999999998E-2</v>
      </c>
      <c r="CL237" s="217">
        <f t="shared" si="652"/>
        <v>14.700000000000001</v>
      </c>
      <c r="CM237" s="217">
        <f t="shared" si="653"/>
        <v>1.575</v>
      </c>
      <c r="CN237" s="541">
        <f t="shared" si="654"/>
        <v>40</v>
      </c>
      <c r="CO237" s="443">
        <f t="shared" si="655"/>
        <v>28.7</v>
      </c>
      <c r="CP237" s="443">
        <f t="shared" si="656"/>
        <v>68.7</v>
      </c>
      <c r="CQ237" s="443"/>
      <c r="CR237" s="217">
        <f t="shared" si="657"/>
        <v>0.41520467836257302</v>
      </c>
      <c r="CS237" s="172">
        <f t="shared" si="658"/>
        <v>125.00786015217253</v>
      </c>
      <c r="CT237" s="172">
        <f t="shared" si="659"/>
        <v>14.828738512949037</v>
      </c>
      <c r="CU237" s="217">
        <f t="shared" si="660"/>
        <v>4.4645664340061613</v>
      </c>
      <c r="CV237" s="217">
        <f t="shared" si="661"/>
        <v>4.1669286717390843</v>
      </c>
      <c r="CW237" s="217">
        <f t="shared" si="662"/>
        <v>28</v>
      </c>
      <c r="CX237" s="217">
        <f t="shared" si="663"/>
        <v>1.9598767605633811</v>
      </c>
      <c r="CY237" s="217">
        <f t="shared" si="664"/>
        <v>0.23028551936619729</v>
      </c>
      <c r="CZ237" s="217">
        <f t="shared" si="665"/>
        <v>0.32095542768807983</v>
      </c>
      <c r="DA237" s="197">
        <f t="shared" si="666"/>
        <v>350</v>
      </c>
      <c r="DB237" s="443">
        <f t="shared" si="667"/>
        <v>350</v>
      </c>
      <c r="DD237" s="217">
        <f t="shared" si="668"/>
        <v>10.158258230357086</v>
      </c>
      <c r="DE237" s="173">
        <f t="shared" si="669"/>
        <v>1.6635475150758992</v>
      </c>
      <c r="DF237" s="173">
        <f t="shared" si="670"/>
        <v>2.6710919890125213</v>
      </c>
      <c r="DG237" s="173"/>
      <c r="DH237" s="173">
        <f t="shared" si="671"/>
        <v>0.54587688734030204</v>
      </c>
      <c r="DI237" s="545">
        <f t="shared" si="672"/>
        <v>577.05319148936167</v>
      </c>
      <c r="DJ237" s="528">
        <f t="shared" si="673"/>
        <v>0.31842818428184283</v>
      </c>
      <c r="DL237" s="173">
        <f t="shared" si="674"/>
        <v>4.4482843931737541</v>
      </c>
      <c r="DM237" s="173">
        <f t="shared" si="675"/>
        <v>4.4482843931737541</v>
      </c>
      <c r="DN237" s="173">
        <f t="shared" si="676"/>
        <v>2.0258896739558669</v>
      </c>
      <c r="DP237" s="545">
        <f t="shared" si="677"/>
        <v>525</v>
      </c>
      <c r="DQ237" s="460">
        <f t="shared" si="678"/>
        <v>350</v>
      </c>
      <c r="DS237">
        <f t="shared" si="679"/>
        <v>525</v>
      </c>
      <c r="DT237">
        <f t="shared" si="680"/>
        <v>350</v>
      </c>
      <c r="DV237" s="5">
        <f t="shared" si="681"/>
        <v>2.8571428571428572</v>
      </c>
      <c r="DW237" s="5">
        <f t="shared" si="682"/>
        <v>0.52267341619791607</v>
      </c>
      <c r="DX237" s="5">
        <f t="shared" si="683"/>
        <v>2.3344694409449414</v>
      </c>
      <c r="DY237" s="173">
        <f t="shared" si="684"/>
        <v>0.18293569566927062</v>
      </c>
      <c r="EA237" s="5">
        <f t="shared" si="711"/>
        <v>0.98001265537109261</v>
      </c>
      <c r="EB237" s="5">
        <f t="shared" si="712"/>
        <v>9.1467847834635296E-2</v>
      </c>
      <c r="EC237" s="5">
        <f t="shared" si="713"/>
        <v>0.61279822824804708</v>
      </c>
      <c r="ED237" s="5"/>
      <c r="EE237" s="173">
        <f t="shared" si="714"/>
        <v>1.0984521571959249</v>
      </c>
      <c r="EF237" s="173">
        <f t="shared" si="715"/>
        <v>2.3214537555597965</v>
      </c>
      <c r="EG237" s="173">
        <f t="shared" si="716"/>
        <v>0.23404820650315983</v>
      </c>
      <c r="EH237" s="173"/>
      <c r="EI237" s="528">
        <f t="shared" si="717"/>
        <v>1.4479165699780572E-2</v>
      </c>
      <c r="EJ237" s="528">
        <f t="shared" si="718"/>
        <v>2.0322209664433957</v>
      </c>
      <c r="EK237" s="528">
        <f t="shared" si="719"/>
        <v>4.0250000000000001E-2</v>
      </c>
      <c r="EL237" s="528">
        <f t="shared" si="720"/>
        <v>0.81355656375000007</v>
      </c>
      <c r="EM237">
        <f t="shared" si="721"/>
        <v>1.7999999999999999E-2</v>
      </c>
      <c r="EN237" s="460">
        <f t="shared" si="722"/>
        <v>58.249999999999993</v>
      </c>
      <c r="EP237" s="460">
        <f t="shared" si="723"/>
        <v>2918.5066958931761</v>
      </c>
      <c r="EQ237" s="173">
        <f t="shared" si="724"/>
        <v>0.36749999999999999</v>
      </c>
      <c r="ER237" s="173">
        <f t="shared" si="685"/>
        <v>2.51475E-2</v>
      </c>
      <c r="ES237" s="528"/>
      <c r="EU237" s="460">
        <f t="shared" si="725"/>
        <v>392.64749999999998</v>
      </c>
      <c r="EV237" s="528">
        <f t="shared" si="726"/>
        <v>1.6892359983077334E-2</v>
      </c>
      <c r="EW237" s="528">
        <f t="shared" si="727"/>
        <v>7.5448065548837567E-2</v>
      </c>
      <c r="EX237" s="528">
        <f t="shared" si="728"/>
        <v>2.7389281483672877E-4</v>
      </c>
      <c r="EY237" s="528">
        <f t="shared" si="729"/>
        <v>4.7821311060694471</v>
      </c>
      <c r="EZ237" s="528"/>
      <c r="FA237" s="625">
        <f t="shared" si="730"/>
        <v>0.6925531914893619</v>
      </c>
      <c r="FB237" s="460">
        <f t="shared" si="731"/>
        <v>5567.2986159055608</v>
      </c>
      <c r="FC237" s="173">
        <f t="shared" si="732"/>
        <v>8.878452811798736</v>
      </c>
      <c r="FD237" s="5">
        <f t="shared" si="733"/>
        <v>16.275000000000002</v>
      </c>
      <c r="FE237" s="173">
        <f t="shared" si="734"/>
        <v>0.64702846650006973</v>
      </c>
      <c r="FF237" s="5">
        <f t="shared" si="735"/>
        <v>64.702846650006975</v>
      </c>
      <c r="FG237">
        <f t="shared" si="736"/>
        <v>21.000000000000004</v>
      </c>
      <c r="FI237" s="562">
        <f t="shared" si="686"/>
        <v>-50</v>
      </c>
    </row>
    <row r="238" spans="5:165">
      <c r="E238" s="170">
        <v>22</v>
      </c>
      <c r="F238" s="217">
        <f t="shared" si="687"/>
        <v>0.55000000000000004</v>
      </c>
      <c r="G238" s="217">
        <f t="shared" si="615"/>
        <v>5.5E-2</v>
      </c>
      <c r="H238" s="217">
        <f t="shared" si="616"/>
        <v>15.400000000000002</v>
      </c>
      <c r="I238" s="217">
        <f t="shared" si="617"/>
        <v>1.65</v>
      </c>
      <c r="J238" s="541">
        <f t="shared" si="618"/>
        <v>39.925335590576836</v>
      </c>
      <c r="K238" s="443">
        <f t="shared" si="619"/>
        <v>28.730289384419471</v>
      </c>
      <c r="L238" s="172">
        <f t="shared" si="620"/>
        <v>68.6556249749963</v>
      </c>
      <c r="M238" s="443"/>
      <c r="N238" s="217">
        <f t="shared" si="621"/>
        <v>0.41846956305303112</v>
      </c>
      <c r="O238" s="172">
        <f t="shared" si="622"/>
        <v>125.75566040359166</v>
      </c>
      <c r="P238" s="172">
        <f t="shared" si="623"/>
        <v>14.917444410119929</v>
      </c>
      <c r="Q238" s="217">
        <f t="shared" si="624"/>
        <v>4.491273585842559</v>
      </c>
      <c r="R238" s="217">
        <f t="shared" si="625"/>
        <v>4.1918553467863884</v>
      </c>
      <c r="S238" s="217">
        <f t="shared" si="626"/>
        <v>28</v>
      </c>
      <c r="T238" s="217">
        <f t="shared" si="627"/>
        <v>2.0409949408474986</v>
      </c>
      <c r="U238" s="217">
        <f t="shared" si="628"/>
        <v>0.24026538738092168</v>
      </c>
      <c r="V238" s="217">
        <f t="shared" si="629"/>
        <v>0.33388721198142129</v>
      </c>
      <c r="W238" s="197">
        <f t="shared" si="630"/>
        <v>350</v>
      </c>
      <c r="X238" s="443">
        <f t="shared" si="688"/>
        <v>350</v>
      </c>
      <c r="Z238" s="217">
        <f t="shared" si="631"/>
        <v>10.156557896251865</v>
      </c>
      <c r="AA238" s="173">
        <f t="shared" si="632"/>
        <v>1.6615155341341969</v>
      </c>
      <c r="AB238" s="173">
        <f t="shared" si="633"/>
        <v>2.6673827650962414</v>
      </c>
      <c r="AC238" s="173"/>
      <c r="AD238" s="173">
        <f t="shared" si="634"/>
        <v>0.54530138757191748</v>
      </c>
      <c r="AE238" s="545">
        <f t="shared" si="635"/>
        <v>605.16992533138887</v>
      </c>
      <c r="AF238" s="528">
        <f t="shared" si="636"/>
        <v>0.31809247608361851</v>
      </c>
      <c r="AH238" s="173">
        <f t="shared" si="637"/>
        <v>4.552964230331134</v>
      </c>
      <c r="AI238" s="173">
        <f t="shared" si="638"/>
        <v>4.552964230331134</v>
      </c>
      <c r="AJ238" s="173">
        <f t="shared" si="639"/>
        <v>2.103430294072445</v>
      </c>
      <c r="AL238" s="545">
        <f t="shared" si="640"/>
        <v>550</v>
      </c>
      <c r="AM238" s="460">
        <f t="shared" si="641"/>
        <v>350</v>
      </c>
      <c r="AO238">
        <f t="shared" si="642"/>
        <v>550</v>
      </c>
      <c r="AP238">
        <f t="shared" si="643"/>
        <v>350</v>
      </c>
      <c r="AR238" s="5">
        <f t="shared" si="614"/>
        <v>2.8571428571428572</v>
      </c>
      <c r="AS238" s="5">
        <f t="shared" si="602"/>
        <v>0.53597375115381363</v>
      </c>
      <c r="AT238" s="5">
        <f t="shared" si="603"/>
        <v>2.3211691059890436</v>
      </c>
      <c r="AU238" s="173">
        <f t="shared" si="604"/>
        <v>0.18759081290383475</v>
      </c>
      <c r="BA238" s="173">
        <f t="shared" si="689"/>
        <v>1.1385166694832087</v>
      </c>
      <c r="BB238" s="173">
        <f t="shared" si="690"/>
        <v>2.3693052893623596</v>
      </c>
      <c r="BC238" s="173">
        <f t="shared" si="691"/>
        <v>0.23887258245210677</v>
      </c>
      <c r="BD238" s="173"/>
      <c r="BE238" s="528">
        <f t="shared" si="692"/>
        <v>1.5554642480293656E-2</v>
      </c>
      <c r="BF238" s="528">
        <f t="shared" si="644"/>
        <v>1.9966469376629699</v>
      </c>
      <c r="BG238" s="528">
        <f t="shared" si="693"/>
        <v>4.0250000000000001E-2</v>
      </c>
      <c r="BH238" s="528">
        <f t="shared" si="694"/>
        <v>0.81250591066692701</v>
      </c>
      <c r="BI238">
        <f t="shared" si="695"/>
        <v>1.7966401015759574E-2</v>
      </c>
      <c r="BJ238" s="460">
        <f t="shared" si="696"/>
        <v>58.216401015759573</v>
      </c>
      <c r="BK238">
        <f t="shared" si="645"/>
        <v>2.8394010545789556</v>
      </c>
      <c r="BL238" s="460">
        <f t="shared" si="697"/>
        <v>2882.9238918259498</v>
      </c>
      <c r="BM238" s="173">
        <f t="shared" si="646"/>
        <v>0.36882999999999999</v>
      </c>
      <c r="BN238" s="173">
        <f t="shared" si="647"/>
        <v>2.6345E-2</v>
      </c>
      <c r="BQ238" s="460">
        <f t="shared" si="698"/>
        <v>395.17500000000001</v>
      </c>
      <c r="BR238" s="528">
        <f t="shared" si="699"/>
        <v>1.814708289367593E-2</v>
      </c>
      <c r="BS238" s="528">
        <f t="shared" si="700"/>
        <v>7.859050575880637E-2</v>
      </c>
      <c r="BT238" s="528">
        <f t="shared" si="701"/>
        <v>2.8530055323669273E-4</v>
      </c>
      <c r="BU238" s="528">
        <f t="shared" si="702"/>
        <v>5.0684563550314925</v>
      </c>
      <c r="BV238" s="528"/>
      <c r="BW238" s="625">
        <f t="shared" si="703"/>
        <v>0.72553191489361724</v>
      </c>
      <c r="BX238" s="460">
        <f t="shared" si="704"/>
        <v>5891.0111591308287</v>
      </c>
      <c r="BY238" s="173">
        <f t="shared" si="705"/>
        <v>9.1691100509567782</v>
      </c>
      <c r="BZ238" s="5">
        <f t="shared" si="706"/>
        <v>17.05</v>
      </c>
      <c r="CA238" s="173">
        <f t="shared" si="707"/>
        <v>0.65028904363509543</v>
      </c>
      <c r="CB238" s="5">
        <f t="shared" si="708"/>
        <v>65.02890436350954</v>
      </c>
      <c r="CC238">
        <f t="shared" si="709"/>
        <v>22.000000000000004</v>
      </c>
      <c r="CE238" s="562">
        <f t="shared" si="648"/>
        <v>-50</v>
      </c>
      <c r="CG238" s="173">
        <f t="shared" si="649"/>
        <v>0.25421447637772326</v>
      </c>
      <c r="CH238" s="173">
        <f t="shared" si="650"/>
        <v>8.2534706069713429E-2</v>
      </c>
      <c r="CI238" s="170">
        <v>22</v>
      </c>
      <c r="CJ238" s="217">
        <f t="shared" si="710"/>
        <v>0.55000000000000004</v>
      </c>
      <c r="CK238" s="217">
        <f t="shared" si="651"/>
        <v>5.5E-2</v>
      </c>
      <c r="CL238" s="217">
        <f t="shared" si="652"/>
        <v>15.400000000000002</v>
      </c>
      <c r="CM238" s="217">
        <f t="shared" si="653"/>
        <v>1.65</v>
      </c>
      <c r="CN238" s="541">
        <f t="shared" si="654"/>
        <v>40</v>
      </c>
      <c r="CO238" s="443">
        <f t="shared" si="655"/>
        <v>28.7</v>
      </c>
      <c r="CP238" s="443">
        <f t="shared" si="656"/>
        <v>68.7</v>
      </c>
      <c r="CQ238" s="443"/>
      <c r="CR238" s="217">
        <f t="shared" si="657"/>
        <v>0.41520467836257302</v>
      </c>
      <c r="CS238" s="172">
        <f t="shared" si="658"/>
        <v>125.00786015217253</v>
      </c>
      <c r="CT238" s="172">
        <f t="shared" si="659"/>
        <v>14.828738512949037</v>
      </c>
      <c r="CU238" s="217">
        <f t="shared" si="660"/>
        <v>4.4645664340061613</v>
      </c>
      <c r="CV238" s="217">
        <f t="shared" si="661"/>
        <v>4.1669286717390843</v>
      </c>
      <c r="CW238" s="217">
        <f t="shared" si="662"/>
        <v>28</v>
      </c>
      <c r="CX238" s="217">
        <f t="shared" si="663"/>
        <v>2.0532042253521134</v>
      </c>
      <c r="CY238" s="217">
        <f t="shared" si="664"/>
        <v>0.24125149647887331</v>
      </c>
      <c r="CZ238" s="217">
        <f t="shared" si="665"/>
        <v>0.33623901948275026</v>
      </c>
      <c r="DA238" s="197">
        <f t="shared" si="666"/>
        <v>350</v>
      </c>
      <c r="DB238" s="443">
        <f t="shared" si="667"/>
        <v>350</v>
      </c>
      <c r="DD238" s="217">
        <f t="shared" si="668"/>
        <v>10.158258230357086</v>
      </c>
      <c r="DE238" s="173">
        <f t="shared" si="669"/>
        <v>1.6635475150758992</v>
      </c>
      <c r="DF238" s="173">
        <f t="shared" si="670"/>
        <v>2.6710919890125213</v>
      </c>
      <c r="DG238" s="173"/>
      <c r="DH238" s="173">
        <f t="shared" si="671"/>
        <v>0.54587688734030204</v>
      </c>
      <c r="DI238" s="545">
        <f t="shared" si="672"/>
        <v>604.531914893617</v>
      </c>
      <c r="DJ238" s="528">
        <f t="shared" si="673"/>
        <v>0.31842818428184283</v>
      </c>
      <c r="DL238" s="173">
        <f t="shared" si="674"/>
        <v>4.552964230331134</v>
      </c>
      <c r="DM238" s="173">
        <f t="shared" si="675"/>
        <v>4.552964230331134</v>
      </c>
      <c r="DN238" s="173">
        <f t="shared" si="676"/>
        <v>2.103430294072445</v>
      </c>
      <c r="DP238" s="545">
        <f t="shared" si="677"/>
        <v>550</v>
      </c>
      <c r="DQ238" s="460">
        <f t="shared" si="678"/>
        <v>350</v>
      </c>
      <c r="DS238">
        <f t="shared" si="679"/>
        <v>550</v>
      </c>
      <c r="DT238">
        <f t="shared" si="680"/>
        <v>350</v>
      </c>
      <c r="DV238" s="5">
        <f t="shared" si="681"/>
        <v>2.8571428571428572</v>
      </c>
      <c r="DW238" s="5">
        <f t="shared" si="682"/>
        <v>0.53497329706390817</v>
      </c>
      <c r="DX238" s="5">
        <f t="shared" si="683"/>
        <v>2.3221695600789491</v>
      </c>
      <c r="DY238" s="173">
        <f t="shared" si="684"/>
        <v>0.18724065397236786</v>
      </c>
      <c r="EA238" s="5">
        <f t="shared" si="711"/>
        <v>1.0508404049469626</v>
      </c>
      <c r="EB238" s="5">
        <f t="shared" si="712"/>
        <v>9.8078437795049822E-2</v>
      </c>
      <c r="EC238" s="5">
        <f t="shared" si="713"/>
        <v>0.6385966290217111</v>
      </c>
      <c r="ED238" s="5"/>
      <c r="EE238" s="173">
        <f t="shared" si="714"/>
        <v>1.137453589728286</v>
      </c>
      <c r="EF238" s="173">
        <f t="shared" si="715"/>
        <v>2.3698158350609919</v>
      </c>
      <c r="EG238" s="173">
        <f t="shared" si="716"/>
        <v>0.23892405550205081</v>
      </c>
      <c r="EH238" s="173"/>
      <c r="EI238" s="528">
        <f t="shared" si="717"/>
        <v>1.5525608025429167E-2</v>
      </c>
      <c r="EJ238" s="528">
        <f t="shared" si="718"/>
        <v>2.0800444734479302</v>
      </c>
      <c r="EK238" s="528">
        <f t="shared" si="719"/>
        <v>4.0250000000000001E-2</v>
      </c>
      <c r="EL238" s="528">
        <f t="shared" si="720"/>
        <v>0.81355656375000007</v>
      </c>
      <c r="EM238">
        <f t="shared" si="721"/>
        <v>1.7999999999999999E-2</v>
      </c>
      <c r="EN238" s="460">
        <f t="shared" si="722"/>
        <v>58.249999999999993</v>
      </c>
      <c r="EP238" s="460">
        <f t="shared" si="723"/>
        <v>2967.3766452233594</v>
      </c>
      <c r="EQ238" s="173">
        <f t="shared" si="724"/>
        <v>0.38500000000000001</v>
      </c>
      <c r="ER238" s="173">
        <f t="shared" si="685"/>
        <v>2.6345E-2</v>
      </c>
      <c r="ES238" s="528"/>
      <c r="EU238" s="460">
        <f t="shared" si="725"/>
        <v>411.34500000000003</v>
      </c>
      <c r="EV238" s="528">
        <f t="shared" si="726"/>
        <v>1.8113209363000697E-2</v>
      </c>
      <c r="EW238" s="528">
        <f t="shared" si="727"/>
        <v>7.8624379289481572E-2</v>
      </c>
      <c r="EX238" s="528">
        <f t="shared" si="728"/>
        <v>2.854235214877353E-4</v>
      </c>
      <c r="EY238" s="528">
        <f t="shared" si="729"/>
        <v>5.0684563550314925</v>
      </c>
      <c r="EZ238" s="528"/>
      <c r="FA238" s="625">
        <f t="shared" si="730"/>
        <v>0.72553191489361724</v>
      </c>
      <c r="FB238" s="460">
        <f t="shared" si="731"/>
        <v>5891.0112820990798</v>
      </c>
      <c r="FC238" s="173">
        <f t="shared" si="732"/>
        <v>9.2697329273224387</v>
      </c>
      <c r="FD238" s="5">
        <f t="shared" si="733"/>
        <v>17.05</v>
      </c>
      <c r="FE238" s="173">
        <f t="shared" si="734"/>
        <v>0.64780292592940569</v>
      </c>
      <c r="FF238" s="5">
        <f t="shared" si="735"/>
        <v>64.780292592940569</v>
      </c>
      <c r="FG238">
        <f t="shared" si="736"/>
        <v>22.000000000000004</v>
      </c>
      <c r="FI238" s="562">
        <f t="shared" si="686"/>
        <v>-50</v>
      </c>
    </row>
    <row r="239" spans="5:165">
      <c r="E239" s="170">
        <v>23</v>
      </c>
      <c r="F239" s="217">
        <f t="shared" si="687"/>
        <v>0.57500000000000007</v>
      </c>
      <c r="G239" s="217">
        <f t="shared" si="615"/>
        <v>5.7500000000000002E-2</v>
      </c>
      <c r="H239" s="217">
        <f t="shared" si="616"/>
        <v>16.100000000000001</v>
      </c>
      <c r="I239" s="217">
        <f t="shared" si="617"/>
        <v>1.7250000000000001</v>
      </c>
      <c r="J239" s="541">
        <f t="shared" si="618"/>
        <v>39.923657529158007</v>
      </c>
      <c r="K239" s="443">
        <f t="shared" si="619"/>
        <v>28.730970129740932</v>
      </c>
      <c r="L239" s="172">
        <f t="shared" si="620"/>
        <v>68.654627658898931</v>
      </c>
      <c r="M239" s="443"/>
      <c r="N239" s="217">
        <f t="shared" si="621"/>
        <v>0.41848555748473071</v>
      </c>
      <c r="O239" s="172">
        <f t="shared" si="622"/>
        <v>125.75518123164954</v>
      </c>
      <c r="P239" s="172">
        <f t="shared" si="623"/>
        <v>14.917387569570673</v>
      </c>
      <c r="Q239" s="217">
        <f t="shared" si="624"/>
        <v>4.4912564725589119</v>
      </c>
      <c r="R239" s="217">
        <f t="shared" si="625"/>
        <v>4.1918393743883184</v>
      </c>
      <c r="S239" s="217">
        <f t="shared" si="626"/>
        <v>28</v>
      </c>
      <c r="T239" s="217">
        <f t="shared" si="627"/>
        <v>2.1337755685711688</v>
      </c>
      <c r="U239" s="217">
        <f t="shared" si="628"/>
        <v>0.25119805631435593</v>
      </c>
      <c r="V239" s="217">
        <f t="shared" si="629"/>
        <v>0.34905696281738896</v>
      </c>
      <c r="W239" s="197">
        <f t="shared" si="630"/>
        <v>350</v>
      </c>
      <c r="X239" s="443">
        <f t="shared" si="688"/>
        <v>350</v>
      </c>
      <c r="Z239" s="217">
        <f t="shared" si="631"/>
        <v>10.156519196303437</v>
      </c>
      <c r="AA239" s="173">
        <f t="shared" si="632"/>
        <v>1.6614698357579123</v>
      </c>
      <c r="AB239" s="173">
        <f t="shared" si="633"/>
        <v>2.6672992379573013</v>
      </c>
      <c r="AC239" s="173"/>
      <c r="AD239" s="173">
        <f t="shared" si="634"/>
        <v>0.54528846732012293</v>
      </c>
      <c r="AE239" s="545">
        <f t="shared" si="635"/>
        <v>632.6926400911035</v>
      </c>
      <c r="AF239" s="528">
        <f t="shared" si="636"/>
        <v>0.3180849392700717</v>
      </c>
      <c r="AH239" s="173">
        <f t="shared" si="637"/>
        <v>4.6552908096913077</v>
      </c>
      <c r="AI239" s="173">
        <f t="shared" si="638"/>
        <v>4.6552908096913077</v>
      </c>
      <c r="AJ239" s="173">
        <f t="shared" si="639"/>
        <v>2.179227760265166</v>
      </c>
      <c r="AL239" s="545">
        <f t="shared" si="640"/>
        <v>575.00000000000011</v>
      </c>
      <c r="AM239" s="460">
        <f t="shared" si="641"/>
        <v>350</v>
      </c>
      <c r="AO239">
        <f t="shared" si="642"/>
        <v>575.00000000000011</v>
      </c>
      <c r="AP239">
        <f t="shared" si="643"/>
        <v>350</v>
      </c>
      <c r="AR239" s="5">
        <f t="shared" si="614"/>
        <v>2.8571428571428572</v>
      </c>
      <c r="AS239" s="5">
        <f t="shared" si="602"/>
        <v>0.54804264337678266</v>
      </c>
      <c r="AT239" s="5">
        <f t="shared" si="603"/>
        <v>2.3091002137660745</v>
      </c>
      <c r="AU239" s="173">
        <f t="shared" si="604"/>
        <v>0.19181492518187393</v>
      </c>
      <c r="BA239" s="173">
        <f t="shared" si="689"/>
        <v>1.1771380197215287</v>
      </c>
      <c r="BB239" s="173">
        <f t="shared" si="690"/>
        <v>2.4162485227017099</v>
      </c>
      <c r="BC239" s="173">
        <f t="shared" si="691"/>
        <v>0.24360538384615599</v>
      </c>
      <c r="BD239" s="173"/>
      <c r="BE239" s="528">
        <f t="shared" si="692"/>
        <v>1.6627847009687065E-2</v>
      </c>
      <c r="BF239" s="528">
        <f t="shared" si="644"/>
        <v>2.0414913552580152</v>
      </c>
      <c r="BG239" s="528">
        <f t="shared" si="693"/>
        <v>4.0250000000000001E-2</v>
      </c>
      <c r="BH239" s="528">
        <f t="shared" si="694"/>
        <v>0.81248230533703081</v>
      </c>
      <c r="BI239">
        <f t="shared" si="695"/>
        <v>1.7965645888121103E-2</v>
      </c>
      <c r="BJ239" s="460">
        <f t="shared" si="696"/>
        <v>58.215645888121102</v>
      </c>
      <c r="BK239">
        <f t="shared" si="645"/>
        <v>2.8864949224586041</v>
      </c>
      <c r="BL239" s="460">
        <f t="shared" si="697"/>
        <v>2928.8171534928538</v>
      </c>
      <c r="BM239" s="173">
        <f t="shared" si="646"/>
        <v>0.38559500000000002</v>
      </c>
      <c r="BN239" s="173">
        <f t="shared" si="647"/>
        <v>2.7542500000000001E-2</v>
      </c>
      <c r="BQ239" s="460">
        <f t="shared" si="698"/>
        <v>413.13750000000005</v>
      </c>
      <c r="BR239" s="528">
        <f t="shared" si="699"/>
        <v>1.9399154844634909E-2</v>
      </c>
      <c r="BS239" s="528">
        <f t="shared" si="700"/>
        <v>8.1735596928414742E-2</v>
      </c>
      <c r="BT239" s="528">
        <f t="shared" si="701"/>
        <v>2.9671791519416497E-4</v>
      </c>
      <c r="BU239" s="528">
        <f t="shared" si="702"/>
        <v>5.3580548494391858</v>
      </c>
      <c r="BV239" s="528"/>
      <c r="BW239" s="625">
        <f t="shared" si="703"/>
        <v>0.75851063829787235</v>
      </c>
      <c r="BX239" s="460">
        <f t="shared" si="704"/>
        <v>6217.9969574253018</v>
      </c>
      <c r="BY239" s="173">
        <f t="shared" si="705"/>
        <v>9.5599516109181568</v>
      </c>
      <c r="BZ239" s="5">
        <f t="shared" si="706"/>
        <v>17.825000000000003</v>
      </c>
      <c r="CA239" s="173">
        <f t="shared" si="707"/>
        <v>0.65090492958524415</v>
      </c>
      <c r="CB239" s="5">
        <f t="shared" si="708"/>
        <v>65.090492958524422</v>
      </c>
      <c r="CC239">
        <f t="shared" si="709"/>
        <v>23.000000000000004</v>
      </c>
      <c r="CE239" s="562">
        <f t="shared" si="648"/>
        <v>-50</v>
      </c>
      <c r="CG239" s="173">
        <f t="shared" si="649"/>
        <v>0.2599278746114006</v>
      </c>
      <c r="CH239" s="173">
        <f t="shared" si="650"/>
        <v>8.4389650172798772E-2</v>
      </c>
      <c r="CI239" s="170">
        <v>23</v>
      </c>
      <c r="CJ239" s="217">
        <f t="shared" si="710"/>
        <v>0.57500000000000007</v>
      </c>
      <c r="CK239" s="217">
        <f t="shared" si="651"/>
        <v>5.7500000000000002E-2</v>
      </c>
      <c r="CL239" s="217">
        <f t="shared" si="652"/>
        <v>16.100000000000001</v>
      </c>
      <c r="CM239" s="217">
        <f t="shared" si="653"/>
        <v>1.7250000000000001</v>
      </c>
      <c r="CN239" s="541">
        <f t="shared" si="654"/>
        <v>40</v>
      </c>
      <c r="CO239" s="443">
        <f t="shared" si="655"/>
        <v>28.7</v>
      </c>
      <c r="CP239" s="443">
        <f t="shared" si="656"/>
        <v>68.7</v>
      </c>
      <c r="CQ239" s="443"/>
      <c r="CR239" s="217">
        <f t="shared" si="657"/>
        <v>0.41520467836257302</v>
      </c>
      <c r="CS239" s="172">
        <f t="shared" si="658"/>
        <v>125.00786015217253</v>
      </c>
      <c r="CT239" s="172">
        <f t="shared" si="659"/>
        <v>14.828738512949037</v>
      </c>
      <c r="CU239" s="217">
        <f t="shared" si="660"/>
        <v>4.4645664340061613</v>
      </c>
      <c r="CV239" s="217">
        <f t="shared" si="661"/>
        <v>4.1669286717390843</v>
      </c>
      <c r="CW239" s="217">
        <f t="shared" si="662"/>
        <v>28</v>
      </c>
      <c r="CX239" s="217">
        <f t="shared" si="663"/>
        <v>2.1465316901408458</v>
      </c>
      <c r="CY239" s="217">
        <f t="shared" si="664"/>
        <v>0.25221747359154933</v>
      </c>
      <c r="CZ239" s="217">
        <f t="shared" si="665"/>
        <v>0.35152261127742074</v>
      </c>
      <c r="DA239" s="197">
        <f t="shared" si="666"/>
        <v>350</v>
      </c>
      <c r="DB239" s="443">
        <f t="shared" si="667"/>
        <v>350</v>
      </c>
      <c r="DD239" s="217">
        <f t="shared" si="668"/>
        <v>10.158258230357086</v>
      </c>
      <c r="DE239" s="173">
        <f t="shared" si="669"/>
        <v>1.6635475150758992</v>
      </c>
      <c r="DF239" s="173">
        <f t="shared" si="670"/>
        <v>2.6710919890125213</v>
      </c>
      <c r="DG239" s="173"/>
      <c r="DH239" s="173">
        <f t="shared" si="671"/>
        <v>0.54587688734030204</v>
      </c>
      <c r="DI239" s="545">
        <f t="shared" si="672"/>
        <v>632.01063829787233</v>
      </c>
      <c r="DJ239" s="528">
        <f t="shared" si="673"/>
        <v>0.31842818428184283</v>
      </c>
      <c r="DL239" s="173">
        <f t="shared" si="674"/>
        <v>4.6552908096913077</v>
      </c>
      <c r="DM239" s="173">
        <f t="shared" si="675"/>
        <v>4.6552908096913077</v>
      </c>
      <c r="DN239" s="173">
        <f t="shared" si="676"/>
        <v>2.179227760265166</v>
      </c>
      <c r="DP239" s="545">
        <f t="shared" si="677"/>
        <v>575.00000000000011</v>
      </c>
      <c r="DQ239" s="460">
        <f t="shared" si="678"/>
        <v>350</v>
      </c>
      <c r="DS239">
        <f t="shared" si="679"/>
        <v>575.00000000000011</v>
      </c>
      <c r="DT239">
        <f t="shared" si="680"/>
        <v>350</v>
      </c>
      <c r="DV239" s="5">
        <f t="shared" si="681"/>
        <v>2.8571428571428572</v>
      </c>
      <c r="DW239" s="5">
        <f t="shared" si="682"/>
        <v>0.54699667013872866</v>
      </c>
      <c r="DX239" s="5">
        <f t="shared" si="683"/>
        <v>2.3101461870041287</v>
      </c>
      <c r="DY239" s="173">
        <f t="shared" si="684"/>
        <v>0.19144883454855502</v>
      </c>
      <c r="EA239" s="5">
        <f t="shared" si="711"/>
        <v>1.1232967333206036</v>
      </c>
      <c r="EB239" s="5">
        <f t="shared" si="712"/>
        <v>0.10484102844325632</v>
      </c>
      <c r="EC239" s="5">
        <f t="shared" si="713"/>
        <v>0.66416702876368694</v>
      </c>
      <c r="ED239" s="5"/>
      <c r="EE239" s="173">
        <f t="shared" si="714"/>
        <v>1.1760141629160448</v>
      </c>
      <c r="EF239" s="173">
        <f t="shared" si="715"/>
        <v>2.4167957153125279</v>
      </c>
      <c r="EG239" s="173">
        <f t="shared" si="716"/>
        <v>0.24366055162577122</v>
      </c>
      <c r="EH239" s="173"/>
      <c r="EI239" s="528">
        <f t="shared" si="717"/>
        <v>1.6596111736549506E-2</v>
      </c>
      <c r="EJ239" s="528">
        <f t="shared" si="718"/>
        <v>2.1267928828615226</v>
      </c>
      <c r="EK239" s="528">
        <f t="shared" si="719"/>
        <v>4.0250000000000001E-2</v>
      </c>
      <c r="EL239" s="528">
        <f t="shared" si="720"/>
        <v>0.81355656375000007</v>
      </c>
      <c r="EM239">
        <f t="shared" si="721"/>
        <v>1.7999999999999999E-2</v>
      </c>
      <c r="EN239" s="460">
        <f t="shared" si="722"/>
        <v>58.249999999999993</v>
      </c>
      <c r="EP239" s="460">
        <f t="shared" si="723"/>
        <v>3015.1955583480722</v>
      </c>
      <c r="EQ239" s="173">
        <f t="shared" si="724"/>
        <v>0.40250000000000002</v>
      </c>
      <c r="ER239" s="173">
        <f t="shared" si="685"/>
        <v>2.7542500000000001E-2</v>
      </c>
      <c r="ES239" s="528"/>
      <c r="EU239" s="460">
        <f t="shared" si="725"/>
        <v>430.04250000000008</v>
      </c>
      <c r="EV239" s="528">
        <f t="shared" si="726"/>
        <v>1.9362130359307759E-2</v>
      </c>
      <c r="EW239" s="528">
        <f t="shared" si="727"/>
        <v>8.1772621413741906E-2</v>
      </c>
      <c r="EX239" s="528">
        <f t="shared" si="728"/>
        <v>2.968523220928756E-4</v>
      </c>
      <c r="EY239" s="528">
        <f t="shared" si="729"/>
        <v>5.3580548494391858</v>
      </c>
      <c r="EZ239" s="528"/>
      <c r="FA239" s="625">
        <f t="shared" si="730"/>
        <v>0.75851063829787235</v>
      </c>
      <c r="FB239" s="460">
        <f t="shared" si="731"/>
        <v>6217.9970918322006</v>
      </c>
      <c r="FC239" s="173">
        <f t="shared" si="732"/>
        <v>9.663235150180272</v>
      </c>
      <c r="FD239" s="5">
        <f t="shared" si="733"/>
        <v>17.825000000000003</v>
      </c>
      <c r="FE239" s="173">
        <f t="shared" si="734"/>
        <v>0.64845923729239863</v>
      </c>
      <c r="FF239" s="5">
        <f t="shared" si="735"/>
        <v>64.845923729239857</v>
      </c>
      <c r="FG239">
        <f t="shared" si="736"/>
        <v>23.000000000000004</v>
      </c>
      <c r="FI239" s="562">
        <f t="shared" si="686"/>
        <v>-50</v>
      </c>
    </row>
    <row r="240" spans="5:165">
      <c r="E240" s="170">
        <v>24</v>
      </c>
      <c r="F240" s="217">
        <f t="shared" si="687"/>
        <v>0.6</v>
      </c>
      <c r="G240" s="217">
        <f t="shared" si="615"/>
        <v>0.06</v>
      </c>
      <c r="H240" s="217">
        <f t="shared" si="616"/>
        <v>16.8</v>
      </c>
      <c r="I240" s="217">
        <f t="shared" si="617"/>
        <v>1.7999999999999998</v>
      </c>
      <c r="J240" s="541">
        <f t="shared" si="618"/>
        <v>39.922015567745795</v>
      </c>
      <c r="K240" s="443">
        <f t="shared" si="619"/>
        <v>28.731636230240497</v>
      </c>
      <c r="L240" s="172">
        <f t="shared" si="620"/>
        <v>68.653651797986299</v>
      </c>
      <c r="M240" s="443"/>
      <c r="N240" s="217">
        <f t="shared" si="621"/>
        <v>0.41850120827925474</v>
      </c>
      <c r="O240" s="172">
        <f t="shared" si="622"/>
        <v>125.75471211216542</v>
      </c>
      <c r="P240" s="172">
        <f t="shared" si="623"/>
        <v>14.917331921468602</v>
      </c>
      <c r="Q240" s="217">
        <f t="shared" si="624"/>
        <v>4.4912397182916219</v>
      </c>
      <c r="R240" s="217">
        <f t="shared" si="625"/>
        <v>4.1918237370721805</v>
      </c>
      <c r="S240" s="217">
        <f t="shared" si="626"/>
        <v>28</v>
      </c>
      <c r="T240" s="217">
        <f t="shared" si="627"/>
        <v>2.226556725367534</v>
      </c>
      <c r="U240" s="217">
        <f t="shared" si="628"/>
        <v>0.26213146957645722</v>
      </c>
      <c r="V240" s="217">
        <f t="shared" si="629"/>
        <v>0.364226267009918</v>
      </c>
      <c r="W240" s="197">
        <f t="shared" si="630"/>
        <v>350</v>
      </c>
      <c r="X240" s="443">
        <f t="shared" si="688"/>
        <v>350</v>
      </c>
      <c r="Z240" s="217">
        <f t="shared" si="631"/>
        <v>10.156481308233943</v>
      </c>
      <c r="AA240" s="173">
        <f t="shared" si="632"/>
        <v>1.661425119202129</v>
      </c>
      <c r="AB240" s="173">
        <f t="shared" si="633"/>
        <v>2.6672175007810703</v>
      </c>
      <c r="AC240" s="173"/>
      <c r="AD240" s="173">
        <f t="shared" si="634"/>
        <v>0.54527582561334442</v>
      </c>
      <c r="AE240" s="545">
        <f t="shared" si="635"/>
        <v>660.21632188637727</v>
      </c>
      <c r="AF240" s="528">
        <f t="shared" si="636"/>
        <v>0.31807756494111766</v>
      </c>
      <c r="AH240" s="173">
        <f t="shared" si="637"/>
        <v>4.7554160451970899</v>
      </c>
      <c r="AI240" s="173">
        <f t="shared" si="638"/>
        <v>4.7554160451970899</v>
      </c>
      <c r="AJ240" s="173">
        <f t="shared" si="639"/>
        <v>2.2533946013805601</v>
      </c>
      <c r="AL240" s="545">
        <f t="shared" si="640"/>
        <v>600</v>
      </c>
      <c r="AM240" s="460">
        <f t="shared" si="641"/>
        <v>350</v>
      </c>
      <c r="AO240">
        <f t="shared" si="642"/>
        <v>600</v>
      </c>
      <c r="AP240">
        <f t="shared" si="643"/>
        <v>350</v>
      </c>
      <c r="AR240" s="5">
        <f t="shared" si="614"/>
        <v>2.8571428571428572</v>
      </c>
      <c r="AS240" s="5">
        <f t="shared" si="602"/>
        <v>0.55985288053652105</v>
      </c>
      <c r="AT240" s="5">
        <f t="shared" si="603"/>
        <v>2.2972899766063364</v>
      </c>
      <c r="AU240" s="173">
        <f t="shared" si="604"/>
        <v>0.19594850818778237</v>
      </c>
      <c r="BA240" s="173">
        <f t="shared" si="689"/>
        <v>1.2153430229952207</v>
      </c>
      <c r="BB240" s="173">
        <f t="shared" si="690"/>
        <v>2.4618966788696643</v>
      </c>
      <c r="BC240" s="173">
        <f t="shared" si="691"/>
        <v>0.24820761598440061</v>
      </c>
      <c r="BD240" s="173"/>
      <c r="BE240" s="528">
        <f t="shared" si="692"/>
        <v>1.7724703962517938E-2</v>
      </c>
      <c r="BF240" s="528">
        <f t="shared" si="644"/>
        <v>2.0853697763911967</v>
      </c>
      <c r="BG240" s="528">
        <f t="shared" si="693"/>
        <v>4.0250000000000001E-2</v>
      </c>
      <c r="BH240" s="528">
        <f t="shared" si="694"/>
        <v>0.81245920815870298</v>
      </c>
      <c r="BI240">
        <f t="shared" si="695"/>
        <v>1.7964907005485607E-2</v>
      </c>
      <c r="BJ240" s="460">
        <f t="shared" si="696"/>
        <v>58.214907005485607</v>
      </c>
      <c r="BK240">
        <f t="shared" si="645"/>
        <v>2.9326900591778866</v>
      </c>
      <c r="BL240" s="460">
        <f t="shared" si="697"/>
        <v>2973.7685955179027</v>
      </c>
      <c r="BM240" s="173">
        <f t="shared" si="646"/>
        <v>0.40236</v>
      </c>
      <c r="BN240" s="173">
        <f t="shared" si="647"/>
        <v>2.8739999999999998E-2</v>
      </c>
      <c r="BQ240" s="460">
        <f t="shared" si="698"/>
        <v>431.09999999999997</v>
      </c>
      <c r="BR240" s="528">
        <f t="shared" si="699"/>
        <v>2.0678821289604261E-2</v>
      </c>
      <c r="BS240" s="528">
        <f t="shared" si="700"/>
        <v>8.4853093604012761E-2</v>
      </c>
      <c r="BT240" s="528">
        <f t="shared" si="701"/>
        <v>3.0803510316329839E-4</v>
      </c>
      <c r="BU240" s="528">
        <f t="shared" si="702"/>
        <v>5.6508192012375176</v>
      </c>
      <c r="BV240" s="528"/>
      <c r="BW240" s="625">
        <f t="shared" si="703"/>
        <v>0.79148936170212769</v>
      </c>
      <c r="BX240" s="460">
        <f t="shared" si="704"/>
        <v>6548.1485129364255</v>
      </c>
      <c r="BY240" s="173">
        <f t="shared" si="705"/>
        <v>9.9530171084543291</v>
      </c>
      <c r="BZ240" s="5">
        <f t="shared" si="706"/>
        <v>18.600000000000001</v>
      </c>
      <c r="CA240" s="173">
        <f t="shared" si="707"/>
        <v>0.65141977568782683</v>
      </c>
      <c r="CB240" s="5">
        <f t="shared" si="708"/>
        <v>65.141977568782679</v>
      </c>
      <c r="CC240">
        <f t="shared" si="709"/>
        <v>24</v>
      </c>
      <c r="CE240" s="562">
        <f t="shared" si="648"/>
        <v>-50</v>
      </c>
      <c r="CG240" s="173">
        <f t="shared" si="649"/>
        <v>0.26551836094703513</v>
      </c>
      <c r="CH240" s="173">
        <f t="shared" si="650"/>
        <v>8.6204689005649329E-2</v>
      </c>
      <c r="CI240" s="170">
        <v>24</v>
      </c>
      <c r="CJ240" s="217">
        <f t="shared" si="710"/>
        <v>0.6</v>
      </c>
      <c r="CK240" s="217">
        <f t="shared" si="651"/>
        <v>0.06</v>
      </c>
      <c r="CL240" s="217">
        <f t="shared" si="652"/>
        <v>16.8</v>
      </c>
      <c r="CM240" s="217">
        <f t="shared" si="653"/>
        <v>1.7999999999999998</v>
      </c>
      <c r="CN240" s="541">
        <f t="shared" si="654"/>
        <v>40</v>
      </c>
      <c r="CO240" s="443">
        <f t="shared" si="655"/>
        <v>28.7</v>
      </c>
      <c r="CP240" s="443">
        <f t="shared" si="656"/>
        <v>68.7</v>
      </c>
      <c r="CQ240" s="443"/>
      <c r="CR240" s="217">
        <f t="shared" si="657"/>
        <v>0.41520467836257302</v>
      </c>
      <c r="CS240" s="172">
        <f t="shared" si="658"/>
        <v>125.00786015217253</v>
      </c>
      <c r="CT240" s="172">
        <f t="shared" si="659"/>
        <v>14.828738512949037</v>
      </c>
      <c r="CU240" s="217">
        <f t="shared" si="660"/>
        <v>4.4645664340061613</v>
      </c>
      <c r="CV240" s="217">
        <f t="shared" si="661"/>
        <v>4.1669286717390843</v>
      </c>
      <c r="CW240" s="217">
        <f t="shared" si="662"/>
        <v>28</v>
      </c>
      <c r="CX240" s="217">
        <f t="shared" si="663"/>
        <v>2.2398591549295781</v>
      </c>
      <c r="CY240" s="217">
        <f t="shared" si="664"/>
        <v>0.26318345070422539</v>
      </c>
      <c r="CZ240" s="217">
        <f t="shared" si="665"/>
        <v>0.36680620307209116</v>
      </c>
      <c r="DA240" s="197">
        <f t="shared" si="666"/>
        <v>350</v>
      </c>
      <c r="DB240" s="443">
        <f t="shared" si="667"/>
        <v>350</v>
      </c>
      <c r="DD240" s="217">
        <f t="shared" si="668"/>
        <v>10.158258230357086</v>
      </c>
      <c r="DE240" s="173">
        <f t="shared" si="669"/>
        <v>1.6635475150758992</v>
      </c>
      <c r="DF240" s="173">
        <f t="shared" si="670"/>
        <v>2.6710919890125213</v>
      </c>
      <c r="DG240" s="173"/>
      <c r="DH240" s="173">
        <f t="shared" si="671"/>
        <v>0.54587688734030204</v>
      </c>
      <c r="DI240" s="545">
        <f t="shared" si="672"/>
        <v>659.48936170212767</v>
      </c>
      <c r="DJ240" s="528">
        <f t="shared" si="673"/>
        <v>0.31842818428184283</v>
      </c>
      <c r="DL240" s="173">
        <f t="shared" si="674"/>
        <v>4.7554160451970899</v>
      </c>
      <c r="DM240" s="173">
        <f t="shared" si="675"/>
        <v>4.7554160451970899</v>
      </c>
      <c r="DN240" s="173">
        <f t="shared" si="676"/>
        <v>2.2533946013805601</v>
      </c>
      <c r="DP240" s="545">
        <f t="shared" si="677"/>
        <v>600</v>
      </c>
      <c r="DQ240" s="460">
        <f t="shared" si="678"/>
        <v>350</v>
      </c>
      <c r="DS240">
        <f t="shared" si="679"/>
        <v>600</v>
      </c>
      <c r="DT240">
        <f t="shared" si="680"/>
        <v>350</v>
      </c>
      <c r="DV240" s="5">
        <f t="shared" si="681"/>
        <v>2.8571428571428572</v>
      </c>
      <c r="DW240" s="5">
        <f t="shared" si="682"/>
        <v>0.55876138531065811</v>
      </c>
      <c r="DX240" s="5">
        <f t="shared" si="683"/>
        <v>2.2983814718321991</v>
      </c>
      <c r="DY240" s="173">
        <f t="shared" si="684"/>
        <v>0.19556648485873032</v>
      </c>
      <c r="EA240" s="5">
        <f t="shared" si="711"/>
        <v>1.1973458256656959</v>
      </c>
      <c r="EB240" s="5">
        <f t="shared" si="712"/>
        <v>0.11175227706213163</v>
      </c>
      <c r="EC240" s="5">
        <f t="shared" si="713"/>
        <v>0.6895144415496598</v>
      </c>
      <c r="ED240" s="5"/>
      <c r="EE240" s="173">
        <f t="shared" si="714"/>
        <v>1.2141577220489508</v>
      </c>
      <c r="EF240" s="173">
        <f t="shared" si="715"/>
        <v>2.4624814612422052</v>
      </c>
      <c r="EG240" s="173">
        <f t="shared" si="716"/>
        <v>0.24826657355146828</v>
      </c>
      <c r="EH240" s="173"/>
      <c r="EI240" s="528">
        <f t="shared" si="717"/>
        <v>1.7690147688133168E-2</v>
      </c>
      <c r="EJ240" s="528">
        <f t="shared" si="718"/>
        <v>2.1725355973285168</v>
      </c>
      <c r="EK240" s="528">
        <f t="shared" si="719"/>
        <v>4.0250000000000001E-2</v>
      </c>
      <c r="EL240" s="528">
        <f t="shared" si="720"/>
        <v>0.81355656375000007</v>
      </c>
      <c r="EM240">
        <f t="shared" si="721"/>
        <v>1.7999999999999999E-2</v>
      </c>
      <c r="EN240" s="460">
        <f t="shared" si="722"/>
        <v>58.249999999999993</v>
      </c>
      <c r="EP240" s="460">
        <f t="shared" si="723"/>
        <v>3062.0323087666497</v>
      </c>
      <c r="EQ240" s="173">
        <f t="shared" si="724"/>
        <v>0.42</v>
      </c>
      <c r="ER240" s="173">
        <f t="shared" si="685"/>
        <v>2.8739999999999998E-2</v>
      </c>
      <c r="ES240" s="528"/>
      <c r="EU240" s="460">
        <f t="shared" si="725"/>
        <v>448.73999999999995</v>
      </c>
      <c r="EV240" s="528">
        <f t="shared" si="726"/>
        <v>2.0638505636155362E-2</v>
      </c>
      <c r="EW240" s="528">
        <f t="shared" si="727"/>
        <v>8.4893409257461652E-2</v>
      </c>
      <c r="EX240" s="528">
        <f t="shared" si="728"/>
        <v>3.0818145771493305E-4</v>
      </c>
      <c r="EY240" s="528">
        <f t="shared" si="729"/>
        <v>5.6508192012375176</v>
      </c>
      <c r="EZ240" s="528"/>
      <c r="FA240" s="625">
        <f t="shared" si="730"/>
        <v>0.79148936170212769</v>
      </c>
      <c r="FB240" s="460">
        <f t="shared" si="731"/>
        <v>6548.1486592909769</v>
      </c>
      <c r="FC240" s="173">
        <f t="shared" si="732"/>
        <v>10.058920968057627</v>
      </c>
      <c r="FD240" s="5">
        <f t="shared" si="733"/>
        <v>18.600000000000001</v>
      </c>
      <c r="FE240" s="173">
        <f t="shared" si="734"/>
        <v>0.64901257171304538</v>
      </c>
      <c r="FF240" s="5">
        <f t="shared" si="735"/>
        <v>64.901257171304536</v>
      </c>
      <c r="FG240">
        <f t="shared" si="736"/>
        <v>24</v>
      </c>
      <c r="FI240" s="562">
        <f t="shared" si="686"/>
        <v>-50</v>
      </c>
    </row>
    <row r="241" spans="5:165">
      <c r="E241" s="170">
        <v>25</v>
      </c>
      <c r="F241" s="217">
        <f t="shared" si="687"/>
        <v>0.625</v>
      </c>
      <c r="G241" s="217">
        <f t="shared" si="615"/>
        <v>6.25E-2</v>
      </c>
      <c r="H241" s="217">
        <f t="shared" si="616"/>
        <v>17.5</v>
      </c>
      <c r="I241" s="217">
        <f t="shared" si="617"/>
        <v>1.875</v>
      </c>
      <c r="J241" s="541">
        <f t="shared" si="618"/>
        <v>39.920407472123564</v>
      </c>
      <c r="K241" s="443">
        <f t="shared" si="619"/>
        <v>28.732288592281009</v>
      </c>
      <c r="L241" s="172">
        <f t="shared" si="620"/>
        <v>68.65269606440458</v>
      </c>
      <c r="M241" s="443"/>
      <c r="N241" s="217">
        <f t="shared" si="621"/>
        <v>0.41851653670420497</v>
      </c>
      <c r="O241" s="172">
        <f t="shared" si="622"/>
        <v>125.75425242298577</v>
      </c>
      <c r="P241" s="172">
        <f t="shared" si="623"/>
        <v>14.917277392012341</v>
      </c>
      <c r="Q241" s="217">
        <f t="shared" si="624"/>
        <v>4.4912233008209208</v>
      </c>
      <c r="R241" s="217">
        <f t="shared" si="625"/>
        <v>4.1918084140995253</v>
      </c>
      <c r="S241" s="217">
        <f t="shared" si="626"/>
        <v>28</v>
      </c>
      <c r="T241" s="217">
        <f t="shared" si="627"/>
        <v>2.3193384004671236</v>
      </c>
      <c r="U241" s="217">
        <f t="shared" si="628"/>
        <v>0.2730656116124961</v>
      </c>
      <c r="V241" s="217">
        <f t="shared" si="629"/>
        <v>0.37939513405569886</v>
      </c>
      <c r="W241" s="197">
        <f t="shared" si="630"/>
        <v>350</v>
      </c>
      <c r="X241" s="443">
        <f t="shared" si="688"/>
        <v>350</v>
      </c>
      <c r="Z241" s="217">
        <f t="shared" si="631"/>
        <v>10.156444181795637</v>
      </c>
      <c r="AA241" s="173">
        <f t="shared" si="632"/>
        <v>1.6613813237022712</v>
      </c>
      <c r="AB241" s="173">
        <f t="shared" si="633"/>
        <v>2.6671374427875274</v>
      </c>
      <c r="AC241" s="173"/>
      <c r="AD241" s="173">
        <f t="shared" si="634"/>
        <v>0.54526344521249004</v>
      </c>
      <c r="AE241" s="545">
        <f t="shared" si="635"/>
        <v>687.74095034715174</v>
      </c>
      <c r="AF241" s="528">
        <f t="shared" si="636"/>
        <v>0.31807034304061921</v>
      </c>
      <c r="AH241" s="173">
        <f t="shared" si="637"/>
        <v>4.8534761772403412</v>
      </c>
      <c r="AI241" s="173">
        <f t="shared" si="638"/>
        <v>4.8534761772403412</v>
      </c>
      <c r="AJ241" s="173">
        <f t="shared" si="639"/>
        <v>2.3260317362274132</v>
      </c>
      <c r="AL241" s="545">
        <f t="shared" si="640"/>
        <v>625</v>
      </c>
      <c r="AM241" s="460">
        <f t="shared" si="641"/>
        <v>350</v>
      </c>
      <c r="AO241">
        <f t="shared" si="642"/>
        <v>625</v>
      </c>
      <c r="AP241">
        <f t="shared" si="643"/>
        <v>350</v>
      </c>
      <c r="AR241" s="5">
        <f t="shared" si="614"/>
        <v>2.8571428571428572</v>
      </c>
      <c r="AS241" s="5">
        <f t="shared" si="602"/>
        <v>0.57142047081956182</v>
      </c>
      <c r="AT241" s="5">
        <f t="shared" si="603"/>
        <v>2.2857223863232954</v>
      </c>
      <c r="AU241" s="173">
        <f t="shared" si="604"/>
        <v>0.19999716478684662</v>
      </c>
      <c r="BA241" s="173">
        <f t="shared" si="689"/>
        <v>1.253153277891671</v>
      </c>
      <c r="BB241" s="173">
        <f t="shared" si="690"/>
        <v>2.5063287619788697</v>
      </c>
      <c r="BC241" s="173">
        <f t="shared" si="691"/>
        <v>0.25268724403557458</v>
      </c>
      <c r="BD241" s="173"/>
      <c r="BE241" s="528">
        <f t="shared" si="692"/>
        <v>1.8844717654687676E-2</v>
      </c>
      <c r="BF241" s="528">
        <f t="shared" si="644"/>
        <v>2.1283419862415713</v>
      </c>
      <c r="BG241" s="528">
        <f t="shared" si="693"/>
        <v>4.0250000000000001E-2</v>
      </c>
      <c r="BH241" s="528">
        <f t="shared" si="694"/>
        <v>0.81243658768262206</v>
      </c>
      <c r="BI241">
        <f t="shared" si="695"/>
        <v>1.7964183362455602E-2</v>
      </c>
      <c r="BJ241" s="460">
        <f t="shared" si="696"/>
        <v>58.2141833624556</v>
      </c>
      <c r="BK241">
        <f t="shared" si="645"/>
        <v>2.9780455790622589</v>
      </c>
      <c r="BL241" s="460">
        <f t="shared" si="697"/>
        <v>3017.8374749413365</v>
      </c>
      <c r="BM241" s="173">
        <f t="shared" si="646"/>
        <v>0.41912499999999997</v>
      </c>
      <c r="BN241" s="173">
        <f t="shared" si="647"/>
        <v>2.9937499999999999E-2</v>
      </c>
      <c r="BQ241" s="460">
        <f t="shared" si="698"/>
        <v>449.0625</v>
      </c>
      <c r="BR241" s="528">
        <f t="shared" si="699"/>
        <v>2.1985503930468952E-2</v>
      </c>
      <c r="BS241" s="528">
        <f t="shared" si="700"/>
        <v>8.7943574083715476E-2</v>
      </c>
      <c r="BT241" s="528">
        <f t="shared" si="701"/>
        <v>3.1925421649147009E-4</v>
      </c>
      <c r="BU241" s="528">
        <f t="shared" si="702"/>
        <v>5.9466499011587368</v>
      </c>
      <c r="BV241" s="528"/>
      <c r="BW241" s="625">
        <f t="shared" si="703"/>
        <v>0.82446808510638325</v>
      </c>
      <c r="BX241" s="460">
        <f t="shared" si="704"/>
        <v>6881.3663184957968</v>
      </c>
      <c r="BY241" s="173">
        <f t="shared" si="705"/>
        <v>10.348266293437133</v>
      </c>
      <c r="BZ241" s="5">
        <f t="shared" si="706"/>
        <v>19.375</v>
      </c>
      <c r="CA241" s="173">
        <f t="shared" si="707"/>
        <v>0.65184626106445032</v>
      </c>
      <c r="CB241" s="5">
        <f t="shared" si="708"/>
        <v>65.184626106445037</v>
      </c>
      <c r="CC241">
        <f t="shared" si="709"/>
        <v>25</v>
      </c>
      <c r="CE241" s="562">
        <f t="shared" si="648"/>
        <v>-50</v>
      </c>
      <c r="CG241" s="173">
        <f t="shared" si="649"/>
        <v>0.270993542358485</v>
      </c>
      <c r="CH241" s="173">
        <f t="shared" si="650"/>
        <v>8.7982292291313255E-2</v>
      </c>
      <c r="CI241" s="170">
        <v>25</v>
      </c>
      <c r="CJ241" s="217">
        <f t="shared" si="710"/>
        <v>0.625</v>
      </c>
      <c r="CK241" s="217">
        <f t="shared" si="651"/>
        <v>6.25E-2</v>
      </c>
      <c r="CL241" s="217">
        <f t="shared" si="652"/>
        <v>17.5</v>
      </c>
      <c r="CM241" s="217">
        <f t="shared" si="653"/>
        <v>1.875</v>
      </c>
      <c r="CN241" s="541">
        <f t="shared" si="654"/>
        <v>40</v>
      </c>
      <c r="CO241" s="443">
        <f t="shared" si="655"/>
        <v>28.7</v>
      </c>
      <c r="CP241" s="443">
        <f t="shared" si="656"/>
        <v>68.7</v>
      </c>
      <c r="CQ241" s="443"/>
      <c r="CR241" s="217">
        <f t="shared" si="657"/>
        <v>0.41520467836257302</v>
      </c>
      <c r="CS241" s="172">
        <f t="shared" si="658"/>
        <v>125.00786015217253</v>
      </c>
      <c r="CT241" s="172">
        <f t="shared" si="659"/>
        <v>14.828738512949037</v>
      </c>
      <c r="CU241" s="217">
        <f t="shared" si="660"/>
        <v>4.4645664340061613</v>
      </c>
      <c r="CV241" s="217">
        <f t="shared" si="661"/>
        <v>4.1669286717390843</v>
      </c>
      <c r="CW241" s="217">
        <f t="shared" si="662"/>
        <v>28</v>
      </c>
      <c r="CX241" s="217">
        <f t="shared" si="663"/>
        <v>2.3331866197183104</v>
      </c>
      <c r="CY241" s="217">
        <f t="shared" si="664"/>
        <v>0.27414942781690144</v>
      </c>
      <c r="CZ241" s="217">
        <f t="shared" si="665"/>
        <v>0.38208979486676159</v>
      </c>
      <c r="DA241" s="197">
        <f t="shared" si="666"/>
        <v>350</v>
      </c>
      <c r="DB241" s="443">
        <f t="shared" si="667"/>
        <v>350</v>
      </c>
      <c r="DD241" s="217">
        <f t="shared" si="668"/>
        <v>10.158258230357086</v>
      </c>
      <c r="DE241" s="173">
        <f t="shared" si="669"/>
        <v>1.6635475150758992</v>
      </c>
      <c r="DF241" s="173">
        <f t="shared" si="670"/>
        <v>2.6710919890125213</v>
      </c>
      <c r="DG241" s="173"/>
      <c r="DH241" s="173">
        <f t="shared" si="671"/>
        <v>0.54587688734030204</v>
      </c>
      <c r="DI241" s="545">
        <f t="shared" si="672"/>
        <v>686.968085106383</v>
      </c>
      <c r="DJ241" s="528">
        <f t="shared" si="673"/>
        <v>0.31842818428184283</v>
      </c>
      <c r="DL241" s="173">
        <f t="shared" si="674"/>
        <v>4.8534761772403412</v>
      </c>
      <c r="DM241" s="173">
        <f t="shared" si="675"/>
        <v>4.8534761772403412</v>
      </c>
      <c r="DN241" s="173">
        <f t="shared" si="676"/>
        <v>2.3260317362274132</v>
      </c>
      <c r="DP241" s="545">
        <f t="shared" si="677"/>
        <v>625</v>
      </c>
      <c r="DQ241" s="460">
        <f t="shared" si="678"/>
        <v>350</v>
      </c>
      <c r="DS241">
        <f t="shared" si="679"/>
        <v>625</v>
      </c>
      <c r="DT241">
        <f t="shared" si="680"/>
        <v>350</v>
      </c>
      <c r="DV241" s="5">
        <f t="shared" si="681"/>
        <v>2.8571428571428572</v>
      </c>
      <c r="DW241" s="5">
        <f t="shared" si="682"/>
        <v>0.57028345082574006</v>
      </c>
      <c r="DX241" s="5">
        <f t="shared" si="683"/>
        <v>2.286859406317117</v>
      </c>
      <c r="DY241" s="173">
        <f t="shared" si="684"/>
        <v>0.19959920778900903</v>
      </c>
      <c r="EA241" s="5">
        <f t="shared" si="711"/>
        <v>1.2729541313074555</v>
      </c>
      <c r="EB241" s="5">
        <f t="shared" si="712"/>
        <v>0.11880905225536251</v>
      </c>
      <c r="EC241" s="5">
        <f t="shared" si="713"/>
        <v>0.71464356447409905</v>
      </c>
      <c r="ED241" s="5"/>
      <c r="EE241" s="173">
        <f t="shared" si="714"/>
        <v>1.2519058865987198</v>
      </c>
      <c r="EF241" s="173">
        <f t="shared" si="715"/>
        <v>2.5069520641832477</v>
      </c>
      <c r="EG241" s="173">
        <f t="shared" si="716"/>
        <v>0.25275008515945857</v>
      </c>
      <c r="EH241" s="173"/>
      <c r="EI241" s="528">
        <f t="shared" si="717"/>
        <v>1.8807220186806323E-2</v>
      </c>
      <c r="EJ241" s="528">
        <f t="shared" si="718"/>
        <v>2.2173348589531368</v>
      </c>
      <c r="EK241" s="528">
        <f t="shared" si="719"/>
        <v>4.0250000000000001E-2</v>
      </c>
      <c r="EL241" s="528">
        <f t="shared" si="720"/>
        <v>0.81355656375000007</v>
      </c>
      <c r="EM241">
        <f t="shared" si="721"/>
        <v>1.7999999999999999E-2</v>
      </c>
      <c r="EN241" s="460">
        <f t="shared" si="722"/>
        <v>58.249999999999993</v>
      </c>
      <c r="EP241" s="460">
        <f t="shared" si="723"/>
        <v>3107.9486428899431</v>
      </c>
      <c r="EQ241" s="173">
        <f t="shared" si="724"/>
        <v>0.4375</v>
      </c>
      <c r="ER241" s="173">
        <f t="shared" si="685"/>
        <v>2.9937499999999999E-2</v>
      </c>
      <c r="ES241" s="528"/>
      <c r="EU241" s="460">
        <f t="shared" si="725"/>
        <v>467.4375</v>
      </c>
      <c r="EV241" s="528">
        <f t="shared" si="726"/>
        <v>2.1941756884607377E-2</v>
      </c>
      <c r="EW241" s="528">
        <f t="shared" si="727"/>
        <v>8.7987321129577051E-2</v>
      </c>
      <c r="EX241" s="528">
        <f t="shared" si="728"/>
        <v>3.1941302774056782E-4</v>
      </c>
      <c r="EY241" s="528">
        <f t="shared" si="729"/>
        <v>5.9466499011587368</v>
      </c>
      <c r="EZ241" s="528"/>
      <c r="FA241" s="625">
        <f t="shared" si="730"/>
        <v>0.82446808510638325</v>
      </c>
      <c r="FB241" s="460">
        <f t="shared" si="731"/>
        <v>6881.366477307045</v>
      </c>
      <c r="FC241" s="173">
        <f t="shared" si="732"/>
        <v>10.456752620196989</v>
      </c>
      <c r="FD241" s="5">
        <f t="shared" si="733"/>
        <v>19.375</v>
      </c>
      <c r="FE241" s="173">
        <f t="shared" si="734"/>
        <v>0.64947575312362127</v>
      </c>
      <c r="FF241" s="5">
        <f t="shared" si="735"/>
        <v>64.947575312362133</v>
      </c>
      <c r="FG241">
        <f t="shared" si="736"/>
        <v>25</v>
      </c>
      <c r="FI241" s="562">
        <f t="shared" si="686"/>
        <v>-50</v>
      </c>
    </row>
    <row r="242" spans="5:165">
      <c r="E242" s="170">
        <v>26</v>
      </c>
      <c r="F242" s="217">
        <f t="shared" si="687"/>
        <v>0.65</v>
      </c>
      <c r="G242" s="217">
        <f t="shared" si="615"/>
        <v>6.5000000000000002E-2</v>
      </c>
      <c r="H242" s="217">
        <f t="shared" si="616"/>
        <v>18.2</v>
      </c>
      <c r="I242" s="217">
        <f t="shared" si="617"/>
        <v>1.9500000000000002</v>
      </c>
      <c r="J242" s="541">
        <f t="shared" si="618"/>
        <v>39.918831229444372</v>
      </c>
      <c r="K242" s="443">
        <f t="shared" si="619"/>
        <v>28.732928032421462</v>
      </c>
      <c r="L242" s="172">
        <f t="shared" si="620"/>
        <v>68.651759261865834</v>
      </c>
      <c r="M242" s="443"/>
      <c r="N242" s="217">
        <f t="shared" si="621"/>
        <v>0.41853156191995528</v>
      </c>
      <c r="O242" s="172">
        <f t="shared" si="622"/>
        <v>125.75380160360118</v>
      </c>
      <c r="P242" s="172">
        <f t="shared" si="623"/>
        <v>14.917223914712896</v>
      </c>
      <c r="Q242" s="217">
        <f t="shared" si="624"/>
        <v>4.4912072001286134</v>
      </c>
      <c r="R242" s="217">
        <f t="shared" si="625"/>
        <v>4.1917933867867054</v>
      </c>
      <c r="S242" s="217">
        <f t="shared" si="626"/>
        <v>28</v>
      </c>
      <c r="T242" s="217">
        <f t="shared" si="627"/>
        <v>2.4121205837537625</v>
      </c>
      <c r="U242" s="217">
        <f t="shared" si="628"/>
        <v>0.28400046781130373</v>
      </c>
      <c r="V242" s="217">
        <f t="shared" si="629"/>
        <v>0.39456357287535593</v>
      </c>
      <c r="W242" s="197">
        <f t="shared" si="630"/>
        <v>350</v>
      </c>
      <c r="X242" s="443">
        <f t="shared" si="688"/>
        <v>350</v>
      </c>
      <c r="Z242" s="217">
        <f t="shared" si="631"/>
        <v>10.156407771719417</v>
      </c>
      <c r="AA242" s="173">
        <f t="shared" si="632"/>
        <v>1.6613383945144136</v>
      </c>
      <c r="AB242" s="173">
        <f t="shared" si="633"/>
        <v>2.6670589641729046</v>
      </c>
      <c r="AC242" s="173"/>
      <c r="AD242" s="173">
        <f t="shared" si="634"/>
        <v>0.54525131058654452</v>
      </c>
      <c r="AE242" s="545">
        <f t="shared" si="635"/>
        <v>715.26650633900226</v>
      </c>
      <c r="AF242" s="528">
        <f t="shared" si="636"/>
        <v>0.31806326450881767</v>
      </c>
      <c r="AH242" s="173">
        <f t="shared" si="637"/>
        <v>4.949593947301242</v>
      </c>
      <c r="AI242" s="173">
        <f t="shared" si="638"/>
        <v>4.949593947301242</v>
      </c>
      <c r="AJ242" s="173">
        <f t="shared" si="639"/>
        <v>2.3972300844206731</v>
      </c>
      <c r="AL242" s="545">
        <f t="shared" si="640"/>
        <v>650</v>
      </c>
      <c r="AM242" s="460">
        <f t="shared" si="641"/>
        <v>350</v>
      </c>
      <c r="AO242">
        <f t="shared" si="642"/>
        <v>650</v>
      </c>
      <c r="AP242">
        <f t="shared" si="643"/>
        <v>350</v>
      </c>
      <c r="AR242" s="5">
        <f t="shared" si="614"/>
        <v>2.8571428571428572</v>
      </c>
      <c r="AS242" s="5">
        <f t="shared" si="602"/>
        <v>0.58275983629392536</v>
      </c>
      <c r="AT242" s="5">
        <f t="shared" si="603"/>
        <v>2.2743830208489317</v>
      </c>
      <c r="AU242" s="173">
        <f t="shared" si="604"/>
        <v>0.20396594270287388</v>
      </c>
      <c r="BA242" s="173">
        <f t="shared" si="689"/>
        <v>1.2905884468701456</v>
      </c>
      <c r="BB242" s="173">
        <f t="shared" si="690"/>
        <v>2.549615959680791</v>
      </c>
      <c r="BC242" s="173">
        <f t="shared" si="691"/>
        <v>0.25705144511535843</v>
      </c>
      <c r="BD242" s="173"/>
      <c r="BE242" s="528">
        <f t="shared" si="692"/>
        <v>1.9987422470336337E-2</v>
      </c>
      <c r="BF242" s="528">
        <f t="shared" si="644"/>
        <v>2.1704618463788976</v>
      </c>
      <c r="BG242" s="528">
        <f t="shared" si="693"/>
        <v>4.0250000000000001E-2</v>
      </c>
      <c r="BH242" s="528">
        <f t="shared" si="694"/>
        <v>0.81241441557551519</v>
      </c>
      <c r="BI242">
        <f t="shared" si="695"/>
        <v>1.7963474053249967E-2</v>
      </c>
      <c r="BJ242" s="460">
        <f t="shared" si="696"/>
        <v>58.213474053249968</v>
      </c>
      <c r="BK242">
        <f t="shared" si="645"/>
        <v>3.0226147207995275</v>
      </c>
      <c r="BL242" s="460">
        <f t="shared" si="697"/>
        <v>3061.0771584779991</v>
      </c>
      <c r="BM242" s="173">
        <f t="shared" si="646"/>
        <v>0.43588999999999994</v>
      </c>
      <c r="BN242" s="173">
        <f t="shared" si="647"/>
        <v>3.1134999999999999E-2</v>
      </c>
      <c r="BQ242" s="460">
        <f t="shared" si="698"/>
        <v>467.02499999999998</v>
      </c>
      <c r="BR242" s="528">
        <f t="shared" si="699"/>
        <v>2.3318659548725727E-2</v>
      </c>
      <c r="BS242" s="528">
        <f t="shared" si="700"/>
        <v>9.1007581586026023E-2</v>
      </c>
      <c r="BT242" s="528">
        <f t="shared" si="701"/>
        <v>3.3037722717947063E-4</v>
      </c>
      <c r="BU242" s="528">
        <f t="shared" si="702"/>
        <v>6.2454544466488064</v>
      </c>
      <c r="BV242" s="528"/>
      <c r="BW242" s="625">
        <f t="shared" si="703"/>
        <v>0.85744680851063815</v>
      </c>
      <c r="BX242" s="460">
        <f t="shared" si="704"/>
        <v>7217.5578735213767</v>
      </c>
      <c r="BY242" s="173">
        <f t="shared" si="705"/>
        <v>10.745660031999375</v>
      </c>
      <c r="BZ242" s="5">
        <f t="shared" si="706"/>
        <v>20.149999999999999</v>
      </c>
      <c r="CA242" s="173">
        <f t="shared" si="707"/>
        <v>0.65219516201078609</v>
      </c>
      <c r="CB242" s="5">
        <f t="shared" si="708"/>
        <v>65.219516201078605</v>
      </c>
      <c r="CC242">
        <f t="shared" si="709"/>
        <v>26</v>
      </c>
      <c r="CE242" s="562">
        <f t="shared" si="648"/>
        <v>-50</v>
      </c>
      <c r="CG242" s="173">
        <f t="shared" si="649"/>
        <v>0.27636027210870956</v>
      </c>
      <c r="CH242" s="173">
        <f t="shared" si="650"/>
        <v>8.9724685048806083E-2</v>
      </c>
      <c r="CI242" s="170">
        <v>26</v>
      </c>
      <c r="CJ242" s="217">
        <f t="shared" si="710"/>
        <v>0.65</v>
      </c>
      <c r="CK242" s="217">
        <f t="shared" si="651"/>
        <v>6.5000000000000002E-2</v>
      </c>
      <c r="CL242" s="217">
        <f t="shared" si="652"/>
        <v>18.2</v>
      </c>
      <c r="CM242" s="217">
        <f t="shared" si="653"/>
        <v>1.9500000000000002</v>
      </c>
      <c r="CN242" s="541">
        <f t="shared" si="654"/>
        <v>40</v>
      </c>
      <c r="CO242" s="443">
        <f t="shared" si="655"/>
        <v>28.7</v>
      </c>
      <c r="CP242" s="443">
        <f t="shared" si="656"/>
        <v>68.7</v>
      </c>
      <c r="CQ242" s="443"/>
      <c r="CR242" s="217">
        <f t="shared" si="657"/>
        <v>0.41520467836257302</v>
      </c>
      <c r="CS242" s="172">
        <f t="shared" si="658"/>
        <v>125.00786015217253</v>
      </c>
      <c r="CT242" s="172">
        <f t="shared" si="659"/>
        <v>14.828738512949037</v>
      </c>
      <c r="CU242" s="217">
        <f t="shared" si="660"/>
        <v>4.4645664340061613</v>
      </c>
      <c r="CV242" s="217">
        <f t="shared" si="661"/>
        <v>4.1669286717390843</v>
      </c>
      <c r="CW242" s="217">
        <f t="shared" si="662"/>
        <v>28</v>
      </c>
      <c r="CX242" s="217">
        <f t="shared" si="663"/>
        <v>2.4265140845070428</v>
      </c>
      <c r="CY242" s="217">
        <f t="shared" si="664"/>
        <v>0.28511540492957749</v>
      </c>
      <c r="CZ242" s="217">
        <f t="shared" si="665"/>
        <v>0.39737338666143207</v>
      </c>
      <c r="DA242" s="197">
        <f t="shared" si="666"/>
        <v>350</v>
      </c>
      <c r="DB242" s="443">
        <f t="shared" si="667"/>
        <v>350</v>
      </c>
      <c r="DD242" s="217">
        <f t="shared" si="668"/>
        <v>10.158258230357086</v>
      </c>
      <c r="DE242" s="173">
        <f t="shared" si="669"/>
        <v>1.6635475150758992</v>
      </c>
      <c r="DF242" s="173">
        <f t="shared" si="670"/>
        <v>2.6710919890125213</v>
      </c>
      <c r="DG242" s="173"/>
      <c r="DH242" s="173">
        <f t="shared" si="671"/>
        <v>0.54587688734030204</v>
      </c>
      <c r="DI242" s="545">
        <f t="shared" si="672"/>
        <v>714.44680851063833</v>
      </c>
      <c r="DJ242" s="528">
        <f t="shared" si="673"/>
        <v>0.31842818428184283</v>
      </c>
      <c r="DL242" s="173">
        <f t="shared" si="674"/>
        <v>4.949593947301242</v>
      </c>
      <c r="DM242" s="173">
        <f t="shared" si="675"/>
        <v>4.949593947301242</v>
      </c>
      <c r="DN242" s="173">
        <f t="shared" si="676"/>
        <v>2.3972300844206731</v>
      </c>
      <c r="DP242" s="545">
        <f t="shared" si="677"/>
        <v>650</v>
      </c>
      <c r="DQ242" s="460">
        <f t="shared" si="678"/>
        <v>350</v>
      </c>
      <c r="DS242">
        <f t="shared" si="679"/>
        <v>650</v>
      </c>
      <c r="DT242">
        <f t="shared" si="680"/>
        <v>350</v>
      </c>
      <c r="DV242" s="5">
        <f t="shared" si="681"/>
        <v>2.8571428571428572</v>
      </c>
      <c r="DW242" s="5">
        <f t="shared" si="682"/>
        <v>0.58157728880789583</v>
      </c>
      <c r="DX242" s="5">
        <f t="shared" si="683"/>
        <v>2.2755655683349616</v>
      </c>
      <c r="DY242" s="173">
        <f t="shared" si="684"/>
        <v>0.20355205108276353</v>
      </c>
      <c r="EA242" s="5">
        <f t="shared" si="711"/>
        <v>1.3500901347326155</v>
      </c>
      <c r="EB242" s="5">
        <f t="shared" si="712"/>
        <v>0.12600841257504411</v>
      </c>
      <c r="EC242" s="5">
        <f t="shared" si="713"/>
        <v>0.73955880970886245</v>
      </c>
      <c r="ED242" s="5"/>
      <c r="EE242" s="173">
        <f t="shared" si="714"/>
        <v>1.2892783384392474</v>
      </c>
      <c r="EF242" s="173">
        <f t="shared" si="715"/>
        <v>2.550278699884589</v>
      </c>
      <c r="EG242" s="173">
        <f t="shared" si="716"/>
        <v>0.25711826236541352</v>
      </c>
      <c r="EH242" s="173"/>
      <c r="EI242" s="528">
        <f t="shared" si="717"/>
        <v>1.9946863607623998E-2</v>
      </c>
      <c r="EJ242" s="528">
        <f t="shared" si="718"/>
        <v>2.2612467427943095</v>
      </c>
      <c r="EK242" s="528">
        <f t="shared" si="719"/>
        <v>4.0250000000000001E-2</v>
      </c>
      <c r="EL242" s="528">
        <f t="shared" si="720"/>
        <v>0.81355656375000007</v>
      </c>
      <c r="EM242">
        <f t="shared" si="721"/>
        <v>1.7999999999999999E-2</v>
      </c>
      <c r="EN242" s="460">
        <f t="shared" si="722"/>
        <v>58.249999999999993</v>
      </c>
      <c r="EP242" s="460">
        <f t="shared" si="723"/>
        <v>3153.0001701519336</v>
      </c>
      <c r="EQ242" s="173">
        <f t="shared" si="724"/>
        <v>0.45499999999999996</v>
      </c>
      <c r="ER242" s="173">
        <f t="shared" si="685"/>
        <v>3.1134999999999999E-2</v>
      </c>
      <c r="ES242" s="528"/>
      <c r="EU242" s="460">
        <f t="shared" si="725"/>
        <v>486.13499999999999</v>
      </c>
      <c r="EV242" s="528">
        <f t="shared" si="726"/>
        <v>2.3271340875561333E-2</v>
      </c>
      <c r="EW242" s="528">
        <f t="shared" si="727"/>
        <v>9.1054900259190413E-2</v>
      </c>
      <c r="EX242" s="528">
        <f t="shared" si="728"/>
        <v>3.3054900420904812E-4</v>
      </c>
      <c r="EY242" s="528">
        <f t="shared" si="729"/>
        <v>6.2454544466488064</v>
      </c>
      <c r="EZ242" s="528"/>
      <c r="FA242" s="625">
        <f t="shared" si="730"/>
        <v>0.85744680851063815</v>
      </c>
      <c r="FB242" s="460">
        <f t="shared" si="731"/>
        <v>7217.558045298405</v>
      </c>
      <c r="FC242" s="173">
        <f t="shared" si="732"/>
        <v>10.856693215450338</v>
      </c>
      <c r="FD242" s="5">
        <f t="shared" si="733"/>
        <v>20.149999999999999</v>
      </c>
      <c r="FE242" s="173">
        <f t="shared" si="734"/>
        <v>0.64985968868036037</v>
      </c>
      <c r="FF242" s="5">
        <f t="shared" si="735"/>
        <v>64.985968868036039</v>
      </c>
      <c r="FG242">
        <f t="shared" si="736"/>
        <v>26</v>
      </c>
      <c r="FI242" s="562">
        <f t="shared" si="686"/>
        <v>-50</v>
      </c>
    </row>
    <row r="243" spans="5:165">
      <c r="E243" s="170">
        <v>27</v>
      </c>
      <c r="F243" s="217">
        <f t="shared" si="687"/>
        <v>0.67500000000000004</v>
      </c>
      <c r="G243" s="217">
        <f t="shared" si="615"/>
        <v>6.7500000000000004E-2</v>
      </c>
      <c r="H243" s="217">
        <f t="shared" si="616"/>
        <v>18.900000000000002</v>
      </c>
      <c r="I243" s="217">
        <f t="shared" si="617"/>
        <v>2.0250000000000004</v>
      </c>
      <c r="J243" s="541">
        <f t="shared" si="618"/>
        <v>39.9172850186891</v>
      </c>
      <c r="K243" s="443">
        <f t="shared" si="619"/>
        <v>28.733555289401352</v>
      </c>
      <c r="L243" s="172">
        <f t="shared" si="620"/>
        <v>68.650840308090451</v>
      </c>
      <c r="M243" s="443"/>
      <c r="N243" s="217">
        <f t="shared" si="621"/>
        <v>0.41854630126086195</v>
      </c>
      <c r="O243" s="172">
        <f t="shared" si="622"/>
        <v>125.75335914691999</v>
      </c>
      <c r="P243" s="172">
        <f t="shared" si="623"/>
        <v>14.917171429417802</v>
      </c>
      <c r="Q243" s="217">
        <f t="shared" si="624"/>
        <v>4.4911913981042852</v>
      </c>
      <c r="R243" s="217">
        <f t="shared" si="625"/>
        <v>4.1917786382306668</v>
      </c>
      <c r="S243" s="217">
        <f t="shared" si="626"/>
        <v>28</v>
      </c>
      <c r="T243" s="217">
        <f t="shared" si="627"/>
        <v>2.5049032657010755</v>
      </c>
      <c r="U243" s="217">
        <f t="shared" si="628"/>
        <v>0.29493602441355832</v>
      </c>
      <c r="V243" s="217">
        <f t="shared" si="629"/>
        <v>0.40973159186944247</v>
      </c>
      <c r="W243" s="197">
        <f t="shared" si="630"/>
        <v>350</v>
      </c>
      <c r="X243" s="443">
        <f t="shared" si="688"/>
        <v>350</v>
      </c>
      <c r="Z243" s="217">
        <f t="shared" si="631"/>
        <v>10.156372037050419</v>
      </c>
      <c r="AA243" s="173">
        <f t="shared" si="632"/>
        <v>1.6612962821118229</v>
      </c>
      <c r="AB243" s="173">
        <f t="shared" si="633"/>
        <v>2.6669819746449059</v>
      </c>
      <c r="AC243" s="173"/>
      <c r="AD243" s="173">
        <f t="shared" si="634"/>
        <v>0.54523940768462675</v>
      </c>
      <c r="AE243" s="545">
        <f t="shared" si="635"/>
        <v>742.79297184303493</v>
      </c>
      <c r="AF243" s="528">
        <f t="shared" si="636"/>
        <v>0.31805632114936561</v>
      </c>
      <c r="AH243" s="173">
        <f t="shared" si="637"/>
        <v>5.0438803993832648</v>
      </c>
      <c r="AI243" s="173">
        <f t="shared" si="638"/>
        <v>5.0438803993832648</v>
      </c>
      <c r="AJ243" s="173">
        <f t="shared" si="639"/>
        <v>2.4670719007777269</v>
      </c>
      <c r="AL243" s="545">
        <f t="shared" si="640"/>
        <v>675</v>
      </c>
      <c r="AM243" s="460">
        <f t="shared" si="641"/>
        <v>350</v>
      </c>
      <c r="AO243">
        <f t="shared" si="642"/>
        <v>675</v>
      </c>
      <c r="AP243">
        <f t="shared" si="643"/>
        <v>350</v>
      </c>
      <c r="AR243" s="5">
        <f t="shared" si="614"/>
        <v>2.8571428571428572</v>
      </c>
      <c r="AS243" s="5">
        <f t="shared" ref="AS243:AS306" si="737">L*AI243/J243*1000000</f>
        <v>0.59388402457737755</v>
      </c>
      <c r="AT243" s="5">
        <f t="shared" ref="AT243:AT306" si="738">AR243-AS243</f>
        <v>2.2632588325654797</v>
      </c>
      <c r="AU243" s="173">
        <f t="shared" ref="AU243:AU306" si="739">AS243/AR243</f>
        <v>0.20785940860208213</v>
      </c>
      <c r="BA243" s="173">
        <f t="shared" si="689"/>
        <v>1.32766649738061</v>
      </c>
      <c r="BB243" s="173">
        <f t="shared" si="690"/>
        <v>2.5918226854527164</v>
      </c>
      <c r="BC243" s="173">
        <f t="shared" si="691"/>
        <v>0.26130671336941325</v>
      </c>
      <c r="BD243" s="173"/>
      <c r="BE243" s="528">
        <f t="shared" si="692"/>
        <v>2.1152379939202767E-2</v>
      </c>
      <c r="BF243" s="528">
        <f t="shared" si="644"/>
        <v>2.2117780852715856</v>
      </c>
      <c r="BG243" s="528">
        <f t="shared" si="693"/>
        <v>4.0250000000000001E-2</v>
      </c>
      <c r="BH243" s="528">
        <f t="shared" si="694"/>
        <v>0.8123926662043206</v>
      </c>
      <c r="BI243">
        <f t="shared" si="695"/>
        <v>1.7962778258410094E-2</v>
      </c>
      <c r="BJ243" s="460">
        <f t="shared" si="696"/>
        <v>58.21277825841009</v>
      </c>
      <c r="BK243">
        <f t="shared" si="645"/>
        <v>3.0664456332466221</v>
      </c>
      <c r="BL243" s="460">
        <f t="shared" si="697"/>
        <v>3103.5359096735187</v>
      </c>
      <c r="BM243" s="173">
        <f t="shared" si="646"/>
        <v>0.45265499999999997</v>
      </c>
      <c r="BN243" s="173">
        <f t="shared" si="647"/>
        <v>3.23325E-2</v>
      </c>
      <c r="BQ243" s="460">
        <f t="shared" si="698"/>
        <v>484.98749999999995</v>
      </c>
      <c r="BR243" s="528">
        <f t="shared" si="699"/>
        <v>2.4677776595736563E-2</v>
      </c>
      <c r="BS243" s="528">
        <f t="shared" si="700"/>
        <v>9.4045627659582631E-2</v>
      </c>
      <c r="BT243" s="528">
        <f t="shared" si="701"/>
        <v>3.4140599225962345E-4</v>
      </c>
      <c r="BU243" s="528">
        <f t="shared" si="702"/>
        <v>6.5471465963635351</v>
      </c>
      <c r="BV243" s="528"/>
      <c r="BW243" s="625">
        <f t="shared" si="703"/>
        <v>0.89042553191489404</v>
      </c>
      <c r="BX243" s="460">
        <f t="shared" si="704"/>
        <v>7556.6369385260077</v>
      </c>
      <c r="BY243" s="173">
        <f t="shared" si="705"/>
        <v>11.145160348199527</v>
      </c>
      <c r="BZ243" s="5">
        <f t="shared" si="706"/>
        <v>20.925000000000004</v>
      </c>
      <c r="CA243" s="173">
        <f t="shared" si="707"/>
        <v>0.65247568995004313</v>
      </c>
      <c r="CB243" s="5">
        <f t="shared" si="708"/>
        <v>65.247568995004315</v>
      </c>
      <c r="CC243">
        <f t="shared" si="709"/>
        <v>27</v>
      </c>
      <c r="CE243" s="562">
        <f t="shared" si="648"/>
        <v>-50</v>
      </c>
      <c r="CG243" s="173">
        <f t="shared" si="649"/>
        <v>0.28162475033277884</v>
      </c>
      <c r="CH243" s="173">
        <f t="shared" si="650"/>
        <v>9.1433880248958099E-2</v>
      </c>
      <c r="CI243" s="170">
        <v>27</v>
      </c>
      <c r="CJ243" s="217">
        <f t="shared" si="710"/>
        <v>0.67500000000000004</v>
      </c>
      <c r="CK243" s="217">
        <f t="shared" si="651"/>
        <v>6.7500000000000004E-2</v>
      </c>
      <c r="CL243" s="217">
        <f t="shared" si="652"/>
        <v>18.900000000000002</v>
      </c>
      <c r="CM243" s="217">
        <f t="shared" si="653"/>
        <v>2.0250000000000004</v>
      </c>
      <c r="CN243" s="541">
        <f t="shared" si="654"/>
        <v>40</v>
      </c>
      <c r="CO243" s="443">
        <f t="shared" si="655"/>
        <v>28.7</v>
      </c>
      <c r="CP243" s="443">
        <f t="shared" si="656"/>
        <v>68.7</v>
      </c>
      <c r="CQ243" s="443"/>
      <c r="CR243" s="217">
        <f t="shared" si="657"/>
        <v>0.41520467836257302</v>
      </c>
      <c r="CS243" s="172">
        <f t="shared" si="658"/>
        <v>125.00786015217253</v>
      </c>
      <c r="CT243" s="172">
        <f t="shared" si="659"/>
        <v>14.828738512949037</v>
      </c>
      <c r="CU243" s="217">
        <f t="shared" si="660"/>
        <v>4.4645664340061613</v>
      </c>
      <c r="CV243" s="217">
        <f t="shared" si="661"/>
        <v>4.1669286717390843</v>
      </c>
      <c r="CW243" s="217">
        <f t="shared" si="662"/>
        <v>28</v>
      </c>
      <c r="CX243" s="217">
        <f t="shared" si="663"/>
        <v>2.519841549295776</v>
      </c>
      <c r="CY243" s="217">
        <f t="shared" si="664"/>
        <v>0.2960813820422537</v>
      </c>
      <c r="CZ243" s="217">
        <f t="shared" si="665"/>
        <v>0.41265697845610266</v>
      </c>
      <c r="DA243" s="197">
        <f t="shared" si="666"/>
        <v>350</v>
      </c>
      <c r="DB243" s="443">
        <f t="shared" si="667"/>
        <v>350</v>
      </c>
      <c r="DD243" s="217">
        <f t="shared" si="668"/>
        <v>10.158258230357086</v>
      </c>
      <c r="DE243" s="173">
        <f t="shared" si="669"/>
        <v>1.6635475150758992</v>
      </c>
      <c r="DF243" s="173">
        <f t="shared" si="670"/>
        <v>2.6710919890125213</v>
      </c>
      <c r="DG243" s="173"/>
      <c r="DH243" s="173">
        <f t="shared" si="671"/>
        <v>0.54587688734030204</v>
      </c>
      <c r="DI243" s="545">
        <f t="shared" si="672"/>
        <v>741.92553191489367</v>
      </c>
      <c r="DJ243" s="528">
        <f t="shared" si="673"/>
        <v>0.31842818428184283</v>
      </c>
      <c r="DL243" s="173">
        <f t="shared" si="674"/>
        <v>5.0438803993832648</v>
      </c>
      <c r="DM243" s="173">
        <f t="shared" si="675"/>
        <v>5.0438803993832648</v>
      </c>
      <c r="DN243" s="173">
        <f t="shared" si="676"/>
        <v>2.4670719007777269</v>
      </c>
      <c r="DP243" s="545">
        <f t="shared" si="677"/>
        <v>675</v>
      </c>
      <c r="DQ243" s="460">
        <f t="shared" si="678"/>
        <v>350</v>
      </c>
      <c r="DS243">
        <f t="shared" si="679"/>
        <v>675</v>
      </c>
      <c r="DT243">
        <f t="shared" si="680"/>
        <v>350</v>
      </c>
      <c r="DV243" s="5">
        <f t="shared" si="681"/>
        <v>2.8571428571428572</v>
      </c>
      <c r="DW243" s="5">
        <f t="shared" si="682"/>
        <v>0.59265594692753365</v>
      </c>
      <c r="DX243" s="5">
        <f t="shared" si="683"/>
        <v>2.2644869102153233</v>
      </c>
      <c r="DY243" s="173">
        <f t="shared" si="684"/>
        <v>0.20742958142463677</v>
      </c>
      <c r="EA243" s="5">
        <f t="shared" si="711"/>
        <v>1.4287241577717331</v>
      </c>
      <c r="EB243" s="5">
        <f t="shared" si="712"/>
        <v>0.13334758805869507</v>
      </c>
      <c r="EC243" s="5">
        <f t="shared" si="713"/>
        <v>0.76426433219767154</v>
      </c>
      <c r="ED243" s="5"/>
      <c r="EE243" s="173">
        <f t="shared" si="714"/>
        <v>1.3262930631217651</v>
      </c>
      <c r="EF243" s="173">
        <f t="shared" si="715"/>
        <v>2.5925257707126681</v>
      </c>
      <c r="EG243" s="173">
        <f t="shared" si="716"/>
        <v>0.26137759819480177</v>
      </c>
      <c r="EH243" s="173"/>
      <c r="EI243" s="528">
        <f t="shared" si="717"/>
        <v>2.1108639471418975E-2</v>
      </c>
      <c r="EJ243" s="528">
        <f t="shared" si="718"/>
        <v>2.3043219798602417</v>
      </c>
      <c r="EK243" s="528">
        <f t="shared" si="719"/>
        <v>4.0250000000000001E-2</v>
      </c>
      <c r="EL243" s="528">
        <f t="shared" si="720"/>
        <v>0.81355656375000007</v>
      </c>
      <c r="EM243">
        <f t="shared" si="721"/>
        <v>1.7999999999999999E-2</v>
      </c>
      <c r="EN243" s="460">
        <f t="shared" si="722"/>
        <v>58.249999999999993</v>
      </c>
      <c r="EP243" s="460">
        <f t="shared" si="723"/>
        <v>3197.2371830816605</v>
      </c>
      <c r="EQ243" s="173">
        <f t="shared" si="724"/>
        <v>0.47249999999999998</v>
      </c>
      <c r="ER243" s="173">
        <f t="shared" si="685"/>
        <v>3.23325E-2</v>
      </c>
      <c r="ES243" s="528"/>
      <c r="EU243" s="460">
        <f t="shared" si="725"/>
        <v>504.83250000000004</v>
      </c>
      <c r="EV243" s="528">
        <f t="shared" si="726"/>
        <v>2.4626746049988803E-2</v>
      </c>
      <c r="EW243" s="528">
        <f t="shared" si="727"/>
        <v>9.4096658205330391E-2</v>
      </c>
      <c r="EX243" s="528">
        <f t="shared" si="728"/>
        <v>3.4159124419041618E-4</v>
      </c>
      <c r="EY243" s="528">
        <f t="shared" si="729"/>
        <v>6.5471465963635351</v>
      </c>
      <c r="EZ243" s="528"/>
      <c r="FA243" s="625">
        <f t="shared" si="730"/>
        <v>0.89042553191489404</v>
      </c>
      <c r="FB243" s="460">
        <f t="shared" si="731"/>
        <v>7556.6371237779385</v>
      </c>
      <c r="FC243" s="173">
        <f t="shared" si="732"/>
        <v>11.2587068068596</v>
      </c>
      <c r="FD243" s="5">
        <f t="shared" si="733"/>
        <v>20.925000000000004</v>
      </c>
      <c r="FE243" s="173">
        <f t="shared" si="734"/>
        <v>0.65017370825476417</v>
      </c>
      <c r="FF243" s="5">
        <f t="shared" si="735"/>
        <v>65.017370825476419</v>
      </c>
      <c r="FG243">
        <f t="shared" si="736"/>
        <v>27</v>
      </c>
      <c r="FI243" s="562">
        <f t="shared" si="686"/>
        <v>-50</v>
      </c>
    </row>
    <row r="244" spans="5:165">
      <c r="E244" s="170">
        <v>28</v>
      </c>
      <c r="F244" s="217">
        <f t="shared" si="687"/>
        <v>0.70000000000000007</v>
      </c>
      <c r="G244" s="217">
        <f t="shared" si="615"/>
        <v>7.0000000000000007E-2</v>
      </c>
      <c r="H244" s="217">
        <f t="shared" si="616"/>
        <v>19.600000000000001</v>
      </c>
      <c r="I244" s="217">
        <f t="shared" si="617"/>
        <v>2.1</v>
      </c>
      <c r="J244" s="541">
        <f t="shared" si="618"/>
        <v>39.91576718600799</v>
      </c>
      <c r="K244" s="443">
        <f t="shared" si="619"/>
        <v>28.734171034143966</v>
      </c>
      <c r="L244" s="172">
        <f t="shared" si="620"/>
        <v>68.649938220151952</v>
      </c>
      <c r="M244" s="443"/>
      <c r="N244" s="217">
        <f t="shared" si="621"/>
        <v>0.4185607704699893</v>
      </c>
      <c r="O244" s="172">
        <f t="shared" si="622"/>
        <v>125.75292459240165</v>
      </c>
      <c r="P244" s="172">
        <f t="shared" si="623"/>
        <v>14.917119881496626</v>
      </c>
      <c r="Q244" s="217">
        <f t="shared" si="624"/>
        <v>4.4911758783000595</v>
      </c>
      <c r="R244" s="217">
        <f t="shared" si="625"/>
        <v>4.1917641530800553</v>
      </c>
      <c r="S244" s="217">
        <f t="shared" si="626"/>
        <v>28</v>
      </c>
      <c r="T244" s="217">
        <f t="shared" si="627"/>
        <v>2.5976864373172983</v>
      </c>
      <c r="U244" s="217">
        <f t="shared" si="628"/>
        <v>0.30587226843208637</v>
      </c>
      <c r="V244" s="217">
        <f t="shared" si="629"/>
        <v>0.42489919896709594</v>
      </c>
      <c r="W244" s="197">
        <f t="shared" si="630"/>
        <v>350</v>
      </c>
      <c r="X244" s="443">
        <f t="shared" si="688"/>
        <v>350</v>
      </c>
      <c r="Z244" s="217">
        <f t="shared" si="631"/>
        <v>10.156336940593446</v>
      </c>
      <c r="AA244" s="173">
        <f t="shared" si="632"/>
        <v>1.6612549415143163</v>
      </c>
      <c r="AB244" s="173">
        <f t="shared" si="633"/>
        <v>2.6669063922000564</v>
      </c>
      <c r="AC244" s="173"/>
      <c r="AD244" s="173">
        <f t="shared" si="634"/>
        <v>0.54522772374572526</v>
      </c>
      <c r="AE244" s="545">
        <f t="shared" si="635"/>
        <v>770.3203298515192</v>
      </c>
      <c r="AF244" s="528">
        <f t="shared" si="636"/>
        <v>0.31804950551833977</v>
      </c>
      <c r="AH244" s="173">
        <f t="shared" si="637"/>
        <v>5.1364363836617555</v>
      </c>
      <c r="AI244" s="173">
        <f t="shared" si="638"/>
        <v>5.1364363836617555</v>
      </c>
      <c r="AJ244" s="173">
        <f t="shared" si="639"/>
        <v>2.5356318891321648</v>
      </c>
      <c r="AL244" s="545">
        <f t="shared" si="640"/>
        <v>700.00000000000011</v>
      </c>
      <c r="AM244" s="460">
        <f t="shared" si="641"/>
        <v>350</v>
      </c>
      <c r="AO244">
        <f t="shared" si="642"/>
        <v>700.00000000000011</v>
      </c>
      <c r="AP244">
        <f t="shared" si="643"/>
        <v>350</v>
      </c>
      <c r="AR244" s="5">
        <f t="shared" si="614"/>
        <v>2.8571428571428572</v>
      </c>
      <c r="AS244" s="5">
        <f t="shared" si="737"/>
        <v>0.60480488551583411</v>
      </c>
      <c r="AT244" s="5">
        <f t="shared" si="738"/>
        <v>2.2523379716270231</v>
      </c>
      <c r="AU244" s="173">
        <f t="shared" si="739"/>
        <v>0.21168170993054194</v>
      </c>
      <c r="BA244" s="173">
        <f t="shared" si="689"/>
        <v>1.3644039051580144</v>
      </c>
      <c r="BB244" s="173">
        <f t="shared" si="690"/>
        <v>2.6330074486647987</v>
      </c>
      <c r="BC244" s="173">
        <f t="shared" si="691"/>
        <v>0.26545894769325429</v>
      </c>
      <c r="BD244" s="173"/>
      <c r="BE244" s="528">
        <f t="shared" si="692"/>
        <v>2.2339176196925277E-2</v>
      </c>
      <c r="BF244" s="528">
        <f t="shared" si="644"/>
        <v>2.252334958119643</v>
      </c>
      <c r="BG244" s="528">
        <f t="shared" si="693"/>
        <v>4.0250000000000001E-2</v>
      </c>
      <c r="BH244" s="528">
        <f t="shared" si="694"/>
        <v>0.81237131628908843</v>
      </c>
      <c r="BI244">
        <f t="shared" si="695"/>
        <v>1.7962095233703596E-2</v>
      </c>
      <c r="BJ244" s="460">
        <f t="shared" si="696"/>
        <v>58.212095233703593</v>
      </c>
      <c r="BK244">
        <f t="shared" si="645"/>
        <v>3.1095820311911391</v>
      </c>
      <c r="BL244" s="460">
        <f t="shared" si="697"/>
        <v>3145.2575458393599</v>
      </c>
      <c r="BM244" s="173">
        <f t="shared" si="646"/>
        <v>0.46941999999999995</v>
      </c>
      <c r="BN244" s="173">
        <f t="shared" si="647"/>
        <v>3.3530000000000004E-2</v>
      </c>
      <c r="BQ244" s="460">
        <f t="shared" si="698"/>
        <v>502.95</v>
      </c>
      <c r="BR244" s="528">
        <f t="shared" si="699"/>
        <v>2.6062372229746156E-2</v>
      </c>
      <c r="BS244" s="528">
        <f t="shared" si="700"/>
        <v>9.7058195146140377E-2</v>
      </c>
      <c r="BT244" s="528">
        <f t="shared" si="701"/>
        <v>3.523422645520496E-4</v>
      </c>
      <c r="BU244" s="528">
        <f t="shared" si="702"/>
        <v>6.8516457288270409</v>
      </c>
      <c r="BV244" s="528"/>
      <c r="BW244" s="625">
        <f t="shared" si="703"/>
        <v>0.92340425531914894</v>
      </c>
      <c r="BX244" s="460">
        <f t="shared" si="704"/>
        <v>7898.5228937866286</v>
      </c>
      <c r="BY244" s="173">
        <f t="shared" si="705"/>
        <v>11.546730439625987</v>
      </c>
      <c r="BZ244" s="5">
        <f t="shared" si="706"/>
        <v>21.700000000000003</v>
      </c>
      <c r="CA244" s="173">
        <f t="shared" si="707"/>
        <v>0.65269576024643572</v>
      </c>
      <c r="CB244" s="5">
        <f t="shared" si="708"/>
        <v>65.26957602464357</v>
      </c>
      <c r="CC244">
        <f t="shared" si="709"/>
        <v>28.000000000000004</v>
      </c>
      <c r="CE244" s="562">
        <f t="shared" si="648"/>
        <v>-50</v>
      </c>
      <c r="CG244" s="173">
        <f t="shared" si="649"/>
        <v>0.28679260799399975</v>
      </c>
      <c r="CH244" s="173">
        <f t="shared" si="650"/>
        <v>9.3111706072084049E-2</v>
      </c>
      <c r="CI244" s="170">
        <v>28</v>
      </c>
      <c r="CJ244" s="217">
        <f t="shared" si="710"/>
        <v>0.70000000000000007</v>
      </c>
      <c r="CK244" s="217">
        <f t="shared" si="651"/>
        <v>7.0000000000000007E-2</v>
      </c>
      <c r="CL244" s="217">
        <f t="shared" si="652"/>
        <v>19.600000000000001</v>
      </c>
      <c r="CM244" s="217">
        <f t="shared" si="653"/>
        <v>2.1</v>
      </c>
      <c r="CN244" s="541">
        <f t="shared" si="654"/>
        <v>40</v>
      </c>
      <c r="CO244" s="443">
        <f t="shared" si="655"/>
        <v>28.7</v>
      </c>
      <c r="CP244" s="443">
        <f t="shared" si="656"/>
        <v>68.7</v>
      </c>
      <c r="CQ244" s="443"/>
      <c r="CR244" s="217">
        <f t="shared" si="657"/>
        <v>0.41520467836257302</v>
      </c>
      <c r="CS244" s="172">
        <f t="shared" si="658"/>
        <v>125.00786015217253</v>
      </c>
      <c r="CT244" s="172">
        <f t="shared" si="659"/>
        <v>14.828738512949037</v>
      </c>
      <c r="CU244" s="217">
        <f t="shared" si="660"/>
        <v>4.4645664340061613</v>
      </c>
      <c r="CV244" s="217">
        <f t="shared" si="661"/>
        <v>4.1669286717390843</v>
      </c>
      <c r="CW244" s="217">
        <f t="shared" si="662"/>
        <v>28</v>
      </c>
      <c r="CX244" s="217">
        <f t="shared" si="663"/>
        <v>2.6131690140845079</v>
      </c>
      <c r="CY244" s="217">
        <f t="shared" si="664"/>
        <v>0.3070473591549297</v>
      </c>
      <c r="CZ244" s="217">
        <f t="shared" si="665"/>
        <v>0.42794057025077303</v>
      </c>
      <c r="DA244" s="197">
        <f t="shared" si="666"/>
        <v>350</v>
      </c>
      <c r="DB244" s="443">
        <f t="shared" si="667"/>
        <v>350</v>
      </c>
      <c r="DD244" s="217">
        <f t="shared" si="668"/>
        <v>10.158258230357086</v>
      </c>
      <c r="DE244" s="173">
        <f t="shared" si="669"/>
        <v>1.6635475150758992</v>
      </c>
      <c r="DF244" s="173">
        <f t="shared" si="670"/>
        <v>2.6710919890125213</v>
      </c>
      <c r="DG244" s="173"/>
      <c r="DH244" s="173">
        <f t="shared" si="671"/>
        <v>0.54587688734030204</v>
      </c>
      <c r="DI244" s="545">
        <f t="shared" si="672"/>
        <v>769.404255319149</v>
      </c>
      <c r="DJ244" s="528">
        <f t="shared" si="673"/>
        <v>0.31842818428184283</v>
      </c>
      <c r="DL244" s="173">
        <f t="shared" si="674"/>
        <v>5.1364363836617555</v>
      </c>
      <c r="DM244" s="173">
        <f t="shared" si="675"/>
        <v>5.1364363836617555</v>
      </c>
      <c r="DN244" s="173">
        <f t="shared" si="676"/>
        <v>2.5356318891321648</v>
      </c>
      <c r="DP244" s="545">
        <f t="shared" si="677"/>
        <v>700.00000000000011</v>
      </c>
      <c r="DQ244" s="460">
        <f t="shared" si="678"/>
        <v>350</v>
      </c>
      <c r="DS244">
        <f t="shared" si="679"/>
        <v>700.00000000000011</v>
      </c>
      <c r="DT244">
        <f t="shared" si="680"/>
        <v>350</v>
      </c>
      <c r="DV244" s="5">
        <f t="shared" si="681"/>
        <v>2.8571428571428572</v>
      </c>
      <c r="DW244" s="5">
        <f t="shared" si="682"/>
        <v>0.60353127508025628</v>
      </c>
      <c r="DX244" s="5">
        <f t="shared" si="683"/>
        <v>2.253611582062601</v>
      </c>
      <c r="DY244" s="173">
        <f t="shared" si="684"/>
        <v>0.2112359462780897</v>
      </c>
      <c r="EA244" s="5">
        <f t="shared" si="711"/>
        <v>1.5088281877006409</v>
      </c>
      <c r="EB244" s="5">
        <f t="shared" si="712"/>
        <v>0.14082396418539314</v>
      </c>
      <c r="EC244" s="5">
        <f t="shared" si="713"/>
        <v>0.78876405372191039</v>
      </c>
      <c r="ED244" s="5"/>
      <c r="EE244" s="173">
        <f t="shared" si="714"/>
        <v>1.3629665533036146</v>
      </c>
      <c r="EF244" s="173">
        <f t="shared" si="715"/>
        <v>2.6337517756444728</v>
      </c>
      <c r="EG244" s="173">
        <f t="shared" si="716"/>
        <v>0.26553399049530346</v>
      </c>
      <c r="EH244" s="173"/>
      <c r="EI244" s="528">
        <f t="shared" si="717"/>
        <v>2.2292133905092021E-2</v>
      </c>
      <c r="EJ244" s="528">
        <f t="shared" si="718"/>
        <v>2.3466066440577915</v>
      </c>
      <c r="EK244" s="528">
        <f t="shared" si="719"/>
        <v>4.0250000000000001E-2</v>
      </c>
      <c r="EL244" s="528">
        <f t="shared" si="720"/>
        <v>0.81355656375000007</v>
      </c>
      <c r="EM244">
        <f t="shared" si="721"/>
        <v>1.7999999999999999E-2</v>
      </c>
      <c r="EN244" s="460">
        <f t="shared" si="722"/>
        <v>58.249999999999993</v>
      </c>
      <c r="EP244" s="460">
        <f t="shared" si="723"/>
        <v>3240.7053417128836</v>
      </c>
      <c r="EQ244" s="173">
        <f t="shared" si="724"/>
        <v>0.49</v>
      </c>
      <c r="ER244" s="173">
        <f t="shared" si="685"/>
        <v>3.3530000000000004E-2</v>
      </c>
      <c r="ES244" s="528"/>
      <c r="EU244" s="460">
        <f t="shared" si="725"/>
        <v>523.53000000000009</v>
      </c>
      <c r="EV244" s="528">
        <f t="shared" si="726"/>
        <v>2.6007489555940688E-2</v>
      </c>
      <c r="EW244" s="528">
        <f t="shared" si="727"/>
        <v>9.7113077819945798E-2</v>
      </c>
      <c r="EX244" s="528">
        <f t="shared" si="728"/>
        <v>3.5254150054179958E-4</v>
      </c>
      <c r="EY244" s="528">
        <f t="shared" si="729"/>
        <v>6.8516457288270409</v>
      </c>
      <c r="EZ244" s="528"/>
      <c r="FA244" s="625">
        <f t="shared" si="730"/>
        <v>0.92340425531914894</v>
      </c>
      <c r="FB244" s="460">
        <f t="shared" si="731"/>
        <v>7898.523093022618</v>
      </c>
      <c r="FC244" s="173">
        <f t="shared" si="732"/>
        <v>11.662758434735501</v>
      </c>
      <c r="FD244" s="5">
        <f t="shared" si="733"/>
        <v>21.700000000000003</v>
      </c>
      <c r="FE244" s="173">
        <f t="shared" si="734"/>
        <v>0.65042583461585524</v>
      </c>
      <c r="FF244" s="5">
        <f t="shared" si="735"/>
        <v>65.042583461585522</v>
      </c>
      <c r="FG244">
        <f t="shared" si="736"/>
        <v>28.000000000000004</v>
      </c>
      <c r="FI244" s="562">
        <f t="shared" si="686"/>
        <v>-50</v>
      </c>
    </row>
    <row r="245" spans="5:165">
      <c r="E245" s="170">
        <v>29</v>
      </c>
      <c r="F245" s="217">
        <f t="shared" si="687"/>
        <v>0.72499999999999998</v>
      </c>
      <c r="G245" s="217">
        <f t="shared" si="615"/>
        <v>7.2499999999999995E-2</v>
      </c>
      <c r="H245" s="217">
        <f t="shared" si="616"/>
        <v>20.3</v>
      </c>
      <c r="I245" s="217">
        <f t="shared" si="617"/>
        <v>2.1749999999999998</v>
      </c>
      <c r="J245" s="541">
        <f t="shared" si="618"/>
        <v>39.914276223993788</v>
      </c>
      <c r="K245" s="443">
        <f t="shared" si="619"/>
        <v>28.734775878164722</v>
      </c>
      <c r="L245" s="172">
        <f t="shared" si="620"/>
        <v>68.649052102158507</v>
      </c>
      <c r="M245" s="443"/>
      <c r="N245" s="217">
        <f t="shared" si="621"/>
        <v>0.41857498389640874</v>
      </c>
      <c r="O245" s="172">
        <f t="shared" si="622"/>
        <v>125.75249752028505</v>
      </c>
      <c r="P245" s="172">
        <f t="shared" si="623"/>
        <v>14.917069221156261</v>
      </c>
      <c r="Q245" s="217">
        <f t="shared" si="624"/>
        <v>4.4911606257244658</v>
      </c>
      <c r="R245" s="217">
        <f t="shared" si="625"/>
        <v>4.1917499173428352</v>
      </c>
      <c r="S245" s="217">
        <f t="shared" si="626"/>
        <v>28</v>
      </c>
      <c r="T245" s="217">
        <f t="shared" si="627"/>
        <v>2.6904700900970742</v>
      </c>
      <c r="U245" s="217">
        <f t="shared" si="628"/>
        <v>0.31680918758223142</v>
      </c>
      <c r="V245" s="217">
        <f t="shared" si="629"/>
        <v>0.44006640166855177</v>
      </c>
      <c r="W245" s="197">
        <f t="shared" si="630"/>
        <v>350</v>
      </c>
      <c r="X245" s="443">
        <f t="shared" si="688"/>
        <v>350</v>
      </c>
      <c r="Z245" s="217">
        <f t="shared" si="631"/>
        <v>10.156302448446814</v>
      </c>
      <c r="AA245" s="173">
        <f t="shared" si="632"/>
        <v>1.6612143317245465</v>
      </c>
      <c r="AB245" s="173">
        <f t="shared" si="633"/>
        <v>2.6668321420959953</v>
      </c>
      <c r="AC245" s="173"/>
      <c r="AD245" s="173">
        <f t="shared" si="634"/>
        <v>0.54521624713877148</v>
      </c>
      <c r="AE245" s="545">
        <f t="shared" si="635"/>
        <v>797.84856427670127</v>
      </c>
      <c r="AF245" s="528">
        <f t="shared" si="636"/>
        <v>0.31804281083094998</v>
      </c>
      <c r="AH245" s="173">
        <f t="shared" si="637"/>
        <v>5.2273538203880783</v>
      </c>
      <c r="AI245" s="173">
        <f t="shared" si="638"/>
        <v>5.2273538203880783</v>
      </c>
      <c r="AJ245" s="173">
        <f t="shared" si="639"/>
        <v>2.6029781385590702</v>
      </c>
      <c r="AL245" s="545">
        <f t="shared" si="640"/>
        <v>725</v>
      </c>
      <c r="AM245" s="460">
        <f t="shared" si="641"/>
        <v>350</v>
      </c>
      <c r="AO245">
        <f t="shared" si="642"/>
        <v>725</v>
      </c>
      <c r="AP245">
        <f t="shared" si="643"/>
        <v>350</v>
      </c>
      <c r="AR245" s="5">
        <f t="shared" si="614"/>
        <v>2.8571428571428572</v>
      </c>
      <c r="AS245" s="5">
        <f t="shared" si="737"/>
        <v>0.61553321969183039</v>
      </c>
      <c r="AT245" s="5">
        <f t="shared" si="738"/>
        <v>2.2416096374510266</v>
      </c>
      <c r="AU245" s="173">
        <f t="shared" si="739"/>
        <v>0.21543662689214063</v>
      </c>
      <c r="BA245" s="173">
        <f t="shared" si="689"/>
        <v>1.4008158267620103</v>
      </c>
      <c r="BB245" s="173">
        <f t="shared" si="690"/>
        <v>2.6732235859853448</v>
      </c>
      <c r="BC245" s="173">
        <f t="shared" si="691"/>
        <v>0.26951352547229296</v>
      </c>
      <c r="BD245" s="173"/>
      <c r="BE245" s="528">
        <f t="shared" si="692"/>
        <v>2.3547419766083214E-2</v>
      </c>
      <c r="BF245" s="528">
        <f t="shared" si="644"/>
        <v>2.2921728014826734</v>
      </c>
      <c r="BG245" s="528">
        <f t="shared" si="693"/>
        <v>4.0250000000000001E-2</v>
      </c>
      <c r="BH245" s="528">
        <f t="shared" si="694"/>
        <v>0.81235034461122513</v>
      </c>
      <c r="BI245">
        <f t="shared" si="695"/>
        <v>1.7961424300797203E-2</v>
      </c>
      <c r="BJ245" s="460">
        <f t="shared" si="696"/>
        <v>58.211424300797205</v>
      </c>
      <c r="BK245">
        <f t="shared" si="645"/>
        <v>3.1520637464332362</v>
      </c>
      <c r="BL245" s="460">
        <f t="shared" si="697"/>
        <v>3186.2819901607791</v>
      </c>
      <c r="BM245" s="173">
        <f t="shared" si="646"/>
        <v>0.48618499999999992</v>
      </c>
      <c r="BN245" s="173">
        <f t="shared" si="647"/>
        <v>3.4727499999999994E-2</v>
      </c>
      <c r="BQ245" s="460">
        <f t="shared" si="698"/>
        <v>520.91249999999991</v>
      </c>
      <c r="BR245" s="528">
        <f t="shared" si="699"/>
        <v>2.7471989727097083E-2</v>
      </c>
      <c r="BS245" s="528">
        <f t="shared" si="700"/>
        <v>0.10004574076935685</v>
      </c>
      <c r="BT245" s="528">
        <f t="shared" si="701"/>
        <v>3.6318770206252157E-4</v>
      </c>
      <c r="BU245" s="528">
        <f t="shared" si="702"/>
        <v>7.1588762874759642</v>
      </c>
      <c r="BV245" s="528"/>
      <c r="BW245" s="625">
        <f t="shared" si="703"/>
        <v>0.95638297872340439</v>
      </c>
      <c r="BX245" s="460">
        <f t="shared" si="704"/>
        <v>8243.1401843978856</v>
      </c>
      <c r="BY245" s="173">
        <f t="shared" si="705"/>
        <v>11.950334674558663</v>
      </c>
      <c r="BZ245" s="5">
        <f t="shared" si="706"/>
        <v>22.475000000000001</v>
      </c>
      <c r="CA245" s="173">
        <f t="shared" si="707"/>
        <v>0.65286220780330395</v>
      </c>
      <c r="CB245" s="5">
        <f t="shared" si="708"/>
        <v>65.286220780330396</v>
      </c>
      <c r="CC245">
        <f t="shared" si="709"/>
        <v>28.999999999999996</v>
      </c>
      <c r="CE245" s="562">
        <f t="shared" si="648"/>
        <v>-50</v>
      </c>
      <c r="CG245" s="173">
        <f t="shared" si="649"/>
        <v>0.29186897745392537</v>
      </c>
      <c r="CH245" s="173">
        <f t="shared" si="650"/>
        <v>9.4759828819640304E-2</v>
      </c>
      <c r="CI245" s="170">
        <v>29</v>
      </c>
      <c r="CJ245" s="217">
        <f t="shared" si="710"/>
        <v>0.72499999999999998</v>
      </c>
      <c r="CK245" s="217">
        <f t="shared" si="651"/>
        <v>7.2499999999999995E-2</v>
      </c>
      <c r="CL245" s="217">
        <f t="shared" si="652"/>
        <v>20.3</v>
      </c>
      <c r="CM245" s="217">
        <f t="shared" si="653"/>
        <v>2.1749999999999998</v>
      </c>
      <c r="CN245" s="541">
        <f t="shared" si="654"/>
        <v>40</v>
      </c>
      <c r="CO245" s="443">
        <f t="shared" si="655"/>
        <v>28.7</v>
      </c>
      <c r="CP245" s="443">
        <f t="shared" si="656"/>
        <v>68.7</v>
      </c>
      <c r="CQ245" s="443"/>
      <c r="CR245" s="217">
        <f t="shared" si="657"/>
        <v>0.41520467836257302</v>
      </c>
      <c r="CS245" s="172">
        <f t="shared" si="658"/>
        <v>125.00786015217253</v>
      </c>
      <c r="CT245" s="172">
        <f t="shared" si="659"/>
        <v>14.828738512949037</v>
      </c>
      <c r="CU245" s="217">
        <f t="shared" si="660"/>
        <v>4.4645664340061613</v>
      </c>
      <c r="CV245" s="217">
        <f t="shared" si="661"/>
        <v>4.1669286717390843</v>
      </c>
      <c r="CW245" s="217">
        <f t="shared" si="662"/>
        <v>28</v>
      </c>
      <c r="CX245" s="217">
        <f t="shared" si="663"/>
        <v>2.7064964788732402</v>
      </c>
      <c r="CY245" s="217">
        <f t="shared" si="664"/>
        <v>0.3180133362676057</v>
      </c>
      <c r="CZ245" s="217">
        <f t="shared" si="665"/>
        <v>0.44322416204544351</v>
      </c>
      <c r="DA245" s="197">
        <f t="shared" si="666"/>
        <v>350</v>
      </c>
      <c r="DB245" s="443">
        <f t="shared" si="667"/>
        <v>350</v>
      </c>
      <c r="DD245" s="217">
        <f t="shared" si="668"/>
        <v>10.158258230357086</v>
      </c>
      <c r="DE245" s="173">
        <f t="shared" si="669"/>
        <v>1.6635475150758992</v>
      </c>
      <c r="DF245" s="173">
        <f t="shared" si="670"/>
        <v>2.6710919890125213</v>
      </c>
      <c r="DG245" s="173"/>
      <c r="DH245" s="173">
        <f t="shared" si="671"/>
        <v>0.54587688734030204</v>
      </c>
      <c r="DI245" s="545">
        <f t="shared" si="672"/>
        <v>796.88297872340422</v>
      </c>
      <c r="DJ245" s="528">
        <f t="shared" si="673"/>
        <v>0.31842818428184283</v>
      </c>
      <c r="DL245" s="173">
        <f t="shared" si="674"/>
        <v>5.2273538203880783</v>
      </c>
      <c r="DM245" s="173">
        <f t="shared" si="675"/>
        <v>5.2273538203880783</v>
      </c>
      <c r="DN245" s="173">
        <f t="shared" si="676"/>
        <v>2.6029781385590702</v>
      </c>
      <c r="DP245" s="545">
        <f t="shared" si="677"/>
        <v>725</v>
      </c>
      <c r="DQ245" s="460">
        <f t="shared" si="678"/>
        <v>350</v>
      </c>
      <c r="DS245">
        <f t="shared" si="679"/>
        <v>725</v>
      </c>
      <c r="DT245">
        <f t="shared" si="680"/>
        <v>350</v>
      </c>
      <c r="DV245" s="5">
        <f t="shared" si="681"/>
        <v>2.8571428571428572</v>
      </c>
      <c r="DW245" s="5">
        <f t="shared" si="682"/>
        <v>0.61421407389559912</v>
      </c>
      <c r="DX245" s="5">
        <f t="shared" si="683"/>
        <v>2.2429287832472582</v>
      </c>
      <c r="DY245" s="173">
        <f t="shared" si="684"/>
        <v>0.21497492586345968</v>
      </c>
      <c r="EA245" s="5">
        <f t="shared" si="711"/>
        <v>1.590375727051105</v>
      </c>
      <c r="EB245" s="5">
        <f t="shared" si="712"/>
        <v>0.14843506785810312</v>
      </c>
      <c r="EC245" s="5">
        <f t="shared" si="713"/>
        <v>0.81306168392713107</v>
      </c>
      <c r="ED245" s="5"/>
      <c r="EE245" s="173">
        <f t="shared" si="714"/>
        <v>1.3993139814043525</v>
      </c>
      <c r="EF245" s="173">
        <f t="shared" si="715"/>
        <v>2.6740100416082169</v>
      </c>
      <c r="EG245" s="173">
        <f t="shared" si="716"/>
        <v>0.26959281567033661</v>
      </c>
      <c r="EH245" s="173"/>
      <c r="EI245" s="528">
        <f t="shared" si="717"/>
        <v>2.3496955422644409E-2</v>
      </c>
      <c r="EJ245" s="528">
        <f t="shared" si="718"/>
        <v>2.3881427296133961</v>
      </c>
      <c r="EK245" s="528">
        <f t="shared" si="719"/>
        <v>4.0250000000000001E-2</v>
      </c>
      <c r="EL245" s="528">
        <f t="shared" si="720"/>
        <v>0.81355656375000007</v>
      </c>
      <c r="EM245">
        <f t="shared" si="721"/>
        <v>1.7999999999999999E-2</v>
      </c>
      <c r="EN245" s="460">
        <f t="shared" si="722"/>
        <v>58.249999999999993</v>
      </c>
      <c r="EP245" s="460">
        <f t="shared" si="723"/>
        <v>3283.4462487860401</v>
      </c>
      <c r="EQ245" s="173">
        <f t="shared" si="724"/>
        <v>0.50749999999999995</v>
      </c>
      <c r="ER245" s="173">
        <f t="shared" si="685"/>
        <v>3.4727499999999994E-2</v>
      </c>
      <c r="ES245" s="528"/>
      <c r="EU245" s="460">
        <f t="shared" si="725"/>
        <v>542.22749999999996</v>
      </c>
      <c r="EV245" s="528">
        <f t="shared" si="726"/>
        <v>2.7413114659751808E-2</v>
      </c>
      <c r="EW245" s="528">
        <f t="shared" si="727"/>
        <v>0.10010461583670209</v>
      </c>
      <c r="EX245" s="528">
        <f t="shared" si="728"/>
        <v>3.6340143130530046E-4</v>
      </c>
      <c r="EY245" s="528">
        <f t="shared" si="729"/>
        <v>7.1588762874759642</v>
      </c>
      <c r="EZ245" s="528"/>
      <c r="FA245" s="625">
        <f t="shared" si="730"/>
        <v>0.95638297872340439</v>
      </c>
      <c r="FB245" s="460">
        <f t="shared" si="731"/>
        <v>8243.1403981271287</v>
      </c>
      <c r="FC245" s="173">
        <f t="shared" si="732"/>
        <v>12.068814146913168</v>
      </c>
      <c r="FD245" s="5">
        <f t="shared" si="733"/>
        <v>22.475000000000001</v>
      </c>
      <c r="FE245" s="173">
        <f t="shared" si="734"/>
        <v>0.65062300024006947</v>
      </c>
      <c r="FF245" s="5">
        <f t="shared" si="735"/>
        <v>65.062300024006944</v>
      </c>
      <c r="FG245">
        <f t="shared" si="736"/>
        <v>28.999999999999996</v>
      </c>
      <c r="FI245" s="562">
        <f t="shared" si="686"/>
        <v>-50</v>
      </c>
    </row>
    <row r="246" spans="5:165">
      <c r="E246" s="170">
        <v>30</v>
      </c>
      <c r="F246" s="217">
        <f t="shared" si="687"/>
        <v>0.75</v>
      </c>
      <c r="G246" s="217">
        <f t="shared" si="615"/>
        <v>7.4999999999999997E-2</v>
      </c>
      <c r="H246" s="217">
        <f t="shared" si="616"/>
        <v>21</v>
      </c>
      <c r="I246" s="217">
        <f t="shared" si="617"/>
        <v>2.25</v>
      </c>
      <c r="J246" s="541">
        <f t="shared" si="618"/>
        <v>39.912810754146435</v>
      </c>
      <c r="K246" s="443">
        <f t="shared" si="619"/>
        <v>28.735370380684792</v>
      </c>
      <c r="L246" s="172">
        <f t="shared" si="620"/>
        <v>68.648181134831219</v>
      </c>
      <c r="M246" s="443"/>
      <c r="N246" s="217">
        <f t="shared" si="621"/>
        <v>0.41858895466211893</v>
      </c>
      <c r="O246" s="172">
        <f t="shared" si="622"/>
        <v>125.75207754670531</v>
      </c>
      <c r="P246" s="172">
        <f t="shared" si="623"/>
        <v>14.917019402861726</v>
      </c>
      <c r="Q246" s="217">
        <f t="shared" si="624"/>
        <v>4.4911456266680467</v>
      </c>
      <c r="R246" s="217">
        <f t="shared" si="625"/>
        <v>4.1917359182235101</v>
      </c>
      <c r="S246" s="217">
        <f t="shared" si="626"/>
        <v>28</v>
      </c>
      <c r="T246" s="217">
        <f t="shared" si="627"/>
        <v>2.783254215979114</v>
      </c>
      <c r="U246" s="217">
        <f t="shared" si="628"/>
        <v>0.32774677022070803</v>
      </c>
      <c r="V246" s="217">
        <f t="shared" si="629"/>
        <v>0.45523320708247283</v>
      </c>
      <c r="W246" s="197">
        <f t="shared" si="630"/>
        <v>350</v>
      </c>
      <c r="X246" s="443">
        <f t="shared" si="688"/>
        <v>350</v>
      </c>
      <c r="Z246" s="217">
        <f t="shared" si="631"/>
        <v>10.156268529607983</v>
      </c>
      <c r="AA246" s="173">
        <f t="shared" si="632"/>
        <v>1.6611744152510888</v>
      </c>
      <c r="AB246" s="173">
        <f t="shared" si="633"/>
        <v>2.6667591559820134</v>
      </c>
      <c r="AC246" s="173"/>
      <c r="AD246" s="173">
        <f t="shared" si="634"/>
        <v>0.5452049672273378</v>
      </c>
      <c r="AE246" s="545">
        <f t="shared" si="635"/>
        <v>825.3776598707334</v>
      </c>
      <c r="AF246" s="528">
        <f t="shared" si="636"/>
        <v>0.31803623088261374</v>
      </c>
      <c r="AH246" s="173">
        <f t="shared" si="637"/>
        <v>5.3167167691769528</v>
      </c>
      <c r="AI246" s="173">
        <f t="shared" si="638"/>
        <v>5.3167167691769528</v>
      </c>
      <c r="AJ246" s="173">
        <f t="shared" si="639"/>
        <v>2.6691729154397184</v>
      </c>
      <c r="AL246" s="545">
        <f t="shared" si="640"/>
        <v>750</v>
      </c>
      <c r="AM246" s="460">
        <f t="shared" si="641"/>
        <v>350</v>
      </c>
      <c r="AO246">
        <f t="shared" si="642"/>
        <v>750</v>
      </c>
      <c r="AP246">
        <f t="shared" si="643"/>
        <v>350</v>
      </c>
      <c r="AR246" s="5">
        <f t="shared" si="614"/>
        <v>2.8571428571428572</v>
      </c>
      <c r="AS246" s="5">
        <f t="shared" si="737"/>
        <v>0.62607890406554945</v>
      </c>
      <c r="AT246" s="5">
        <f t="shared" si="738"/>
        <v>2.2310639530773075</v>
      </c>
      <c r="AU246" s="173">
        <f t="shared" si="739"/>
        <v>0.21912761642294229</v>
      </c>
      <c r="BA246" s="173">
        <f t="shared" si="689"/>
        <v>1.4369162469127088</v>
      </c>
      <c r="BB246" s="173">
        <f t="shared" si="690"/>
        <v>2.7125198802173043</v>
      </c>
      <c r="BC246" s="173">
        <f t="shared" si="691"/>
        <v>0.27347536497272823</v>
      </c>
      <c r="BD246" s="173"/>
      <c r="BE246" s="528">
        <f t="shared" si="692"/>
        <v>2.4776739607700455E-2</v>
      </c>
      <c r="BF246" s="528">
        <f t="shared" si="644"/>
        <v>2.3313285025058832</v>
      </c>
      <c r="BG246" s="528">
        <f t="shared" si="693"/>
        <v>4.0250000000000001E-2</v>
      </c>
      <c r="BH246" s="528">
        <f t="shared" si="694"/>
        <v>0.8123297317666629</v>
      </c>
      <c r="BI246">
        <f t="shared" si="695"/>
        <v>1.7960764839365893E-2</v>
      </c>
      <c r="BJ246" s="460">
        <f t="shared" si="696"/>
        <v>58.210764839365893</v>
      </c>
      <c r="BK246">
        <f t="shared" si="645"/>
        <v>3.193927193906795</v>
      </c>
      <c r="BL246" s="460">
        <f t="shared" si="697"/>
        <v>3226.6457387196124</v>
      </c>
      <c r="BM246" s="173">
        <f t="shared" si="646"/>
        <v>0.5029499999999999</v>
      </c>
      <c r="BN246" s="173">
        <f t="shared" si="647"/>
        <v>3.5924999999999999E-2</v>
      </c>
      <c r="BQ246" s="460">
        <f t="shared" si="698"/>
        <v>538.87499999999989</v>
      </c>
      <c r="BR246" s="528">
        <f t="shared" si="699"/>
        <v>2.8906196208983864E-2</v>
      </c>
      <c r="BS246" s="528">
        <f t="shared" si="700"/>
        <v>0.10300869740803739</v>
      </c>
      <c r="BT246" s="528">
        <f t="shared" si="701"/>
        <v>3.7394387623483454E-4</v>
      </c>
      <c r="BU246" s="528">
        <f t="shared" si="702"/>
        <v>7.4687672978583883</v>
      </c>
      <c r="BV246" s="528"/>
      <c r="BW246" s="625">
        <f t="shared" si="703"/>
        <v>0.98936170212765961</v>
      </c>
      <c r="BX246" s="460">
        <f t="shared" si="704"/>
        <v>8590.4178374793046</v>
      </c>
      <c r="BY246" s="173">
        <f t="shared" si="705"/>
        <v>12.355938576198916</v>
      </c>
      <c r="BZ246" s="5">
        <f t="shared" si="706"/>
        <v>23.25</v>
      </c>
      <c r="CA246" s="173">
        <f t="shared" si="707"/>
        <v>0.65298096131474137</v>
      </c>
      <c r="CB246" s="5">
        <f t="shared" si="708"/>
        <v>65.298096131474139</v>
      </c>
      <c r="CC246">
        <f t="shared" si="709"/>
        <v>30</v>
      </c>
      <c r="CE246" s="562">
        <f t="shared" si="648"/>
        <v>-50</v>
      </c>
      <c r="CG246" s="173">
        <f t="shared" si="649"/>
        <v>0.29685855217594792</v>
      </c>
      <c r="CH246" s="173">
        <f t="shared" si="650"/>
        <v>9.6379772297930322E-2</v>
      </c>
      <c r="CI246" s="170">
        <v>30</v>
      </c>
      <c r="CJ246" s="217">
        <f t="shared" si="710"/>
        <v>0.75</v>
      </c>
      <c r="CK246" s="217">
        <f t="shared" si="651"/>
        <v>7.4999999999999997E-2</v>
      </c>
      <c r="CL246" s="217">
        <f t="shared" si="652"/>
        <v>21</v>
      </c>
      <c r="CM246" s="217">
        <f t="shared" si="653"/>
        <v>2.25</v>
      </c>
      <c r="CN246" s="541">
        <f t="shared" si="654"/>
        <v>40</v>
      </c>
      <c r="CO246" s="443">
        <f t="shared" si="655"/>
        <v>28.7</v>
      </c>
      <c r="CP246" s="443">
        <f t="shared" si="656"/>
        <v>68.7</v>
      </c>
      <c r="CQ246" s="443"/>
      <c r="CR246" s="217">
        <f t="shared" si="657"/>
        <v>0.41520467836257302</v>
      </c>
      <c r="CS246" s="172">
        <f t="shared" si="658"/>
        <v>125.00786015217253</v>
      </c>
      <c r="CT246" s="172">
        <f t="shared" si="659"/>
        <v>14.828738512949037</v>
      </c>
      <c r="CU246" s="217">
        <f t="shared" si="660"/>
        <v>4.4645664340061613</v>
      </c>
      <c r="CV246" s="217">
        <f t="shared" si="661"/>
        <v>4.1669286717390843</v>
      </c>
      <c r="CW246" s="217">
        <f t="shared" si="662"/>
        <v>28</v>
      </c>
      <c r="CX246" s="217">
        <f t="shared" si="663"/>
        <v>2.7998239436619725</v>
      </c>
      <c r="CY246" s="217">
        <f t="shared" si="664"/>
        <v>0.32897931338028175</v>
      </c>
      <c r="CZ246" s="217">
        <f t="shared" si="665"/>
        <v>0.45850775384011394</v>
      </c>
      <c r="DA246" s="197">
        <f t="shared" si="666"/>
        <v>350</v>
      </c>
      <c r="DB246" s="443">
        <f t="shared" si="667"/>
        <v>350</v>
      </c>
      <c r="DD246" s="217">
        <f t="shared" si="668"/>
        <v>10.158258230357086</v>
      </c>
      <c r="DE246" s="173">
        <f t="shared" si="669"/>
        <v>1.6635475150758992</v>
      </c>
      <c r="DF246" s="173">
        <f t="shared" si="670"/>
        <v>2.6710919890125213</v>
      </c>
      <c r="DG246" s="173"/>
      <c r="DH246" s="173">
        <f t="shared" si="671"/>
        <v>0.54587688734030204</v>
      </c>
      <c r="DI246" s="545">
        <f t="shared" si="672"/>
        <v>824.36170212765956</v>
      </c>
      <c r="DJ246" s="528">
        <f t="shared" si="673"/>
        <v>0.31842818428184283</v>
      </c>
      <c r="DL246" s="173">
        <f t="shared" si="674"/>
        <v>5.3167167691769528</v>
      </c>
      <c r="DM246" s="173">
        <f t="shared" si="675"/>
        <v>5.3167167691769528</v>
      </c>
      <c r="DN246" s="173">
        <f t="shared" si="676"/>
        <v>2.6691729154397184</v>
      </c>
      <c r="DP246" s="545">
        <f t="shared" si="677"/>
        <v>750</v>
      </c>
      <c r="DQ246" s="460">
        <f t="shared" si="678"/>
        <v>350</v>
      </c>
      <c r="DS246">
        <f t="shared" si="679"/>
        <v>750</v>
      </c>
      <c r="DT246">
        <f t="shared" si="680"/>
        <v>350</v>
      </c>
      <c r="DV246" s="5">
        <f t="shared" si="681"/>
        <v>2.8571428571428572</v>
      </c>
      <c r="DW246" s="5">
        <f t="shared" si="682"/>
        <v>0.62471422037829194</v>
      </c>
      <c r="DX246" s="5">
        <f t="shared" si="683"/>
        <v>2.2324286367645652</v>
      </c>
      <c r="DY246" s="173">
        <f t="shared" si="684"/>
        <v>0.21864997713240217</v>
      </c>
      <c r="EA246" s="5">
        <f t="shared" si="711"/>
        <v>1.6733416617275676</v>
      </c>
      <c r="EB246" s="5">
        <f t="shared" si="712"/>
        <v>0.15617855509457299</v>
      </c>
      <c r="EC246" s="5">
        <f t="shared" si="713"/>
        <v>0.83716073878671182</v>
      </c>
      <c r="ED246" s="5"/>
      <c r="EE246" s="173">
        <f t="shared" si="714"/>
        <v>1.435349347042757</v>
      </c>
      <c r="EF246" s="173">
        <f t="shared" si="715"/>
        <v>2.7133493422631259</v>
      </c>
      <c r="EG246" s="173">
        <f t="shared" si="716"/>
        <v>0.2735589910642332</v>
      </c>
      <c r="EH246" s="173"/>
      <c r="EI246" s="528">
        <f t="shared" si="717"/>
        <v>2.4722732976672827E-2</v>
      </c>
      <c r="EJ246" s="528">
        <f t="shared" si="718"/>
        <v>2.4289686395823371</v>
      </c>
      <c r="EK246" s="528">
        <f t="shared" si="719"/>
        <v>4.0250000000000001E-2</v>
      </c>
      <c r="EL246" s="528">
        <f t="shared" si="720"/>
        <v>0.81355656375000007</v>
      </c>
      <c r="EM246">
        <f t="shared" si="721"/>
        <v>1.7999999999999999E-2</v>
      </c>
      <c r="EN246" s="460">
        <f t="shared" si="722"/>
        <v>58.249999999999993</v>
      </c>
      <c r="EP246" s="460">
        <f t="shared" si="723"/>
        <v>3325.4979363090097</v>
      </c>
      <c r="EQ246" s="173">
        <f t="shared" si="724"/>
        <v>0.52499999999999991</v>
      </c>
      <c r="ER246" s="173">
        <f t="shared" si="685"/>
        <v>3.5924999999999999E-2</v>
      </c>
      <c r="ES246" s="528"/>
      <c r="EU246" s="460">
        <f t="shared" si="725"/>
        <v>560.92499999999984</v>
      </c>
      <c r="EV246" s="528">
        <f t="shared" si="726"/>
        <v>2.8843188472784966E-2</v>
      </c>
      <c r="EW246" s="528">
        <f t="shared" si="727"/>
        <v>0.10307170514423633</v>
      </c>
      <c r="EX246" s="528">
        <f t="shared" si="728"/>
        <v>3.7417260796040612E-4</v>
      </c>
      <c r="EY246" s="528">
        <f t="shared" si="729"/>
        <v>7.4687672978583883</v>
      </c>
      <c r="EZ246" s="528"/>
      <c r="FA246" s="625">
        <f t="shared" si="730"/>
        <v>0.98936170212765961</v>
      </c>
      <c r="FB246" s="460">
        <f t="shared" si="731"/>
        <v>8590.4180662110284</v>
      </c>
      <c r="FC246" s="173">
        <f t="shared" si="732"/>
        <v>12.47684100252004</v>
      </c>
      <c r="FD246" s="5">
        <f t="shared" si="733"/>
        <v>23.25</v>
      </c>
      <c r="FE246" s="173">
        <f t="shared" si="734"/>
        <v>0.65077122263230691</v>
      </c>
      <c r="FF246" s="5">
        <f t="shared" si="735"/>
        <v>65.077122263230692</v>
      </c>
      <c r="FG246">
        <f t="shared" si="736"/>
        <v>30</v>
      </c>
      <c r="FI246" s="562">
        <f t="shared" si="686"/>
        <v>-50</v>
      </c>
    </row>
    <row r="247" spans="5:165">
      <c r="E247" s="170">
        <v>31</v>
      </c>
      <c r="F247" s="217">
        <f t="shared" si="687"/>
        <v>0.77500000000000002</v>
      </c>
      <c r="G247" s="217">
        <f t="shared" si="615"/>
        <v>7.7499999999999999E-2</v>
      </c>
      <c r="H247" s="217">
        <f t="shared" si="616"/>
        <v>21.7</v>
      </c>
      <c r="I247" s="217">
        <f t="shared" si="617"/>
        <v>2.3250000000000002</v>
      </c>
      <c r="J247" s="541">
        <f t="shared" si="618"/>
        <v>39.911369511948401</v>
      </c>
      <c r="K247" s="443">
        <f t="shared" si="619"/>
        <v>28.735955054685633</v>
      </c>
      <c r="L247" s="172">
        <f t="shared" si="620"/>
        <v>68.64732456663404</v>
      </c>
      <c r="M247" s="443"/>
      <c r="N247" s="217">
        <f t="shared" si="621"/>
        <v>0.4186026948041135</v>
      </c>
      <c r="O247" s="172">
        <f t="shared" si="622"/>
        <v>125.75166431953802</v>
      </c>
      <c r="P247" s="172">
        <f t="shared" si="623"/>
        <v>14.916970384843157</v>
      </c>
      <c r="Q247" s="217">
        <f t="shared" si="624"/>
        <v>4.4911308685549294</v>
      </c>
      <c r="R247" s="217">
        <f t="shared" si="625"/>
        <v>4.1917221439846006</v>
      </c>
      <c r="S247" s="217">
        <f t="shared" si="626"/>
        <v>28</v>
      </c>
      <c r="T247" s="217">
        <f t="shared" si="627"/>
        <v>2.8760388073088472</v>
      </c>
      <c r="U247" s="217">
        <f t="shared" si="628"/>
        <v>0.33868500529165851</v>
      </c>
      <c r="V247" s="217">
        <f t="shared" si="629"/>
        <v>0.47039962195888324</v>
      </c>
      <c r="W247" s="197">
        <f t="shared" si="630"/>
        <v>350</v>
      </c>
      <c r="X247" s="443">
        <f t="shared" si="688"/>
        <v>350</v>
      </c>
      <c r="Z247" s="217">
        <f t="shared" si="631"/>
        <v>10.156235155637896</v>
      </c>
      <c r="AA247" s="173">
        <f t="shared" si="632"/>
        <v>1.6611351577025328</v>
      </c>
      <c r="AB247" s="173">
        <f t="shared" si="633"/>
        <v>2.666687371159044</v>
      </c>
      <c r="AC247" s="173"/>
      <c r="AD247" s="173">
        <f t="shared" si="634"/>
        <v>0.54519387425447996</v>
      </c>
      <c r="AE247" s="545">
        <f t="shared" si="635"/>
        <v>852.9076021550311</v>
      </c>
      <c r="AF247" s="528">
        <f t="shared" si="636"/>
        <v>0.31802975998177996</v>
      </c>
      <c r="AH247" s="173">
        <f t="shared" si="637"/>
        <v>5.4046023390966518</v>
      </c>
      <c r="AI247" s="173">
        <f t="shared" si="638"/>
        <v>5.4046023390966518</v>
      </c>
      <c r="AJ247" s="173">
        <f t="shared" si="639"/>
        <v>2.7342733376024579</v>
      </c>
      <c r="AL247" s="545">
        <f t="shared" si="640"/>
        <v>775</v>
      </c>
      <c r="AM247" s="460">
        <f t="shared" si="641"/>
        <v>350</v>
      </c>
      <c r="AO247">
        <f t="shared" si="642"/>
        <v>775</v>
      </c>
      <c r="AP247">
        <f t="shared" si="643"/>
        <v>350</v>
      </c>
      <c r="AR247" s="5">
        <f t="shared" si="614"/>
        <v>2.8571428571428572</v>
      </c>
      <c r="AS247" s="5">
        <f t="shared" si="737"/>
        <v>0.63645099891021517</v>
      </c>
      <c r="AT247" s="5">
        <f t="shared" si="738"/>
        <v>2.2206918582326418</v>
      </c>
      <c r="AU247" s="173">
        <f t="shared" si="739"/>
        <v>0.22275784961857531</v>
      </c>
      <c r="BA247" s="173">
        <f t="shared" si="689"/>
        <v>1.4727181050199682</v>
      </c>
      <c r="BB247" s="173">
        <f t="shared" si="690"/>
        <v>2.7509410870468902</v>
      </c>
      <c r="BC247" s="173">
        <f t="shared" si="691"/>
        <v>0.27734897844817008</v>
      </c>
      <c r="BD247" s="173"/>
      <c r="BE247" s="528">
        <f t="shared" si="692"/>
        <v>2.6026783402243278E-2</v>
      </c>
      <c r="BF247" s="528">
        <f t="shared" si="644"/>
        <v>2.3698358982869978</v>
      </c>
      <c r="BG247" s="528">
        <f t="shared" si="693"/>
        <v>4.0250000000000001E-2</v>
      </c>
      <c r="BH247" s="528">
        <f t="shared" si="694"/>
        <v>0.81230945995577786</v>
      </c>
      <c r="BI247">
        <f t="shared" si="695"/>
        <v>1.7960116280376779E-2</v>
      </c>
      <c r="BJ247" s="460">
        <f t="shared" si="696"/>
        <v>58.210116280376781</v>
      </c>
      <c r="BK247">
        <f t="shared" si="645"/>
        <v>3.2352057683145867</v>
      </c>
      <c r="BL247" s="460">
        <f t="shared" si="697"/>
        <v>3266.3822579253956</v>
      </c>
      <c r="BM247" s="173">
        <f t="shared" si="646"/>
        <v>0.51971499999999993</v>
      </c>
      <c r="BN247" s="173">
        <f t="shared" si="647"/>
        <v>3.7122499999999996E-2</v>
      </c>
      <c r="BQ247" s="460">
        <f t="shared" si="698"/>
        <v>556.83749999999986</v>
      </c>
      <c r="BR247" s="528">
        <f t="shared" si="699"/>
        <v>3.0364580635950489E-2</v>
      </c>
      <c r="BS247" s="528">
        <f t="shared" si="700"/>
        <v>0.10594747610163817</v>
      </c>
      <c r="BT247" s="528">
        <f t="shared" si="701"/>
        <v>3.8461227923121752E-4</v>
      </c>
      <c r="BU247" s="528">
        <f t="shared" si="702"/>
        <v>7.7812519455003404</v>
      </c>
      <c r="BV247" s="528"/>
      <c r="BW247" s="625">
        <f t="shared" si="703"/>
        <v>1.0223404255319151</v>
      </c>
      <c r="BX247" s="460">
        <f t="shared" si="704"/>
        <v>8940.289040049076</v>
      </c>
      <c r="BY247" s="173">
        <f t="shared" si="705"/>
        <v>12.76350879797447</v>
      </c>
      <c r="BZ247" s="5">
        <f t="shared" si="706"/>
        <v>24.024999999999999</v>
      </c>
      <c r="CA247" s="173">
        <f t="shared" si="707"/>
        <v>0.65305718511000865</v>
      </c>
      <c r="CB247" s="5">
        <f t="shared" si="708"/>
        <v>65.305718511000862</v>
      </c>
      <c r="CC247">
        <f t="shared" si="709"/>
        <v>31</v>
      </c>
      <c r="CE247" s="562">
        <f t="shared" si="648"/>
        <v>-50</v>
      </c>
      <c r="CG247" s="173">
        <f t="shared" si="649"/>
        <v>0.3017656375401282</v>
      </c>
      <c r="CH247" s="173">
        <f t="shared" si="650"/>
        <v>9.7972934315933721E-2</v>
      </c>
      <c r="CI247" s="170">
        <v>31</v>
      </c>
      <c r="CJ247" s="217">
        <f t="shared" si="710"/>
        <v>0.77500000000000002</v>
      </c>
      <c r="CK247" s="217">
        <f t="shared" si="651"/>
        <v>7.7499999999999999E-2</v>
      </c>
      <c r="CL247" s="217">
        <f t="shared" si="652"/>
        <v>21.7</v>
      </c>
      <c r="CM247" s="217">
        <f t="shared" si="653"/>
        <v>2.3250000000000002</v>
      </c>
      <c r="CN247" s="541">
        <f t="shared" si="654"/>
        <v>40</v>
      </c>
      <c r="CO247" s="443">
        <f t="shared" si="655"/>
        <v>28.7</v>
      </c>
      <c r="CP247" s="443">
        <f t="shared" si="656"/>
        <v>68.7</v>
      </c>
      <c r="CQ247" s="443"/>
      <c r="CR247" s="217">
        <f t="shared" si="657"/>
        <v>0.41520467836257302</v>
      </c>
      <c r="CS247" s="172">
        <f t="shared" si="658"/>
        <v>125.00786015217253</v>
      </c>
      <c r="CT247" s="172">
        <f t="shared" si="659"/>
        <v>14.828738512949037</v>
      </c>
      <c r="CU247" s="217">
        <f t="shared" si="660"/>
        <v>4.4645664340061613</v>
      </c>
      <c r="CV247" s="217">
        <f t="shared" si="661"/>
        <v>4.1669286717390843</v>
      </c>
      <c r="CW247" s="217">
        <f t="shared" si="662"/>
        <v>28</v>
      </c>
      <c r="CX247" s="217">
        <f t="shared" si="663"/>
        <v>2.8931514084507048</v>
      </c>
      <c r="CY247" s="217">
        <f t="shared" si="664"/>
        <v>0.3399452904929578</v>
      </c>
      <c r="CZ247" s="217">
        <f t="shared" si="665"/>
        <v>0.47379134563478442</v>
      </c>
      <c r="DA247" s="197">
        <f t="shared" si="666"/>
        <v>350</v>
      </c>
      <c r="DB247" s="443">
        <f t="shared" si="667"/>
        <v>350</v>
      </c>
      <c r="DD247" s="217">
        <f t="shared" si="668"/>
        <v>10.158258230357086</v>
      </c>
      <c r="DE247" s="173">
        <f t="shared" si="669"/>
        <v>1.6635475150758992</v>
      </c>
      <c r="DF247" s="173">
        <f t="shared" si="670"/>
        <v>2.6710919890125213</v>
      </c>
      <c r="DG247" s="173"/>
      <c r="DH247" s="173">
        <f t="shared" si="671"/>
        <v>0.54587688734030204</v>
      </c>
      <c r="DI247" s="545">
        <f t="shared" si="672"/>
        <v>851.84042553191489</v>
      </c>
      <c r="DJ247" s="528">
        <f t="shared" si="673"/>
        <v>0.31842818428184283</v>
      </c>
      <c r="DL247" s="173">
        <f t="shared" si="674"/>
        <v>5.4046023390966518</v>
      </c>
      <c r="DM247" s="173">
        <f t="shared" si="675"/>
        <v>5.4046023390966518</v>
      </c>
      <c r="DN247" s="173">
        <f t="shared" si="676"/>
        <v>2.7342733376024579</v>
      </c>
      <c r="DP247" s="545">
        <f t="shared" si="677"/>
        <v>775</v>
      </c>
      <c r="DQ247" s="460">
        <f t="shared" si="678"/>
        <v>350</v>
      </c>
      <c r="DS247">
        <f t="shared" si="679"/>
        <v>775</v>
      </c>
      <c r="DT247">
        <f t="shared" si="680"/>
        <v>350</v>
      </c>
      <c r="DV247" s="5">
        <f t="shared" si="681"/>
        <v>2.8571428571428572</v>
      </c>
      <c r="DW247" s="5">
        <f t="shared" si="682"/>
        <v>0.63504077484385657</v>
      </c>
      <c r="DX247" s="5">
        <f t="shared" si="683"/>
        <v>2.2221020822990005</v>
      </c>
      <c r="DY247" s="173">
        <f t="shared" si="684"/>
        <v>0.22226427119534981</v>
      </c>
      <c r="EA247" s="5">
        <f t="shared" si="711"/>
        <v>1.7577021446571031</v>
      </c>
      <c r="EB247" s="5">
        <f t="shared" si="712"/>
        <v>0.16405220016799629</v>
      </c>
      <c r="EC247" s="5">
        <f t="shared" si="713"/>
        <v>0.8610645568908627</v>
      </c>
      <c r="ED247" s="5"/>
      <c r="EE247" s="173">
        <f t="shared" si="714"/>
        <v>1.4710856036546449</v>
      </c>
      <c r="EF247" s="173">
        <f t="shared" si="715"/>
        <v>2.7518144246980722</v>
      </c>
      <c r="EG247" s="173">
        <f t="shared" si="716"/>
        <v>0.27743702806382203</v>
      </c>
      <c r="EH247" s="173"/>
      <c r="EI247" s="528">
        <f t="shared" si="717"/>
        <v>2.5969114239359409E-2</v>
      </c>
      <c r="EJ247" s="528">
        <f t="shared" si="718"/>
        <v>2.4691196016280013</v>
      </c>
      <c r="EK247" s="528">
        <f t="shared" si="719"/>
        <v>4.0250000000000001E-2</v>
      </c>
      <c r="EL247" s="528">
        <f t="shared" si="720"/>
        <v>0.81355656375000007</v>
      </c>
      <c r="EM247">
        <f t="shared" si="721"/>
        <v>1.7999999999999999E-2</v>
      </c>
      <c r="EN247" s="460">
        <f t="shared" si="722"/>
        <v>58.249999999999993</v>
      </c>
      <c r="EP247" s="460">
        <f t="shared" si="723"/>
        <v>3366.8952796173603</v>
      </c>
      <c r="EQ247" s="173">
        <f t="shared" si="724"/>
        <v>0.54249999999999998</v>
      </c>
      <c r="ER247" s="173">
        <f t="shared" si="685"/>
        <v>3.7122499999999996E-2</v>
      </c>
      <c r="ES247" s="528"/>
      <c r="EU247" s="460">
        <f t="shared" si="725"/>
        <v>579.62249999999995</v>
      </c>
      <c r="EV247" s="528">
        <f t="shared" si="726"/>
        <v>3.0297299945919311E-2</v>
      </c>
      <c r="EW247" s="528">
        <f t="shared" si="727"/>
        <v>0.10601475679166934</v>
      </c>
      <c r="EX247" s="528">
        <f t="shared" si="728"/>
        <v>3.8485652270442991E-4</v>
      </c>
      <c r="EY247" s="528">
        <f t="shared" si="729"/>
        <v>7.7812519455003404</v>
      </c>
      <c r="EZ247" s="528"/>
      <c r="FA247" s="625">
        <f t="shared" si="730"/>
        <v>1.0223404255319151</v>
      </c>
      <c r="FB247" s="460">
        <f t="shared" si="731"/>
        <v>8940.2892842925485</v>
      </c>
      <c r="FC247" s="173">
        <f t="shared" si="732"/>
        <v>12.886807063909909</v>
      </c>
      <c r="FD247" s="5">
        <f t="shared" si="733"/>
        <v>24.024999999999999</v>
      </c>
      <c r="FE247" s="173">
        <f t="shared" si="734"/>
        <v>0.6508757471126404</v>
      </c>
      <c r="FF247" s="5">
        <f t="shared" si="735"/>
        <v>65.08757471126404</v>
      </c>
      <c r="FG247">
        <f t="shared" si="736"/>
        <v>31</v>
      </c>
      <c r="FI247" s="562">
        <f t="shared" si="686"/>
        <v>-50</v>
      </c>
    </row>
    <row r="248" spans="5:165">
      <c r="E248" s="170">
        <v>32</v>
      </c>
      <c r="F248" s="217">
        <f t="shared" si="687"/>
        <v>0.8</v>
      </c>
      <c r="G248" s="217">
        <f t="shared" ref="G248:G279" si="740">IF(PLOT_TYPE=1, E248/100*Iout2, min_I*EXP(Q248*rr/100))</f>
        <v>0.08</v>
      </c>
      <c r="H248" s="217">
        <f t="shared" ref="H248:H279" si="741">F248*Vout</f>
        <v>22.400000000000002</v>
      </c>
      <c r="I248" s="217">
        <f t="shared" ref="I248:I279" si="742">Vout2*G248</f>
        <v>2.4</v>
      </c>
      <c r="J248" s="541">
        <f t="shared" ref="J248:J279" si="743">VIN_max-(F248/CG248/Nps+G248/CH248/(Nps/Nsec1sec2))*(Rdcr_pri+RON/1000)</f>
        <v>39.90995133409087</v>
      </c>
      <c r="K248" s="443">
        <f t="shared" ref="K248:K279" si="744">MAX((S248+Vfwd2+Rdcr_sec*F248/CG248)*Nps,(Vout2+Vfwd22+Rdcr_sec2*G248/CH248)*Nps/Nsec1sec2)</f>
        <v>28.736530372090993</v>
      </c>
      <c r="L248" s="172">
        <f t="shared" ref="L248:L279" si="745">MAX((Vout+Vfwd2+F248/CG248*Rdcr_sec)*Nps+J248, (Vout2+Vfwd22+G248/CH248*Rdcr_sec2)*Nps/Nsec1sec2+J248)</f>
        <v>68.646481706181859</v>
      </c>
      <c r="M248" s="443"/>
      <c r="N248" s="217">
        <f t="shared" ref="N248:N279" si="746">MAX((Vout+Vfwd2+F248/CG248*Rdcr_sec)*Nps/((Vout+Vfwd2+F248/CG248*Rdcr_sec)*Nps+J248), (Vout2+Vfwd22+G248/CH248*Rdcr_sec2)*Nps/Nsec1sec2/((Vout2+Vfwd22+G248/CH248*Rdcr_sec2)*Nps/Nsec1sec2+J248))</f>
        <v>0.4186162153959766</v>
      </c>
      <c r="O248" s="172">
        <f t="shared" ref="O248:O279" si="747">N248*J248*Isw_max*0.5*Efficiency*Pout/(Pout+Pout2)</f>
        <v>125.75125751484204</v>
      </c>
      <c r="P248" s="172">
        <f t="shared" ref="P248:P279" si="748">N248*J248*Isw_max*0.5*Efficiency*(Pout2/Pout_total)</f>
        <v>14.916922128673862</v>
      </c>
      <c r="Q248" s="217">
        <f t="shared" si="624"/>
        <v>4.491116339815787</v>
      </c>
      <c r="R248" s="217">
        <f t="shared" ref="R248:R279" si="749">O248/Vout2</f>
        <v>4.1917085838280679</v>
      </c>
      <c r="S248" s="217">
        <f t="shared" ref="S248:S279" si="750">MIN(Vout,O248/F248)</f>
        <v>28</v>
      </c>
      <c r="T248" s="217">
        <f t="shared" ref="T248:T279" si="751">MIN(2*(Vout*F248+Vout2*G248)/(Efficiency*J248*N248), Isw_max)</f>
        <v>2.9688238568053285</v>
      </c>
      <c r="U248" s="217">
        <f t="shared" si="628"/>
        <v>0.3496238822788556</v>
      </c>
      <c r="V248" s="217">
        <f t="shared" si="629"/>
        <v>0.48556565271834967</v>
      </c>
      <c r="W248" s="197">
        <f t="shared" si="630"/>
        <v>350</v>
      </c>
      <c r="X248" s="443">
        <f t="shared" si="688"/>
        <v>350</v>
      </c>
      <c r="Z248" s="217">
        <f t="shared" si="631"/>
        <v>10.156202300373694</v>
      </c>
      <c r="AA248" s="173">
        <f t="shared" si="632"/>
        <v>1.6610965274400669</v>
      </c>
      <c r="AB248" s="173">
        <f t="shared" ref="AB248:AB279" si="752">0.5*AA248*Z248*Nps*W248/1000*(Pout/(Pout+Pout2))</f>
        <v>2.666616729946286</v>
      </c>
      <c r="AC248" s="173"/>
      <c r="AD248" s="173">
        <f t="shared" si="634"/>
        <v>0.54518295924417448</v>
      </c>
      <c r="AE248" s="545">
        <f t="shared" ref="AE248:AE279" si="753">MAX(10, F248/(0.5*AD248/1000000*Isw_min*Nps)/1000*Pout_total/Pout)</f>
        <v>880.43837735768147</v>
      </c>
      <c r="AF248" s="528">
        <f t="shared" ref="AF248:AF279" si="754">0.5*AD248/1000000*Isw_min*Nps*W248*1000*(Pout/Pout_total)</f>
        <v>0.3180233928924352</v>
      </c>
      <c r="AH248" s="173">
        <f t="shared" ref="AH248:AH279" si="755">SQRT((H248+I248)/(0.5*L*Fsw_DCM))</f>
        <v>5.4910814676064108</v>
      </c>
      <c r="AI248" s="173">
        <f t="shared" ref="AI248:AI279" si="756">MAX(IF(F248&gt;AB248,T248,AH248),Isw_min)</f>
        <v>5.4910814676064108</v>
      </c>
      <c r="AJ248" s="173">
        <f t="shared" ref="AJ248:AJ279" si="757">IF(F248&gt;AF248, (AI248-Isw_min)/1.08*0.8+1.2, AE248*0.2/350+1)</f>
        <v>2.7983319513133909</v>
      </c>
      <c r="AL248" s="545">
        <f t="shared" ref="AL248:AL279" si="758">F248*1000</f>
        <v>800</v>
      </c>
      <c r="AM248" s="460">
        <f t="shared" ref="AM248:AM279" si="759">IF(F248&gt;AF248, X248, AE248)</f>
        <v>350</v>
      </c>
      <c r="AO248">
        <f t="shared" si="642"/>
        <v>800</v>
      </c>
      <c r="AP248">
        <f t="shared" si="643"/>
        <v>350</v>
      </c>
      <c r="AR248" s="5">
        <f t="shared" si="614"/>
        <v>2.8571428571428572</v>
      </c>
      <c r="AS248" s="5">
        <f t="shared" si="737"/>
        <v>0.6466578393370529</v>
      </c>
      <c r="AT248" s="5">
        <f t="shared" si="738"/>
        <v>2.2104850178058042</v>
      </c>
      <c r="AU248" s="173">
        <f t="shared" si="739"/>
        <v>0.22633024376796851</v>
      </c>
      <c r="BA248" s="173">
        <f t="shared" si="689"/>
        <v>1.508233404419534</v>
      </c>
      <c r="BB248" s="173">
        <f t="shared" si="690"/>
        <v>2.788528385921492</v>
      </c>
      <c r="BC248" s="173">
        <f t="shared" si="691"/>
        <v>0.28113851759700287</v>
      </c>
      <c r="BD248" s="173"/>
      <c r="BE248" s="528">
        <f t="shared" si="692"/>
        <v>2.7297216026483252E-2</v>
      </c>
      <c r="BF248" s="528">
        <f t="shared" ref="BF248:BF279" si="760">0.5*L248*AI248*AM248*1000*Tfall</f>
        <v>2.4077261176905509</v>
      </c>
      <c r="BG248" s="528">
        <f t="shared" si="693"/>
        <v>4.0250000000000001E-2</v>
      </c>
      <c r="BH248" s="528">
        <f t="shared" si="694"/>
        <v>0.81228951280358053</v>
      </c>
      <c r="BI248">
        <f t="shared" si="695"/>
        <v>1.7959478100340889E-2</v>
      </c>
      <c r="BJ248" s="460">
        <f t="shared" si="696"/>
        <v>58.209478100340888</v>
      </c>
      <c r="BK248">
        <f t="shared" ref="BK248:BK279" si="761">(BF248+BG248*0+BH248+BI248*0+BE248*(1+RdsonTC*(Ta-25)))/(1-BE248*RdsonTC*ThetaJA)</f>
        <v>3.2759301835281742</v>
      </c>
      <c r="BL248" s="460">
        <f t="shared" si="697"/>
        <v>3305.5223246209557</v>
      </c>
      <c r="BM248" s="173">
        <f t="shared" ref="BM248:BM279" si="762">Vfwd2*F248*(1+Diode_TC/1000*(Ta-25))</f>
        <v>0.53647999999999996</v>
      </c>
      <c r="BN248" s="173">
        <f t="shared" ref="BN248:BN279" si="763">Vfwd22*G248*(1+Diode_TC/1000*(Ta-25))</f>
        <v>3.832E-2</v>
      </c>
      <c r="BQ248" s="460">
        <f t="shared" si="698"/>
        <v>574.79999999999995</v>
      </c>
      <c r="BR248" s="528">
        <f t="shared" si="699"/>
        <v>3.1846752030897131E-2</v>
      </c>
      <c r="BS248" s="528">
        <f t="shared" si="700"/>
        <v>0.1088624678272589</v>
      </c>
      <c r="BT248" s="528">
        <f t="shared" si="701"/>
        <v>3.9519433038320145E-4</v>
      </c>
      <c r="BU248" s="528">
        <f t="shared" si="702"/>
        <v>8.0962672050946107</v>
      </c>
      <c r="BV248" s="528"/>
      <c r="BW248" s="625">
        <f t="shared" si="703"/>
        <v>1.0553191489361702</v>
      </c>
      <c r="BX248" s="460">
        <f t="shared" si="704"/>
        <v>9292.6907682193214</v>
      </c>
      <c r="BY248" s="173">
        <f t="shared" si="705"/>
        <v>13.173013092840275</v>
      </c>
      <c r="BZ248" s="5">
        <f t="shared" si="706"/>
        <v>24.8</v>
      </c>
      <c r="CA248" s="173">
        <f t="shared" si="707"/>
        <v>0.65309539538952166</v>
      </c>
      <c r="CB248" s="5">
        <f t="shared" si="708"/>
        <v>65.309539538952166</v>
      </c>
      <c r="CC248">
        <f t="shared" si="709"/>
        <v>32</v>
      </c>
      <c r="CE248" s="562">
        <f t="shared" ref="CE248:CE279" si="764">IF(ABS(F248-Ioutmax_Vinmax)&lt;Iout/200, AM248, -50)</f>
        <v>-50</v>
      </c>
      <c r="CG248" s="173">
        <f t="shared" ref="CG248:CG279" si="765">MIN(SQRT(2*DT248*1000*Ls1_*CL248)/CW248, 1-DY248)</f>
        <v>0.30659419433511786</v>
      </c>
      <c r="CH248" s="173">
        <f t="shared" ref="CH248:CH279" si="766">MIN(SQRT(2*DT248*1000*Ls2_*CM248)/Vout2, 1-DY248)</f>
        <v>9.9540600805639215E-2</v>
      </c>
      <c r="CI248" s="170">
        <v>32</v>
      </c>
      <c r="CJ248" s="217">
        <f t="shared" si="710"/>
        <v>0.8</v>
      </c>
      <c r="CK248" s="217">
        <f t="shared" si="651"/>
        <v>0.08</v>
      </c>
      <c r="CL248" s="217">
        <f t="shared" si="652"/>
        <v>22.400000000000002</v>
      </c>
      <c r="CM248" s="217">
        <f t="shared" si="653"/>
        <v>2.4</v>
      </c>
      <c r="CN248" s="541">
        <f t="shared" si="654"/>
        <v>40</v>
      </c>
      <c r="CO248" s="443">
        <f t="shared" ref="CO248:CO279" si="767">(CW248+Vfwd2)*Nps</f>
        <v>28.7</v>
      </c>
      <c r="CP248" s="443">
        <f t="shared" ref="CP248:CP279" si="768">(Vout+Vfwd2)*Nps+CN248</f>
        <v>68.7</v>
      </c>
      <c r="CQ248" s="443"/>
      <c r="CR248" s="217">
        <f t="shared" si="657"/>
        <v>0.41520467836257302</v>
      </c>
      <c r="CS248" s="172">
        <f t="shared" si="658"/>
        <v>125.00786015217253</v>
      </c>
      <c r="CT248" s="172">
        <f t="shared" si="659"/>
        <v>14.828738512949037</v>
      </c>
      <c r="CU248" s="217">
        <f t="shared" si="660"/>
        <v>4.4645664340061613</v>
      </c>
      <c r="CV248" s="217">
        <f t="shared" si="661"/>
        <v>4.1669286717390843</v>
      </c>
      <c r="CW248" s="217">
        <f t="shared" si="662"/>
        <v>28</v>
      </c>
      <c r="CX248" s="217">
        <f t="shared" si="663"/>
        <v>2.9864788732394376</v>
      </c>
      <c r="CY248" s="217">
        <f t="shared" si="664"/>
        <v>0.3509112676056339</v>
      </c>
      <c r="CZ248" s="217">
        <f t="shared" si="665"/>
        <v>0.48907493742945496</v>
      </c>
      <c r="DA248" s="197">
        <f t="shared" si="666"/>
        <v>350</v>
      </c>
      <c r="DB248" s="443">
        <f t="shared" si="667"/>
        <v>350</v>
      </c>
      <c r="DD248" s="217">
        <f t="shared" si="668"/>
        <v>10.158258230357086</v>
      </c>
      <c r="DE248" s="173">
        <f t="shared" si="669"/>
        <v>1.6635475150758992</v>
      </c>
      <c r="DF248" s="173">
        <f t="shared" si="670"/>
        <v>2.6710919890125213</v>
      </c>
      <c r="DG248" s="173"/>
      <c r="DH248" s="173">
        <f t="shared" si="671"/>
        <v>0.54587688734030204</v>
      </c>
      <c r="DI248" s="545">
        <f t="shared" si="672"/>
        <v>879.31914893617022</v>
      </c>
      <c r="DJ248" s="528">
        <f t="shared" si="673"/>
        <v>0.31842818428184283</v>
      </c>
      <c r="DL248" s="173">
        <f t="shared" si="674"/>
        <v>5.4910814676064108</v>
      </c>
      <c r="DM248" s="173">
        <f t="shared" si="675"/>
        <v>5.4910814676064108</v>
      </c>
      <c r="DN248" s="173">
        <f t="shared" si="676"/>
        <v>2.7983319513133909</v>
      </c>
      <c r="DP248" s="545">
        <f t="shared" si="677"/>
        <v>800</v>
      </c>
      <c r="DQ248" s="460">
        <f t="shared" si="678"/>
        <v>350</v>
      </c>
      <c r="DS248">
        <f t="shared" si="679"/>
        <v>800</v>
      </c>
      <c r="DT248">
        <f t="shared" si="680"/>
        <v>350</v>
      </c>
      <c r="DV248" s="5">
        <f t="shared" si="681"/>
        <v>2.8571428571428572</v>
      </c>
      <c r="DW248" s="5">
        <f t="shared" si="682"/>
        <v>0.64520207244375327</v>
      </c>
      <c r="DX248" s="5">
        <f t="shared" si="683"/>
        <v>2.2119407846991042</v>
      </c>
      <c r="DY248" s="173">
        <f t="shared" si="684"/>
        <v>0.22582072535531364</v>
      </c>
      <c r="EA248" s="5">
        <f t="shared" si="711"/>
        <v>1.8434344926964383</v>
      </c>
      <c r="EB248" s="5">
        <f t="shared" si="712"/>
        <v>0.17205388598500085</v>
      </c>
      <c r="EC248" s="5">
        <f t="shared" si="713"/>
        <v>0.88477631387964173</v>
      </c>
      <c r="ED248" s="5"/>
      <c r="EE248" s="173">
        <f t="shared" si="714"/>
        <v>1.5065347678067869</v>
      </c>
      <c r="EF248" s="173">
        <f t="shared" si="715"/>
        <v>2.7894464602652276</v>
      </c>
      <c r="EG248" s="173">
        <f t="shared" si="716"/>
        <v>0.28123107755133037</v>
      </c>
      <c r="EH248" s="173"/>
      <c r="EI248" s="528">
        <f t="shared" si="717"/>
        <v>2.7235764079327793E-2</v>
      </c>
      <c r="EJ248" s="528">
        <f t="shared" si="718"/>
        <v>2.5086280238833272</v>
      </c>
      <c r="EK248" s="528">
        <f t="shared" si="719"/>
        <v>4.0250000000000001E-2</v>
      </c>
      <c r="EL248" s="528">
        <f t="shared" si="720"/>
        <v>0.81355656375000007</v>
      </c>
      <c r="EM248">
        <f t="shared" si="721"/>
        <v>1.7999999999999999E-2</v>
      </c>
      <c r="EN248" s="460">
        <f t="shared" si="722"/>
        <v>58.249999999999993</v>
      </c>
      <c r="EP248" s="460">
        <f t="shared" si="723"/>
        <v>3407.6703517126548</v>
      </c>
      <c r="EQ248" s="173">
        <f t="shared" si="724"/>
        <v>0.55999999999999994</v>
      </c>
      <c r="ER248" s="173">
        <f t="shared" ref="ER248:ER279" si="769">Vfwd22*CK248*(1+Diode_TC/1000*(Ta-25))</f>
        <v>3.832E-2</v>
      </c>
      <c r="ES248" s="528"/>
      <c r="EU248" s="460">
        <f t="shared" si="725"/>
        <v>598.31999999999994</v>
      </c>
      <c r="EV248" s="528">
        <f t="shared" si="726"/>
        <v>3.1775058092549088E-2</v>
      </c>
      <c r="EW248" s="528">
        <f t="shared" si="727"/>
        <v>0.10893416176560691</v>
      </c>
      <c r="EX248" s="528">
        <f t="shared" si="728"/>
        <v>3.9545459490341196E-4</v>
      </c>
      <c r="EY248" s="528">
        <f t="shared" si="729"/>
        <v>8.0962672050946107</v>
      </c>
      <c r="EZ248" s="528"/>
      <c r="FA248" s="625">
        <f t="shared" si="730"/>
        <v>1.0553191489361702</v>
      </c>
      <c r="FB248" s="460">
        <f t="shared" si="731"/>
        <v>9292.6910284838414</v>
      </c>
      <c r="FC248" s="173">
        <f t="shared" si="732"/>
        <v>13.298681380196495</v>
      </c>
      <c r="FD248" s="5">
        <f t="shared" si="733"/>
        <v>24.8</v>
      </c>
      <c r="FE248" s="173">
        <f t="shared" si="734"/>
        <v>0.65094116388214207</v>
      </c>
      <c r="FF248" s="5">
        <f t="shared" si="735"/>
        <v>65.094116388214204</v>
      </c>
      <c r="FG248">
        <f t="shared" si="736"/>
        <v>32</v>
      </c>
      <c r="FI248" s="562">
        <f t="shared" si="686"/>
        <v>-50</v>
      </c>
    </row>
    <row r="249" spans="5:165">
      <c r="E249" s="170">
        <v>33</v>
      </c>
      <c r="F249" s="217">
        <f t="shared" ref="F249:F280" si="770">IF(PLOT_TYPE=1, E249/100*Iout_max, min_I*EXP(O249*rr/100))</f>
        <v>0.82500000000000007</v>
      </c>
      <c r="G249" s="217">
        <f t="shared" si="740"/>
        <v>8.2500000000000004E-2</v>
      </c>
      <c r="H249" s="217">
        <f t="shared" si="741"/>
        <v>23.1</v>
      </c>
      <c r="I249" s="217">
        <f t="shared" si="742"/>
        <v>2.4750000000000001</v>
      </c>
      <c r="J249" s="541">
        <f t="shared" si="743"/>
        <v>39.908555147483497</v>
      </c>
      <c r="K249" s="443">
        <f t="shared" si="744"/>
        <v>28.737096768225356</v>
      </c>
      <c r="L249" s="172">
        <f t="shared" si="745"/>
        <v>68.645651915708854</v>
      </c>
      <c r="M249" s="443"/>
      <c r="N249" s="217">
        <f t="shared" si="746"/>
        <v>0.41862952665249825</v>
      </c>
      <c r="O249" s="172">
        <f t="shared" si="747"/>
        <v>125.75085683379892</v>
      </c>
      <c r="P249" s="172">
        <f t="shared" si="748"/>
        <v>14.916874598907269</v>
      </c>
      <c r="Q249" s="217">
        <f t="shared" si="624"/>
        <v>4.4911020297785331</v>
      </c>
      <c r="R249" s="217">
        <f t="shared" si="749"/>
        <v>4.1916952277932973</v>
      </c>
      <c r="S249" s="217">
        <f t="shared" si="750"/>
        <v>28</v>
      </c>
      <c r="T249" s="217">
        <f t="shared" si="751"/>
        <v>3.0616093575317973</v>
      </c>
      <c r="U249" s="217">
        <f t="shared" si="628"/>
        <v>0.36056339116318037</v>
      </c>
      <c r="V249" s="217">
        <f t="shared" si="629"/>
        <v>0.50073130547794253</v>
      </c>
      <c r="W249" s="197">
        <f t="shared" si="630"/>
        <v>350</v>
      </c>
      <c r="X249" s="443">
        <f t="shared" si="688"/>
        <v>350</v>
      </c>
      <c r="Z249" s="217">
        <f t="shared" si="631"/>
        <v>10.156169939681543</v>
      </c>
      <c r="AA249" s="173">
        <f t="shared" si="632"/>
        <v>1.6610584952785765</v>
      </c>
      <c r="AB249" s="173">
        <f t="shared" si="752"/>
        <v>2.6665471791362769</v>
      </c>
      <c r="AC249" s="173"/>
      <c r="AD249" s="173">
        <f t="shared" si="634"/>
        <v>0.54517221391651915</v>
      </c>
      <c r="AE249" s="545">
        <f t="shared" si="753"/>
        <v>907.96997235775871</v>
      </c>
      <c r="AF249" s="528">
        <f t="shared" si="754"/>
        <v>0.31801712478463623</v>
      </c>
      <c r="AH249" s="173">
        <f t="shared" si="755"/>
        <v>5.5762195907274092</v>
      </c>
      <c r="AI249" s="173">
        <f t="shared" si="756"/>
        <v>5.5762195907274092</v>
      </c>
      <c r="AJ249" s="173">
        <f t="shared" si="757"/>
        <v>2.8613972276993156</v>
      </c>
      <c r="AL249" s="545">
        <f t="shared" si="758"/>
        <v>825.00000000000011</v>
      </c>
      <c r="AM249" s="460">
        <f t="shared" si="759"/>
        <v>350</v>
      </c>
      <c r="AO249">
        <f t="shared" si="642"/>
        <v>825.00000000000011</v>
      </c>
      <c r="AP249">
        <f t="shared" si="643"/>
        <v>350</v>
      </c>
      <c r="AR249" s="5">
        <f t="shared" si="614"/>
        <v>2.8571428571428572</v>
      </c>
      <c r="AS249" s="5">
        <f t="shared" si="737"/>
        <v>0.6567071140402192</v>
      </c>
      <c r="AT249" s="5">
        <f t="shared" si="738"/>
        <v>2.2004357431026378</v>
      </c>
      <c r="AU249" s="173">
        <f t="shared" si="739"/>
        <v>0.22984748991407672</v>
      </c>
      <c r="BA249" s="173">
        <f t="shared" si="689"/>
        <v>1.543473307145059</v>
      </c>
      <c r="BB249" s="173">
        <f t="shared" si="690"/>
        <v>2.8253197680029212</v>
      </c>
      <c r="BC249" s="173">
        <f t="shared" si="691"/>
        <v>0.2848478126757043</v>
      </c>
      <c r="BD249" s="173"/>
      <c r="BE249" s="528">
        <f t="shared" si="692"/>
        <v>2.8587718198431672E-2</v>
      </c>
      <c r="BF249" s="528">
        <f t="shared" si="760"/>
        <v>2.4450278754331509</v>
      </c>
      <c r="BG249" s="528">
        <f t="shared" si="693"/>
        <v>4.0250000000000001E-2</v>
      </c>
      <c r="BH249" s="528">
        <f t="shared" si="694"/>
        <v>0.8122698752050177</v>
      </c>
      <c r="BI249">
        <f t="shared" si="695"/>
        <v>1.7958849816367573E-2</v>
      </c>
      <c r="BJ249" s="460">
        <f t="shared" si="696"/>
        <v>58.208849816367575</v>
      </c>
      <c r="BK249">
        <f t="shared" si="761"/>
        <v>3.3161287645302902</v>
      </c>
      <c r="BL249" s="460">
        <f t="shared" si="697"/>
        <v>3344.094318652968</v>
      </c>
      <c r="BM249" s="173">
        <f t="shared" si="762"/>
        <v>0.55324499999999999</v>
      </c>
      <c r="BN249" s="173">
        <f t="shared" si="763"/>
        <v>3.9517499999999997E-2</v>
      </c>
      <c r="BQ249" s="460">
        <f t="shared" si="698"/>
        <v>592.76249999999993</v>
      </c>
      <c r="BR249" s="528">
        <f t="shared" si="699"/>
        <v>3.3352337898170284E-2</v>
      </c>
      <c r="BS249" s="528">
        <f t="shared" si="700"/>
        <v>0.11175404508055313</v>
      </c>
      <c r="BT249" s="528">
        <f t="shared" si="701"/>
        <v>4.0569138193066566E-4</v>
      </c>
      <c r="BU249" s="528">
        <f t="shared" si="702"/>
        <v>8.4137535133553207</v>
      </c>
      <c r="BV249" s="528"/>
      <c r="BW249" s="625">
        <f t="shared" si="703"/>
        <v>1.0882978723404255</v>
      </c>
      <c r="BX249" s="460">
        <f t="shared" si="704"/>
        <v>9647.5634600564008</v>
      </c>
      <c r="BY249" s="173">
        <f t="shared" si="705"/>
        <v>13.58442027870937</v>
      </c>
      <c r="BZ249" s="5">
        <f t="shared" si="706"/>
        <v>25.575000000000003</v>
      </c>
      <c r="CA249" s="173">
        <f t="shared" si="707"/>
        <v>0.65309955607041759</v>
      </c>
      <c r="CB249" s="5">
        <f t="shared" si="708"/>
        <v>65.309955607041758</v>
      </c>
      <c r="CC249">
        <f t="shared" si="709"/>
        <v>33</v>
      </c>
      <c r="CE249" s="562">
        <f t="shared" si="764"/>
        <v>-50</v>
      </c>
      <c r="CG249" s="173">
        <f t="shared" si="765"/>
        <v>0.31134787617711479</v>
      </c>
      <c r="CH249" s="173">
        <f t="shared" si="766"/>
        <v>0.10108395797069378</v>
      </c>
      <c r="CI249" s="170">
        <v>33</v>
      </c>
      <c r="CJ249" s="217">
        <f t="shared" si="710"/>
        <v>0.82500000000000007</v>
      </c>
      <c r="CK249" s="217">
        <f t="shared" si="651"/>
        <v>8.2500000000000004E-2</v>
      </c>
      <c r="CL249" s="217">
        <f t="shared" si="652"/>
        <v>23.1</v>
      </c>
      <c r="CM249" s="217">
        <f t="shared" si="653"/>
        <v>2.4750000000000001</v>
      </c>
      <c r="CN249" s="541">
        <f t="shared" si="654"/>
        <v>40</v>
      </c>
      <c r="CO249" s="443">
        <f t="shared" si="767"/>
        <v>28.7</v>
      </c>
      <c r="CP249" s="443">
        <f t="shared" si="768"/>
        <v>68.7</v>
      </c>
      <c r="CQ249" s="443"/>
      <c r="CR249" s="217">
        <f t="shared" si="657"/>
        <v>0.41520467836257302</v>
      </c>
      <c r="CS249" s="172">
        <f t="shared" si="658"/>
        <v>125.00786015217253</v>
      </c>
      <c r="CT249" s="172">
        <f t="shared" si="659"/>
        <v>14.828738512949037</v>
      </c>
      <c r="CU249" s="217">
        <f t="shared" si="660"/>
        <v>4.4645664340061613</v>
      </c>
      <c r="CV249" s="217">
        <f t="shared" si="661"/>
        <v>4.1669286717390843</v>
      </c>
      <c r="CW249" s="217">
        <f t="shared" si="662"/>
        <v>28</v>
      </c>
      <c r="CX249" s="217">
        <f t="shared" si="663"/>
        <v>3.0798063380281699</v>
      </c>
      <c r="CY249" s="217">
        <f t="shared" si="664"/>
        <v>0.36187724471831001</v>
      </c>
      <c r="CZ249" s="217">
        <f t="shared" si="665"/>
        <v>0.5043585292241255</v>
      </c>
      <c r="DA249" s="197">
        <f t="shared" si="666"/>
        <v>350</v>
      </c>
      <c r="DB249" s="443">
        <f t="shared" si="667"/>
        <v>350</v>
      </c>
      <c r="DD249" s="217">
        <f t="shared" si="668"/>
        <v>10.158258230357086</v>
      </c>
      <c r="DE249" s="173">
        <f t="shared" si="669"/>
        <v>1.6635475150758992</v>
      </c>
      <c r="DF249" s="173">
        <f t="shared" si="670"/>
        <v>2.6710919890125213</v>
      </c>
      <c r="DG249" s="173"/>
      <c r="DH249" s="173">
        <f t="shared" si="671"/>
        <v>0.54587688734030204</v>
      </c>
      <c r="DI249" s="545">
        <f t="shared" si="672"/>
        <v>906.79787234042567</v>
      </c>
      <c r="DJ249" s="528">
        <f t="shared" si="673"/>
        <v>0.31842818428184283</v>
      </c>
      <c r="DL249" s="173">
        <f t="shared" si="674"/>
        <v>5.5762195907274092</v>
      </c>
      <c r="DM249" s="173">
        <f t="shared" si="675"/>
        <v>5.5762195907274092</v>
      </c>
      <c r="DN249" s="173">
        <f t="shared" si="676"/>
        <v>2.8613972276993156</v>
      </c>
      <c r="DP249" s="545">
        <f t="shared" si="677"/>
        <v>825.00000000000011</v>
      </c>
      <c r="DQ249" s="460">
        <f t="shared" si="678"/>
        <v>350</v>
      </c>
      <c r="DS249">
        <f t="shared" si="679"/>
        <v>825.00000000000011</v>
      </c>
      <c r="DT249">
        <f t="shared" si="680"/>
        <v>350</v>
      </c>
      <c r="DV249" s="5">
        <f t="shared" si="681"/>
        <v>2.8571428571428572</v>
      </c>
      <c r="DW249" s="5">
        <f t="shared" si="682"/>
        <v>0.65520580191047062</v>
      </c>
      <c r="DX249" s="5">
        <f t="shared" si="683"/>
        <v>2.2019370552323867</v>
      </c>
      <c r="DY249" s="173">
        <f t="shared" si="684"/>
        <v>0.22932203066866472</v>
      </c>
      <c r="EA249" s="5">
        <f t="shared" si="711"/>
        <v>1.9305170949147799</v>
      </c>
      <c r="EB249" s="5">
        <f t="shared" si="712"/>
        <v>0.18018159552537943</v>
      </c>
      <c r="EC249" s="5">
        <f t="shared" si="713"/>
        <v>0.90829903528335953</v>
      </c>
      <c r="ED249" s="5"/>
      <c r="EE249" s="173">
        <f t="shared" si="714"/>
        <v>1.5417080140375341</v>
      </c>
      <c r="EF249" s="173">
        <f t="shared" si="715"/>
        <v>2.8262834324939576</v>
      </c>
      <c r="EG249" s="173">
        <f t="shared" si="716"/>
        <v>0.28494496901373506</v>
      </c>
      <c r="EH249" s="173"/>
      <c r="EI249" s="528">
        <f t="shared" si="717"/>
        <v>2.8522363206570693E-2</v>
      </c>
      <c r="EJ249" s="528">
        <f t="shared" si="718"/>
        <v>2.5475238011217707</v>
      </c>
      <c r="EK249" s="528">
        <f t="shared" si="719"/>
        <v>4.0250000000000001E-2</v>
      </c>
      <c r="EL249" s="528">
        <f t="shared" si="720"/>
        <v>0.81355656375000007</v>
      </c>
      <c r="EM249">
        <f t="shared" si="721"/>
        <v>1.7999999999999999E-2</v>
      </c>
      <c r="EN249" s="460">
        <f t="shared" si="722"/>
        <v>58.249999999999993</v>
      </c>
      <c r="EP249" s="460">
        <f t="shared" si="723"/>
        <v>3447.8527280783414</v>
      </c>
      <c r="EQ249" s="173">
        <f t="shared" si="724"/>
        <v>0.57750000000000001</v>
      </c>
      <c r="ER249" s="173">
        <f t="shared" si="769"/>
        <v>3.9517499999999997E-2</v>
      </c>
      <c r="ES249" s="528"/>
      <c r="EU249" s="460">
        <f t="shared" si="725"/>
        <v>617.01750000000004</v>
      </c>
      <c r="EV249" s="528">
        <f t="shared" si="726"/>
        <v>3.3276090407665805E-2</v>
      </c>
      <c r="EW249" s="528">
        <f t="shared" si="727"/>
        <v>0.11183029257105757</v>
      </c>
      <c r="EX249" s="528">
        <f t="shared" si="728"/>
        <v>4.0596817683119215E-4</v>
      </c>
      <c r="EY249" s="528">
        <f t="shared" si="729"/>
        <v>8.4137535133553207</v>
      </c>
      <c r="EZ249" s="528"/>
      <c r="FA249" s="625">
        <f t="shared" si="730"/>
        <v>1.0882978723404255</v>
      </c>
      <c r="FB249" s="460">
        <f t="shared" si="731"/>
        <v>9647.5637368512998</v>
      </c>
      <c r="FC249" s="173">
        <f t="shared" si="732"/>
        <v>13.712433964929641</v>
      </c>
      <c r="FD249" s="5">
        <f t="shared" si="733"/>
        <v>25.575000000000003</v>
      </c>
      <c r="FE249" s="173">
        <f t="shared" si="734"/>
        <v>0.65097150459940456</v>
      </c>
      <c r="FF249" s="5">
        <f t="shared" si="735"/>
        <v>65.097150459940451</v>
      </c>
      <c r="FG249">
        <f t="shared" si="736"/>
        <v>33</v>
      </c>
      <c r="FI249" s="562">
        <f t="shared" si="686"/>
        <v>-50</v>
      </c>
    </row>
    <row r="250" spans="5:165">
      <c r="E250" s="170">
        <v>34</v>
      </c>
      <c r="F250" s="217">
        <f t="shared" si="770"/>
        <v>0.85000000000000009</v>
      </c>
      <c r="G250" s="217">
        <f t="shared" si="740"/>
        <v>8.5000000000000006E-2</v>
      </c>
      <c r="H250" s="217">
        <f t="shared" si="741"/>
        <v>23.800000000000004</v>
      </c>
      <c r="I250" s="217">
        <f t="shared" si="742"/>
        <v>2.5500000000000003</v>
      </c>
      <c r="J250" s="541">
        <f t="shared" si="743"/>
        <v>39.907179959752675</v>
      </c>
      <c r="K250" s="443">
        <f t="shared" si="744"/>
        <v>28.73765464566857</v>
      </c>
      <c r="L250" s="172">
        <f t="shared" si="745"/>
        <v>68.644834605421238</v>
      </c>
      <c r="M250" s="443"/>
      <c r="N250" s="217">
        <f t="shared" si="746"/>
        <v>0.41864263802012291</v>
      </c>
      <c r="O250" s="172">
        <f t="shared" si="747"/>
        <v>125.75046200006719</v>
      </c>
      <c r="P250" s="172">
        <f t="shared" si="748"/>
        <v>14.916827762763072</v>
      </c>
      <c r="Q250" s="217">
        <f t="shared" si="624"/>
        <v>4.4910879285738279</v>
      </c>
      <c r="R250" s="217">
        <f t="shared" si="749"/>
        <v>4.1916820666689061</v>
      </c>
      <c r="S250" s="217">
        <f t="shared" si="750"/>
        <v>28</v>
      </c>
      <c r="T250" s="217">
        <f t="shared" si="751"/>
        <v>3.1543953028693825</v>
      </c>
      <c r="U250" s="217">
        <f t="shared" si="628"/>
        <v>0.37150352238464657</v>
      </c>
      <c r="V250" s="217">
        <f t="shared" si="629"/>
        <v>0.51589658607441946</v>
      </c>
      <c r="W250" s="197">
        <f t="shared" si="630"/>
        <v>350</v>
      </c>
      <c r="X250" s="443">
        <f t="shared" si="688"/>
        <v>350</v>
      </c>
      <c r="Z250" s="217">
        <f t="shared" si="631"/>
        <v>10.156138051242943</v>
      </c>
      <c r="AA250" s="173">
        <f t="shared" si="632"/>
        <v>1.6610210342282206</v>
      </c>
      <c r="AB250" s="173">
        <f t="shared" si="752"/>
        <v>2.6664786695237637</v>
      </c>
      <c r="AC250" s="173"/>
      <c r="AD250" s="173">
        <f t="shared" si="634"/>
        <v>0.54516163061441747</v>
      </c>
      <c r="AE250" s="545">
        <f t="shared" si="753"/>
        <v>935.50237463559381</v>
      </c>
      <c r="AF250" s="528">
        <f t="shared" si="754"/>
        <v>0.31801095119174355</v>
      </c>
      <c r="AH250" s="173">
        <f t="shared" si="755"/>
        <v>5.6600772224532188</v>
      </c>
      <c r="AI250" s="173">
        <f t="shared" si="756"/>
        <v>5.6600772224532188</v>
      </c>
      <c r="AJ250" s="173">
        <f t="shared" si="757"/>
        <v>2.9235139919406556</v>
      </c>
      <c r="AL250" s="545">
        <f t="shared" si="758"/>
        <v>850.00000000000011</v>
      </c>
      <c r="AM250" s="460">
        <f t="shared" si="759"/>
        <v>350</v>
      </c>
      <c r="AO250">
        <f t="shared" si="642"/>
        <v>850.00000000000011</v>
      </c>
      <c r="AP250">
        <f t="shared" si="643"/>
        <v>350</v>
      </c>
      <c r="AR250" s="5">
        <f t="shared" si="614"/>
        <v>2.8571428571428572</v>
      </c>
      <c r="AS250" s="5">
        <f t="shared" si="737"/>
        <v>0.66660593337738305</v>
      </c>
      <c r="AT250" s="5">
        <f t="shared" si="738"/>
        <v>2.1905369237654742</v>
      </c>
      <c r="AU250" s="173">
        <f t="shared" si="739"/>
        <v>0.23331207668208406</v>
      </c>
      <c r="BA250" s="173">
        <f t="shared" si="689"/>
        <v>1.5784482165306086</v>
      </c>
      <c r="BB250" s="173">
        <f t="shared" si="690"/>
        <v>2.8613503716094009</v>
      </c>
      <c r="BC250" s="173">
        <f t="shared" si="691"/>
        <v>0.28848040631799698</v>
      </c>
      <c r="BD250" s="173"/>
      <c r="BE250" s="528">
        <f t="shared" si="692"/>
        <v>2.9897985267223912E-2</v>
      </c>
      <c r="BF250" s="528">
        <f t="shared" si="760"/>
        <v>2.4817677263410993</v>
      </c>
      <c r="BG250" s="528">
        <f t="shared" si="693"/>
        <v>4.0250000000000001E-2</v>
      </c>
      <c r="BH250" s="528">
        <f t="shared" si="694"/>
        <v>0.81225053319122165</v>
      </c>
      <c r="BI250">
        <f t="shared" si="695"/>
        <v>1.7958230981888704E-2</v>
      </c>
      <c r="BJ250" s="460">
        <f t="shared" si="696"/>
        <v>58.208230981888711</v>
      </c>
      <c r="BK250">
        <f t="shared" si="761"/>
        <v>3.3558276997630365</v>
      </c>
      <c r="BL250" s="460">
        <f t="shared" si="697"/>
        <v>3382.1244757814334</v>
      </c>
      <c r="BM250" s="173">
        <f t="shared" si="762"/>
        <v>0.57000999999999991</v>
      </c>
      <c r="BN250" s="173">
        <f t="shared" si="763"/>
        <v>4.0715000000000001E-2</v>
      </c>
      <c r="BQ250" s="460">
        <f t="shared" si="698"/>
        <v>610.72499999999991</v>
      </c>
      <c r="BR250" s="528">
        <f t="shared" si="699"/>
        <v>3.4880982811761232E-2</v>
      </c>
      <c r="BS250" s="528">
        <f t="shared" si="700"/>
        <v>0.11462256328752959</v>
      </c>
      <c r="BT250" s="528">
        <f t="shared" si="701"/>
        <v>4.1610472414698319E-4</v>
      </c>
      <c r="BU250" s="528">
        <f t="shared" si="702"/>
        <v>8.7336544792220554</v>
      </c>
      <c r="BV250" s="528"/>
      <c r="BW250" s="625">
        <f t="shared" si="703"/>
        <v>1.1212765957446811</v>
      </c>
      <c r="BX250" s="460">
        <f t="shared" si="704"/>
        <v>10004.850725790175</v>
      </c>
      <c r="BY250" s="173">
        <f t="shared" si="705"/>
        <v>13.997700201571607</v>
      </c>
      <c r="BZ250" s="5">
        <f t="shared" si="706"/>
        <v>26.350000000000005</v>
      </c>
      <c r="CA250" s="173">
        <f t="shared" si="707"/>
        <v>0.65307315828062062</v>
      </c>
      <c r="CB250" s="5">
        <f t="shared" si="708"/>
        <v>65.307315828062059</v>
      </c>
      <c r="CC250">
        <f t="shared" si="709"/>
        <v>34</v>
      </c>
      <c r="CE250" s="562">
        <f t="shared" si="764"/>
        <v>-50</v>
      </c>
      <c r="CG250" s="173">
        <f t="shared" si="765"/>
        <v>0.31603006186120969</v>
      </c>
      <c r="CH250" s="173">
        <f t="shared" si="766"/>
        <v>0.10260410278977324</v>
      </c>
      <c r="CI250" s="170">
        <v>34</v>
      </c>
      <c r="CJ250" s="217">
        <f t="shared" si="710"/>
        <v>0.85000000000000009</v>
      </c>
      <c r="CK250" s="217">
        <f t="shared" si="651"/>
        <v>8.5000000000000006E-2</v>
      </c>
      <c r="CL250" s="217">
        <f t="shared" si="652"/>
        <v>23.800000000000004</v>
      </c>
      <c r="CM250" s="217">
        <f t="shared" si="653"/>
        <v>2.5500000000000003</v>
      </c>
      <c r="CN250" s="541">
        <f t="shared" si="654"/>
        <v>40</v>
      </c>
      <c r="CO250" s="443">
        <f t="shared" si="767"/>
        <v>28.7</v>
      </c>
      <c r="CP250" s="443">
        <f t="shared" si="768"/>
        <v>68.7</v>
      </c>
      <c r="CQ250" s="443"/>
      <c r="CR250" s="217">
        <f t="shared" si="657"/>
        <v>0.41520467836257302</v>
      </c>
      <c r="CS250" s="172">
        <f t="shared" si="658"/>
        <v>125.00786015217253</v>
      </c>
      <c r="CT250" s="172">
        <f t="shared" si="659"/>
        <v>14.828738512949037</v>
      </c>
      <c r="CU250" s="217">
        <f t="shared" si="660"/>
        <v>4.4645664340061613</v>
      </c>
      <c r="CV250" s="217">
        <f t="shared" si="661"/>
        <v>4.1669286717390843</v>
      </c>
      <c r="CW250" s="217">
        <f t="shared" si="662"/>
        <v>28</v>
      </c>
      <c r="CX250" s="217">
        <f t="shared" si="663"/>
        <v>3.1731338028169027</v>
      </c>
      <c r="CY250" s="217">
        <f t="shared" si="664"/>
        <v>0.37284322183098606</v>
      </c>
      <c r="CZ250" s="217">
        <f t="shared" si="665"/>
        <v>0.51964212101879592</v>
      </c>
      <c r="DA250" s="197">
        <f t="shared" si="666"/>
        <v>350</v>
      </c>
      <c r="DB250" s="443">
        <f t="shared" si="667"/>
        <v>350</v>
      </c>
      <c r="DD250" s="217">
        <f t="shared" si="668"/>
        <v>10.158258230357086</v>
      </c>
      <c r="DE250" s="173">
        <f t="shared" si="669"/>
        <v>1.6635475150758992</v>
      </c>
      <c r="DF250" s="173">
        <f t="shared" si="670"/>
        <v>2.6710919890125213</v>
      </c>
      <c r="DG250" s="173"/>
      <c r="DH250" s="173">
        <f t="shared" si="671"/>
        <v>0.54587688734030204</v>
      </c>
      <c r="DI250" s="545">
        <f t="shared" si="672"/>
        <v>934.276595744681</v>
      </c>
      <c r="DJ250" s="528">
        <f t="shared" si="673"/>
        <v>0.31842818428184283</v>
      </c>
      <c r="DL250" s="173">
        <f t="shared" si="674"/>
        <v>5.6600772224532188</v>
      </c>
      <c r="DM250" s="173">
        <f t="shared" si="675"/>
        <v>5.6600772224532188</v>
      </c>
      <c r="DN250" s="173">
        <f t="shared" si="676"/>
        <v>2.9235139919406556</v>
      </c>
      <c r="DP250" s="545">
        <f t="shared" si="677"/>
        <v>850.00000000000011</v>
      </c>
      <c r="DQ250" s="460">
        <f t="shared" si="678"/>
        <v>350</v>
      </c>
      <c r="DS250">
        <f t="shared" si="679"/>
        <v>850.00000000000011</v>
      </c>
      <c r="DT250">
        <f t="shared" si="680"/>
        <v>350</v>
      </c>
      <c r="DV250" s="5">
        <f t="shared" si="681"/>
        <v>2.8571428571428572</v>
      </c>
      <c r="DW250" s="5">
        <f t="shared" si="682"/>
        <v>0.66505907363825312</v>
      </c>
      <c r="DX250" s="5">
        <f t="shared" si="683"/>
        <v>2.1920837835046041</v>
      </c>
      <c r="DY250" s="173">
        <f t="shared" si="684"/>
        <v>0.23277067577338859</v>
      </c>
      <c r="EA250" s="5">
        <f t="shared" si="711"/>
        <v>2.0189293306875542</v>
      </c>
      <c r="EB250" s="5">
        <f t="shared" si="712"/>
        <v>0.18843340419750507</v>
      </c>
      <c r="EC250" s="5">
        <f t="shared" si="713"/>
        <v>0.93163560798945677</v>
      </c>
      <c r="ED250" s="5"/>
      <c r="EE250" s="173">
        <f t="shared" si="714"/>
        <v>1.5766157575201085</v>
      </c>
      <c r="EF250" s="173">
        <f t="shared" si="715"/>
        <v>2.8623604724976919</v>
      </c>
      <c r="EG250" s="173">
        <f t="shared" si="716"/>
        <v>0.28858224435837387</v>
      </c>
      <c r="EH250" s="173"/>
      <c r="EI250" s="528">
        <f t="shared" si="717"/>
        <v>2.9828606962328471E-2</v>
      </c>
      <c r="EJ250" s="528">
        <f t="shared" si="718"/>
        <v>2.5858345794638655</v>
      </c>
      <c r="EK250" s="528">
        <f t="shared" si="719"/>
        <v>4.0250000000000001E-2</v>
      </c>
      <c r="EL250" s="528">
        <f t="shared" si="720"/>
        <v>0.81355656375000007</v>
      </c>
      <c r="EM250">
        <f t="shared" si="721"/>
        <v>1.7999999999999999E-2</v>
      </c>
      <c r="EN250" s="460">
        <f t="shared" si="722"/>
        <v>58.249999999999993</v>
      </c>
      <c r="EP250" s="460">
        <f t="shared" si="723"/>
        <v>3487.4697501761939</v>
      </c>
      <c r="EQ250" s="173">
        <f t="shared" si="724"/>
        <v>0.59499999999999997</v>
      </c>
      <c r="ER250" s="173">
        <f t="shared" si="769"/>
        <v>4.0715000000000001E-2</v>
      </c>
      <c r="ES250" s="528"/>
      <c r="EU250" s="460">
        <f t="shared" si="725"/>
        <v>635.71500000000003</v>
      </c>
      <c r="EV250" s="528">
        <f t="shared" si="726"/>
        <v>3.4800041456049882E-2</v>
      </c>
      <c r="EW250" s="528">
        <f t="shared" si="727"/>
        <v>0.11470350464324096</v>
      </c>
      <c r="EX250" s="528">
        <f t="shared" si="728"/>
        <v>4.1639855879458109E-4</v>
      </c>
      <c r="EY250" s="528">
        <f t="shared" si="729"/>
        <v>8.7336544792220554</v>
      </c>
      <c r="EZ250" s="528"/>
      <c r="FA250" s="625">
        <f t="shared" si="730"/>
        <v>1.1212765957446811</v>
      </c>
      <c r="FB250" s="460">
        <f t="shared" si="731"/>
        <v>10004.851019624823</v>
      </c>
      <c r="FC250" s="173">
        <f t="shared" si="732"/>
        <v>14.128035769801016</v>
      </c>
      <c r="FD250" s="5">
        <f t="shared" si="733"/>
        <v>26.350000000000005</v>
      </c>
      <c r="FE250" s="173">
        <f t="shared" si="734"/>
        <v>0.65097032251892617</v>
      </c>
      <c r="FF250" s="5">
        <f t="shared" si="735"/>
        <v>65.097032251892614</v>
      </c>
      <c r="FG250">
        <f t="shared" si="736"/>
        <v>34</v>
      </c>
      <c r="FI250" s="562">
        <f t="shared" si="686"/>
        <v>-50</v>
      </c>
    </row>
    <row r="251" spans="5:165">
      <c r="E251" s="170">
        <v>35</v>
      </c>
      <c r="F251" s="217">
        <f t="shared" si="770"/>
        <v>0.875</v>
      </c>
      <c r="G251" s="217">
        <f t="shared" si="740"/>
        <v>8.7499999999999994E-2</v>
      </c>
      <c r="H251" s="217">
        <f t="shared" si="741"/>
        <v>24.5</v>
      </c>
      <c r="I251" s="217">
        <f t="shared" si="742"/>
        <v>2.625</v>
      </c>
      <c r="J251" s="541">
        <f t="shared" si="743"/>
        <v>39.905824850988886</v>
      </c>
      <c r="K251" s="443">
        <f t="shared" si="744"/>
        <v>28.738204377603687</v>
      </c>
      <c r="L251" s="172">
        <f t="shared" si="745"/>
        <v>68.644029228592572</v>
      </c>
      <c r="M251" s="443"/>
      <c r="N251" s="217">
        <f t="shared" si="746"/>
        <v>0.41865555825550588</v>
      </c>
      <c r="O251" s="172">
        <f t="shared" si="747"/>
        <v>125.75007275748426</v>
      </c>
      <c r="P251" s="172">
        <f t="shared" si="748"/>
        <v>14.916781589854637</v>
      </c>
      <c r="Q251" s="217">
        <f t="shared" si="624"/>
        <v>4.491074027053009</v>
      </c>
      <c r="R251" s="217">
        <f t="shared" si="749"/>
        <v>4.1916690919161423</v>
      </c>
      <c r="S251" s="217">
        <f t="shared" si="750"/>
        <v>28</v>
      </c>
      <c r="T251" s="217">
        <f t="shared" si="751"/>
        <v>3.2471816864935423</v>
      </c>
      <c r="U251" s="217">
        <f t="shared" si="628"/>
        <v>0.38244426680836935</v>
      </c>
      <c r="V251" s="217">
        <f t="shared" si="629"/>
        <v>0.53106150008500419</v>
      </c>
      <c r="W251" s="197">
        <f t="shared" si="630"/>
        <v>350</v>
      </c>
      <c r="X251" s="443">
        <f t="shared" si="688"/>
        <v>350</v>
      </c>
      <c r="Z251" s="217">
        <f t="shared" si="631"/>
        <v>10.156106614369113</v>
      </c>
      <c r="AA251" s="173">
        <f t="shared" si="632"/>
        <v>1.6609841192699832</v>
      </c>
      <c r="AB251" s="173">
        <f t="shared" si="752"/>
        <v>2.666411155496506</v>
      </c>
      <c r="AC251" s="173"/>
      <c r="AD251" s="173">
        <f t="shared" si="634"/>
        <v>0.5451512022399021</v>
      </c>
      <c r="AE251" s="545">
        <f t="shared" si="753"/>
        <v>963.03557222820859</v>
      </c>
      <c r="AF251" s="528">
        <f t="shared" si="754"/>
        <v>0.31800486797327621</v>
      </c>
      <c r="AH251" s="173">
        <f t="shared" si="755"/>
        <v>5.7427104579854378</v>
      </c>
      <c r="AI251" s="173">
        <f t="shared" si="756"/>
        <v>5.7427104579854378</v>
      </c>
      <c r="AJ251" s="173">
        <f t="shared" si="757"/>
        <v>2.9847237960385957</v>
      </c>
      <c r="AL251" s="545">
        <f t="shared" si="758"/>
        <v>875</v>
      </c>
      <c r="AM251" s="460">
        <f t="shared" si="759"/>
        <v>350</v>
      </c>
      <c r="AO251">
        <f t="shared" si="642"/>
        <v>875</v>
      </c>
      <c r="AP251">
        <f t="shared" si="643"/>
        <v>350</v>
      </c>
      <c r="AR251" s="5">
        <f t="shared" si="614"/>
        <v>2.8571428571428572</v>
      </c>
      <c r="AS251" s="5">
        <f t="shared" si="737"/>
        <v>0.67636088849978293</v>
      </c>
      <c r="AT251" s="5">
        <f t="shared" si="738"/>
        <v>2.1807819686430743</v>
      </c>
      <c r="AU251" s="173">
        <f t="shared" si="739"/>
        <v>0.23672631097492403</v>
      </c>
      <c r="BA251" s="173">
        <f t="shared" si="689"/>
        <v>1.6131678495176034</v>
      </c>
      <c r="BB251" s="173">
        <f t="shared" si="690"/>
        <v>2.8966527735821548</v>
      </c>
      <c r="BC251" s="173">
        <f t="shared" si="691"/>
        <v>0.292039582910332</v>
      </c>
      <c r="BD251" s="173"/>
      <c r="BE251" s="528">
        <f t="shared" si="692"/>
        <v>3.122772612860699E-2</v>
      </c>
      <c r="BF251" s="528">
        <f t="shared" si="760"/>
        <v>2.5179702861808826</v>
      </c>
      <c r="BG251" s="528">
        <f t="shared" si="693"/>
        <v>4.0250000000000001E-2</v>
      </c>
      <c r="BH251" s="528">
        <f t="shared" si="694"/>
        <v>0.81223147381334571</v>
      </c>
      <c r="BI251">
        <f t="shared" si="695"/>
        <v>1.7957621182944999E-2</v>
      </c>
      <c r="BJ251" s="460">
        <f t="shared" si="696"/>
        <v>58.207621182944997</v>
      </c>
      <c r="BK251">
        <f t="shared" si="761"/>
        <v>3.3950512602507308</v>
      </c>
      <c r="BL251" s="460">
        <f t="shared" si="697"/>
        <v>3419.6371073057799</v>
      </c>
      <c r="BM251" s="173">
        <f t="shared" si="762"/>
        <v>0.58677499999999994</v>
      </c>
      <c r="BN251" s="173">
        <f t="shared" si="763"/>
        <v>4.1912499999999998E-2</v>
      </c>
      <c r="BQ251" s="460">
        <f t="shared" si="698"/>
        <v>628.6875</v>
      </c>
      <c r="BR251" s="528">
        <f t="shared" si="699"/>
        <v>3.643234715004149E-2</v>
      </c>
      <c r="BS251" s="528">
        <f t="shared" si="700"/>
        <v>0.11746836206981667</v>
      </c>
      <c r="BT251" s="528">
        <f t="shared" si="701"/>
        <v>4.2643558993220337E-4</v>
      </c>
      <c r="BU251" s="528">
        <f t="shared" si="702"/>
        <v>9.055916626171248</v>
      </c>
      <c r="BV251" s="528"/>
      <c r="BW251" s="625">
        <f t="shared" si="703"/>
        <v>1.1542553191489362</v>
      </c>
      <c r="BX251" s="460">
        <f t="shared" si="704"/>
        <v>10364.499090129975</v>
      </c>
      <c r="BY251" s="173">
        <f t="shared" si="705"/>
        <v>14.412823697435753</v>
      </c>
      <c r="BZ251" s="5">
        <f t="shared" si="706"/>
        <v>27.125</v>
      </c>
      <c r="CA251" s="173">
        <f t="shared" si="707"/>
        <v>0.65301928665257691</v>
      </c>
      <c r="CB251" s="5">
        <f t="shared" si="708"/>
        <v>65.301928665257691</v>
      </c>
      <c r="CC251">
        <f t="shared" si="709"/>
        <v>35</v>
      </c>
      <c r="CE251" s="562">
        <f t="shared" si="764"/>
        <v>-50</v>
      </c>
      <c r="CG251" s="173">
        <f t="shared" si="765"/>
        <v>0.32064388345951655</v>
      </c>
      <c r="CH251" s="173">
        <f t="shared" si="766"/>
        <v>0.10410205213907991</v>
      </c>
      <c r="CI251" s="170">
        <v>35</v>
      </c>
      <c r="CJ251" s="217">
        <f t="shared" si="710"/>
        <v>0.875</v>
      </c>
      <c r="CK251" s="217">
        <f t="shared" si="651"/>
        <v>8.7499999999999994E-2</v>
      </c>
      <c r="CL251" s="217">
        <f t="shared" si="652"/>
        <v>24.5</v>
      </c>
      <c r="CM251" s="217">
        <f t="shared" si="653"/>
        <v>2.625</v>
      </c>
      <c r="CN251" s="541">
        <f t="shared" si="654"/>
        <v>40</v>
      </c>
      <c r="CO251" s="443">
        <f t="shared" si="767"/>
        <v>28.7</v>
      </c>
      <c r="CP251" s="443">
        <f t="shared" si="768"/>
        <v>68.7</v>
      </c>
      <c r="CQ251" s="443"/>
      <c r="CR251" s="217">
        <f t="shared" si="657"/>
        <v>0.41520467836257302</v>
      </c>
      <c r="CS251" s="172">
        <f t="shared" si="658"/>
        <v>125.00786015217253</v>
      </c>
      <c r="CT251" s="172">
        <f t="shared" si="659"/>
        <v>14.828738512949037</v>
      </c>
      <c r="CU251" s="217">
        <f t="shared" si="660"/>
        <v>4.4645664340061613</v>
      </c>
      <c r="CV251" s="217">
        <f t="shared" si="661"/>
        <v>4.1669286717390843</v>
      </c>
      <c r="CW251" s="217">
        <f t="shared" si="662"/>
        <v>28</v>
      </c>
      <c r="CX251" s="217">
        <f t="shared" si="663"/>
        <v>3.2664612676056346</v>
      </c>
      <c r="CY251" s="217">
        <f t="shared" si="664"/>
        <v>0.38380919894366206</v>
      </c>
      <c r="CZ251" s="217">
        <f t="shared" si="665"/>
        <v>0.53492571281346624</v>
      </c>
      <c r="DA251" s="197">
        <f t="shared" si="666"/>
        <v>350</v>
      </c>
      <c r="DB251" s="443">
        <f t="shared" si="667"/>
        <v>350</v>
      </c>
      <c r="DD251" s="217">
        <f t="shared" si="668"/>
        <v>10.158258230357086</v>
      </c>
      <c r="DE251" s="173">
        <f t="shared" si="669"/>
        <v>1.6635475150758992</v>
      </c>
      <c r="DF251" s="173">
        <f t="shared" si="670"/>
        <v>2.6710919890125213</v>
      </c>
      <c r="DG251" s="173"/>
      <c r="DH251" s="173">
        <f t="shared" si="671"/>
        <v>0.54587688734030204</v>
      </c>
      <c r="DI251" s="545">
        <f t="shared" si="672"/>
        <v>961.75531914893611</v>
      </c>
      <c r="DJ251" s="528">
        <f t="shared" si="673"/>
        <v>0.31842818428184283</v>
      </c>
      <c r="DL251" s="173">
        <f t="shared" si="674"/>
        <v>5.7427104579854378</v>
      </c>
      <c r="DM251" s="173">
        <f t="shared" si="675"/>
        <v>5.7427104579854378</v>
      </c>
      <c r="DN251" s="173">
        <f t="shared" si="676"/>
        <v>2.9847237960385957</v>
      </c>
      <c r="DP251" s="545">
        <f t="shared" si="677"/>
        <v>875</v>
      </c>
      <c r="DQ251" s="460">
        <f t="shared" si="678"/>
        <v>350</v>
      </c>
      <c r="DS251">
        <f t="shared" si="679"/>
        <v>875</v>
      </c>
      <c r="DT251">
        <f t="shared" si="680"/>
        <v>350</v>
      </c>
      <c r="DV251" s="5">
        <f t="shared" si="681"/>
        <v>2.8571428571428572</v>
      </c>
      <c r="DW251" s="5">
        <f t="shared" si="682"/>
        <v>0.67476847881328894</v>
      </c>
      <c r="DX251" s="5">
        <f t="shared" si="683"/>
        <v>2.1823743783295684</v>
      </c>
      <c r="DY251" s="173">
        <f t="shared" si="684"/>
        <v>0.23616896758465111</v>
      </c>
      <c r="EA251" s="5">
        <f t="shared" si="711"/>
        <v>2.1086514962915279</v>
      </c>
      <c r="EB251" s="5">
        <f t="shared" si="712"/>
        <v>0.19680747298720924</v>
      </c>
      <c r="EC251" s="5">
        <f t="shared" si="713"/>
        <v>0.95478879051918608</v>
      </c>
      <c r="ED251" s="5"/>
      <c r="EE251" s="173">
        <f t="shared" si="714"/>
        <v>1.6112677264235915</v>
      </c>
      <c r="EF251" s="173">
        <f t="shared" si="715"/>
        <v>2.8977101503090656</v>
      </c>
      <c r="EG251" s="173">
        <f t="shared" si="716"/>
        <v>0.29214618728525826</v>
      </c>
      <c r="EH251" s="173"/>
      <c r="EI251" s="528">
        <f t="shared" si="717"/>
        <v>3.1154204234570999E-2</v>
      </c>
      <c r="EJ251" s="528">
        <f t="shared" si="718"/>
        <v>2.6235859862829369</v>
      </c>
      <c r="EK251" s="528">
        <f t="shared" si="719"/>
        <v>4.0250000000000001E-2</v>
      </c>
      <c r="EL251" s="528">
        <f t="shared" si="720"/>
        <v>0.81355656375000007</v>
      </c>
      <c r="EM251">
        <f t="shared" si="721"/>
        <v>1.7999999999999999E-2</v>
      </c>
      <c r="EN251" s="460">
        <f t="shared" si="722"/>
        <v>58.249999999999993</v>
      </c>
      <c r="EP251" s="460">
        <f t="shared" si="723"/>
        <v>3526.5467542675078</v>
      </c>
      <c r="EQ251" s="173">
        <f t="shared" si="724"/>
        <v>0.61249999999999993</v>
      </c>
      <c r="ER251" s="173">
        <f t="shared" si="769"/>
        <v>4.1912499999999998E-2</v>
      </c>
      <c r="ES251" s="528"/>
      <c r="EU251" s="460">
        <f t="shared" si="725"/>
        <v>654.41249999999991</v>
      </c>
      <c r="EV251" s="528">
        <f t="shared" si="726"/>
        <v>3.63465716069995E-2</v>
      </c>
      <c r="EW251" s="528">
        <f t="shared" si="727"/>
        <v>0.11755413761285864</v>
      </c>
      <c r="EX251" s="528">
        <f t="shared" si="728"/>
        <v>4.26746973726566E-4</v>
      </c>
      <c r="EY251" s="528">
        <f t="shared" si="729"/>
        <v>9.055916626171248</v>
      </c>
      <c r="EZ251" s="528"/>
      <c r="FA251" s="625">
        <f t="shared" si="730"/>
        <v>1.1542553191489362</v>
      </c>
      <c r="FB251" s="460">
        <f t="shared" si="731"/>
        <v>10364.499401513769</v>
      </c>
      <c r="FC251" s="173">
        <f t="shared" si="732"/>
        <v>14.545458655781276</v>
      </c>
      <c r="FD251" s="5">
        <f t="shared" si="733"/>
        <v>27.125</v>
      </c>
      <c r="FE251" s="173">
        <f t="shared" si="734"/>
        <v>0.65094075935343065</v>
      </c>
      <c r="FF251" s="5">
        <f t="shared" si="735"/>
        <v>65.094075935343071</v>
      </c>
      <c r="FG251">
        <f t="shared" si="736"/>
        <v>35</v>
      </c>
      <c r="FI251" s="562">
        <f t="shared" si="686"/>
        <v>-50</v>
      </c>
    </row>
    <row r="252" spans="5:165">
      <c r="E252" s="170">
        <v>36</v>
      </c>
      <c r="F252" s="217">
        <f t="shared" si="770"/>
        <v>0.89999999999999991</v>
      </c>
      <c r="G252" s="217">
        <f t="shared" si="740"/>
        <v>0.09</v>
      </c>
      <c r="H252" s="217">
        <f t="shared" si="741"/>
        <v>25.199999999999996</v>
      </c>
      <c r="I252" s="217">
        <f t="shared" si="742"/>
        <v>2.6999999999999997</v>
      </c>
      <c r="J252" s="541">
        <f t="shared" si="743"/>
        <v>39.904488966548271</v>
      </c>
      <c r="K252" s="443">
        <f t="shared" si="744"/>
        <v>28.738746310737213</v>
      </c>
      <c r="L252" s="172">
        <f t="shared" si="745"/>
        <v>68.643235277285484</v>
      </c>
      <c r="M252" s="443"/>
      <c r="N252" s="217">
        <f t="shared" si="746"/>
        <v>0.41866829549403628</v>
      </c>
      <c r="O252" s="172">
        <f t="shared" si="747"/>
        <v>125.74968886806174</v>
      </c>
      <c r="P252" s="172">
        <f t="shared" si="748"/>
        <v>14.916736051951199</v>
      </c>
      <c r="Q252" s="217">
        <f t="shared" si="624"/>
        <v>4.4910603167164904</v>
      </c>
      <c r="R252" s="217">
        <f t="shared" si="749"/>
        <v>4.1916562956020575</v>
      </c>
      <c r="S252" s="217">
        <f t="shared" si="750"/>
        <v>28</v>
      </c>
      <c r="T252" s="217">
        <f t="shared" si="751"/>
        <v>3.3399685023528738</v>
      </c>
      <c r="U252" s="217">
        <f t="shared" si="628"/>
        <v>0.39338561569396208</v>
      </c>
      <c r="V252" s="217">
        <f t="shared" si="629"/>
        <v>0.54622605284606873</v>
      </c>
      <c r="W252" s="197">
        <f t="shared" si="630"/>
        <v>350</v>
      </c>
      <c r="X252" s="443">
        <f t="shared" si="688"/>
        <v>350</v>
      </c>
      <c r="Z252" s="217">
        <f t="shared" si="631"/>
        <v>10.156075609839114</v>
      </c>
      <c r="AA252" s="173">
        <f t="shared" si="632"/>
        <v>1.6609477271598967</v>
      </c>
      <c r="AB252" s="173">
        <f t="shared" si="752"/>
        <v>2.6663445946783564</v>
      </c>
      <c r="AC252" s="173"/>
      <c r="AD252" s="173">
        <f t="shared" si="634"/>
        <v>0.54514092219859189</v>
      </c>
      <c r="AE252" s="545">
        <f t="shared" si="753"/>
        <v>990.56955368923991</v>
      </c>
      <c r="AF252" s="528">
        <f t="shared" si="754"/>
        <v>0.31799887128251197</v>
      </c>
      <c r="AH252" s="173">
        <f t="shared" si="755"/>
        <v>5.8241714126884085</v>
      </c>
      <c r="AI252" s="173">
        <f t="shared" si="756"/>
        <v>5.8241714126884085</v>
      </c>
      <c r="AJ252" s="173">
        <f t="shared" si="757"/>
        <v>3.0450652439667221</v>
      </c>
      <c r="AL252" s="545">
        <f t="shared" si="758"/>
        <v>899.99999999999989</v>
      </c>
      <c r="AM252" s="460">
        <f t="shared" si="759"/>
        <v>350</v>
      </c>
      <c r="AO252">
        <f t="shared" si="642"/>
        <v>899.99999999999989</v>
      </c>
      <c r="AP252">
        <f t="shared" si="643"/>
        <v>350</v>
      </c>
      <c r="AR252" s="5">
        <f t="shared" si="614"/>
        <v>2.8571428571428572</v>
      </c>
      <c r="AS252" s="5">
        <f t="shared" si="737"/>
        <v>0.68597810292928885</v>
      </c>
      <c r="AT252" s="5">
        <f t="shared" si="738"/>
        <v>2.1711647542135681</v>
      </c>
      <c r="AU252" s="173">
        <f t="shared" si="739"/>
        <v>0.2400923360252511</v>
      </c>
      <c r="BA252" s="173">
        <f t="shared" si="689"/>
        <v>1.6476413002063572</v>
      </c>
      <c r="BB252" s="173">
        <f t="shared" si="690"/>
        <v>2.9312572434560002</v>
      </c>
      <c r="BC252" s="173">
        <f t="shared" si="691"/>
        <v>0.29552839421728522</v>
      </c>
      <c r="BD252" s="173"/>
      <c r="BE252" s="528">
        <f t="shared" si="692"/>
        <v>3.2576662249748346E-2</v>
      </c>
      <c r="BF252" s="528">
        <f t="shared" si="760"/>
        <v>2.5536584242818234</v>
      </c>
      <c r="BG252" s="528">
        <f t="shared" si="693"/>
        <v>4.0250000000000001E-2</v>
      </c>
      <c r="BH252" s="528">
        <f t="shared" si="694"/>
        <v>0.81221268504123634</v>
      </c>
      <c r="BI252">
        <f t="shared" si="695"/>
        <v>1.7957020034946723E-2</v>
      </c>
      <c r="BJ252" s="460">
        <f t="shared" si="696"/>
        <v>58.207020034946723</v>
      </c>
      <c r="BK252">
        <f t="shared" si="761"/>
        <v>3.4338219906900735</v>
      </c>
      <c r="BL252" s="460">
        <f t="shared" si="697"/>
        <v>3456.6547916077548</v>
      </c>
      <c r="BM252" s="173">
        <f t="shared" si="762"/>
        <v>0.60353999999999985</v>
      </c>
      <c r="BN252" s="173">
        <f t="shared" si="763"/>
        <v>4.3109999999999996E-2</v>
      </c>
      <c r="BQ252" s="460">
        <f t="shared" si="698"/>
        <v>646.64999999999986</v>
      </c>
      <c r="BR252" s="528">
        <f t="shared" si="699"/>
        <v>3.8006105958039736E-2</v>
      </c>
      <c r="BS252" s="528">
        <f t="shared" si="700"/>
        <v>0.12029176638238578</v>
      </c>
      <c r="BT252" s="528">
        <f t="shared" si="701"/>
        <v>4.3668515894323571E-4</v>
      </c>
      <c r="BU252" s="528">
        <f t="shared" si="702"/>
        <v>9.3804891622574527</v>
      </c>
      <c r="BV252" s="528"/>
      <c r="BW252" s="625">
        <f t="shared" si="703"/>
        <v>1.1872340425531913</v>
      </c>
      <c r="BX252" s="460">
        <f t="shared" si="704"/>
        <v>10726.457762310012</v>
      </c>
      <c r="BY252" s="173">
        <f t="shared" si="705"/>
        <v>14.829762553917769</v>
      </c>
      <c r="BZ252" s="5">
        <f t="shared" si="706"/>
        <v>27.899999999999995</v>
      </c>
      <c r="CA252" s="173">
        <f t="shared" si="707"/>
        <v>0.65294067489363861</v>
      </c>
      <c r="CB252" s="5">
        <f t="shared" si="708"/>
        <v>65.294067489363854</v>
      </c>
      <c r="CC252">
        <f t="shared" si="709"/>
        <v>36</v>
      </c>
      <c r="CE252" s="562">
        <f t="shared" si="764"/>
        <v>-50</v>
      </c>
      <c r="CG252" s="173">
        <f t="shared" si="765"/>
        <v>0.32519225083018194</v>
      </c>
      <c r="CH252" s="173">
        <f t="shared" si="766"/>
        <v>0.10557875074957591</v>
      </c>
      <c r="CI252" s="170">
        <v>36</v>
      </c>
      <c r="CJ252" s="217">
        <f t="shared" si="710"/>
        <v>0.89999999999999991</v>
      </c>
      <c r="CK252" s="217">
        <f t="shared" si="651"/>
        <v>0.09</v>
      </c>
      <c r="CL252" s="217">
        <f t="shared" si="652"/>
        <v>25.199999999999996</v>
      </c>
      <c r="CM252" s="217">
        <f t="shared" si="653"/>
        <v>2.6999999999999997</v>
      </c>
      <c r="CN252" s="541">
        <f t="shared" si="654"/>
        <v>40</v>
      </c>
      <c r="CO252" s="443">
        <f t="shared" si="767"/>
        <v>28.7</v>
      </c>
      <c r="CP252" s="443">
        <f t="shared" si="768"/>
        <v>68.7</v>
      </c>
      <c r="CQ252" s="443"/>
      <c r="CR252" s="217">
        <f t="shared" si="657"/>
        <v>0.41520467836257302</v>
      </c>
      <c r="CS252" s="172">
        <f t="shared" si="658"/>
        <v>125.00786015217253</v>
      </c>
      <c r="CT252" s="172">
        <f t="shared" si="659"/>
        <v>14.828738512949037</v>
      </c>
      <c r="CU252" s="217">
        <f t="shared" si="660"/>
        <v>4.4645664340061613</v>
      </c>
      <c r="CV252" s="217">
        <f t="shared" si="661"/>
        <v>4.1669286717390843</v>
      </c>
      <c r="CW252" s="217">
        <f t="shared" si="662"/>
        <v>28</v>
      </c>
      <c r="CX252" s="217">
        <f t="shared" si="663"/>
        <v>3.3597887323943665</v>
      </c>
      <c r="CY252" s="217">
        <f t="shared" si="664"/>
        <v>0.39477517605633805</v>
      </c>
      <c r="CZ252" s="217">
        <f t="shared" si="665"/>
        <v>0.55020930460813666</v>
      </c>
      <c r="DA252" s="197">
        <f t="shared" si="666"/>
        <v>350</v>
      </c>
      <c r="DB252" s="443">
        <f t="shared" si="667"/>
        <v>350</v>
      </c>
      <c r="DD252" s="217">
        <f t="shared" si="668"/>
        <v>10.158258230357086</v>
      </c>
      <c r="DE252" s="173">
        <f t="shared" si="669"/>
        <v>1.6635475150758992</v>
      </c>
      <c r="DF252" s="173">
        <f t="shared" si="670"/>
        <v>2.6710919890125213</v>
      </c>
      <c r="DG252" s="173"/>
      <c r="DH252" s="173">
        <f t="shared" si="671"/>
        <v>0.54587688734030204</v>
      </c>
      <c r="DI252" s="545">
        <f t="shared" si="672"/>
        <v>989.23404255319144</v>
      </c>
      <c r="DJ252" s="528">
        <f t="shared" si="673"/>
        <v>0.31842818428184283</v>
      </c>
      <c r="DL252" s="173">
        <f t="shared" si="674"/>
        <v>5.8241714126884085</v>
      </c>
      <c r="DM252" s="173">
        <f t="shared" si="675"/>
        <v>5.8241714126884085</v>
      </c>
      <c r="DN252" s="173">
        <f t="shared" si="676"/>
        <v>3.0450652439667221</v>
      </c>
      <c r="DP252" s="545">
        <f t="shared" si="677"/>
        <v>899.99999999999989</v>
      </c>
      <c r="DQ252" s="460">
        <f t="shared" si="678"/>
        <v>350</v>
      </c>
      <c r="DS252">
        <f t="shared" si="679"/>
        <v>899.99999999999989</v>
      </c>
      <c r="DT252">
        <f t="shared" si="680"/>
        <v>350</v>
      </c>
      <c r="DV252" s="5">
        <f t="shared" si="681"/>
        <v>2.8571428571428572</v>
      </c>
      <c r="DW252" s="5">
        <f t="shared" si="682"/>
        <v>0.68434014099088802</v>
      </c>
      <c r="DX252" s="5">
        <f t="shared" si="683"/>
        <v>2.1728027161519692</v>
      </c>
      <c r="DY252" s="173">
        <f t="shared" si="684"/>
        <v>0.23951904934681081</v>
      </c>
      <c r="EA252" s="5">
        <f t="shared" si="711"/>
        <v>2.1996647388992825</v>
      </c>
      <c r="EB252" s="5">
        <f t="shared" si="712"/>
        <v>0.2053020422972664</v>
      </c>
      <c r="EC252" s="5">
        <f t="shared" si="713"/>
        <v>0.9777612222683858</v>
      </c>
      <c r="ED252" s="5"/>
      <c r="EE252" s="173">
        <f t="shared" si="714"/>
        <v>1.6456730255126957</v>
      </c>
      <c r="EF252" s="173">
        <f t="shared" si="715"/>
        <v>2.9323627290222563</v>
      </c>
      <c r="EG252" s="173">
        <f t="shared" si="716"/>
        <v>0.29563984890962092</v>
      </c>
      <c r="EH252" s="173"/>
      <c r="EI252" s="528">
        <f t="shared" si="717"/>
        <v>3.2498876482801316E-2</v>
      </c>
      <c r="EJ252" s="528">
        <f t="shared" si="718"/>
        <v>2.6608018307437629</v>
      </c>
      <c r="EK252" s="528">
        <f t="shared" si="719"/>
        <v>4.0250000000000001E-2</v>
      </c>
      <c r="EL252" s="528">
        <f t="shared" si="720"/>
        <v>0.81355656375000007</v>
      </c>
      <c r="EM252">
        <f t="shared" si="721"/>
        <v>1.7999999999999999E-2</v>
      </c>
      <c r="EN252" s="460">
        <f t="shared" si="722"/>
        <v>58.249999999999993</v>
      </c>
      <c r="EP252" s="460">
        <f t="shared" si="723"/>
        <v>3565.107270976564</v>
      </c>
      <c r="EQ252" s="173">
        <f t="shared" si="724"/>
        <v>0.62999999999999989</v>
      </c>
      <c r="ER252" s="173">
        <f t="shared" si="769"/>
        <v>4.3109999999999996E-2</v>
      </c>
      <c r="ES252" s="528"/>
      <c r="EU252" s="460">
        <f t="shared" si="725"/>
        <v>673.1099999999999</v>
      </c>
      <c r="EV252" s="528">
        <f t="shared" si="726"/>
        <v>3.7915355896601534E-2</v>
      </c>
      <c r="EW252" s="528">
        <f t="shared" si="727"/>
        <v>0.12038251644382397</v>
      </c>
      <c r="EX252" s="528">
        <f t="shared" si="728"/>
        <v>4.3701460131651741E-4</v>
      </c>
      <c r="EY252" s="528">
        <f t="shared" si="729"/>
        <v>9.3804891622574527</v>
      </c>
      <c r="EZ252" s="528"/>
      <c r="FA252" s="625">
        <f t="shared" si="730"/>
        <v>1.1872340425531913</v>
      </c>
      <c r="FB252" s="460">
        <f t="shared" si="731"/>
        <v>10726.458091752385</v>
      </c>
      <c r="FC252" s="173">
        <f t="shared" si="732"/>
        <v>14.964675362728951</v>
      </c>
      <c r="FD252" s="5">
        <f t="shared" si="733"/>
        <v>27.899999999999995</v>
      </c>
      <c r="FE252" s="173">
        <f t="shared" si="734"/>
        <v>0.65088560134667872</v>
      </c>
      <c r="FF252" s="5">
        <f t="shared" si="735"/>
        <v>65.088560134667873</v>
      </c>
      <c r="FG252">
        <f t="shared" si="736"/>
        <v>36</v>
      </c>
      <c r="FI252" s="562">
        <f t="shared" si="686"/>
        <v>-50</v>
      </c>
    </row>
    <row r="253" spans="5:165">
      <c r="E253" s="170">
        <v>37</v>
      </c>
      <c r="F253" s="217">
        <f t="shared" si="770"/>
        <v>0.92500000000000004</v>
      </c>
      <c r="G253" s="217">
        <f t="shared" si="740"/>
        <v>9.2499999999999999E-2</v>
      </c>
      <c r="H253" s="217">
        <f t="shared" si="741"/>
        <v>25.900000000000002</v>
      </c>
      <c r="I253" s="217">
        <f t="shared" si="742"/>
        <v>2.7749999999999999</v>
      </c>
      <c r="J253" s="541">
        <f t="shared" si="743"/>
        <v>39.903171510748301</v>
      </c>
      <c r="K253" s="443">
        <f t="shared" si="744"/>
        <v>28.739280767856602</v>
      </c>
      <c r="L253" s="172">
        <f t="shared" si="745"/>
        <v>68.642452278604907</v>
      </c>
      <c r="M253" s="443"/>
      <c r="N253" s="217">
        <f t="shared" si="746"/>
        <v>0.41868085730984755</v>
      </c>
      <c r="O253" s="172">
        <f t="shared" si="747"/>
        <v>125.74931011023</v>
      </c>
      <c r="P253" s="172">
        <f t="shared" si="748"/>
        <v>14.916691122769629</v>
      </c>
      <c r="Q253" s="217">
        <f t="shared" si="624"/>
        <v>4.4910467896510715</v>
      </c>
      <c r="R253" s="217">
        <f t="shared" si="749"/>
        <v>4.1916436703409996</v>
      </c>
      <c r="S253" s="217">
        <f t="shared" si="750"/>
        <v>28</v>
      </c>
      <c r="T253" s="217">
        <f t="shared" si="751"/>
        <v>3.4327557446500028</v>
      </c>
      <c r="U253" s="217">
        <f t="shared" si="628"/>
        <v>0.40432756066793279</v>
      </c>
      <c r="V253" s="217">
        <f t="shared" si="629"/>
        <v>0.56139024946998684</v>
      </c>
      <c r="W253" s="197">
        <f t="shared" si="630"/>
        <v>350</v>
      </c>
      <c r="X253" s="443">
        <f t="shared" si="688"/>
        <v>350</v>
      </c>
      <c r="Z253" s="217">
        <f t="shared" si="631"/>
        <v>10.156045019758045</v>
      </c>
      <c r="AA253" s="173">
        <f t="shared" si="632"/>
        <v>1.6609118362575783</v>
      </c>
      <c r="AB253" s="173">
        <f t="shared" si="752"/>
        <v>2.6662789476166688</v>
      </c>
      <c r="AC253" s="173"/>
      <c r="AD253" s="173">
        <f t="shared" si="634"/>
        <v>0.54513078435104834</v>
      </c>
      <c r="AE253" s="545">
        <f t="shared" si="753"/>
        <v>1018.1043080527924</v>
      </c>
      <c r="AF253" s="528">
        <f t="shared" si="754"/>
        <v>0.31799295753811152</v>
      </c>
      <c r="AH253" s="173">
        <f t="shared" si="755"/>
        <v>5.9045086065225174</v>
      </c>
      <c r="AI253" s="173">
        <f t="shared" si="756"/>
        <v>5.9045086065225174</v>
      </c>
      <c r="AJ253" s="173">
        <f t="shared" si="757"/>
        <v>3.1045742764364324</v>
      </c>
      <c r="AL253" s="545">
        <f t="shared" si="758"/>
        <v>925</v>
      </c>
      <c r="AM253" s="460">
        <f t="shared" si="759"/>
        <v>350</v>
      </c>
      <c r="AO253">
        <f t="shared" si="642"/>
        <v>925</v>
      </c>
      <c r="AP253">
        <f t="shared" si="643"/>
        <v>350</v>
      </c>
      <c r="AR253" s="5">
        <f t="shared" si="614"/>
        <v>2.8571428571428572</v>
      </c>
      <c r="AS253" s="5">
        <f t="shared" si="737"/>
        <v>0.69546327772920968</v>
      </c>
      <c r="AT253" s="5">
        <f t="shared" si="738"/>
        <v>2.1616795794136476</v>
      </c>
      <c r="AU253" s="173">
        <f t="shared" si="739"/>
        <v>0.24341214720522339</v>
      </c>
      <c r="BA253" s="173">
        <f t="shared" si="689"/>
        <v>1.6818770959256515</v>
      </c>
      <c r="BB253" s="173">
        <f t="shared" si="690"/>
        <v>2.9651919660791255</v>
      </c>
      <c r="BC253" s="173">
        <f t="shared" si="691"/>
        <v>0.29894968182601023</v>
      </c>
      <c r="BD253" s="173"/>
      <c r="BE253" s="528">
        <f t="shared" si="692"/>
        <v>3.3944526789591638E-2</v>
      </c>
      <c r="BF253" s="528">
        <f t="shared" si="760"/>
        <v>2.5888534322335892</v>
      </c>
      <c r="BG253" s="528">
        <f t="shared" si="693"/>
        <v>4.0250000000000001E-2</v>
      </c>
      <c r="BH253" s="528">
        <f t="shared" si="694"/>
        <v>0.81219415567469266</v>
      </c>
      <c r="BI253">
        <f t="shared" si="695"/>
        <v>1.7956427179836736E-2</v>
      </c>
      <c r="BJ253" s="460">
        <f t="shared" si="696"/>
        <v>58.206427179836737</v>
      </c>
      <c r="BK253">
        <f t="shared" si="761"/>
        <v>3.472160876767918</v>
      </c>
      <c r="BL253" s="460">
        <f t="shared" si="697"/>
        <v>3493.1985418777099</v>
      </c>
      <c r="BM253" s="173">
        <f t="shared" si="762"/>
        <v>0.620305</v>
      </c>
      <c r="BN253" s="173">
        <f t="shared" si="763"/>
        <v>4.43075E-2</v>
      </c>
      <c r="BQ253" s="460">
        <f t="shared" si="698"/>
        <v>664.61250000000007</v>
      </c>
      <c r="BR253" s="528">
        <f t="shared" si="699"/>
        <v>3.9601947921190241E-2</v>
      </c>
      <c r="BS253" s="528">
        <f t="shared" si="700"/>
        <v>0.12309308753980265</v>
      </c>
      <c r="BT253" s="528">
        <f t="shared" si="701"/>
        <v>4.4685456131936377E-4</v>
      </c>
      <c r="BU253" s="528">
        <f t="shared" si="702"/>
        <v>9.7073237742098115</v>
      </c>
      <c r="BV253" s="528"/>
      <c r="BW253" s="625">
        <f t="shared" si="703"/>
        <v>1.2202127659574469</v>
      </c>
      <c r="BX253" s="460">
        <f t="shared" si="704"/>
        <v>11090.678430189571</v>
      </c>
      <c r="BY253" s="173">
        <f t="shared" si="705"/>
        <v>15.248489472067282</v>
      </c>
      <c r="BZ253" s="5">
        <f t="shared" si="706"/>
        <v>28.675000000000001</v>
      </c>
      <c r="CA253" s="173">
        <f t="shared" si="707"/>
        <v>0.65283975259378224</v>
      </c>
      <c r="CB253" s="5">
        <f t="shared" si="708"/>
        <v>65.283975259378224</v>
      </c>
      <c r="CC253">
        <f t="shared" si="709"/>
        <v>37</v>
      </c>
      <c r="CE253" s="562">
        <f t="shared" si="764"/>
        <v>-50</v>
      </c>
      <c r="CG253" s="173">
        <f t="shared" si="765"/>
        <v>0.32967787308219521</v>
      </c>
      <c r="CH253" s="173">
        <f t="shared" si="766"/>
        <v>0.10703507817586926</v>
      </c>
      <c r="CI253" s="170">
        <v>37</v>
      </c>
      <c r="CJ253" s="217">
        <f t="shared" si="710"/>
        <v>0.92500000000000004</v>
      </c>
      <c r="CK253" s="217">
        <f t="shared" si="651"/>
        <v>9.2499999999999999E-2</v>
      </c>
      <c r="CL253" s="217">
        <f t="shared" si="652"/>
        <v>25.900000000000002</v>
      </c>
      <c r="CM253" s="217">
        <f t="shared" si="653"/>
        <v>2.7749999999999999</v>
      </c>
      <c r="CN253" s="541">
        <f t="shared" si="654"/>
        <v>40</v>
      </c>
      <c r="CO253" s="443">
        <f t="shared" si="767"/>
        <v>28.7</v>
      </c>
      <c r="CP253" s="443">
        <f t="shared" si="768"/>
        <v>68.7</v>
      </c>
      <c r="CQ253" s="443"/>
      <c r="CR253" s="217">
        <f t="shared" si="657"/>
        <v>0.41520467836257302</v>
      </c>
      <c r="CS253" s="172">
        <f t="shared" si="658"/>
        <v>125.00786015217253</v>
      </c>
      <c r="CT253" s="172">
        <f t="shared" si="659"/>
        <v>14.828738512949037</v>
      </c>
      <c r="CU253" s="217">
        <f t="shared" si="660"/>
        <v>4.4645664340061613</v>
      </c>
      <c r="CV253" s="217">
        <f t="shared" si="661"/>
        <v>4.1669286717390843</v>
      </c>
      <c r="CW253" s="217">
        <f t="shared" si="662"/>
        <v>28</v>
      </c>
      <c r="CX253" s="217">
        <f t="shared" si="663"/>
        <v>3.4531161971830997</v>
      </c>
      <c r="CY253" s="217">
        <f t="shared" si="664"/>
        <v>0.40574115316901416</v>
      </c>
      <c r="CZ253" s="217">
        <f t="shared" si="665"/>
        <v>0.5654928964028072</v>
      </c>
      <c r="DA253" s="197">
        <f t="shared" si="666"/>
        <v>350</v>
      </c>
      <c r="DB253" s="443">
        <f t="shared" si="667"/>
        <v>350</v>
      </c>
      <c r="DD253" s="217">
        <f t="shared" si="668"/>
        <v>10.158258230357086</v>
      </c>
      <c r="DE253" s="173">
        <f t="shared" si="669"/>
        <v>1.6635475150758992</v>
      </c>
      <c r="DF253" s="173">
        <f t="shared" si="670"/>
        <v>2.6710919890125213</v>
      </c>
      <c r="DG253" s="173"/>
      <c r="DH253" s="173">
        <f t="shared" si="671"/>
        <v>0.54587688734030204</v>
      </c>
      <c r="DI253" s="545">
        <f t="shared" si="672"/>
        <v>1016.7127659574467</v>
      </c>
      <c r="DJ253" s="528">
        <f t="shared" si="673"/>
        <v>0.31842818428184283</v>
      </c>
      <c r="DL253" s="173">
        <f t="shared" si="674"/>
        <v>5.9045086065225174</v>
      </c>
      <c r="DM253" s="173">
        <f t="shared" si="675"/>
        <v>5.9045086065225174</v>
      </c>
      <c r="DN253" s="173">
        <f t="shared" si="676"/>
        <v>3.1045742764364324</v>
      </c>
      <c r="DP253" s="545">
        <f t="shared" si="677"/>
        <v>925</v>
      </c>
      <c r="DQ253" s="460">
        <f t="shared" si="678"/>
        <v>350</v>
      </c>
      <c r="DS253">
        <f t="shared" si="679"/>
        <v>925</v>
      </c>
      <c r="DT253">
        <f t="shared" si="680"/>
        <v>350</v>
      </c>
      <c r="DV253" s="5">
        <f t="shared" si="681"/>
        <v>2.8571428571428572</v>
      </c>
      <c r="DW253" s="5">
        <f t="shared" si="682"/>
        <v>0.69377976126639573</v>
      </c>
      <c r="DX253" s="5">
        <f t="shared" si="683"/>
        <v>2.1633630958764614</v>
      </c>
      <c r="DY253" s="173">
        <f t="shared" si="684"/>
        <v>0.2428229164432385</v>
      </c>
      <c r="EA253" s="5">
        <f t="shared" si="711"/>
        <v>2.2919509970407721</v>
      </c>
      <c r="EB253" s="5">
        <f t="shared" si="712"/>
        <v>0.21391542639047204</v>
      </c>
      <c r="EC253" s="5">
        <f t="shared" si="713"/>
        <v>1.0005554318428633</v>
      </c>
      <c r="ED253" s="5"/>
      <c r="EE253" s="173">
        <f t="shared" si="714"/>
        <v>1.6798401922605275</v>
      </c>
      <c r="EF253" s="173">
        <f t="shared" si="715"/>
        <v>2.9663463873872868</v>
      </c>
      <c r="EG253" s="173">
        <f t="shared" si="716"/>
        <v>0.29906607020380027</v>
      </c>
      <c r="EH253" s="173"/>
      <c r="EI253" s="528">
        <f t="shared" si="717"/>
        <v>3.3862356858406634E-2</v>
      </c>
      <c r="EJ253" s="528">
        <f t="shared" si="718"/>
        <v>2.6975042794328448</v>
      </c>
      <c r="EK253" s="528">
        <f t="shared" si="719"/>
        <v>4.0250000000000001E-2</v>
      </c>
      <c r="EL253" s="528">
        <f t="shared" si="720"/>
        <v>0.81355656375000007</v>
      </c>
      <c r="EM253">
        <f t="shared" si="721"/>
        <v>1.7999999999999999E-2</v>
      </c>
      <c r="EN253" s="460">
        <f t="shared" si="722"/>
        <v>58.249999999999993</v>
      </c>
      <c r="EP253" s="460">
        <f t="shared" si="723"/>
        <v>3603.1732000412512</v>
      </c>
      <c r="EQ253" s="173">
        <f t="shared" si="724"/>
        <v>0.64749999999999996</v>
      </c>
      <c r="ER253" s="173">
        <f t="shared" si="769"/>
        <v>4.43075E-2</v>
      </c>
      <c r="ES253" s="528"/>
      <c r="EU253" s="460">
        <f t="shared" si="725"/>
        <v>691.80749999999989</v>
      </c>
      <c r="EV253" s="528">
        <f t="shared" si="726"/>
        <v>3.9506083001474401E-2</v>
      </c>
      <c r="EW253" s="528">
        <f t="shared" si="727"/>
        <v>0.12318895245951851</v>
      </c>
      <c r="EX253" s="528">
        <f t="shared" si="728"/>
        <v>4.4720257173572198E-4</v>
      </c>
      <c r="EY253" s="528">
        <f t="shared" si="729"/>
        <v>9.7073237742098115</v>
      </c>
      <c r="EZ253" s="528"/>
      <c r="FA253" s="625">
        <f t="shared" si="730"/>
        <v>1.2202127659574469</v>
      </c>
      <c r="FB253" s="460">
        <f t="shared" si="731"/>
        <v>11090.678778199986</v>
      </c>
      <c r="FC253" s="173">
        <f t="shared" si="732"/>
        <v>15.385659478241239</v>
      </c>
      <c r="FD253" s="5">
        <f t="shared" si="733"/>
        <v>28.675000000000001</v>
      </c>
      <c r="FE253" s="173">
        <f t="shared" si="734"/>
        <v>0.65080732652584916</v>
      </c>
      <c r="FF253" s="5">
        <f t="shared" si="735"/>
        <v>65.080732652584913</v>
      </c>
      <c r="FG253">
        <f t="shared" si="736"/>
        <v>37</v>
      </c>
      <c r="FI253" s="562">
        <f t="shared" si="686"/>
        <v>-50</v>
      </c>
    </row>
    <row r="254" spans="5:165">
      <c r="E254" s="170">
        <v>38</v>
      </c>
      <c r="F254" s="217">
        <f t="shared" si="770"/>
        <v>0.95</v>
      </c>
      <c r="G254" s="217">
        <f t="shared" si="740"/>
        <v>9.5000000000000001E-2</v>
      </c>
      <c r="H254" s="217">
        <f t="shared" si="741"/>
        <v>26.599999999999998</v>
      </c>
      <c r="I254" s="217">
        <f t="shared" si="742"/>
        <v>2.85</v>
      </c>
      <c r="J254" s="541">
        <f t="shared" si="743"/>
        <v>39.901871741325358</v>
      </c>
      <c r="K254" s="443">
        <f t="shared" si="744"/>
        <v>28.739808050078643</v>
      </c>
      <c r="L254" s="172">
        <f t="shared" si="745"/>
        <v>68.641679791404002</v>
      </c>
      <c r="M254" s="443"/>
      <c r="N254" s="217">
        <f t="shared" si="746"/>
        <v>0.4186932507685765</v>
      </c>
      <c r="O254" s="172">
        <f t="shared" si="747"/>
        <v>125.74893627729485</v>
      </c>
      <c r="P254" s="172">
        <f t="shared" si="748"/>
        <v>14.916646777791351</v>
      </c>
      <c r="Q254" s="217">
        <f t="shared" si="624"/>
        <v>4.4910334384748163</v>
      </c>
      <c r="R254" s="217">
        <f t="shared" si="749"/>
        <v>4.1916312092431616</v>
      </c>
      <c r="S254" s="217">
        <f t="shared" si="750"/>
        <v>28</v>
      </c>
      <c r="T254" s="217">
        <f t="shared" si="751"/>
        <v>3.5255434078242884</v>
      </c>
      <c r="U254" s="217">
        <f t="shared" si="628"/>
        <v>0.41527009369871165</v>
      </c>
      <c r="V254" s="217">
        <f t="shared" si="629"/>
        <v>0.57655409486038001</v>
      </c>
      <c r="W254" s="197">
        <f t="shared" si="630"/>
        <v>350</v>
      </c>
      <c r="X254" s="443">
        <f t="shared" si="688"/>
        <v>350</v>
      </c>
      <c r="Z254" s="217">
        <f t="shared" si="631"/>
        <v>10.15601482743241</v>
      </c>
      <c r="AA254" s="173">
        <f t="shared" si="632"/>
        <v>1.6608764263754958</v>
      </c>
      <c r="AB254" s="173">
        <f t="shared" si="752"/>
        <v>2.6662141775074901</v>
      </c>
      <c r="AC254" s="173"/>
      <c r="AD254" s="173">
        <f t="shared" si="634"/>
        <v>0.54512078297000999</v>
      </c>
      <c r="AE254" s="545">
        <f t="shared" si="753"/>
        <v>1045.6398248007335</v>
      </c>
      <c r="AF254" s="528">
        <f t="shared" si="754"/>
        <v>0.31798712339917257</v>
      </c>
      <c r="AH254" s="173">
        <f t="shared" si="755"/>
        <v>5.9837673020113389</v>
      </c>
      <c r="AI254" s="173">
        <f t="shared" si="756"/>
        <v>5.9837673020113389</v>
      </c>
      <c r="AJ254" s="173">
        <f t="shared" si="757"/>
        <v>3.1632844212429667</v>
      </c>
      <c r="AL254" s="545">
        <f t="shared" si="758"/>
        <v>950</v>
      </c>
      <c r="AM254" s="460">
        <f t="shared" si="759"/>
        <v>350</v>
      </c>
      <c r="AO254">
        <f t="shared" si="642"/>
        <v>950</v>
      </c>
      <c r="AP254">
        <f t="shared" si="643"/>
        <v>350</v>
      </c>
      <c r="AR254" s="5">
        <f t="shared" si="614"/>
        <v>2.8571428571428572</v>
      </c>
      <c r="AS254" s="5">
        <f t="shared" si="737"/>
        <v>0.70482173121533742</v>
      </c>
      <c r="AT254" s="5">
        <f t="shared" si="738"/>
        <v>2.1523211259275197</v>
      </c>
      <c r="AU254" s="173">
        <f t="shared" si="739"/>
        <v>0.24668760592536809</v>
      </c>
      <c r="BA254" s="173">
        <f t="shared" si="689"/>
        <v>1.7158832468792293</v>
      </c>
      <c r="BB254" s="173">
        <f t="shared" si="690"/>
        <v>2.9984832373417083</v>
      </c>
      <c r="BC254" s="173">
        <f t="shared" si="691"/>
        <v>0.30230609687953292</v>
      </c>
      <c r="BD254" s="173"/>
      <c r="BE254" s="528">
        <f t="shared" si="692"/>
        <v>3.5331063803049671E-2</v>
      </c>
      <c r="BF254" s="528">
        <f t="shared" si="760"/>
        <v>2.6235751721933522</v>
      </c>
      <c r="BG254" s="528">
        <f t="shared" si="693"/>
        <v>4.0250000000000001E-2</v>
      </c>
      <c r="BH254" s="528">
        <f t="shared" si="694"/>
        <v>0.81217587526544976</v>
      </c>
      <c r="BI254">
        <f t="shared" si="695"/>
        <v>1.795584228359641E-2</v>
      </c>
      <c r="BJ254" s="460">
        <f t="shared" si="696"/>
        <v>58.205842283596411</v>
      </c>
      <c r="BK254">
        <f t="shared" si="761"/>
        <v>3.5100874922224135</v>
      </c>
      <c r="BL254" s="460">
        <f t="shared" si="697"/>
        <v>3529.2879535454481</v>
      </c>
      <c r="BM254" s="173">
        <f t="shared" si="762"/>
        <v>0.63706999999999991</v>
      </c>
      <c r="BN254" s="173">
        <f t="shared" si="763"/>
        <v>4.5504999999999997E-2</v>
      </c>
      <c r="BQ254" s="460">
        <f t="shared" si="698"/>
        <v>682.57499999999993</v>
      </c>
      <c r="BR254" s="528">
        <f t="shared" si="699"/>
        <v>4.1219574436891289E-2</v>
      </c>
      <c r="BS254" s="528">
        <f t="shared" si="700"/>
        <v>0.12587262414466896</v>
      </c>
      <c r="BT254" s="528">
        <f t="shared" si="701"/>
        <v>4.5694488105268771E-4</v>
      </c>
      <c r="BU254" s="528">
        <f t="shared" si="702"/>
        <v>10.036374442482177</v>
      </c>
      <c r="BV254" s="528"/>
      <c r="BW254" s="625">
        <f t="shared" si="703"/>
        <v>1.253191489361702</v>
      </c>
      <c r="BX254" s="460">
        <f t="shared" si="704"/>
        <v>11457.115075306494</v>
      </c>
      <c r="BY254" s="173">
        <f t="shared" si="705"/>
        <v>15.66897802885194</v>
      </c>
      <c r="BZ254" s="5">
        <f t="shared" si="706"/>
        <v>29.45</v>
      </c>
      <c r="CA254" s="173">
        <f t="shared" si="707"/>
        <v>0.65271868483297202</v>
      </c>
      <c r="CB254" s="5">
        <f t="shared" si="708"/>
        <v>65.271868483297197</v>
      </c>
      <c r="CC254">
        <f t="shared" si="709"/>
        <v>38</v>
      </c>
      <c r="CE254" s="562">
        <f t="shared" si="764"/>
        <v>-50</v>
      </c>
      <c r="CG254" s="173">
        <f t="shared" si="765"/>
        <v>0.33410327744576224</v>
      </c>
      <c r="CH254" s="173">
        <f t="shared" si="766"/>
        <v>0.10847185492277618</v>
      </c>
      <c r="CI254" s="170">
        <v>38</v>
      </c>
      <c r="CJ254" s="217">
        <f t="shared" si="710"/>
        <v>0.95</v>
      </c>
      <c r="CK254" s="217">
        <f t="shared" si="651"/>
        <v>9.5000000000000001E-2</v>
      </c>
      <c r="CL254" s="217">
        <f t="shared" si="652"/>
        <v>26.599999999999998</v>
      </c>
      <c r="CM254" s="217">
        <f t="shared" si="653"/>
        <v>2.85</v>
      </c>
      <c r="CN254" s="541">
        <f t="shared" si="654"/>
        <v>40</v>
      </c>
      <c r="CO254" s="443">
        <f t="shared" si="767"/>
        <v>28.7</v>
      </c>
      <c r="CP254" s="443">
        <f t="shared" si="768"/>
        <v>68.7</v>
      </c>
      <c r="CQ254" s="443"/>
      <c r="CR254" s="217">
        <f t="shared" si="657"/>
        <v>0.41520467836257302</v>
      </c>
      <c r="CS254" s="172">
        <f t="shared" si="658"/>
        <v>125.00786015217253</v>
      </c>
      <c r="CT254" s="172">
        <f t="shared" si="659"/>
        <v>14.828738512949037</v>
      </c>
      <c r="CU254" s="217">
        <f t="shared" si="660"/>
        <v>4.4645664340061613</v>
      </c>
      <c r="CV254" s="217">
        <f t="shared" si="661"/>
        <v>4.1669286717390843</v>
      </c>
      <c r="CW254" s="217">
        <f t="shared" si="662"/>
        <v>28</v>
      </c>
      <c r="CX254" s="217">
        <f t="shared" si="663"/>
        <v>3.5464436619718316</v>
      </c>
      <c r="CY254" s="217">
        <f t="shared" si="664"/>
        <v>0.41670713028169021</v>
      </c>
      <c r="CZ254" s="217">
        <f t="shared" si="665"/>
        <v>0.58077648819747762</v>
      </c>
      <c r="DA254" s="197">
        <f t="shared" si="666"/>
        <v>350</v>
      </c>
      <c r="DB254" s="443">
        <f t="shared" si="667"/>
        <v>350</v>
      </c>
      <c r="DD254" s="217">
        <f t="shared" si="668"/>
        <v>10.158258230357086</v>
      </c>
      <c r="DE254" s="173">
        <f t="shared" si="669"/>
        <v>1.6635475150758992</v>
      </c>
      <c r="DF254" s="173">
        <f t="shared" si="670"/>
        <v>2.6710919890125213</v>
      </c>
      <c r="DG254" s="173"/>
      <c r="DH254" s="173">
        <f t="shared" si="671"/>
        <v>0.54587688734030204</v>
      </c>
      <c r="DI254" s="545">
        <f t="shared" si="672"/>
        <v>1044.191489361702</v>
      </c>
      <c r="DJ254" s="528">
        <f t="shared" si="673"/>
        <v>0.31842818428184283</v>
      </c>
      <c r="DL254" s="173">
        <f t="shared" si="674"/>
        <v>5.9837673020113389</v>
      </c>
      <c r="DM254" s="173">
        <f t="shared" si="675"/>
        <v>5.9837673020113389</v>
      </c>
      <c r="DN254" s="173">
        <f t="shared" si="676"/>
        <v>3.1632844212429667</v>
      </c>
      <c r="DP254" s="545">
        <f t="shared" si="677"/>
        <v>950</v>
      </c>
      <c r="DQ254" s="460">
        <f t="shared" si="678"/>
        <v>350</v>
      </c>
      <c r="DS254">
        <f t="shared" si="679"/>
        <v>950</v>
      </c>
      <c r="DT254">
        <f t="shared" si="680"/>
        <v>350</v>
      </c>
      <c r="DV254" s="5">
        <f t="shared" si="681"/>
        <v>2.8571428571428572</v>
      </c>
      <c r="DW254" s="5">
        <f t="shared" si="682"/>
        <v>0.70309265798633236</v>
      </c>
      <c r="DX254" s="5">
        <f t="shared" si="683"/>
        <v>2.1540501991565248</v>
      </c>
      <c r="DY254" s="173">
        <f t="shared" si="684"/>
        <v>0.24608243029521631</v>
      </c>
      <c r="EA254" s="5">
        <f t="shared" si="711"/>
        <v>2.3854929467393418</v>
      </c>
      <c r="EB254" s="5">
        <f t="shared" si="712"/>
        <v>0.22264600836233861</v>
      </c>
      <c r="EC254" s="5">
        <f t="shared" si="713"/>
        <v>1.023173844599349</v>
      </c>
      <c r="ED254" s="5"/>
      <c r="EE254" s="173">
        <f t="shared" si="714"/>
        <v>1.7137772465338754</v>
      </c>
      <c r="EF254" s="173">
        <f t="shared" si="715"/>
        <v>2.9996874155156217</v>
      </c>
      <c r="EG254" s="173">
        <f t="shared" si="716"/>
        <v>0.30242750172821431</v>
      </c>
      <c r="EH254" s="173"/>
      <c r="EI254" s="528">
        <f t="shared" si="717"/>
        <v>3.5244389408846777E-2</v>
      </c>
      <c r="EJ254" s="528">
        <f t="shared" si="718"/>
        <v>2.7337140107603908</v>
      </c>
      <c r="EK254" s="528">
        <f t="shared" si="719"/>
        <v>4.0250000000000001E-2</v>
      </c>
      <c r="EL254" s="528">
        <f t="shared" si="720"/>
        <v>0.81355656375000007</v>
      </c>
      <c r="EM254">
        <f t="shared" si="721"/>
        <v>1.7999999999999999E-2</v>
      </c>
      <c r="EN254" s="460">
        <f t="shared" si="722"/>
        <v>58.249999999999993</v>
      </c>
      <c r="EP254" s="460">
        <f t="shared" si="723"/>
        <v>3640.7649639192377</v>
      </c>
      <c r="EQ254" s="173">
        <f t="shared" si="724"/>
        <v>0.66499999999999992</v>
      </c>
      <c r="ER254" s="173">
        <f t="shared" si="769"/>
        <v>4.5504999999999997E-2</v>
      </c>
      <c r="ES254" s="528"/>
      <c r="EU254" s="460">
        <f t="shared" si="725"/>
        <v>710.505</v>
      </c>
      <c r="EV254" s="528">
        <f t="shared" si="726"/>
        <v>4.111845431032124E-2</v>
      </c>
      <c r="EW254" s="528">
        <f t="shared" si="727"/>
        <v>0.12597374427123906</v>
      </c>
      <c r="EX254" s="528">
        <f t="shared" si="728"/>
        <v>4.5731196900784533E-4</v>
      </c>
      <c r="EY254" s="528">
        <f t="shared" si="729"/>
        <v>10.036374442482177</v>
      </c>
      <c r="EZ254" s="528"/>
      <c r="FA254" s="625">
        <f t="shared" si="730"/>
        <v>1.253191489361702</v>
      </c>
      <c r="FB254" s="460">
        <f t="shared" si="731"/>
        <v>11457.115442394448</v>
      </c>
      <c r="FC254" s="173">
        <f t="shared" si="732"/>
        <v>15.808385406313686</v>
      </c>
      <c r="FD254" s="5">
        <f t="shared" si="733"/>
        <v>29.45</v>
      </c>
      <c r="FE254" s="173">
        <f t="shared" si="734"/>
        <v>0.65070814470309479</v>
      </c>
      <c r="FF254" s="5">
        <f t="shared" si="735"/>
        <v>65.070814470309486</v>
      </c>
      <c r="FG254">
        <f t="shared" si="736"/>
        <v>38</v>
      </c>
      <c r="FI254" s="562">
        <f t="shared" si="686"/>
        <v>-50</v>
      </c>
    </row>
    <row r="255" spans="5:165">
      <c r="E255" s="170">
        <v>39</v>
      </c>
      <c r="F255" s="217">
        <f t="shared" si="770"/>
        <v>0.97500000000000009</v>
      </c>
      <c r="G255" s="217">
        <f t="shared" si="740"/>
        <v>9.7500000000000003E-2</v>
      </c>
      <c r="H255" s="217">
        <f t="shared" si="741"/>
        <v>27.300000000000004</v>
      </c>
      <c r="I255" s="217">
        <f t="shared" si="742"/>
        <v>2.9250000000000003</v>
      </c>
      <c r="J255" s="541">
        <f t="shared" si="743"/>
        <v>39.900588964544838</v>
      </c>
      <c r="K255" s="443">
        <f t="shared" si="744"/>
        <v>28.740328438833203</v>
      </c>
      <c r="L255" s="172">
        <f t="shared" si="745"/>
        <v>68.64091740337804</v>
      </c>
      <c r="M255" s="443"/>
      <c r="N255" s="217">
        <f t="shared" si="746"/>
        <v>0.41870548247390993</v>
      </c>
      <c r="O255" s="172">
        <f t="shared" si="747"/>
        <v>125.74856717607571</v>
      </c>
      <c r="P255" s="172">
        <f t="shared" si="748"/>
        <v>14.916602994100817</v>
      </c>
      <c r="Q255" s="217">
        <f t="shared" si="624"/>
        <v>4.4910202562884178</v>
      </c>
      <c r="R255" s="217">
        <f t="shared" si="749"/>
        <v>4.1916189058691904</v>
      </c>
      <c r="S255" s="217">
        <f t="shared" si="750"/>
        <v>28</v>
      </c>
      <c r="T255" s="217">
        <f t="shared" si="751"/>
        <v>3.6183314865361438</v>
      </c>
      <c r="U255" s="217">
        <f t="shared" si="628"/>
        <v>0.42621320707399418</v>
      </c>
      <c r="V255" s="217">
        <f t="shared" si="629"/>
        <v>0.59171759372595023</v>
      </c>
      <c r="W255" s="197">
        <f t="shared" si="630"/>
        <v>350</v>
      </c>
      <c r="X255" s="443">
        <f t="shared" si="688"/>
        <v>350</v>
      </c>
      <c r="Z255" s="217">
        <f t="shared" si="631"/>
        <v>10.155985017260129</v>
      </c>
      <c r="AA255" s="173">
        <f t="shared" si="632"/>
        <v>1.6608414786459715</v>
      </c>
      <c r="AB255" s="173">
        <f t="shared" si="752"/>
        <v>2.6661502499530951</v>
      </c>
      <c r="AC255" s="173"/>
      <c r="AD255" s="173">
        <f t="shared" si="634"/>
        <v>0.54511091270266288</v>
      </c>
      <c r="AE255" s="545">
        <f t="shared" si="753"/>
        <v>1073.1760938330272</v>
      </c>
      <c r="AF255" s="528">
        <f t="shared" si="754"/>
        <v>0.31798136574322006</v>
      </c>
      <c r="AH255" s="173">
        <f t="shared" si="755"/>
        <v>6.0619898024280481</v>
      </c>
      <c r="AI255" s="173">
        <f t="shared" si="756"/>
        <v>6.0619898024280481</v>
      </c>
      <c r="AJ255" s="173">
        <f t="shared" si="757"/>
        <v>3.2212270141442332</v>
      </c>
      <c r="AL255" s="545">
        <f t="shared" si="758"/>
        <v>975.00000000000011</v>
      </c>
      <c r="AM255" s="460">
        <f t="shared" si="759"/>
        <v>350</v>
      </c>
      <c r="AO255">
        <f t="shared" si="642"/>
        <v>975.00000000000011</v>
      </c>
      <c r="AP255">
        <f t="shared" si="643"/>
        <v>350</v>
      </c>
      <c r="AR255" s="5">
        <f t="shared" si="614"/>
        <v>2.8571428571428572</v>
      </c>
      <c r="AS255" s="5">
        <f t="shared" si="737"/>
        <v>0.71405843399276347</v>
      </c>
      <c r="AT255" s="5">
        <f t="shared" si="738"/>
        <v>2.1430844231500936</v>
      </c>
      <c r="AU255" s="173">
        <f t="shared" si="739"/>
        <v>0.2499204518974672</v>
      </c>
      <c r="BA255" s="173">
        <f t="shared" si="689"/>
        <v>1.7496672902543493</v>
      </c>
      <c r="BB255" s="173">
        <f t="shared" si="690"/>
        <v>3.0311556368808503</v>
      </c>
      <c r="BC255" s="173">
        <f t="shared" si="691"/>
        <v>0.30560011748880705</v>
      </c>
      <c r="BD255" s="173"/>
      <c r="BE255" s="528">
        <f t="shared" si="692"/>
        <v>3.6736027519031968E-2</v>
      </c>
      <c r="BF255" s="528">
        <f t="shared" si="760"/>
        <v>2.6578422077363286</v>
      </c>
      <c r="BG255" s="528">
        <f t="shared" si="693"/>
        <v>4.0250000000000001E-2</v>
      </c>
      <c r="BH255" s="528">
        <f t="shared" si="694"/>
        <v>0.8121578340483484</v>
      </c>
      <c r="BI255">
        <f t="shared" si="695"/>
        <v>1.7955265034045178E-2</v>
      </c>
      <c r="BJ255" s="460">
        <f t="shared" si="696"/>
        <v>58.205265034045176</v>
      </c>
      <c r="BK255">
        <f t="shared" si="761"/>
        <v>3.5476201285650482</v>
      </c>
      <c r="BL255" s="460">
        <f t="shared" si="697"/>
        <v>3564.9413343377541</v>
      </c>
      <c r="BM255" s="173">
        <f t="shared" si="762"/>
        <v>0.65383499999999994</v>
      </c>
      <c r="BN255" s="173">
        <f t="shared" si="763"/>
        <v>4.6702500000000001E-2</v>
      </c>
      <c r="BQ255" s="460">
        <f t="shared" si="698"/>
        <v>700.53749999999991</v>
      </c>
      <c r="BR255" s="528">
        <f t="shared" si="699"/>
        <v>4.2858698772203968E-2</v>
      </c>
      <c r="BS255" s="528">
        <f t="shared" si="700"/>
        <v>0.12863066292992376</v>
      </c>
      <c r="BT255" s="528">
        <f t="shared" si="701"/>
        <v>4.6695715904586333E-4</v>
      </c>
      <c r="BU255" s="528">
        <f t="shared" si="702"/>
        <v>10.367597274627316</v>
      </c>
      <c r="BV255" s="528"/>
      <c r="BW255" s="625">
        <f t="shared" si="703"/>
        <v>1.2861702127659578</v>
      </c>
      <c r="BX255" s="460">
        <f t="shared" si="704"/>
        <v>11825.723806254447</v>
      </c>
      <c r="BY255" s="173">
        <f t="shared" si="705"/>
        <v>16.091202640592201</v>
      </c>
      <c r="BZ255" s="5">
        <f t="shared" si="706"/>
        <v>30.225000000000005</v>
      </c>
      <c r="CA255" s="173">
        <f t="shared" si="707"/>
        <v>0.65257940584080543</v>
      </c>
      <c r="CB255" s="5">
        <f t="shared" si="708"/>
        <v>65.257940584080544</v>
      </c>
      <c r="CC255">
        <f t="shared" si="709"/>
        <v>39</v>
      </c>
      <c r="CE255" s="562">
        <f t="shared" si="764"/>
        <v>-50</v>
      </c>
      <c r="CG255" s="173">
        <f t="shared" si="765"/>
        <v>0.33847082592152605</v>
      </c>
      <c r="CH255" s="173">
        <f t="shared" si="766"/>
        <v>0.10988984785075083</v>
      </c>
      <c r="CI255" s="170">
        <v>39</v>
      </c>
      <c r="CJ255" s="217">
        <f t="shared" si="710"/>
        <v>0.97500000000000009</v>
      </c>
      <c r="CK255" s="217">
        <f t="shared" si="651"/>
        <v>9.7500000000000003E-2</v>
      </c>
      <c r="CL255" s="217">
        <f t="shared" si="652"/>
        <v>27.300000000000004</v>
      </c>
      <c r="CM255" s="217">
        <f t="shared" si="653"/>
        <v>2.9250000000000003</v>
      </c>
      <c r="CN255" s="541">
        <f t="shared" si="654"/>
        <v>40</v>
      </c>
      <c r="CO255" s="443">
        <f t="shared" si="767"/>
        <v>28.7</v>
      </c>
      <c r="CP255" s="443">
        <f t="shared" si="768"/>
        <v>68.7</v>
      </c>
      <c r="CQ255" s="443"/>
      <c r="CR255" s="217">
        <f t="shared" si="657"/>
        <v>0.41520467836257302</v>
      </c>
      <c r="CS255" s="172">
        <f t="shared" si="658"/>
        <v>125.00786015217253</v>
      </c>
      <c r="CT255" s="172">
        <f t="shared" si="659"/>
        <v>14.828738512949037</v>
      </c>
      <c r="CU255" s="217">
        <f t="shared" si="660"/>
        <v>4.4645664340061613</v>
      </c>
      <c r="CV255" s="217">
        <f t="shared" si="661"/>
        <v>4.1669286717390843</v>
      </c>
      <c r="CW255" s="217">
        <f t="shared" si="662"/>
        <v>28</v>
      </c>
      <c r="CX255" s="217">
        <f t="shared" si="663"/>
        <v>3.6397711267605648</v>
      </c>
      <c r="CY255" s="217">
        <f t="shared" si="664"/>
        <v>0.42767310739436637</v>
      </c>
      <c r="CZ255" s="217">
        <f t="shared" si="665"/>
        <v>0.59606007999214827</v>
      </c>
      <c r="DA255" s="197">
        <f t="shared" si="666"/>
        <v>350</v>
      </c>
      <c r="DB255" s="443">
        <f t="shared" si="667"/>
        <v>350</v>
      </c>
      <c r="DD255" s="217">
        <f t="shared" si="668"/>
        <v>10.158258230357086</v>
      </c>
      <c r="DE255" s="173">
        <f t="shared" si="669"/>
        <v>1.6635475150758992</v>
      </c>
      <c r="DF255" s="173">
        <f t="shared" si="670"/>
        <v>2.6710919890125213</v>
      </c>
      <c r="DG255" s="173"/>
      <c r="DH255" s="173">
        <f t="shared" si="671"/>
        <v>0.54587688734030204</v>
      </c>
      <c r="DI255" s="545">
        <f t="shared" si="672"/>
        <v>1071.6702127659576</v>
      </c>
      <c r="DJ255" s="528">
        <f t="shared" si="673"/>
        <v>0.31842818428184283</v>
      </c>
      <c r="DL255" s="173">
        <f t="shared" si="674"/>
        <v>6.0619898024280481</v>
      </c>
      <c r="DM255" s="173">
        <f t="shared" si="675"/>
        <v>6.0619898024280481</v>
      </c>
      <c r="DN255" s="173">
        <f t="shared" si="676"/>
        <v>3.2212270141442332</v>
      </c>
      <c r="DP255" s="545">
        <f t="shared" si="677"/>
        <v>975.00000000000011</v>
      </c>
      <c r="DQ255" s="460">
        <f t="shared" si="678"/>
        <v>350</v>
      </c>
      <c r="DS255">
        <f t="shared" si="679"/>
        <v>975.00000000000011</v>
      </c>
      <c r="DT255">
        <f t="shared" si="680"/>
        <v>350</v>
      </c>
      <c r="DV255" s="5">
        <f t="shared" si="681"/>
        <v>2.8571428571428572</v>
      </c>
      <c r="DW255" s="5">
        <f t="shared" si="682"/>
        <v>0.7122838017852956</v>
      </c>
      <c r="DX255" s="5">
        <f t="shared" si="683"/>
        <v>2.1448590553575615</v>
      </c>
      <c r="DY255" s="173">
        <f t="shared" si="684"/>
        <v>0.24929933062485346</v>
      </c>
      <c r="EA255" s="5">
        <f t="shared" si="711"/>
        <v>2.4802739526452262</v>
      </c>
      <c r="EB255" s="5">
        <f t="shared" si="712"/>
        <v>0.23149223558022108</v>
      </c>
      <c r="EC255" s="5">
        <f t="shared" si="713"/>
        <v>1.0456187894868112</v>
      </c>
      <c r="ED255" s="5"/>
      <c r="EE255" s="173">
        <f t="shared" si="714"/>
        <v>1.7474917347367138</v>
      </c>
      <c r="EF255" s="173">
        <f t="shared" si="715"/>
        <v>3.0324103875642261</v>
      </c>
      <c r="EG255" s="173">
        <f t="shared" si="716"/>
        <v>0.30572662104131137</v>
      </c>
      <c r="EH255" s="173"/>
      <c r="EI255" s="528">
        <f t="shared" si="717"/>
        <v>3.6644728355677551E-2</v>
      </c>
      <c r="EJ255" s="528">
        <f t="shared" si="718"/>
        <v>2.769450351188266</v>
      </c>
      <c r="EK255" s="528">
        <f t="shared" si="719"/>
        <v>4.0250000000000001E-2</v>
      </c>
      <c r="EL255" s="528">
        <f t="shared" si="720"/>
        <v>0.81355656375000007</v>
      </c>
      <c r="EM255">
        <f t="shared" si="721"/>
        <v>1.7999999999999999E-2</v>
      </c>
      <c r="EN255" s="460">
        <f t="shared" si="722"/>
        <v>58.249999999999993</v>
      </c>
      <c r="EP255" s="460">
        <f t="shared" si="723"/>
        <v>3677.9016432939434</v>
      </c>
      <c r="EQ255" s="173">
        <f t="shared" si="724"/>
        <v>0.6825</v>
      </c>
      <c r="ER255" s="173">
        <f t="shared" si="769"/>
        <v>4.6702500000000001E-2</v>
      </c>
      <c r="ES255" s="528"/>
      <c r="EU255" s="460">
        <f t="shared" si="725"/>
        <v>729.20249999999999</v>
      </c>
      <c r="EV255" s="528">
        <f t="shared" si="726"/>
        <v>4.2752183081623811E-2</v>
      </c>
      <c r="EW255" s="528">
        <f t="shared" si="727"/>
        <v>0.12873717862050388</v>
      </c>
      <c r="EX255" s="528">
        <f t="shared" si="728"/>
        <v>4.6734383406668806E-4</v>
      </c>
      <c r="EY255" s="528">
        <f t="shared" si="729"/>
        <v>10.367597274627316</v>
      </c>
      <c r="EZ255" s="528"/>
      <c r="FA255" s="625">
        <f t="shared" si="730"/>
        <v>1.2861702127659578</v>
      </c>
      <c r="FB255" s="460">
        <f t="shared" si="731"/>
        <v>11825.724192929469</v>
      </c>
      <c r="FC255" s="173">
        <f t="shared" si="732"/>
        <v>16.23282833622341</v>
      </c>
      <c r="FD255" s="5">
        <f t="shared" si="733"/>
        <v>30.225000000000005</v>
      </c>
      <c r="FE255" s="173">
        <f t="shared" si="734"/>
        <v>0.65059003148525163</v>
      </c>
      <c r="FF255" s="5">
        <f t="shared" si="735"/>
        <v>65.059003148525164</v>
      </c>
      <c r="FG255">
        <f t="shared" si="736"/>
        <v>39</v>
      </c>
      <c r="FI255" s="562">
        <f t="shared" si="686"/>
        <v>-50</v>
      </c>
    </row>
    <row r="256" spans="5:165">
      <c r="E256" s="170">
        <v>40</v>
      </c>
      <c r="F256" s="217">
        <f t="shared" si="770"/>
        <v>1</v>
      </c>
      <c r="G256" s="217">
        <f t="shared" si="740"/>
        <v>0.1</v>
      </c>
      <c r="H256" s="217">
        <f t="shared" si="741"/>
        <v>28</v>
      </c>
      <c r="I256" s="217">
        <f t="shared" si="742"/>
        <v>3</v>
      </c>
      <c r="J256" s="541">
        <f t="shared" si="743"/>
        <v>39.899322530872006</v>
      </c>
      <c r="K256" s="443">
        <f t="shared" si="744"/>
        <v>28.740842197619411</v>
      </c>
      <c r="L256" s="172">
        <f t="shared" si="745"/>
        <v>68.640164728491413</v>
      </c>
      <c r="M256" s="443"/>
      <c r="N256" s="217">
        <f t="shared" si="746"/>
        <v>0.4187175586087945</v>
      </c>
      <c r="O256" s="172">
        <f t="shared" si="747"/>
        <v>125.7482026257002</v>
      </c>
      <c r="P256" s="172">
        <f t="shared" si="748"/>
        <v>14.916559750242497</v>
      </c>
      <c r="Q256" s="217">
        <f t="shared" si="624"/>
        <v>4.4910072366321501</v>
      </c>
      <c r="R256" s="217">
        <f t="shared" si="749"/>
        <v>4.1916067541900066</v>
      </c>
      <c r="S256" s="217">
        <f t="shared" si="750"/>
        <v>28</v>
      </c>
      <c r="T256" s="217">
        <f t="shared" si="751"/>
        <v>3.7111199756527591</v>
      </c>
      <c r="U256" s="217">
        <f t="shared" si="628"/>
        <v>0.43715689338013342</v>
      </c>
      <c r="V256" s="217">
        <f t="shared" si="629"/>
        <v>0.60688075059306035</v>
      </c>
      <c r="W256" s="197">
        <f t="shared" si="630"/>
        <v>350</v>
      </c>
      <c r="X256" s="443">
        <f t="shared" si="688"/>
        <v>350</v>
      </c>
      <c r="Z256" s="217">
        <f t="shared" si="631"/>
        <v>10.155955574633188</v>
      </c>
      <c r="AA256" s="173">
        <f t="shared" si="632"/>
        <v>1.6608069754034445</v>
      </c>
      <c r="AB256" s="173">
        <f t="shared" si="752"/>
        <v>2.666087132747343</v>
      </c>
      <c r="AC256" s="173"/>
      <c r="AD256" s="173">
        <f t="shared" si="634"/>
        <v>0.54510116853723689</v>
      </c>
      <c r="AE256" s="545">
        <f t="shared" si="753"/>
        <v>1100.7131054407432</v>
      </c>
      <c r="AF256" s="528">
        <f t="shared" si="754"/>
        <v>0.31797568164672152</v>
      </c>
      <c r="AH256" s="173">
        <f t="shared" si="755"/>
        <v>6.1392157157786222</v>
      </c>
      <c r="AI256" s="173">
        <f t="shared" si="756"/>
        <v>6.1392157157786222</v>
      </c>
      <c r="AJ256" s="173">
        <f t="shared" si="757"/>
        <v>3.278431394403917</v>
      </c>
      <c r="AL256" s="545">
        <f t="shared" si="758"/>
        <v>1000</v>
      </c>
      <c r="AM256" s="460">
        <f t="shared" si="759"/>
        <v>350</v>
      </c>
      <c r="AO256">
        <f t="shared" si="642"/>
        <v>1000</v>
      </c>
      <c r="AP256">
        <f t="shared" si="643"/>
        <v>350</v>
      </c>
      <c r="AR256" s="5">
        <f t="shared" si="614"/>
        <v>2.8571428571428572</v>
      </c>
      <c r="AS256" s="5">
        <f t="shared" si="737"/>
        <v>0.72317803997382579</v>
      </c>
      <c r="AT256" s="5">
        <f t="shared" si="738"/>
        <v>2.1339648171690313</v>
      </c>
      <c r="AU256" s="173">
        <f t="shared" si="739"/>
        <v>0.253112313990839</v>
      </c>
      <c r="BA256" s="173">
        <f t="shared" si="689"/>
        <v>1.7832363295360225</v>
      </c>
      <c r="BB256" s="173">
        <f t="shared" si="690"/>
        <v>3.0632321809885661</v>
      </c>
      <c r="BC256" s="173">
        <f t="shared" si="691"/>
        <v>0.30883406414884729</v>
      </c>
      <c r="BD256" s="173"/>
      <c r="BE256" s="528">
        <f t="shared" si="692"/>
        <v>3.8159181683725271E-2</v>
      </c>
      <c r="BF256" s="528">
        <f t="shared" si="760"/>
        <v>2.6916719196972081</v>
      </c>
      <c r="BG256" s="528">
        <f t="shared" si="693"/>
        <v>4.0250000000000001E-2</v>
      </c>
      <c r="BH256" s="528">
        <f t="shared" si="694"/>
        <v>0.812140022880396</v>
      </c>
      <c r="BI256">
        <f t="shared" si="695"/>
        <v>1.7954695138892401E-2</v>
      </c>
      <c r="BJ256" s="460">
        <f t="shared" si="696"/>
        <v>58.204695138892397</v>
      </c>
      <c r="BK256">
        <f t="shared" si="761"/>
        <v>3.5847759098972469</v>
      </c>
      <c r="BL256" s="460">
        <f t="shared" si="697"/>
        <v>3600.1758194002214</v>
      </c>
      <c r="BM256" s="173">
        <f t="shared" si="762"/>
        <v>0.67059999999999997</v>
      </c>
      <c r="BN256" s="173">
        <f t="shared" si="763"/>
        <v>4.7899999999999998E-2</v>
      </c>
      <c r="BQ256" s="460">
        <f t="shared" si="698"/>
        <v>718.49999999999989</v>
      </c>
      <c r="BR256" s="528">
        <f t="shared" si="699"/>
        <v>4.4519045297679485E-2</v>
      </c>
      <c r="BS256" s="528">
        <f t="shared" si="700"/>
        <v>0.13136747952501554</v>
      </c>
      <c r="BT256" s="528">
        <f t="shared" si="701"/>
        <v>4.7689239589347162E-4</v>
      </c>
      <c r="BU256" s="528">
        <f t="shared" si="702"/>
        <v>10.700950354754124</v>
      </c>
      <c r="BV256" s="528"/>
      <c r="BW256" s="625">
        <f t="shared" si="703"/>
        <v>1.3191489361702127</v>
      </c>
      <c r="BX256" s="460">
        <f t="shared" si="704"/>
        <v>12196.462708142924</v>
      </c>
      <c r="BY256" s="173">
        <f t="shared" si="705"/>
        <v>16.515138527543147</v>
      </c>
      <c r="BZ256" s="5">
        <f t="shared" si="706"/>
        <v>31</v>
      </c>
      <c r="CA256" s="173">
        <f t="shared" si="707"/>
        <v>0.6524236477187203</v>
      </c>
      <c r="CB256" s="5">
        <f t="shared" si="708"/>
        <v>65.242364771872033</v>
      </c>
      <c r="CC256">
        <f t="shared" si="709"/>
        <v>40</v>
      </c>
      <c r="CE256" s="562">
        <f t="shared" si="764"/>
        <v>-50</v>
      </c>
      <c r="CG256" s="173">
        <f t="shared" si="765"/>
        <v>0.34278273002005222</v>
      </c>
      <c r="CH256" s="173">
        <f t="shared" si="766"/>
        <v>0.11128977496128982</v>
      </c>
      <c r="CI256" s="170">
        <v>40</v>
      </c>
      <c r="CJ256" s="217">
        <f t="shared" si="710"/>
        <v>1</v>
      </c>
      <c r="CK256" s="217">
        <f t="shared" si="651"/>
        <v>0.1</v>
      </c>
      <c r="CL256" s="217">
        <f t="shared" si="652"/>
        <v>28</v>
      </c>
      <c r="CM256" s="217">
        <f t="shared" si="653"/>
        <v>3</v>
      </c>
      <c r="CN256" s="541">
        <f t="shared" si="654"/>
        <v>40</v>
      </c>
      <c r="CO256" s="443">
        <f t="shared" si="767"/>
        <v>28.7</v>
      </c>
      <c r="CP256" s="443">
        <f t="shared" si="768"/>
        <v>68.7</v>
      </c>
      <c r="CQ256" s="443"/>
      <c r="CR256" s="217">
        <f t="shared" si="657"/>
        <v>0.41520467836257302</v>
      </c>
      <c r="CS256" s="172">
        <f t="shared" si="658"/>
        <v>125.00786015217253</v>
      </c>
      <c r="CT256" s="172">
        <f t="shared" si="659"/>
        <v>14.828738512949037</v>
      </c>
      <c r="CU256" s="217">
        <f t="shared" si="660"/>
        <v>4.4645664340061613</v>
      </c>
      <c r="CV256" s="217">
        <f t="shared" si="661"/>
        <v>4.1669286717390843</v>
      </c>
      <c r="CW256" s="217">
        <f t="shared" si="662"/>
        <v>28</v>
      </c>
      <c r="CX256" s="217">
        <f t="shared" si="663"/>
        <v>3.7330985915492967</v>
      </c>
      <c r="CY256" s="217">
        <f t="shared" si="664"/>
        <v>0.43863908450704236</v>
      </c>
      <c r="CZ256" s="217">
        <f t="shared" si="665"/>
        <v>0.61134367178681859</v>
      </c>
      <c r="DA256" s="197">
        <f t="shared" si="666"/>
        <v>350</v>
      </c>
      <c r="DB256" s="443">
        <f t="shared" si="667"/>
        <v>350</v>
      </c>
      <c r="DD256" s="217">
        <f t="shared" si="668"/>
        <v>10.158258230357086</v>
      </c>
      <c r="DE256" s="173">
        <f t="shared" si="669"/>
        <v>1.6635475150758992</v>
      </c>
      <c r="DF256" s="173">
        <f t="shared" si="670"/>
        <v>2.6710919890125213</v>
      </c>
      <c r="DG256" s="173"/>
      <c r="DH256" s="173">
        <f t="shared" si="671"/>
        <v>0.54587688734030204</v>
      </c>
      <c r="DI256" s="545">
        <f t="shared" si="672"/>
        <v>1099.1489361702127</v>
      </c>
      <c r="DJ256" s="528">
        <f t="shared" si="673"/>
        <v>0.31842818428184283</v>
      </c>
      <c r="DL256" s="173">
        <f t="shared" si="674"/>
        <v>6.1392157157786222</v>
      </c>
      <c r="DM256" s="173">
        <f t="shared" si="675"/>
        <v>6.1392157157786222</v>
      </c>
      <c r="DN256" s="173">
        <f t="shared" si="676"/>
        <v>3.278431394403917</v>
      </c>
      <c r="DP256" s="545">
        <f t="shared" si="677"/>
        <v>1000</v>
      </c>
      <c r="DQ256" s="460">
        <f t="shared" si="678"/>
        <v>350</v>
      </c>
      <c r="DS256">
        <f t="shared" si="679"/>
        <v>1000</v>
      </c>
      <c r="DT256">
        <f t="shared" si="680"/>
        <v>350</v>
      </c>
      <c r="DV256" s="5">
        <f t="shared" si="681"/>
        <v>2.8571428571428572</v>
      </c>
      <c r="DW256" s="5">
        <f t="shared" si="682"/>
        <v>0.72135784660398816</v>
      </c>
      <c r="DX256" s="5">
        <f t="shared" si="683"/>
        <v>2.1357850105388692</v>
      </c>
      <c r="DY256" s="173">
        <f t="shared" si="684"/>
        <v>0.25247524631139584</v>
      </c>
      <c r="EA256" s="5">
        <f t="shared" si="711"/>
        <v>2.5762780235856719</v>
      </c>
      <c r="EB256" s="5">
        <f t="shared" si="712"/>
        <v>0.24045261553466271</v>
      </c>
      <c r="EC256" s="5">
        <f t="shared" si="713"/>
        <v>1.0678925052694344</v>
      </c>
      <c r="ED256" s="5"/>
      <c r="EE256" s="173">
        <f t="shared" si="714"/>
        <v>1.7809907691560209</v>
      </c>
      <c r="EF256" s="173">
        <f t="shared" si="715"/>
        <v>3.0645383146245893</v>
      </c>
      <c r="EG256" s="173">
        <f t="shared" si="716"/>
        <v>0.30896574811379057</v>
      </c>
      <c r="EH256" s="173"/>
      <c r="EI256" s="528">
        <f t="shared" si="717"/>
        <v>3.8063137437827459E-2</v>
      </c>
      <c r="EJ256" s="528">
        <f t="shared" si="718"/>
        <v>2.804731395832043</v>
      </c>
      <c r="EK256" s="528">
        <f t="shared" si="719"/>
        <v>4.0250000000000001E-2</v>
      </c>
      <c r="EL256" s="528">
        <f t="shared" si="720"/>
        <v>0.81355656375000007</v>
      </c>
      <c r="EM256">
        <f t="shared" si="721"/>
        <v>1.7999999999999999E-2</v>
      </c>
      <c r="EN256" s="460">
        <f t="shared" si="722"/>
        <v>58.249999999999993</v>
      </c>
      <c r="EP256" s="460">
        <f t="shared" si="723"/>
        <v>3714.6010970198704</v>
      </c>
      <c r="EQ256" s="173">
        <f t="shared" si="724"/>
        <v>0.7</v>
      </c>
      <c r="ER256" s="173">
        <f t="shared" si="769"/>
        <v>4.7899999999999998E-2</v>
      </c>
      <c r="ES256" s="528"/>
      <c r="EU256" s="460">
        <f t="shared" si="725"/>
        <v>747.9</v>
      </c>
      <c r="EV256" s="528">
        <f t="shared" si="726"/>
        <v>4.4406993677465374E-2</v>
      </c>
      <c r="EW256" s="528">
        <f t="shared" si="727"/>
        <v>0.13147953114522964</v>
      </c>
      <c r="EX256" s="528">
        <f t="shared" si="728"/>
        <v>4.7729916753757147E-4</v>
      </c>
      <c r="EY256" s="528">
        <f t="shared" si="729"/>
        <v>10.700950354754124</v>
      </c>
      <c r="EZ256" s="528"/>
      <c r="FA256" s="625">
        <f t="shared" si="730"/>
        <v>1.3191489361702127</v>
      </c>
      <c r="FB256" s="460">
        <f t="shared" si="731"/>
        <v>12196.463114914568</v>
      </c>
      <c r="FC256" s="173">
        <f t="shared" si="732"/>
        <v>16.658964211934439</v>
      </c>
      <c r="FD256" s="5">
        <f t="shared" si="733"/>
        <v>31</v>
      </c>
      <c r="FE256" s="173">
        <f t="shared" si="734"/>
        <v>0.65045475730748648</v>
      </c>
      <c r="FF256" s="5">
        <f t="shared" si="735"/>
        <v>65.045475730748649</v>
      </c>
      <c r="FG256">
        <f t="shared" si="736"/>
        <v>40</v>
      </c>
      <c r="FI256" s="562">
        <f t="shared" si="686"/>
        <v>-50</v>
      </c>
    </row>
    <row r="257" spans="5:165">
      <c r="E257" s="170">
        <v>41</v>
      </c>
      <c r="F257" s="217">
        <f t="shared" si="770"/>
        <v>1.0249999999999999</v>
      </c>
      <c r="G257" s="217">
        <f t="shared" si="740"/>
        <v>0.10249999999999999</v>
      </c>
      <c r="H257" s="217">
        <f t="shared" si="741"/>
        <v>28.699999999999996</v>
      </c>
      <c r="I257" s="217">
        <f t="shared" si="742"/>
        <v>3.0749999999999997</v>
      </c>
      <c r="J257" s="541">
        <f t="shared" si="743"/>
        <v>39.898071831127169</v>
      </c>
      <c r="K257" s="443">
        <f t="shared" si="744"/>
        <v>28.741349573565426</v>
      </c>
      <c r="L257" s="172">
        <f t="shared" si="745"/>
        <v>68.639421404692598</v>
      </c>
      <c r="M257" s="443"/>
      <c r="N257" s="217">
        <f t="shared" si="746"/>
        <v>0.41872948497203527</v>
      </c>
      <c r="O257" s="172">
        <f t="shared" si="747"/>
        <v>125.74784245653338</v>
      </c>
      <c r="P257" s="172">
        <f t="shared" si="748"/>
        <v>14.916517026093883</v>
      </c>
      <c r="Q257" s="217">
        <f t="shared" si="624"/>
        <v>4.490994373447621</v>
      </c>
      <c r="R257" s="217">
        <f t="shared" si="749"/>
        <v>4.1915947485511129</v>
      </c>
      <c r="S257" s="217">
        <f t="shared" si="750"/>
        <v>28</v>
      </c>
      <c r="T257" s="217">
        <f t="shared" si="751"/>
        <v>3.8039088702351003</v>
      </c>
      <c r="U257" s="217">
        <f t="shared" si="628"/>
        <v>0.44810114548334767</v>
      </c>
      <c r="V257" s="217">
        <f t="shared" si="629"/>
        <v>0.62204356981720954</v>
      </c>
      <c r="W257" s="197">
        <f t="shared" si="630"/>
        <v>350</v>
      </c>
      <c r="X257" s="443">
        <f t="shared" si="688"/>
        <v>350</v>
      </c>
      <c r="Z257" s="217">
        <f t="shared" si="631"/>
        <v>10.155926485851154</v>
      </c>
      <c r="AA257" s="173">
        <f t="shared" si="632"/>
        <v>1.6607729000798992</v>
      </c>
      <c r="AB257" s="173">
        <f t="shared" si="752"/>
        <v>2.6660247956850278</v>
      </c>
      <c r="AC257" s="173"/>
      <c r="AD257" s="173">
        <f t="shared" si="634"/>
        <v>0.54509154577333863</v>
      </c>
      <c r="AE257" s="545">
        <f t="shared" si="753"/>
        <v>1128.2508502814512</v>
      </c>
      <c r="AF257" s="528">
        <f t="shared" si="754"/>
        <v>0.31797006836778091</v>
      </c>
      <c r="AH257" s="173">
        <f t="shared" si="755"/>
        <v>6.2154821892581111</v>
      </c>
      <c r="AI257" s="173">
        <f t="shared" si="756"/>
        <v>6.2154821892581111</v>
      </c>
      <c r="AJ257" s="173">
        <f t="shared" si="757"/>
        <v>3.3349250784627982</v>
      </c>
      <c r="AL257" s="545">
        <f t="shared" si="758"/>
        <v>1025</v>
      </c>
      <c r="AM257" s="460">
        <f t="shared" si="759"/>
        <v>350</v>
      </c>
      <c r="AO257">
        <f t="shared" si="642"/>
        <v>1025</v>
      </c>
      <c r="AP257">
        <f t="shared" si="643"/>
        <v>350</v>
      </c>
      <c r="AR257" s="5">
        <f t="shared" si="614"/>
        <v>2.8571428571428572</v>
      </c>
      <c r="AS257" s="5">
        <f t="shared" si="737"/>
        <v>0.73218491392664942</v>
      </c>
      <c r="AT257" s="5">
        <f t="shared" si="738"/>
        <v>2.1249579432162076</v>
      </c>
      <c r="AU257" s="173">
        <f t="shared" si="739"/>
        <v>0.25626471987432731</v>
      </c>
      <c r="BA257" s="173">
        <f t="shared" si="689"/>
        <v>1.8165970696546643</v>
      </c>
      <c r="BB257" s="173">
        <f t="shared" si="690"/>
        <v>3.0947344584283298</v>
      </c>
      <c r="BC257" s="173">
        <f t="shared" si="691"/>
        <v>0.31201011343170865</v>
      </c>
      <c r="BD257" s="173"/>
      <c r="BE257" s="528">
        <f t="shared" si="692"/>
        <v>3.9600298961734962E-2</v>
      </c>
      <c r="BF257" s="528">
        <f t="shared" si="760"/>
        <v>2.7250806090545594</v>
      </c>
      <c r="BG257" s="528">
        <f t="shared" si="693"/>
        <v>4.0250000000000001E-2</v>
      </c>
      <c r="BH257" s="528">
        <f t="shared" si="694"/>
        <v>0.81212243318664645</v>
      </c>
      <c r="BI257">
        <f t="shared" si="695"/>
        <v>1.7954132324007225E-2</v>
      </c>
      <c r="BJ257" s="460">
        <f t="shared" si="696"/>
        <v>58.204132324007233</v>
      </c>
      <c r="BK257">
        <f t="shared" si="761"/>
        <v>3.6215708948616889</v>
      </c>
      <c r="BL257" s="460">
        <f t="shared" si="697"/>
        <v>3635.0074735269482</v>
      </c>
      <c r="BM257" s="173">
        <f t="shared" si="762"/>
        <v>0.68736499999999989</v>
      </c>
      <c r="BN257" s="173">
        <f t="shared" si="763"/>
        <v>4.9097499999999995E-2</v>
      </c>
      <c r="BQ257" s="460">
        <f t="shared" si="698"/>
        <v>736.46249999999986</v>
      </c>
      <c r="BR257" s="528">
        <f t="shared" si="699"/>
        <v>4.6200348788690788E-2</v>
      </c>
      <c r="BS257" s="528">
        <f t="shared" si="700"/>
        <v>0.13408333915457166</v>
      </c>
      <c r="BT257" s="528">
        <f t="shared" si="701"/>
        <v>4.8675155441833844E-4</v>
      </c>
      <c r="BU257" s="528">
        <f t="shared" si="702"/>
        <v>11.03639360715089</v>
      </c>
      <c r="BV257" s="528"/>
      <c r="BW257" s="625">
        <f t="shared" si="703"/>
        <v>1.3521276595744682</v>
      </c>
      <c r="BX257" s="460">
        <f t="shared" si="704"/>
        <v>12569.291706223037</v>
      </c>
      <c r="BY257" s="173">
        <f t="shared" si="705"/>
        <v>16.940761679749986</v>
      </c>
      <c r="BZ257" s="5">
        <f t="shared" si="706"/>
        <v>31.774999999999995</v>
      </c>
      <c r="CA257" s="173">
        <f t="shared" si="707"/>
        <v>0.65225296504412722</v>
      </c>
      <c r="CB257" s="5">
        <f t="shared" si="708"/>
        <v>65.225296504412725</v>
      </c>
      <c r="CC257">
        <f t="shared" si="709"/>
        <v>41</v>
      </c>
      <c r="CE257" s="562">
        <f t="shared" si="764"/>
        <v>-50</v>
      </c>
      <c r="CG257" s="173">
        <f t="shared" si="765"/>
        <v>0.34704106385268008</v>
      </c>
      <c r="CH257" s="173">
        <f t="shared" si="766"/>
        <v>0.11267230964708184</v>
      </c>
      <c r="CI257" s="170">
        <v>41</v>
      </c>
      <c r="CJ257" s="217">
        <f t="shared" si="710"/>
        <v>1.0249999999999999</v>
      </c>
      <c r="CK257" s="217">
        <f t="shared" si="651"/>
        <v>0.10249999999999999</v>
      </c>
      <c r="CL257" s="217">
        <f t="shared" si="652"/>
        <v>28.699999999999996</v>
      </c>
      <c r="CM257" s="217">
        <f t="shared" si="653"/>
        <v>3.0749999999999997</v>
      </c>
      <c r="CN257" s="541">
        <f t="shared" si="654"/>
        <v>40</v>
      </c>
      <c r="CO257" s="443">
        <f t="shared" si="767"/>
        <v>28.7</v>
      </c>
      <c r="CP257" s="443">
        <f t="shared" si="768"/>
        <v>68.7</v>
      </c>
      <c r="CQ257" s="443"/>
      <c r="CR257" s="217">
        <f t="shared" si="657"/>
        <v>0.41520467836257302</v>
      </c>
      <c r="CS257" s="172">
        <f t="shared" si="658"/>
        <v>125.00786015217253</v>
      </c>
      <c r="CT257" s="172">
        <f t="shared" si="659"/>
        <v>14.828738512949037</v>
      </c>
      <c r="CU257" s="217">
        <f t="shared" si="660"/>
        <v>4.4645664340061613</v>
      </c>
      <c r="CV257" s="217">
        <f t="shared" si="661"/>
        <v>4.1669286717390843</v>
      </c>
      <c r="CW257" s="217">
        <f t="shared" si="662"/>
        <v>28</v>
      </c>
      <c r="CX257" s="217">
        <f t="shared" si="663"/>
        <v>3.8264260563380286</v>
      </c>
      <c r="CY257" s="217">
        <f t="shared" si="664"/>
        <v>0.44960506161971836</v>
      </c>
      <c r="CZ257" s="217">
        <f t="shared" si="665"/>
        <v>0.62662726358148901</v>
      </c>
      <c r="DA257" s="197">
        <f t="shared" si="666"/>
        <v>350</v>
      </c>
      <c r="DB257" s="443">
        <f t="shared" si="667"/>
        <v>350</v>
      </c>
      <c r="DD257" s="217">
        <f t="shared" si="668"/>
        <v>10.158258230357086</v>
      </c>
      <c r="DE257" s="173">
        <f t="shared" si="669"/>
        <v>1.6635475150758992</v>
      </c>
      <c r="DF257" s="173">
        <f t="shared" si="670"/>
        <v>2.6710919890125213</v>
      </c>
      <c r="DG257" s="173"/>
      <c r="DH257" s="173">
        <f t="shared" si="671"/>
        <v>0.54587688734030204</v>
      </c>
      <c r="DI257" s="545">
        <f t="shared" si="672"/>
        <v>1126.627659574468</v>
      </c>
      <c r="DJ257" s="528">
        <f t="shared" si="673"/>
        <v>0.31842818428184283</v>
      </c>
      <c r="DL257" s="173">
        <f t="shared" si="674"/>
        <v>6.2154821892581111</v>
      </c>
      <c r="DM257" s="173">
        <f t="shared" si="675"/>
        <v>6.2154821892581111</v>
      </c>
      <c r="DN257" s="173">
        <f t="shared" si="676"/>
        <v>3.3349250784627982</v>
      </c>
      <c r="DP257" s="545">
        <f t="shared" si="677"/>
        <v>1025</v>
      </c>
      <c r="DQ257" s="460">
        <f t="shared" si="678"/>
        <v>350</v>
      </c>
      <c r="DS257">
        <f t="shared" si="679"/>
        <v>1025</v>
      </c>
      <c r="DT257">
        <f t="shared" si="680"/>
        <v>350</v>
      </c>
      <c r="DV257" s="5">
        <f t="shared" si="681"/>
        <v>2.8571428571428572</v>
      </c>
      <c r="DW257" s="5">
        <f t="shared" si="682"/>
        <v>0.73031915723782803</v>
      </c>
      <c r="DX257" s="5">
        <f t="shared" si="683"/>
        <v>2.126823699905029</v>
      </c>
      <c r="DY257" s="173">
        <f t="shared" si="684"/>
        <v>0.25561170503323982</v>
      </c>
      <c r="EA257" s="5">
        <f t="shared" si="711"/>
        <v>2.6734897720313344</v>
      </c>
      <c r="EB257" s="5">
        <f t="shared" si="712"/>
        <v>0.24952571205625793</v>
      </c>
      <c r="EC257" s="5">
        <f t="shared" si="713"/>
        <v>1.0899971462013271</v>
      </c>
      <c r="ED257" s="5"/>
      <c r="EE257" s="173">
        <f t="shared" si="714"/>
        <v>1.8142810631380339</v>
      </c>
      <c r="EF257" s="173">
        <f t="shared" si="715"/>
        <v>3.0960927805219804</v>
      </c>
      <c r="EG257" s="173">
        <f t="shared" si="716"/>
        <v>0.31214705901983902</v>
      </c>
      <c r="EH257" s="173"/>
      <c r="EI257" s="528">
        <f t="shared" si="717"/>
        <v>3.9499389312735292E-2</v>
      </c>
      <c r="EJ257" s="528">
        <f t="shared" si="718"/>
        <v>2.839574115573515</v>
      </c>
      <c r="EK257" s="528">
        <f t="shared" si="719"/>
        <v>4.0250000000000001E-2</v>
      </c>
      <c r="EL257" s="528">
        <f t="shared" si="720"/>
        <v>0.81355656375000007</v>
      </c>
      <c r="EM257">
        <f t="shared" si="721"/>
        <v>1.7999999999999999E-2</v>
      </c>
      <c r="EN257" s="460">
        <f t="shared" si="722"/>
        <v>58.249999999999993</v>
      </c>
      <c r="EP257" s="460">
        <f t="shared" si="723"/>
        <v>3750.8800686362501</v>
      </c>
      <c r="EQ257" s="173">
        <f t="shared" si="724"/>
        <v>0.71749999999999992</v>
      </c>
      <c r="ER257" s="173">
        <f t="shared" si="769"/>
        <v>4.9097499999999995E-2</v>
      </c>
      <c r="ES257" s="528"/>
      <c r="EU257" s="460">
        <f t="shared" si="725"/>
        <v>766.59749999999997</v>
      </c>
      <c r="EV257" s="528">
        <f t="shared" si="726"/>
        <v>4.6082620864857843E-2</v>
      </c>
      <c r="EW257" s="528">
        <f t="shared" si="727"/>
        <v>0.1342010670784046</v>
      </c>
      <c r="EX257" s="528">
        <f t="shared" si="728"/>
        <v>4.8717893227367439E-4</v>
      </c>
      <c r="EY257" s="528">
        <f t="shared" si="729"/>
        <v>11.03639360715089</v>
      </c>
      <c r="EZ257" s="528"/>
      <c r="FA257" s="625">
        <f t="shared" si="730"/>
        <v>1.3521276595744682</v>
      </c>
      <c r="FB257" s="460">
        <f t="shared" si="731"/>
        <v>12569.292133600893</v>
      </c>
      <c r="FC257" s="173">
        <f t="shared" si="732"/>
        <v>17.086769702237145</v>
      </c>
      <c r="FD257" s="5">
        <f t="shared" si="733"/>
        <v>31.774999999999995</v>
      </c>
      <c r="FE257" s="173">
        <f t="shared" si="734"/>
        <v>0.65030391231501328</v>
      </c>
      <c r="FF257" s="5">
        <f t="shared" si="735"/>
        <v>65.030391231501326</v>
      </c>
      <c r="FG257">
        <f t="shared" si="736"/>
        <v>41</v>
      </c>
      <c r="FI257" s="562">
        <f t="shared" si="686"/>
        <v>-50</v>
      </c>
    </row>
    <row r="258" spans="5:165">
      <c r="E258" s="170">
        <v>42</v>
      </c>
      <c r="F258" s="217">
        <f t="shared" si="770"/>
        <v>1.05</v>
      </c>
      <c r="G258" s="217">
        <f t="shared" si="740"/>
        <v>0.105</v>
      </c>
      <c r="H258" s="217">
        <f t="shared" si="741"/>
        <v>29.400000000000002</v>
      </c>
      <c r="I258" s="217">
        <f t="shared" si="742"/>
        <v>3.15</v>
      </c>
      <c r="J258" s="541">
        <f t="shared" si="743"/>
        <v>39.896836293060403</v>
      </c>
      <c r="K258" s="443">
        <f t="shared" si="744"/>
        <v>28.741850798817968</v>
      </c>
      <c r="L258" s="172">
        <f t="shared" si="745"/>
        <v>68.638687091878367</v>
      </c>
      <c r="M258" s="443"/>
      <c r="N258" s="217">
        <f t="shared" si="746"/>
        <v>0.41874126701090164</v>
      </c>
      <c r="O258" s="172">
        <f t="shared" si="747"/>
        <v>125.74748650922416</v>
      </c>
      <c r="P258" s="172">
        <f t="shared" si="748"/>
        <v>14.916474802752354</v>
      </c>
      <c r="Q258" s="217">
        <f t="shared" si="624"/>
        <v>4.4909816610437199</v>
      </c>
      <c r="R258" s="217">
        <f t="shared" si="749"/>
        <v>4.1915828836408053</v>
      </c>
      <c r="S258" s="217">
        <f t="shared" si="750"/>
        <v>28</v>
      </c>
      <c r="T258" s="217">
        <f t="shared" si="751"/>
        <v>3.8966981655260069</v>
      </c>
      <c r="U258" s="217">
        <f t="shared" si="628"/>
        <v>0.45904595651254249</v>
      </c>
      <c r="V258" s="217">
        <f t="shared" si="629"/>
        <v>0.63720605559351906</v>
      </c>
      <c r="W258" s="197">
        <f t="shared" si="630"/>
        <v>350</v>
      </c>
      <c r="X258" s="443">
        <f t="shared" si="688"/>
        <v>350</v>
      </c>
      <c r="Z258" s="217">
        <f t="shared" si="631"/>
        <v>10.155897738044155</v>
      </c>
      <c r="AA258" s="173">
        <f t="shared" si="632"/>
        <v>1.6607392371117093</v>
      </c>
      <c r="AB258" s="173">
        <f t="shared" si="752"/>
        <v>2.6659632103920488</v>
      </c>
      <c r="AC258" s="173"/>
      <c r="AD258" s="173">
        <f t="shared" si="634"/>
        <v>0.54508203999552363</v>
      </c>
      <c r="AE258" s="545">
        <f t="shared" si="753"/>
        <v>1155.7893193567224</v>
      </c>
      <c r="AF258" s="528">
        <f t="shared" si="754"/>
        <v>0.31796452333072212</v>
      </c>
      <c r="AH258" s="173">
        <f t="shared" si="755"/>
        <v>6.2908241181188966</v>
      </c>
      <c r="AI258" s="173">
        <f t="shared" si="756"/>
        <v>6.2908241181188966</v>
      </c>
      <c r="AJ258" s="173">
        <f t="shared" si="757"/>
        <v>3.3907339146559723</v>
      </c>
      <c r="AL258" s="545">
        <f t="shared" si="758"/>
        <v>1050</v>
      </c>
      <c r="AM258" s="460">
        <f t="shared" si="759"/>
        <v>350</v>
      </c>
      <c r="AO258">
        <f t="shared" si="642"/>
        <v>1050</v>
      </c>
      <c r="AP258">
        <f t="shared" si="643"/>
        <v>350</v>
      </c>
      <c r="AR258" s="5">
        <f t="shared" si="614"/>
        <v>2.8571428571428572</v>
      </c>
      <c r="AS258" s="5">
        <f t="shared" si="737"/>
        <v>0.74108315601710084</v>
      </c>
      <c r="AT258" s="5">
        <f t="shared" si="738"/>
        <v>2.1160597011257565</v>
      </c>
      <c r="AU258" s="173">
        <f t="shared" si="739"/>
        <v>0.25937910460598529</v>
      </c>
      <c r="BA258" s="173">
        <f t="shared" si="689"/>
        <v>1.8497558484993848</v>
      </c>
      <c r="BB258" s="173">
        <f t="shared" si="690"/>
        <v>3.1256827514391881</v>
      </c>
      <c r="BC258" s="173">
        <f t="shared" si="691"/>
        <v>0.31513031018608206</v>
      </c>
      <c r="BD258" s="173"/>
      <c r="BE258" s="528">
        <f t="shared" si="692"/>
        <v>4.1059160388692145E-2</v>
      </c>
      <c r="BF258" s="528">
        <f t="shared" si="760"/>
        <v>2.7580835885866497</v>
      </c>
      <c r="BG258" s="528">
        <f t="shared" si="693"/>
        <v>4.0250000000000001E-2</v>
      </c>
      <c r="BH258" s="528">
        <f t="shared" si="694"/>
        <v>0.81210505691198431</v>
      </c>
      <c r="BI258">
        <f t="shared" si="695"/>
        <v>1.7953576331877181E-2</v>
      </c>
      <c r="BJ258" s="460">
        <f t="shared" si="696"/>
        <v>58.203576331877187</v>
      </c>
      <c r="BK258">
        <f t="shared" si="761"/>
        <v>3.6580201674465105</v>
      </c>
      <c r="BL258" s="460">
        <f t="shared" si="697"/>
        <v>3669.4513822192034</v>
      </c>
      <c r="BM258" s="173">
        <f t="shared" si="762"/>
        <v>0.70412999999999992</v>
      </c>
      <c r="BN258" s="173">
        <f t="shared" si="763"/>
        <v>5.0294999999999999E-2</v>
      </c>
      <c r="BQ258" s="460">
        <f t="shared" si="698"/>
        <v>754.42499999999995</v>
      </c>
      <c r="BR258" s="528">
        <f t="shared" si="699"/>
        <v>4.7902353786807503E-2</v>
      </c>
      <c r="BS258" s="528">
        <f t="shared" si="700"/>
        <v>0.13677849727702235</v>
      </c>
      <c r="BT258" s="528">
        <f t="shared" si="701"/>
        <v>4.9653556198988149E-4</v>
      </c>
      <c r="BU258" s="528">
        <f t="shared" si="702"/>
        <v>11.37388867242724</v>
      </c>
      <c r="BV258" s="528"/>
      <c r="BW258" s="625">
        <f t="shared" si="703"/>
        <v>1.385106382978724</v>
      </c>
      <c r="BX258" s="460">
        <f t="shared" si="704"/>
        <v>12944.172442031786</v>
      </c>
      <c r="BY258" s="173">
        <f t="shared" si="705"/>
        <v>17.368048824250987</v>
      </c>
      <c r="BZ258" s="5">
        <f t="shared" si="706"/>
        <v>32.550000000000004</v>
      </c>
      <c r="CA258" s="173">
        <f t="shared" si="707"/>
        <v>0.6520687560245082</v>
      </c>
      <c r="CB258" s="5">
        <f t="shared" si="708"/>
        <v>65.206875602450822</v>
      </c>
      <c r="CC258">
        <f t="shared" si="709"/>
        <v>42.000000000000007</v>
      </c>
      <c r="CE258" s="562">
        <f t="shared" si="764"/>
        <v>-50</v>
      </c>
      <c r="CG258" s="173">
        <f t="shared" si="765"/>
        <v>0.35124777579366961</v>
      </c>
      <c r="CH258" s="173">
        <f t="shared" si="766"/>
        <v>0.114038084478306</v>
      </c>
      <c r="CI258" s="170">
        <v>42</v>
      </c>
      <c r="CJ258" s="217">
        <f t="shared" si="710"/>
        <v>1.05</v>
      </c>
      <c r="CK258" s="217">
        <f t="shared" si="651"/>
        <v>0.105</v>
      </c>
      <c r="CL258" s="217">
        <f t="shared" si="652"/>
        <v>29.400000000000002</v>
      </c>
      <c r="CM258" s="217">
        <f t="shared" si="653"/>
        <v>3.15</v>
      </c>
      <c r="CN258" s="541">
        <f t="shared" si="654"/>
        <v>40</v>
      </c>
      <c r="CO258" s="443">
        <f t="shared" si="767"/>
        <v>28.7</v>
      </c>
      <c r="CP258" s="443">
        <f t="shared" si="768"/>
        <v>68.7</v>
      </c>
      <c r="CQ258" s="443"/>
      <c r="CR258" s="217">
        <f t="shared" si="657"/>
        <v>0.41520467836257302</v>
      </c>
      <c r="CS258" s="172">
        <f t="shared" si="658"/>
        <v>125.00786015217253</v>
      </c>
      <c r="CT258" s="172">
        <f t="shared" si="659"/>
        <v>14.828738512949037</v>
      </c>
      <c r="CU258" s="217">
        <f t="shared" si="660"/>
        <v>4.4645664340061613</v>
      </c>
      <c r="CV258" s="217">
        <f t="shared" si="661"/>
        <v>4.1669286717390843</v>
      </c>
      <c r="CW258" s="217">
        <f t="shared" si="662"/>
        <v>28</v>
      </c>
      <c r="CX258" s="217">
        <f t="shared" si="663"/>
        <v>3.9197535211267622</v>
      </c>
      <c r="CY258" s="217">
        <f t="shared" si="664"/>
        <v>0.46057103873239458</v>
      </c>
      <c r="CZ258" s="217">
        <f t="shared" si="665"/>
        <v>0.64191085537615966</v>
      </c>
      <c r="DA258" s="197">
        <f t="shared" si="666"/>
        <v>350</v>
      </c>
      <c r="DB258" s="443">
        <f t="shared" si="667"/>
        <v>350</v>
      </c>
      <c r="DD258" s="217">
        <f t="shared" si="668"/>
        <v>10.158258230357086</v>
      </c>
      <c r="DE258" s="173">
        <f t="shared" si="669"/>
        <v>1.6635475150758992</v>
      </c>
      <c r="DF258" s="173">
        <f t="shared" si="670"/>
        <v>2.6710919890125213</v>
      </c>
      <c r="DG258" s="173"/>
      <c r="DH258" s="173">
        <f t="shared" si="671"/>
        <v>0.54587688734030204</v>
      </c>
      <c r="DI258" s="545">
        <f t="shared" si="672"/>
        <v>1154.1063829787233</v>
      </c>
      <c r="DJ258" s="528">
        <f t="shared" si="673"/>
        <v>0.31842818428184283</v>
      </c>
      <c r="DL258" s="173">
        <f t="shared" si="674"/>
        <v>6.2908241181188966</v>
      </c>
      <c r="DM258" s="173">
        <f t="shared" si="675"/>
        <v>6.2908241181188966</v>
      </c>
      <c r="DN258" s="173">
        <f t="shared" si="676"/>
        <v>3.3907339146559723</v>
      </c>
      <c r="DP258" s="545">
        <f t="shared" si="677"/>
        <v>1050</v>
      </c>
      <c r="DQ258" s="460">
        <f t="shared" si="678"/>
        <v>350</v>
      </c>
      <c r="DS258">
        <f t="shared" si="679"/>
        <v>1050</v>
      </c>
      <c r="DT258">
        <f t="shared" si="680"/>
        <v>350</v>
      </c>
      <c r="DV258" s="5">
        <f t="shared" si="681"/>
        <v>2.8571428571428572</v>
      </c>
      <c r="DW258" s="5">
        <f t="shared" si="682"/>
        <v>0.73917183387897034</v>
      </c>
      <c r="DX258" s="5">
        <f t="shared" si="683"/>
        <v>2.1179710232638866</v>
      </c>
      <c r="DY258" s="173">
        <f t="shared" si="684"/>
        <v>0.25871014185763963</v>
      </c>
      <c r="EA258" s="5">
        <f t="shared" si="711"/>
        <v>2.7718943770461393</v>
      </c>
      <c r="EB258" s="5">
        <f t="shared" si="712"/>
        <v>0.25871014185763963</v>
      </c>
      <c r="EC258" s="5">
        <f t="shared" si="713"/>
        <v>1.1119347872135406</v>
      </c>
      <c r="ED258" s="5"/>
      <c r="EE258" s="173">
        <f t="shared" si="714"/>
        <v>1.8473689626275263</v>
      </c>
      <c r="EF258" s="173">
        <f t="shared" si="715"/>
        <v>3.1270940628037764</v>
      </c>
      <c r="EG258" s="173">
        <f t="shared" si="716"/>
        <v>0.31527259813513481</v>
      </c>
      <c r="EH258" s="173"/>
      <c r="EI258" s="528">
        <f t="shared" si="717"/>
        <v>4.0953265008954028E-2</v>
      </c>
      <c r="EJ258" s="528">
        <f t="shared" si="718"/>
        <v>2.8739944524832088</v>
      </c>
      <c r="EK258" s="528">
        <f t="shared" si="719"/>
        <v>4.0250000000000001E-2</v>
      </c>
      <c r="EL258" s="528">
        <f t="shared" si="720"/>
        <v>0.81355656375000007</v>
      </c>
      <c r="EM258">
        <f t="shared" si="721"/>
        <v>1.7999999999999999E-2</v>
      </c>
      <c r="EN258" s="460">
        <f t="shared" si="722"/>
        <v>58.249999999999993</v>
      </c>
      <c r="EP258" s="460">
        <f t="shared" si="723"/>
        <v>3786.7542812421625</v>
      </c>
      <c r="EQ258" s="173">
        <f t="shared" si="724"/>
        <v>0.73499999999999999</v>
      </c>
      <c r="ER258" s="173">
        <f t="shared" si="769"/>
        <v>5.0294999999999999E-2</v>
      </c>
      <c r="ES258" s="528"/>
      <c r="EU258" s="460">
        <f t="shared" si="725"/>
        <v>785.29499999999996</v>
      </c>
      <c r="EV258" s="528">
        <f t="shared" si="726"/>
        <v>4.7778809177113031E-2</v>
      </c>
      <c r="EW258" s="528">
        <f t="shared" si="727"/>
        <v>0.13690204188671681</v>
      </c>
      <c r="EX258" s="528">
        <f t="shared" si="728"/>
        <v>4.96984055674391E-4</v>
      </c>
      <c r="EY258" s="528">
        <f t="shared" si="729"/>
        <v>11.37388867242724</v>
      </c>
      <c r="EZ258" s="528"/>
      <c r="FA258" s="625">
        <f t="shared" si="730"/>
        <v>1.385106382978724</v>
      </c>
      <c r="FB258" s="460">
        <f t="shared" si="731"/>
        <v>12944.172890525468</v>
      </c>
      <c r="FC258" s="173">
        <f t="shared" si="732"/>
        <v>17.51622217176763</v>
      </c>
      <c r="FD258" s="5">
        <f t="shared" si="733"/>
        <v>32.550000000000004</v>
      </c>
      <c r="FE258" s="173">
        <f t="shared" si="734"/>
        <v>0.65013892776505444</v>
      </c>
      <c r="FF258" s="5">
        <f t="shared" si="735"/>
        <v>65.013892776505443</v>
      </c>
      <c r="FG258">
        <f t="shared" si="736"/>
        <v>42.000000000000007</v>
      </c>
      <c r="FI258" s="562">
        <f t="shared" si="686"/>
        <v>-50</v>
      </c>
    </row>
    <row r="259" spans="5:165">
      <c r="E259" s="170">
        <v>43</v>
      </c>
      <c r="F259" s="217">
        <f t="shared" si="770"/>
        <v>1.075</v>
      </c>
      <c r="G259" s="217">
        <f t="shared" si="740"/>
        <v>0.1075</v>
      </c>
      <c r="H259" s="217">
        <f t="shared" si="741"/>
        <v>30.099999999999998</v>
      </c>
      <c r="I259" s="217">
        <f t="shared" si="742"/>
        <v>3.2250000000000001</v>
      </c>
      <c r="J259" s="541">
        <f t="shared" si="743"/>
        <v>39.895615378291296</v>
      </c>
      <c r="K259" s="443">
        <f t="shared" si="744"/>
        <v>28.742346091783794</v>
      </c>
      <c r="L259" s="172">
        <f t="shared" si="745"/>
        <v>68.637961470075084</v>
      </c>
      <c r="M259" s="443"/>
      <c r="N259" s="217">
        <f t="shared" si="746"/>
        <v>0.41875290985025743</v>
      </c>
      <c r="O259" s="172">
        <f t="shared" si="747"/>
        <v>125.74713463385284</v>
      </c>
      <c r="P259" s="172">
        <f t="shared" si="748"/>
        <v>14.916433062434072</v>
      </c>
      <c r="Q259" s="217">
        <f t="shared" si="624"/>
        <v>4.4909690940661724</v>
      </c>
      <c r="R259" s="217">
        <f t="shared" si="749"/>
        <v>4.1915711544617613</v>
      </c>
      <c r="S259" s="217">
        <f t="shared" si="750"/>
        <v>28</v>
      </c>
      <c r="T259" s="217">
        <f t="shared" si="751"/>
        <v>3.989487856939296</v>
      </c>
      <c r="U259" s="217">
        <f t="shared" si="628"/>
        <v>0.46999131984357334</v>
      </c>
      <c r="V259" s="217">
        <f t="shared" si="629"/>
        <v>0.6523682119663391</v>
      </c>
      <c r="W259" s="197">
        <f t="shared" si="630"/>
        <v>350</v>
      </c>
      <c r="X259" s="443">
        <f t="shared" si="688"/>
        <v>350</v>
      </c>
      <c r="Z259" s="217">
        <f t="shared" si="631"/>
        <v>10.155869319104049</v>
      </c>
      <c r="AA259" s="173">
        <f t="shared" si="632"/>
        <v>1.6607059718564079</v>
      </c>
      <c r="AB259" s="173">
        <f t="shared" si="752"/>
        <v>2.6659023501736741</v>
      </c>
      <c r="AC259" s="173"/>
      <c r="AD259" s="173">
        <f t="shared" si="634"/>
        <v>0.54507264704968172</v>
      </c>
      <c r="AE259" s="545">
        <f t="shared" si="753"/>
        <v>1183.3285039915243</v>
      </c>
      <c r="AF259" s="528">
        <f t="shared" si="754"/>
        <v>0.31795904411231429</v>
      </c>
      <c r="AH259" s="173">
        <f t="shared" si="755"/>
        <v>6.3652743322835628</v>
      </c>
      <c r="AI259" s="173">
        <f t="shared" si="756"/>
        <v>6.3652743322835628</v>
      </c>
      <c r="AJ259" s="173">
        <f t="shared" si="757"/>
        <v>3.4458822214446139</v>
      </c>
      <c r="AL259" s="545">
        <f t="shared" si="758"/>
        <v>1075</v>
      </c>
      <c r="AM259" s="460">
        <f t="shared" si="759"/>
        <v>350</v>
      </c>
      <c r="AO259">
        <f t="shared" si="642"/>
        <v>1075</v>
      </c>
      <c r="AP259">
        <f t="shared" si="643"/>
        <v>350</v>
      </c>
      <c r="AR259" s="5">
        <f t="shared" si="614"/>
        <v>2.8571428571428572</v>
      </c>
      <c r="AS259" s="5">
        <f t="shared" si="737"/>
        <v>0.74987662373573993</v>
      </c>
      <c r="AT259" s="5">
        <f t="shared" si="738"/>
        <v>2.1072662334071173</v>
      </c>
      <c r="AU259" s="173">
        <f t="shared" si="739"/>
        <v>0.26245681830750894</v>
      </c>
      <c r="BA259" s="173">
        <f t="shared" si="689"/>
        <v>1.8827186652501617</v>
      </c>
      <c r="BB259" s="173">
        <f t="shared" si="690"/>
        <v>3.1560961438557764</v>
      </c>
      <c r="BC259" s="173">
        <f t="shared" si="691"/>
        <v>0.31819657843791843</v>
      </c>
      <c r="BD259" s="173"/>
      <c r="BE259" s="528">
        <f t="shared" si="692"/>
        <v>4.2535554869776206E-2</v>
      </c>
      <c r="BF259" s="528">
        <f t="shared" si="760"/>
        <v>2.7906952647611458</v>
      </c>
      <c r="BG259" s="528">
        <f t="shared" si="693"/>
        <v>4.0250000000000001E-2</v>
      </c>
      <c r="BH259" s="528">
        <f t="shared" si="694"/>
        <v>0.81208788647804986</v>
      </c>
      <c r="BI259">
        <f t="shared" si="695"/>
        <v>1.7953026920231083E-2</v>
      </c>
      <c r="BJ259" s="460">
        <f t="shared" si="696"/>
        <v>58.203026920231082</v>
      </c>
      <c r="BK259">
        <f t="shared" si="761"/>
        <v>3.6941379180959495</v>
      </c>
      <c r="BL259" s="460">
        <f t="shared" si="697"/>
        <v>3703.5217330292035</v>
      </c>
      <c r="BM259" s="173">
        <f t="shared" si="762"/>
        <v>0.72089499999999995</v>
      </c>
      <c r="BN259" s="173">
        <f t="shared" si="763"/>
        <v>5.1492499999999997E-2</v>
      </c>
      <c r="BQ259" s="460">
        <f t="shared" si="698"/>
        <v>772.38750000000005</v>
      </c>
      <c r="BR259" s="528">
        <f t="shared" si="699"/>
        <v>4.9624814014738908E-2</v>
      </c>
      <c r="BS259" s="528">
        <f t="shared" si="700"/>
        <v>0.13945320016965823</v>
      </c>
      <c r="BT259" s="528">
        <f t="shared" si="701"/>
        <v>5.0624531264799192E-4</v>
      </c>
      <c r="BU259" s="528">
        <f t="shared" si="702"/>
        <v>11.713398794753626</v>
      </c>
      <c r="BV259" s="528"/>
      <c r="BW259" s="625">
        <f t="shared" si="703"/>
        <v>1.4180851063829787</v>
      </c>
      <c r="BX259" s="460">
        <f t="shared" si="704"/>
        <v>13321.068160633649</v>
      </c>
      <c r="BY259" s="173">
        <f t="shared" si="705"/>
        <v>17.796977393662853</v>
      </c>
      <c r="BZ259" s="5">
        <f t="shared" si="706"/>
        <v>33.324999999999996</v>
      </c>
      <c r="CA259" s="173">
        <f t="shared" si="707"/>
        <v>0.65187228074888615</v>
      </c>
      <c r="CB259" s="5">
        <f t="shared" si="708"/>
        <v>65.187228074888608</v>
      </c>
      <c r="CC259">
        <f t="shared" si="709"/>
        <v>43</v>
      </c>
      <c r="CE259" s="562">
        <f t="shared" si="764"/>
        <v>-50</v>
      </c>
      <c r="CG259" s="173">
        <f t="shared" si="765"/>
        <v>0.3554046988997191</v>
      </c>
      <c r="CH259" s="173">
        <f t="shared" si="766"/>
        <v>0.11538769458549131</v>
      </c>
      <c r="CI259" s="170">
        <v>43</v>
      </c>
      <c r="CJ259" s="217">
        <f t="shared" si="710"/>
        <v>1.075</v>
      </c>
      <c r="CK259" s="217">
        <f t="shared" si="651"/>
        <v>0.1075</v>
      </c>
      <c r="CL259" s="217">
        <f t="shared" si="652"/>
        <v>30.099999999999998</v>
      </c>
      <c r="CM259" s="217">
        <f t="shared" si="653"/>
        <v>3.2250000000000001</v>
      </c>
      <c r="CN259" s="541">
        <f t="shared" si="654"/>
        <v>40</v>
      </c>
      <c r="CO259" s="443">
        <f t="shared" si="767"/>
        <v>28.7</v>
      </c>
      <c r="CP259" s="443">
        <f t="shared" si="768"/>
        <v>68.7</v>
      </c>
      <c r="CQ259" s="443"/>
      <c r="CR259" s="217">
        <f t="shared" si="657"/>
        <v>0.41520467836257302</v>
      </c>
      <c r="CS259" s="172">
        <f t="shared" si="658"/>
        <v>125.00786015217253</v>
      </c>
      <c r="CT259" s="172">
        <f t="shared" si="659"/>
        <v>14.828738512949037</v>
      </c>
      <c r="CU259" s="217">
        <f t="shared" si="660"/>
        <v>4.4645664340061613</v>
      </c>
      <c r="CV259" s="217">
        <f t="shared" si="661"/>
        <v>4.1669286717390843</v>
      </c>
      <c r="CW259" s="217">
        <f t="shared" si="662"/>
        <v>28</v>
      </c>
      <c r="CX259" s="217">
        <f t="shared" si="663"/>
        <v>4.0130809859154937</v>
      </c>
      <c r="CY259" s="217">
        <f t="shared" si="664"/>
        <v>0.47153701584507046</v>
      </c>
      <c r="CZ259" s="217">
        <f t="shared" si="665"/>
        <v>0.65719444717082998</v>
      </c>
      <c r="DA259" s="197">
        <f t="shared" si="666"/>
        <v>350</v>
      </c>
      <c r="DB259" s="443">
        <f t="shared" si="667"/>
        <v>350</v>
      </c>
      <c r="DD259" s="217">
        <f t="shared" si="668"/>
        <v>10.158258230357086</v>
      </c>
      <c r="DE259" s="173">
        <f t="shared" si="669"/>
        <v>1.6635475150758992</v>
      </c>
      <c r="DF259" s="173">
        <f t="shared" si="670"/>
        <v>2.6710919890125213</v>
      </c>
      <c r="DG259" s="173"/>
      <c r="DH259" s="173">
        <f t="shared" si="671"/>
        <v>0.54587688734030204</v>
      </c>
      <c r="DI259" s="545">
        <f t="shared" si="672"/>
        <v>1181.5851063829787</v>
      </c>
      <c r="DJ259" s="528">
        <f t="shared" si="673"/>
        <v>0.31842818428184283</v>
      </c>
      <c r="DL259" s="173">
        <f t="shared" si="674"/>
        <v>6.3652743322835628</v>
      </c>
      <c r="DM259" s="173">
        <f t="shared" si="675"/>
        <v>6.3652743322835628</v>
      </c>
      <c r="DN259" s="173">
        <f t="shared" si="676"/>
        <v>3.4458822214446139</v>
      </c>
      <c r="DP259" s="545">
        <f t="shared" si="677"/>
        <v>1075</v>
      </c>
      <c r="DQ259" s="460">
        <f t="shared" si="678"/>
        <v>350</v>
      </c>
      <c r="DS259">
        <f t="shared" si="679"/>
        <v>1075</v>
      </c>
      <c r="DT259">
        <f t="shared" si="680"/>
        <v>350</v>
      </c>
      <c r="DV259" s="5">
        <f t="shared" si="681"/>
        <v>2.8571428571428572</v>
      </c>
      <c r="DW259" s="5">
        <f t="shared" si="682"/>
        <v>0.74791973404331857</v>
      </c>
      <c r="DX259" s="5">
        <f t="shared" si="683"/>
        <v>2.1092231230995386</v>
      </c>
      <c r="DY259" s="173">
        <f t="shared" si="684"/>
        <v>0.2617719069151615</v>
      </c>
      <c r="EA259" s="5">
        <f t="shared" si="711"/>
        <v>2.8714775503448835</v>
      </c>
      <c r="EB259" s="5">
        <f t="shared" si="712"/>
        <v>0.26800457136552253</v>
      </c>
      <c r="EC259" s="5">
        <f t="shared" si="713"/>
        <v>1.1337074286660018</v>
      </c>
      <c r="ED259" s="5"/>
      <c r="EE259" s="173">
        <f t="shared" si="714"/>
        <v>1.8802604745236304</v>
      </c>
      <c r="EF259" s="173">
        <f t="shared" si="715"/>
        <v>3.1575612408450326</v>
      </c>
      <c r="EG259" s="173">
        <f t="shared" si="716"/>
        <v>0.31834428903601558</v>
      </c>
      <c r="EH259" s="173"/>
      <c r="EI259" s="528">
        <f t="shared" si="717"/>
        <v>4.2424553424669935E-2</v>
      </c>
      <c r="EJ259" s="528">
        <f t="shared" si="718"/>
        <v>2.9080074050754074</v>
      </c>
      <c r="EK259" s="528">
        <f t="shared" si="719"/>
        <v>4.0250000000000001E-2</v>
      </c>
      <c r="EL259" s="528">
        <f t="shared" si="720"/>
        <v>0.81355656375000007</v>
      </c>
      <c r="EM259">
        <f t="shared" si="721"/>
        <v>1.7999999999999999E-2</v>
      </c>
      <c r="EN259" s="460">
        <f t="shared" si="722"/>
        <v>58.249999999999993</v>
      </c>
      <c r="EP259" s="460">
        <f t="shared" si="723"/>
        <v>3822.2385222500775</v>
      </c>
      <c r="EQ259" s="173">
        <f t="shared" si="724"/>
        <v>0.75249999999999995</v>
      </c>
      <c r="ER259" s="173">
        <f t="shared" si="769"/>
        <v>5.1492499999999997E-2</v>
      </c>
      <c r="ES259" s="528"/>
      <c r="EU259" s="460">
        <f t="shared" si="725"/>
        <v>803.99249999999984</v>
      </c>
      <c r="EV259" s="528">
        <f t="shared" si="726"/>
        <v>4.9495312328781592E-2</v>
      </c>
      <c r="EW259" s="528">
        <f t="shared" si="727"/>
        <v>0.13958270185561553</v>
      </c>
      <c r="EX259" s="528">
        <f t="shared" si="728"/>
        <v>5.067154318092312E-4</v>
      </c>
      <c r="EY259" s="528">
        <f t="shared" si="729"/>
        <v>11.713398794753626</v>
      </c>
      <c r="EZ259" s="528"/>
      <c r="FA259" s="625">
        <f t="shared" si="730"/>
        <v>1.4180851063829787</v>
      </c>
      <c r="FB259" s="460">
        <f t="shared" si="731"/>
        <v>13321.06863075281</v>
      </c>
      <c r="FC259" s="173">
        <f t="shared" si="732"/>
        <v>17.94729965300289</v>
      </c>
      <c r="FD259" s="5">
        <f t="shared" si="733"/>
        <v>33.324999999999996</v>
      </c>
      <c r="FE259" s="173">
        <f t="shared" si="734"/>
        <v>0.64996109450004425</v>
      </c>
      <c r="FF259" s="5">
        <f t="shared" si="735"/>
        <v>64.996109450004425</v>
      </c>
      <c r="FG259">
        <f t="shared" si="736"/>
        <v>43</v>
      </c>
      <c r="FI259" s="562">
        <f t="shared" si="686"/>
        <v>-50</v>
      </c>
    </row>
    <row r="260" spans="5:165">
      <c r="E260" s="170">
        <v>44</v>
      </c>
      <c r="F260" s="217">
        <f t="shared" si="770"/>
        <v>1.1000000000000001</v>
      </c>
      <c r="G260" s="217">
        <f t="shared" si="740"/>
        <v>0.11</v>
      </c>
      <c r="H260" s="217">
        <f t="shared" si="741"/>
        <v>30.800000000000004</v>
      </c>
      <c r="I260" s="217">
        <f t="shared" si="742"/>
        <v>3.3</v>
      </c>
      <c r="J260" s="541">
        <f t="shared" si="743"/>
        <v>39.894408579567184</v>
      </c>
      <c r="K260" s="443">
        <f t="shared" si="744"/>
        <v>28.742835658241951</v>
      </c>
      <c r="L260" s="172">
        <f t="shared" si="745"/>
        <v>68.637244237809142</v>
      </c>
      <c r="M260" s="443"/>
      <c r="N260" s="217">
        <f t="shared" si="746"/>
        <v>0.41876441831866013</v>
      </c>
      <c r="O260" s="172">
        <f t="shared" si="747"/>
        <v>125.74678668916766</v>
      </c>
      <c r="P260" s="172">
        <f t="shared" si="748"/>
        <v>14.916391788383407</v>
      </c>
      <c r="Q260" s="217">
        <f t="shared" si="624"/>
        <v>4.4909566674702734</v>
      </c>
      <c r="R260" s="217">
        <f t="shared" si="749"/>
        <v>4.191559556305589</v>
      </c>
      <c r="S260" s="217">
        <f t="shared" si="750"/>
        <v>28</v>
      </c>
      <c r="T260" s="217">
        <f t="shared" si="751"/>
        <v>4.0822779400497717</v>
      </c>
      <c r="U260" s="217">
        <f t="shared" si="628"/>
        <v>0.48093722908480036</v>
      </c>
      <c r="V260" s="217">
        <f t="shared" si="629"/>
        <v>0.66753004283807249</v>
      </c>
      <c r="W260" s="197">
        <f t="shared" si="630"/>
        <v>350</v>
      </c>
      <c r="X260" s="443">
        <f t="shared" si="688"/>
        <v>350</v>
      </c>
      <c r="Z260" s="217">
        <f t="shared" si="631"/>
        <v>10.155841217622747</v>
      </c>
      <c r="AA260" s="173">
        <f t="shared" si="632"/>
        <v>1.660673090518114</v>
      </c>
      <c r="AB260" s="173">
        <f t="shared" si="752"/>
        <v>2.66584218987858</v>
      </c>
      <c r="AC260" s="173"/>
      <c r="AD260" s="173">
        <f t="shared" si="634"/>
        <v>0.54506336302188341</v>
      </c>
      <c r="AE260" s="545">
        <f t="shared" si="753"/>
        <v>1210.8683958152994</v>
      </c>
      <c r="AF260" s="528">
        <f t="shared" si="754"/>
        <v>0.31795362842943198</v>
      </c>
      <c r="AH260" s="173">
        <f t="shared" si="755"/>
        <v>6.4388637635338695</v>
      </c>
      <c r="AI260" s="173">
        <f t="shared" si="756"/>
        <v>6.4388637635338695</v>
      </c>
      <c r="AJ260" s="173">
        <f t="shared" si="757"/>
        <v>3.5003929112596559</v>
      </c>
      <c r="AL260" s="545">
        <f t="shared" si="758"/>
        <v>1100</v>
      </c>
      <c r="AM260" s="460">
        <f t="shared" si="759"/>
        <v>350</v>
      </c>
      <c r="AO260">
        <f t="shared" si="642"/>
        <v>1100</v>
      </c>
      <c r="AP260">
        <f t="shared" si="643"/>
        <v>350</v>
      </c>
      <c r="AR260" s="5">
        <f t="shared" si="614"/>
        <v>2.8571428571428572</v>
      </c>
      <c r="AS260" s="5">
        <f t="shared" si="737"/>
        <v>0.75856895154246973</v>
      </c>
      <c r="AT260" s="5">
        <f t="shared" si="738"/>
        <v>2.0985739056003876</v>
      </c>
      <c r="AU260" s="173">
        <f t="shared" si="739"/>
        <v>0.26549913303986439</v>
      </c>
      <c r="BA260" s="173">
        <f t="shared" si="689"/>
        <v>1.9154912059163858</v>
      </c>
      <c r="BB260" s="173">
        <f t="shared" si="690"/>
        <v>3.1859926179826865</v>
      </c>
      <c r="BC260" s="173">
        <f t="shared" si="691"/>
        <v>0.32121073115727083</v>
      </c>
      <c r="BD260" s="173"/>
      <c r="BE260" s="528">
        <f t="shared" si="692"/>
        <v>4.4029278719316119E-2</v>
      </c>
      <c r="BF260" s="528">
        <f t="shared" si="760"/>
        <v>2.8229292111011848</v>
      </c>
      <c r="BG260" s="528">
        <f t="shared" si="693"/>
        <v>4.0250000000000001E-2</v>
      </c>
      <c r="BH260" s="528">
        <f t="shared" si="694"/>
        <v>0.81207091474464466</v>
      </c>
      <c r="BI260">
        <f t="shared" si="695"/>
        <v>1.7952483860805231E-2</v>
      </c>
      <c r="BJ260" s="460">
        <f t="shared" si="696"/>
        <v>58.202483860805231</v>
      </c>
      <c r="BK260">
        <f t="shared" si="761"/>
        <v>3.7299375163621793</v>
      </c>
      <c r="BL260" s="460">
        <f t="shared" si="697"/>
        <v>3737.2318884259512</v>
      </c>
      <c r="BM260" s="173">
        <f t="shared" si="762"/>
        <v>0.73765999999999998</v>
      </c>
      <c r="BN260" s="173">
        <f t="shared" si="763"/>
        <v>5.2690000000000001E-2</v>
      </c>
      <c r="BQ260" s="460">
        <f t="shared" si="698"/>
        <v>790.35</v>
      </c>
      <c r="BR260" s="528">
        <f t="shared" si="699"/>
        <v>5.136749183920214E-2</v>
      </c>
      <c r="BS260" s="528">
        <f t="shared" si="700"/>
        <v>0.14210768546576241</v>
      </c>
      <c r="BT260" s="528">
        <f t="shared" si="701"/>
        <v>5.1588166905294265E-4</v>
      </c>
      <c r="BU260" s="528">
        <f t="shared" si="702"/>
        <v>12.054888718968424</v>
      </c>
      <c r="BV260" s="528"/>
      <c r="BW260" s="625">
        <f t="shared" si="703"/>
        <v>1.4510638297872345</v>
      </c>
      <c r="BX260" s="460">
        <f t="shared" si="704"/>
        <v>13699.943607729676</v>
      </c>
      <c r="BY260" s="173">
        <f t="shared" si="705"/>
        <v>18.227525496155629</v>
      </c>
      <c r="BZ260" s="5">
        <f t="shared" si="706"/>
        <v>34.1</v>
      </c>
      <c r="CA260" s="173">
        <f t="shared" si="707"/>
        <v>0.65166467698735808</v>
      </c>
      <c r="CB260" s="5">
        <f t="shared" si="708"/>
        <v>65.166467698735815</v>
      </c>
      <c r="CC260">
        <f t="shared" si="709"/>
        <v>44.000000000000007</v>
      </c>
      <c r="CE260" s="562">
        <f t="shared" si="764"/>
        <v>-50</v>
      </c>
      <c r="CG260" s="173">
        <f t="shared" si="765"/>
        <v>0.35951356024495101</v>
      </c>
      <c r="CH260" s="173">
        <f t="shared" si="766"/>
        <v>0.11672170069026575</v>
      </c>
      <c r="CI260" s="170">
        <v>44</v>
      </c>
      <c r="CJ260" s="217">
        <f t="shared" si="710"/>
        <v>1.1000000000000001</v>
      </c>
      <c r="CK260" s="217">
        <f t="shared" si="651"/>
        <v>0.11</v>
      </c>
      <c r="CL260" s="217">
        <f t="shared" si="652"/>
        <v>30.800000000000004</v>
      </c>
      <c r="CM260" s="217">
        <f t="shared" si="653"/>
        <v>3.3</v>
      </c>
      <c r="CN260" s="541">
        <f t="shared" si="654"/>
        <v>40</v>
      </c>
      <c r="CO260" s="443">
        <f t="shared" si="767"/>
        <v>28.7</v>
      </c>
      <c r="CP260" s="443">
        <f t="shared" si="768"/>
        <v>68.7</v>
      </c>
      <c r="CQ260" s="443"/>
      <c r="CR260" s="217">
        <f t="shared" si="657"/>
        <v>0.41520467836257302</v>
      </c>
      <c r="CS260" s="172">
        <f t="shared" si="658"/>
        <v>125.00786015217253</v>
      </c>
      <c r="CT260" s="172">
        <f t="shared" si="659"/>
        <v>14.828738512949037</v>
      </c>
      <c r="CU260" s="217">
        <f t="shared" si="660"/>
        <v>4.4645664340061613</v>
      </c>
      <c r="CV260" s="217">
        <f t="shared" si="661"/>
        <v>4.1669286717390843</v>
      </c>
      <c r="CW260" s="217">
        <f t="shared" si="662"/>
        <v>28</v>
      </c>
      <c r="CX260" s="217">
        <f t="shared" si="663"/>
        <v>4.1064084507042269</v>
      </c>
      <c r="CY260" s="217">
        <f t="shared" si="664"/>
        <v>0.48250299295774662</v>
      </c>
      <c r="CZ260" s="217">
        <f t="shared" si="665"/>
        <v>0.67247803896550051</v>
      </c>
      <c r="DA260" s="197">
        <f t="shared" si="666"/>
        <v>350</v>
      </c>
      <c r="DB260" s="443">
        <f t="shared" si="667"/>
        <v>350</v>
      </c>
      <c r="DD260" s="217">
        <f t="shared" si="668"/>
        <v>10.158258230357086</v>
      </c>
      <c r="DE260" s="173">
        <f t="shared" si="669"/>
        <v>1.6635475150758992</v>
      </c>
      <c r="DF260" s="173">
        <f t="shared" si="670"/>
        <v>2.6710919890125213</v>
      </c>
      <c r="DG260" s="173"/>
      <c r="DH260" s="173">
        <f t="shared" si="671"/>
        <v>0.54587688734030204</v>
      </c>
      <c r="DI260" s="545">
        <f t="shared" si="672"/>
        <v>1209.063829787234</v>
      </c>
      <c r="DJ260" s="528">
        <f t="shared" si="673"/>
        <v>0.31842818428184283</v>
      </c>
      <c r="DL260" s="173">
        <f t="shared" si="674"/>
        <v>6.4388637635338695</v>
      </c>
      <c r="DM260" s="173">
        <f t="shared" si="675"/>
        <v>6.4388637635338695</v>
      </c>
      <c r="DN260" s="173">
        <f t="shared" si="676"/>
        <v>3.5003929112596559</v>
      </c>
      <c r="DP260" s="545">
        <f t="shared" si="677"/>
        <v>1100</v>
      </c>
      <c r="DQ260" s="460">
        <f t="shared" si="678"/>
        <v>350</v>
      </c>
      <c r="DS260">
        <f t="shared" si="679"/>
        <v>1100</v>
      </c>
      <c r="DT260">
        <f t="shared" si="680"/>
        <v>350</v>
      </c>
      <c r="DV260" s="5">
        <f t="shared" si="681"/>
        <v>2.8571428571428572</v>
      </c>
      <c r="DW260" s="5">
        <f t="shared" si="682"/>
        <v>0.75656649221522965</v>
      </c>
      <c r="DX260" s="5">
        <f t="shared" si="683"/>
        <v>2.1005763649276274</v>
      </c>
      <c r="DY260" s="173">
        <f t="shared" si="684"/>
        <v>0.26479827227533037</v>
      </c>
      <c r="EA260" s="5">
        <f t="shared" si="711"/>
        <v>2.9722255051312594</v>
      </c>
      <c r="EB260" s="5">
        <f t="shared" si="712"/>
        <v>0.27740771381225088</v>
      </c>
      <c r="EC260" s="5">
        <f t="shared" si="713"/>
        <v>1.1553170007101952</v>
      </c>
      <c r="ED260" s="5"/>
      <c r="EE260" s="173">
        <f t="shared" si="714"/>
        <v>1.9129612922399701</v>
      </c>
      <c r="EF260" s="173">
        <f t="shared" si="715"/>
        <v>3.1875122927095929</v>
      </c>
      <c r="EG260" s="173">
        <f t="shared" si="716"/>
        <v>0.3213639442649836</v>
      </c>
      <c r="EH260" s="173"/>
      <c r="EI260" s="528">
        <f t="shared" si="717"/>
        <v>4.3913050867300997E-2</v>
      </c>
      <c r="EJ260" s="528">
        <f t="shared" si="718"/>
        <v>2.9416271046892666</v>
      </c>
      <c r="EK260" s="528">
        <f t="shared" si="719"/>
        <v>4.0250000000000001E-2</v>
      </c>
      <c r="EL260" s="528">
        <f t="shared" si="720"/>
        <v>0.81355656375000007</v>
      </c>
      <c r="EM260">
        <f t="shared" si="721"/>
        <v>1.7999999999999999E-2</v>
      </c>
      <c r="EN260" s="460">
        <f t="shared" si="722"/>
        <v>58.249999999999993</v>
      </c>
      <c r="EP260" s="460">
        <f t="shared" si="723"/>
        <v>3857.3467193065671</v>
      </c>
      <c r="EQ260" s="173">
        <f t="shared" si="724"/>
        <v>0.77</v>
      </c>
      <c r="ER260" s="173">
        <f t="shared" si="769"/>
        <v>5.2690000000000001E-2</v>
      </c>
      <c r="ES260" s="528"/>
      <c r="EU260" s="460">
        <f t="shared" si="725"/>
        <v>822.69</v>
      </c>
      <c r="EV260" s="528">
        <f t="shared" si="726"/>
        <v>5.1231892678517833E-2</v>
      </c>
      <c r="EW260" s="528">
        <f t="shared" si="727"/>
        <v>0.14224328462644673</v>
      </c>
      <c r="EX260" s="528">
        <f t="shared" si="728"/>
        <v>5.1637392336773751E-4</v>
      </c>
      <c r="EY260" s="528">
        <f t="shared" si="729"/>
        <v>12.054888718968424</v>
      </c>
      <c r="EZ260" s="528"/>
      <c r="FA260" s="625">
        <f t="shared" si="730"/>
        <v>1.4510638297872345</v>
      </c>
      <c r="FB260" s="460">
        <f t="shared" si="731"/>
        <v>13699.944099983992</v>
      </c>
      <c r="FC260" s="173">
        <f t="shared" si="732"/>
        <v>18.379980819290559</v>
      </c>
      <c r="FD260" s="5">
        <f t="shared" si="733"/>
        <v>34.1</v>
      </c>
      <c r="FE260" s="173">
        <f t="shared" si="734"/>
        <v>0.64977157894588145</v>
      </c>
      <c r="FF260" s="5">
        <f t="shared" si="735"/>
        <v>64.977157894588146</v>
      </c>
      <c r="FG260">
        <f t="shared" si="736"/>
        <v>44.000000000000007</v>
      </c>
      <c r="FI260" s="562">
        <f t="shared" si="686"/>
        <v>-50</v>
      </c>
    </row>
    <row r="261" spans="5:165">
      <c r="E261" s="170">
        <v>45</v>
      </c>
      <c r="F261" s="217">
        <f t="shared" si="770"/>
        <v>1.125</v>
      </c>
      <c r="G261" s="217">
        <f t="shared" si="740"/>
        <v>0.1125</v>
      </c>
      <c r="H261" s="217">
        <f t="shared" si="741"/>
        <v>31.5</v>
      </c>
      <c r="I261" s="217">
        <f t="shared" si="742"/>
        <v>3.375</v>
      </c>
      <c r="J261" s="541">
        <f t="shared" si="743"/>
        <v>39.893215418300343</v>
      </c>
      <c r="K261" s="443">
        <f t="shared" si="744"/>
        <v>28.743319692342869</v>
      </c>
      <c r="L261" s="172">
        <f t="shared" si="745"/>
        <v>68.636535110643209</v>
      </c>
      <c r="M261" s="443"/>
      <c r="N261" s="217">
        <f t="shared" si="746"/>
        <v>0.41877579697180478</v>
      </c>
      <c r="O261" s="172">
        <f t="shared" si="747"/>
        <v>125.74644254189927</v>
      </c>
      <c r="P261" s="172">
        <f t="shared" si="748"/>
        <v>14.916350964791622</v>
      </c>
      <c r="Q261" s="217">
        <f t="shared" si="624"/>
        <v>4.4909443764964028</v>
      </c>
      <c r="R261" s="217">
        <f t="shared" si="749"/>
        <v>4.191548084729976</v>
      </c>
      <c r="S261" s="217">
        <f t="shared" si="750"/>
        <v>28</v>
      </c>
      <c r="T261" s="217">
        <f t="shared" si="751"/>
        <v>4.1750684105840028</v>
      </c>
      <c r="U261" s="217">
        <f t="shared" si="628"/>
        <v>0.49188367806379352</v>
      </c>
      <c r="V261" s="217">
        <f t="shared" si="629"/>
        <v>0.68269155197728504</v>
      </c>
      <c r="W261" s="197">
        <f t="shared" si="630"/>
        <v>350</v>
      </c>
      <c r="X261" s="443">
        <f t="shared" si="688"/>
        <v>350</v>
      </c>
      <c r="Z261" s="217">
        <f t="shared" si="631"/>
        <v>10.155813422836847</v>
      </c>
      <c r="AA261" s="173">
        <f t="shared" si="632"/>
        <v>1.6606405800805575</v>
      </c>
      <c r="AB261" s="173">
        <f t="shared" si="752"/>
        <v>2.665782705776758</v>
      </c>
      <c r="AC261" s="173"/>
      <c r="AD261" s="173">
        <f t="shared" si="634"/>
        <v>0.5450541842193759</v>
      </c>
      <c r="AE261" s="545">
        <f t="shared" si="753"/>
        <v>1238.4089867445598</v>
      </c>
      <c r="AF261" s="528">
        <f t="shared" si="754"/>
        <v>0.31794827412796933</v>
      </c>
      <c r="AH261" s="173">
        <f t="shared" si="755"/>
        <v>6.5116215956911319</v>
      </c>
      <c r="AI261" s="173">
        <f t="shared" si="756"/>
        <v>6.5116215956911319</v>
      </c>
      <c r="AJ261" s="173">
        <f t="shared" si="757"/>
        <v>3.554287601746517</v>
      </c>
      <c r="AL261" s="545">
        <f t="shared" si="758"/>
        <v>1125</v>
      </c>
      <c r="AM261" s="460">
        <f t="shared" si="759"/>
        <v>350</v>
      </c>
      <c r="AO261">
        <f t="shared" si="642"/>
        <v>1125</v>
      </c>
      <c r="AP261">
        <f t="shared" si="643"/>
        <v>350</v>
      </c>
      <c r="AR261" s="5">
        <f t="shared" si="614"/>
        <v>2.8571428571428572</v>
      </c>
      <c r="AS261" s="5">
        <f t="shared" si="737"/>
        <v>0.76716356851267908</v>
      </c>
      <c r="AT261" s="5">
        <f t="shared" si="738"/>
        <v>2.089979288630178</v>
      </c>
      <c r="AU261" s="173">
        <f t="shared" si="739"/>
        <v>0.26850724897943767</v>
      </c>
      <c r="BA261" s="173">
        <f t="shared" si="689"/>
        <v>1.9480788664143367</v>
      </c>
      <c r="BB261" s="173">
        <f t="shared" si="690"/>
        <v>3.2153891416208924</v>
      </c>
      <c r="BC261" s="173">
        <f t="shared" si="691"/>
        <v>0.32417447903227031</v>
      </c>
      <c r="BD261" s="173"/>
      <c r="BE261" s="528">
        <f t="shared" si="692"/>
        <v>4.5540135237242006E-2</v>
      </c>
      <c r="BF261" s="528">
        <f t="shared" si="760"/>
        <v>2.8547982340877143</v>
      </c>
      <c r="BG261" s="528">
        <f t="shared" si="693"/>
        <v>4.0250000000000001E-2</v>
      </c>
      <c r="BH261" s="528">
        <f t="shared" si="694"/>
        <v>0.81205413497506196</v>
      </c>
      <c r="BI261">
        <f t="shared" si="695"/>
        <v>1.7951946938235153E-2</v>
      </c>
      <c r="BJ261" s="460">
        <f t="shared" si="696"/>
        <v>58.201946938235153</v>
      </c>
      <c r="BK261">
        <f t="shared" si="761"/>
        <v>3.7654315761514674</v>
      </c>
      <c r="BL261" s="460">
        <f t="shared" si="697"/>
        <v>3770.5944512382534</v>
      </c>
      <c r="BM261" s="173">
        <f t="shared" si="762"/>
        <v>0.7544249999999999</v>
      </c>
      <c r="BN261" s="173">
        <f t="shared" si="763"/>
        <v>5.3887499999999998E-2</v>
      </c>
      <c r="BQ261" s="460">
        <f t="shared" si="698"/>
        <v>808.31249999999989</v>
      </c>
      <c r="BR261" s="528">
        <f t="shared" si="699"/>
        <v>5.3130157776782344E-2</v>
      </c>
      <c r="BS261" s="528">
        <f t="shared" si="700"/>
        <v>0.14474218264874955</v>
      </c>
      <c r="BT261" s="528">
        <f t="shared" si="701"/>
        <v>5.2544546427921938E-4</v>
      </c>
      <c r="BU261" s="528">
        <f t="shared" si="702"/>
        <v>12.398324596483359</v>
      </c>
      <c r="BV261" s="528"/>
      <c r="BW261" s="625">
        <f t="shared" si="703"/>
        <v>1.4840425531914896</v>
      </c>
      <c r="BX261" s="460">
        <f t="shared" si="704"/>
        <v>14080.764935564661</v>
      </c>
      <c r="BY261" s="173">
        <f t="shared" si="705"/>
        <v>18.659671886802915</v>
      </c>
      <c r="BZ261" s="5">
        <f t="shared" si="706"/>
        <v>34.875</v>
      </c>
      <c r="CA261" s="173">
        <f t="shared" si="707"/>
        <v>0.65144697391144757</v>
      </c>
      <c r="CB261" s="5">
        <f t="shared" si="708"/>
        <v>65.14469739114476</v>
      </c>
      <c r="CC261">
        <f t="shared" si="709"/>
        <v>45</v>
      </c>
      <c r="CE261" s="562">
        <f t="shared" si="764"/>
        <v>-50</v>
      </c>
      <c r="CG261" s="173">
        <f t="shared" si="765"/>
        <v>0.36357598930622465</v>
      </c>
      <c r="CH261" s="173">
        <f t="shared" si="766"/>
        <v>0.11804063182777932</v>
      </c>
      <c r="CI261" s="170">
        <v>45</v>
      </c>
      <c r="CJ261" s="217">
        <f t="shared" si="710"/>
        <v>1.125</v>
      </c>
      <c r="CK261" s="217">
        <f t="shared" si="651"/>
        <v>0.1125</v>
      </c>
      <c r="CL261" s="217">
        <f t="shared" si="652"/>
        <v>31.5</v>
      </c>
      <c r="CM261" s="217">
        <f t="shared" si="653"/>
        <v>3.375</v>
      </c>
      <c r="CN261" s="541">
        <f t="shared" si="654"/>
        <v>40</v>
      </c>
      <c r="CO261" s="443">
        <f t="shared" si="767"/>
        <v>28.7</v>
      </c>
      <c r="CP261" s="443">
        <f t="shared" si="768"/>
        <v>68.7</v>
      </c>
      <c r="CQ261" s="443"/>
      <c r="CR261" s="217">
        <f t="shared" si="657"/>
        <v>0.41520467836257302</v>
      </c>
      <c r="CS261" s="172">
        <f t="shared" si="658"/>
        <v>125.00786015217253</v>
      </c>
      <c r="CT261" s="172">
        <f t="shared" si="659"/>
        <v>14.828738512949037</v>
      </c>
      <c r="CU261" s="217">
        <f t="shared" si="660"/>
        <v>4.4645664340061613</v>
      </c>
      <c r="CV261" s="217">
        <f t="shared" si="661"/>
        <v>4.1669286717390843</v>
      </c>
      <c r="CW261" s="217">
        <f t="shared" si="662"/>
        <v>28</v>
      </c>
      <c r="CX261" s="217">
        <f t="shared" si="663"/>
        <v>4.1997359154929583</v>
      </c>
      <c r="CY261" s="217">
        <f t="shared" si="664"/>
        <v>0.49346897007042256</v>
      </c>
      <c r="CZ261" s="217">
        <f t="shared" si="665"/>
        <v>0.68776163076017083</v>
      </c>
      <c r="DA261" s="197">
        <f t="shared" si="666"/>
        <v>350</v>
      </c>
      <c r="DB261" s="443">
        <f t="shared" si="667"/>
        <v>350</v>
      </c>
      <c r="DD261" s="217">
        <f t="shared" si="668"/>
        <v>10.158258230357086</v>
      </c>
      <c r="DE261" s="173">
        <f t="shared" si="669"/>
        <v>1.6635475150758992</v>
      </c>
      <c r="DF261" s="173">
        <f t="shared" si="670"/>
        <v>2.6710919890125213</v>
      </c>
      <c r="DG261" s="173"/>
      <c r="DH261" s="173">
        <f t="shared" si="671"/>
        <v>0.54587688734030204</v>
      </c>
      <c r="DI261" s="545">
        <f t="shared" si="672"/>
        <v>1236.5425531914893</v>
      </c>
      <c r="DJ261" s="528">
        <f t="shared" si="673"/>
        <v>0.31842818428184283</v>
      </c>
      <c r="DL261" s="173">
        <f t="shared" si="674"/>
        <v>6.5116215956911319</v>
      </c>
      <c r="DM261" s="173">
        <f t="shared" si="675"/>
        <v>6.5116215956911319</v>
      </c>
      <c r="DN261" s="173">
        <f t="shared" si="676"/>
        <v>3.554287601746517</v>
      </c>
      <c r="DP261" s="545">
        <f t="shared" si="677"/>
        <v>1125</v>
      </c>
      <c r="DQ261" s="460">
        <f t="shared" si="678"/>
        <v>350</v>
      </c>
      <c r="DS261">
        <f t="shared" si="679"/>
        <v>1125</v>
      </c>
      <c r="DT261">
        <f t="shared" si="680"/>
        <v>350</v>
      </c>
      <c r="DV261" s="5">
        <f t="shared" si="681"/>
        <v>2.8571428571428572</v>
      </c>
      <c r="DW261" s="5">
        <f t="shared" si="682"/>
        <v>0.76511553749370798</v>
      </c>
      <c r="DX261" s="5">
        <f t="shared" si="683"/>
        <v>2.0920273196491492</v>
      </c>
      <c r="DY261" s="173">
        <f t="shared" si="684"/>
        <v>0.26779043812279779</v>
      </c>
      <c r="EA261" s="5">
        <f t="shared" si="711"/>
        <v>3.074124927430077</v>
      </c>
      <c r="EB261" s="5">
        <f t="shared" si="712"/>
        <v>0.28691832656014049</v>
      </c>
      <c r="EC261" s="5">
        <f t="shared" si="713"/>
        <v>1.1767653673026464</v>
      </c>
      <c r="ED261" s="5"/>
      <c r="EE261" s="173">
        <f t="shared" si="714"/>
        <v>1.9454768188018767</v>
      </c>
      <c r="EF261" s="173">
        <f t="shared" si="715"/>
        <v>3.2169641821643333</v>
      </c>
      <c r="EG261" s="173">
        <f t="shared" si="716"/>
        <v>0.32433327410345331</v>
      </c>
      <c r="EH261" s="173"/>
      <c r="EI261" s="528">
        <f t="shared" si="717"/>
        <v>4.5418560629945648E-2</v>
      </c>
      <c r="EJ261" s="528">
        <f t="shared" si="718"/>
        <v>2.9748668840994723</v>
      </c>
      <c r="EK261" s="528">
        <f t="shared" si="719"/>
        <v>4.0250000000000001E-2</v>
      </c>
      <c r="EL261" s="528">
        <f t="shared" si="720"/>
        <v>0.81355656375000007</v>
      </c>
      <c r="EM261">
        <f t="shared" si="721"/>
        <v>1.7999999999999999E-2</v>
      </c>
      <c r="EN261" s="460">
        <f t="shared" si="722"/>
        <v>58.249999999999993</v>
      </c>
      <c r="EP261" s="460">
        <f t="shared" si="723"/>
        <v>3892.0920084794179</v>
      </c>
      <c r="EQ261" s="173">
        <f t="shared" si="724"/>
        <v>0.78749999999999998</v>
      </c>
      <c r="ER261" s="173">
        <f t="shared" si="769"/>
        <v>5.3887499999999998E-2</v>
      </c>
      <c r="ES261" s="528"/>
      <c r="EU261" s="460">
        <f t="shared" si="725"/>
        <v>841.38749999999993</v>
      </c>
      <c r="EV261" s="528">
        <f t="shared" si="726"/>
        <v>5.2988320734936589E-2</v>
      </c>
      <c r="EW261" s="528">
        <f t="shared" si="727"/>
        <v>0.14488401969059533</v>
      </c>
      <c r="EX261" s="528">
        <f t="shared" si="728"/>
        <v>5.2596036345332886E-4</v>
      </c>
      <c r="EY261" s="528">
        <f t="shared" si="729"/>
        <v>12.398324596483359</v>
      </c>
      <c r="EZ261" s="528"/>
      <c r="FA261" s="625">
        <f t="shared" si="730"/>
        <v>1.4840425531914896</v>
      </c>
      <c r="FB261" s="460">
        <f t="shared" si="731"/>
        <v>14080.765450463834</v>
      </c>
      <c r="FC261" s="173">
        <f t="shared" si="732"/>
        <v>18.814244958943252</v>
      </c>
      <c r="FD261" s="5">
        <f t="shared" si="733"/>
        <v>34.875</v>
      </c>
      <c r="FE261" s="173">
        <f t="shared" si="734"/>
        <v>0.64957143701069542</v>
      </c>
      <c r="FF261" s="5">
        <f t="shared" si="735"/>
        <v>64.95714370106954</v>
      </c>
      <c r="FG261">
        <f t="shared" si="736"/>
        <v>45</v>
      </c>
      <c r="FI261" s="562">
        <f t="shared" si="686"/>
        <v>-50</v>
      </c>
    </row>
    <row r="262" spans="5:165">
      <c r="E262" s="170">
        <v>46</v>
      </c>
      <c r="F262" s="217">
        <f t="shared" si="770"/>
        <v>1.1500000000000001</v>
      </c>
      <c r="G262" s="217">
        <f t="shared" si="740"/>
        <v>0.115</v>
      </c>
      <c r="H262" s="217">
        <f t="shared" si="741"/>
        <v>32.200000000000003</v>
      </c>
      <c r="I262" s="217">
        <f t="shared" si="742"/>
        <v>3.45</v>
      </c>
      <c r="J262" s="541">
        <f t="shared" si="743"/>
        <v>39.892035442350178</v>
      </c>
      <c r="K262" s="443">
        <f t="shared" si="744"/>
        <v>28.743798377508082</v>
      </c>
      <c r="L262" s="172">
        <f t="shared" si="745"/>
        <v>68.635833819858263</v>
      </c>
      <c r="M262" s="443"/>
      <c r="N262" s="217">
        <f t="shared" si="746"/>
        <v>0.41878705011363465</v>
      </c>
      <c r="O262" s="172">
        <f t="shared" si="747"/>
        <v>125.74610206614278</v>
      </c>
      <c r="P262" s="172">
        <f t="shared" si="748"/>
        <v>14.916310576723568</v>
      </c>
      <c r="Q262" s="217">
        <f t="shared" si="624"/>
        <v>4.4909322166479564</v>
      </c>
      <c r="R262" s="217">
        <f t="shared" si="749"/>
        <v>4.1915367355380928</v>
      </c>
      <c r="S262" s="217">
        <f t="shared" si="750"/>
        <v>28</v>
      </c>
      <c r="T262" s="217">
        <f t="shared" si="751"/>
        <v>4.2678592644118609</v>
      </c>
      <c r="U262" s="217">
        <f t="shared" si="628"/>
        <v>0.50283066081508543</v>
      </c>
      <c r="V262" s="217">
        <f t="shared" si="629"/>
        <v>0.69785274302618938</v>
      </c>
      <c r="W262" s="197">
        <f t="shared" si="630"/>
        <v>350</v>
      </c>
      <c r="X262" s="443">
        <f t="shared" si="688"/>
        <v>350</v>
      </c>
      <c r="Z262" s="217">
        <f t="shared" si="631"/>
        <v>10.155785924577748</v>
      </c>
      <c r="AA262" s="173">
        <f t="shared" si="632"/>
        <v>1.6606084282467581</v>
      </c>
      <c r="AB262" s="173">
        <f t="shared" si="752"/>
        <v>2.6657238754495372</v>
      </c>
      <c r="AC262" s="173"/>
      <c r="AD262" s="173">
        <f t="shared" si="634"/>
        <v>0.54504510715347132</v>
      </c>
      <c r="AE262" s="545">
        <f t="shared" si="753"/>
        <v>1265.9502689668452</v>
      </c>
      <c r="AF262" s="528">
        <f t="shared" si="754"/>
        <v>0.31794297917285835</v>
      </c>
      <c r="AH262" s="173">
        <f t="shared" si="755"/>
        <v>6.5835753998562749</v>
      </c>
      <c r="AI262" s="173">
        <f t="shared" si="756"/>
        <v>6.5835753998562749</v>
      </c>
      <c r="AJ262" s="173">
        <f t="shared" si="757"/>
        <v>3.6075867159429196</v>
      </c>
      <c r="AL262" s="545">
        <f t="shared" si="758"/>
        <v>1150.0000000000002</v>
      </c>
      <c r="AM262" s="460">
        <f t="shared" si="759"/>
        <v>350</v>
      </c>
      <c r="AO262">
        <f t="shared" si="642"/>
        <v>1150.0000000000002</v>
      </c>
      <c r="AP262">
        <f t="shared" si="643"/>
        <v>350</v>
      </c>
      <c r="AR262" s="5">
        <f t="shared" si="614"/>
        <v>2.8571428571428572</v>
      </c>
      <c r="AS262" s="5">
        <f t="shared" si="737"/>
        <v>0.77566371422790314</v>
      </c>
      <c r="AT262" s="5">
        <f t="shared" si="738"/>
        <v>2.081479142914954</v>
      </c>
      <c r="AU262" s="173">
        <f t="shared" si="739"/>
        <v>0.27148229997976608</v>
      </c>
      <c r="BA262" s="173">
        <f t="shared" si="689"/>
        <v>1.980486773470107</v>
      </c>
      <c r="BB262" s="173">
        <f t="shared" si="690"/>
        <v>3.2443017464431696</v>
      </c>
      <c r="BC262" s="173">
        <f t="shared" si="691"/>
        <v>0.3270894383709097</v>
      </c>
      <c r="BD262" s="173"/>
      <c r="BE262" s="528">
        <f t="shared" si="692"/>
        <v>4.7067934318680421E-2</v>
      </c>
      <c r="BF262" s="528">
        <f t="shared" si="760"/>
        <v>2.8863144325057069</v>
      </c>
      <c r="BG262" s="528">
        <f t="shared" si="693"/>
        <v>4.0250000000000001E-2</v>
      </c>
      <c r="BH262" s="528">
        <f t="shared" si="694"/>
        <v>0.81203754080487345</v>
      </c>
      <c r="BI262">
        <f t="shared" si="695"/>
        <v>1.7951415949057581E-2</v>
      </c>
      <c r="BJ262" s="460">
        <f t="shared" si="696"/>
        <v>58.201415949057584</v>
      </c>
      <c r="BK262">
        <f t="shared" si="761"/>
        <v>3.8006320144663719</v>
      </c>
      <c r="BL262" s="460">
        <f t="shared" si="697"/>
        <v>3803.621323578318</v>
      </c>
      <c r="BM262" s="173">
        <f t="shared" si="762"/>
        <v>0.77119000000000004</v>
      </c>
      <c r="BN262" s="173">
        <f t="shared" si="763"/>
        <v>5.5085000000000002E-2</v>
      </c>
      <c r="BQ262" s="460">
        <f t="shared" si="698"/>
        <v>826.27500000000009</v>
      </c>
      <c r="BR262" s="528">
        <f t="shared" si="699"/>
        <v>5.4912590038460496E-2</v>
      </c>
      <c r="BS262" s="528">
        <f t="shared" si="700"/>
        <v>0.1473569135076388</v>
      </c>
      <c r="BT262" s="528">
        <f t="shared" si="701"/>
        <v>5.3493750346898566E-4</v>
      </c>
      <c r="BU262" s="528">
        <f t="shared" si="702"/>
        <v>12.743673899055834</v>
      </c>
      <c r="BV262" s="528"/>
      <c r="BW262" s="625">
        <f t="shared" si="703"/>
        <v>1.5170212765957451</v>
      </c>
      <c r="BX262" s="460">
        <f t="shared" si="704"/>
        <v>14463.499616701147</v>
      </c>
      <c r="BY262" s="173">
        <f t="shared" si="705"/>
        <v>19.093395940279464</v>
      </c>
      <c r="BZ262" s="5">
        <f t="shared" si="706"/>
        <v>35.650000000000006</v>
      </c>
      <c r="CA262" s="173">
        <f t="shared" si="707"/>
        <v>0.65122010404490094</v>
      </c>
      <c r="CB262" s="5">
        <f t="shared" si="708"/>
        <v>65.122010404490098</v>
      </c>
      <c r="CC262">
        <f t="shared" si="709"/>
        <v>46.000000000000007</v>
      </c>
      <c r="CE262" s="562">
        <f t="shared" si="764"/>
        <v>-50</v>
      </c>
      <c r="CG262" s="173">
        <f t="shared" si="765"/>
        <v>0.36759352551425606</v>
      </c>
      <c r="CH262" s="173">
        <f t="shared" si="766"/>
        <v>0.11934498779829303</v>
      </c>
      <c r="CI262" s="170">
        <v>46</v>
      </c>
      <c r="CJ262" s="217">
        <f t="shared" si="710"/>
        <v>1.1500000000000001</v>
      </c>
      <c r="CK262" s="217">
        <f t="shared" si="651"/>
        <v>0.115</v>
      </c>
      <c r="CL262" s="217">
        <f t="shared" si="652"/>
        <v>32.200000000000003</v>
      </c>
      <c r="CM262" s="217">
        <f t="shared" si="653"/>
        <v>3.45</v>
      </c>
      <c r="CN262" s="541">
        <f t="shared" si="654"/>
        <v>40</v>
      </c>
      <c r="CO262" s="443">
        <f t="shared" si="767"/>
        <v>28.7</v>
      </c>
      <c r="CP262" s="443">
        <f t="shared" si="768"/>
        <v>68.7</v>
      </c>
      <c r="CQ262" s="443"/>
      <c r="CR262" s="217">
        <f t="shared" si="657"/>
        <v>0.41520467836257302</v>
      </c>
      <c r="CS262" s="172">
        <f t="shared" si="658"/>
        <v>125.00786015217253</v>
      </c>
      <c r="CT262" s="172">
        <f t="shared" si="659"/>
        <v>14.828738512949037</v>
      </c>
      <c r="CU262" s="217">
        <f t="shared" si="660"/>
        <v>4.4645664340061613</v>
      </c>
      <c r="CV262" s="217">
        <f t="shared" si="661"/>
        <v>4.1669286717390843</v>
      </c>
      <c r="CW262" s="217">
        <f t="shared" si="662"/>
        <v>28</v>
      </c>
      <c r="CX262" s="217">
        <f t="shared" si="663"/>
        <v>4.2930633802816915</v>
      </c>
      <c r="CY262" s="217">
        <f t="shared" si="664"/>
        <v>0.50443494718309867</v>
      </c>
      <c r="CZ262" s="217">
        <f t="shared" si="665"/>
        <v>0.70304522255484148</v>
      </c>
      <c r="DA262" s="197">
        <f t="shared" si="666"/>
        <v>350</v>
      </c>
      <c r="DB262" s="443">
        <f t="shared" si="667"/>
        <v>350</v>
      </c>
      <c r="DD262" s="217">
        <f t="shared" si="668"/>
        <v>10.158258230357086</v>
      </c>
      <c r="DE262" s="173">
        <f t="shared" si="669"/>
        <v>1.6635475150758992</v>
      </c>
      <c r="DF262" s="173">
        <f t="shared" si="670"/>
        <v>2.6710919890125213</v>
      </c>
      <c r="DG262" s="173"/>
      <c r="DH262" s="173">
        <f t="shared" si="671"/>
        <v>0.54587688734030204</v>
      </c>
      <c r="DI262" s="545">
        <f t="shared" si="672"/>
        <v>1264.0212765957447</v>
      </c>
      <c r="DJ262" s="528">
        <f t="shared" si="673"/>
        <v>0.31842818428184283</v>
      </c>
      <c r="DL262" s="173">
        <f t="shared" si="674"/>
        <v>6.5835753998562749</v>
      </c>
      <c r="DM262" s="173">
        <f t="shared" si="675"/>
        <v>6.5835753998562749</v>
      </c>
      <c r="DN262" s="173">
        <f t="shared" si="676"/>
        <v>3.6075867159429196</v>
      </c>
      <c r="DP262" s="545">
        <f t="shared" si="677"/>
        <v>1150.0000000000002</v>
      </c>
      <c r="DQ262" s="460">
        <f t="shared" si="678"/>
        <v>350</v>
      </c>
      <c r="DS262">
        <f t="shared" si="679"/>
        <v>1150.0000000000002</v>
      </c>
      <c r="DT262">
        <f t="shared" si="680"/>
        <v>350</v>
      </c>
      <c r="DV262" s="5">
        <f t="shared" si="681"/>
        <v>2.8571428571428572</v>
      </c>
      <c r="DW262" s="5">
        <f t="shared" si="682"/>
        <v>0.77357010948311222</v>
      </c>
      <c r="DX262" s="5">
        <f t="shared" si="683"/>
        <v>2.083572747659745</v>
      </c>
      <c r="DY262" s="173">
        <f t="shared" si="684"/>
        <v>0.27074953831908927</v>
      </c>
      <c r="EA262" s="5">
        <f t="shared" si="711"/>
        <v>3.1771629496627827</v>
      </c>
      <c r="EB262" s="5">
        <f t="shared" si="712"/>
        <v>0.29653520863519306</v>
      </c>
      <c r="EC262" s="5">
        <f t="shared" si="713"/>
        <v>1.1980543299043533</v>
      </c>
      <c r="ED262" s="5"/>
      <c r="EE262" s="173">
        <f t="shared" si="714"/>
        <v>1.9778121877674002</v>
      </c>
      <c r="EF262" s="173">
        <f t="shared" si="715"/>
        <v>3.2459329370433654</v>
      </c>
      <c r="EG262" s="173">
        <f t="shared" si="716"/>
        <v>0.32725389447240488</v>
      </c>
      <c r="EH262" s="173"/>
      <c r="EI262" s="528">
        <f t="shared" si="717"/>
        <v>4.694089260097524E-2</v>
      </c>
      <c r="EJ262" s="528">
        <f t="shared" si="718"/>
        <v>3.0077393393013385</v>
      </c>
      <c r="EK262" s="528">
        <f t="shared" si="719"/>
        <v>4.0250000000000001E-2</v>
      </c>
      <c r="EL262" s="528">
        <f t="shared" si="720"/>
        <v>0.81355656375000007</v>
      </c>
      <c r="EM262">
        <f t="shared" si="721"/>
        <v>1.7999999999999999E-2</v>
      </c>
      <c r="EN262" s="460">
        <f t="shared" si="722"/>
        <v>58.249999999999993</v>
      </c>
      <c r="EP262" s="460">
        <f t="shared" si="723"/>
        <v>3926.4867956523135</v>
      </c>
      <c r="EQ262" s="173">
        <f t="shared" si="724"/>
        <v>0.80500000000000005</v>
      </c>
      <c r="ER262" s="173">
        <f t="shared" si="769"/>
        <v>5.5085000000000002E-2</v>
      </c>
      <c r="ES262" s="528"/>
      <c r="EU262" s="460">
        <f t="shared" si="725"/>
        <v>860.08500000000015</v>
      </c>
      <c r="EV262" s="528">
        <f t="shared" si="726"/>
        <v>5.4764374701137777E-2</v>
      </c>
      <c r="EW262" s="528">
        <f t="shared" si="727"/>
        <v>0.14750512884496156</v>
      </c>
      <c r="EX262" s="528">
        <f t="shared" si="728"/>
        <v>5.3547555723677961E-4</v>
      </c>
      <c r="EY262" s="528">
        <f t="shared" si="729"/>
        <v>12.743673899055834</v>
      </c>
      <c r="EZ262" s="528"/>
      <c r="FA262" s="625">
        <f t="shared" si="730"/>
        <v>1.5170212765957451</v>
      </c>
      <c r="FB262" s="460">
        <f t="shared" si="731"/>
        <v>14463.500154754915</v>
      </c>
      <c r="FC262" s="173">
        <f t="shared" si="732"/>
        <v>19.250071950407229</v>
      </c>
      <c r="FD262" s="5">
        <f t="shared" si="733"/>
        <v>35.650000000000006</v>
      </c>
      <c r="FE262" s="173">
        <f t="shared" si="734"/>
        <v>0.64936162619611215</v>
      </c>
      <c r="FF262" s="5">
        <f t="shared" si="735"/>
        <v>64.93616261961121</v>
      </c>
      <c r="FG262">
        <f t="shared" si="736"/>
        <v>46.000000000000007</v>
      </c>
      <c r="FI262" s="562">
        <f t="shared" si="686"/>
        <v>-50</v>
      </c>
    </row>
    <row r="263" spans="5:165">
      <c r="E263" s="170">
        <v>47</v>
      </c>
      <c r="F263" s="217">
        <f t="shared" si="770"/>
        <v>1.1749999999999998</v>
      </c>
      <c r="G263" s="217">
        <f t="shared" si="740"/>
        <v>0.11749999999999999</v>
      </c>
      <c r="H263" s="217">
        <f t="shared" si="741"/>
        <v>32.899999999999991</v>
      </c>
      <c r="I263" s="217">
        <f t="shared" si="742"/>
        <v>3.5249999999999999</v>
      </c>
      <c r="J263" s="541">
        <f t="shared" si="743"/>
        <v>39.890868224021268</v>
      </c>
      <c r="K263" s="443">
        <f t="shared" si="744"/>
        <v>28.744271887242355</v>
      </c>
      <c r="L263" s="172">
        <f t="shared" si="745"/>
        <v>68.635140111263624</v>
      </c>
      <c r="M263" s="443"/>
      <c r="N263" s="217">
        <f t="shared" si="746"/>
        <v>0.4187981818153988</v>
      </c>
      <c r="O263" s="172">
        <f t="shared" si="747"/>
        <v>125.74576514280047</v>
      </c>
      <c r="P263" s="172">
        <f t="shared" si="748"/>
        <v>14.916270610051585</v>
      </c>
      <c r="Q263" s="217">
        <f t="shared" si="624"/>
        <v>4.4909201836714452</v>
      </c>
      <c r="R263" s="217">
        <f t="shared" si="749"/>
        <v>4.1915255047600155</v>
      </c>
      <c r="S263" s="217">
        <f t="shared" si="750"/>
        <v>28</v>
      </c>
      <c r="T263" s="217">
        <f t="shared" si="751"/>
        <v>4.3606504975386668</v>
      </c>
      <c r="U263" s="217">
        <f t="shared" si="628"/>
        <v>0.51377817156885375</v>
      </c>
      <c r="V263" s="217">
        <f t="shared" si="629"/>
        <v>0.71301361950754827</v>
      </c>
      <c r="W263" s="197">
        <f t="shared" si="630"/>
        <v>350</v>
      </c>
      <c r="X263" s="443">
        <f t="shared" si="688"/>
        <v>350</v>
      </c>
      <c r="Z263" s="217">
        <f t="shared" si="631"/>
        <v>10.155758713226611</v>
      </c>
      <c r="AA263" s="173">
        <f t="shared" si="632"/>
        <v>1.6605766233845749</v>
      </c>
      <c r="AB263" s="173">
        <f t="shared" si="752"/>
        <v>2.6656656776903151</v>
      </c>
      <c r="AC263" s="173"/>
      <c r="AD263" s="173">
        <f t="shared" si="634"/>
        <v>0.54503612852409888</v>
      </c>
      <c r="AE263" s="545">
        <f t="shared" si="753"/>
        <v>1293.4922349259057</v>
      </c>
      <c r="AF263" s="528">
        <f t="shared" si="754"/>
        <v>0.31793774163905775</v>
      </c>
      <c r="AH263" s="173">
        <f t="shared" si="755"/>
        <v>6.6547512564869225</v>
      </c>
      <c r="AI263" s="173">
        <f t="shared" si="756"/>
        <v>6.6547512564869225</v>
      </c>
      <c r="AJ263" s="173">
        <f t="shared" si="757"/>
        <v>3.6603095727063621</v>
      </c>
      <c r="AL263" s="545">
        <f t="shared" si="758"/>
        <v>1174.9999999999998</v>
      </c>
      <c r="AM263" s="460">
        <f t="shared" si="759"/>
        <v>350</v>
      </c>
      <c r="AO263">
        <f t="shared" si="642"/>
        <v>1174.9999999999998</v>
      </c>
      <c r="AP263">
        <f t="shared" si="643"/>
        <v>350</v>
      </c>
      <c r="AR263" s="5">
        <f t="shared" ref="AR263:AR316" si="771">1/AM263*1000</f>
        <v>2.8571428571428572</v>
      </c>
      <c r="AS263" s="5">
        <f t="shared" si="737"/>
        <v>0.78407245311983764</v>
      </c>
      <c r="AT263" s="5">
        <f t="shared" si="738"/>
        <v>2.0730704040230195</v>
      </c>
      <c r="AU263" s="173">
        <f t="shared" si="739"/>
        <v>0.27442535859194317</v>
      </c>
      <c r="BA263" s="173">
        <f t="shared" si="689"/>
        <v>2.0127198035955796</v>
      </c>
      <c r="BB263" s="173">
        <f t="shared" si="690"/>
        <v>3.2727455987471639</v>
      </c>
      <c r="BC263" s="173">
        <f t="shared" si="691"/>
        <v>0.32995713823434525</v>
      </c>
      <c r="BD263" s="173"/>
      <c r="BE263" s="528">
        <f t="shared" si="692"/>
        <v>4.8612492093429945E-2</v>
      </c>
      <c r="BF263" s="528">
        <f t="shared" si="760"/>
        <v>2.9174892510141777</v>
      </c>
      <c r="BG263" s="528">
        <f t="shared" si="693"/>
        <v>4.0250000000000001E-2</v>
      </c>
      <c r="BH263" s="528">
        <f t="shared" si="694"/>
        <v>0.81202112621374456</v>
      </c>
      <c r="BI263">
        <f t="shared" si="695"/>
        <v>1.7950890700809571E-2</v>
      </c>
      <c r="BJ263" s="460">
        <f t="shared" si="696"/>
        <v>58.200890700809566</v>
      </c>
      <c r="BK263">
        <f t="shared" si="761"/>
        <v>3.8355501044186804</v>
      </c>
      <c r="BL263" s="460">
        <f t="shared" si="697"/>
        <v>3836.3237600221614</v>
      </c>
      <c r="BM263" s="173">
        <f t="shared" si="762"/>
        <v>0.78795499999999974</v>
      </c>
      <c r="BN263" s="173">
        <f t="shared" si="763"/>
        <v>5.6282499999999992E-2</v>
      </c>
      <c r="BQ263" s="460">
        <f t="shared" si="698"/>
        <v>844.23749999999973</v>
      </c>
      <c r="BR263" s="528">
        <f t="shared" si="699"/>
        <v>5.6714574109001603E-2</v>
      </c>
      <c r="BS263" s="528">
        <f t="shared" si="700"/>
        <v>0.14995209255766506</v>
      </c>
      <c r="BT263" s="528">
        <f t="shared" si="701"/>
        <v>5.443585653589941E-4</v>
      </c>
      <c r="BU263" s="528">
        <f t="shared" si="702"/>
        <v>13.09090533961275</v>
      </c>
      <c r="BV263" s="528"/>
      <c r="BW263" s="625">
        <f t="shared" si="703"/>
        <v>1.5499999999999996</v>
      </c>
      <c r="BX263" s="460">
        <f t="shared" si="704"/>
        <v>14848.116364844775</v>
      </c>
      <c r="BY263" s="173">
        <f t="shared" si="705"/>
        <v>19.528677624866937</v>
      </c>
      <c r="BZ263" s="5">
        <f t="shared" si="706"/>
        <v>36.42499999999999</v>
      </c>
      <c r="CA263" s="173">
        <f t="shared" si="707"/>
        <v>0.6509849137031879</v>
      </c>
      <c r="CB263" s="5">
        <f t="shared" si="708"/>
        <v>65.098491370318783</v>
      </c>
      <c r="CC263">
        <f t="shared" si="709"/>
        <v>46.999999999999993</v>
      </c>
      <c r="CE263" s="562">
        <f t="shared" si="764"/>
        <v>-50</v>
      </c>
      <c r="CG263" s="173">
        <f t="shared" si="765"/>
        <v>0.37156762506978452</v>
      </c>
      <c r="CH263" s="173">
        <f t="shared" si="766"/>
        <v>0.12063524138015422</v>
      </c>
      <c r="CI263" s="170">
        <v>47</v>
      </c>
      <c r="CJ263" s="217">
        <f t="shared" si="710"/>
        <v>1.1749999999999998</v>
      </c>
      <c r="CK263" s="217">
        <f t="shared" si="651"/>
        <v>0.11749999999999999</v>
      </c>
      <c r="CL263" s="217">
        <f t="shared" si="652"/>
        <v>32.899999999999991</v>
      </c>
      <c r="CM263" s="217">
        <f t="shared" si="653"/>
        <v>3.5249999999999999</v>
      </c>
      <c r="CN263" s="541">
        <f t="shared" si="654"/>
        <v>40</v>
      </c>
      <c r="CO263" s="443">
        <f t="shared" si="767"/>
        <v>28.7</v>
      </c>
      <c r="CP263" s="443">
        <f t="shared" si="768"/>
        <v>68.7</v>
      </c>
      <c r="CQ263" s="443"/>
      <c r="CR263" s="217">
        <f t="shared" si="657"/>
        <v>0.41520467836257302</v>
      </c>
      <c r="CS263" s="172">
        <f t="shared" si="658"/>
        <v>125.00786015217253</v>
      </c>
      <c r="CT263" s="172">
        <f t="shared" si="659"/>
        <v>14.828738512949037</v>
      </c>
      <c r="CU263" s="217">
        <f t="shared" si="660"/>
        <v>4.4645664340061613</v>
      </c>
      <c r="CV263" s="217">
        <f t="shared" si="661"/>
        <v>4.1669286717390843</v>
      </c>
      <c r="CW263" s="217">
        <f t="shared" si="662"/>
        <v>28</v>
      </c>
      <c r="CX263" s="217">
        <f t="shared" si="663"/>
        <v>4.3863908450704221</v>
      </c>
      <c r="CY263" s="217">
        <f t="shared" si="664"/>
        <v>0.51540092429577455</v>
      </c>
      <c r="CZ263" s="217">
        <f t="shared" si="665"/>
        <v>0.71832881434951157</v>
      </c>
      <c r="DA263" s="197">
        <f t="shared" si="666"/>
        <v>350</v>
      </c>
      <c r="DB263" s="443">
        <f t="shared" si="667"/>
        <v>350</v>
      </c>
      <c r="DD263" s="217">
        <f t="shared" si="668"/>
        <v>10.158258230357086</v>
      </c>
      <c r="DE263" s="173">
        <f t="shared" si="669"/>
        <v>1.6635475150758992</v>
      </c>
      <c r="DF263" s="173">
        <f t="shared" si="670"/>
        <v>2.6710919890125213</v>
      </c>
      <c r="DG263" s="173"/>
      <c r="DH263" s="173">
        <f t="shared" si="671"/>
        <v>0.54587688734030204</v>
      </c>
      <c r="DI263" s="545">
        <f t="shared" si="672"/>
        <v>1291.4999999999998</v>
      </c>
      <c r="DJ263" s="528">
        <f t="shared" si="673"/>
        <v>0.31842818428184283</v>
      </c>
      <c r="DL263" s="173">
        <f t="shared" si="674"/>
        <v>6.6547512564869225</v>
      </c>
      <c r="DM263" s="173">
        <f t="shared" si="675"/>
        <v>6.6547512564869225</v>
      </c>
      <c r="DN263" s="173">
        <f t="shared" si="676"/>
        <v>3.6603095727063621</v>
      </c>
      <c r="DP263" s="545">
        <f t="shared" si="677"/>
        <v>1174.9999999999998</v>
      </c>
      <c r="DQ263" s="460">
        <f t="shared" si="678"/>
        <v>350</v>
      </c>
      <c r="DS263">
        <f t="shared" si="679"/>
        <v>1174.9999999999998</v>
      </c>
      <c r="DT263">
        <f t="shared" si="680"/>
        <v>350</v>
      </c>
      <c r="DV263" s="5">
        <f t="shared" si="681"/>
        <v>2.8571428571428572</v>
      </c>
      <c r="DW263" s="5">
        <f t="shared" si="682"/>
        <v>0.78193327263721346</v>
      </c>
      <c r="DX263" s="5">
        <f t="shared" si="683"/>
        <v>2.075209584505644</v>
      </c>
      <c r="DY263" s="173">
        <f t="shared" si="684"/>
        <v>0.27367664542302472</v>
      </c>
      <c r="EA263" s="5">
        <f t="shared" si="711"/>
        <v>3.2813271262454489</v>
      </c>
      <c r="EB263" s="5">
        <f t="shared" si="712"/>
        <v>0.30625719844957522</v>
      </c>
      <c r="EC263" s="5">
        <f t="shared" si="713"/>
        <v>1.2191856308970654</v>
      </c>
      <c r="ED263" s="5"/>
      <c r="EE263" s="173">
        <f t="shared" si="714"/>
        <v>2.0099722822198984</v>
      </c>
      <c r="EF263" s="173">
        <f t="shared" si="715"/>
        <v>3.2744337199907543</v>
      </c>
      <c r="EG263" s="173">
        <f t="shared" si="716"/>
        <v>0.33012733406464162</v>
      </c>
      <c r="EH263" s="173"/>
      <c r="EI263" s="528">
        <f t="shared" si="717"/>
        <v>4.8479862903507205E-2</v>
      </c>
      <c r="EJ263" s="528">
        <f t="shared" si="718"/>
        <v>3.0402563852823334</v>
      </c>
      <c r="EK263" s="528">
        <f t="shared" si="719"/>
        <v>4.0250000000000001E-2</v>
      </c>
      <c r="EL263" s="528">
        <f t="shared" si="720"/>
        <v>0.81355656375000007</v>
      </c>
      <c r="EM263">
        <f t="shared" si="721"/>
        <v>1.7999999999999999E-2</v>
      </c>
      <c r="EN263" s="460">
        <f t="shared" si="722"/>
        <v>58.249999999999993</v>
      </c>
      <c r="EP263" s="460">
        <f t="shared" si="723"/>
        <v>3960.5428119358407</v>
      </c>
      <c r="EQ263" s="173">
        <f t="shared" si="724"/>
        <v>0.82249999999999979</v>
      </c>
      <c r="ER263" s="173">
        <f t="shared" si="769"/>
        <v>5.6282499999999992E-2</v>
      </c>
      <c r="ES263" s="528"/>
      <c r="EU263" s="460">
        <f t="shared" si="725"/>
        <v>878.7824999999998</v>
      </c>
      <c r="EV263" s="528">
        <f t="shared" si="726"/>
        <v>5.6559840054091745E-2</v>
      </c>
      <c r="EW263" s="528">
        <f t="shared" si="727"/>
        <v>0.15010682661257485</v>
      </c>
      <c r="EX263" s="528">
        <f t="shared" si="728"/>
        <v>5.4492028348313742E-4</v>
      </c>
      <c r="EY263" s="528">
        <f t="shared" si="729"/>
        <v>13.09090533961275</v>
      </c>
      <c r="EZ263" s="528"/>
      <c r="FA263" s="625">
        <f t="shared" si="730"/>
        <v>1.5499999999999996</v>
      </c>
      <c r="FB263" s="460">
        <f t="shared" si="731"/>
        <v>14848.116926562898</v>
      </c>
      <c r="FC263" s="173">
        <f t="shared" si="732"/>
        <v>19.68744223849874</v>
      </c>
      <c r="FD263" s="5">
        <f t="shared" si="733"/>
        <v>36.42499999999999</v>
      </c>
      <c r="FE263" s="173">
        <f t="shared" si="734"/>
        <v>0.64914301618133474</v>
      </c>
      <c r="FF263" s="5">
        <f t="shared" si="735"/>
        <v>64.914301618133479</v>
      </c>
      <c r="FG263">
        <f t="shared" si="736"/>
        <v>46.999999999999993</v>
      </c>
      <c r="FI263" s="562">
        <f t="shared" si="686"/>
        <v>-50</v>
      </c>
    </row>
    <row r="264" spans="5:165">
      <c r="E264" s="170">
        <v>48</v>
      </c>
      <c r="F264" s="217">
        <f t="shared" si="770"/>
        <v>1.2</v>
      </c>
      <c r="G264" s="217">
        <f t="shared" si="740"/>
        <v>0.12</v>
      </c>
      <c r="H264" s="217">
        <f t="shared" si="741"/>
        <v>33.6</v>
      </c>
      <c r="I264" s="217">
        <f t="shared" si="742"/>
        <v>3.5999999999999996</v>
      </c>
      <c r="J264" s="541">
        <f t="shared" si="743"/>
        <v>39.889713358252138</v>
      </c>
      <c r="K264" s="443">
        <f t="shared" si="744"/>
        <v>28.744740385868468</v>
      </c>
      <c r="L264" s="172">
        <f t="shared" si="745"/>
        <v>68.634453744120606</v>
      </c>
      <c r="M264" s="443"/>
      <c r="N264" s="217">
        <f t="shared" si="746"/>
        <v>0.41880919593289273</v>
      </c>
      <c r="O264" s="172">
        <f t="shared" si="747"/>
        <v>125.74543165907747</v>
      </c>
      <c r="P264" s="172">
        <f t="shared" si="748"/>
        <v>14.916231051395668</v>
      </c>
      <c r="Q264" s="217">
        <f t="shared" si="624"/>
        <v>4.4909082735384809</v>
      </c>
      <c r="R264" s="217">
        <f t="shared" si="749"/>
        <v>4.1915143886359152</v>
      </c>
      <c r="S264" s="217">
        <f t="shared" si="750"/>
        <v>28</v>
      </c>
      <c r="T264" s="217">
        <f t="shared" si="751"/>
        <v>4.4534421060979676</v>
      </c>
      <c r="U264" s="217">
        <f t="shared" si="628"/>
        <v>0.52472620474045939</v>
      </c>
      <c r="V264" s="217">
        <f t="shared" si="629"/>
        <v>0.72817418483106788</v>
      </c>
      <c r="W264" s="197">
        <f t="shared" si="630"/>
        <v>350</v>
      </c>
      <c r="X264" s="443">
        <f t="shared" si="688"/>
        <v>350</v>
      </c>
      <c r="Z264" s="217">
        <f t="shared" si="631"/>
        <v>10.155731779673646</v>
      </c>
      <c r="AA264" s="173">
        <f t="shared" si="632"/>
        <v>1.6605451544774494</v>
      </c>
      <c r="AB264" s="173">
        <f t="shared" si="752"/>
        <v>2.6656080924147614</v>
      </c>
      <c r="AC264" s="173"/>
      <c r="AD264" s="173">
        <f t="shared" si="634"/>
        <v>0.54502724520583035</v>
      </c>
      <c r="AE264" s="545">
        <f t="shared" si="753"/>
        <v>1321.0348773079972</v>
      </c>
      <c r="AF264" s="528">
        <f t="shared" si="754"/>
        <v>0.31793255970340106</v>
      </c>
      <c r="AH264" s="173">
        <f t="shared" si="755"/>
        <v>6.7251738658443525</v>
      </c>
      <c r="AI264" s="173">
        <f t="shared" si="756"/>
        <v>6.7251738658443525</v>
      </c>
      <c r="AJ264" s="173">
        <f t="shared" si="757"/>
        <v>3.7124744685266808</v>
      </c>
      <c r="AL264" s="545">
        <f t="shared" si="758"/>
        <v>1200</v>
      </c>
      <c r="AM264" s="460">
        <f t="shared" si="759"/>
        <v>350</v>
      </c>
      <c r="AO264">
        <f t="shared" si="642"/>
        <v>1200</v>
      </c>
      <c r="AP264">
        <f t="shared" si="643"/>
        <v>350</v>
      </c>
      <c r="AR264" s="5">
        <f t="shared" si="771"/>
        <v>2.8571428571428572</v>
      </c>
      <c r="AS264" s="5">
        <f t="shared" si="737"/>
        <v>0.79239268744781599</v>
      </c>
      <c r="AT264" s="5">
        <f t="shared" si="738"/>
        <v>2.0647501696950412</v>
      </c>
      <c r="AU264" s="173">
        <f t="shared" si="739"/>
        <v>0.2773374406067356</v>
      </c>
      <c r="BA264" s="173">
        <f t="shared" si="689"/>
        <v>2.0447826003522649</v>
      </c>
      <c r="BB264" s="173">
        <f t="shared" si="690"/>
        <v>3.3007350634732746</v>
      </c>
      <c r="BC264" s="173">
        <f t="shared" si="691"/>
        <v>0.33277902689115801</v>
      </c>
      <c r="BD264" s="173"/>
      <c r="BE264" s="528">
        <f t="shared" si="692"/>
        <v>5.0173630592440441E-2</v>
      </c>
      <c r="BF264" s="528">
        <f t="shared" si="760"/>
        <v>2.9483335286126575</v>
      </c>
      <c r="BG264" s="528">
        <f t="shared" si="693"/>
        <v>4.0250000000000001E-2</v>
      </c>
      <c r="BH264" s="528">
        <f t="shared" si="694"/>
        <v>0.81200488549994176</v>
      </c>
      <c r="BI264">
        <f t="shared" si="695"/>
        <v>1.795037101121346E-2</v>
      </c>
      <c r="BJ264" s="460">
        <f t="shared" si="696"/>
        <v>58.200371011213463</v>
      </c>
      <c r="BK264">
        <f t="shared" si="761"/>
        <v>3.8701965231811983</v>
      </c>
      <c r="BL264" s="460">
        <f t="shared" si="697"/>
        <v>3868.7124157162534</v>
      </c>
      <c r="BM264" s="173">
        <f t="shared" si="762"/>
        <v>0.80471999999999999</v>
      </c>
      <c r="BN264" s="173">
        <f t="shared" si="763"/>
        <v>5.7479999999999996E-2</v>
      </c>
      <c r="BQ264" s="460">
        <f t="shared" si="698"/>
        <v>862.19999999999993</v>
      </c>
      <c r="BR264" s="528">
        <f t="shared" si="699"/>
        <v>5.8535902357847183E-2</v>
      </c>
      <c r="BS264" s="528">
        <f t="shared" si="700"/>
        <v>0.15252792742938692</v>
      </c>
      <c r="BT264" s="528">
        <f t="shared" si="701"/>
        <v>5.5370940369313035E-4</v>
      </c>
      <c r="BU264" s="528">
        <f t="shared" si="702"/>
        <v>13.439988799411294</v>
      </c>
      <c r="BV264" s="528"/>
      <c r="BW264" s="625">
        <f t="shared" si="703"/>
        <v>1.5829787234042556</v>
      </c>
      <c r="BX264" s="460">
        <f t="shared" si="704"/>
        <v>15234.585062006478</v>
      </c>
      <c r="BY264" s="173">
        <f t="shared" si="705"/>
        <v>19.965497477722732</v>
      </c>
      <c r="BZ264" s="5">
        <f t="shared" si="706"/>
        <v>37.200000000000003</v>
      </c>
      <c r="CA264" s="173">
        <f t="shared" si="707"/>
        <v>0.6507421721379536</v>
      </c>
      <c r="CB264" s="5">
        <f t="shared" si="708"/>
        <v>65.074217213795365</v>
      </c>
      <c r="CC264">
        <f t="shared" si="709"/>
        <v>48</v>
      </c>
      <c r="CE264" s="562">
        <f t="shared" si="764"/>
        <v>-50</v>
      </c>
      <c r="CG264" s="173">
        <f t="shared" si="765"/>
        <v>0.3754996671103718</v>
      </c>
      <c r="CH264" s="173">
        <f t="shared" si="766"/>
        <v>0.12191184033194412</v>
      </c>
      <c r="CI264" s="170">
        <v>48</v>
      </c>
      <c r="CJ264" s="217">
        <f t="shared" si="710"/>
        <v>1.2</v>
      </c>
      <c r="CK264" s="217">
        <f t="shared" si="651"/>
        <v>0.12</v>
      </c>
      <c r="CL264" s="217">
        <f t="shared" si="652"/>
        <v>33.6</v>
      </c>
      <c r="CM264" s="217">
        <f t="shared" si="653"/>
        <v>3.5999999999999996</v>
      </c>
      <c r="CN264" s="541">
        <f t="shared" si="654"/>
        <v>40</v>
      </c>
      <c r="CO264" s="443">
        <f t="shared" si="767"/>
        <v>28.7</v>
      </c>
      <c r="CP264" s="443">
        <f t="shared" si="768"/>
        <v>68.7</v>
      </c>
      <c r="CQ264" s="443"/>
      <c r="CR264" s="217">
        <f t="shared" si="657"/>
        <v>0.41520467836257302</v>
      </c>
      <c r="CS264" s="172">
        <f t="shared" si="658"/>
        <v>125.00786015217253</v>
      </c>
      <c r="CT264" s="172">
        <f t="shared" si="659"/>
        <v>14.828738512949037</v>
      </c>
      <c r="CU264" s="217">
        <f t="shared" si="660"/>
        <v>4.4645664340061613</v>
      </c>
      <c r="CV264" s="217">
        <f t="shared" si="661"/>
        <v>4.1669286717390843</v>
      </c>
      <c r="CW264" s="217">
        <f t="shared" si="662"/>
        <v>28</v>
      </c>
      <c r="CX264" s="217">
        <f t="shared" si="663"/>
        <v>4.4797183098591562</v>
      </c>
      <c r="CY264" s="217">
        <f t="shared" si="664"/>
        <v>0.52636690140845077</v>
      </c>
      <c r="CZ264" s="217">
        <f t="shared" si="665"/>
        <v>0.73361240614418233</v>
      </c>
      <c r="DA264" s="197">
        <f t="shared" si="666"/>
        <v>350</v>
      </c>
      <c r="DB264" s="443">
        <f t="shared" si="667"/>
        <v>350</v>
      </c>
      <c r="DD264" s="217">
        <f t="shared" si="668"/>
        <v>10.158258230357086</v>
      </c>
      <c r="DE264" s="173">
        <f t="shared" si="669"/>
        <v>1.6635475150758992</v>
      </c>
      <c r="DF264" s="173">
        <f t="shared" si="670"/>
        <v>2.6710919890125213</v>
      </c>
      <c r="DG264" s="173"/>
      <c r="DH264" s="173">
        <f t="shared" si="671"/>
        <v>0.54587688734030204</v>
      </c>
      <c r="DI264" s="545">
        <f t="shared" si="672"/>
        <v>1318.9787234042553</v>
      </c>
      <c r="DJ264" s="528">
        <f t="shared" si="673"/>
        <v>0.31842818428184283</v>
      </c>
      <c r="DL264" s="173">
        <f t="shared" si="674"/>
        <v>6.7251738658443525</v>
      </c>
      <c r="DM264" s="173">
        <f t="shared" si="675"/>
        <v>6.7251738658443525</v>
      </c>
      <c r="DN264" s="173">
        <f t="shared" si="676"/>
        <v>3.7124744685266808</v>
      </c>
      <c r="DP264" s="545">
        <f t="shared" si="677"/>
        <v>1200</v>
      </c>
      <c r="DQ264" s="460">
        <f t="shared" si="678"/>
        <v>350</v>
      </c>
      <c r="DS264">
        <f t="shared" si="679"/>
        <v>1200</v>
      </c>
      <c r="DT264">
        <f t="shared" si="680"/>
        <v>350</v>
      </c>
      <c r="DV264" s="5">
        <f t="shared" si="681"/>
        <v>2.8571428571428572</v>
      </c>
      <c r="DW264" s="5">
        <f t="shared" si="682"/>
        <v>0.79020792923671146</v>
      </c>
      <c r="DX264" s="5">
        <f t="shared" si="683"/>
        <v>2.0669349279061455</v>
      </c>
      <c r="DY264" s="173">
        <f t="shared" si="684"/>
        <v>0.27657277523284901</v>
      </c>
      <c r="EA264" s="5">
        <f t="shared" si="711"/>
        <v>3.3866054110144779</v>
      </c>
      <c r="EB264" s="5">
        <f t="shared" si="712"/>
        <v>0.31608317169468458</v>
      </c>
      <c r="EC264" s="5">
        <f t="shared" si="713"/>
        <v>1.2401609567436873</v>
      </c>
      <c r="ED264" s="5"/>
      <c r="EE264" s="173">
        <f t="shared" si="714"/>
        <v>2.041961752047158</v>
      </c>
      <c r="EF264" s="173">
        <f t="shared" si="715"/>
        <v>3.3024808924688407</v>
      </c>
      <c r="EG264" s="173">
        <f t="shared" si="716"/>
        <v>0.33295504079808802</v>
      </c>
      <c r="EH264" s="173"/>
      <c r="EI264" s="528">
        <f t="shared" si="717"/>
        <v>5.0035293561881987E-2</v>
      </c>
      <c r="EJ264" s="528">
        <f t="shared" si="718"/>
        <v>3.0724293064803225</v>
      </c>
      <c r="EK264" s="528">
        <f t="shared" si="719"/>
        <v>4.0250000000000001E-2</v>
      </c>
      <c r="EL264" s="528">
        <f t="shared" si="720"/>
        <v>0.81355656375000007</v>
      </c>
      <c r="EM264">
        <f t="shared" si="721"/>
        <v>1.7999999999999999E-2</v>
      </c>
      <c r="EN264" s="460">
        <f t="shared" si="722"/>
        <v>58.249999999999993</v>
      </c>
      <c r="EP264" s="460">
        <f t="shared" si="723"/>
        <v>3994.2711637922048</v>
      </c>
      <c r="EQ264" s="173">
        <f t="shared" si="724"/>
        <v>0.84</v>
      </c>
      <c r="ER264" s="173">
        <f t="shared" si="769"/>
        <v>5.7479999999999996E-2</v>
      </c>
      <c r="ES264" s="528"/>
      <c r="EU264" s="460">
        <f t="shared" si="725"/>
        <v>897.4799999999999</v>
      </c>
      <c r="EV264" s="528">
        <f t="shared" si="726"/>
        <v>5.8374509155528984E-2</v>
      </c>
      <c r="EW264" s="528">
        <f t="shared" si="727"/>
        <v>0.15268932063170507</v>
      </c>
      <c r="EX264" s="528">
        <f t="shared" si="728"/>
        <v>5.5429529596428228E-4</v>
      </c>
      <c r="EY264" s="528">
        <f t="shared" si="729"/>
        <v>13.439988799411294</v>
      </c>
      <c r="EZ264" s="528"/>
      <c r="FA264" s="625">
        <f t="shared" si="730"/>
        <v>1.5829787234042556</v>
      </c>
      <c r="FB264" s="460">
        <f t="shared" si="731"/>
        <v>15234.58564789875</v>
      </c>
      <c r="FC264" s="173">
        <f t="shared" si="732"/>
        <v>20.126336811690951</v>
      </c>
      <c r="FD264" s="5">
        <f t="shared" si="733"/>
        <v>37.200000000000003</v>
      </c>
      <c r="FE264" s="173">
        <f t="shared" si="734"/>
        <v>0.64891639809808244</v>
      </c>
      <c r="FF264" s="5">
        <f t="shared" si="735"/>
        <v>64.89163980980824</v>
      </c>
      <c r="FG264">
        <f t="shared" si="736"/>
        <v>48</v>
      </c>
      <c r="FI264" s="562">
        <f t="shared" si="686"/>
        <v>-50</v>
      </c>
    </row>
    <row r="265" spans="5:165">
      <c r="E265" s="170">
        <v>49</v>
      </c>
      <c r="F265" s="217">
        <f t="shared" si="770"/>
        <v>1.2250000000000001</v>
      </c>
      <c r="G265" s="217">
        <f t="shared" si="740"/>
        <v>0.1225</v>
      </c>
      <c r="H265" s="217">
        <f t="shared" si="741"/>
        <v>34.300000000000004</v>
      </c>
      <c r="I265" s="217">
        <f t="shared" si="742"/>
        <v>3.6749999999999998</v>
      </c>
      <c r="J265" s="541">
        <f t="shared" si="743"/>
        <v>39.888570460972986</v>
      </c>
      <c r="K265" s="443">
        <f t="shared" si="744"/>
        <v>28.745204029193413</v>
      </c>
      <c r="L265" s="172">
        <f t="shared" si="745"/>
        <v>68.633774490166402</v>
      </c>
      <c r="M265" s="443"/>
      <c r="N265" s="217">
        <f t="shared" si="746"/>
        <v>0.41882009612209103</v>
      </c>
      <c r="O265" s="172">
        <f t="shared" si="747"/>
        <v>125.74510150802425</v>
      </c>
      <c r="P265" s="172">
        <f t="shared" si="748"/>
        <v>14.916191888069202</v>
      </c>
      <c r="Q265" s="217">
        <f t="shared" si="624"/>
        <v>4.4908964824294371</v>
      </c>
      <c r="R265" s="217">
        <f t="shared" si="749"/>
        <v>4.191503383600808</v>
      </c>
      <c r="S265" s="217">
        <f t="shared" si="750"/>
        <v>28</v>
      </c>
      <c r="T265" s="217">
        <f t="shared" si="751"/>
        <v>4.5462340863447999</v>
      </c>
      <c r="U265" s="217">
        <f t="shared" si="628"/>
        <v>0.53567475492074468</v>
      </c>
      <c r="V265" s="217">
        <f t="shared" si="629"/>
        <v>0.74333444229931667</v>
      </c>
      <c r="W265" s="197">
        <f t="shared" si="630"/>
        <v>350</v>
      </c>
      <c r="X265" s="443">
        <f t="shared" si="688"/>
        <v>350</v>
      </c>
      <c r="Z265" s="217">
        <f t="shared" si="631"/>
        <v>10.155705115281162</v>
      </c>
      <c r="AA265" s="173">
        <f t="shared" si="632"/>
        <v>1.6605140110797401</v>
      </c>
      <c r="AB265" s="173">
        <f t="shared" si="752"/>
        <v>2.6655511005793846</v>
      </c>
      <c r="AC265" s="173"/>
      <c r="AD265" s="173">
        <f t="shared" si="634"/>
        <v>0.54501845423520801</v>
      </c>
      <c r="AE265" s="545">
        <f t="shared" si="753"/>
        <v>1348.5781890291803</v>
      </c>
      <c r="AF265" s="528">
        <f t="shared" si="754"/>
        <v>0.31792743163720466</v>
      </c>
      <c r="AH265" s="173">
        <f t="shared" si="755"/>
        <v>6.7948666481364777</v>
      </c>
      <c r="AI265" s="173">
        <f t="shared" si="756"/>
        <v>6.7948666481364777</v>
      </c>
      <c r="AJ265" s="173">
        <f t="shared" si="757"/>
        <v>3.7640987517060323</v>
      </c>
      <c r="AL265" s="545">
        <f t="shared" si="758"/>
        <v>1225</v>
      </c>
      <c r="AM265" s="460">
        <f t="shared" si="759"/>
        <v>350</v>
      </c>
      <c r="AO265">
        <f t="shared" si="642"/>
        <v>1225</v>
      </c>
      <c r="AP265">
        <f t="shared" si="643"/>
        <v>350</v>
      </c>
      <c r="AR265" s="5">
        <f t="shared" si="771"/>
        <v>2.8571428571428572</v>
      </c>
      <c r="AS265" s="5">
        <f t="shared" si="737"/>
        <v>0.80062716906557307</v>
      </c>
      <c r="AT265" s="5">
        <f t="shared" si="738"/>
        <v>2.0565156880772841</v>
      </c>
      <c r="AU265" s="173">
        <f t="shared" si="739"/>
        <v>0.28021950917295058</v>
      </c>
      <c r="BA265" s="173">
        <f t="shared" si="689"/>
        <v>2.0766795900898543</v>
      </c>
      <c r="BB265" s="173">
        <f t="shared" si="690"/>
        <v>3.3282837622549635</v>
      </c>
      <c r="BC265" s="173">
        <f t="shared" si="691"/>
        <v>0.33555647766996766</v>
      </c>
      <c r="BD265" s="173"/>
      <c r="BE265" s="528">
        <f t="shared" si="692"/>
        <v>5.1751177438749178E-2</v>
      </c>
      <c r="BF265" s="528">
        <f t="shared" si="760"/>
        <v>2.9788575425860553</v>
      </c>
      <c r="BG265" s="528">
        <f t="shared" si="693"/>
        <v>4.0250000000000001E-2</v>
      </c>
      <c r="BH265" s="528">
        <f t="shared" si="694"/>
        <v>0.81198881325721439</v>
      </c>
      <c r="BI265">
        <f t="shared" si="695"/>
        <v>1.7949856707437845E-2</v>
      </c>
      <c r="BJ265" s="460">
        <f t="shared" si="696"/>
        <v>58.199856707437846</v>
      </c>
      <c r="BK265">
        <f t="shared" si="761"/>
        <v>3.9045813954562636</v>
      </c>
      <c r="BL265" s="460">
        <f t="shared" si="697"/>
        <v>3900.7973899894564</v>
      </c>
      <c r="BM265" s="173">
        <f t="shared" si="762"/>
        <v>0.82148500000000002</v>
      </c>
      <c r="BN265" s="173">
        <f t="shared" si="763"/>
        <v>5.8677499999999994E-2</v>
      </c>
      <c r="BQ265" s="460">
        <f t="shared" si="698"/>
        <v>880.16249999999991</v>
      </c>
      <c r="BR265" s="528">
        <f t="shared" si="699"/>
        <v>6.0376373678540707E-2</v>
      </c>
      <c r="BS265" s="528">
        <f t="shared" si="700"/>
        <v>0.15508461922926078</v>
      </c>
      <c r="BT265" s="528">
        <f t="shared" si="701"/>
        <v>5.6299074853137759E-4</v>
      </c>
      <c r="BU265" s="528">
        <f t="shared" si="702"/>
        <v>13.790895260907281</v>
      </c>
      <c r="BV265" s="528"/>
      <c r="BW265" s="625">
        <f t="shared" si="703"/>
        <v>1.6159574468085112</v>
      </c>
      <c r="BX265" s="460">
        <f t="shared" si="704"/>
        <v>15622.876691372125</v>
      </c>
      <c r="BY265" s="173">
        <f t="shared" si="705"/>
        <v>20.403836581361581</v>
      </c>
      <c r="BZ265" s="5">
        <f t="shared" si="706"/>
        <v>37.975000000000001</v>
      </c>
      <c r="CA265" s="173">
        <f t="shared" si="707"/>
        <v>0.65049257956819495</v>
      </c>
      <c r="CB265" s="5">
        <f t="shared" si="708"/>
        <v>65.049257956819488</v>
      </c>
      <c r="CC265">
        <f t="shared" si="709"/>
        <v>49.000000000000007</v>
      </c>
      <c r="CE265" s="562">
        <f t="shared" si="764"/>
        <v>-50</v>
      </c>
      <c r="CG265" s="173">
        <f t="shared" si="765"/>
        <v>0.37939095930187905</v>
      </c>
      <c r="CH265" s="173">
        <f t="shared" si="766"/>
        <v>0.12317520920783857</v>
      </c>
      <c r="CI265" s="170">
        <v>49</v>
      </c>
      <c r="CJ265" s="217">
        <f t="shared" si="710"/>
        <v>1.2250000000000001</v>
      </c>
      <c r="CK265" s="217">
        <f t="shared" si="651"/>
        <v>0.1225</v>
      </c>
      <c r="CL265" s="217">
        <f t="shared" si="652"/>
        <v>34.300000000000004</v>
      </c>
      <c r="CM265" s="217">
        <f t="shared" si="653"/>
        <v>3.6749999999999998</v>
      </c>
      <c r="CN265" s="541">
        <f t="shared" si="654"/>
        <v>40</v>
      </c>
      <c r="CO265" s="443">
        <f t="shared" si="767"/>
        <v>28.7</v>
      </c>
      <c r="CP265" s="443">
        <f t="shared" si="768"/>
        <v>68.7</v>
      </c>
      <c r="CQ265" s="443"/>
      <c r="CR265" s="217">
        <f t="shared" si="657"/>
        <v>0.41520467836257302</v>
      </c>
      <c r="CS265" s="172">
        <f t="shared" si="658"/>
        <v>125.00786015217253</v>
      </c>
      <c r="CT265" s="172">
        <f t="shared" si="659"/>
        <v>14.828738512949037</v>
      </c>
      <c r="CU265" s="217">
        <f t="shared" si="660"/>
        <v>4.4645664340061613</v>
      </c>
      <c r="CV265" s="217">
        <f t="shared" si="661"/>
        <v>4.1669286717390843</v>
      </c>
      <c r="CW265" s="217">
        <f t="shared" si="662"/>
        <v>28</v>
      </c>
      <c r="CX265" s="217">
        <f t="shared" si="663"/>
        <v>4.5730457746478885</v>
      </c>
      <c r="CY265" s="217">
        <f t="shared" si="664"/>
        <v>0.53733287852112688</v>
      </c>
      <c r="CZ265" s="217">
        <f t="shared" si="665"/>
        <v>0.74889599793885286</v>
      </c>
      <c r="DA265" s="197">
        <f t="shared" si="666"/>
        <v>350</v>
      </c>
      <c r="DB265" s="443">
        <f t="shared" si="667"/>
        <v>350</v>
      </c>
      <c r="DD265" s="217">
        <f t="shared" si="668"/>
        <v>10.158258230357086</v>
      </c>
      <c r="DE265" s="173">
        <f t="shared" si="669"/>
        <v>1.6635475150758992</v>
      </c>
      <c r="DF265" s="173">
        <f t="shared" si="670"/>
        <v>2.6710919890125213</v>
      </c>
      <c r="DG265" s="173"/>
      <c r="DH265" s="173">
        <f t="shared" si="671"/>
        <v>0.54587688734030204</v>
      </c>
      <c r="DI265" s="545">
        <f t="shared" si="672"/>
        <v>1346.4574468085107</v>
      </c>
      <c r="DJ265" s="528">
        <f t="shared" si="673"/>
        <v>0.31842818428184283</v>
      </c>
      <c r="DL265" s="173">
        <f t="shared" si="674"/>
        <v>6.7948666481364777</v>
      </c>
      <c r="DM265" s="173">
        <f t="shared" si="675"/>
        <v>6.7948666481364777</v>
      </c>
      <c r="DN265" s="173">
        <f t="shared" si="676"/>
        <v>3.7640987517060323</v>
      </c>
      <c r="DP265" s="545">
        <f t="shared" si="677"/>
        <v>1225</v>
      </c>
      <c r="DQ265" s="460">
        <f t="shared" si="678"/>
        <v>350</v>
      </c>
      <c r="DS265">
        <f t="shared" si="679"/>
        <v>1225</v>
      </c>
      <c r="DT265">
        <f t="shared" si="680"/>
        <v>350</v>
      </c>
      <c r="DV265" s="5">
        <f t="shared" si="681"/>
        <v>2.8571428571428572</v>
      </c>
      <c r="DW265" s="5">
        <f t="shared" si="682"/>
        <v>0.7983968311560361</v>
      </c>
      <c r="DX265" s="5">
        <f t="shared" si="683"/>
        <v>2.0587460259868209</v>
      </c>
      <c r="DY265" s="173">
        <f t="shared" si="684"/>
        <v>0.2794388909046126</v>
      </c>
      <c r="EA265" s="5">
        <f t="shared" si="711"/>
        <v>3.4929861363076582</v>
      </c>
      <c r="EB265" s="5">
        <f t="shared" si="712"/>
        <v>0.32601203938871476</v>
      </c>
      <c r="EC265" s="5">
        <f t="shared" si="713"/>
        <v>1.2609819409169281</v>
      </c>
      <c r="ED265" s="5"/>
      <c r="EE265" s="173">
        <f t="shared" si="714"/>
        <v>2.0737850296940246</v>
      </c>
      <c r="EF265" s="173">
        <f t="shared" si="715"/>
        <v>3.3300880727996929</v>
      </c>
      <c r="EG265" s="173">
        <f t="shared" si="716"/>
        <v>0.33573838766751002</v>
      </c>
      <c r="EH265" s="173"/>
      <c r="EI265" s="528">
        <f t="shared" si="717"/>
        <v>5.1607012192596564E-2</v>
      </c>
      <c r="EJ265" s="528">
        <f t="shared" si="718"/>
        <v>3.1042688025343912</v>
      </c>
      <c r="EK265" s="528">
        <f t="shared" si="719"/>
        <v>4.0250000000000001E-2</v>
      </c>
      <c r="EL265" s="528">
        <f t="shared" si="720"/>
        <v>0.81355656375000007</v>
      </c>
      <c r="EM265">
        <f t="shared" si="721"/>
        <v>1.7999999999999999E-2</v>
      </c>
      <c r="EN265" s="460">
        <f t="shared" si="722"/>
        <v>58.249999999999993</v>
      </c>
      <c r="EP265" s="460">
        <f t="shared" si="723"/>
        <v>4027.6823784769872</v>
      </c>
      <c r="EQ265" s="173">
        <f t="shared" si="724"/>
        <v>0.85750000000000004</v>
      </c>
      <c r="ER265" s="173">
        <f t="shared" si="769"/>
        <v>5.8677499999999994E-2</v>
      </c>
      <c r="ES265" s="528"/>
      <c r="EU265" s="460">
        <f t="shared" si="725"/>
        <v>916.17750000000012</v>
      </c>
      <c r="EV265" s="528">
        <f t="shared" si="726"/>
        <v>6.0208180891362657E-2</v>
      </c>
      <c r="EW265" s="528">
        <f t="shared" si="727"/>
        <v>0.15525281201643884</v>
      </c>
      <c r="EX265" s="528">
        <f t="shared" si="728"/>
        <v>5.6360132476789622E-4</v>
      </c>
      <c r="EY265" s="528">
        <f t="shared" si="729"/>
        <v>13.790895260907281</v>
      </c>
      <c r="EZ265" s="528"/>
      <c r="FA265" s="625">
        <f t="shared" si="730"/>
        <v>1.6159574468085112</v>
      </c>
      <c r="FB265" s="460">
        <f t="shared" si="731"/>
        <v>15622.877301948361</v>
      </c>
      <c r="FC265" s="173">
        <f t="shared" si="732"/>
        <v>20.566737180425349</v>
      </c>
      <c r="FD265" s="5">
        <f t="shared" si="733"/>
        <v>37.975000000000001</v>
      </c>
      <c r="FE265" s="173">
        <f t="shared" si="734"/>
        <v>0.64868249267973099</v>
      </c>
      <c r="FF265" s="5">
        <f t="shared" si="735"/>
        <v>64.868249267973098</v>
      </c>
      <c r="FG265">
        <f t="shared" si="736"/>
        <v>49.000000000000007</v>
      </c>
      <c r="FI265" s="562">
        <f t="shared" si="686"/>
        <v>-50</v>
      </c>
    </row>
    <row r="266" spans="5:165">
      <c r="E266" s="170">
        <v>50</v>
      </c>
      <c r="F266" s="217">
        <f t="shared" si="770"/>
        <v>1.25</v>
      </c>
      <c r="G266" s="217">
        <f t="shared" si="740"/>
        <v>0.125</v>
      </c>
      <c r="H266" s="217">
        <f t="shared" si="741"/>
        <v>35</v>
      </c>
      <c r="I266" s="217">
        <f t="shared" si="742"/>
        <v>3.75</v>
      </c>
      <c r="J266" s="541">
        <f t="shared" si="743"/>
        <v>39.887439167613586</v>
      </c>
      <c r="K266" s="443">
        <f t="shared" si="744"/>
        <v>28.745662965113741</v>
      </c>
      <c r="L266" s="172">
        <f t="shared" si="745"/>
        <v>68.633102132727331</v>
      </c>
      <c r="M266" s="443"/>
      <c r="N266" s="217">
        <f t="shared" si="746"/>
        <v>0.4188308858533516</v>
      </c>
      <c r="O266" s="172">
        <f t="shared" si="747"/>
        <v>125.74477458812143</v>
      </c>
      <c r="P266" s="172">
        <f t="shared" si="748"/>
        <v>14.916153108029709</v>
      </c>
      <c r="Q266" s="217">
        <f t="shared" si="624"/>
        <v>4.4908848067186229</v>
      </c>
      <c r="R266" s="217">
        <f t="shared" si="749"/>
        <v>4.1914924862707146</v>
      </c>
      <c r="S266" s="217">
        <f t="shared" si="750"/>
        <v>28</v>
      </c>
      <c r="T266" s="217">
        <f t="shared" si="751"/>
        <v>4.6390264346494634</v>
      </c>
      <c r="U266" s="217">
        <f t="shared" si="628"/>
        <v>0.54662381686703176</v>
      </c>
      <c r="V266" s="217">
        <f t="shared" si="629"/>
        <v>0.75849439511322148</v>
      </c>
      <c r="W266" s="197">
        <f t="shared" si="630"/>
        <v>350</v>
      </c>
      <c r="X266" s="443">
        <f t="shared" si="688"/>
        <v>350</v>
      </c>
      <c r="Z266" s="217">
        <f t="shared" si="631"/>
        <v>10.155678711850012</v>
      </c>
      <c r="AA266" s="173">
        <f t="shared" si="632"/>
        <v>1.660483183276138</v>
      </c>
      <c r="AB266" s="173">
        <f t="shared" si="752"/>
        <v>2.6654946841075438</v>
      </c>
      <c r="AC266" s="173"/>
      <c r="AD266" s="173">
        <f t="shared" si="634"/>
        <v>0.54500975279923158</v>
      </c>
      <c r="AE266" s="545">
        <f t="shared" si="753"/>
        <v>1376.1221632235302</v>
      </c>
      <c r="AF266" s="528">
        <f t="shared" si="754"/>
        <v>0.31792235579955175</v>
      </c>
      <c r="AH266" s="173">
        <f t="shared" si="755"/>
        <v>6.8638518345080142</v>
      </c>
      <c r="AI266" s="173">
        <f t="shared" si="756"/>
        <v>6.8638518345080142</v>
      </c>
      <c r="AJ266" s="173">
        <f t="shared" si="757"/>
        <v>3.8151988897590225</v>
      </c>
      <c r="AL266" s="545">
        <f t="shared" si="758"/>
        <v>1250</v>
      </c>
      <c r="AM266" s="460">
        <f t="shared" si="759"/>
        <v>350</v>
      </c>
      <c r="AO266">
        <f t="shared" si="642"/>
        <v>1250</v>
      </c>
      <c r="AP266">
        <f t="shared" si="643"/>
        <v>350</v>
      </c>
      <c r="AR266" s="5">
        <f t="shared" si="771"/>
        <v>2.8571428571428572</v>
      </c>
      <c r="AS266" s="5">
        <f t="shared" si="737"/>
        <v>0.80877851011255442</v>
      </c>
      <c r="AT266" s="5">
        <f t="shared" si="738"/>
        <v>2.0483643470303026</v>
      </c>
      <c r="AU266" s="173">
        <f t="shared" si="739"/>
        <v>0.28307247853939405</v>
      </c>
      <c r="BA266" s="173">
        <f t="shared" si="689"/>
        <v>2.1084149963225789</v>
      </c>
      <c r="BB266" s="173">
        <f t="shared" si="690"/>
        <v>3.355404626167819</v>
      </c>
      <c r="BC266" s="173">
        <f t="shared" si="691"/>
        <v>0.33829079427757525</v>
      </c>
      <c r="BD266" s="173"/>
      <c r="BE266" s="528">
        <f t="shared" si="692"/>
        <v>5.3344965560615291E-2</v>
      </c>
      <c r="BF266" s="528">
        <f t="shared" si="760"/>
        <v>3.0090710484330856</v>
      </c>
      <c r="BG266" s="528">
        <f t="shared" si="693"/>
        <v>4.0250000000000001E-2</v>
      </c>
      <c r="BH266" s="528">
        <f t="shared" si="694"/>
        <v>0.81197290435379299</v>
      </c>
      <c r="BI266">
        <f t="shared" si="695"/>
        <v>1.7949347625426115E-2</v>
      </c>
      <c r="BJ266" s="460">
        <f t="shared" si="696"/>
        <v>58.199347625426114</v>
      </c>
      <c r="BK266">
        <f t="shared" si="761"/>
        <v>3.93871433296259</v>
      </c>
      <c r="BL266" s="460">
        <f t="shared" si="697"/>
        <v>3932.5882659729195</v>
      </c>
      <c r="BM266" s="173">
        <f t="shared" si="762"/>
        <v>0.83824999999999994</v>
      </c>
      <c r="BN266" s="173">
        <f t="shared" si="763"/>
        <v>5.9874999999999998E-2</v>
      </c>
      <c r="BQ266" s="460">
        <f t="shared" si="698"/>
        <v>898.125</v>
      </c>
      <c r="BR266" s="528">
        <f t="shared" si="699"/>
        <v>6.2235793154051172E-2</v>
      </c>
      <c r="BS266" s="528">
        <f t="shared" si="700"/>
        <v>0.15762236287431761</v>
      </c>
      <c r="BT266" s="528">
        <f t="shared" si="701"/>
        <v>5.7220330746476369E-4</v>
      </c>
      <c r="BU266" s="528">
        <f t="shared" si="702"/>
        <v>14.143596745776396</v>
      </c>
      <c r="BV266" s="528"/>
      <c r="BW266" s="625">
        <f t="shared" si="703"/>
        <v>1.6489361702127665</v>
      </c>
      <c r="BX266" s="460">
        <f t="shared" si="704"/>
        <v>16012.963275324995</v>
      </c>
      <c r="BY266" s="173">
        <f t="shared" si="705"/>
        <v>20.843676541297917</v>
      </c>
      <c r="BZ266" s="5">
        <f t="shared" si="706"/>
        <v>38.75</v>
      </c>
      <c r="CA266" s="173">
        <f t="shared" si="707"/>
        <v>0.65023677425148585</v>
      </c>
      <c r="CB266" s="5">
        <f t="shared" si="708"/>
        <v>65.023677425148591</v>
      </c>
      <c r="CC266">
        <f t="shared" si="709"/>
        <v>50</v>
      </c>
      <c r="CE266" s="562">
        <f t="shared" si="764"/>
        <v>-50</v>
      </c>
      <c r="CG266" s="173">
        <f t="shared" si="765"/>
        <v>0.38324274291889726</v>
      </c>
      <c r="CH266" s="173">
        <f t="shared" si="766"/>
        <v>0.12442575100704903</v>
      </c>
      <c r="CI266" s="170">
        <v>50</v>
      </c>
      <c r="CJ266" s="217">
        <f t="shared" si="710"/>
        <v>1.25</v>
      </c>
      <c r="CK266" s="217">
        <f t="shared" si="651"/>
        <v>0.125</v>
      </c>
      <c r="CL266" s="217">
        <f t="shared" si="652"/>
        <v>35</v>
      </c>
      <c r="CM266" s="217">
        <f t="shared" si="653"/>
        <v>3.75</v>
      </c>
      <c r="CN266" s="541">
        <f t="shared" si="654"/>
        <v>40</v>
      </c>
      <c r="CO266" s="443">
        <f t="shared" si="767"/>
        <v>28.7</v>
      </c>
      <c r="CP266" s="443">
        <f t="shared" si="768"/>
        <v>68.7</v>
      </c>
      <c r="CQ266" s="443"/>
      <c r="CR266" s="217">
        <f t="shared" si="657"/>
        <v>0.41520467836257302</v>
      </c>
      <c r="CS266" s="172">
        <f t="shared" si="658"/>
        <v>125.00786015217253</v>
      </c>
      <c r="CT266" s="172">
        <f t="shared" si="659"/>
        <v>14.828738512949037</v>
      </c>
      <c r="CU266" s="217">
        <f t="shared" si="660"/>
        <v>4.4645664340061613</v>
      </c>
      <c r="CV266" s="217">
        <f t="shared" si="661"/>
        <v>4.1669286717390843</v>
      </c>
      <c r="CW266" s="217">
        <f t="shared" si="662"/>
        <v>28</v>
      </c>
      <c r="CX266" s="217">
        <f t="shared" si="663"/>
        <v>4.6663732394366209</v>
      </c>
      <c r="CY266" s="217">
        <f t="shared" si="664"/>
        <v>0.54829885563380287</v>
      </c>
      <c r="CZ266" s="217">
        <f t="shared" si="665"/>
        <v>0.76417958973352318</v>
      </c>
      <c r="DA266" s="197">
        <f t="shared" si="666"/>
        <v>350</v>
      </c>
      <c r="DB266" s="443">
        <f t="shared" si="667"/>
        <v>350</v>
      </c>
      <c r="DD266" s="217">
        <f t="shared" si="668"/>
        <v>10.158258230357086</v>
      </c>
      <c r="DE266" s="173">
        <f t="shared" si="669"/>
        <v>1.6635475150758992</v>
      </c>
      <c r="DF266" s="173">
        <f t="shared" si="670"/>
        <v>2.6710919890125213</v>
      </c>
      <c r="DG266" s="173"/>
      <c r="DH266" s="173">
        <f t="shared" si="671"/>
        <v>0.54587688734030204</v>
      </c>
      <c r="DI266" s="545">
        <f t="shared" si="672"/>
        <v>1373.936170212766</v>
      </c>
      <c r="DJ266" s="528">
        <f t="shared" si="673"/>
        <v>0.31842818428184283</v>
      </c>
      <c r="DL266" s="173">
        <f t="shared" si="674"/>
        <v>6.8638518345080142</v>
      </c>
      <c r="DM266" s="173">
        <f t="shared" si="675"/>
        <v>6.8638518345080142</v>
      </c>
      <c r="DN266" s="173">
        <f t="shared" si="676"/>
        <v>3.8151988897590225</v>
      </c>
      <c r="DP266" s="545">
        <f t="shared" si="677"/>
        <v>1250</v>
      </c>
      <c r="DQ266" s="460">
        <f t="shared" si="678"/>
        <v>350</v>
      </c>
      <c r="DS266">
        <f t="shared" si="679"/>
        <v>1250</v>
      </c>
      <c r="DT266">
        <f t="shared" si="680"/>
        <v>350</v>
      </c>
      <c r="DV266" s="5">
        <f t="shared" si="681"/>
        <v>2.8571428571428572</v>
      </c>
      <c r="DW266" s="5">
        <f t="shared" si="682"/>
        <v>0.80650259055469176</v>
      </c>
      <c r="DX266" s="5">
        <f t="shared" si="683"/>
        <v>2.0506402665881653</v>
      </c>
      <c r="DY266" s="173">
        <f t="shared" si="684"/>
        <v>0.2822759066941421</v>
      </c>
      <c r="EA266" s="5">
        <f t="shared" si="711"/>
        <v>3.6004579935477312</v>
      </c>
      <c r="EB266" s="5">
        <f t="shared" si="712"/>
        <v>0.33604274606445489</v>
      </c>
      <c r="EC266" s="5">
        <f t="shared" si="713"/>
        <v>1.2816501666176032</v>
      </c>
      <c r="ED266" s="5"/>
      <c r="EE266" s="173">
        <f t="shared" si="714"/>
        <v>2.1054463445517735</v>
      </c>
      <c r="EF266" s="173">
        <f t="shared" si="715"/>
        <v>3.3572681889059623</v>
      </c>
      <c r="EG266" s="173">
        <f t="shared" si="716"/>
        <v>0.33847867806183063</v>
      </c>
      <c r="EH266" s="173"/>
      <c r="EI266" s="528">
        <f t="shared" si="717"/>
        <v>5.3194851717437111E-2</v>
      </c>
      <c r="EJ266" s="528">
        <f t="shared" si="718"/>
        <v>3.135785029854159</v>
      </c>
      <c r="EK266" s="528">
        <f t="shared" si="719"/>
        <v>4.0250000000000001E-2</v>
      </c>
      <c r="EL266" s="528">
        <f t="shared" si="720"/>
        <v>0.81355656375000007</v>
      </c>
      <c r="EM266">
        <f t="shared" si="721"/>
        <v>1.7999999999999999E-2</v>
      </c>
      <c r="EN266" s="460">
        <f t="shared" si="722"/>
        <v>58.249999999999993</v>
      </c>
      <c r="EP266" s="460">
        <f t="shared" si="723"/>
        <v>4060.7864453215957</v>
      </c>
      <c r="EQ266" s="173">
        <f t="shared" si="724"/>
        <v>0.875</v>
      </c>
      <c r="ER266" s="173">
        <f t="shared" si="769"/>
        <v>5.9874999999999998E-2</v>
      </c>
      <c r="ES266" s="528"/>
      <c r="EU266" s="460">
        <f t="shared" si="725"/>
        <v>934.875</v>
      </c>
      <c r="EV266" s="528">
        <f t="shared" si="726"/>
        <v>6.2060660337009958E-2</v>
      </c>
      <c r="EW266" s="528">
        <f t="shared" si="727"/>
        <v>0.15779749569135887</v>
      </c>
      <c r="EX266" s="528">
        <f t="shared" si="728"/>
        <v>5.7283907751242195E-4</v>
      </c>
      <c r="EY266" s="528">
        <f t="shared" si="729"/>
        <v>14.143596745776396</v>
      </c>
      <c r="EZ266" s="528"/>
      <c r="FA266" s="625">
        <f t="shared" si="730"/>
        <v>1.6489361702127665</v>
      </c>
      <c r="FB266" s="460">
        <f t="shared" si="731"/>
        <v>16012.963911095043</v>
      </c>
      <c r="FC266" s="173">
        <f t="shared" si="732"/>
        <v>21.008625356416641</v>
      </c>
      <c r="FD266" s="5">
        <f t="shared" si="733"/>
        <v>38.75</v>
      </c>
      <c r="FE266" s="173">
        <f t="shared" si="734"/>
        <v>0.64844195743935695</v>
      </c>
      <c r="FF266" s="5">
        <f t="shared" si="735"/>
        <v>64.8441957439357</v>
      </c>
      <c r="FG266">
        <f t="shared" si="736"/>
        <v>50</v>
      </c>
      <c r="FI266" s="562">
        <f t="shared" si="686"/>
        <v>-50</v>
      </c>
    </row>
    <row r="267" spans="5:165">
      <c r="E267" s="170">
        <v>51</v>
      </c>
      <c r="F267" s="217">
        <f t="shared" si="770"/>
        <v>1.2749999999999999</v>
      </c>
      <c r="G267" s="217">
        <f t="shared" si="740"/>
        <v>0.1275</v>
      </c>
      <c r="H267" s="217">
        <f t="shared" si="741"/>
        <v>35.699999999999996</v>
      </c>
      <c r="I267" s="217">
        <f t="shared" si="742"/>
        <v>3.8250000000000002</v>
      </c>
      <c r="J267" s="541">
        <f t="shared" si="743"/>
        <v>39.88631913174472</v>
      </c>
      <c r="K267" s="443">
        <f t="shared" si="744"/>
        <v>28.746117334166648</v>
      </c>
      <c r="L267" s="172">
        <f t="shared" si="745"/>
        <v>68.632436465911368</v>
      </c>
      <c r="M267" s="443"/>
      <c r="N267" s="217">
        <f t="shared" si="746"/>
        <v>0.41884156842434678</v>
      </c>
      <c r="O267" s="172">
        <f t="shared" si="747"/>
        <v>125.74445080290103</v>
      </c>
      <c r="P267" s="172">
        <f t="shared" si="748"/>
        <v>14.916114699833921</v>
      </c>
      <c r="Q267" s="217">
        <f t="shared" si="624"/>
        <v>4.4908732429607507</v>
      </c>
      <c r="R267" s="217">
        <f t="shared" si="749"/>
        <v>4.1914816934300339</v>
      </c>
      <c r="S267" s="217">
        <f t="shared" si="750"/>
        <v>28</v>
      </c>
      <c r="T267" s="217">
        <f t="shared" si="751"/>
        <v>4.7318191474917395</v>
      </c>
      <c r="U267" s="217">
        <f t="shared" si="628"/>
        <v>0.55757338549475632</v>
      </c>
      <c r="V267" s="217">
        <f t="shared" si="629"/>
        <v>0.77365404637717838</v>
      </c>
      <c r="W267" s="197">
        <f t="shared" si="630"/>
        <v>350</v>
      </c>
      <c r="X267" s="443">
        <f t="shared" si="688"/>
        <v>350</v>
      </c>
      <c r="Z267" s="217">
        <f t="shared" si="631"/>
        <v>10.155652561589051</v>
      </c>
      <c r="AA267" s="173">
        <f t="shared" si="632"/>
        <v>1.6604526616447235</v>
      </c>
      <c r="AB267" s="173">
        <f t="shared" si="752"/>
        <v>2.6654388258220969</v>
      </c>
      <c r="AC267" s="173"/>
      <c r="AD267" s="173">
        <f t="shared" si="634"/>
        <v>0.54500113822487617</v>
      </c>
      <c r="AE267" s="545">
        <f t="shared" si="753"/>
        <v>1403.6667932321798</v>
      </c>
      <c r="AF267" s="528">
        <f t="shared" si="754"/>
        <v>0.31791733063117777</v>
      </c>
      <c r="AH267" s="173">
        <f t="shared" si="755"/>
        <v>6.9321505498799292</v>
      </c>
      <c r="AI267" s="173">
        <f t="shared" si="756"/>
        <v>6.9321505498799292</v>
      </c>
      <c r="AJ267" s="173">
        <f t="shared" si="757"/>
        <v>3.8657905307752563</v>
      </c>
      <c r="AL267" s="545">
        <f t="shared" si="758"/>
        <v>1275</v>
      </c>
      <c r="AM267" s="460">
        <f t="shared" si="759"/>
        <v>350</v>
      </c>
      <c r="AO267">
        <f t="shared" si="642"/>
        <v>1275</v>
      </c>
      <c r="AP267">
        <f t="shared" si="643"/>
        <v>350</v>
      </c>
      <c r="AR267" s="5">
        <f t="shared" si="771"/>
        <v>2.8571428571428572</v>
      </c>
      <c r="AS267" s="5">
        <f t="shared" si="737"/>
        <v>0.81684919274752077</v>
      </c>
      <c r="AT267" s="5">
        <f t="shared" si="738"/>
        <v>2.0402936643953362</v>
      </c>
      <c r="AU267" s="173">
        <f t="shared" si="739"/>
        <v>0.28589721746163227</v>
      </c>
      <c r="BA267" s="173">
        <f t="shared" si="689"/>
        <v>2.139992852886115</v>
      </c>
      <c r="BB267" s="173">
        <f t="shared" si="690"/>
        <v>3.3821099437574782</v>
      </c>
      <c r="BC267" s="173">
        <f t="shared" si="691"/>
        <v>0.34098321564112283</v>
      </c>
      <c r="BD267" s="173"/>
      <c r="BE267" s="528">
        <f t="shared" si="692"/>
        <v>5.4954832924843842E-2</v>
      </c>
      <c r="BF267" s="528">
        <f t="shared" si="760"/>
        <v>3.0389833162179736</v>
      </c>
      <c r="BG267" s="528">
        <f t="shared" si="693"/>
        <v>4.0250000000000001E-2</v>
      </c>
      <c r="BH267" s="528">
        <f t="shared" si="694"/>
        <v>0.81195715391326384</v>
      </c>
      <c r="BI267">
        <f t="shared" si="695"/>
        <v>1.7948843609285125E-2</v>
      </c>
      <c r="BJ267" s="460">
        <f t="shared" si="696"/>
        <v>58.19884360928512</v>
      </c>
      <c r="BK267">
        <f t="shared" si="761"/>
        <v>3.9726044703769712</v>
      </c>
      <c r="BL267" s="460">
        <f t="shared" si="697"/>
        <v>3964.0941466653662</v>
      </c>
      <c r="BM267" s="173">
        <f t="shared" si="762"/>
        <v>0.85501499999999986</v>
      </c>
      <c r="BN267" s="173">
        <f t="shared" si="763"/>
        <v>6.1072500000000002E-2</v>
      </c>
      <c r="BQ267" s="460">
        <f t="shared" si="698"/>
        <v>916.08749999999986</v>
      </c>
      <c r="BR267" s="528">
        <f t="shared" si="699"/>
        <v>6.4113971745651144E-2</v>
      </c>
      <c r="BS267" s="528">
        <f t="shared" si="700"/>
        <v>0.16014134740328498</v>
      </c>
      <c r="BT267" s="528">
        <f t="shared" si="701"/>
        <v>5.8134776674480238E-4</v>
      </c>
      <c r="BU267" s="528">
        <f t="shared" si="702"/>
        <v>14.498066257597166</v>
      </c>
      <c r="BV267" s="528"/>
      <c r="BW267" s="625">
        <f t="shared" si="703"/>
        <v>1.6819148936170214</v>
      </c>
      <c r="BX267" s="460">
        <f t="shared" si="704"/>
        <v>16404.817818129872</v>
      </c>
      <c r="BY267" s="173">
        <f t="shared" si="705"/>
        <v>21.284999464795238</v>
      </c>
      <c r="BZ267" s="5">
        <f t="shared" si="706"/>
        <v>39.524999999999999</v>
      </c>
      <c r="CA267" s="173">
        <f t="shared" si="707"/>
        <v>0.64997533872504343</v>
      </c>
      <c r="CB267" s="5">
        <f t="shared" si="708"/>
        <v>64.997533872504349</v>
      </c>
      <c r="CC267">
        <f t="shared" si="709"/>
        <v>51</v>
      </c>
      <c r="CE267" s="562">
        <f t="shared" si="764"/>
        <v>-50</v>
      </c>
      <c r="CG267" s="173">
        <f t="shared" si="765"/>
        <v>0.38705619747008313</v>
      </c>
      <c r="CH267" s="173">
        <f t="shared" si="766"/>
        <v>0.1256638486755102</v>
      </c>
      <c r="CI267" s="170">
        <v>51</v>
      </c>
      <c r="CJ267" s="217">
        <f t="shared" si="710"/>
        <v>1.2749999999999999</v>
      </c>
      <c r="CK267" s="217">
        <f t="shared" si="651"/>
        <v>0.1275</v>
      </c>
      <c r="CL267" s="217">
        <f t="shared" si="652"/>
        <v>35.699999999999996</v>
      </c>
      <c r="CM267" s="217">
        <f t="shared" si="653"/>
        <v>3.8250000000000002</v>
      </c>
      <c r="CN267" s="541">
        <f t="shared" si="654"/>
        <v>40</v>
      </c>
      <c r="CO267" s="443">
        <f t="shared" si="767"/>
        <v>28.7</v>
      </c>
      <c r="CP267" s="443">
        <f t="shared" si="768"/>
        <v>68.7</v>
      </c>
      <c r="CQ267" s="443"/>
      <c r="CR267" s="217">
        <f t="shared" si="657"/>
        <v>0.41520467836257302</v>
      </c>
      <c r="CS267" s="172">
        <f t="shared" si="658"/>
        <v>125.00786015217253</v>
      </c>
      <c r="CT267" s="172">
        <f t="shared" si="659"/>
        <v>14.828738512949037</v>
      </c>
      <c r="CU267" s="217">
        <f t="shared" si="660"/>
        <v>4.4645664340061613</v>
      </c>
      <c r="CV267" s="217">
        <f t="shared" si="661"/>
        <v>4.1669286717390843</v>
      </c>
      <c r="CW267" s="217">
        <f t="shared" si="662"/>
        <v>28</v>
      </c>
      <c r="CX267" s="217">
        <f t="shared" si="663"/>
        <v>4.7597007042253532</v>
      </c>
      <c r="CY267" s="217">
        <f t="shared" si="664"/>
        <v>0.55926483274647898</v>
      </c>
      <c r="CZ267" s="217">
        <f t="shared" si="665"/>
        <v>0.77946318152819372</v>
      </c>
      <c r="DA267" s="197">
        <f t="shared" si="666"/>
        <v>350</v>
      </c>
      <c r="DB267" s="443">
        <f t="shared" si="667"/>
        <v>350</v>
      </c>
      <c r="DD267" s="217">
        <f t="shared" si="668"/>
        <v>10.158258230357086</v>
      </c>
      <c r="DE267" s="173">
        <f t="shared" si="669"/>
        <v>1.6635475150758992</v>
      </c>
      <c r="DF267" s="173">
        <f t="shared" si="670"/>
        <v>2.6710919890125213</v>
      </c>
      <c r="DG267" s="173"/>
      <c r="DH267" s="173">
        <f t="shared" si="671"/>
        <v>0.54587688734030204</v>
      </c>
      <c r="DI267" s="545">
        <f t="shared" si="672"/>
        <v>1401.4148936170211</v>
      </c>
      <c r="DJ267" s="528">
        <f t="shared" si="673"/>
        <v>0.31842818428184283</v>
      </c>
      <c r="DL267" s="173">
        <f t="shared" si="674"/>
        <v>6.9321505498799292</v>
      </c>
      <c r="DM267" s="173">
        <f t="shared" si="675"/>
        <v>6.9321505498799292</v>
      </c>
      <c r="DN267" s="173">
        <f t="shared" si="676"/>
        <v>3.8657905307752563</v>
      </c>
      <c r="DP267" s="545">
        <f t="shared" si="677"/>
        <v>1275</v>
      </c>
      <c r="DQ267" s="460">
        <f t="shared" si="678"/>
        <v>350</v>
      </c>
      <c r="DS267">
        <f t="shared" si="679"/>
        <v>1275</v>
      </c>
      <c r="DT267">
        <f t="shared" si="680"/>
        <v>350</v>
      </c>
      <c r="DV267" s="5">
        <f t="shared" si="681"/>
        <v>2.8571428571428572</v>
      </c>
      <c r="DW267" s="5">
        <f t="shared" si="682"/>
        <v>0.81452768961089173</v>
      </c>
      <c r="DX267" s="5">
        <f t="shared" si="683"/>
        <v>2.0426151675319657</v>
      </c>
      <c r="DY267" s="173">
        <f t="shared" si="684"/>
        <v>0.28508469136381209</v>
      </c>
      <c r="EA267" s="5">
        <f t="shared" si="711"/>
        <v>3.7090100151924528</v>
      </c>
      <c r="EB267" s="5">
        <f t="shared" si="712"/>
        <v>0.34617426808462903</v>
      </c>
      <c r="EC267" s="5">
        <f t="shared" si="713"/>
        <v>1.3021671693016277</v>
      </c>
      <c r="ED267" s="5"/>
      <c r="EE267" s="173">
        <f t="shared" si="714"/>
        <v>2.1369497361270349</v>
      </c>
      <c r="EF267" s="173">
        <f t="shared" si="715"/>
        <v>3.3840335263311836</v>
      </c>
      <c r="EG267" s="173">
        <f t="shared" si="716"/>
        <v>0.34117715060552095</v>
      </c>
      <c r="EH267" s="173"/>
      <c r="EI267" s="528">
        <f t="shared" si="717"/>
        <v>5.4798650096800849E-2</v>
      </c>
      <c r="EJ267" s="528">
        <f t="shared" si="718"/>
        <v>3.1669876394653955</v>
      </c>
      <c r="EK267" s="528">
        <f t="shared" si="719"/>
        <v>4.0250000000000001E-2</v>
      </c>
      <c r="EL267" s="528">
        <f t="shared" si="720"/>
        <v>0.81355656375000007</v>
      </c>
      <c r="EM267">
        <f t="shared" si="721"/>
        <v>1.7999999999999999E-2</v>
      </c>
      <c r="EN267" s="460">
        <f t="shared" si="722"/>
        <v>58.249999999999993</v>
      </c>
      <c r="EP267" s="460">
        <f t="shared" si="723"/>
        <v>4093.592853312196</v>
      </c>
      <c r="EQ267" s="173">
        <f t="shared" si="724"/>
        <v>0.89249999999999985</v>
      </c>
      <c r="ER267" s="173">
        <f t="shared" si="769"/>
        <v>6.1072500000000002E-2</v>
      </c>
      <c r="ES267" s="528"/>
      <c r="EU267" s="460">
        <f t="shared" si="725"/>
        <v>953.57249999999988</v>
      </c>
      <c r="EV267" s="528">
        <f t="shared" si="726"/>
        <v>6.3931758446267653E-2</v>
      </c>
      <c r="EW267" s="528">
        <f t="shared" si="727"/>
        <v>0.16032356070266851</v>
      </c>
      <c r="EX267" s="528">
        <f t="shared" si="728"/>
        <v>5.8200924047651162E-4</v>
      </c>
      <c r="EY267" s="528">
        <f t="shared" si="729"/>
        <v>14.498066257597166</v>
      </c>
      <c r="EZ267" s="528"/>
      <c r="FA267" s="625">
        <f t="shared" si="730"/>
        <v>1.6819148936170214</v>
      </c>
      <c r="FB267" s="460">
        <f t="shared" si="731"/>
        <v>16404.8184796036</v>
      </c>
      <c r="FC267" s="173">
        <f t="shared" si="732"/>
        <v>21.451983832915797</v>
      </c>
      <c r="FD267" s="5">
        <f t="shared" si="733"/>
        <v>39.524999999999999</v>
      </c>
      <c r="FE267" s="173">
        <f t="shared" si="734"/>
        <v>0.64819539300768325</v>
      </c>
      <c r="FF267" s="5">
        <f t="shared" si="735"/>
        <v>64.819539300768326</v>
      </c>
      <c r="FG267">
        <f t="shared" si="736"/>
        <v>51</v>
      </c>
      <c r="FI267" s="562">
        <f t="shared" si="686"/>
        <v>-50</v>
      </c>
    </row>
    <row r="268" spans="5:165">
      <c r="E268" s="170">
        <v>52</v>
      </c>
      <c r="F268" s="217">
        <f t="shared" si="770"/>
        <v>1.3</v>
      </c>
      <c r="G268" s="217">
        <f t="shared" si="740"/>
        <v>0.13</v>
      </c>
      <c r="H268" s="217">
        <f t="shared" si="741"/>
        <v>36.4</v>
      </c>
      <c r="I268" s="217">
        <f t="shared" si="742"/>
        <v>3.9000000000000004</v>
      </c>
      <c r="J268" s="541">
        <f t="shared" si="743"/>
        <v>39.885210023839086</v>
      </c>
      <c r="K268" s="443">
        <f t="shared" si="744"/>
        <v>28.746567270032692</v>
      </c>
      <c r="L268" s="172">
        <f t="shared" si="745"/>
        <v>68.631777293871778</v>
      </c>
      <c r="M268" s="443"/>
      <c r="N268" s="217">
        <f t="shared" si="746"/>
        <v>0.41885214697185924</v>
      </c>
      <c r="O268" s="172">
        <f t="shared" si="747"/>
        <v>125.74413006060178</v>
      </c>
      <c r="P268" s="172">
        <f t="shared" si="748"/>
        <v>14.916076652596894</v>
      </c>
      <c r="Q268" s="217">
        <f t="shared" si="624"/>
        <v>4.490861787878635</v>
      </c>
      <c r="R268" s="217">
        <f t="shared" si="749"/>
        <v>4.1914710020200596</v>
      </c>
      <c r="S268" s="217">
        <f t="shared" si="750"/>
        <v>28</v>
      </c>
      <c r="T268" s="217">
        <f t="shared" si="751"/>
        <v>4.824612221455479</v>
      </c>
      <c r="U268" s="217">
        <f t="shared" si="628"/>
        <v>0.56852345586967379</v>
      </c>
      <c r="V268" s="217">
        <f t="shared" si="629"/>
        <v>0.78881339910380754</v>
      </c>
      <c r="W268" s="197">
        <f t="shared" si="630"/>
        <v>350</v>
      </c>
      <c r="X268" s="443">
        <f t="shared" si="688"/>
        <v>350</v>
      </c>
      <c r="Z268" s="217">
        <f t="shared" si="631"/>
        <v>10.155626657087247</v>
      </c>
      <c r="AA268" s="173">
        <f t="shared" si="632"/>
        <v>1.6604224372232592</v>
      </c>
      <c r="AB268" s="173">
        <f t="shared" si="752"/>
        <v>2.6653835093839517</v>
      </c>
      <c r="AC268" s="173"/>
      <c r="AD268" s="173">
        <f t="shared" si="634"/>
        <v>0.54499260796953053</v>
      </c>
      <c r="AE268" s="545">
        <f t="shared" si="753"/>
        <v>1431.2120725931172</v>
      </c>
      <c r="AF268" s="528">
        <f t="shared" si="754"/>
        <v>0.31791235464889284</v>
      </c>
      <c r="AH268" s="173">
        <f t="shared" si="755"/>
        <v>6.9997828885131996</v>
      </c>
      <c r="AI268" s="173">
        <f t="shared" si="756"/>
        <v>6.9997828885131996</v>
      </c>
      <c r="AJ268" s="173">
        <f t="shared" si="757"/>
        <v>3.915888559392493</v>
      </c>
      <c r="AL268" s="545">
        <f t="shared" si="758"/>
        <v>1300</v>
      </c>
      <c r="AM268" s="460">
        <f t="shared" si="759"/>
        <v>350</v>
      </c>
      <c r="AO268">
        <f t="shared" si="642"/>
        <v>1300</v>
      </c>
      <c r="AP268">
        <f t="shared" si="643"/>
        <v>350</v>
      </c>
      <c r="AR268" s="5">
        <f t="shared" si="771"/>
        <v>2.8571428571428572</v>
      </c>
      <c r="AS268" s="5">
        <f t="shared" si="737"/>
        <v>0.82484157802725788</v>
      </c>
      <c r="AT268" s="5">
        <f t="shared" si="738"/>
        <v>2.0323012791155994</v>
      </c>
      <c r="AU268" s="173">
        <f t="shared" si="739"/>
        <v>0.28869455230954028</v>
      </c>
      <c r="BA268" s="173">
        <f t="shared" si="689"/>
        <v>2.1714170160003063</v>
      </c>
      <c r="BB268" s="173">
        <f t="shared" si="690"/>
        <v>3.4084114048529592</v>
      </c>
      <c r="BC268" s="173">
        <f t="shared" si="691"/>
        <v>0.34363492032533932</v>
      </c>
      <c r="BD268" s="173"/>
      <c r="BE268" s="528">
        <f t="shared" si="692"/>
        <v>5.6580622288508096E-2</v>
      </c>
      <c r="BF268" s="528">
        <f t="shared" si="760"/>
        <v>3.068603163729438</v>
      </c>
      <c r="BG268" s="528">
        <f t="shared" si="693"/>
        <v>4.0250000000000001E-2</v>
      </c>
      <c r="BH268" s="528">
        <f t="shared" si="694"/>
        <v>0.81194155729712891</v>
      </c>
      <c r="BI268">
        <f t="shared" si="695"/>
        <v>1.7948344510727587E-2</v>
      </c>
      <c r="BJ268" s="460">
        <f t="shared" si="696"/>
        <v>58.198344510727587</v>
      </c>
      <c r="BK268">
        <f t="shared" si="761"/>
        <v>4.0062604981120247</v>
      </c>
      <c r="BL268" s="460">
        <f t="shared" si="697"/>
        <v>3995.3236878258026</v>
      </c>
      <c r="BM268" s="173">
        <f t="shared" si="762"/>
        <v>0.87177999999999989</v>
      </c>
      <c r="BN268" s="173">
        <f t="shared" si="763"/>
        <v>6.2269999999999999E-2</v>
      </c>
      <c r="BQ268" s="460">
        <f t="shared" si="698"/>
        <v>934.05</v>
      </c>
      <c r="BR268" s="528">
        <f t="shared" si="699"/>
        <v>6.601072600325944E-2</v>
      </c>
      <c r="BS268" s="528">
        <f t="shared" si="700"/>
        <v>0.16264175626624414</v>
      </c>
      <c r="BT268" s="528">
        <f t="shared" si="701"/>
        <v>5.904247923350115E-4</v>
      </c>
      <c r="BU268" s="528">
        <f t="shared" si="702"/>
        <v>14.854277728760296</v>
      </c>
      <c r="BV268" s="528"/>
      <c r="BW268" s="625">
        <f t="shared" si="703"/>
        <v>1.714893617021277</v>
      </c>
      <c r="BX268" s="460">
        <f t="shared" si="704"/>
        <v>16798.414252843409</v>
      </c>
      <c r="BY268" s="173">
        <f t="shared" si="705"/>
        <v>21.727787940669216</v>
      </c>
      <c r="BZ268" s="5">
        <f t="shared" si="706"/>
        <v>40.299999999999997</v>
      </c>
      <c r="CA268" s="173">
        <f t="shared" si="707"/>
        <v>0.64970880532685982</v>
      </c>
      <c r="CB268" s="5">
        <f t="shared" si="708"/>
        <v>64.970880532685982</v>
      </c>
      <c r="CC268">
        <f t="shared" si="709"/>
        <v>52</v>
      </c>
      <c r="CE268" s="562">
        <f t="shared" si="764"/>
        <v>-50</v>
      </c>
      <c r="CG268" s="173">
        <f t="shared" si="765"/>
        <v>0.39083244491725605</v>
      </c>
      <c r="CH268" s="173">
        <f t="shared" si="766"/>
        <v>0.12688986647567602</v>
      </c>
      <c r="CI268" s="170">
        <v>52</v>
      </c>
      <c r="CJ268" s="217">
        <f t="shared" si="710"/>
        <v>1.3</v>
      </c>
      <c r="CK268" s="217">
        <f t="shared" si="651"/>
        <v>0.13</v>
      </c>
      <c r="CL268" s="217">
        <f t="shared" si="652"/>
        <v>36.4</v>
      </c>
      <c r="CM268" s="217">
        <f t="shared" si="653"/>
        <v>3.9000000000000004</v>
      </c>
      <c r="CN268" s="541">
        <f t="shared" si="654"/>
        <v>40</v>
      </c>
      <c r="CO268" s="443">
        <f t="shared" si="767"/>
        <v>28.7</v>
      </c>
      <c r="CP268" s="443">
        <f t="shared" si="768"/>
        <v>68.7</v>
      </c>
      <c r="CQ268" s="443"/>
      <c r="CR268" s="217">
        <f t="shared" si="657"/>
        <v>0.41520467836257302</v>
      </c>
      <c r="CS268" s="172">
        <f t="shared" si="658"/>
        <v>125.00786015217253</v>
      </c>
      <c r="CT268" s="172">
        <f t="shared" si="659"/>
        <v>14.828738512949037</v>
      </c>
      <c r="CU268" s="217">
        <f t="shared" si="660"/>
        <v>4.4645664340061613</v>
      </c>
      <c r="CV268" s="217">
        <f t="shared" si="661"/>
        <v>4.1669286717390843</v>
      </c>
      <c r="CW268" s="217">
        <f t="shared" si="662"/>
        <v>28</v>
      </c>
      <c r="CX268" s="217">
        <f t="shared" si="663"/>
        <v>4.8530281690140855</v>
      </c>
      <c r="CY268" s="217">
        <f t="shared" si="664"/>
        <v>0.57023080985915497</v>
      </c>
      <c r="CZ268" s="217">
        <f t="shared" si="665"/>
        <v>0.79474677332286414</v>
      </c>
      <c r="DA268" s="197">
        <f t="shared" si="666"/>
        <v>350</v>
      </c>
      <c r="DB268" s="443">
        <f t="shared" si="667"/>
        <v>350</v>
      </c>
      <c r="DD268" s="217">
        <f t="shared" si="668"/>
        <v>10.158258230357086</v>
      </c>
      <c r="DE268" s="173">
        <f t="shared" si="669"/>
        <v>1.6635475150758992</v>
      </c>
      <c r="DF268" s="173">
        <f t="shared" si="670"/>
        <v>2.6710919890125213</v>
      </c>
      <c r="DG268" s="173"/>
      <c r="DH268" s="173">
        <f t="shared" si="671"/>
        <v>0.54587688734030204</v>
      </c>
      <c r="DI268" s="545">
        <f t="shared" si="672"/>
        <v>1428.8936170212767</v>
      </c>
      <c r="DJ268" s="528">
        <f t="shared" si="673"/>
        <v>0.31842818428184283</v>
      </c>
      <c r="DL268" s="173">
        <f t="shared" si="674"/>
        <v>6.9997828885131996</v>
      </c>
      <c r="DM268" s="173">
        <f t="shared" si="675"/>
        <v>6.9997828885131996</v>
      </c>
      <c r="DN268" s="173">
        <f t="shared" si="676"/>
        <v>3.915888559392493</v>
      </c>
      <c r="DP268" s="545">
        <f t="shared" si="677"/>
        <v>1300</v>
      </c>
      <c r="DQ268" s="460">
        <f t="shared" si="678"/>
        <v>350</v>
      </c>
      <c r="DS268">
        <f t="shared" si="679"/>
        <v>1300</v>
      </c>
      <c r="DT268">
        <f t="shared" si="680"/>
        <v>350</v>
      </c>
      <c r="DV268" s="5">
        <f t="shared" si="681"/>
        <v>2.8571428571428572</v>
      </c>
      <c r="DW268" s="5">
        <f t="shared" si="682"/>
        <v>0.82247448940030099</v>
      </c>
      <c r="DX268" s="5">
        <f t="shared" si="683"/>
        <v>2.0346683677425563</v>
      </c>
      <c r="DY268" s="173">
        <f t="shared" si="684"/>
        <v>0.28786607129010533</v>
      </c>
      <c r="EA268" s="5">
        <f t="shared" si="711"/>
        <v>3.8186315579299688</v>
      </c>
      <c r="EB268" s="5">
        <f t="shared" si="712"/>
        <v>0.35640561207346377</v>
      </c>
      <c r="EC268" s="5">
        <f t="shared" si="713"/>
        <v>1.3225344390326614</v>
      </c>
      <c r="ED268" s="5"/>
      <c r="EE268" s="173">
        <f t="shared" si="714"/>
        <v>2.1682990661156576</v>
      </c>
      <c r="EF268" s="173">
        <f t="shared" si="715"/>
        <v>3.4103957720460194</v>
      </c>
      <c r="EG268" s="173">
        <f t="shared" si="716"/>
        <v>0.34383498357513148</v>
      </c>
      <c r="EH268" s="173"/>
      <c r="EI268" s="528">
        <f t="shared" si="717"/>
        <v>5.6418250081416398E-2</v>
      </c>
      <c r="EJ268" s="528">
        <f t="shared" si="718"/>
        <v>3.1978858115316982</v>
      </c>
      <c r="EK268" s="528">
        <f t="shared" si="719"/>
        <v>4.0250000000000001E-2</v>
      </c>
      <c r="EL268" s="528">
        <f t="shared" si="720"/>
        <v>0.81355656375000007</v>
      </c>
      <c r="EM268">
        <f t="shared" si="721"/>
        <v>1.7999999999999999E-2</v>
      </c>
      <c r="EN268" s="460">
        <f t="shared" si="722"/>
        <v>58.249999999999993</v>
      </c>
      <c r="EP268" s="460">
        <f t="shared" si="723"/>
        <v>4126.1106253631142</v>
      </c>
      <c r="EQ268" s="173">
        <f t="shared" si="724"/>
        <v>0.90999999999999992</v>
      </c>
      <c r="ER268" s="173">
        <f t="shared" si="769"/>
        <v>6.2269999999999999E-2</v>
      </c>
      <c r="ES268" s="528"/>
      <c r="EU268" s="460">
        <f t="shared" si="725"/>
        <v>972.27</v>
      </c>
      <c r="EV268" s="528">
        <f t="shared" si="726"/>
        <v>6.5821291761652467E-2</v>
      </c>
      <c r="EW268" s="528">
        <f t="shared" si="727"/>
        <v>0.16283119050785111</v>
      </c>
      <c r="EX268" s="528">
        <f t="shared" si="728"/>
        <v>5.9111247965055471E-4</v>
      </c>
      <c r="EY268" s="528">
        <f t="shared" si="729"/>
        <v>14.854277728760296</v>
      </c>
      <c r="EZ268" s="528"/>
      <c r="FA268" s="625">
        <f t="shared" si="730"/>
        <v>1.714893617021277</v>
      </c>
      <c r="FB268" s="460">
        <f t="shared" si="731"/>
        <v>16798.414940530725</v>
      </c>
      <c r="FC268" s="173">
        <f t="shared" si="732"/>
        <v>21.896795565893843</v>
      </c>
      <c r="FD268" s="5">
        <f t="shared" si="733"/>
        <v>40.299999999999997</v>
      </c>
      <c r="FE268" s="173">
        <f t="shared" si="734"/>
        <v>0.64794334874221171</v>
      </c>
      <c r="FF268" s="5">
        <f t="shared" si="735"/>
        <v>64.794334874221164</v>
      </c>
      <c r="FG268">
        <f t="shared" si="736"/>
        <v>52</v>
      </c>
      <c r="FI268" s="562">
        <f t="shared" si="686"/>
        <v>-50</v>
      </c>
    </row>
    <row r="269" spans="5:165">
      <c r="E269" s="170">
        <v>53</v>
      </c>
      <c r="F269" s="217">
        <f t="shared" si="770"/>
        <v>1.3250000000000002</v>
      </c>
      <c r="G269" s="217">
        <f t="shared" si="740"/>
        <v>0.13250000000000001</v>
      </c>
      <c r="H269" s="217">
        <f t="shared" si="741"/>
        <v>37.100000000000009</v>
      </c>
      <c r="I269" s="217">
        <f t="shared" si="742"/>
        <v>3.9750000000000001</v>
      </c>
      <c r="J269" s="541">
        <f t="shared" si="743"/>
        <v>39.884111530138782</v>
      </c>
      <c r="K269" s="443">
        <f t="shared" si="744"/>
        <v>28.747012899995187</v>
      </c>
      <c r="L269" s="172">
        <f t="shared" si="745"/>
        <v>68.631124430133966</v>
      </c>
      <c r="M269" s="443"/>
      <c r="N269" s="217">
        <f t="shared" si="746"/>
        <v>0.41886262448256195</v>
      </c>
      <c r="O269" s="172">
        <f t="shared" si="747"/>
        <v>125.74381227385375</v>
      </c>
      <c r="P269" s="172">
        <f t="shared" si="748"/>
        <v>14.916038955954589</v>
      </c>
      <c r="Q269" s="217">
        <f t="shared" si="624"/>
        <v>4.4908504383519192</v>
      </c>
      <c r="R269" s="217">
        <f t="shared" si="749"/>
        <v>4.1914604091284584</v>
      </c>
      <c r="S269" s="217">
        <f t="shared" si="750"/>
        <v>28</v>
      </c>
      <c r="T269" s="217">
        <f t="shared" si="751"/>
        <v>4.9174056532235841</v>
      </c>
      <c r="U269" s="217">
        <f t="shared" si="628"/>
        <v>0.57947402320059715</v>
      </c>
      <c r="V269" s="217">
        <f t="shared" si="629"/>
        <v>0.80397245621838898</v>
      </c>
      <c r="W269" s="197">
        <f t="shared" si="630"/>
        <v>350</v>
      </c>
      <c r="X269" s="443">
        <f t="shared" si="688"/>
        <v>350</v>
      </c>
      <c r="Z269" s="217">
        <f t="shared" si="631"/>
        <v>10.155600991288232</v>
      </c>
      <c r="AA269" s="173">
        <f t="shared" si="632"/>
        <v>1.6603925014783945</v>
      </c>
      <c r="AB269" s="173">
        <f t="shared" si="752"/>
        <v>2.665328719235919</v>
      </c>
      <c r="AC269" s="173"/>
      <c r="AD269" s="173">
        <f t="shared" si="634"/>
        <v>0.54498415961225977</v>
      </c>
      <c r="AE269" s="545">
        <f t="shared" si="753"/>
        <v>1458.7579950316706</v>
      </c>
      <c r="AF269" s="528">
        <f t="shared" si="754"/>
        <v>0.31790742644048492</v>
      </c>
      <c r="AH269" s="173">
        <f t="shared" si="755"/>
        <v>7.0667679830629631</v>
      </c>
      <c r="AI269" s="173">
        <f t="shared" si="756"/>
        <v>7.0667679830629631</v>
      </c>
      <c r="AJ269" s="173">
        <f t="shared" si="757"/>
        <v>3.9655071479478741</v>
      </c>
      <c r="AL269" s="545">
        <f t="shared" si="758"/>
        <v>1325.0000000000002</v>
      </c>
      <c r="AM269" s="460">
        <f t="shared" si="759"/>
        <v>350</v>
      </c>
      <c r="AO269">
        <f t="shared" si="642"/>
        <v>1325.0000000000002</v>
      </c>
      <c r="AP269">
        <f t="shared" si="643"/>
        <v>350</v>
      </c>
      <c r="AR269" s="5">
        <f t="shared" si="771"/>
        <v>2.8571428571428572</v>
      </c>
      <c r="AS269" s="5">
        <f t="shared" si="737"/>
        <v>0.83275791402041421</v>
      </c>
      <c r="AT269" s="5">
        <f t="shared" si="738"/>
        <v>2.0243849431224428</v>
      </c>
      <c r="AU269" s="173">
        <f t="shared" si="739"/>
        <v>0.29146526990714494</v>
      </c>
      <c r="BA269" s="173">
        <f t="shared" si="689"/>
        <v>2.2026911753479692</v>
      </c>
      <c r="BB269" s="173">
        <f t="shared" si="690"/>
        <v>3.4343201406089254</v>
      </c>
      <c r="BC269" s="173">
        <f t="shared" si="691"/>
        <v>0.34624703056958839</v>
      </c>
      <c r="BD269" s="173"/>
      <c r="BE269" s="528">
        <f t="shared" si="692"/>
        <v>5.8222180967469825E-2</v>
      </c>
      <c r="BF269" s="528">
        <f t="shared" si="760"/>
        <v>3.0979389867831224</v>
      </c>
      <c r="BG269" s="528">
        <f t="shared" si="693"/>
        <v>4.0250000000000001E-2</v>
      </c>
      <c r="BH269" s="528">
        <f t="shared" si="694"/>
        <v>0.81192611008886351</v>
      </c>
      <c r="BI269">
        <f t="shared" si="695"/>
        <v>1.7947850188562452E-2</v>
      </c>
      <c r="BJ269" s="460">
        <f t="shared" si="696"/>
        <v>58.197850188562455</v>
      </c>
      <c r="BK269">
        <f t="shared" si="761"/>
        <v>4.0396906922636004</v>
      </c>
      <c r="BL269" s="460">
        <f t="shared" si="697"/>
        <v>4026.2851280280179</v>
      </c>
      <c r="BM269" s="173">
        <f t="shared" si="762"/>
        <v>0.88854500000000003</v>
      </c>
      <c r="BN269" s="173">
        <f t="shared" si="763"/>
        <v>6.3467499999999996E-2</v>
      </c>
      <c r="BQ269" s="460">
        <f t="shared" si="698"/>
        <v>952.01250000000005</v>
      </c>
      <c r="BR269" s="528">
        <f t="shared" si="699"/>
        <v>6.7925877795381465E-2</v>
      </c>
      <c r="BS269" s="528">
        <f t="shared" si="700"/>
        <v>0.16512376759468955</v>
      </c>
      <c r="BT269" s="528">
        <f t="shared" si="701"/>
        <v>5.9943503089128741E-4</v>
      </c>
      <c r="BU269" s="528">
        <f t="shared" si="702"/>
        <v>15.212205971217209</v>
      </c>
      <c r="BV269" s="528"/>
      <c r="BW269" s="625">
        <f t="shared" si="703"/>
        <v>1.7478723404255325</v>
      </c>
      <c r="BX269" s="460">
        <f t="shared" si="704"/>
        <v>17193.727392063702</v>
      </c>
      <c r="BY269" s="173">
        <f t="shared" si="705"/>
        <v>22.172025020091723</v>
      </c>
      <c r="BZ269" s="5">
        <f t="shared" si="706"/>
        <v>41.07500000000001</v>
      </c>
      <c r="CA269" s="173">
        <f t="shared" si="707"/>
        <v>0.64943766109080514</v>
      </c>
      <c r="CB269" s="5">
        <f t="shared" si="708"/>
        <v>64.943766109080514</v>
      </c>
      <c r="CC269">
        <f t="shared" si="709"/>
        <v>53</v>
      </c>
      <c r="CE269" s="562">
        <f t="shared" si="764"/>
        <v>-50</v>
      </c>
      <c r="CG269" s="173">
        <f t="shared" si="765"/>
        <v>0.39457255353103315</v>
      </c>
      <c r="CH269" s="173">
        <f t="shared" si="766"/>
        <v>0.12810415123831176</v>
      </c>
      <c r="CI269" s="170">
        <v>53</v>
      </c>
      <c r="CJ269" s="217">
        <f t="shared" si="710"/>
        <v>1.3250000000000002</v>
      </c>
      <c r="CK269" s="217">
        <f t="shared" si="651"/>
        <v>0.13250000000000001</v>
      </c>
      <c r="CL269" s="217">
        <f t="shared" si="652"/>
        <v>37.100000000000009</v>
      </c>
      <c r="CM269" s="217">
        <f t="shared" si="653"/>
        <v>3.9750000000000001</v>
      </c>
      <c r="CN269" s="541">
        <f t="shared" si="654"/>
        <v>40</v>
      </c>
      <c r="CO269" s="443">
        <f t="shared" si="767"/>
        <v>28.7</v>
      </c>
      <c r="CP269" s="443">
        <f t="shared" si="768"/>
        <v>68.7</v>
      </c>
      <c r="CQ269" s="443"/>
      <c r="CR269" s="217">
        <f t="shared" si="657"/>
        <v>0.41520467836257302</v>
      </c>
      <c r="CS269" s="172">
        <f t="shared" si="658"/>
        <v>125.00786015217253</v>
      </c>
      <c r="CT269" s="172">
        <f t="shared" si="659"/>
        <v>14.828738512949037</v>
      </c>
      <c r="CU269" s="217">
        <f t="shared" si="660"/>
        <v>4.4645664340061613</v>
      </c>
      <c r="CV269" s="217">
        <f t="shared" si="661"/>
        <v>4.1669286717390843</v>
      </c>
      <c r="CW269" s="217">
        <f t="shared" si="662"/>
        <v>28</v>
      </c>
      <c r="CX269" s="217">
        <f t="shared" si="663"/>
        <v>4.9463556338028196</v>
      </c>
      <c r="CY269" s="217">
        <f t="shared" si="664"/>
        <v>0.58119678697183119</v>
      </c>
      <c r="CZ269" s="217">
        <f t="shared" si="665"/>
        <v>0.81003036511753479</v>
      </c>
      <c r="DA269" s="197">
        <f t="shared" si="666"/>
        <v>350</v>
      </c>
      <c r="DB269" s="443">
        <f t="shared" si="667"/>
        <v>350</v>
      </c>
      <c r="DD269" s="217">
        <f t="shared" si="668"/>
        <v>10.158258230357086</v>
      </c>
      <c r="DE269" s="173">
        <f t="shared" si="669"/>
        <v>1.6635475150758992</v>
      </c>
      <c r="DF269" s="173">
        <f t="shared" si="670"/>
        <v>2.6710919890125213</v>
      </c>
      <c r="DG269" s="173"/>
      <c r="DH269" s="173">
        <f t="shared" si="671"/>
        <v>0.54587688734030204</v>
      </c>
      <c r="DI269" s="545">
        <f t="shared" si="672"/>
        <v>1456.372340425532</v>
      </c>
      <c r="DJ269" s="528">
        <f t="shared" si="673"/>
        <v>0.31842818428184283</v>
      </c>
      <c r="DL269" s="173">
        <f t="shared" si="674"/>
        <v>7.0667679830629631</v>
      </c>
      <c r="DM269" s="173">
        <f t="shared" si="675"/>
        <v>7.0667679830629631</v>
      </c>
      <c r="DN269" s="173">
        <f t="shared" si="676"/>
        <v>3.9655071479478741</v>
      </c>
      <c r="DP269" s="545">
        <f t="shared" si="677"/>
        <v>1325.0000000000002</v>
      </c>
      <c r="DQ269" s="460">
        <f t="shared" si="678"/>
        <v>350</v>
      </c>
      <c r="DS269">
        <f t="shared" si="679"/>
        <v>1325.0000000000002</v>
      </c>
      <c r="DT269">
        <f t="shared" si="680"/>
        <v>350</v>
      </c>
      <c r="DV269" s="5">
        <f t="shared" si="681"/>
        <v>2.8571428571428572</v>
      </c>
      <c r="DW269" s="5">
        <f t="shared" si="682"/>
        <v>0.83034523800989812</v>
      </c>
      <c r="DX269" s="5">
        <f t="shared" si="683"/>
        <v>2.0267976191329593</v>
      </c>
      <c r="DY269" s="173">
        <f t="shared" si="684"/>
        <v>0.29062083330346433</v>
      </c>
      <c r="EA269" s="5">
        <f t="shared" si="711"/>
        <v>3.9293122870111259</v>
      </c>
      <c r="EB269" s="5">
        <f t="shared" si="712"/>
        <v>0.36673581345437173</v>
      </c>
      <c r="EC269" s="5">
        <f t="shared" si="713"/>
        <v>1.3427534226755857</v>
      </c>
      <c r="ED269" s="5"/>
      <c r="EE269" s="173">
        <f t="shared" si="714"/>
        <v>2.1994980294918478</v>
      </c>
      <c r="EF269" s="173">
        <f t="shared" si="715"/>
        <v>3.4363660544839232</v>
      </c>
      <c r="EG269" s="173">
        <f t="shared" si="716"/>
        <v>0.34645329893567423</v>
      </c>
      <c r="EH269" s="173"/>
      <c r="EI269" s="528">
        <f t="shared" si="717"/>
        <v>5.8053498980862261E-2</v>
      </c>
      <c r="EJ269" s="528">
        <f t="shared" si="718"/>
        <v>3.2284882869022309</v>
      </c>
      <c r="EK269" s="528">
        <f t="shared" si="719"/>
        <v>4.0250000000000001E-2</v>
      </c>
      <c r="EL269" s="528">
        <f t="shared" si="720"/>
        <v>0.81355656375000007</v>
      </c>
      <c r="EM269">
        <f t="shared" si="721"/>
        <v>1.7999999999999999E-2</v>
      </c>
      <c r="EN269" s="460">
        <f t="shared" si="722"/>
        <v>58.249999999999993</v>
      </c>
      <c r="EP269" s="460">
        <f t="shared" si="723"/>
        <v>4158.3483496330928</v>
      </c>
      <c r="EQ269" s="173">
        <f t="shared" si="724"/>
        <v>0.9275000000000001</v>
      </c>
      <c r="ER269" s="173">
        <f t="shared" si="769"/>
        <v>6.3467499999999996E-2</v>
      </c>
      <c r="ES269" s="528"/>
      <c r="EU269" s="460">
        <f t="shared" si="725"/>
        <v>990.96750000000009</v>
      </c>
      <c r="EV269" s="528">
        <f t="shared" si="726"/>
        <v>6.77290821443393E-2</v>
      </c>
      <c r="EW269" s="528">
        <f t="shared" si="727"/>
        <v>0.16532056324573166</v>
      </c>
      <c r="EX269" s="528">
        <f t="shared" si="728"/>
        <v>6.0014944171705824E-4</v>
      </c>
      <c r="EY269" s="528">
        <f t="shared" si="729"/>
        <v>15.212205971217209</v>
      </c>
      <c r="EZ269" s="528"/>
      <c r="FA269" s="625">
        <f t="shared" si="730"/>
        <v>1.7478723404255325</v>
      </c>
      <c r="FB269" s="460">
        <f t="shared" si="731"/>
        <v>17193.728106474529</v>
      </c>
      <c r="FC269" s="173">
        <f t="shared" si="732"/>
        <v>22.343043956107625</v>
      </c>
      <c r="FD269" s="5">
        <f t="shared" si="733"/>
        <v>41.07500000000001</v>
      </c>
      <c r="FE269" s="173">
        <f t="shared" si="734"/>
        <v>0.64768632770238854</v>
      </c>
      <c r="FF269" s="5">
        <f t="shared" si="735"/>
        <v>64.768632770238852</v>
      </c>
      <c r="FG269">
        <f t="shared" si="736"/>
        <v>53</v>
      </c>
      <c r="FI269" s="562">
        <f t="shared" si="686"/>
        <v>-50</v>
      </c>
    </row>
    <row r="270" spans="5:165">
      <c r="E270" s="170">
        <v>54</v>
      </c>
      <c r="F270" s="217">
        <f t="shared" si="770"/>
        <v>1.35</v>
      </c>
      <c r="G270" s="217">
        <f t="shared" si="740"/>
        <v>0.13500000000000001</v>
      </c>
      <c r="H270" s="217">
        <f t="shared" si="741"/>
        <v>37.800000000000004</v>
      </c>
      <c r="I270" s="217">
        <f t="shared" si="742"/>
        <v>4.0500000000000007</v>
      </c>
      <c r="J270" s="541">
        <f t="shared" si="743"/>
        <v>39.883023351618689</v>
      </c>
      <c r="K270" s="443">
        <f t="shared" si="744"/>
        <v>28.747454345360747</v>
      </c>
      <c r="L270" s="172">
        <f t="shared" si="745"/>
        <v>68.63047769697944</v>
      </c>
      <c r="M270" s="443"/>
      <c r="N270" s="217">
        <f t="shared" si="746"/>
        <v>0.41887300380288595</v>
      </c>
      <c r="O270" s="172">
        <f t="shared" si="747"/>
        <v>125.74349735938939</v>
      </c>
      <c r="P270" s="172">
        <f t="shared" si="748"/>
        <v>14.91600160002961</v>
      </c>
      <c r="Q270" s="217">
        <f t="shared" si="624"/>
        <v>4.4908391914067645</v>
      </c>
      <c r="R270" s="217">
        <f t="shared" si="749"/>
        <v>4.1914499119796469</v>
      </c>
      <c r="S270" s="217">
        <f t="shared" si="750"/>
        <v>28</v>
      </c>
      <c r="T270" s="217">
        <f t="shared" si="751"/>
        <v>5.0101994395733049</v>
      </c>
      <c r="U270" s="217">
        <f t="shared" si="628"/>
        <v>0.59042508283261375</v>
      </c>
      <c r="V270" s="217">
        <f t="shared" si="629"/>
        <v>0.81913122056300236</v>
      </c>
      <c r="W270" s="197">
        <f t="shared" si="630"/>
        <v>350</v>
      </c>
      <c r="X270" s="443">
        <f t="shared" si="688"/>
        <v>350</v>
      </c>
      <c r="Z270" s="217">
        <f t="shared" si="631"/>
        <v>10.155575557466969</v>
      </c>
      <c r="AA270" s="173">
        <f t="shared" si="632"/>
        <v>1.6603628462774687</v>
      </c>
      <c r="AB270" s="173">
        <f t="shared" si="752"/>
        <v>2.665274440551308</v>
      </c>
      <c r="AC270" s="173"/>
      <c r="AD270" s="173">
        <f t="shared" si="634"/>
        <v>0.54497579084580572</v>
      </c>
      <c r="AE270" s="545">
        <f t="shared" si="753"/>
        <v>1486.3045544516299</v>
      </c>
      <c r="AF270" s="528">
        <f t="shared" si="754"/>
        <v>0.31790254466005335</v>
      </c>
      <c r="AH270" s="173">
        <f t="shared" si="755"/>
        <v>7.1331240677956362</v>
      </c>
      <c r="AI270" s="173">
        <f t="shared" si="756"/>
        <v>7.1331240677956362</v>
      </c>
      <c r="AJ270" s="173">
        <f t="shared" si="757"/>
        <v>4.0146598033054097</v>
      </c>
      <c r="AL270" s="545">
        <f t="shared" si="758"/>
        <v>1350</v>
      </c>
      <c r="AM270" s="460">
        <f t="shared" si="759"/>
        <v>350</v>
      </c>
      <c r="AO270">
        <f t="shared" si="642"/>
        <v>1350</v>
      </c>
      <c r="AP270">
        <f t="shared" si="643"/>
        <v>350</v>
      </c>
      <c r="AR270" s="5">
        <f t="shared" si="771"/>
        <v>2.8571428571428572</v>
      </c>
      <c r="AS270" s="5">
        <f t="shared" si="737"/>
        <v>0.84060034323548383</v>
      </c>
      <c r="AT270" s="5">
        <f t="shared" si="738"/>
        <v>2.0165425139073734</v>
      </c>
      <c r="AU270" s="173">
        <f t="shared" si="739"/>
        <v>0.29421012013241932</v>
      </c>
      <c r="BA270" s="173">
        <f t="shared" si="689"/>
        <v>2.2338188642670467</v>
      </c>
      <c r="BB270" s="173">
        <f t="shared" si="690"/>
        <v>3.4598467601662843</v>
      </c>
      <c r="BC270" s="173">
        <f t="shared" si="691"/>
        <v>0.3488206159839779</v>
      </c>
      <c r="BD270" s="173"/>
      <c r="BE270" s="528">
        <f t="shared" si="692"/>
        <v>5.9879360620263819E-2</v>
      </c>
      <c r="BF270" s="528">
        <f t="shared" si="760"/>
        <v>3.126998786962611</v>
      </c>
      <c r="BG270" s="528">
        <f t="shared" si="693"/>
        <v>4.0250000000000001E-2</v>
      </c>
      <c r="BH270" s="528">
        <f t="shared" si="694"/>
        <v>0.81191080807932514</v>
      </c>
      <c r="BI270">
        <f t="shared" si="695"/>
        <v>1.794736050822841E-2</v>
      </c>
      <c r="BJ270" s="460">
        <f t="shared" si="696"/>
        <v>58.197360508228407</v>
      </c>
      <c r="BK270">
        <f t="shared" si="761"/>
        <v>4.0729029420207663</v>
      </c>
      <c r="BL270" s="460">
        <f t="shared" si="697"/>
        <v>4056.9863161704279</v>
      </c>
      <c r="BM270" s="173">
        <f t="shared" si="762"/>
        <v>0.90530999999999995</v>
      </c>
      <c r="BN270" s="173">
        <f t="shared" si="763"/>
        <v>6.4665E-2</v>
      </c>
      <c r="BQ270" s="460">
        <f t="shared" si="698"/>
        <v>969.97499999999991</v>
      </c>
      <c r="BR270" s="528">
        <f t="shared" si="699"/>
        <v>6.9859254056974449E-2</v>
      </c>
      <c r="BS270" s="528">
        <f t="shared" si="700"/>
        <v>0.16758755445366388</v>
      </c>
      <c r="BT270" s="528">
        <f t="shared" si="701"/>
        <v>6.0837911067720886E-4</v>
      </c>
      <c r="BU270" s="528">
        <f t="shared" si="702"/>
        <v>15.571826630722725</v>
      </c>
      <c r="BV270" s="528"/>
      <c r="BW270" s="625">
        <f t="shared" si="703"/>
        <v>1.7808510638297876</v>
      </c>
      <c r="BX270" s="460">
        <f t="shared" si="704"/>
        <v>17590.732882173827</v>
      </c>
      <c r="BY270" s="173">
        <f t="shared" si="705"/>
        <v>22.617694198344253</v>
      </c>
      <c r="BZ270" s="5">
        <f t="shared" si="706"/>
        <v>41.850000000000009</v>
      </c>
      <c r="CA270" s="173">
        <f t="shared" si="707"/>
        <v>0.64916235209595652</v>
      </c>
      <c r="CB270" s="5">
        <f t="shared" si="708"/>
        <v>64.916235209595655</v>
      </c>
      <c r="CC270">
        <f t="shared" si="709"/>
        <v>54</v>
      </c>
      <c r="CE270" s="562">
        <f t="shared" si="764"/>
        <v>-50</v>
      </c>
      <c r="CG270" s="173">
        <f t="shared" si="765"/>
        <v>0.39827754142055261</v>
      </c>
      <c r="CH270" s="173">
        <f t="shared" si="766"/>
        <v>0.129307033508474</v>
      </c>
      <c r="CI270" s="170">
        <v>54</v>
      </c>
      <c r="CJ270" s="217">
        <f t="shared" si="710"/>
        <v>1.35</v>
      </c>
      <c r="CK270" s="217">
        <f t="shared" si="651"/>
        <v>0.13500000000000001</v>
      </c>
      <c r="CL270" s="217">
        <f t="shared" si="652"/>
        <v>37.800000000000004</v>
      </c>
      <c r="CM270" s="217">
        <f t="shared" si="653"/>
        <v>4.0500000000000007</v>
      </c>
      <c r="CN270" s="541">
        <f t="shared" si="654"/>
        <v>40</v>
      </c>
      <c r="CO270" s="443">
        <f t="shared" si="767"/>
        <v>28.7</v>
      </c>
      <c r="CP270" s="443">
        <f t="shared" si="768"/>
        <v>68.7</v>
      </c>
      <c r="CQ270" s="443"/>
      <c r="CR270" s="217">
        <f t="shared" si="657"/>
        <v>0.41520467836257302</v>
      </c>
      <c r="CS270" s="172">
        <f t="shared" si="658"/>
        <v>125.00786015217253</v>
      </c>
      <c r="CT270" s="172">
        <f t="shared" si="659"/>
        <v>14.828738512949037</v>
      </c>
      <c r="CU270" s="217">
        <f t="shared" si="660"/>
        <v>4.4645664340061613</v>
      </c>
      <c r="CV270" s="217">
        <f t="shared" si="661"/>
        <v>4.1669286717390843</v>
      </c>
      <c r="CW270" s="217">
        <f t="shared" si="662"/>
        <v>28</v>
      </c>
      <c r="CX270" s="217">
        <f t="shared" si="663"/>
        <v>5.0396830985915519</v>
      </c>
      <c r="CY270" s="217">
        <f t="shared" si="664"/>
        <v>0.59216276408450741</v>
      </c>
      <c r="CZ270" s="217">
        <f t="shared" si="665"/>
        <v>0.82531395691220533</v>
      </c>
      <c r="DA270" s="197">
        <f t="shared" si="666"/>
        <v>350</v>
      </c>
      <c r="DB270" s="443">
        <f t="shared" si="667"/>
        <v>350</v>
      </c>
      <c r="DD270" s="217">
        <f t="shared" si="668"/>
        <v>10.158258230357086</v>
      </c>
      <c r="DE270" s="173">
        <f t="shared" si="669"/>
        <v>1.6635475150758992</v>
      </c>
      <c r="DF270" s="173">
        <f t="shared" si="670"/>
        <v>2.6710919890125213</v>
      </c>
      <c r="DG270" s="173"/>
      <c r="DH270" s="173">
        <f t="shared" si="671"/>
        <v>0.54587688734030204</v>
      </c>
      <c r="DI270" s="545">
        <f t="shared" si="672"/>
        <v>1483.8510638297873</v>
      </c>
      <c r="DJ270" s="528">
        <f t="shared" si="673"/>
        <v>0.31842818428184283</v>
      </c>
      <c r="DL270" s="173">
        <f t="shared" si="674"/>
        <v>7.1331240677956362</v>
      </c>
      <c r="DM270" s="173">
        <f t="shared" si="675"/>
        <v>7.1331240677956362</v>
      </c>
      <c r="DN270" s="173">
        <f t="shared" si="676"/>
        <v>4.0146598033054097</v>
      </c>
      <c r="DP270" s="545">
        <f t="shared" si="677"/>
        <v>1350</v>
      </c>
      <c r="DQ270" s="460">
        <f t="shared" si="678"/>
        <v>350</v>
      </c>
      <c r="DS270">
        <f t="shared" si="679"/>
        <v>1350</v>
      </c>
      <c r="DT270">
        <f t="shared" si="680"/>
        <v>350</v>
      </c>
      <c r="DV270" s="5">
        <f t="shared" si="681"/>
        <v>2.8571428571428572</v>
      </c>
      <c r="DW270" s="5">
        <f t="shared" si="682"/>
        <v>0.83814207796598716</v>
      </c>
      <c r="DX270" s="5">
        <f t="shared" si="683"/>
        <v>2.0190007791768698</v>
      </c>
      <c r="DY270" s="173">
        <f t="shared" si="684"/>
        <v>0.2933497272880955</v>
      </c>
      <c r="EA270" s="5">
        <f t="shared" si="711"/>
        <v>4.0410421616217249</v>
      </c>
      <c r="EB270" s="5">
        <f t="shared" si="712"/>
        <v>0.37716393508469426</v>
      </c>
      <c r="EC270" s="5">
        <f t="shared" si="713"/>
        <v>1.3628255259443871</v>
      </c>
      <c r="ED270" s="5"/>
      <c r="EE270" s="173">
        <f t="shared" si="714"/>
        <v>2.2305501647099213</v>
      </c>
      <c r="EF270" s="173">
        <f t="shared" si="715"/>
        <v>3.4619549801955829</v>
      </c>
      <c r="EG270" s="173">
        <f t="shared" si="716"/>
        <v>0.34903316603611206</v>
      </c>
      <c r="EH270" s="173"/>
      <c r="EI270" s="528">
        <f t="shared" si="717"/>
        <v>5.9704248447449482E-2</v>
      </c>
      <c r="EJ270" s="528">
        <f t="shared" si="718"/>
        <v>3.2588033959927762</v>
      </c>
      <c r="EK270" s="528">
        <f t="shared" si="719"/>
        <v>4.0250000000000001E-2</v>
      </c>
      <c r="EL270" s="528">
        <f t="shared" si="720"/>
        <v>0.81355656375000007</v>
      </c>
      <c r="EM270">
        <f t="shared" si="721"/>
        <v>1.7999999999999999E-2</v>
      </c>
      <c r="EN270" s="460">
        <f t="shared" si="722"/>
        <v>58.249999999999993</v>
      </c>
      <c r="EP270" s="460">
        <f t="shared" si="723"/>
        <v>4190.3142081902261</v>
      </c>
      <c r="EQ270" s="173">
        <f t="shared" si="724"/>
        <v>0.94499999999999995</v>
      </c>
      <c r="ER270" s="173">
        <f t="shared" si="769"/>
        <v>6.4665E-2</v>
      </c>
      <c r="ES270" s="528"/>
      <c r="EU270" s="460">
        <f t="shared" si="725"/>
        <v>1009.6650000000001</v>
      </c>
      <c r="EV270" s="528">
        <f t="shared" si="726"/>
        <v>6.96549565220244E-2</v>
      </c>
      <c r="EW270" s="528">
        <f t="shared" si="727"/>
        <v>0.16779185198861399</v>
      </c>
      <c r="EX270" s="528">
        <f t="shared" si="728"/>
        <v>6.0912075496596084E-4</v>
      </c>
      <c r="EY270" s="528">
        <f t="shared" si="729"/>
        <v>15.571826630722725</v>
      </c>
      <c r="EZ270" s="528"/>
      <c r="FA270" s="625">
        <f t="shared" si="730"/>
        <v>1.7808510638297876</v>
      </c>
      <c r="FB270" s="460">
        <f t="shared" si="731"/>
        <v>17590.733623818116</v>
      </c>
      <c r="FC270" s="173">
        <f t="shared" si="732"/>
        <v>22.790712832008342</v>
      </c>
      <c r="FD270" s="5">
        <f t="shared" si="733"/>
        <v>41.850000000000009</v>
      </c>
      <c r="FE270" s="173">
        <f t="shared" si="734"/>
        <v>0.64742479107187401</v>
      </c>
      <c r="FF270" s="5">
        <f t="shared" si="735"/>
        <v>64.742479107187407</v>
      </c>
      <c r="FG270">
        <f t="shared" si="736"/>
        <v>54</v>
      </c>
      <c r="FI270" s="562">
        <f t="shared" si="686"/>
        <v>-50</v>
      </c>
    </row>
    <row r="271" spans="5:165">
      <c r="E271" s="170">
        <v>55</v>
      </c>
      <c r="F271" s="217">
        <f t="shared" si="770"/>
        <v>1.375</v>
      </c>
      <c r="G271" s="217">
        <f t="shared" si="740"/>
        <v>0.13750000000000001</v>
      </c>
      <c r="H271" s="217">
        <f t="shared" si="741"/>
        <v>38.5</v>
      </c>
      <c r="I271" s="217">
        <f t="shared" si="742"/>
        <v>4.125</v>
      </c>
      <c r="J271" s="541">
        <f t="shared" si="743"/>
        <v>39.881945203035727</v>
      </c>
      <c r="K271" s="443">
        <f t="shared" si="744"/>
        <v>28.747891721844976</v>
      </c>
      <c r="L271" s="172">
        <f t="shared" si="745"/>
        <v>68.629836924880706</v>
      </c>
      <c r="M271" s="443"/>
      <c r="N271" s="217">
        <f t="shared" si="746"/>
        <v>0.41888328764807053</v>
      </c>
      <c r="O271" s="172">
        <f t="shared" si="747"/>
        <v>125.74318523777916</v>
      </c>
      <c r="P271" s="172">
        <f t="shared" si="748"/>
        <v>14.915964575399823</v>
      </c>
      <c r="Q271" s="217">
        <f t="shared" si="624"/>
        <v>4.4908280442063981</v>
      </c>
      <c r="R271" s="217">
        <f t="shared" si="749"/>
        <v>4.1914395079259723</v>
      </c>
      <c r="S271" s="217">
        <f t="shared" si="750"/>
        <v>28</v>
      </c>
      <c r="T271" s="217">
        <f t="shared" si="751"/>
        <v>5.1029935773718567</v>
      </c>
      <c r="U271" s="217">
        <f t="shared" si="628"/>
        <v>0.60137663024074639</v>
      </c>
      <c r="V271" s="217">
        <f t="shared" si="629"/>
        <v>0.83428969490039817</v>
      </c>
      <c r="W271" s="197">
        <f t="shared" si="630"/>
        <v>350</v>
      </c>
      <c r="X271" s="443">
        <f t="shared" si="688"/>
        <v>350</v>
      </c>
      <c r="Z271" s="217">
        <f t="shared" si="631"/>
        <v>10.15555034920839</v>
      </c>
      <c r="AA271" s="173">
        <f t="shared" si="632"/>
        <v>1.6603334638626557</v>
      </c>
      <c r="AB271" s="173">
        <f t="shared" si="752"/>
        <v>2.665220659186792</v>
      </c>
      <c r="AC271" s="173"/>
      <c r="AD271" s="173">
        <f t="shared" si="634"/>
        <v>0.54496749946925205</v>
      </c>
      <c r="AE271" s="545">
        <f t="shared" si="753"/>
        <v>1513.8517449269427</v>
      </c>
      <c r="AF271" s="528">
        <f t="shared" si="754"/>
        <v>0.31789770802373041</v>
      </c>
      <c r="AH271" s="173">
        <f t="shared" si="755"/>
        <v>7.1988685365609317</v>
      </c>
      <c r="AI271" s="173">
        <f t="shared" si="756"/>
        <v>7.1988685365609317</v>
      </c>
      <c r="AJ271" s="173">
        <f t="shared" si="757"/>
        <v>4.0633594097982213</v>
      </c>
      <c r="AL271" s="545">
        <f t="shared" si="758"/>
        <v>1375</v>
      </c>
      <c r="AM271" s="460">
        <f t="shared" si="759"/>
        <v>350</v>
      </c>
      <c r="AO271">
        <f t="shared" si="642"/>
        <v>1375</v>
      </c>
      <c r="AP271">
        <f t="shared" si="643"/>
        <v>350</v>
      </c>
      <c r="AR271" s="5">
        <f t="shared" si="771"/>
        <v>2.8571428571428572</v>
      </c>
      <c r="AS271" s="5">
        <f t="shared" si="737"/>
        <v>0.84837090943249571</v>
      </c>
      <c r="AT271" s="5">
        <f t="shared" si="738"/>
        <v>2.0087719477103616</v>
      </c>
      <c r="AU271" s="173">
        <f t="shared" si="739"/>
        <v>0.29692981830137349</v>
      </c>
      <c r="BA271" s="173">
        <f t="shared" si="689"/>
        <v>2.2648034691421497</v>
      </c>
      <c r="BB271" s="173">
        <f t="shared" si="690"/>
        <v>3.4850013842738514</v>
      </c>
      <c r="BC271" s="173">
        <f t="shared" si="691"/>
        <v>0.351356696939085</v>
      </c>
      <c r="BD271" s="173"/>
      <c r="BE271" s="528">
        <f t="shared" si="692"/>
        <v>6.1552017046059795E-2</v>
      </c>
      <c r="BF271" s="528">
        <f t="shared" si="760"/>
        <v>3.155790197058773</v>
      </c>
      <c r="BG271" s="528">
        <f t="shared" si="693"/>
        <v>4.0250000000000001E-2</v>
      </c>
      <c r="BH271" s="528">
        <f t="shared" si="694"/>
        <v>0.8118956472533696</v>
      </c>
      <c r="BI271">
        <f t="shared" si="695"/>
        <v>1.7946875341366075E-2</v>
      </c>
      <c r="BJ271" s="460">
        <f t="shared" si="696"/>
        <v>58.196875341366074</v>
      </c>
      <c r="BK271">
        <f t="shared" si="761"/>
        <v>4.1059047747960467</v>
      </c>
      <c r="BL271" s="460">
        <f t="shared" si="697"/>
        <v>4087.434736699568</v>
      </c>
      <c r="BM271" s="173">
        <f t="shared" si="762"/>
        <v>0.92207499999999987</v>
      </c>
      <c r="BN271" s="173">
        <f t="shared" si="763"/>
        <v>6.5862500000000004E-2</v>
      </c>
      <c r="BQ271" s="460">
        <f t="shared" si="698"/>
        <v>987.93749999999989</v>
      </c>
      <c r="BR271" s="528">
        <f t="shared" si="699"/>
        <v>7.181068655373643E-2</v>
      </c>
      <c r="BS271" s="528">
        <f t="shared" si="700"/>
        <v>0.17003328507746926</v>
      </c>
      <c r="BT271" s="528">
        <f t="shared" si="701"/>
        <v>6.1725764241972014E-4</v>
      </c>
      <c r="BU271" s="528">
        <f t="shared" si="702"/>
        <v>15.933116144263801</v>
      </c>
      <c r="BV271" s="528"/>
      <c r="BW271" s="625">
        <f t="shared" si="703"/>
        <v>1.8138297872340428</v>
      </c>
      <c r="BX271" s="460">
        <f t="shared" si="704"/>
        <v>17989.407160771469</v>
      </c>
      <c r="BY271" s="173">
        <f t="shared" si="705"/>
        <v>23.064779397471035</v>
      </c>
      <c r="BZ271" s="5">
        <f t="shared" si="706"/>
        <v>42.625</v>
      </c>
      <c r="CA271" s="173">
        <f t="shared" si="707"/>
        <v>0.64888328733892819</v>
      </c>
      <c r="CB271" s="5">
        <f t="shared" si="708"/>
        <v>64.88832873389282</v>
      </c>
      <c r="CC271">
        <f t="shared" si="709"/>
        <v>55.000000000000007</v>
      </c>
      <c r="CE271" s="562">
        <f t="shared" si="764"/>
        <v>-50</v>
      </c>
      <c r="CG271" s="173">
        <f t="shared" si="765"/>
        <v>0.4019483797703382</v>
      </c>
      <c r="CH271" s="173">
        <f t="shared" si="766"/>
        <v>0.13049882859640916</v>
      </c>
      <c r="CI271" s="170">
        <v>55</v>
      </c>
      <c r="CJ271" s="217">
        <f t="shared" si="710"/>
        <v>1.375</v>
      </c>
      <c r="CK271" s="217">
        <f t="shared" si="651"/>
        <v>0.13750000000000001</v>
      </c>
      <c r="CL271" s="217">
        <f t="shared" si="652"/>
        <v>38.5</v>
      </c>
      <c r="CM271" s="217">
        <f t="shared" si="653"/>
        <v>4.125</v>
      </c>
      <c r="CN271" s="541">
        <f t="shared" si="654"/>
        <v>40</v>
      </c>
      <c r="CO271" s="443">
        <f t="shared" si="767"/>
        <v>28.7</v>
      </c>
      <c r="CP271" s="443">
        <f t="shared" si="768"/>
        <v>68.7</v>
      </c>
      <c r="CQ271" s="443"/>
      <c r="CR271" s="217">
        <f t="shared" si="657"/>
        <v>0.41520467836257302</v>
      </c>
      <c r="CS271" s="172">
        <f t="shared" si="658"/>
        <v>125.00786015217253</v>
      </c>
      <c r="CT271" s="172">
        <f t="shared" si="659"/>
        <v>14.828738512949037</v>
      </c>
      <c r="CU271" s="217">
        <f t="shared" si="660"/>
        <v>4.4645664340061613</v>
      </c>
      <c r="CV271" s="217">
        <f t="shared" si="661"/>
        <v>4.1669286717390843</v>
      </c>
      <c r="CW271" s="217">
        <f t="shared" si="662"/>
        <v>28</v>
      </c>
      <c r="CX271" s="217">
        <f t="shared" si="663"/>
        <v>5.1330105633802825</v>
      </c>
      <c r="CY271" s="217">
        <f t="shared" si="664"/>
        <v>0.60312874119718318</v>
      </c>
      <c r="CZ271" s="217">
        <f t="shared" si="665"/>
        <v>0.84059754870687553</v>
      </c>
      <c r="DA271" s="197">
        <f t="shared" si="666"/>
        <v>350</v>
      </c>
      <c r="DB271" s="443">
        <f t="shared" si="667"/>
        <v>350</v>
      </c>
      <c r="DD271" s="217">
        <f t="shared" si="668"/>
        <v>10.158258230357086</v>
      </c>
      <c r="DE271" s="173">
        <f t="shared" si="669"/>
        <v>1.6635475150758992</v>
      </c>
      <c r="DF271" s="173">
        <f t="shared" si="670"/>
        <v>2.6710919890125213</v>
      </c>
      <c r="DG271" s="173"/>
      <c r="DH271" s="173">
        <f t="shared" si="671"/>
        <v>0.54587688734030204</v>
      </c>
      <c r="DI271" s="545">
        <f t="shared" si="672"/>
        <v>1511.3297872340424</v>
      </c>
      <c r="DJ271" s="528">
        <f t="shared" si="673"/>
        <v>0.31842818428184283</v>
      </c>
      <c r="DL271" s="173">
        <f t="shared" si="674"/>
        <v>7.1988685365609317</v>
      </c>
      <c r="DM271" s="173">
        <f t="shared" si="675"/>
        <v>7.1988685365609317</v>
      </c>
      <c r="DN271" s="173">
        <f t="shared" si="676"/>
        <v>4.0633594097982213</v>
      </c>
      <c r="DP271" s="545">
        <f t="shared" si="677"/>
        <v>1375</v>
      </c>
      <c r="DQ271" s="460">
        <f t="shared" si="678"/>
        <v>350</v>
      </c>
      <c r="DS271">
        <f t="shared" si="679"/>
        <v>1375</v>
      </c>
      <c r="DT271">
        <f t="shared" si="680"/>
        <v>350</v>
      </c>
      <c r="DV271" s="5">
        <f t="shared" si="681"/>
        <v>2.8571428571428572</v>
      </c>
      <c r="DW271" s="5">
        <f t="shared" si="682"/>
        <v>0.84586705304590948</v>
      </c>
      <c r="DX271" s="5">
        <f t="shared" si="683"/>
        <v>2.0112758040969476</v>
      </c>
      <c r="DY271" s="173">
        <f t="shared" si="684"/>
        <v>0.29605346856606829</v>
      </c>
      <c r="EA271" s="5">
        <f t="shared" si="711"/>
        <v>4.1538114212075907</v>
      </c>
      <c r="EB271" s="5">
        <f t="shared" si="712"/>
        <v>0.38768906597937519</v>
      </c>
      <c r="EC271" s="5">
        <f t="shared" si="713"/>
        <v>1.3827521153166515</v>
      </c>
      <c r="ED271" s="5"/>
      <c r="EE271" s="173">
        <f t="shared" si="714"/>
        <v>2.2614588631047794</v>
      </c>
      <c r="EF271" s="173">
        <f t="shared" si="715"/>
        <v>3.4871726674648351</v>
      </c>
      <c r="EG271" s="173">
        <f t="shared" si="716"/>
        <v>0.35157560499850388</v>
      </c>
      <c r="EH271" s="173"/>
      <c r="EI271" s="528">
        <f t="shared" si="717"/>
        <v>6.1370354274181943E-2</v>
      </c>
      <c r="EJ271" s="528">
        <f t="shared" si="718"/>
        <v>3.2888390852705447</v>
      </c>
      <c r="EK271" s="528">
        <f t="shared" si="719"/>
        <v>4.0250000000000001E-2</v>
      </c>
      <c r="EL271" s="528">
        <f t="shared" si="720"/>
        <v>0.81355656375000007</v>
      </c>
      <c r="EM271">
        <f t="shared" si="721"/>
        <v>1.7999999999999999E-2</v>
      </c>
      <c r="EN271" s="460">
        <f t="shared" si="722"/>
        <v>58.249999999999993</v>
      </c>
      <c r="EP271" s="460">
        <f t="shared" si="723"/>
        <v>4222.016003294726</v>
      </c>
      <c r="EQ271" s="173">
        <f t="shared" si="724"/>
        <v>0.96249999999999991</v>
      </c>
      <c r="ER271" s="173">
        <f t="shared" si="769"/>
        <v>6.5862500000000004E-2</v>
      </c>
      <c r="ES271" s="528"/>
      <c r="EU271" s="460">
        <f t="shared" si="725"/>
        <v>1028.3625</v>
      </c>
      <c r="EV271" s="528">
        <f t="shared" si="726"/>
        <v>7.1598746653212267E-2</v>
      </c>
      <c r="EW271" s="528">
        <f t="shared" si="727"/>
        <v>0.17024522497799338</v>
      </c>
      <c r="EX271" s="528">
        <f t="shared" si="728"/>
        <v>6.1802703015032012E-4</v>
      </c>
      <c r="EY271" s="528">
        <f t="shared" si="729"/>
        <v>15.933116144263801</v>
      </c>
      <c r="EZ271" s="528"/>
      <c r="FA271" s="625">
        <f t="shared" si="730"/>
        <v>1.8138297872340428</v>
      </c>
      <c r="FB271" s="460">
        <f t="shared" si="731"/>
        <v>17989.407930159199</v>
      </c>
      <c r="FC271" s="173">
        <f t="shared" si="732"/>
        <v>23.239786433453922</v>
      </c>
      <c r="FD271" s="5">
        <f t="shared" si="733"/>
        <v>42.625</v>
      </c>
      <c r="FE271" s="173">
        <f t="shared" si="734"/>
        <v>0.64715916209742663</v>
      </c>
      <c r="FF271" s="5">
        <f t="shared" si="735"/>
        <v>64.715916209742659</v>
      </c>
      <c r="FG271">
        <f t="shared" si="736"/>
        <v>55.000000000000007</v>
      </c>
      <c r="FI271" s="562">
        <f t="shared" si="686"/>
        <v>-50</v>
      </c>
    </row>
    <row r="272" spans="5:165">
      <c r="E272" s="170">
        <v>56</v>
      </c>
      <c r="F272" s="217">
        <f t="shared" si="770"/>
        <v>1.4000000000000001</v>
      </c>
      <c r="G272" s="217">
        <f t="shared" si="740"/>
        <v>0.14000000000000001</v>
      </c>
      <c r="H272" s="217">
        <f t="shared" si="741"/>
        <v>39.200000000000003</v>
      </c>
      <c r="I272" s="217">
        <f t="shared" si="742"/>
        <v>4.2</v>
      </c>
      <c r="J272" s="541">
        <f t="shared" si="743"/>
        <v>39.880876812055646</v>
      </c>
      <c r="K272" s="443">
        <f t="shared" si="744"/>
        <v>28.74832513992671</v>
      </c>
      <c r="L272" s="172">
        <f t="shared" si="745"/>
        <v>68.629201951982353</v>
      </c>
      <c r="M272" s="443"/>
      <c r="N272" s="217">
        <f t="shared" si="746"/>
        <v>0.41889347861047532</v>
      </c>
      <c r="O272" s="172">
        <f t="shared" si="747"/>
        <v>125.74287583318801</v>
      </c>
      <c r="P272" s="172">
        <f t="shared" si="748"/>
        <v>14.915927873069496</v>
      </c>
      <c r="Q272" s="217">
        <f t="shared" si="624"/>
        <v>4.4908169940424285</v>
      </c>
      <c r="R272" s="217">
        <f t="shared" si="749"/>
        <v>4.1914291944396007</v>
      </c>
      <c r="S272" s="217">
        <f t="shared" si="750"/>
        <v>28</v>
      </c>
      <c r="T272" s="217">
        <f t="shared" si="751"/>
        <v>5.1957880635723113</v>
      </c>
      <c r="U272" s="217">
        <f t="shared" si="628"/>
        <v>0.61232866102401851</v>
      </c>
      <c r="V272" s="217">
        <f t="shared" si="629"/>
        <v>0.84944788191762177</v>
      </c>
      <c r="W272" s="197">
        <f t="shared" si="630"/>
        <v>350</v>
      </c>
      <c r="X272" s="443">
        <f t="shared" si="688"/>
        <v>350</v>
      </c>
      <c r="Z272" s="217">
        <f t="shared" si="631"/>
        <v>10.15552536038774</v>
      </c>
      <c r="AA272" s="173">
        <f t="shared" si="632"/>
        <v>1.6603043468272136</v>
      </c>
      <c r="AB272" s="173">
        <f t="shared" si="752"/>
        <v>2.6651673616391052</v>
      </c>
      <c r="AC272" s="173"/>
      <c r="AD272" s="173">
        <f t="shared" si="634"/>
        <v>0.54495928338128596</v>
      </c>
      <c r="AE272" s="545">
        <f t="shared" si="753"/>
        <v>1541.3995606939427</v>
      </c>
      <c r="AF272" s="528">
        <f t="shared" si="754"/>
        <v>0.31789291530575015</v>
      </c>
      <c r="AH272" s="173">
        <f t="shared" si="755"/>
        <v>7.2640179960410691</v>
      </c>
      <c r="AI272" s="173">
        <f t="shared" si="756"/>
        <v>7.2640179960410691</v>
      </c>
      <c r="AJ272" s="173">
        <f t="shared" si="757"/>
        <v>4.1116182686723972</v>
      </c>
      <c r="AL272" s="545">
        <f t="shared" si="758"/>
        <v>1400.0000000000002</v>
      </c>
      <c r="AM272" s="460">
        <f t="shared" si="759"/>
        <v>350</v>
      </c>
      <c r="AO272">
        <f t="shared" si="642"/>
        <v>1400.0000000000002</v>
      </c>
      <c r="AP272">
        <f t="shared" si="643"/>
        <v>350</v>
      </c>
      <c r="AR272" s="5">
        <f t="shared" si="771"/>
        <v>2.8571428571428572</v>
      </c>
      <c r="AS272" s="5">
        <f t="shared" si="737"/>
        <v>0.85607156387977235</v>
      </c>
      <c r="AT272" s="5">
        <f t="shared" si="738"/>
        <v>2.001071293263085</v>
      </c>
      <c r="AU272" s="173">
        <f t="shared" si="739"/>
        <v>0.29962504735792034</v>
      </c>
      <c r="BA272" s="173">
        <f t="shared" si="689"/>
        <v>2.2956482380717662</v>
      </c>
      <c r="BB272" s="173">
        <f t="shared" si="690"/>
        <v>3.5097936761735014</v>
      </c>
      <c r="BC272" s="173">
        <f t="shared" si="691"/>
        <v>0.35385624767978746</v>
      </c>
      <c r="BD272" s="173"/>
      <c r="BE272" s="528">
        <f t="shared" si="692"/>
        <v>6.3240009995544064E-2</v>
      </c>
      <c r="BF272" s="528">
        <f t="shared" si="760"/>
        <v>3.1843205044366605</v>
      </c>
      <c r="BG272" s="528">
        <f t="shared" si="693"/>
        <v>4.0250000000000001E-2</v>
      </c>
      <c r="BH272" s="528">
        <f t="shared" si="694"/>
        <v>0.81188062377756054</v>
      </c>
      <c r="BI272">
        <f t="shared" si="695"/>
        <v>1.7946394565425041E-2</v>
      </c>
      <c r="BJ272" s="460">
        <f t="shared" si="696"/>
        <v>58.196394565425038</v>
      </c>
      <c r="BK272">
        <f t="shared" si="761"/>
        <v>4.1387033793033572</v>
      </c>
      <c r="BL272" s="460">
        <f t="shared" si="697"/>
        <v>4117.6375327751894</v>
      </c>
      <c r="BM272" s="173">
        <f t="shared" si="762"/>
        <v>0.9388399999999999</v>
      </c>
      <c r="BN272" s="173">
        <f t="shared" si="763"/>
        <v>6.7060000000000008E-2</v>
      </c>
      <c r="BQ272" s="460">
        <f t="shared" si="698"/>
        <v>1005.9</v>
      </c>
      <c r="BR272" s="528">
        <f t="shared" si="699"/>
        <v>7.3780011661468067E-2</v>
      </c>
      <c r="BS272" s="528">
        <f t="shared" si="700"/>
        <v>0.17246112309030501</v>
      </c>
      <c r="BT272" s="528">
        <f t="shared" si="701"/>
        <v>6.2607122011009548E-4</v>
      </c>
      <c r="BU272" s="528">
        <f t="shared" si="702"/>
        <v>16.296051700398252</v>
      </c>
      <c r="BV272" s="528"/>
      <c r="BW272" s="625">
        <f t="shared" si="703"/>
        <v>1.8468085106382979</v>
      </c>
      <c r="BX272" s="460">
        <f t="shared" si="704"/>
        <v>18389.727417008435</v>
      </c>
      <c r="BY272" s="173">
        <f t="shared" si="705"/>
        <v>23.513264949783622</v>
      </c>
      <c r="BZ272" s="5">
        <f t="shared" si="706"/>
        <v>43.400000000000006</v>
      </c>
      <c r="CA272" s="173">
        <f t="shared" si="707"/>
        <v>0.64860084218832226</v>
      </c>
      <c r="CB272" s="5">
        <f t="shared" si="708"/>
        <v>64.860084218832228</v>
      </c>
      <c r="CC272">
        <f t="shared" si="709"/>
        <v>56.000000000000007</v>
      </c>
      <c r="CE272" s="562">
        <f t="shared" si="764"/>
        <v>-50</v>
      </c>
      <c r="CG272" s="173">
        <f t="shared" si="765"/>
        <v>0.40558599581346494</v>
      </c>
      <c r="CH272" s="173">
        <f t="shared" si="766"/>
        <v>0.13167983754283852</v>
      </c>
      <c r="CI272" s="170">
        <v>56</v>
      </c>
      <c r="CJ272" s="217">
        <f t="shared" si="710"/>
        <v>1.4000000000000001</v>
      </c>
      <c r="CK272" s="217">
        <f t="shared" si="651"/>
        <v>0.14000000000000001</v>
      </c>
      <c r="CL272" s="217">
        <f t="shared" si="652"/>
        <v>39.200000000000003</v>
      </c>
      <c r="CM272" s="217">
        <f t="shared" si="653"/>
        <v>4.2</v>
      </c>
      <c r="CN272" s="541">
        <f t="shared" si="654"/>
        <v>40</v>
      </c>
      <c r="CO272" s="443">
        <f t="shared" si="767"/>
        <v>28.7</v>
      </c>
      <c r="CP272" s="443">
        <f t="shared" si="768"/>
        <v>68.7</v>
      </c>
      <c r="CQ272" s="443"/>
      <c r="CR272" s="217">
        <f t="shared" si="657"/>
        <v>0.41520467836257302</v>
      </c>
      <c r="CS272" s="172">
        <f t="shared" si="658"/>
        <v>125.00786015217253</v>
      </c>
      <c r="CT272" s="172">
        <f t="shared" si="659"/>
        <v>14.828738512949037</v>
      </c>
      <c r="CU272" s="217">
        <f t="shared" si="660"/>
        <v>4.4645664340061613</v>
      </c>
      <c r="CV272" s="217">
        <f t="shared" si="661"/>
        <v>4.1669286717390843</v>
      </c>
      <c r="CW272" s="217">
        <f t="shared" si="662"/>
        <v>28</v>
      </c>
      <c r="CX272" s="217">
        <f t="shared" si="663"/>
        <v>5.2263380281690157</v>
      </c>
      <c r="CY272" s="217">
        <f t="shared" si="664"/>
        <v>0.6140947183098594</v>
      </c>
      <c r="CZ272" s="217">
        <f t="shared" si="665"/>
        <v>0.85588114050154607</v>
      </c>
      <c r="DA272" s="197">
        <f t="shared" si="666"/>
        <v>350</v>
      </c>
      <c r="DB272" s="443">
        <f t="shared" si="667"/>
        <v>350</v>
      </c>
      <c r="DD272" s="217">
        <f t="shared" si="668"/>
        <v>10.158258230357086</v>
      </c>
      <c r="DE272" s="173">
        <f t="shared" si="669"/>
        <v>1.6635475150758992</v>
      </c>
      <c r="DF272" s="173">
        <f t="shared" si="670"/>
        <v>2.6710919890125213</v>
      </c>
      <c r="DG272" s="173"/>
      <c r="DH272" s="173">
        <f t="shared" si="671"/>
        <v>0.54587688734030204</v>
      </c>
      <c r="DI272" s="545">
        <f t="shared" si="672"/>
        <v>1538.808510638298</v>
      </c>
      <c r="DJ272" s="528">
        <f t="shared" si="673"/>
        <v>0.31842818428184283</v>
      </c>
      <c r="DL272" s="173">
        <f t="shared" si="674"/>
        <v>7.2640179960410691</v>
      </c>
      <c r="DM272" s="173">
        <f t="shared" si="675"/>
        <v>7.2640179960410691</v>
      </c>
      <c r="DN272" s="173">
        <f t="shared" si="676"/>
        <v>4.1116182686723972</v>
      </c>
      <c r="DP272" s="545">
        <f t="shared" si="677"/>
        <v>1400.0000000000002</v>
      </c>
      <c r="DQ272" s="460">
        <f t="shared" si="678"/>
        <v>350</v>
      </c>
      <c r="DS272">
        <f t="shared" si="679"/>
        <v>1400.0000000000002</v>
      </c>
      <c r="DT272">
        <f t="shared" si="680"/>
        <v>350</v>
      </c>
      <c r="DV272" s="5">
        <f t="shared" si="681"/>
        <v>2.8571428571428572</v>
      </c>
      <c r="DW272" s="5">
        <f t="shared" si="682"/>
        <v>0.85352211453482563</v>
      </c>
      <c r="DX272" s="5">
        <f t="shared" si="683"/>
        <v>2.0036207426080317</v>
      </c>
      <c r="DY272" s="173">
        <f t="shared" si="684"/>
        <v>0.29873274008718897</v>
      </c>
      <c r="EA272" s="5">
        <f t="shared" si="711"/>
        <v>4.267610572674128</v>
      </c>
      <c r="EB272" s="5">
        <f t="shared" si="712"/>
        <v>0.398310320116252</v>
      </c>
      <c r="EC272" s="5">
        <f t="shared" si="713"/>
        <v>1.4025345198256221</v>
      </c>
      <c r="ED272" s="5"/>
      <c r="EE272" s="173">
        <f t="shared" si="714"/>
        <v>2.2922273775674409</v>
      </c>
      <c r="EF272" s="173">
        <f t="shared" si="715"/>
        <v>3.5120287771884495</v>
      </c>
      <c r="EG272" s="173">
        <f t="shared" si="716"/>
        <v>0.35408158983129451</v>
      </c>
      <c r="EH272" s="173"/>
      <c r="EI272" s="528">
        <f t="shared" si="717"/>
        <v>6.3051676205636481E-2</v>
      </c>
      <c r="EJ272" s="528">
        <f t="shared" si="718"/>
        <v>3.3186029415813429</v>
      </c>
      <c r="EK272" s="528">
        <f t="shared" si="719"/>
        <v>4.0250000000000001E-2</v>
      </c>
      <c r="EL272" s="528">
        <f t="shared" si="720"/>
        <v>0.81355656375000007</v>
      </c>
      <c r="EM272">
        <f t="shared" si="721"/>
        <v>1.7999999999999999E-2</v>
      </c>
      <c r="EN272" s="460">
        <f t="shared" si="722"/>
        <v>58.249999999999993</v>
      </c>
      <c r="EP272" s="460">
        <f t="shared" si="723"/>
        <v>4253.461181536979</v>
      </c>
      <c r="EQ272" s="173">
        <f t="shared" si="724"/>
        <v>0.98</v>
      </c>
      <c r="ER272" s="173">
        <f t="shared" si="769"/>
        <v>6.7060000000000008E-2</v>
      </c>
      <c r="ES272" s="528"/>
      <c r="EU272" s="460">
        <f t="shared" si="725"/>
        <v>1047.0600000000002</v>
      </c>
      <c r="EV272" s="528">
        <f t="shared" si="726"/>
        <v>7.3560288906575899E-2</v>
      </c>
      <c r="EW272" s="528">
        <f t="shared" si="727"/>
        <v>0.17268084584519713</v>
      </c>
      <c r="EX272" s="528">
        <f t="shared" si="728"/>
        <v>6.2686886128728535E-4</v>
      </c>
      <c r="EY272" s="528">
        <f t="shared" si="729"/>
        <v>16.296051700398252</v>
      </c>
      <c r="EZ272" s="528"/>
      <c r="FA272" s="625">
        <f t="shared" si="730"/>
        <v>1.8468085106382979</v>
      </c>
      <c r="FB272" s="460">
        <f t="shared" si="731"/>
        <v>18389.728214649607</v>
      </c>
      <c r="FC272" s="173">
        <f t="shared" si="732"/>
        <v>23.690249396186587</v>
      </c>
      <c r="FD272" s="5">
        <f t="shared" si="733"/>
        <v>43.400000000000006</v>
      </c>
      <c r="FE272" s="173">
        <f t="shared" si="734"/>
        <v>0.64688982960416386</v>
      </c>
      <c r="FF272" s="5">
        <f t="shared" si="735"/>
        <v>64.688982960416382</v>
      </c>
      <c r="FG272">
        <f t="shared" si="736"/>
        <v>56.000000000000007</v>
      </c>
      <c r="FI272" s="562">
        <f t="shared" si="686"/>
        <v>-50</v>
      </c>
    </row>
    <row r="273" spans="5:165">
      <c r="E273" s="170">
        <v>57</v>
      </c>
      <c r="F273" s="217">
        <f t="shared" si="770"/>
        <v>1.4249999999999998</v>
      </c>
      <c r="G273" s="217">
        <f t="shared" si="740"/>
        <v>0.14249999999999999</v>
      </c>
      <c r="H273" s="217">
        <f t="shared" si="741"/>
        <v>39.899999999999991</v>
      </c>
      <c r="I273" s="217">
        <f t="shared" si="742"/>
        <v>4.2749999999999995</v>
      </c>
      <c r="J273" s="541">
        <f t="shared" si="743"/>
        <v>39.879817918449646</v>
      </c>
      <c r="K273" s="443">
        <f t="shared" si="744"/>
        <v>28.748754705173919</v>
      </c>
      <c r="L273" s="172">
        <f t="shared" si="745"/>
        <v>68.628572623623569</v>
      </c>
      <c r="M273" s="443"/>
      <c r="N273" s="217">
        <f t="shared" si="746"/>
        <v>0.41890357916722754</v>
      </c>
      <c r="O273" s="172">
        <f t="shared" si="747"/>
        <v>125.74256907315191</v>
      </c>
      <c r="P273" s="172">
        <f t="shared" si="748"/>
        <v>14.915891484442762</v>
      </c>
      <c r="Q273" s="217">
        <f t="shared" si="624"/>
        <v>4.4908060383268538</v>
      </c>
      <c r="R273" s="217">
        <f t="shared" si="749"/>
        <v>4.1914189691050634</v>
      </c>
      <c r="S273" s="217">
        <f t="shared" si="750"/>
        <v>28</v>
      </c>
      <c r="T273" s="217">
        <f t="shared" si="751"/>
        <v>5.2885828952097365</v>
      </c>
      <c r="U273" s="217">
        <f t="shared" si="628"/>
        <v>0.62328117089989121</v>
      </c>
      <c r="V273" s="217">
        <f t="shared" si="629"/>
        <v>0.86460578422940726</v>
      </c>
      <c r="W273" s="197">
        <f t="shared" si="630"/>
        <v>350</v>
      </c>
      <c r="X273" s="443">
        <f t="shared" si="688"/>
        <v>350</v>
      </c>
      <c r="Z273" s="217">
        <f t="shared" si="631"/>
        <v>10.155500585152517</v>
      </c>
      <c r="AA273" s="173">
        <f t="shared" si="632"/>
        <v>1.6602754880936355</v>
      </c>
      <c r="AB273" s="173">
        <f t="shared" si="752"/>
        <v>2.6651145350052108</v>
      </c>
      <c r="AC273" s="173"/>
      <c r="AD273" s="173">
        <f t="shared" si="634"/>
        <v>0.54495114057399974</v>
      </c>
      <c r="AE273" s="545">
        <f t="shared" si="753"/>
        <v>1568.9479961440654</v>
      </c>
      <c r="AF273" s="528">
        <f t="shared" si="754"/>
        <v>0.31788816533483322</v>
      </c>
      <c r="AH273" s="173">
        <f t="shared" si="755"/>
        <v>7.328588314739072</v>
      </c>
      <c r="AI273" s="173">
        <f t="shared" si="756"/>
        <v>7.328588314739072</v>
      </c>
      <c r="AJ273" s="173">
        <f t="shared" si="757"/>
        <v>4.159448134374621</v>
      </c>
      <c r="AL273" s="545">
        <f t="shared" si="758"/>
        <v>1424.9999999999998</v>
      </c>
      <c r="AM273" s="460">
        <f t="shared" si="759"/>
        <v>350</v>
      </c>
      <c r="AO273">
        <f t="shared" si="642"/>
        <v>1424.9999999999998</v>
      </c>
      <c r="AP273">
        <f t="shared" si="643"/>
        <v>350</v>
      </c>
      <c r="AR273" s="5">
        <f t="shared" si="771"/>
        <v>2.8571428571428572</v>
      </c>
      <c r="AS273" s="5">
        <f t="shared" si="737"/>
        <v>0.86370417111003417</v>
      </c>
      <c r="AT273" s="5">
        <f t="shared" si="738"/>
        <v>1.993438686032823</v>
      </c>
      <c r="AU273" s="173">
        <f t="shared" si="739"/>
        <v>0.30229645988851195</v>
      </c>
      <c r="BA273" s="173">
        <f t="shared" si="689"/>
        <v>2.3263562888789173</v>
      </c>
      <c r="BB273" s="173">
        <f t="shared" si="690"/>
        <v>3.5342328700162833</v>
      </c>
      <c r="BC273" s="173">
        <f t="shared" si="691"/>
        <v>0.35632019919016628</v>
      </c>
      <c r="BD273" s="173"/>
      <c r="BE273" s="528">
        <f t="shared" si="692"/>
        <v>6.4943202993677868E-2</v>
      </c>
      <c r="BF273" s="528">
        <f t="shared" si="760"/>
        <v>3.2125966725326069</v>
      </c>
      <c r="BG273" s="528">
        <f t="shared" si="693"/>
        <v>4.0250000000000001E-2</v>
      </c>
      <c r="BH273" s="528">
        <f t="shared" si="694"/>
        <v>0.81186573398886108</v>
      </c>
      <c r="BI273">
        <f t="shared" si="695"/>
        <v>1.7945918063302341E-2</v>
      </c>
      <c r="BJ273" s="460">
        <f t="shared" si="696"/>
        <v>58.195918063302344</v>
      </c>
      <c r="BK273">
        <f t="shared" si="761"/>
        <v>4.1713056267846191</v>
      </c>
      <c r="BL273" s="460">
        <f t="shared" si="697"/>
        <v>4147.6015275784475</v>
      </c>
      <c r="BM273" s="173">
        <f t="shared" si="762"/>
        <v>0.95560499999999982</v>
      </c>
      <c r="BN273" s="173">
        <f t="shared" si="763"/>
        <v>6.8257499999999985E-2</v>
      </c>
      <c r="BQ273" s="460">
        <f t="shared" si="698"/>
        <v>1023.8625</v>
      </c>
      <c r="BR273" s="528">
        <f t="shared" si="699"/>
        <v>7.576707015929085E-2</v>
      </c>
      <c r="BS273" s="528">
        <f t="shared" si="700"/>
        <v>0.1748712277130495</v>
      </c>
      <c r="BT273" s="528">
        <f t="shared" si="701"/>
        <v>6.3482042175459883E-4</v>
      </c>
      <c r="BU273" s="528">
        <f t="shared" si="702"/>
        <v>16.660611202256135</v>
      </c>
      <c r="BV273" s="528"/>
      <c r="BW273" s="625">
        <f t="shared" si="703"/>
        <v>1.8797872340425523</v>
      </c>
      <c r="BX273" s="460">
        <f t="shared" si="704"/>
        <v>18791.67155459278</v>
      </c>
      <c r="BY273" s="173">
        <f t="shared" si="705"/>
        <v>23.96313558217123</v>
      </c>
      <c r="BZ273" s="5">
        <f t="shared" si="706"/>
        <v>44.17499999999999</v>
      </c>
      <c r="CA273" s="173">
        <f t="shared" si="707"/>
        <v>0.64831536147224234</v>
      </c>
      <c r="CB273" s="5">
        <f t="shared" si="708"/>
        <v>64.831536147224227</v>
      </c>
      <c r="CC273">
        <f t="shared" si="709"/>
        <v>56.999999999999993</v>
      </c>
      <c r="CE273" s="562">
        <f t="shared" si="764"/>
        <v>-50</v>
      </c>
      <c r="CG273" s="173">
        <f t="shared" si="765"/>
        <v>0.4091912755668185</v>
      </c>
      <c r="CH273" s="173">
        <f t="shared" si="766"/>
        <v>0.13285034800700263</v>
      </c>
      <c r="CI273" s="170">
        <v>57</v>
      </c>
      <c r="CJ273" s="217">
        <f t="shared" si="710"/>
        <v>1.4249999999999998</v>
      </c>
      <c r="CK273" s="217">
        <f t="shared" si="651"/>
        <v>0.14249999999999999</v>
      </c>
      <c r="CL273" s="217">
        <f t="shared" si="652"/>
        <v>39.899999999999991</v>
      </c>
      <c r="CM273" s="217">
        <f t="shared" si="653"/>
        <v>4.2749999999999995</v>
      </c>
      <c r="CN273" s="541">
        <f t="shared" si="654"/>
        <v>40</v>
      </c>
      <c r="CO273" s="443">
        <f t="shared" si="767"/>
        <v>28.7</v>
      </c>
      <c r="CP273" s="443">
        <f t="shared" si="768"/>
        <v>68.7</v>
      </c>
      <c r="CQ273" s="443"/>
      <c r="CR273" s="217">
        <f t="shared" si="657"/>
        <v>0.41520467836257302</v>
      </c>
      <c r="CS273" s="172">
        <f t="shared" si="658"/>
        <v>125.00786015217253</v>
      </c>
      <c r="CT273" s="172">
        <f t="shared" si="659"/>
        <v>14.828738512949037</v>
      </c>
      <c r="CU273" s="217">
        <f t="shared" si="660"/>
        <v>4.4645664340061613</v>
      </c>
      <c r="CV273" s="217">
        <f t="shared" si="661"/>
        <v>4.1669286717390843</v>
      </c>
      <c r="CW273" s="217">
        <f t="shared" si="662"/>
        <v>28</v>
      </c>
      <c r="CX273" s="217">
        <f t="shared" si="663"/>
        <v>5.3196654929577463</v>
      </c>
      <c r="CY273" s="217">
        <f t="shared" si="664"/>
        <v>0.62506069542253517</v>
      </c>
      <c r="CZ273" s="217">
        <f t="shared" si="665"/>
        <v>0.87116473229621627</v>
      </c>
      <c r="DA273" s="197">
        <f t="shared" si="666"/>
        <v>350</v>
      </c>
      <c r="DB273" s="443">
        <f t="shared" si="667"/>
        <v>350</v>
      </c>
      <c r="DD273" s="217">
        <f t="shared" si="668"/>
        <v>10.158258230357086</v>
      </c>
      <c r="DE273" s="173">
        <f t="shared" si="669"/>
        <v>1.6635475150758992</v>
      </c>
      <c r="DF273" s="173">
        <f t="shared" si="670"/>
        <v>2.6710919890125213</v>
      </c>
      <c r="DG273" s="173"/>
      <c r="DH273" s="173">
        <f t="shared" si="671"/>
        <v>0.54587688734030204</v>
      </c>
      <c r="DI273" s="545">
        <f t="shared" si="672"/>
        <v>1566.2872340425531</v>
      </c>
      <c r="DJ273" s="528">
        <f t="shared" si="673"/>
        <v>0.31842818428184283</v>
      </c>
      <c r="DL273" s="173">
        <f t="shared" si="674"/>
        <v>7.328588314739072</v>
      </c>
      <c r="DM273" s="173">
        <f t="shared" si="675"/>
        <v>7.328588314739072</v>
      </c>
      <c r="DN273" s="173">
        <f t="shared" si="676"/>
        <v>4.159448134374621</v>
      </c>
      <c r="DP273" s="545">
        <f t="shared" si="677"/>
        <v>1424.9999999999998</v>
      </c>
      <c r="DQ273" s="460">
        <f t="shared" si="678"/>
        <v>350</v>
      </c>
      <c r="DS273">
        <f t="shared" si="679"/>
        <v>1424.9999999999998</v>
      </c>
      <c r="DT273">
        <f t="shared" si="680"/>
        <v>350</v>
      </c>
      <c r="DV273" s="5">
        <f t="shared" si="681"/>
        <v>2.8571428571428572</v>
      </c>
      <c r="DW273" s="5">
        <f t="shared" si="682"/>
        <v>0.86110912698184094</v>
      </c>
      <c r="DX273" s="5">
        <f t="shared" si="683"/>
        <v>1.9960337301610163</v>
      </c>
      <c r="DY273" s="173">
        <f t="shared" si="684"/>
        <v>0.30138819444364434</v>
      </c>
      <c r="EA273" s="5">
        <f t="shared" si="711"/>
        <v>4.3824303783897252</v>
      </c>
      <c r="EB273" s="5">
        <f t="shared" si="712"/>
        <v>0.40902683531637446</v>
      </c>
      <c r="EC273" s="5">
        <f t="shared" si="713"/>
        <v>1.4221740327397236</v>
      </c>
      <c r="ED273" s="5"/>
      <c r="EE273" s="173">
        <f t="shared" si="714"/>
        <v>2.3228588305634585</v>
      </c>
      <c r="EF273" s="173">
        <f t="shared" si="715"/>
        <v>3.5365325412872117</v>
      </c>
      <c r="EG273" s="173">
        <f t="shared" si="716"/>
        <v>0.3565520512937107</v>
      </c>
      <c r="EH273" s="173"/>
      <c r="EI273" s="528">
        <f t="shared" si="717"/>
        <v>6.4748077760719655E-2</v>
      </c>
      <c r="EJ273" s="528">
        <f t="shared" si="718"/>
        <v>3.3481022145301189</v>
      </c>
      <c r="EK273" s="528">
        <f t="shared" si="719"/>
        <v>4.0250000000000001E-2</v>
      </c>
      <c r="EL273" s="528">
        <f t="shared" si="720"/>
        <v>0.81355656375000007</v>
      </c>
      <c r="EM273">
        <f t="shared" si="721"/>
        <v>1.7999999999999999E-2</v>
      </c>
      <c r="EN273" s="460">
        <f t="shared" si="722"/>
        <v>58.249999999999993</v>
      </c>
      <c r="EP273" s="460">
        <f t="shared" si="723"/>
        <v>4284.6568560408386</v>
      </c>
      <c r="EQ273" s="173">
        <f t="shared" si="724"/>
        <v>0.99749999999999983</v>
      </c>
      <c r="ER273" s="173">
        <f t="shared" si="769"/>
        <v>6.8257499999999985E-2</v>
      </c>
      <c r="ES273" s="528"/>
      <c r="EU273" s="460">
        <f t="shared" si="725"/>
        <v>1065.7574999999999</v>
      </c>
      <c r="EV273" s="528">
        <f t="shared" si="726"/>
        <v>7.5539424054172938E-2</v>
      </c>
      <c r="EW273" s="528">
        <f t="shared" si="727"/>
        <v>0.17509887381816738</v>
      </c>
      <c r="EX273" s="528">
        <f t="shared" si="728"/>
        <v>6.3564682640876457E-4</v>
      </c>
      <c r="EY273" s="528">
        <f t="shared" si="729"/>
        <v>16.660611202256135</v>
      </c>
      <c r="EZ273" s="528"/>
      <c r="FA273" s="625">
        <f t="shared" si="730"/>
        <v>1.8797872340425523</v>
      </c>
      <c r="FB273" s="460">
        <f t="shared" si="731"/>
        <v>18791.672380997436</v>
      </c>
      <c r="FC273" s="173">
        <f t="shared" si="732"/>
        <v>24.142086737038273</v>
      </c>
      <c r="FD273" s="5">
        <f t="shared" si="733"/>
        <v>44.17499999999999</v>
      </c>
      <c r="FE273" s="173">
        <f t="shared" si="734"/>
        <v>0.64661715113871232</v>
      </c>
      <c r="FF273" s="5">
        <f t="shared" si="735"/>
        <v>64.661715113871239</v>
      </c>
      <c r="FG273">
        <f t="shared" si="736"/>
        <v>56.999999999999993</v>
      </c>
      <c r="FI273" s="562">
        <f t="shared" si="686"/>
        <v>-50</v>
      </c>
    </row>
    <row r="274" spans="5:165">
      <c r="E274" s="170">
        <v>58</v>
      </c>
      <c r="F274" s="217">
        <f t="shared" si="770"/>
        <v>1.45</v>
      </c>
      <c r="G274" s="217">
        <f t="shared" si="740"/>
        <v>0.14499999999999999</v>
      </c>
      <c r="H274" s="217">
        <f t="shared" si="741"/>
        <v>40.6</v>
      </c>
      <c r="I274" s="217">
        <f t="shared" si="742"/>
        <v>4.3499999999999996</v>
      </c>
      <c r="J274" s="541">
        <f t="shared" si="743"/>
        <v>39.878768273354183</v>
      </c>
      <c r="K274" s="443">
        <f t="shared" si="744"/>
        <v>28.749180518543984</v>
      </c>
      <c r="L274" s="172">
        <f t="shared" si="745"/>
        <v>68.627948791898163</v>
      </c>
      <c r="M274" s="443"/>
      <c r="N274" s="217">
        <f t="shared" si="746"/>
        <v>0.41891359168726827</v>
      </c>
      <c r="O274" s="172">
        <f t="shared" si="747"/>
        <v>125.74226488837158</v>
      </c>
      <c r="P274" s="172">
        <f t="shared" si="748"/>
        <v>14.915855401299179</v>
      </c>
      <c r="Q274" s="217">
        <f t="shared" si="624"/>
        <v>4.490795174584699</v>
      </c>
      <c r="R274" s="217">
        <f t="shared" si="749"/>
        <v>4.1914088296123859</v>
      </c>
      <c r="S274" s="217">
        <f t="shared" si="750"/>
        <v>28</v>
      </c>
      <c r="T274" s="217">
        <f t="shared" si="751"/>
        <v>5.3813780693976003</v>
      </c>
      <c r="U274" s="217">
        <f t="shared" si="628"/>
        <v>0.63423415569904673</v>
      </c>
      <c r="V274" s="217">
        <f t="shared" si="629"/>
        <v>0.8797634043813668</v>
      </c>
      <c r="W274" s="197">
        <f t="shared" si="630"/>
        <v>350</v>
      </c>
      <c r="X274" s="443">
        <f t="shared" si="688"/>
        <v>350</v>
      </c>
      <c r="Z274" s="217">
        <f t="shared" si="631"/>
        <v>10.155476017905825</v>
      </c>
      <c r="AA274" s="173">
        <f t="shared" si="632"/>
        <v>1.6602468808935191</v>
      </c>
      <c r="AB274" s="173">
        <f t="shared" si="752"/>
        <v>2.6650621669456029</v>
      </c>
      <c r="AC274" s="173"/>
      <c r="AD274" s="173">
        <f t="shared" si="634"/>
        <v>0.54494306912717916</v>
      </c>
      <c r="AE274" s="545">
        <f t="shared" si="753"/>
        <v>1596.4970458170169</v>
      </c>
      <c r="AF274" s="528">
        <f t="shared" si="754"/>
        <v>0.31788345699085452</v>
      </c>
      <c r="AH274" s="173">
        <f t="shared" si="755"/>
        <v>7.392594668115632</v>
      </c>
      <c r="AI274" s="173">
        <f t="shared" si="756"/>
        <v>7.392594668115632</v>
      </c>
      <c r="AJ274" s="173">
        <f t="shared" si="757"/>
        <v>4.2068602479868877</v>
      </c>
      <c r="AL274" s="545">
        <f t="shared" si="758"/>
        <v>1450</v>
      </c>
      <c r="AM274" s="460">
        <f t="shared" si="759"/>
        <v>350</v>
      </c>
      <c r="AO274">
        <f t="shared" si="642"/>
        <v>1450</v>
      </c>
      <c r="AP274">
        <f t="shared" si="643"/>
        <v>350</v>
      </c>
      <c r="AR274" s="5">
        <f t="shared" si="771"/>
        <v>2.8571428571428572</v>
      </c>
      <c r="AS274" s="5">
        <f t="shared" si="737"/>
        <v>0.87127051422396073</v>
      </c>
      <c r="AT274" s="5">
        <f t="shared" si="738"/>
        <v>1.9858723429188965</v>
      </c>
      <c r="AU274" s="173">
        <f t="shared" si="739"/>
        <v>0.30494467997838626</v>
      </c>
      <c r="BA274" s="173">
        <f t="shared" si="689"/>
        <v>2.3569306165256312</v>
      </c>
      <c r="BB274" s="173">
        <f t="shared" si="690"/>
        <v>3.5583277970466218</v>
      </c>
      <c r="BC274" s="173">
        <f t="shared" si="691"/>
        <v>0.35874944183338892</v>
      </c>
      <c r="BD274" s="173"/>
      <c r="BE274" s="528">
        <f t="shared" si="692"/>
        <v>6.6661463173390695E-2</v>
      </c>
      <c r="BF274" s="528">
        <f t="shared" si="760"/>
        <v>3.2406253606612396</v>
      </c>
      <c r="BG274" s="528">
        <f t="shared" si="693"/>
        <v>4.0250000000000001E-2</v>
      </c>
      <c r="BH274" s="528">
        <f t="shared" si="694"/>
        <v>0.81185097438421294</v>
      </c>
      <c r="BI274">
        <f t="shared" si="695"/>
        <v>1.7945445723009382E-2</v>
      </c>
      <c r="BJ274" s="460">
        <f t="shared" si="696"/>
        <v>58.195445723009385</v>
      </c>
      <c r="BK274">
        <f t="shared" si="761"/>
        <v>4.20371809056331</v>
      </c>
      <c r="BL274" s="460">
        <f t="shared" si="697"/>
        <v>4177.3332439418527</v>
      </c>
      <c r="BM274" s="173">
        <f t="shared" si="762"/>
        <v>0.97236999999999985</v>
      </c>
      <c r="BN274" s="173">
        <f t="shared" si="763"/>
        <v>6.9454999999999989E-2</v>
      </c>
      <c r="BQ274" s="460">
        <f t="shared" si="698"/>
        <v>1041.8249999999998</v>
      </c>
      <c r="BR274" s="528">
        <f t="shared" si="699"/>
        <v>7.7771707035622487E-2</v>
      </c>
      <c r="BS274" s="528">
        <f t="shared" si="700"/>
        <v>0.1772637539572853</v>
      </c>
      <c r="BT274" s="528">
        <f t="shared" si="701"/>
        <v>6.4350581007884043E-4</v>
      </c>
      <c r="BU274" s="528">
        <f t="shared" si="702"/>
        <v>17.026773232981359</v>
      </c>
      <c r="BV274" s="528"/>
      <c r="BW274" s="625">
        <f t="shared" si="703"/>
        <v>1.9127659574468088</v>
      </c>
      <c r="BX274" s="460">
        <f t="shared" si="704"/>
        <v>19195.218157231153</v>
      </c>
      <c r="BY274" s="173">
        <f t="shared" si="705"/>
        <v>24.414376401173005</v>
      </c>
      <c r="BZ274" s="5">
        <f t="shared" si="706"/>
        <v>44.95</v>
      </c>
      <c r="CA274" s="173">
        <f t="shared" si="707"/>
        <v>0.64802716224289247</v>
      </c>
      <c r="CB274" s="5">
        <f t="shared" si="708"/>
        <v>64.802716224289242</v>
      </c>
      <c r="CC274">
        <f t="shared" si="709"/>
        <v>57.999999999999993</v>
      </c>
      <c r="CE274" s="562">
        <f t="shared" si="764"/>
        <v>-50</v>
      </c>
      <c r="CG274" s="173">
        <f t="shared" si="765"/>
        <v>0.41276506635130839</v>
      </c>
      <c r="CH274" s="173">
        <f t="shared" si="766"/>
        <v>0.1340106350848882</v>
      </c>
      <c r="CI274" s="170">
        <v>58</v>
      </c>
      <c r="CJ274" s="217">
        <f t="shared" si="710"/>
        <v>1.45</v>
      </c>
      <c r="CK274" s="217">
        <f t="shared" si="651"/>
        <v>0.14499999999999999</v>
      </c>
      <c r="CL274" s="217">
        <f t="shared" si="652"/>
        <v>40.6</v>
      </c>
      <c r="CM274" s="217">
        <f t="shared" si="653"/>
        <v>4.3499999999999996</v>
      </c>
      <c r="CN274" s="541">
        <f t="shared" si="654"/>
        <v>40</v>
      </c>
      <c r="CO274" s="443">
        <f t="shared" si="767"/>
        <v>28.7</v>
      </c>
      <c r="CP274" s="443">
        <f t="shared" si="768"/>
        <v>68.7</v>
      </c>
      <c r="CQ274" s="443"/>
      <c r="CR274" s="217">
        <f t="shared" si="657"/>
        <v>0.41520467836257302</v>
      </c>
      <c r="CS274" s="172">
        <f t="shared" si="658"/>
        <v>125.00786015217253</v>
      </c>
      <c r="CT274" s="172">
        <f t="shared" si="659"/>
        <v>14.828738512949037</v>
      </c>
      <c r="CU274" s="217">
        <f t="shared" si="660"/>
        <v>4.4645664340061613</v>
      </c>
      <c r="CV274" s="217">
        <f t="shared" si="661"/>
        <v>4.1669286717390843</v>
      </c>
      <c r="CW274" s="217">
        <f t="shared" si="662"/>
        <v>28</v>
      </c>
      <c r="CX274" s="217">
        <f t="shared" si="663"/>
        <v>5.4129929577464804</v>
      </c>
      <c r="CY274" s="217">
        <f t="shared" si="664"/>
        <v>0.63602667253521139</v>
      </c>
      <c r="CZ274" s="217">
        <f t="shared" si="665"/>
        <v>0.88644832409088703</v>
      </c>
      <c r="DA274" s="197">
        <f t="shared" si="666"/>
        <v>350</v>
      </c>
      <c r="DB274" s="443">
        <f t="shared" si="667"/>
        <v>350</v>
      </c>
      <c r="DD274" s="217">
        <f t="shared" si="668"/>
        <v>10.158258230357086</v>
      </c>
      <c r="DE274" s="173">
        <f t="shared" si="669"/>
        <v>1.6635475150758992</v>
      </c>
      <c r="DF274" s="173">
        <f t="shared" si="670"/>
        <v>2.6710919890125213</v>
      </c>
      <c r="DG274" s="173"/>
      <c r="DH274" s="173">
        <f t="shared" si="671"/>
        <v>0.54587688734030204</v>
      </c>
      <c r="DI274" s="545">
        <f t="shared" si="672"/>
        <v>1593.7659574468084</v>
      </c>
      <c r="DJ274" s="528">
        <f t="shared" si="673"/>
        <v>0.31842818428184283</v>
      </c>
      <c r="DL274" s="173">
        <f t="shared" si="674"/>
        <v>7.392594668115632</v>
      </c>
      <c r="DM274" s="173">
        <f t="shared" si="675"/>
        <v>7.392594668115632</v>
      </c>
      <c r="DN274" s="173">
        <f t="shared" si="676"/>
        <v>4.2068602479868877</v>
      </c>
      <c r="DP274" s="545">
        <f t="shared" si="677"/>
        <v>1450</v>
      </c>
      <c r="DQ274" s="460">
        <f t="shared" si="678"/>
        <v>350</v>
      </c>
      <c r="DS274">
        <f t="shared" si="679"/>
        <v>1450</v>
      </c>
      <c r="DT274">
        <f t="shared" si="680"/>
        <v>350</v>
      </c>
      <c r="DV274" s="5">
        <f t="shared" si="681"/>
        <v>2.8571428571428572</v>
      </c>
      <c r="DW274" s="5">
        <f t="shared" si="682"/>
        <v>0.86862987350358667</v>
      </c>
      <c r="DX274" s="5">
        <f t="shared" si="683"/>
        <v>1.9885129836392705</v>
      </c>
      <c r="DY274" s="173">
        <f t="shared" si="684"/>
        <v>0.3040204557262553</v>
      </c>
      <c r="EA274" s="5">
        <f t="shared" si="711"/>
        <v>4.4982618449292877</v>
      </c>
      <c r="EB274" s="5">
        <f t="shared" si="712"/>
        <v>0.41983777219340018</v>
      </c>
      <c r="EC274" s="5">
        <f t="shared" si="713"/>
        <v>1.4416719131384712</v>
      </c>
      <c r="ED274" s="5"/>
      <c r="EE274" s="173">
        <f t="shared" si="714"/>
        <v>2.353356221554646</v>
      </c>
      <c r="EF274" s="173">
        <f t="shared" si="715"/>
        <v>3.5606927888854152</v>
      </c>
      <c r="EG274" s="173">
        <f t="shared" si="716"/>
        <v>0.35898787953516897</v>
      </c>
      <c r="EH274" s="173"/>
      <c r="EI274" s="528">
        <f t="shared" si="717"/>
        <v>6.6459426066359531E-2</v>
      </c>
      <c r="EJ274" s="528">
        <f t="shared" si="718"/>
        <v>3.3773438371019679</v>
      </c>
      <c r="EK274" s="528">
        <f t="shared" si="719"/>
        <v>4.0250000000000001E-2</v>
      </c>
      <c r="EL274" s="528">
        <f t="shared" si="720"/>
        <v>0.81355656375000007</v>
      </c>
      <c r="EM274">
        <f t="shared" si="721"/>
        <v>1.7999999999999999E-2</v>
      </c>
      <c r="EN274" s="460">
        <f t="shared" si="722"/>
        <v>58.249999999999993</v>
      </c>
      <c r="EP274" s="460">
        <f t="shared" si="723"/>
        <v>4315.6098269183267</v>
      </c>
      <c r="EQ274" s="173">
        <f t="shared" si="724"/>
        <v>1.0149999999999999</v>
      </c>
      <c r="ER274" s="173">
        <f t="shared" si="769"/>
        <v>6.9454999999999989E-2</v>
      </c>
      <c r="ES274" s="528"/>
      <c r="EU274" s="460">
        <f t="shared" si="725"/>
        <v>1084.4549999999999</v>
      </c>
      <c r="EV274" s="528">
        <f t="shared" si="726"/>
        <v>7.7535997077419441E-2</v>
      </c>
      <c r="EW274" s="528">
        <f t="shared" si="727"/>
        <v>0.17749946391548835</v>
      </c>
      <c r="EX274" s="528">
        <f t="shared" si="728"/>
        <v>6.4436148826578499E-4</v>
      </c>
      <c r="EY274" s="528">
        <f t="shared" si="729"/>
        <v>17.026773232981359</v>
      </c>
      <c r="EZ274" s="528"/>
      <c r="FA274" s="625">
        <f t="shared" si="730"/>
        <v>1.9127659574468088</v>
      </c>
      <c r="FB274" s="460">
        <f t="shared" si="731"/>
        <v>19195.21901290934</v>
      </c>
      <c r="FC274" s="173">
        <f t="shared" si="732"/>
        <v>24.595283839827665</v>
      </c>
      <c r="FD274" s="5">
        <f t="shared" si="733"/>
        <v>44.95</v>
      </c>
      <c r="FE274" s="173">
        <f t="shared" si="734"/>
        <v>0.64634145578478075</v>
      </c>
      <c r="FF274" s="5">
        <f t="shared" si="735"/>
        <v>64.634145578478069</v>
      </c>
      <c r="FG274">
        <f t="shared" si="736"/>
        <v>57.999999999999993</v>
      </c>
      <c r="FI274" s="562">
        <f t="shared" si="686"/>
        <v>-50</v>
      </c>
    </row>
    <row r="275" spans="5:165">
      <c r="E275" s="170">
        <v>59</v>
      </c>
      <c r="F275" s="217">
        <f t="shared" si="770"/>
        <v>1.4749999999999999</v>
      </c>
      <c r="G275" s="217">
        <f t="shared" si="740"/>
        <v>0.14749999999999999</v>
      </c>
      <c r="H275" s="217">
        <f t="shared" si="741"/>
        <v>41.3</v>
      </c>
      <c r="I275" s="217">
        <f t="shared" si="742"/>
        <v>4.4249999999999998</v>
      </c>
      <c r="J275" s="541">
        <f t="shared" si="743"/>
        <v>39.877727638587956</v>
      </c>
      <c r="K275" s="443">
        <f t="shared" si="744"/>
        <v>28.749602676660789</v>
      </c>
      <c r="L275" s="172">
        <f t="shared" si="745"/>
        <v>68.627330315248741</v>
      </c>
      <c r="M275" s="443"/>
      <c r="N275" s="217">
        <f t="shared" si="746"/>
        <v>0.4189235184378538</v>
      </c>
      <c r="O275" s="172">
        <f t="shared" si="747"/>
        <v>125.74196321252258</v>
      </c>
      <c r="P275" s="172">
        <f t="shared" si="748"/>
        <v>14.915819615771172</v>
      </c>
      <c r="Q275" s="217">
        <f t="shared" si="624"/>
        <v>4.490784400447235</v>
      </c>
      <c r="R275" s="217">
        <f t="shared" si="749"/>
        <v>4.1913987737507528</v>
      </c>
      <c r="S275" s="217">
        <f t="shared" si="750"/>
        <v>28</v>
      </c>
      <c r="T275" s="217">
        <f t="shared" si="751"/>
        <v>5.4741735833243501</v>
      </c>
      <c r="U275" s="217">
        <f t="shared" si="628"/>
        <v>0.64518761136048219</v>
      </c>
      <c r="V275" s="217">
        <f t="shared" si="629"/>
        <v>0.89492074485297812</v>
      </c>
      <c r="W275" s="197">
        <f t="shared" si="630"/>
        <v>350</v>
      </c>
      <c r="X275" s="443">
        <f t="shared" si="688"/>
        <v>350</v>
      </c>
      <c r="Z275" s="217">
        <f t="shared" si="631"/>
        <v>10.15545165329101</v>
      </c>
      <c r="AA275" s="173">
        <f t="shared" si="632"/>
        <v>1.6602185187489891</v>
      </c>
      <c r="AB275" s="173">
        <f t="shared" si="752"/>
        <v>2.6650102456504348</v>
      </c>
      <c r="AC275" s="173"/>
      <c r="AD275" s="173">
        <f t="shared" si="634"/>
        <v>0.54493506720303375</v>
      </c>
      <c r="AE275" s="545">
        <f t="shared" si="753"/>
        <v>1624.0467043943486</v>
      </c>
      <c r="AF275" s="528">
        <f t="shared" si="754"/>
        <v>0.31787878920176971</v>
      </c>
      <c r="AH275" s="173">
        <f t="shared" si="755"/>
        <v>7.4560515802382454</v>
      </c>
      <c r="AI275" s="173">
        <f t="shared" si="756"/>
        <v>7.4560515802382454</v>
      </c>
      <c r="AJ275" s="173">
        <f t="shared" si="757"/>
        <v>4.2538653680777125</v>
      </c>
      <c r="AL275" s="545">
        <f t="shared" si="758"/>
        <v>1474.9999999999998</v>
      </c>
      <c r="AM275" s="460">
        <f t="shared" si="759"/>
        <v>350</v>
      </c>
      <c r="AO275">
        <f t="shared" si="642"/>
        <v>1474.9999999999998</v>
      </c>
      <c r="AP275">
        <f t="shared" si="643"/>
        <v>350</v>
      </c>
      <c r="AR275" s="5">
        <f t="shared" si="771"/>
        <v>2.8571428571428572</v>
      </c>
      <c r="AS275" s="5">
        <f t="shared" si="737"/>
        <v>0.87877229978394567</v>
      </c>
      <c r="AT275" s="5">
        <f t="shared" si="738"/>
        <v>1.9783705573589114</v>
      </c>
      <c r="AU275" s="173">
        <f t="shared" si="739"/>
        <v>0.30757030492438098</v>
      </c>
      <c r="BA275" s="173">
        <f t="shared" si="689"/>
        <v>2.3873740999850779</v>
      </c>
      <c r="BB275" s="173">
        <f t="shared" si="690"/>
        <v>3.5820869097652444</v>
      </c>
      <c r="BC275" s="173">
        <f t="shared" si="691"/>
        <v>0.36114482778780743</v>
      </c>
      <c r="BD275" s="173"/>
      <c r="BE275" s="528">
        <f t="shared" si="692"/>
        <v>6.839466111935473E-2</v>
      </c>
      <c r="BF275" s="528">
        <f t="shared" si="760"/>
        <v>3.2684129422920147</v>
      </c>
      <c r="BG275" s="528">
        <f t="shared" si="693"/>
        <v>4.0250000000000001E-2</v>
      </c>
      <c r="BH275" s="528">
        <f t="shared" si="694"/>
        <v>0.81183634161092499</v>
      </c>
      <c r="BI275">
        <f t="shared" si="695"/>
        <v>1.7944977437364579E-2</v>
      </c>
      <c r="BJ275" s="460">
        <f t="shared" si="696"/>
        <v>58.194977437364585</v>
      </c>
      <c r="BK275">
        <f t="shared" si="761"/>
        <v>4.2359470640831969</v>
      </c>
      <c r="BL275" s="460">
        <f t="shared" si="697"/>
        <v>4206.8389224596594</v>
      </c>
      <c r="BM275" s="173">
        <f t="shared" si="762"/>
        <v>0.98913499999999976</v>
      </c>
      <c r="BN275" s="173">
        <f t="shared" si="763"/>
        <v>7.0652499999999993E-2</v>
      </c>
      <c r="BQ275" s="460">
        <f t="shared" si="698"/>
        <v>1059.7874999999997</v>
      </c>
      <c r="BR275" s="528">
        <f t="shared" si="699"/>
        <v>7.9793771305913849E-2</v>
      </c>
      <c r="BS275" s="528">
        <f t="shared" si="700"/>
        <v>0.17963885280756126</v>
      </c>
      <c r="BT275" s="528">
        <f t="shared" si="701"/>
        <v>6.5212793318942543E-4</v>
      </c>
      <c r="BU275" s="528">
        <f t="shared" si="702"/>
        <v>17.394517023412973</v>
      </c>
      <c r="BV275" s="528"/>
      <c r="BW275" s="625">
        <f t="shared" si="703"/>
        <v>1.9457446808510634</v>
      </c>
      <c r="BX275" s="460">
        <f t="shared" si="704"/>
        <v>19600.346456310705</v>
      </c>
      <c r="BY275" s="173">
        <f t="shared" si="705"/>
        <v>24.866972878770362</v>
      </c>
      <c r="BZ275" s="5">
        <f t="shared" si="706"/>
        <v>45.724999999999994</v>
      </c>
      <c r="CA275" s="173">
        <f t="shared" si="707"/>
        <v>0.64773653625639371</v>
      </c>
      <c r="CB275" s="5">
        <f t="shared" si="708"/>
        <v>64.773653625639369</v>
      </c>
      <c r="CC275">
        <f t="shared" si="709"/>
        <v>59</v>
      </c>
      <c r="CE275" s="562">
        <f t="shared" si="764"/>
        <v>-50</v>
      </c>
      <c r="CG275" s="173">
        <f t="shared" si="765"/>
        <v>0.41630817911734569</v>
      </c>
      <c r="CH275" s="173">
        <f t="shared" si="766"/>
        <v>0.13516096206423078</v>
      </c>
      <c r="CI275" s="170">
        <v>59</v>
      </c>
      <c r="CJ275" s="217">
        <f t="shared" si="710"/>
        <v>1.4749999999999999</v>
      </c>
      <c r="CK275" s="217">
        <f t="shared" si="651"/>
        <v>0.14749999999999999</v>
      </c>
      <c r="CL275" s="217">
        <f t="shared" si="652"/>
        <v>41.3</v>
      </c>
      <c r="CM275" s="217">
        <f t="shared" si="653"/>
        <v>4.4249999999999998</v>
      </c>
      <c r="CN275" s="541">
        <f t="shared" si="654"/>
        <v>40</v>
      </c>
      <c r="CO275" s="443">
        <f t="shared" si="767"/>
        <v>28.7</v>
      </c>
      <c r="CP275" s="443">
        <f t="shared" si="768"/>
        <v>68.7</v>
      </c>
      <c r="CQ275" s="443"/>
      <c r="CR275" s="217">
        <f t="shared" si="657"/>
        <v>0.41520467836257302</v>
      </c>
      <c r="CS275" s="172">
        <f t="shared" si="658"/>
        <v>125.00786015217253</v>
      </c>
      <c r="CT275" s="172">
        <f t="shared" si="659"/>
        <v>14.828738512949037</v>
      </c>
      <c r="CU275" s="217">
        <f t="shared" si="660"/>
        <v>4.4645664340061613</v>
      </c>
      <c r="CV275" s="217">
        <f t="shared" si="661"/>
        <v>4.1669286717390843</v>
      </c>
      <c r="CW275" s="217">
        <f t="shared" si="662"/>
        <v>28</v>
      </c>
      <c r="CX275" s="217">
        <f t="shared" si="663"/>
        <v>5.5063204225352118</v>
      </c>
      <c r="CY275" s="217">
        <f t="shared" si="664"/>
        <v>0.64699264964788739</v>
      </c>
      <c r="CZ275" s="217">
        <f t="shared" si="665"/>
        <v>0.90173191588555734</v>
      </c>
      <c r="DA275" s="197">
        <f t="shared" si="666"/>
        <v>350</v>
      </c>
      <c r="DB275" s="443">
        <f t="shared" si="667"/>
        <v>350</v>
      </c>
      <c r="DD275" s="217">
        <f t="shared" si="668"/>
        <v>10.158258230357086</v>
      </c>
      <c r="DE275" s="173">
        <f t="shared" si="669"/>
        <v>1.6635475150758992</v>
      </c>
      <c r="DF275" s="173">
        <f t="shared" si="670"/>
        <v>2.6710919890125213</v>
      </c>
      <c r="DG275" s="173"/>
      <c r="DH275" s="173">
        <f t="shared" si="671"/>
        <v>0.54587688734030204</v>
      </c>
      <c r="DI275" s="545">
        <f t="shared" si="672"/>
        <v>1621.2446808510638</v>
      </c>
      <c r="DJ275" s="528">
        <f t="shared" si="673"/>
        <v>0.31842818428184283</v>
      </c>
      <c r="DL275" s="173">
        <f t="shared" si="674"/>
        <v>7.4560515802382454</v>
      </c>
      <c r="DM275" s="173">
        <f t="shared" si="675"/>
        <v>7.4560515802382454</v>
      </c>
      <c r="DN275" s="173">
        <f t="shared" si="676"/>
        <v>4.2538653680777125</v>
      </c>
      <c r="DP275" s="545">
        <f t="shared" si="677"/>
        <v>1474.9999999999998</v>
      </c>
      <c r="DQ275" s="460">
        <f t="shared" si="678"/>
        <v>350</v>
      </c>
      <c r="DS275">
        <f t="shared" si="679"/>
        <v>1474.9999999999998</v>
      </c>
      <c r="DT275">
        <f t="shared" si="680"/>
        <v>350</v>
      </c>
      <c r="DV275" s="5">
        <f t="shared" si="681"/>
        <v>2.8571428571428572</v>
      </c>
      <c r="DW275" s="5">
        <f t="shared" si="682"/>
        <v>0.87608606067799377</v>
      </c>
      <c r="DX275" s="5">
        <f t="shared" si="683"/>
        <v>1.9810567964648635</v>
      </c>
      <c r="DY275" s="173">
        <f t="shared" si="684"/>
        <v>0.30663012123729783</v>
      </c>
      <c r="EA275" s="5">
        <f t="shared" si="711"/>
        <v>4.6150962125001458</v>
      </c>
      <c r="EB275" s="5">
        <f t="shared" si="712"/>
        <v>0.43074231316668027</v>
      </c>
      <c r="EC275" s="5">
        <f t="shared" si="713"/>
        <v>1.4610293873928368</v>
      </c>
      <c r="ED275" s="5"/>
      <c r="EE275" s="173">
        <f t="shared" si="714"/>
        <v>2.3837224338779937</v>
      </c>
      <c r="EF275" s="173">
        <f t="shared" si="715"/>
        <v>3.5845179704693697</v>
      </c>
      <c r="EG275" s="173">
        <f t="shared" si="716"/>
        <v>0.36138992653092827</v>
      </c>
      <c r="EH275" s="173"/>
      <c r="EI275" s="528">
        <f t="shared" si="717"/>
        <v>6.8185591701278706E-2</v>
      </c>
      <c r="EJ275" s="528">
        <f t="shared" si="718"/>
        <v>3.4063344446897439</v>
      </c>
      <c r="EK275" s="528">
        <f t="shared" si="719"/>
        <v>4.0250000000000001E-2</v>
      </c>
      <c r="EL275" s="528">
        <f t="shared" si="720"/>
        <v>0.81355656375000007</v>
      </c>
      <c r="EM275">
        <f t="shared" si="721"/>
        <v>1.7999999999999999E-2</v>
      </c>
      <c r="EN275" s="460">
        <f t="shared" si="722"/>
        <v>58.249999999999993</v>
      </c>
      <c r="EP275" s="460">
        <f t="shared" si="723"/>
        <v>4346.3266001410229</v>
      </c>
      <c r="EQ275" s="173">
        <f t="shared" si="724"/>
        <v>1.0324999999999998</v>
      </c>
      <c r="ER275" s="173">
        <f t="shared" si="769"/>
        <v>7.0652499999999993E-2</v>
      </c>
      <c r="ES275" s="528"/>
      <c r="EU275" s="460">
        <f t="shared" si="725"/>
        <v>1103.1524999999997</v>
      </c>
      <c r="EV275" s="528">
        <f t="shared" si="726"/>
        <v>7.9549856984825168E-2</v>
      </c>
      <c r="EW275" s="528">
        <f t="shared" si="727"/>
        <v>0.1798827671286499</v>
      </c>
      <c r="EX275" s="528">
        <f t="shared" si="728"/>
        <v>6.5301339499014869E-4</v>
      </c>
      <c r="EY275" s="528">
        <f t="shared" si="729"/>
        <v>17.394517023412973</v>
      </c>
      <c r="EZ275" s="528"/>
      <c r="FA275" s="625">
        <f t="shared" si="730"/>
        <v>1.9457446808510634</v>
      </c>
      <c r="FB275" s="460">
        <f t="shared" si="731"/>
        <v>19600.3473417725</v>
      </c>
      <c r="FC275" s="173">
        <f t="shared" si="732"/>
        <v>25.049826441913524</v>
      </c>
      <c r="FD275" s="5">
        <f t="shared" si="733"/>
        <v>45.724999999999994</v>
      </c>
      <c r="FE275" s="173">
        <f t="shared" si="734"/>
        <v>0.6460630466897368</v>
      </c>
      <c r="FF275" s="5">
        <f t="shared" si="735"/>
        <v>64.606304668973678</v>
      </c>
      <c r="FG275">
        <f t="shared" si="736"/>
        <v>59</v>
      </c>
      <c r="FI275" s="562">
        <f t="shared" si="686"/>
        <v>-50</v>
      </c>
    </row>
    <row r="276" spans="5:165">
      <c r="E276" s="170">
        <v>60</v>
      </c>
      <c r="F276" s="217">
        <f t="shared" si="770"/>
        <v>1.5</v>
      </c>
      <c r="G276" s="217">
        <f t="shared" si="740"/>
        <v>0.15</v>
      </c>
      <c r="H276" s="217">
        <f t="shared" si="741"/>
        <v>42</v>
      </c>
      <c r="I276" s="217">
        <f t="shared" si="742"/>
        <v>4.5</v>
      </c>
      <c r="J276" s="541">
        <f t="shared" si="743"/>
        <v>39.876695786020804</v>
      </c>
      <c r="K276" s="443">
        <f t="shared" si="744"/>
        <v>28.750021272070732</v>
      </c>
      <c r="L276" s="172">
        <f t="shared" si="745"/>
        <v>68.626717058091543</v>
      </c>
      <c r="M276" s="443"/>
      <c r="N276" s="217">
        <f t="shared" si="746"/>
        <v>0.41893336159056316</v>
      </c>
      <c r="O276" s="172">
        <f t="shared" si="747"/>
        <v>125.7416639820791</v>
      </c>
      <c r="P276" s="172">
        <f t="shared" si="748"/>
        <v>14.91578412032316</v>
      </c>
      <c r="Q276" s="217">
        <f t="shared" si="624"/>
        <v>4.490773713645682</v>
      </c>
      <c r="R276" s="217">
        <f t="shared" si="749"/>
        <v>4.1913887994026364</v>
      </c>
      <c r="S276" s="217">
        <f t="shared" si="750"/>
        <v>28</v>
      </c>
      <c r="T276" s="217">
        <f t="shared" si="751"/>
        <v>5.5669694342502503</v>
      </c>
      <c r="U276" s="217">
        <f t="shared" si="628"/>
        <v>0.65614153392690344</v>
      </c>
      <c r="V276" s="217">
        <f t="shared" si="629"/>
        <v>0.91007780806040595</v>
      </c>
      <c r="W276" s="197">
        <f t="shared" si="630"/>
        <v>350</v>
      </c>
      <c r="X276" s="443">
        <f t="shared" si="688"/>
        <v>350</v>
      </c>
      <c r="Z276" s="217">
        <f t="shared" si="631"/>
        <v>10.155427486177471</v>
      </c>
      <c r="AA276" s="173">
        <f t="shared" si="632"/>
        <v>1.6601903954555337</v>
      </c>
      <c r="AB276" s="173">
        <f t="shared" si="752"/>
        <v>2.6649587598082314</v>
      </c>
      <c r="AC276" s="173"/>
      <c r="AD276" s="173">
        <f t="shared" si="634"/>
        <v>0.54492713304132689</v>
      </c>
      <c r="AE276" s="545">
        <f t="shared" si="753"/>
        <v>1651.596966693425</v>
      </c>
      <c r="AF276" s="528">
        <f t="shared" si="754"/>
        <v>0.31787416094077398</v>
      </c>
      <c r="AH276" s="173">
        <f t="shared" si="755"/>
        <v>7.5189729622665107</v>
      </c>
      <c r="AI276" s="173">
        <f t="shared" si="756"/>
        <v>7.5189729622665107</v>
      </c>
      <c r="AJ276" s="173">
        <f t="shared" si="757"/>
        <v>4.3004737992097608</v>
      </c>
      <c r="AL276" s="545">
        <f t="shared" si="758"/>
        <v>1500</v>
      </c>
      <c r="AM276" s="460">
        <f t="shared" si="759"/>
        <v>350</v>
      </c>
      <c r="AO276">
        <f t="shared" si="642"/>
        <v>1500</v>
      </c>
      <c r="AP276">
        <f t="shared" si="643"/>
        <v>350</v>
      </c>
      <c r="AR276" s="5">
        <f t="shared" si="771"/>
        <v>2.8571428571428572</v>
      </c>
      <c r="AS276" s="5">
        <f t="shared" si="737"/>
        <v>0.88621116233610098</v>
      </c>
      <c r="AT276" s="5">
        <f t="shared" si="738"/>
        <v>1.9709316948067563</v>
      </c>
      <c r="AU276" s="173">
        <f t="shared" si="739"/>
        <v>0.31017390681763535</v>
      </c>
      <c r="BA276" s="173">
        <f t="shared" si="689"/>
        <v>2.4176895086195778</v>
      </c>
      <c r="BB276" s="173">
        <f t="shared" si="690"/>
        <v>3.6055183042584087</v>
      </c>
      <c r="BC276" s="173">
        <f t="shared" si="691"/>
        <v>0.36350717329818383</v>
      </c>
      <c r="BD276" s="173"/>
      <c r="BE276" s="528">
        <f t="shared" si="692"/>
        <v>7.0142670721070111E-2</v>
      </c>
      <c r="BF276" s="528">
        <f t="shared" si="760"/>
        <v>3.2959655219373762</v>
      </c>
      <c r="BG276" s="528">
        <f t="shared" si="693"/>
        <v>4.0250000000000001E-2</v>
      </c>
      <c r="BH276" s="528">
        <f t="shared" si="694"/>
        <v>0.81182183245778694</v>
      </c>
      <c r="BI276">
        <f t="shared" si="695"/>
        <v>1.7944513103709363E-2</v>
      </c>
      <c r="BJ276" s="460">
        <f t="shared" si="696"/>
        <v>58.194513103709362</v>
      </c>
      <c r="BK276">
        <f t="shared" si="761"/>
        <v>4.2679985775731772</v>
      </c>
      <c r="BL276" s="460">
        <f t="shared" si="697"/>
        <v>4236.1245382199422</v>
      </c>
      <c r="BM276" s="173">
        <f t="shared" si="762"/>
        <v>1.0058999999999998</v>
      </c>
      <c r="BN276" s="173">
        <f t="shared" si="763"/>
        <v>7.1849999999999997E-2</v>
      </c>
      <c r="BQ276" s="460">
        <f t="shared" si="698"/>
        <v>1077.7499999999998</v>
      </c>
      <c r="BR276" s="528">
        <f t="shared" si="699"/>
        <v>8.1833115841248458E-2</v>
      </c>
      <c r="BS276" s="528">
        <f t="shared" si="700"/>
        <v>0.18199667139279405</v>
      </c>
      <c r="BT276" s="528">
        <f t="shared" si="701"/>
        <v>6.606873251961792E-4</v>
      </c>
      <c r="BU276" s="528">
        <f t="shared" si="702"/>
        <v>17.763822421825683</v>
      </c>
      <c r="BV276" s="528"/>
      <c r="BW276" s="625">
        <f t="shared" si="703"/>
        <v>1.9787234042553192</v>
      </c>
      <c r="BX276" s="460">
        <f t="shared" si="704"/>
        <v>20007.03630064024</v>
      </c>
      <c r="BY276" s="173">
        <f t="shared" si="705"/>
        <v>25.320910838860183</v>
      </c>
      <c r="BZ276" s="5">
        <f t="shared" si="706"/>
        <v>46.5</v>
      </c>
      <c r="CA276" s="173">
        <f t="shared" si="707"/>
        <v>0.64744375220092887</v>
      </c>
      <c r="CB276" s="5">
        <f t="shared" si="708"/>
        <v>64.744375220092891</v>
      </c>
      <c r="CC276">
        <f t="shared" si="709"/>
        <v>60</v>
      </c>
      <c r="CE276" s="562">
        <f t="shared" si="764"/>
        <v>-50</v>
      </c>
      <c r="CG276" s="173">
        <f t="shared" si="765"/>
        <v>0.41982139059366663</v>
      </c>
      <c r="CH276" s="173">
        <f t="shared" si="766"/>
        <v>0.13630158112216378</v>
      </c>
      <c r="CI276" s="170">
        <v>60</v>
      </c>
      <c r="CJ276" s="217">
        <f t="shared" si="710"/>
        <v>1.5</v>
      </c>
      <c r="CK276" s="217">
        <f t="shared" si="651"/>
        <v>0.15</v>
      </c>
      <c r="CL276" s="217">
        <f t="shared" si="652"/>
        <v>42</v>
      </c>
      <c r="CM276" s="217">
        <f t="shared" si="653"/>
        <v>4.5</v>
      </c>
      <c r="CN276" s="541">
        <f t="shared" si="654"/>
        <v>40</v>
      </c>
      <c r="CO276" s="443">
        <f t="shared" si="767"/>
        <v>28.7</v>
      </c>
      <c r="CP276" s="443">
        <f t="shared" si="768"/>
        <v>68.7</v>
      </c>
      <c r="CQ276" s="443"/>
      <c r="CR276" s="217">
        <f t="shared" si="657"/>
        <v>0.41520467836257302</v>
      </c>
      <c r="CS276" s="172">
        <f t="shared" si="658"/>
        <v>125.00786015217253</v>
      </c>
      <c r="CT276" s="172">
        <f t="shared" si="659"/>
        <v>14.828738512949037</v>
      </c>
      <c r="CU276" s="217">
        <f t="shared" si="660"/>
        <v>4.4645664340061613</v>
      </c>
      <c r="CV276" s="217">
        <f t="shared" si="661"/>
        <v>4.1669286717390843</v>
      </c>
      <c r="CW276" s="217">
        <f t="shared" si="662"/>
        <v>28</v>
      </c>
      <c r="CX276" s="217">
        <f t="shared" si="663"/>
        <v>5.599647887323945</v>
      </c>
      <c r="CY276" s="217">
        <f t="shared" si="664"/>
        <v>0.65795862676056349</v>
      </c>
      <c r="CZ276" s="217">
        <f t="shared" si="665"/>
        <v>0.91701550768022788</v>
      </c>
      <c r="DA276" s="197">
        <f t="shared" si="666"/>
        <v>350</v>
      </c>
      <c r="DB276" s="443">
        <f t="shared" si="667"/>
        <v>350</v>
      </c>
      <c r="DD276" s="217">
        <f t="shared" si="668"/>
        <v>10.158258230357086</v>
      </c>
      <c r="DE276" s="173">
        <f t="shared" si="669"/>
        <v>1.6635475150758992</v>
      </c>
      <c r="DF276" s="173">
        <f t="shared" si="670"/>
        <v>2.6710919890125213</v>
      </c>
      <c r="DG276" s="173"/>
      <c r="DH276" s="173">
        <f t="shared" si="671"/>
        <v>0.54587688734030204</v>
      </c>
      <c r="DI276" s="545">
        <f t="shared" si="672"/>
        <v>1648.7234042553191</v>
      </c>
      <c r="DJ276" s="528">
        <f t="shared" si="673"/>
        <v>0.31842818428184283</v>
      </c>
      <c r="DL276" s="173">
        <f t="shared" si="674"/>
        <v>7.5189729622665107</v>
      </c>
      <c r="DM276" s="173">
        <f t="shared" si="675"/>
        <v>7.5189729622665107</v>
      </c>
      <c r="DN276" s="173">
        <f t="shared" si="676"/>
        <v>4.3004737992097608</v>
      </c>
      <c r="DP276" s="545">
        <f t="shared" si="677"/>
        <v>1500</v>
      </c>
      <c r="DQ276" s="460">
        <f t="shared" si="678"/>
        <v>350</v>
      </c>
      <c r="DS276">
        <f t="shared" si="679"/>
        <v>1500</v>
      </c>
      <c r="DT276">
        <f t="shared" si="680"/>
        <v>350</v>
      </c>
      <c r="DV276" s="5">
        <f t="shared" si="681"/>
        <v>2.8571428571428572</v>
      </c>
      <c r="DW276" s="5">
        <f t="shared" si="682"/>
        <v>0.88347932306631505</v>
      </c>
      <c r="DX276" s="5">
        <f t="shared" si="683"/>
        <v>1.9736635340765423</v>
      </c>
      <c r="DY276" s="173">
        <f t="shared" si="684"/>
        <v>0.30921776307321025</v>
      </c>
      <c r="EA276" s="5">
        <f t="shared" si="711"/>
        <v>4.7329249449981168</v>
      </c>
      <c r="EB276" s="5">
        <f t="shared" si="712"/>
        <v>0.44173966153315747</v>
      </c>
      <c r="EC276" s="5">
        <f t="shared" si="713"/>
        <v>1.4802476505574065</v>
      </c>
      <c r="ED276" s="5"/>
      <c r="EE276" s="173">
        <f t="shared" si="714"/>
        <v>2.4139602411300283</v>
      </c>
      <c r="EF276" s="173">
        <f t="shared" si="715"/>
        <v>3.6080161802124815</v>
      </c>
      <c r="EG276" s="173">
        <f t="shared" si="716"/>
        <v>0.36375900833289776</v>
      </c>
      <c r="EH276" s="173"/>
      <c r="EI276" s="528">
        <f t="shared" si="717"/>
        <v>6.9926448549078535E-2</v>
      </c>
      <c r="EJ276" s="528">
        <f t="shared" si="718"/>
        <v>3.4350803926762667</v>
      </c>
      <c r="EK276" s="528">
        <f t="shared" si="719"/>
        <v>4.0250000000000001E-2</v>
      </c>
      <c r="EL276" s="528">
        <f t="shared" si="720"/>
        <v>0.81355656375000007</v>
      </c>
      <c r="EM276">
        <f t="shared" si="721"/>
        <v>1.7999999999999999E-2</v>
      </c>
      <c r="EN276" s="460">
        <f t="shared" si="722"/>
        <v>58.249999999999993</v>
      </c>
      <c r="EP276" s="460">
        <f t="shared" si="723"/>
        <v>4376.8134049753453</v>
      </c>
      <c r="EQ276" s="173">
        <f t="shared" si="724"/>
        <v>1.0499999999999998</v>
      </c>
      <c r="ER276" s="173">
        <f t="shared" si="769"/>
        <v>7.1849999999999997E-2</v>
      </c>
      <c r="ES276" s="528"/>
      <c r="EU276" s="460">
        <f t="shared" si="725"/>
        <v>1121.8499999999997</v>
      </c>
      <c r="EV276" s="528">
        <f t="shared" si="726"/>
        <v>8.1580856640591629E-2</v>
      </c>
      <c r="EW276" s="528">
        <f t="shared" si="727"/>
        <v>0.18224893059345093</v>
      </c>
      <c r="EX276" s="528">
        <f t="shared" si="728"/>
        <v>6.6160308071666596E-4</v>
      </c>
      <c r="EY276" s="528">
        <f t="shared" si="729"/>
        <v>17.763822421825683</v>
      </c>
      <c r="EZ276" s="528"/>
      <c r="FA276" s="625">
        <f t="shared" si="730"/>
        <v>1.9787234042553192</v>
      </c>
      <c r="FB276" s="460">
        <f t="shared" si="731"/>
        <v>20007.037216395762</v>
      </c>
      <c r="FC276" s="173">
        <f t="shared" si="732"/>
        <v>25.505700621371108</v>
      </c>
      <c r="FD276" s="5">
        <f t="shared" si="733"/>
        <v>46.5</v>
      </c>
      <c r="FE276" s="173">
        <f t="shared" si="734"/>
        <v>0.64578220333570258</v>
      </c>
      <c r="FF276" s="5">
        <f t="shared" si="735"/>
        <v>64.578220333570258</v>
      </c>
      <c r="FG276">
        <f t="shared" si="736"/>
        <v>60</v>
      </c>
      <c r="FI276" s="562">
        <f t="shared" si="686"/>
        <v>-50</v>
      </c>
    </row>
    <row r="277" spans="5:165">
      <c r="E277" s="170">
        <v>61</v>
      </c>
      <c r="F277" s="217">
        <f t="shared" si="770"/>
        <v>1.5249999999999999</v>
      </c>
      <c r="G277" s="217">
        <f t="shared" si="740"/>
        <v>0.1525</v>
      </c>
      <c r="H277" s="217">
        <f t="shared" si="741"/>
        <v>42.699999999999996</v>
      </c>
      <c r="I277" s="217">
        <f t="shared" si="742"/>
        <v>4.5750000000000002</v>
      </c>
      <c r="J277" s="541">
        <f t="shared" si="743"/>
        <v>39.875672496989694</v>
      </c>
      <c r="K277" s="443">
        <f t="shared" si="744"/>
        <v>28.750436393479649</v>
      </c>
      <c r="L277" s="172">
        <f t="shared" si="745"/>
        <v>68.626108890469339</v>
      </c>
      <c r="M277" s="443"/>
      <c r="N277" s="217">
        <f t="shared" si="746"/>
        <v>0.41894312322685767</v>
      </c>
      <c r="O277" s="172">
        <f t="shared" si="747"/>
        <v>125.74136713615184</v>
      </c>
      <c r="P277" s="172">
        <f t="shared" si="748"/>
        <v>14.915748907732297</v>
      </c>
      <c r="Q277" s="217">
        <f t="shared" si="624"/>
        <v>4.490763112005423</v>
      </c>
      <c r="R277" s="217">
        <f t="shared" si="749"/>
        <v>4.1913789045383947</v>
      </c>
      <c r="S277" s="217">
        <f t="shared" si="750"/>
        <v>28</v>
      </c>
      <c r="T277" s="217">
        <f t="shared" si="751"/>
        <v>5.6597656195043529</v>
      </c>
      <c r="U277" s="217">
        <f t="shared" si="628"/>
        <v>0.66709591954038183</v>
      </c>
      <c r="V277" s="217">
        <f t="shared" si="629"/>
        <v>0.9252345963591464</v>
      </c>
      <c r="W277" s="197">
        <f t="shared" si="630"/>
        <v>350</v>
      </c>
      <c r="X277" s="443">
        <f t="shared" si="688"/>
        <v>350</v>
      </c>
      <c r="Z277" s="217">
        <f t="shared" si="631"/>
        <v>10.155403511647521</v>
      </c>
      <c r="AA277" s="173">
        <f t="shared" si="632"/>
        <v>1.6601625050661208</v>
      </c>
      <c r="AB277" s="173">
        <f t="shared" si="752"/>
        <v>2.6649076985769273</v>
      </c>
      <c r="AC277" s="173"/>
      <c r="AD277" s="173">
        <f t="shared" si="634"/>
        <v>0.54491926495486975</v>
      </c>
      <c r="AE277" s="545">
        <f t="shared" si="753"/>
        <v>1679.1478276617368</v>
      </c>
      <c r="AF277" s="528">
        <f t="shared" si="754"/>
        <v>0.31786957122367404</v>
      </c>
      <c r="AH277" s="173">
        <f t="shared" si="755"/>
        <v>7.5813721480624077</v>
      </c>
      <c r="AI277" s="173">
        <f t="shared" si="756"/>
        <v>7.5813721480624077</v>
      </c>
      <c r="AJ277" s="173">
        <f t="shared" si="757"/>
        <v>4.3466954183178332</v>
      </c>
      <c r="AL277" s="545">
        <f t="shared" si="758"/>
        <v>1525</v>
      </c>
      <c r="AM277" s="460">
        <f t="shared" si="759"/>
        <v>350</v>
      </c>
      <c r="AO277">
        <f t="shared" si="642"/>
        <v>1525</v>
      </c>
      <c r="AP277">
        <f t="shared" si="643"/>
        <v>350</v>
      </c>
      <c r="AR277" s="5">
        <f t="shared" si="771"/>
        <v>2.8571428571428572</v>
      </c>
      <c r="AS277" s="5">
        <f t="shared" si="737"/>
        <v>0.89358866859444919</v>
      </c>
      <c r="AT277" s="5">
        <f t="shared" si="738"/>
        <v>1.963554188548408</v>
      </c>
      <c r="AU277" s="173">
        <f t="shared" si="739"/>
        <v>0.31275603400805718</v>
      </c>
      <c r="BA277" s="173">
        <f t="shared" si="689"/>
        <v>2.4478795081076052</v>
      </c>
      <c r="BB277" s="173">
        <f t="shared" si="690"/>
        <v>3.6286297408607293</v>
      </c>
      <c r="BC277" s="173">
        <f t="shared" si="691"/>
        <v>0.3658372607589096</v>
      </c>
      <c r="BD277" s="173"/>
      <c r="BE277" s="528">
        <f t="shared" si="692"/>
        <v>7.1905369034557576E-2</v>
      </c>
      <c r="BF277" s="528">
        <f t="shared" si="760"/>
        <v>3.3232889507793031</v>
      </c>
      <c r="BG277" s="528">
        <f t="shared" si="693"/>
        <v>4.0250000000000001E-2</v>
      </c>
      <c r="BH277" s="528">
        <f t="shared" si="694"/>
        <v>0.81180744384684977</v>
      </c>
      <c r="BI277">
        <f t="shared" si="695"/>
        <v>1.7944052623645363E-2</v>
      </c>
      <c r="BJ277" s="460">
        <f t="shared" si="696"/>
        <v>58.194052623645369</v>
      </c>
      <c r="BK277">
        <f t="shared" si="761"/>
        <v>4.2998784134638672</v>
      </c>
      <c r="BL277" s="460">
        <f t="shared" si="697"/>
        <v>4265.1958162843548</v>
      </c>
      <c r="BM277" s="173">
        <f t="shared" si="762"/>
        <v>1.0226649999999999</v>
      </c>
      <c r="BN277" s="173">
        <f t="shared" si="763"/>
        <v>7.3047500000000001E-2</v>
      </c>
      <c r="BQ277" s="460">
        <f t="shared" si="698"/>
        <v>1095.7124999999999</v>
      </c>
      <c r="BR277" s="528">
        <f t="shared" si="699"/>
        <v>8.3889597206983843E-2</v>
      </c>
      <c r="BS277" s="528">
        <f t="shared" si="700"/>
        <v>0.18433735314762606</v>
      </c>
      <c r="BT277" s="528">
        <f t="shared" si="701"/>
        <v>6.691845067979122E-4</v>
      </c>
      <c r="BU277" s="528">
        <f t="shared" si="702"/>
        <v>18.134669865565897</v>
      </c>
      <c r="BV277" s="528"/>
      <c r="BW277" s="625">
        <f t="shared" si="703"/>
        <v>2.0117021276595741</v>
      </c>
      <c r="BX277" s="460">
        <f t="shared" si="704"/>
        <v>20415.268128086878</v>
      </c>
      <c r="BY277" s="173">
        <f t="shared" si="705"/>
        <v>25.776176444371234</v>
      </c>
      <c r="BZ277" s="5">
        <f t="shared" si="706"/>
        <v>47.274999999999999</v>
      </c>
      <c r="CA277" s="173">
        <f t="shared" si="707"/>
        <v>0.64714905770203579</v>
      </c>
      <c r="CB277" s="5">
        <f t="shared" si="708"/>
        <v>64.714905770203586</v>
      </c>
      <c r="CC277">
        <f t="shared" si="709"/>
        <v>61</v>
      </c>
      <c r="CE277" s="562">
        <f t="shared" si="764"/>
        <v>-50</v>
      </c>
      <c r="CG277" s="173">
        <f t="shared" si="765"/>
        <v>0.42330544527563069</v>
      </c>
      <c r="CH277" s="173">
        <f t="shared" si="766"/>
        <v>0.13743273397075081</v>
      </c>
      <c r="CI277" s="170">
        <v>61</v>
      </c>
      <c r="CJ277" s="217">
        <f t="shared" si="710"/>
        <v>1.5249999999999999</v>
      </c>
      <c r="CK277" s="217">
        <f t="shared" si="651"/>
        <v>0.1525</v>
      </c>
      <c r="CL277" s="217">
        <f t="shared" si="652"/>
        <v>42.699999999999996</v>
      </c>
      <c r="CM277" s="217">
        <f t="shared" si="653"/>
        <v>4.5750000000000002</v>
      </c>
      <c r="CN277" s="541">
        <f t="shared" si="654"/>
        <v>40</v>
      </c>
      <c r="CO277" s="443">
        <f t="shared" si="767"/>
        <v>28.7</v>
      </c>
      <c r="CP277" s="443">
        <f t="shared" si="768"/>
        <v>68.7</v>
      </c>
      <c r="CQ277" s="443"/>
      <c r="CR277" s="217">
        <f t="shared" si="657"/>
        <v>0.41520467836257302</v>
      </c>
      <c r="CS277" s="172">
        <f t="shared" si="658"/>
        <v>125.00786015217253</v>
      </c>
      <c r="CT277" s="172">
        <f t="shared" si="659"/>
        <v>14.828738512949037</v>
      </c>
      <c r="CU277" s="217">
        <f t="shared" si="660"/>
        <v>4.4645664340061613</v>
      </c>
      <c r="CV277" s="217">
        <f t="shared" si="661"/>
        <v>4.1669286717390843</v>
      </c>
      <c r="CW277" s="217">
        <f t="shared" si="662"/>
        <v>28</v>
      </c>
      <c r="CX277" s="217">
        <f t="shared" si="663"/>
        <v>5.6929753521126774</v>
      </c>
      <c r="CY277" s="217">
        <f t="shared" si="664"/>
        <v>0.6689246038732396</v>
      </c>
      <c r="CZ277" s="217">
        <f t="shared" si="665"/>
        <v>0.93229909947489842</v>
      </c>
      <c r="DA277" s="197">
        <f t="shared" si="666"/>
        <v>350</v>
      </c>
      <c r="DB277" s="443">
        <f t="shared" si="667"/>
        <v>350</v>
      </c>
      <c r="DD277" s="217">
        <f t="shared" si="668"/>
        <v>10.158258230357086</v>
      </c>
      <c r="DE277" s="173">
        <f t="shared" si="669"/>
        <v>1.6635475150758992</v>
      </c>
      <c r="DF277" s="173">
        <f t="shared" si="670"/>
        <v>2.6710919890125213</v>
      </c>
      <c r="DG277" s="173"/>
      <c r="DH277" s="173">
        <f t="shared" si="671"/>
        <v>0.54587688734030204</v>
      </c>
      <c r="DI277" s="545">
        <f t="shared" si="672"/>
        <v>1676.2021276595744</v>
      </c>
      <c r="DJ277" s="528">
        <f t="shared" si="673"/>
        <v>0.31842818428184283</v>
      </c>
      <c r="DL277" s="173">
        <f t="shared" si="674"/>
        <v>7.5813721480624077</v>
      </c>
      <c r="DM277" s="173">
        <f t="shared" si="675"/>
        <v>7.5813721480624077</v>
      </c>
      <c r="DN277" s="173">
        <f t="shared" si="676"/>
        <v>4.3466954183178332</v>
      </c>
      <c r="DP277" s="545">
        <f t="shared" si="677"/>
        <v>1525</v>
      </c>
      <c r="DQ277" s="460">
        <f t="shared" si="678"/>
        <v>350</v>
      </c>
      <c r="DS277">
        <f t="shared" si="679"/>
        <v>1525</v>
      </c>
      <c r="DT277">
        <f t="shared" si="680"/>
        <v>350</v>
      </c>
      <c r="DV277" s="5">
        <f t="shared" si="681"/>
        <v>2.8571428571428572</v>
      </c>
      <c r="DW277" s="5">
        <f t="shared" si="682"/>
        <v>0.89081122739733287</v>
      </c>
      <c r="DX277" s="5">
        <f t="shared" si="683"/>
        <v>1.9663316297455244</v>
      </c>
      <c r="DY277" s="173">
        <f t="shared" si="684"/>
        <v>0.31178392958906648</v>
      </c>
      <c r="EA277" s="5">
        <f t="shared" si="711"/>
        <v>4.8517397206461874</v>
      </c>
      <c r="EB277" s="5">
        <f t="shared" si="712"/>
        <v>0.45282904059364426</v>
      </c>
      <c r="EC277" s="5">
        <f t="shared" si="713"/>
        <v>1.499327867680962</v>
      </c>
      <c r="ED277" s="5"/>
      <c r="EE277" s="173">
        <f t="shared" si="714"/>
        <v>2.444072313099765</v>
      </c>
      <c r="EF277" s="173">
        <f t="shared" si="715"/>
        <v>3.6311951766341752</v>
      </c>
      <c r="EG277" s="173">
        <f t="shared" si="716"/>
        <v>0.36609590715246193</v>
      </c>
      <c r="EH277" s="173"/>
      <c r="EI277" s="528">
        <f t="shared" si="717"/>
        <v>7.1681873659930034E-2</v>
      </c>
      <c r="EJ277" s="528">
        <f t="shared" si="718"/>
        <v>3.4635877727030522</v>
      </c>
      <c r="EK277" s="528">
        <f t="shared" si="719"/>
        <v>4.0250000000000001E-2</v>
      </c>
      <c r="EL277" s="528">
        <f t="shared" si="720"/>
        <v>0.81355656375000007</v>
      </c>
      <c r="EM277">
        <f t="shared" si="721"/>
        <v>1.7999999999999999E-2</v>
      </c>
      <c r="EN277" s="460">
        <f t="shared" si="722"/>
        <v>58.249999999999993</v>
      </c>
      <c r="EP277" s="460">
        <f t="shared" si="723"/>
        <v>4407.0762101129822</v>
      </c>
      <c r="EQ277" s="173">
        <f t="shared" si="724"/>
        <v>1.0674999999999999</v>
      </c>
      <c r="ER277" s="173">
        <f t="shared" si="769"/>
        <v>7.3047500000000001E-2</v>
      </c>
      <c r="ES277" s="528"/>
      <c r="EU277" s="460">
        <f t="shared" si="725"/>
        <v>1140.5474999999999</v>
      </c>
      <c r="EV277" s="528">
        <f t="shared" si="726"/>
        <v>8.3628852603251702E-2</v>
      </c>
      <c r="EW277" s="528">
        <f t="shared" si="727"/>
        <v>0.18459809775135819</v>
      </c>
      <c r="EX277" s="528">
        <f t="shared" si="728"/>
        <v>6.7013106616892009E-4</v>
      </c>
      <c r="EY277" s="528">
        <f t="shared" si="729"/>
        <v>18.134669865565897</v>
      </c>
      <c r="EZ277" s="528"/>
      <c r="FA277" s="625">
        <f t="shared" si="730"/>
        <v>2.0117021276595741</v>
      </c>
      <c r="FB277" s="460">
        <f t="shared" si="731"/>
        <v>20415.26907464625</v>
      </c>
      <c r="FC277" s="173">
        <f t="shared" si="732"/>
        <v>25.962892784759234</v>
      </c>
      <c r="FD277" s="5">
        <f t="shared" si="733"/>
        <v>47.274999999999999</v>
      </c>
      <c r="FE277" s="173">
        <f t="shared" si="734"/>
        <v>0.64549918358434677</v>
      </c>
      <c r="FF277" s="5">
        <f t="shared" si="735"/>
        <v>64.549918358434681</v>
      </c>
      <c r="FG277">
        <f t="shared" si="736"/>
        <v>61</v>
      </c>
      <c r="FI277" s="562">
        <f t="shared" si="686"/>
        <v>-50</v>
      </c>
    </row>
    <row r="278" spans="5:165">
      <c r="E278" s="170">
        <v>62</v>
      </c>
      <c r="F278" s="217">
        <f t="shared" si="770"/>
        <v>1.55</v>
      </c>
      <c r="G278" s="217">
        <f t="shared" si="740"/>
        <v>0.155</v>
      </c>
      <c r="H278" s="217">
        <f t="shared" si="741"/>
        <v>43.4</v>
      </c>
      <c r="I278" s="217">
        <f t="shared" si="742"/>
        <v>4.6500000000000004</v>
      </c>
      <c r="J278" s="541">
        <f t="shared" si="743"/>
        <v>39.874657561757687</v>
      </c>
      <c r="K278" s="443">
        <f t="shared" si="744"/>
        <v>28.750848125972286</v>
      </c>
      <c r="L278" s="172">
        <f t="shared" si="745"/>
        <v>68.625505687729969</v>
      </c>
      <c r="M278" s="443"/>
      <c r="N278" s="217">
        <f t="shared" si="746"/>
        <v>0.41895280534323043</v>
      </c>
      <c r="O278" s="172">
        <f t="shared" si="747"/>
        <v>125.74107261633688</v>
      </c>
      <c r="P278" s="172">
        <f t="shared" si="748"/>
        <v>14.915713971070572</v>
      </c>
      <c r="Q278" s="217">
        <f t="shared" si="624"/>
        <v>4.490752593440603</v>
      </c>
      <c r="R278" s="217">
        <f t="shared" si="749"/>
        <v>4.1913690872112292</v>
      </c>
      <c r="S278" s="217">
        <f t="shared" si="750"/>
        <v>28</v>
      </c>
      <c r="T278" s="217">
        <f t="shared" si="751"/>
        <v>5.752562136481683</v>
      </c>
      <c r="U278" s="217">
        <f t="shared" si="628"/>
        <v>0.67805076443826662</v>
      </c>
      <c r="V278" s="217">
        <f t="shared" si="629"/>
        <v>0.94039111204652781</v>
      </c>
      <c r="W278" s="197">
        <f t="shared" si="630"/>
        <v>350</v>
      </c>
      <c r="X278" s="443">
        <f t="shared" si="688"/>
        <v>350</v>
      </c>
      <c r="Z278" s="217">
        <f t="shared" si="631"/>
        <v>10.155379724984218</v>
      </c>
      <c r="AA278" s="173">
        <f t="shared" si="632"/>
        <v>1.6601348418764845</v>
      </c>
      <c r="AB278" s="173">
        <f t="shared" si="752"/>
        <v>2.6648570515570462</v>
      </c>
      <c r="AC278" s="173"/>
      <c r="AD278" s="173">
        <f t="shared" si="634"/>
        <v>0.54491146132534674</v>
      </c>
      <c r="AE278" s="545">
        <f t="shared" si="753"/>
        <v>1706.6992823715464</v>
      </c>
      <c r="AF278" s="528">
        <f t="shared" si="754"/>
        <v>0.31786501910645226</v>
      </c>
      <c r="AH278" s="173">
        <f t="shared" si="755"/>
        <v>7.643261927183838</v>
      </c>
      <c r="AI278" s="173">
        <f t="shared" si="756"/>
        <v>7.643261927183838</v>
      </c>
      <c r="AJ278" s="173">
        <f t="shared" si="757"/>
        <v>4.3925396991485215</v>
      </c>
      <c r="AL278" s="545">
        <f t="shared" si="758"/>
        <v>1550</v>
      </c>
      <c r="AM278" s="460">
        <f t="shared" si="759"/>
        <v>350</v>
      </c>
      <c r="AO278">
        <f t="shared" si="642"/>
        <v>1550</v>
      </c>
      <c r="AP278">
        <f t="shared" si="643"/>
        <v>350</v>
      </c>
      <c r="AR278" s="5">
        <f t="shared" si="771"/>
        <v>2.8571428571428572</v>
      </c>
      <c r="AS278" s="5">
        <f t="shared" si="737"/>
        <v>0.90090632131764758</v>
      </c>
      <c r="AT278" s="5">
        <f t="shared" si="738"/>
        <v>1.9562365358252096</v>
      </c>
      <c r="AU278" s="173">
        <f t="shared" si="739"/>
        <v>0.31531721246117667</v>
      </c>
      <c r="BA278" s="173">
        <f t="shared" si="689"/>
        <v>2.4779466659585658</v>
      </c>
      <c r="BB278" s="173">
        <f t="shared" si="690"/>
        <v>3.6514286633011865</v>
      </c>
      <c r="BC278" s="173">
        <f t="shared" si="691"/>
        <v>0.36813584064429994</v>
      </c>
      <c r="BD278" s="173"/>
      <c r="BE278" s="528">
        <f t="shared" si="692"/>
        <v>7.3682636152022071E-2</v>
      </c>
      <c r="BF278" s="528">
        <f t="shared" si="760"/>
        <v>3.3503888411475828</v>
      </c>
      <c r="BG278" s="528">
        <f t="shared" si="693"/>
        <v>4.0250000000000001E-2</v>
      </c>
      <c r="BH278" s="528">
        <f t="shared" si="694"/>
        <v>0.81179317282581143</v>
      </c>
      <c r="BI278">
        <f t="shared" si="695"/>
        <v>1.794359590279096E-2</v>
      </c>
      <c r="BJ278" s="460">
        <f t="shared" si="696"/>
        <v>58.19359590279096</v>
      </c>
      <c r="BK278">
        <f t="shared" si="761"/>
        <v>4.3315921206682955</v>
      </c>
      <c r="BL278" s="460">
        <f t="shared" si="697"/>
        <v>4294.0582460282076</v>
      </c>
      <c r="BM278" s="173">
        <f t="shared" si="762"/>
        <v>1.0394299999999999</v>
      </c>
      <c r="BN278" s="173">
        <f t="shared" si="763"/>
        <v>7.4244999999999992E-2</v>
      </c>
      <c r="BQ278" s="460">
        <f t="shared" si="698"/>
        <v>1113.6749999999997</v>
      </c>
      <c r="BR278" s="528">
        <f t="shared" si="699"/>
        <v>8.5963075510692419E-2</v>
      </c>
      <c r="BS278" s="528">
        <f t="shared" si="700"/>
        <v>0.18666103796448488</v>
      </c>
      <c r="BT278" s="528">
        <f t="shared" si="701"/>
        <v>6.7761998583442697E-4</v>
      </c>
      <c r="BU278" s="528">
        <f t="shared" si="702"/>
        <v>18.507040354435535</v>
      </c>
      <c r="BV278" s="528"/>
      <c r="BW278" s="625">
        <f t="shared" si="703"/>
        <v>2.0446808510638301</v>
      </c>
      <c r="BX278" s="460">
        <f t="shared" si="704"/>
        <v>20825.022938960377</v>
      </c>
      <c r="BY278" s="173">
        <f t="shared" si="705"/>
        <v>26.232756184988585</v>
      </c>
      <c r="BZ278" s="5">
        <f t="shared" si="706"/>
        <v>48.05</v>
      </c>
      <c r="CA278" s="173">
        <f t="shared" si="707"/>
        <v>0.64685268113018901</v>
      </c>
      <c r="CB278" s="5">
        <f t="shared" si="708"/>
        <v>64.685268113018907</v>
      </c>
      <c r="CC278">
        <f t="shared" si="709"/>
        <v>62</v>
      </c>
      <c r="CE278" s="562">
        <f t="shared" si="764"/>
        <v>-50</v>
      </c>
      <c r="CG278" s="173">
        <f t="shared" si="765"/>
        <v>0.42676105726741281</v>
      </c>
      <c r="CH278" s="173">
        <f t="shared" si="766"/>
        <v>0.13855465245508189</v>
      </c>
      <c r="CI278" s="170">
        <v>62</v>
      </c>
      <c r="CJ278" s="217">
        <f t="shared" si="710"/>
        <v>1.55</v>
      </c>
      <c r="CK278" s="217">
        <f t="shared" si="651"/>
        <v>0.155</v>
      </c>
      <c r="CL278" s="217">
        <f t="shared" si="652"/>
        <v>43.4</v>
      </c>
      <c r="CM278" s="217">
        <f t="shared" si="653"/>
        <v>4.6500000000000004</v>
      </c>
      <c r="CN278" s="541">
        <f t="shared" si="654"/>
        <v>40</v>
      </c>
      <c r="CO278" s="443">
        <f t="shared" si="767"/>
        <v>28.7</v>
      </c>
      <c r="CP278" s="443">
        <f t="shared" si="768"/>
        <v>68.7</v>
      </c>
      <c r="CQ278" s="443"/>
      <c r="CR278" s="217">
        <f t="shared" si="657"/>
        <v>0.41520467836257302</v>
      </c>
      <c r="CS278" s="172">
        <f t="shared" si="658"/>
        <v>125.00786015217253</v>
      </c>
      <c r="CT278" s="172">
        <f t="shared" si="659"/>
        <v>14.828738512949037</v>
      </c>
      <c r="CU278" s="217">
        <f t="shared" si="660"/>
        <v>4.4645664340061613</v>
      </c>
      <c r="CV278" s="217">
        <f t="shared" si="661"/>
        <v>4.1669286717390843</v>
      </c>
      <c r="CW278" s="217">
        <f t="shared" si="662"/>
        <v>28</v>
      </c>
      <c r="CX278" s="217">
        <f t="shared" si="663"/>
        <v>5.7863028169014097</v>
      </c>
      <c r="CY278" s="217">
        <f t="shared" si="664"/>
        <v>0.67989058098591559</v>
      </c>
      <c r="CZ278" s="217">
        <f t="shared" si="665"/>
        <v>0.94758269126956884</v>
      </c>
      <c r="DA278" s="197">
        <f t="shared" si="666"/>
        <v>350</v>
      </c>
      <c r="DB278" s="443">
        <f t="shared" si="667"/>
        <v>350</v>
      </c>
      <c r="DD278" s="217">
        <f t="shared" si="668"/>
        <v>10.158258230357086</v>
      </c>
      <c r="DE278" s="173">
        <f t="shared" si="669"/>
        <v>1.6635475150758992</v>
      </c>
      <c r="DF278" s="173">
        <f t="shared" si="670"/>
        <v>2.6710919890125213</v>
      </c>
      <c r="DG278" s="173"/>
      <c r="DH278" s="173">
        <f t="shared" si="671"/>
        <v>0.54587688734030204</v>
      </c>
      <c r="DI278" s="545">
        <f t="shared" si="672"/>
        <v>1703.6808510638298</v>
      </c>
      <c r="DJ278" s="528">
        <f t="shared" si="673"/>
        <v>0.31842818428184283</v>
      </c>
      <c r="DL278" s="173">
        <f t="shared" si="674"/>
        <v>7.643261927183838</v>
      </c>
      <c r="DM278" s="173">
        <f t="shared" si="675"/>
        <v>7.643261927183838</v>
      </c>
      <c r="DN278" s="173">
        <f t="shared" si="676"/>
        <v>4.3925396991485215</v>
      </c>
      <c r="DP278" s="545">
        <f t="shared" si="677"/>
        <v>1550</v>
      </c>
      <c r="DQ278" s="460">
        <f t="shared" si="678"/>
        <v>350</v>
      </c>
      <c r="DS278">
        <f t="shared" si="679"/>
        <v>1550</v>
      </c>
      <c r="DT278">
        <f t="shared" si="680"/>
        <v>350</v>
      </c>
      <c r="DV278" s="5">
        <f t="shared" si="681"/>
        <v>2.8571428571428572</v>
      </c>
      <c r="DW278" s="5">
        <f t="shared" si="682"/>
        <v>0.89808327644410091</v>
      </c>
      <c r="DX278" s="5">
        <f t="shared" si="683"/>
        <v>1.9590595806987563</v>
      </c>
      <c r="DY278" s="173">
        <f t="shared" si="684"/>
        <v>0.31432914675543533</v>
      </c>
      <c r="EA278" s="5">
        <f t="shared" si="711"/>
        <v>4.9715324231727012</v>
      </c>
      <c r="EB278" s="5">
        <f t="shared" si="712"/>
        <v>0.46400969282945209</v>
      </c>
      <c r="EC278" s="5">
        <f t="shared" si="713"/>
        <v>1.5182711750415359</v>
      </c>
      <c r="ED278" s="5"/>
      <c r="EE278" s="173">
        <f t="shared" si="714"/>
        <v>2.4740612212890754</v>
      </c>
      <c r="EF278" s="173">
        <f t="shared" si="715"/>
        <v>3.654062401742241</v>
      </c>
      <c r="EG278" s="173">
        <f t="shared" si="716"/>
        <v>0.36840137329040629</v>
      </c>
      <c r="EH278" s="173"/>
      <c r="EI278" s="528">
        <f t="shared" si="717"/>
        <v>7.3451747120236693E-2</v>
      </c>
      <c r="EJ278" s="528">
        <f t="shared" si="718"/>
        <v>3.4918624277435724</v>
      </c>
      <c r="EK278" s="528">
        <f t="shared" si="719"/>
        <v>4.0250000000000001E-2</v>
      </c>
      <c r="EL278" s="528">
        <f t="shared" si="720"/>
        <v>0.81355656375000007</v>
      </c>
      <c r="EM278">
        <f t="shared" si="721"/>
        <v>1.7999999999999999E-2</v>
      </c>
      <c r="EN278" s="460">
        <f t="shared" si="722"/>
        <v>58.249999999999993</v>
      </c>
      <c r="EP278" s="460">
        <f t="shared" si="723"/>
        <v>4437.1207386138085</v>
      </c>
      <c r="EQ278" s="173">
        <f t="shared" si="724"/>
        <v>1.085</v>
      </c>
      <c r="ER278" s="173">
        <f t="shared" si="769"/>
        <v>7.4244999999999992E-2</v>
      </c>
      <c r="ES278" s="528"/>
      <c r="EU278" s="460">
        <f t="shared" si="725"/>
        <v>1159.2449999999999</v>
      </c>
      <c r="EV278" s="528">
        <f t="shared" si="726"/>
        <v>8.5693704973609466E-2</v>
      </c>
      <c r="EW278" s="528">
        <f t="shared" si="727"/>
        <v>0.18693040850156786</v>
      </c>
      <c r="EX278" s="528">
        <f t="shared" si="728"/>
        <v>6.785978592112864E-4</v>
      </c>
      <c r="EY278" s="528">
        <f t="shared" si="729"/>
        <v>18.507040354435535</v>
      </c>
      <c r="EZ278" s="528"/>
      <c r="FA278" s="625">
        <f t="shared" si="730"/>
        <v>2.0446808510638301</v>
      </c>
      <c r="FB278" s="460">
        <f t="shared" si="731"/>
        <v>20825.023916833754</v>
      </c>
      <c r="FC278" s="173">
        <f t="shared" si="732"/>
        <v>26.421389655447562</v>
      </c>
      <c r="FD278" s="5">
        <f t="shared" si="733"/>
        <v>48.05</v>
      </c>
      <c r="FE278" s="173">
        <f t="shared" si="734"/>
        <v>0.64521422552083607</v>
      </c>
      <c r="FF278" s="5">
        <f t="shared" si="735"/>
        <v>64.521422552083607</v>
      </c>
      <c r="FG278">
        <f t="shared" si="736"/>
        <v>62</v>
      </c>
      <c r="FI278" s="562">
        <f t="shared" si="686"/>
        <v>-50</v>
      </c>
    </row>
    <row r="279" spans="5:165">
      <c r="E279" s="170">
        <v>63</v>
      </c>
      <c r="F279" s="217">
        <f t="shared" si="770"/>
        <v>1.575</v>
      </c>
      <c r="G279" s="217">
        <f t="shared" si="740"/>
        <v>0.1575</v>
      </c>
      <c r="H279" s="217">
        <f t="shared" si="741"/>
        <v>44.1</v>
      </c>
      <c r="I279" s="217">
        <f t="shared" si="742"/>
        <v>4.7249999999999996</v>
      </c>
      <c r="J279" s="541">
        <f t="shared" si="743"/>
        <v>39.873650779011982</v>
      </c>
      <c r="K279" s="443">
        <f t="shared" si="744"/>
        <v>28.751256551215949</v>
      </c>
      <c r="L279" s="172">
        <f t="shared" si="745"/>
        <v>68.624907330227927</v>
      </c>
      <c r="M279" s="443"/>
      <c r="N279" s="217">
        <f t="shared" si="746"/>
        <v>0.4189624098559851</v>
      </c>
      <c r="O279" s="172">
        <f t="shared" si="747"/>
        <v>125.7407803665762</v>
      </c>
      <c r="P279" s="172">
        <f t="shared" si="748"/>
        <v>14.915679303688247</v>
      </c>
      <c r="Q279" s="217">
        <f t="shared" si="624"/>
        <v>4.4907421559491505</v>
      </c>
      <c r="R279" s="217">
        <f t="shared" si="749"/>
        <v>4.1913593455525398</v>
      </c>
      <c r="S279" s="217">
        <f t="shared" si="750"/>
        <v>28</v>
      </c>
      <c r="T279" s="217">
        <f t="shared" si="751"/>
        <v>5.845358982640561</v>
      </c>
      <c r="U279" s="217">
        <f t="shared" si="628"/>
        <v>0.68900606494932504</v>
      </c>
      <c r="V279" s="217">
        <f t="shared" si="629"/>
        <v>0.95554735736406404</v>
      </c>
      <c r="W279" s="197">
        <f t="shared" si="630"/>
        <v>350</v>
      </c>
      <c r="X279" s="443">
        <f t="shared" si="688"/>
        <v>350</v>
      </c>
      <c r="Z279" s="217">
        <f t="shared" si="631"/>
        <v>10.155356121660084</v>
      </c>
      <c r="AA279" s="173">
        <f t="shared" si="632"/>
        <v>1.6601074004114713</v>
      </c>
      <c r="AB279" s="173">
        <f t="shared" si="752"/>
        <v>2.6648068087668078</v>
      </c>
      <c r="AC279" s="173"/>
      <c r="AD279" s="173">
        <f t="shared" si="634"/>
        <v>0.54490372059944248</v>
      </c>
      <c r="AE279" s="545">
        <f t="shared" si="753"/>
        <v>1734.2513260148344</v>
      </c>
      <c r="AF279" s="528">
        <f t="shared" si="754"/>
        <v>0.31786050368300811</v>
      </c>
      <c r="AH279" s="173">
        <f t="shared" si="755"/>
        <v>7.7046545754926337</v>
      </c>
      <c r="AI279" s="173">
        <f t="shared" si="756"/>
        <v>7.7046545754926337</v>
      </c>
      <c r="AJ279" s="173">
        <f t="shared" si="757"/>
        <v>4.4380157349328151</v>
      </c>
      <c r="AL279" s="545">
        <f t="shared" si="758"/>
        <v>1575</v>
      </c>
      <c r="AM279" s="460">
        <f t="shared" si="759"/>
        <v>350</v>
      </c>
      <c r="AO279">
        <f t="shared" si="642"/>
        <v>1575</v>
      </c>
      <c r="AP279">
        <f t="shared" si="643"/>
        <v>350</v>
      </c>
      <c r="AR279" s="5">
        <f t="shared" si="771"/>
        <v>2.8571428571428572</v>
      </c>
      <c r="AS279" s="5">
        <f t="shared" si="737"/>
        <v>0.90816556290541561</v>
      </c>
      <c r="AT279" s="5">
        <f t="shared" si="738"/>
        <v>1.9489772942374417</v>
      </c>
      <c r="AU279" s="173">
        <f t="shared" si="739"/>
        <v>0.31785794701689546</v>
      </c>
      <c r="BA279" s="173">
        <f t="shared" si="689"/>
        <v>2.5078934566501787</v>
      </c>
      <c r="BB279" s="173">
        <f t="shared" si="690"/>
        <v>3.6739222164662673</v>
      </c>
      <c r="BC279" s="173">
        <f t="shared" si="691"/>
        <v>0.3704036332994679</v>
      </c>
      <c r="BD279" s="173"/>
      <c r="BE279" s="528">
        <f t="shared" si="692"/>
        <v>7.5474355078905389E-2</v>
      </c>
      <c r="BF279" s="528">
        <f t="shared" si="760"/>
        <v>3.3772705799512486</v>
      </c>
      <c r="BG279" s="528">
        <f t="shared" si="693"/>
        <v>4.0250000000000001E-2</v>
      </c>
      <c r="BH279" s="528">
        <f t="shared" si="694"/>
        <v>0.81177901656094864</v>
      </c>
      <c r="BI279">
        <f t="shared" si="695"/>
        <v>1.7943142850555392E-2</v>
      </c>
      <c r="BJ279" s="460">
        <f t="shared" si="696"/>
        <v>58.193142850555397</v>
      </c>
      <c r="BK279">
        <f t="shared" si="761"/>
        <v>4.3631450278272261</v>
      </c>
      <c r="BL279" s="460">
        <f t="shared" si="697"/>
        <v>4322.7170944416575</v>
      </c>
      <c r="BM279" s="173">
        <f t="shared" si="762"/>
        <v>1.0561949999999998</v>
      </c>
      <c r="BN279" s="173">
        <f t="shared" si="763"/>
        <v>7.5442499999999996E-2</v>
      </c>
      <c r="BQ279" s="460">
        <f t="shared" si="698"/>
        <v>1131.6374999999998</v>
      </c>
      <c r="BR279" s="528">
        <f t="shared" si="699"/>
        <v>8.8053414258722956E-2</v>
      </c>
      <c r="BS279" s="528">
        <f t="shared" si="700"/>
        <v>0.18896786233702173</v>
      </c>
      <c r="BT279" s="528">
        <f t="shared" si="701"/>
        <v>6.8599425780723345E-4</v>
      </c>
      <c r="BU279" s="528">
        <f t="shared" si="702"/>
        <v>18.88091542568926</v>
      </c>
      <c r="BV279" s="528"/>
      <c r="BW279" s="625">
        <f t="shared" si="703"/>
        <v>2.0776595744680852</v>
      </c>
      <c r="BX279" s="460">
        <f t="shared" si="704"/>
        <v>21236.282271010896</v>
      </c>
      <c r="BY279" s="173">
        <f t="shared" si="705"/>
        <v>26.690636865452554</v>
      </c>
      <c r="BZ279" s="5">
        <f t="shared" si="706"/>
        <v>48.825000000000003</v>
      </c>
      <c r="CA279" s="173">
        <f t="shared" si="707"/>
        <v>0.64655483323264951</v>
      </c>
      <c r="CB279" s="5">
        <f t="shared" si="708"/>
        <v>64.655483323264946</v>
      </c>
      <c r="CC279">
        <f t="shared" si="709"/>
        <v>63</v>
      </c>
      <c r="CE279" s="562">
        <f t="shared" si="764"/>
        <v>-50</v>
      </c>
      <c r="CG279" s="173">
        <f t="shared" si="765"/>
        <v>0.43018891199099957</v>
      </c>
      <c r="CH279" s="173">
        <f t="shared" si="766"/>
        <v>0.13966755910812606</v>
      </c>
      <c r="CI279" s="170">
        <v>63</v>
      </c>
      <c r="CJ279" s="217">
        <f t="shared" si="710"/>
        <v>1.575</v>
      </c>
      <c r="CK279" s="217">
        <f t="shared" si="651"/>
        <v>0.1575</v>
      </c>
      <c r="CL279" s="217">
        <f t="shared" si="652"/>
        <v>44.1</v>
      </c>
      <c r="CM279" s="217">
        <f t="shared" si="653"/>
        <v>4.7249999999999996</v>
      </c>
      <c r="CN279" s="541">
        <f t="shared" si="654"/>
        <v>40</v>
      </c>
      <c r="CO279" s="443">
        <f t="shared" si="767"/>
        <v>28.7</v>
      </c>
      <c r="CP279" s="443">
        <f t="shared" si="768"/>
        <v>68.7</v>
      </c>
      <c r="CQ279" s="443"/>
      <c r="CR279" s="217">
        <f t="shared" si="657"/>
        <v>0.41520467836257302</v>
      </c>
      <c r="CS279" s="172">
        <f t="shared" si="658"/>
        <v>125.00786015217253</v>
      </c>
      <c r="CT279" s="172">
        <f t="shared" si="659"/>
        <v>14.828738512949037</v>
      </c>
      <c r="CU279" s="217">
        <f t="shared" si="660"/>
        <v>4.4645664340061613</v>
      </c>
      <c r="CV279" s="217">
        <f t="shared" si="661"/>
        <v>4.1669286717390843</v>
      </c>
      <c r="CW279" s="217">
        <f t="shared" si="662"/>
        <v>28</v>
      </c>
      <c r="CX279" s="217">
        <f t="shared" si="663"/>
        <v>5.8796302816901429</v>
      </c>
      <c r="CY279" s="217">
        <f t="shared" si="664"/>
        <v>0.69085655809859181</v>
      </c>
      <c r="CZ279" s="217">
        <f t="shared" si="665"/>
        <v>0.96286628306423949</v>
      </c>
      <c r="DA279" s="197">
        <f t="shared" si="666"/>
        <v>350</v>
      </c>
      <c r="DB279" s="443">
        <f t="shared" si="667"/>
        <v>350</v>
      </c>
      <c r="DD279" s="217">
        <f t="shared" si="668"/>
        <v>10.158258230357086</v>
      </c>
      <c r="DE279" s="173">
        <f t="shared" si="669"/>
        <v>1.6635475150758992</v>
      </c>
      <c r="DF279" s="173">
        <f t="shared" si="670"/>
        <v>2.6710919890125213</v>
      </c>
      <c r="DG279" s="173"/>
      <c r="DH279" s="173">
        <f t="shared" si="671"/>
        <v>0.54587688734030204</v>
      </c>
      <c r="DI279" s="545">
        <f t="shared" si="672"/>
        <v>1731.1595744680851</v>
      </c>
      <c r="DJ279" s="528">
        <f t="shared" si="673"/>
        <v>0.31842818428184283</v>
      </c>
      <c r="DL279" s="173">
        <f t="shared" si="674"/>
        <v>7.7046545754926337</v>
      </c>
      <c r="DM279" s="173">
        <f t="shared" si="675"/>
        <v>7.7046545754926337</v>
      </c>
      <c r="DN279" s="173">
        <f t="shared" si="676"/>
        <v>4.4380157349328151</v>
      </c>
      <c r="DP279" s="545">
        <f t="shared" si="677"/>
        <v>1575</v>
      </c>
      <c r="DQ279" s="460">
        <f t="shared" si="678"/>
        <v>350</v>
      </c>
      <c r="DS279">
        <f t="shared" si="679"/>
        <v>1575</v>
      </c>
      <c r="DT279">
        <f t="shared" si="680"/>
        <v>350</v>
      </c>
      <c r="DV279" s="5">
        <f t="shared" si="681"/>
        <v>2.8571428571428572</v>
      </c>
      <c r="DW279" s="5">
        <f t="shared" si="682"/>
        <v>0.90529691262038448</v>
      </c>
      <c r="DX279" s="5">
        <f t="shared" si="683"/>
        <v>1.9518459445224727</v>
      </c>
      <c r="DY279" s="173">
        <f t="shared" si="684"/>
        <v>0.31685391941713453</v>
      </c>
      <c r="EA279" s="5">
        <f t="shared" si="711"/>
        <v>5.0922951334896629</v>
      </c>
      <c r="EB279" s="5">
        <f t="shared" si="712"/>
        <v>0.47528087912570183</v>
      </c>
      <c r="EC279" s="5">
        <f t="shared" si="713"/>
        <v>1.537078681311447</v>
      </c>
      <c r="ED279" s="5"/>
      <c r="EE279" s="173">
        <f t="shared" si="714"/>
        <v>2.5039294440553093</v>
      </c>
      <c r="EF279" s="173">
        <f t="shared" si="715"/>
        <v>3.6766249987925153</v>
      </c>
      <c r="EG279" s="173">
        <f t="shared" si="716"/>
        <v>0.37067612692744212</v>
      </c>
      <c r="EH279" s="173"/>
      <c r="EI279" s="528">
        <f t="shared" si="717"/>
        <v>7.523595192968556E-2</v>
      </c>
      <c r="EJ279" s="528">
        <f t="shared" si="718"/>
        <v>3.5199099660866873</v>
      </c>
      <c r="EK279" s="528">
        <f t="shared" si="719"/>
        <v>4.0250000000000001E-2</v>
      </c>
      <c r="EL279" s="528">
        <f t="shared" si="720"/>
        <v>0.81355656375000007</v>
      </c>
      <c r="EM279">
        <f t="shared" si="721"/>
        <v>1.7999999999999999E-2</v>
      </c>
      <c r="EN279" s="460">
        <f t="shared" si="722"/>
        <v>58.249999999999993</v>
      </c>
      <c r="EP279" s="460">
        <f t="shared" si="723"/>
        <v>4466.9524817663723</v>
      </c>
      <c r="EQ279" s="173">
        <f t="shared" si="724"/>
        <v>1.1024999999999998</v>
      </c>
      <c r="ER279" s="173">
        <f t="shared" si="769"/>
        <v>7.5442499999999996E-2</v>
      </c>
      <c r="ES279" s="528"/>
      <c r="EU279" s="460">
        <f t="shared" si="725"/>
        <v>1177.9424999999999</v>
      </c>
      <c r="EV279" s="528">
        <f t="shared" si="726"/>
        <v>8.7775277251299827E-2</v>
      </c>
      <c r="EW279" s="528">
        <f t="shared" si="727"/>
        <v>0.18924599934444489</v>
      </c>
      <c r="EX279" s="528">
        <f t="shared" si="728"/>
        <v>6.8700395536964597E-4</v>
      </c>
      <c r="EY279" s="528">
        <f t="shared" si="729"/>
        <v>18.88091542568926</v>
      </c>
      <c r="EZ279" s="528"/>
      <c r="FA279" s="625">
        <f t="shared" si="730"/>
        <v>2.0776595744680852</v>
      </c>
      <c r="FB279" s="460">
        <f t="shared" si="731"/>
        <v>21236.28328070846</v>
      </c>
      <c r="FC279" s="173">
        <f t="shared" si="732"/>
        <v>26.881178262474833</v>
      </c>
      <c r="FD279" s="5">
        <f t="shared" si="733"/>
        <v>48.825000000000003</v>
      </c>
      <c r="FE279" s="173">
        <f t="shared" si="734"/>
        <v>0.64492754911921124</v>
      </c>
      <c r="FF279" s="5">
        <f t="shared" si="735"/>
        <v>64.492754911921125</v>
      </c>
      <c r="FG279">
        <f t="shared" si="736"/>
        <v>63</v>
      </c>
      <c r="FI279" s="562">
        <f t="shared" si="686"/>
        <v>-50</v>
      </c>
    </row>
    <row r="280" spans="5:165">
      <c r="E280" s="170">
        <v>64</v>
      </c>
      <c r="F280" s="217">
        <f t="shared" si="770"/>
        <v>1.6</v>
      </c>
      <c r="G280" s="217">
        <f t="shared" ref="G280:G316" si="772">IF(PLOT_TYPE=1, E280/100*Iout2, min_I*EXP(Q280*rr/100))</f>
        <v>0.16</v>
      </c>
      <c r="H280" s="217">
        <f t="shared" ref="H280:H316" si="773">F280*Vout</f>
        <v>44.800000000000004</v>
      </c>
      <c r="I280" s="217">
        <f t="shared" ref="I280:I316" si="774">Vout2*G280</f>
        <v>4.8</v>
      </c>
      <c r="J280" s="541">
        <f t="shared" ref="J280:J316" si="775">VIN_max-(F280/CG280/Nps+G280/CH280/(Nps/Nsec1sec2))*(Rdcr_pri+RON/1000)</f>
        <v>39.8726519553977</v>
      </c>
      <c r="K280" s="443">
        <f t="shared" ref="K280:K316" si="776">MAX((S280+Vfwd2+Rdcr_sec*F280/CG280)*Nps,(Vout2+Vfwd22+Rdcr_sec2*G280/CH280)*Nps/Nsec1sec2)</f>
        <v>28.751661747649617</v>
      </c>
      <c r="L280" s="172">
        <f t="shared" ref="L280:L316" si="777">MAX((Vout+Vfwd2+F280/CG280*Rdcr_sec)*Nps+J280, (Vout2+Vfwd22+G280/CH280*Rdcr_sec2)*Nps/Nsec1sec2+J280)</f>
        <v>68.624313703047321</v>
      </c>
      <c r="M280" s="443"/>
      <c r="N280" s="217">
        <f t="shared" ref="N280:N316" si="778">MAX((Vout+Vfwd2+F280/CG280*Rdcr_sec)*Nps/((Vout+Vfwd2+F280/CG280*Rdcr_sec)*Nps+J280), (Vout2+Vfwd22+G280/CH280*Rdcr_sec2)*Nps/Nsec1sec2/((Vout2+Vfwd22+G280/CH280*Rdcr_sec2)*Nps/Nsec1sec2+J280))</f>
        <v>0.41897193860567344</v>
      </c>
      <c r="O280" s="172">
        <f t="shared" ref="O280:O311" si="779">N280*J280*Isw_max*0.5*Efficiency*Pout/(Pout+Pout2)</f>
        <v>125.74049033302785</v>
      </c>
      <c r="P280" s="172">
        <f t="shared" ref="P280:P316" si="780">N280*J280*Isw_max*0.5*Efficiency*(Pout2/Pout_total)</f>
        <v>14.915644899198455</v>
      </c>
      <c r="Q280" s="217">
        <f t="shared" ref="Q280:Q316" si="781">O280/Vout</f>
        <v>4.4907317976081371</v>
      </c>
      <c r="R280" s="217">
        <f t="shared" ref="R280:R316" si="782">O280/Vout2</f>
        <v>4.1913496777675947</v>
      </c>
      <c r="S280" s="217">
        <f t="shared" ref="S280:S316" si="783">MIN(Vout,O280/F280)</f>
        <v>28</v>
      </c>
      <c r="T280" s="217">
        <f t="shared" ref="T280:T316" si="784">MIN(2*(Vout*F280+Vout2*G280)/(Efficiency*J280*N280), Isw_max)</f>
        <v>5.9381561555000735</v>
      </c>
      <c r="U280" s="217">
        <f t="shared" ref="U280:U316" si="785">L*T280/J280*1000000</f>
        <v>0.69996181749009956</v>
      </c>
      <c r="V280" s="217">
        <f t="shared" ref="V280:V316" si="786">L*T280/K280*1000000</f>
        <v>0.97070333449967883</v>
      </c>
      <c r="W280" s="197">
        <f t="shared" ref="W280:W316" si="787">IF(1/((350000*L)*(1/J280+1/K280))&gt;Isw_min, 350, 0.001/((Isw_min*L)*(1/J280+1/K280)))</f>
        <v>350</v>
      </c>
      <c r="X280" s="443">
        <f t="shared" si="688"/>
        <v>350</v>
      </c>
      <c r="Z280" s="217">
        <f t="shared" ref="Z280:Z316" si="788">1/((W280*1000*L)*(1/J280+1/K280))</f>
        <v>10.155332697326608</v>
      </c>
      <c r="AA280" s="173">
        <f t="shared" ref="AA280:AA316" si="789">L*Z280/K280*1000000</f>
        <v>1.6600801754123615</v>
      </c>
      <c r="AB280" s="173">
        <f t="shared" ref="AB280:AB311" si="790">0.5*AA280*Z280*Nps*W280/1000*(Pout/(Pout+Pout2))</f>
        <v>2.6647569606190107</v>
      </c>
      <c r="AC280" s="173"/>
      <c r="AD280" s="173">
        <f t="shared" ref="AD280:AD316" si="791">L*Isw_min/K280*1000000</f>
        <v>0.54489604128524438</v>
      </c>
      <c r="AE280" s="545">
        <f t="shared" ref="AE280:AE311" si="792">MAX(10, F280/(0.5*AD280/1000000*Isw_min*Nps)/1000*Pout_total/Pout)</f>
        <v>1761.8039538985297</v>
      </c>
      <c r="AF280" s="528">
        <f t="shared" ref="AF280:AF316" si="793">0.5*AD280/1000000*Isw_min*Nps*W280*1000*(Pout/Pout_total)</f>
        <v>0.31785602408305919</v>
      </c>
      <c r="AH280" s="173">
        <f t="shared" ref="AH280:AH315" si="794">SQRT((H280+I280)/(0.5*L*Fsw_DCM))</f>
        <v>7.765561883584545</v>
      </c>
      <c r="AI280" s="173">
        <f t="shared" ref="AI280:AI311" si="795">MAX(IF(F280&gt;AB280,T280,AH280),Isw_min)</f>
        <v>7.765561883584545</v>
      </c>
      <c r="AJ280" s="173">
        <f t="shared" ref="AJ280:AJ311" si="796">IF(F280&gt;AF280, (AI280-Isw_min)/1.08*0.8+1.2, AE280*0.2/350+1)</f>
        <v>4.483132259445342</v>
      </c>
      <c r="AL280" s="545">
        <f t="shared" ref="AL280:AL316" si="797">F280*1000</f>
        <v>1600</v>
      </c>
      <c r="AM280" s="460">
        <f t="shared" ref="AM280:AM316" si="798">IF(F280&gt;AF280, X280, AE280)</f>
        <v>350</v>
      </c>
      <c r="AO280">
        <f t="shared" ref="AO280:AO316" si="799">IF(H280&gt;O280, "",AL280)</f>
        <v>1600</v>
      </c>
      <c r="AP280">
        <f t="shared" ref="AP280:AP316" si="800">IF(H280&gt;O280, "",AM280)</f>
        <v>350</v>
      </c>
      <c r="AR280" s="5">
        <f t="shared" si="771"/>
        <v>2.8571428571428572</v>
      </c>
      <c r="AS280" s="5">
        <f t="shared" si="737"/>
        <v>0.91536777873904318</v>
      </c>
      <c r="AT280" s="5">
        <f t="shared" si="738"/>
        <v>1.9417750784038139</v>
      </c>
      <c r="AU280" s="173">
        <f t="shared" si="739"/>
        <v>0.32037872255866512</v>
      </c>
      <c r="BA280" s="173">
        <f t="shared" si="689"/>
        <v>2.5377222664198689</v>
      </c>
      <c r="BB280" s="173">
        <f t="shared" si="690"/>
        <v>3.6961172629004233</v>
      </c>
      <c r="BC280" s="173">
        <f t="shared" si="691"/>
        <v>0.37264133060389515</v>
      </c>
      <c r="BD280" s="173"/>
      <c r="BE280" s="528">
        <f t="shared" si="692"/>
        <v>7.7280411617798347E-2</v>
      </c>
      <c r="BF280" s="528">
        <f t="shared" ref="BF280:BF316" si="801">0.5*L280*AI280*AM280*1000*Tfall</f>
        <v>3.4039393411542664</v>
      </c>
      <c r="BG280" s="528">
        <f t="shared" si="693"/>
        <v>4.0250000000000001E-2</v>
      </c>
      <c r="BH280" s="528">
        <f t="shared" si="694"/>
        <v>0.81176497233055622</v>
      </c>
      <c r="BI280">
        <f t="shared" si="695"/>
        <v>1.7942693379928966E-2</v>
      </c>
      <c r="BJ280" s="460">
        <f t="shared" si="696"/>
        <v>58.192693379928969</v>
      </c>
      <c r="BK280">
        <f t="shared" ref="BK280:BK316" si="802">(BF280+BG280*0+BH280+BI280*0+BE280*(1+RdsonTC*(Ta-25)))/(1-BE280*RdsonTC*ThetaJA)</f>
        <v>4.3945422556093741</v>
      </c>
      <c r="BL280" s="460">
        <f t="shared" si="697"/>
        <v>4351.1774184825499</v>
      </c>
      <c r="BM280" s="173">
        <f t="shared" ref="BM280:BM316" si="803">Vfwd2*F280*(1+Diode_TC/1000*(Ta-25))</f>
        <v>1.0729599999999999</v>
      </c>
      <c r="BN280" s="173">
        <f t="shared" ref="BN280:BN316" si="804">Vfwd22*G280*(1+Diode_TC/1000*(Ta-25))</f>
        <v>7.664E-2</v>
      </c>
      <c r="BQ280" s="460">
        <f t="shared" si="698"/>
        <v>1149.5999999999999</v>
      </c>
      <c r="BR280" s="528">
        <f t="shared" si="699"/>
        <v>9.0160480220764741E-2</v>
      </c>
      <c r="BS280" s="528">
        <f t="shared" si="700"/>
        <v>0.19125795949554725</v>
      </c>
      <c r="BT280" s="528">
        <f t="shared" si="701"/>
        <v>6.9430780637120746E-4</v>
      </c>
      <c r="BU280" s="528">
        <f t="shared" si="702"/>
        <v>19.256277130523408</v>
      </c>
      <c r="BV280" s="528"/>
      <c r="BW280" s="625">
        <f t="shared" si="703"/>
        <v>2.1106382978723404</v>
      </c>
      <c r="BX280" s="460">
        <f t="shared" si="704"/>
        <v>21649.028175918433</v>
      </c>
      <c r="BY280" s="173">
        <f t="shared" si="705"/>
        <v>27.149805594400981</v>
      </c>
      <c r="BZ280" s="5">
        <f t="shared" si="706"/>
        <v>49.6</v>
      </c>
      <c r="CA280" s="173">
        <f t="shared" si="707"/>
        <v>0.64625570860883585</v>
      </c>
      <c r="CB280" s="5">
        <f t="shared" si="708"/>
        <v>64.625570860883585</v>
      </c>
      <c r="CC280">
        <f t="shared" si="709"/>
        <v>64</v>
      </c>
      <c r="CE280" s="562">
        <f t="shared" ref="CE280:CE316" si="805">IF(ABS(F280-Ioutmax_Vinmax)&lt;Iout/200, AM280, -50)</f>
        <v>-50</v>
      </c>
      <c r="CG280" s="173">
        <f t="shared" ref="CG280:CG316" si="806">MIN(SQRT(2*DT280*1000*Ls1_*CL280)/CW280, 1-DY280)</f>
        <v>0.43358966777357599</v>
      </c>
      <c r="CH280" s="173">
        <f t="shared" ref="CH280:CH316" si="807">MIN(SQRT(2*DT280*1000*Ls2_*CM280)/Vout2, 1-DY280)</f>
        <v>0.14077166766610122</v>
      </c>
      <c r="CI280" s="170">
        <v>64</v>
      </c>
      <c r="CJ280" s="217">
        <f t="shared" si="710"/>
        <v>1.6</v>
      </c>
      <c r="CK280" s="217">
        <f t="shared" ref="CK280:CK316" si="808">IF(PLOT_TYPE=1, CI280/100*Iout2, min_I*EXP(CU280*rr/100))</f>
        <v>0.16</v>
      </c>
      <c r="CL280" s="217">
        <f t="shared" ref="CL280:CL316" si="809">CJ280*Vout</f>
        <v>44.800000000000004</v>
      </c>
      <c r="CM280" s="217">
        <f t="shared" ref="CM280:CM316" si="810">Vout2*CK280</f>
        <v>4.8</v>
      </c>
      <c r="CN280" s="541">
        <f t="shared" ref="CN280:CN316" si="811">VIN_max</f>
        <v>40</v>
      </c>
      <c r="CO280" s="443">
        <f t="shared" ref="CO280:CO316" si="812">(CW280+Vfwd2)*Nps</f>
        <v>28.7</v>
      </c>
      <c r="CP280" s="443">
        <f t="shared" ref="CP280:CP316" si="813">(Vout+Vfwd2)*Nps+CN280</f>
        <v>68.7</v>
      </c>
      <c r="CQ280" s="443"/>
      <c r="CR280" s="217">
        <f t="shared" ref="CR280:CR316" si="814">(Vout+Vfwd1)*Nps/((Vout+Vfwd1)*Nps+CN280)</f>
        <v>0.41520467836257302</v>
      </c>
      <c r="CS280" s="172">
        <f t="shared" ref="CS280:CS316" si="815">CR280*CN280*Isw_max*0.5*Efficiency*Pout/(Pout+Pout2)</f>
        <v>125.00786015217253</v>
      </c>
      <c r="CT280" s="172">
        <f t="shared" ref="CT280:CT316" si="816">CR280*CN280*Isw_max*0.5*Efficiency*(Pout2/Pout_total)</f>
        <v>14.828738512949037</v>
      </c>
      <c r="CU280" s="217">
        <f t="shared" ref="CU280:CU316" si="817">CS280/Vout</f>
        <v>4.4645664340061613</v>
      </c>
      <c r="CV280" s="217">
        <f t="shared" ref="CV280:CV316" si="818">CS280/Vout2</f>
        <v>4.1669286717390843</v>
      </c>
      <c r="CW280" s="217">
        <f t="shared" ref="CW280:CW316" si="819">MIN(Vout,CS280/CJ280)</f>
        <v>28</v>
      </c>
      <c r="CX280" s="217">
        <f t="shared" ref="CX280:CX316" si="820">MIN(2*(Vout*CJ280+Vout2*CK280)/(Efficiency*CN280*CR280), Isw_max)</f>
        <v>5.9729577464788752</v>
      </c>
      <c r="CY280" s="217">
        <f t="shared" ref="CY280:CY316" si="821">L*CX280/CN280*1000000</f>
        <v>0.70182253521126781</v>
      </c>
      <c r="CZ280" s="217">
        <f t="shared" ref="CZ280:CZ316" si="822">L*CX280/CO280*1000000</f>
        <v>0.97814987485890992</v>
      </c>
      <c r="DA280" s="197">
        <f t="shared" ref="DA280:DA316" si="823">IF(1/((350000*L)*(1/CN280+1/CO280))&gt;Isw_min, 350, 0.001/((Isw_min*L)*(1/CN280+1/CO280)))</f>
        <v>350</v>
      </c>
      <c r="DB280" s="443">
        <f t="shared" ref="DB280:DB316" si="824">MIN(1/(CY280+CZ280)*1000, 350)</f>
        <v>350</v>
      </c>
      <c r="DD280" s="217">
        <f t="shared" ref="DD280:DD316" si="825">1/((DA280*1000*L)*(1/CN280+1/CO280))</f>
        <v>10.158258230357086</v>
      </c>
      <c r="DE280" s="173">
        <f t="shared" ref="DE280:DE316" si="826">L*DD280/CO280*1000000</f>
        <v>1.6635475150758992</v>
      </c>
      <c r="DF280" s="173">
        <f t="shared" ref="DF280:DF316" si="827">0.5*DE280*DD280*Nps*DA280/1000*(Pout/(Pout+Pout2))</f>
        <v>2.6710919890125213</v>
      </c>
      <c r="DG280" s="173"/>
      <c r="DH280" s="173">
        <f t="shared" ref="DH280:DH316" si="828">L*Isw_min/CO280*1000000</f>
        <v>0.54587688734030204</v>
      </c>
      <c r="DI280" s="545">
        <f t="shared" ref="DI280:DI316" si="829">MAX(10, CJ280/(0.5*DH280/1000000*Isw_min*Nps)/1000*Pout_total/Pout)</f>
        <v>1758.6382978723404</v>
      </c>
      <c r="DJ280" s="528">
        <f t="shared" ref="DJ280:DJ316" si="830">0.5*DH280/1000000*Isw_min*Nps*DA280*1000*(Pout/Pout_total)</f>
        <v>0.31842818428184283</v>
      </c>
      <c r="DL280" s="173">
        <f t="shared" ref="DL280:DL316" si="831">SQRT((CL280+CM280)/(0.5*L*Fsw_DCM))</f>
        <v>7.765561883584545</v>
      </c>
      <c r="DM280" s="173">
        <f t="shared" ref="DM280:DM316" si="832">MAX(IF(CJ280&gt;DF280,CX280,DL280),Isw_min)</f>
        <v>7.765561883584545</v>
      </c>
      <c r="DN280" s="173">
        <f t="shared" ref="DN280:DN316" si="833">IF(CJ280&gt;DJ280, (DM280-Isw_min)/1.08*0.8+1.2, DI280*0.2/350+1)</f>
        <v>4.483132259445342</v>
      </c>
      <c r="DP280" s="545">
        <f t="shared" ref="DP280:DP316" si="834">CJ280*1000</f>
        <v>1600</v>
      </c>
      <c r="DQ280" s="460">
        <f t="shared" ref="DQ280:DQ316" si="835">IF(CJ280&gt;DJ280, DB280, DI280)</f>
        <v>350</v>
      </c>
      <c r="DS280">
        <f t="shared" ref="DS280:DS316" si="836">IF(CL280&gt;CS280, "",DP280)</f>
        <v>1600</v>
      </c>
      <c r="DT280">
        <f t="shared" ref="DT280:DT316" si="837">IF(CL280&gt;CS280, "",DQ280)</f>
        <v>350</v>
      </c>
      <c r="DV280" s="5">
        <f t="shared" si="681"/>
        <v>2.8571428571428572</v>
      </c>
      <c r="DW280" s="5">
        <f t="shared" ref="DW280:DW316" si="838">L*DM280/CN280*1000000</f>
        <v>0.91245352132118396</v>
      </c>
      <c r="DX280" s="5">
        <f t="shared" ref="DX280:DX316" si="839">DV280-DW280</f>
        <v>1.9446893358216732</v>
      </c>
      <c r="DY280" s="173">
        <f t="shared" ref="DY280:DY316" si="840">DW280/DV280</f>
        <v>0.31935873246241436</v>
      </c>
      <c r="EA280" s="5">
        <f t="shared" si="711"/>
        <v>5.2140201218353379</v>
      </c>
      <c r="EB280" s="5">
        <f t="shared" si="712"/>
        <v>0.48664187803796483</v>
      </c>
      <c r="EC280" s="5">
        <f t="shared" si="713"/>
        <v>1.5557514686573386</v>
      </c>
      <c r="ED280" s="5"/>
      <c r="EE280" s="173">
        <f t="shared" si="714"/>
        <v>2.5336793714076284</v>
      </c>
      <c r="EF280" s="173">
        <f t="shared" si="715"/>
        <v>3.6988898287860863</v>
      </c>
      <c r="EG280" s="173">
        <f t="shared" si="716"/>
        <v>0.37292085978744965</v>
      </c>
      <c r="EH280" s="173"/>
      <c r="EI280" s="528">
        <f t="shared" si="717"/>
        <v>7.7034373885158672E-2</v>
      </c>
      <c r="EJ280" s="528">
        <f t="shared" si="718"/>
        <v>3.5477357743250173</v>
      </c>
      <c r="EK280" s="528">
        <f t="shared" si="719"/>
        <v>4.0250000000000001E-2</v>
      </c>
      <c r="EL280" s="528">
        <f t="shared" si="720"/>
        <v>0.81355656375000007</v>
      </c>
      <c r="EM280">
        <f t="shared" si="721"/>
        <v>1.7999999999999999E-2</v>
      </c>
      <c r="EN280" s="460">
        <f t="shared" si="722"/>
        <v>58.249999999999993</v>
      </c>
      <c r="EP280" s="460">
        <f t="shared" si="723"/>
        <v>4496.5767119601751</v>
      </c>
      <c r="EQ280" s="173">
        <f t="shared" si="724"/>
        <v>1.1199999999999999</v>
      </c>
      <c r="ER280" s="173">
        <f t="shared" ref="ER280:ER316" si="841">Vfwd22*CK280*(1+Diode_TC/1000*(Ta-25))</f>
        <v>7.664E-2</v>
      </c>
      <c r="ES280" s="528"/>
      <c r="EU280" s="460">
        <f t="shared" si="725"/>
        <v>1196.6399999999999</v>
      </c>
      <c r="EV280" s="528">
        <f t="shared" si="726"/>
        <v>8.9873436199351772E-2</v>
      </c>
      <c r="EW280" s="528">
        <f t="shared" si="727"/>
        <v>0.19154500351696027</v>
      </c>
      <c r="EX280" s="528">
        <f t="shared" si="728"/>
        <v>6.953498383230535E-4</v>
      </c>
      <c r="EY280" s="528">
        <f t="shared" si="729"/>
        <v>19.256277130523408</v>
      </c>
      <c r="EZ280" s="528"/>
      <c r="FA280" s="625">
        <f t="shared" si="730"/>
        <v>2.1106382978723404</v>
      </c>
      <c r="FB280" s="460">
        <f t="shared" si="731"/>
        <v>21649.029217950385</v>
      </c>
      <c r="FC280" s="173">
        <f t="shared" si="732"/>
        <v>27.342245929910561</v>
      </c>
      <c r="FD280" s="5">
        <f t="shared" si="733"/>
        <v>49.6</v>
      </c>
      <c r="FE280" s="173">
        <f t="shared" si="734"/>
        <v>0.64463935774869907</v>
      </c>
      <c r="FF280" s="5">
        <f t="shared" si="735"/>
        <v>64.46393577486991</v>
      </c>
      <c r="FG280">
        <f t="shared" si="736"/>
        <v>64</v>
      </c>
      <c r="FI280" s="562">
        <f t="shared" ref="FI280:FI316" si="842">IF(ABS(CJ280-Ioutmax_Vinmax)&lt;Iout/200, DQ280, -50)</f>
        <v>-50</v>
      </c>
    </row>
    <row r="281" spans="5:165">
      <c r="E281" s="170">
        <v>65</v>
      </c>
      <c r="F281" s="217">
        <f t="shared" ref="F281:F312" si="843">IF(PLOT_TYPE=1, E281/100*Iout_max, min_I*EXP(O281*rr/100))</f>
        <v>1.625</v>
      </c>
      <c r="G281" s="217">
        <f t="shared" si="772"/>
        <v>0.16250000000000001</v>
      </c>
      <c r="H281" s="217">
        <f t="shared" si="773"/>
        <v>45.5</v>
      </c>
      <c r="I281" s="217">
        <f t="shared" si="774"/>
        <v>4.875</v>
      </c>
      <c r="J281" s="541">
        <f t="shared" si="775"/>
        <v>39.871660905084305</v>
      </c>
      <c r="K281" s="443">
        <f t="shared" si="776"/>
        <v>28.752063790659847</v>
      </c>
      <c r="L281" s="172">
        <f t="shared" si="777"/>
        <v>68.623724695744158</v>
      </c>
      <c r="M281" s="443"/>
      <c r="N281" s="217">
        <f t="shared" si="778"/>
        <v>0.41898139336122286</v>
      </c>
      <c r="O281" s="172">
        <f t="shared" si="779"/>
        <v>125.74020246394507</v>
      </c>
      <c r="P281" s="172">
        <f t="shared" si="780"/>
        <v>14.915610751462872</v>
      </c>
      <c r="Q281" s="217">
        <f t="shared" si="781"/>
        <v>4.4907215165694669</v>
      </c>
      <c r="R281" s="217">
        <f t="shared" si="782"/>
        <v>4.1913400821315019</v>
      </c>
      <c r="S281" s="217">
        <f t="shared" si="783"/>
        <v>28</v>
      </c>
      <c r="T281" s="217">
        <f t="shared" si="784"/>
        <v>6.0309536526376988</v>
      </c>
      <c r="U281" s="217">
        <f t="shared" si="785"/>
        <v>0.71091801856146553</v>
      </c>
      <c r="V281" s="217">
        <f t="shared" si="786"/>
        <v>0.98585904558980764</v>
      </c>
      <c r="W281" s="197">
        <f t="shared" si="787"/>
        <v>350</v>
      </c>
      <c r="X281" s="443">
        <f t="shared" ref="X281:X316" si="844">MIN(1/(U281+V281+0.2)*1000, 350)</f>
        <v>350</v>
      </c>
      <c r="Z281" s="217">
        <f t="shared" si="788"/>
        <v>10.155309447804511</v>
      </c>
      <c r="AA281" s="173">
        <f t="shared" si="789"/>
        <v>1.6600531618250776</v>
      </c>
      <c r="AB281" s="173">
        <f t="shared" si="790"/>
        <v>2.664707497899542</v>
      </c>
      <c r="AC281" s="173"/>
      <c r="AD281" s="173">
        <f t="shared" si="791"/>
        <v>0.54488842194889697</v>
      </c>
      <c r="AE281" s="545">
        <f t="shared" si="792"/>
        <v>1789.3571614400012</v>
      </c>
      <c r="AF281" s="528">
        <f t="shared" si="793"/>
        <v>0.31785157947018994</v>
      </c>
      <c r="AH281" s="173">
        <f t="shared" si="794"/>
        <v>7.8259951832276728</v>
      </c>
      <c r="AI281" s="173">
        <f t="shared" si="795"/>
        <v>7.8259951832276728</v>
      </c>
      <c r="AJ281" s="173">
        <f t="shared" si="796"/>
        <v>4.5278976665883999</v>
      </c>
      <c r="AL281" s="545">
        <f t="shared" si="797"/>
        <v>1625</v>
      </c>
      <c r="AM281" s="460">
        <f t="shared" si="798"/>
        <v>350</v>
      </c>
      <c r="AO281">
        <f t="shared" si="799"/>
        <v>1625</v>
      </c>
      <c r="AP281">
        <f t="shared" si="800"/>
        <v>350</v>
      </c>
      <c r="AR281" s="5">
        <f t="shared" si="771"/>
        <v>2.8571428571428572</v>
      </c>
      <c r="AS281" s="5">
        <f t="shared" si="737"/>
        <v>0.92251430028789494</v>
      </c>
      <c r="AT281" s="5">
        <f t="shared" si="738"/>
        <v>1.9346285568549622</v>
      </c>
      <c r="AU281" s="173">
        <f t="shared" si="739"/>
        <v>0.3228800051007632</v>
      </c>
      <c r="BA281" s="173">
        <f t="shared" ref="BA281:BA316" si="845">AI281*SQRT(AU281/3)</f>
        <v>2.5674353977385032</v>
      </c>
      <c r="BB281" s="173">
        <f t="shared" ref="BB281:BB316" si="846">AI281*Npri_sec1*SQRT((1-AU281)/3)*(Pout/Pout_total)</f>
        <v>3.7180203981518951</v>
      </c>
      <c r="BC281" s="173">
        <f t="shared" ref="BC281:BC316" si="847">AI281*Npri_sec2*SQRT((1-AU281)/3)*(Pout2/Pout_total)</f>
        <v>0.37484959751859276</v>
      </c>
      <c r="BD281" s="173"/>
      <c r="BE281" s="528">
        <f t="shared" ref="BE281:BE315" si="848">Rdson*BA281^2</f>
        <v>7.9100694258727997E-2</v>
      </c>
      <c r="BF281" s="528">
        <f t="shared" si="801"/>
        <v>3.4304000973772788</v>
      </c>
      <c r="BG281" s="528">
        <f t="shared" ref="BG281:BG316" si="849">Qg*Vdd*AM281*1000</f>
        <v>4.0250000000000001E-2</v>
      </c>
      <c r="BH281" s="528">
        <f t="shared" ref="BH281:BH316" si="850">0.5*(Coss+Csw)*L281^2*AM281*1000</f>
        <v>0.81175103751884226</v>
      </c>
      <c r="BI281">
        <f t="shared" ref="BI281:BI316" si="851">J281*IQ</f>
        <v>1.7942247407287937E-2</v>
      </c>
      <c r="BJ281" s="460">
        <f t="shared" ref="BJ281:BJ316" si="852">(BG281+BI281)*1000</f>
        <v>58.192247407287944</v>
      </c>
      <c r="BK281">
        <f t="shared" si="802"/>
        <v>4.4257887281475536</v>
      </c>
      <c r="BL281" s="460">
        <f t="shared" ref="BL281:BL316" si="853">SUM(BE281:BI281)*1000</f>
        <v>4379.4440765621366</v>
      </c>
      <c r="BM281" s="173">
        <f t="shared" si="803"/>
        <v>1.0897249999999998</v>
      </c>
      <c r="BN281" s="173">
        <f t="shared" si="804"/>
        <v>7.7837500000000004E-2</v>
      </c>
      <c r="BQ281" s="460">
        <f t="shared" ref="BQ281:BQ316" si="854">SUM(BM281:BP281)*1000</f>
        <v>1167.5624999999998</v>
      </c>
      <c r="BR281" s="528">
        <f t="shared" ref="BR281:BR316" si="855">Rdcr_pri*BA281^2</f>
        <v>9.2284143301849322E-2</v>
      </c>
      <c r="BS281" s="528">
        <f t="shared" ref="BS281:BS316" si="856">Rdcr_sec*BB281^2</f>
        <v>0.19353145953503006</v>
      </c>
      <c r="BT281" s="528">
        <f t="shared" ref="BT281:BT316" si="857">Rdcr_sec2*BC281^2</f>
        <v>7.0256110379925487E-4</v>
      </c>
      <c r="BU281" s="528">
        <f t="shared" ref="BU281:BU316" si="858">AI281^2.5*AM281^2.5*k_core</f>
        <v>19.633108011945378</v>
      </c>
      <c r="BV281" s="528"/>
      <c r="BW281" s="625">
        <f t="shared" ref="BW281:BW316" si="859">0.5*Lleak*0.000000001*AI281^2*AM281*1000</f>
        <v>2.1436170212765959</v>
      </c>
      <c r="BX281" s="460">
        <f t="shared" ref="BX281:BX316" si="860">SUM(BR281:BW281)*1000</f>
        <v>22063.243197162654</v>
      </c>
      <c r="BY281" s="173">
        <f t="shared" ref="BY281:BY315" si="861">SUM(BE281:BI281,BM281:BP281,BR281:BW281)</f>
        <v>27.610249773724789</v>
      </c>
      <c r="BZ281" s="5">
        <f t="shared" ref="BZ281:BZ316" si="862">MIN(H281+I281,O281+P281)</f>
        <v>50.375</v>
      </c>
      <c r="CA281" s="173">
        <f t="shared" ref="CA281:CA316" si="863">BZ281/(BZ281+BY281)</f>
        <v>0.6459554870461236</v>
      </c>
      <c r="CB281" s="5">
        <f t="shared" ref="CB281:CB316" si="864">CA281*100</f>
        <v>64.595548704612355</v>
      </c>
      <c r="CC281">
        <f t="shared" ref="CC281:CC316" si="865">F281/Iout*100</f>
        <v>65</v>
      </c>
      <c r="CE281" s="562">
        <f t="shared" si="805"/>
        <v>-50</v>
      </c>
      <c r="CG281" s="173">
        <f t="shared" si="806"/>
        <v>0.43696395732371335</v>
      </c>
      <c r="CH281" s="173">
        <f t="shared" si="807"/>
        <v>0.14186718354774161</v>
      </c>
      <c r="CI281" s="170">
        <v>65</v>
      </c>
      <c r="CJ281" s="217">
        <f t="shared" ref="CJ281:CJ316" si="866">IF(PLOT_TYPE=1, CI281/100*Iout_max, min_I*EXP(CS281*rr/100))</f>
        <v>1.625</v>
      </c>
      <c r="CK281" s="217">
        <f t="shared" si="808"/>
        <v>0.16250000000000001</v>
      </c>
      <c r="CL281" s="217">
        <f t="shared" si="809"/>
        <v>45.5</v>
      </c>
      <c r="CM281" s="217">
        <f t="shared" si="810"/>
        <v>4.875</v>
      </c>
      <c r="CN281" s="541">
        <f t="shared" si="811"/>
        <v>40</v>
      </c>
      <c r="CO281" s="443">
        <f t="shared" si="812"/>
        <v>28.7</v>
      </c>
      <c r="CP281" s="443">
        <f t="shared" si="813"/>
        <v>68.7</v>
      </c>
      <c r="CQ281" s="443"/>
      <c r="CR281" s="217">
        <f t="shared" si="814"/>
        <v>0.41520467836257302</v>
      </c>
      <c r="CS281" s="172">
        <f t="shared" si="815"/>
        <v>125.00786015217253</v>
      </c>
      <c r="CT281" s="172">
        <f t="shared" si="816"/>
        <v>14.828738512949037</v>
      </c>
      <c r="CU281" s="217">
        <f t="shared" si="817"/>
        <v>4.4645664340061613</v>
      </c>
      <c r="CV281" s="217">
        <f t="shared" si="818"/>
        <v>4.1669286717390843</v>
      </c>
      <c r="CW281" s="217">
        <f t="shared" si="819"/>
        <v>28</v>
      </c>
      <c r="CX281" s="217">
        <f t="shared" si="820"/>
        <v>6.0662852112676067</v>
      </c>
      <c r="CY281" s="217">
        <f t="shared" si="821"/>
        <v>0.7127885123239438</v>
      </c>
      <c r="CZ281" s="217">
        <f t="shared" si="822"/>
        <v>0.99343346665358034</v>
      </c>
      <c r="DA281" s="197">
        <f t="shared" si="823"/>
        <v>350</v>
      </c>
      <c r="DB281" s="443">
        <f t="shared" si="824"/>
        <v>350</v>
      </c>
      <c r="DD281" s="217">
        <f t="shared" si="825"/>
        <v>10.158258230357086</v>
      </c>
      <c r="DE281" s="173">
        <f t="shared" si="826"/>
        <v>1.6635475150758992</v>
      </c>
      <c r="DF281" s="173">
        <f t="shared" si="827"/>
        <v>2.6710919890125213</v>
      </c>
      <c r="DG281" s="173"/>
      <c r="DH281" s="173">
        <f t="shared" si="828"/>
        <v>0.54587688734030204</v>
      </c>
      <c r="DI281" s="545">
        <f t="shared" si="829"/>
        <v>1786.1170212765958</v>
      </c>
      <c r="DJ281" s="528">
        <f t="shared" si="830"/>
        <v>0.31842818428184283</v>
      </c>
      <c r="DL281" s="173">
        <f t="shared" si="831"/>
        <v>7.8259951832276728</v>
      </c>
      <c r="DM281" s="173">
        <f t="shared" si="832"/>
        <v>7.8259951832276728</v>
      </c>
      <c r="DN281" s="173">
        <f t="shared" si="833"/>
        <v>4.5278976665883999</v>
      </c>
      <c r="DP281" s="545">
        <f t="shared" si="834"/>
        <v>1625</v>
      </c>
      <c r="DQ281" s="460">
        <f t="shared" si="835"/>
        <v>350</v>
      </c>
      <c r="DS281">
        <f t="shared" si="836"/>
        <v>1625</v>
      </c>
      <c r="DT281">
        <f t="shared" si="837"/>
        <v>350</v>
      </c>
      <c r="DV281" s="5">
        <f t="shared" ref="DV281:DV316" si="867">1/DQ281*1000</f>
        <v>2.8571428571428572</v>
      </c>
      <c r="DW281" s="5">
        <f t="shared" si="838"/>
        <v>0.91955443402925163</v>
      </c>
      <c r="DX281" s="5">
        <f t="shared" si="839"/>
        <v>1.9375884231136056</v>
      </c>
      <c r="DY281" s="173">
        <f t="shared" si="840"/>
        <v>0.32184405191023807</v>
      </c>
      <c r="EA281" s="5">
        <f t="shared" ref="EA281:EA316" si="868">CJ281*DW281/Vout_ripple*1000</f>
        <v>5.3366998403483352</v>
      </c>
      <c r="EB281" s="5">
        <f t="shared" ref="EB281:EB316" si="869">CK281*DW281/Vout_ripple2*1000</f>
        <v>0.49809198509917801</v>
      </c>
      <c r="EC281" s="5">
        <f t="shared" ref="EC281:EC316" si="870">CL281/Efficiency/CN281*DX281/Vinripple1</f>
        <v>1.5742905937798044</v>
      </c>
      <c r="ED281" s="5"/>
      <c r="EE281" s="173">
        <f t="shared" ref="EE281:EE316" si="871">DM281*SQRT(DY281/3)</f>
        <v>2.5633133094853822</v>
      </c>
      <c r="EF281" s="173">
        <f t="shared" ref="EF281:EF316" si="872">DM281*Npri_sec1*SQRT((1-DY281)/3)*(Pout/Pout_total)</f>
        <v>3.7208634858120422</v>
      </c>
      <c r="EG281" s="173">
        <f t="shared" ref="EG281:EG316" si="873">DM281*Npri_sec2*SQRT((1-DY281)/3)*(Pout2/Pout_total)</f>
        <v>0.37513623668432888</v>
      </c>
      <c r="EH281" s="173"/>
      <c r="EI281" s="528">
        <f t="shared" ref="EI281:EI316" si="874">Rdson*EE281^2</f>
        <v>7.8846901471018832E-2</v>
      </c>
      <c r="EJ281" s="528">
        <f t="shared" ref="EJ281:EJ316" si="875">0.5*CP281*DM281*DQ281*1000*Trise</f>
        <v>3.5753450294334792</v>
      </c>
      <c r="EK281" s="528">
        <f t="shared" ref="EK281:EK316" si="876">Qg*Vdd*DQ281*1000</f>
        <v>4.0250000000000001E-2</v>
      </c>
      <c r="EL281" s="528">
        <f t="shared" ref="EL281:EL316" si="877">0.5*(Coss+Csw)*CP281^2*DQ281*1000</f>
        <v>0.81355656375000007</v>
      </c>
      <c r="EM281">
        <f t="shared" ref="EM281:EM316" si="878">CN281*IQ</f>
        <v>1.7999999999999999E-2</v>
      </c>
      <c r="EN281" s="460">
        <f t="shared" ref="EN281:EN316" si="879">(EK281+EM281)*1000</f>
        <v>58.249999999999993</v>
      </c>
      <c r="EP281" s="460">
        <f t="shared" ref="EP281:EP316" si="880">SUM(EI281:EM281)*1000</f>
        <v>4525.9984946544973</v>
      </c>
      <c r="EQ281" s="173">
        <f t="shared" ref="EQ281:EQ316" si="881">Vfwd2*CJ281</f>
        <v>1.1375</v>
      </c>
      <c r="ER281" s="173">
        <f t="shared" si="841"/>
        <v>7.7837500000000004E-2</v>
      </c>
      <c r="ES281" s="528"/>
      <c r="EU281" s="460">
        <f t="shared" ref="EU281:EU316" si="882">SUM(EQ281:ET281)*1000</f>
        <v>1215.3374999999999</v>
      </c>
      <c r="EV281" s="528">
        <f t="shared" ref="EV281:EV316" si="883">Rdcr_pri*EE281^2</f>
        <v>9.1988051716188637E-2</v>
      </c>
      <c r="EW281" s="528">
        <f t="shared" ref="EW281:EW316" si="884">Rdcr_sec*EF281^2</f>
        <v>0.19382755112069078</v>
      </c>
      <c r="EX281" s="528">
        <f t="shared" ref="EX281:EX316" si="885">Rdcr_sec2*EG281^2</f>
        <v>7.0363598036840406E-4</v>
      </c>
      <c r="EY281" s="528">
        <f t="shared" ref="EY281:EY316" si="886">DM281^2.5*DQ281^2.5*k_core</f>
        <v>19.633108011945378</v>
      </c>
      <c r="EZ281" s="528"/>
      <c r="FA281" s="625">
        <f t="shared" ref="FA281:FA316" si="887">0.5*Lleak*0.000000001*DM281^2*DQ281*1000</f>
        <v>2.1436170212765959</v>
      </c>
      <c r="FB281" s="460">
        <f t="shared" ref="FB281:FB316" si="888">SUM(EV281:FA281)*1000</f>
        <v>22063.244272039225</v>
      </c>
      <c r="FC281" s="173">
        <f t="shared" ref="FC281:FC316" si="889">SUM(EI281:EM281,EQ281:ET281,EV281:FA281)</f>
        <v>27.804580266693719</v>
      </c>
      <c r="FD281" s="5">
        <f t="shared" ref="FD281:FD316" si="890">MIN(CL281+CM281,CS281+CT281)</f>
        <v>50.375</v>
      </c>
      <c r="FE281" s="173">
        <f t="shared" ref="FE281:FE316" si="891">FD281/(FD281+FC281)</f>
        <v>0.64434983953809866</v>
      </c>
      <c r="FF281" s="5">
        <f t="shared" ref="FF281:FF316" si="892">FE281*100</f>
        <v>64.434983953809862</v>
      </c>
      <c r="FG281">
        <f t="shared" ref="FG281:FG316" si="893">CJ281/Iout*100</f>
        <v>65</v>
      </c>
      <c r="FI281" s="562">
        <f t="shared" si="842"/>
        <v>-50</v>
      </c>
    </row>
    <row r="282" spans="5:165">
      <c r="E282" s="170">
        <v>66</v>
      </c>
      <c r="F282" s="217">
        <f t="shared" si="843"/>
        <v>1.6500000000000001</v>
      </c>
      <c r="G282" s="217">
        <f t="shared" si="772"/>
        <v>0.16500000000000001</v>
      </c>
      <c r="H282" s="217">
        <f t="shared" si="773"/>
        <v>46.2</v>
      </c>
      <c r="I282" s="217">
        <f t="shared" si="774"/>
        <v>4.95</v>
      </c>
      <c r="J282" s="541">
        <f t="shared" si="775"/>
        <v>39.870677449361949</v>
      </c>
      <c r="K282" s="443">
        <f t="shared" si="776"/>
        <v>28.752462752744513</v>
      </c>
      <c r="L282" s="172">
        <f t="shared" si="777"/>
        <v>68.62314020210647</v>
      </c>
      <c r="M282" s="443"/>
      <c r="N282" s="217">
        <f t="shared" si="778"/>
        <v>0.41899077582377847</v>
      </c>
      <c r="O282" s="172">
        <f t="shared" si="779"/>
        <v>125.73991670956403</v>
      </c>
      <c r="P282" s="172">
        <f t="shared" si="780"/>
        <v>14.915576854578386</v>
      </c>
      <c r="Q282" s="217">
        <f t="shared" si="781"/>
        <v>4.4907113110558585</v>
      </c>
      <c r="R282" s="217">
        <f t="shared" si="782"/>
        <v>4.1913305569854673</v>
      </c>
      <c r="S282" s="217">
        <f t="shared" si="783"/>
        <v>28</v>
      </c>
      <c r="T282" s="217">
        <f t="shared" si="784"/>
        <v>6.1237514716870525</v>
      </c>
      <c r="U282" s="217">
        <f t="shared" si="785"/>
        <v>0.72187466474537509</v>
      </c>
      <c r="V282" s="217">
        <f t="shared" si="786"/>
        <v>1.0010144927213878</v>
      </c>
      <c r="W282" s="197">
        <f t="shared" si="787"/>
        <v>350</v>
      </c>
      <c r="X282" s="443">
        <f t="shared" si="844"/>
        <v>350</v>
      </c>
      <c r="Z282" s="217">
        <f t="shared" si="788"/>
        <v>10.155286369074647</v>
      </c>
      <c r="AA282" s="173">
        <f t="shared" si="789"/>
        <v>1.660026354789204</v>
      </c>
      <c r="AB282" s="173">
        <f t="shared" si="790"/>
        <v>2.6646584117473493</v>
      </c>
      <c r="AC282" s="173"/>
      <c r="AD282" s="173">
        <f t="shared" si="791"/>
        <v>0.54488086121148827</v>
      </c>
      <c r="AE282" s="545">
        <f t="shared" si="792"/>
        <v>1816.9109441627916</v>
      </c>
      <c r="AF282" s="528">
        <f t="shared" si="793"/>
        <v>0.31784716904003479</v>
      </c>
      <c r="AH282" s="173">
        <f t="shared" si="794"/>
        <v>7.8859653719772522</v>
      </c>
      <c r="AI282" s="173">
        <f t="shared" si="795"/>
        <v>7.8859653719772522</v>
      </c>
      <c r="AJ282" s="173">
        <f t="shared" si="796"/>
        <v>4.5723200286251249</v>
      </c>
      <c r="AL282" s="545">
        <f t="shared" si="797"/>
        <v>1650.0000000000002</v>
      </c>
      <c r="AM282" s="460">
        <f t="shared" si="798"/>
        <v>350</v>
      </c>
      <c r="AO282">
        <f t="shared" si="799"/>
        <v>1650.0000000000002</v>
      </c>
      <c r="AP282">
        <f t="shared" si="800"/>
        <v>350</v>
      </c>
      <c r="AR282" s="5">
        <f t="shared" si="771"/>
        <v>2.8571428571428572</v>
      </c>
      <c r="AS282" s="5">
        <f t="shared" si="737"/>
        <v>0.9296064080016333</v>
      </c>
      <c r="AT282" s="5">
        <f t="shared" si="738"/>
        <v>1.9275364491412239</v>
      </c>
      <c r="AU282" s="173">
        <f t="shared" si="739"/>
        <v>0.32536224280057163</v>
      </c>
      <c r="BA282" s="173">
        <f t="shared" si="845"/>
        <v>2.5970350734920813</v>
      </c>
      <c r="BB282" s="173">
        <f t="shared" si="846"/>
        <v>3.7396379650611573</v>
      </c>
      <c r="BC282" s="173">
        <f t="shared" si="847"/>
        <v>0.37702907352665765</v>
      </c>
      <c r="BD282" s="173"/>
      <c r="BE282" s="528">
        <f t="shared" si="848"/>
        <v>8.0935094075376246E-2</v>
      </c>
      <c r="BF282" s="528">
        <f t="shared" si="801"/>
        <v>3.4566576306990937</v>
      </c>
      <c r="BG282" s="528">
        <f t="shared" si="849"/>
        <v>4.0250000000000001E-2</v>
      </c>
      <c r="BH282" s="528">
        <f t="shared" si="850"/>
        <v>0.81173720961024853</v>
      </c>
      <c r="BI282">
        <f t="shared" si="851"/>
        <v>1.7941804852212875E-2</v>
      </c>
      <c r="BJ282" s="460">
        <f t="shared" si="852"/>
        <v>58.191804852212876</v>
      </c>
      <c r="BK282">
        <f t="shared" si="802"/>
        <v>4.4568891836837885</v>
      </c>
      <c r="BL282" s="460">
        <f t="shared" si="853"/>
        <v>4407.5217392369314</v>
      </c>
      <c r="BM282" s="173">
        <f t="shared" si="803"/>
        <v>1.10649</v>
      </c>
      <c r="BN282" s="173">
        <f t="shared" si="804"/>
        <v>7.9034999999999994E-2</v>
      </c>
      <c r="BQ282" s="460">
        <f t="shared" si="854"/>
        <v>1185.5249999999999</v>
      </c>
      <c r="BR282" s="528">
        <f t="shared" si="855"/>
        <v>9.4424276421272282E-2</v>
      </c>
      <c r="BS282" s="528">
        <f t="shared" si="856"/>
        <v>0.19578848953617456</v>
      </c>
      <c r="BT282" s="528">
        <f t="shared" si="857"/>
        <v>7.107546114218491E-4</v>
      </c>
      <c r="BU282" s="528">
        <f t="shared" si="858"/>
        <v>20.011391083922572</v>
      </c>
      <c r="BV282" s="528"/>
      <c r="BW282" s="625">
        <f t="shared" si="859"/>
        <v>2.1765957446808515</v>
      </c>
      <c r="BX282" s="460">
        <f t="shared" si="860"/>
        <v>22478.910349172293</v>
      </c>
      <c r="BY282" s="173">
        <f t="shared" si="861"/>
        <v>28.071957088409224</v>
      </c>
      <c r="BZ282" s="5">
        <f t="shared" si="862"/>
        <v>51.150000000000006</v>
      </c>
      <c r="CA282" s="173">
        <f t="shared" si="863"/>
        <v>0.64565433473094092</v>
      </c>
      <c r="CB282" s="5">
        <f t="shared" si="864"/>
        <v>64.565433473094089</v>
      </c>
      <c r="CC282">
        <f t="shared" si="865"/>
        <v>66</v>
      </c>
      <c r="CE282" s="562">
        <f t="shared" si="805"/>
        <v>-50</v>
      </c>
      <c r="CG282" s="173">
        <f t="shared" si="806"/>
        <v>0.44031238910573484</v>
      </c>
      <c r="CH282" s="173">
        <f t="shared" si="807"/>
        <v>0.14295430430050707</v>
      </c>
      <c r="CI282" s="170">
        <v>66</v>
      </c>
      <c r="CJ282" s="217">
        <f t="shared" si="866"/>
        <v>1.6500000000000001</v>
      </c>
      <c r="CK282" s="217">
        <f t="shared" si="808"/>
        <v>0.16500000000000001</v>
      </c>
      <c r="CL282" s="217">
        <f t="shared" si="809"/>
        <v>46.2</v>
      </c>
      <c r="CM282" s="217">
        <f t="shared" si="810"/>
        <v>4.95</v>
      </c>
      <c r="CN282" s="541">
        <f t="shared" si="811"/>
        <v>40</v>
      </c>
      <c r="CO282" s="443">
        <f t="shared" si="812"/>
        <v>28.7</v>
      </c>
      <c r="CP282" s="443">
        <f t="shared" si="813"/>
        <v>68.7</v>
      </c>
      <c r="CQ282" s="443"/>
      <c r="CR282" s="217">
        <f t="shared" si="814"/>
        <v>0.41520467836257302</v>
      </c>
      <c r="CS282" s="172">
        <f t="shared" si="815"/>
        <v>125.00786015217253</v>
      </c>
      <c r="CT282" s="172">
        <f t="shared" si="816"/>
        <v>14.828738512949037</v>
      </c>
      <c r="CU282" s="217">
        <f t="shared" si="817"/>
        <v>4.4645664340061613</v>
      </c>
      <c r="CV282" s="217">
        <f t="shared" si="818"/>
        <v>4.1669286717390843</v>
      </c>
      <c r="CW282" s="217">
        <f t="shared" si="819"/>
        <v>28</v>
      </c>
      <c r="CX282" s="217">
        <f t="shared" si="820"/>
        <v>6.1596126760563399</v>
      </c>
      <c r="CY282" s="217">
        <f t="shared" si="821"/>
        <v>0.72375448943662002</v>
      </c>
      <c r="CZ282" s="217">
        <f t="shared" si="822"/>
        <v>1.008717058448251</v>
      </c>
      <c r="DA282" s="197">
        <f t="shared" si="823"/>
        <v>350</v>
      </c>
      <c r="DB282" s="443">
        <f t="shared" si="824"/>
        <v>350</v>
      </c>
      <c r="DD282" s="217">
        <f t="shared" si="825"/>
        <v>10.158258230357086</v>
      </c>
      <c r="DE282" s="173">
        <f t="shared" si="826"/>
        <v>1.6635475150758992</v>
      </c>
      <c r="DF282" s="173">
        <f t="shared" si="827"/>
        <v>2.6710919890125213</v>
      </c>
      <c r="DG282" s="173"/>
      <c r="DH282" s="173">
        <f t="shared" si="828"/>
        <v>0.54587688734030204</v>
      </c>
      <c r="DI282" s="545">
        <f t="shared" si="829"/>
        <v>1813.5957446808513</v>
      </c>
      <c r="DJ282" s="528">
        <f t="shared" si="830"/>
        <v>0.31842818428184283</v>
      </c>
      <c r="DL282" s="173">
        <f t="shared" si="831"/>
        <v>7.8859653719772522</v>
      </c>
      <c r="DM282" s="173">
        <f t="shared" si="832"/>
        <v>7.8859653719772522</v>
      </c>
      <c r="DN282" s="173">
        <f t="shared" si="833"/>
        <v>4.5723200286251249</v>
      </c>
      <c r="DP282" s="545">
        <f t="shared" si="834"/>
        <v>1650.0000000000002</v>
      </c>
      <c r="DQ282" s="460">
        <f t="shared" si="835"/>
        <v>350</v>
      </c>
      <c r="DS282">
        <f t="shared" si="836"/>
        <v>1650.0000000000002</v>
      </c>
      <c r="DT282">
        <f t="shared" si="837"/>
        <v>350</v>
      </c>
      <c r="DV282" s="5">
        <f t="shared" si="867"/>
        <v>2.8571428571428572</v>
      </c>
      <c r="DW282" s="5">
        <f t="shared" si="838"/>
        <v>0.92660093120732701</v>
      </c>
      <c r="DX282" s="5">
        <f t="shared" si="839"/>
        <v>1.9305419259355303</v>
      </c>
      <c r="DY282" s="173">
        <f t="shared" si="840"/>
        <v>0.32431032592256442</v>
      </c>
      <c r="EA282" s="5">
        <f t="shared" si="868"/>
        <v>5.4603269160431775</v>
      </c>
      <c r="EB282" s="5">
        <f t="shared" si="869"/>
        <v>0.50963051216402988</v>
      </c>
      <c r="EC282" s="5">
        <f t="shared" si="870"/>
        <v>1.5926970888968124</v>
      </c>
      <c r="ED282" s="5"/>
      <c r="EE282" s="173">
        <f t="shared" si="871"/>
        <v>2.5928334847441716</v>
      </c>
      <c r="EF282" s="173">
        <f t="shared" si="872"/>
        <v>3.742552311333025</v>
      </c>
      <c r="EG282" s="173">
        <f t="shared" si="873"/>
        <v>0.37732289696226401</v>
      </c>
      <c r="EH282" s="173"/>
      <c r="EI282" s="528">
        <f t="shared" si="874"/>
        <v>8.0673425755327252E-2</v>
      </c>
      <c r="EJ282" s="528">
        <f t="shared" si="875"/>
        <v>3.6027427100146681</v>
      </c>
      <c r="EK282" s="528">
        <f t="shared" si="876"/>
        <v>4.0250000000000001E-2</v>
      </c>
      <c r="EL282" s="528">
        <f t="shared" si="877"/>
        <v>0.81355656375000007</v>
      </c>
      <c r="EM282">
        <f t="shared" si="878"/>
        <v>1.7999999999999999E-2</v>
      </c>
      <c r="EN282" s="460">
        <f t="shared" si="879"/>
        <v>58.249999999999993</v>
      </c>
      <c r="EP282" s="460">
        <f t="shared" si="880"/>
        <v>4555.2226995199953</v>
      </c>
      <c r="EQ282" s="173">
        <f t="shared" si="881"/>
        <v>1.155</v>
      </c>
      <c r="ER282" s="173">
        <f t="shared" si="841"/>
        <v>7.9034999999999994E-2</v>
      </c>
      <c r="ES282" s="528"/>
      <c r="EU282" s="460">
        <f t="shared" si="882"/>
        <v>1234.0350000000001</v>
      </c>
      <c r="EV282" s="528">
        <f t="shared" si="883"/>
        <v>9.4118996714548472E-2</v>
      </c>
      <c r="EW282" s="528">
        <f t="shared" si="884"/>
        <v>0.19609376924289834</v>
      </c>
      <c r="EX282" s="528">
        <f t="shared" si="885"/>
        <v>7.1186284285997643E-4</v>
      </c>
      <c r="EY282" s="528">
        <f t="shared" si="886"/>
        <v>20.011391083922572</v>
      </c>
      <c r="EZ282" s="528"/>
      <c r="FA282" s="625">
        <f t="shared" si="887"/>
        <v>2.1765957446808515</v>
      </c>
      <c r="FB282" s="460">
        <f t="shared" si="888"/>
        <v>22478.911457403734</v>
      </c>
      <c r="FC282" s="173">
        <f t="shared" si="889"/>
        <v>28.268169156923726</v>
      </c>
      <c r="FD282" s="5">
        <f t="shared" si="890"/>
        <v>51.150000000000006</v>
      </c>
      <c r="FE282" s="173">
        <f t="shared" si="891"/>
        <v>0.64405916861331614</v>
      </c>
      <c r="FF282" s="5">
        <f t="shared" si="892"/>
        <v>64.405916861331619</v>
      </c>
      <c r="FG282">
        <f t="shared" si="893"/>
        <v>66</v>
      </c>
      <c r="FI282" s="562">
        <f t="shared" si="842"/>
        <v>-50</v>
      </c>
    </row>
    <row r="283" spans="5:165">
      <c r="E283" s="170">
        <v>67</v>
      </c>
      <c r="F283" s="217">
        <f t="shared" si="843"/>
        <v>1.675</v>
      </c>
      <c r="G283" s="217">
        <f t="shared" si="772"/>
        <v>0.16750000000000001</v>
      </c>
      <c r="H283" s="217">
        <f t="shared" si="773"/>
        <v>46.9</v>
      </c>
      <c r="I283" s="217">
        <f t="shared" si="774"/>
        <v>5.0250000000000004</v>
      </c>
      <c r="J283" s="541">
        <f t="shared" si="775"/>
        <v>39.869701416265251</v>
      </c>
      <c r="K283" s="443">
        <f t="shared" si="776"/>
        <v>28.752858703665446</v>
      </c>
      <c r="L283" s="172">
        <f t="shared" si="777"/>
        <v>68.622560119930696</v>
      </c>
      <c r="M283" s="443"/>
      <c r="N283" s="217">
        <f t="shared" si="778"/>
        <v>0.41900008763028473</v>
      </c>
      <c r="O283" s="172">
        <f t="shared" si="779"/>
        <v>125.73963302199894</v>
      </c>
      <c r="P283" s="172">
        <f t="shared" si="780"/>
        <v>14.915543202864669</v>
      </c>
      <c r="Q283" s="217">
        <f t="shared" si="781"/>
        <v>4.4907011793571048</v>
      </c>
      <c r="R283" s="217">
        <f t="shared" si="782"/>
        <v>4.1913211007332984</v>
      </c>
      <c r="S283" s="217">
        <f t="shared" si="783"/>
        <v>28</v>
      </c>
      <c r="T283" s="217">
        <f t="shared" si="784"/>
        <v>6.2165496103357416</v>
      </c>
      <c r="U283" s="217">
        <f t="shared" si="785"/>
        <v>0.73283175270177192</v>
      </c>
      <c r="V283" s="217">
        <f t="shared" si="786"/>
        <v>1.0161696779337377</v>
      </c>
      <c r="W283" s="197">
        <f t="shared" si="787"/>
        <v>350</v>
      </c>
      <c r="X283" s="443">
        <f t="shared" si="844"/>
        <v>350</v>
      </c>
      <c r="Z283" s="217">
        <f t="shared" si="788"/>
        <v>10.155263457269561</v>
      </c>
      <c r="AA283" s="173">
        <f t="shared" si="789"/>
        <v>1.6599997496277576</v>
      </c>
      <c r="AB283" s="173">
        <f t="shared" si="790"/>
        <v>2.6646096936357999</v>
      </c>
      <c r="AC283" s="173"/>
      <c r="AD283" s="173">
        <f t="shared" si="791"/>
        <v>0.5448733577461452</v>
      </c>
      <c r="AE283" s="545">
        <f t="shared" si="792"/>
        <v>1844.4652976925813</v>
      </c>
      <c r="AF283" s="528">
        <f t="shared" si="793"/>
        <v>0.31784279201858473</v>
      </c>
      <c r="AH283" s="173">
        <f t="shared" si="794"/>
        <v>7.9454829361182258</v>
      </c>
      <c r="AI283" s="173">
        <f t="shared" si="795"/>
        <v>7.9454829361182258</v>
      </c>
      <c r="AJ283" s="173">
        <f t="shared" si="796"/>
        <v>4.6164071131739943</v>
      </c>
      <c r="AL283" s="545">
        <f t="shared" si="797"/>
        <v>1675</v>
      </c>
      <c r="AM283" s="460">
        <f t="shared" si="798"/>
        <v>350</v>
      </c>
      <c r="AO283">
        <f t="shared" si="799"/>
        <v>1675</v>
      </c>
      <c r="AP283">
        <f t="shared" si="800"/>
        <v>350</v>
      </c>
      <c r="AR283" s="5">
        <f t="shared" si="771"/>
        <v>2.8571428571428572</v>
      </c>
      <c r="AS283" s="5">
        <f t="shared" si="737"/>
        <v>0.93664533400596006</v>
      </c>
      <c r="AT283" s="5">
        <f t="shared" si="738"/>
        <v>1.920497523136897</v>
      </c>
      <c r="AU283" s="173">
        <f t="shared" si="739"/>
        <v>0.32782586690208604</v>
      </c>
      <c r="BA283" s="173">
        <f t="shared" si="845"/>
        <v>2.6265234408945832</v>
      </c>
      <c r="BB283" s="173">
        <f t="shared" si="846"/>
        <v>3.760976067079739</v>
      </c>
      <c r="BC283" s="173">
        <f t="shared" si="847"/>
        <v>0.37918037397607202</v>
      </c>
      <c r="BD283" s="173"/>
      <c r="BE283" s="528">
        <f t="shared" si="848"/>
        <v>8.2783504626824655E-2</v>
      </c>
      <c r="BF283" s="528">
        <f t="shared" si="801"/>
        <v>3.48271654272438</v>
      </c>
      <c r="BG283" s="528">
        <f t="shared" si="849"/>
        <v>4.0250000000000001E-2</v>
      </c>
      <c r="BH283" s="528">
        <f t="shared" si="850"/>
        <v>0.81172348618415247</v>
      </c>
      <c r="BI283">
        <f t="shared" si="851"/>
        <v>1.7941365637319361E-2</v>
      </c>
      <c r="BJ283" s="460">
        <f t="shared" si="852"/>
        <v>58.191365637319358</v>
      </c>
      <c r="BK283">
        <f t="shared" si="802"/>
        <v>4.4878481844891667</v>
      </c>
      <c r="BL283" s="460">
        <f t="shared" si="853"/>
        <v>4435.4148991726761</v>
      </c>
      <c r="BM283" s="173">
        <f t="shared" si="803"/>
        <v>1.1232549999999999</v>
      </c>
      <c r="BN283" s="173">
        <f t="shared" si="804"/>
        <v>8.0232499999999998E-2</v>
      </c>
      <c r="BQ283" s="460">
        <f t="shared" si="854"/>
        <v>1203.4874999999997</v>
      </c>
      <c r="BR283" s="528">
        <f t="shared" si="855"/>
        <v>9.6580755397962098E-2</v>
      </c>
      <c r="BS283" s="528">
        <f t="shared" si="856"/>
        <v>0.19802917368005213</v>
      </c>
      <c r="BT283" s="528">
        <f t="shared" si="857"/>
        <v>7.1888878004316916E-4</v>
      </c>
      <c r="BU283" s="528">
        <f t="shared" si="858"/>
        <v>20.391109811718653</v>
      </c>
      <c r="BV283" s="528"/>
      <c r="BW283" s="625">
        <f t="shared" si="859"/>
        <v>2.209574468085107</v>
      </c>
      <c r="BX283" s="460">
        <f t="shared" si="860"/>
        <v>22896.013097661817</v>
      </c>
      <c r="BY283" s="173">
        <f t="shared" si="861"/>
        <v>28.534915496834497</v>
      </c>
      <c r="BZ283" s="5">
        <f t="shared" si="862"/>
        <v>51.924999999999997</v>
      </c>
      <c r="CA283" s="173">
        <f t="shared" si="863"/>
        <v>0.64535240534826144</v>
      </c>
      <c r="CB283" s="5">
        <f t="shared" si="864"/>
        <v>64.535240534826144</v>
      </c>
      <c r="CC283">
        <f t="shared" si="865"/>
        <v>67</v>
      </c>
      <c r="CE283" s="562">
        <f t="shared" si="805"/>
        <v>-50</v>
      </c>
      <c r="CG283" s="173">
        <f t="shared" si="806"/>
        <v>0.44363554862071186</v>
      </c>
      <c r="CH283" s="173">
        <f t="shared" si="807"/>
        <v>0.14403322001647864</v>
      </c>
      <c r="CI283" s="170">
        <v>67</v>
      </c>
      <c r="CJ283" s="217">
        <f t="shared" si="866"/>
        <v>1.675</v>
      </c>
      <c r="CK283" s="217">
        <f t="shared" si="808"/>
        <v>0.16750000000000001</v>
      </c>
      <c r="CL283" s="217">
        <f t="shared" si="809"/>
        <v>46.9</v>
      </c>
      <c r="CM283" s="217">
        <f t="shared" si="810"/>
        <v>5.0250000000000004</v>
      </c>
      <c r="CN283" s="541">
        <f t="shared" si="811"/>
        <v>40</v>
      </c>
      <c r="CO283" s="443">
        <f t="shared" si="812"/>
        <v>28.7</v>
      </c>
      <c r="CP283" s="443">
        <f t="shared" si="813"/>
        <v>68.7</v>
      </c>
      <c r="CQ283" s="443"/>
      <c r="CR283" s="217">
        <f t="shared" si="814"/>
        <v>0.41520467836257302</v>
      </c>
      <c r="CS283" s="172">
        <f t="shared" si="815"/>
        <v>125.00786015217253</v>
      </c>
      <c r="CT283" s="172">
        <f t="shared" si="816"/>
        <v>14.828738512949037</v>
      </c>
      <c r="CU283" s="217">
        <f t="shared" si="817"/>
        <v>4.4645664340061613</v>
      </c>
      <c r="CV283" s="217">
        <f t="shared" si="818"/>
        <v>4.1669286717390843</v>
      </c>
      <c r="CW283" s="217">
        <f t="shared" si="819"/>
        <v>28</v>
      </c>
      <c r="CX283" s="217">
        <f t="shared" si="820"/>
        <v>6.2529401408450713</v>
      </c>
      <c r="CY283" s="217">
        <f t="shared" si="821"/>
        <v>0.73472046654929579</v>
      </c>
      <c r="CZ283" s="217">
        <f t="shared" si="822"/>
        <v>1.0240006502429211</v>
      </c>
      <c r="DA283" s="197">
        <f t="shared" si="823"/>
        <v>350</v>
      </c>
      <c r="DB283" s="443">
        <f t="shared" si="824"/>
        <v>350</v>
      </c>
      <c r="DD283" s="217">
        <f t="shared" si="825"/>
        <v>10.158258230357086</v>
      </c>
      <c r="DE283" s="173">
        <f t="shared" si="826"/>
        <v>1.6635475150758992</v>
      </c>
      <c r="DF283" s="173">
        <f t="shared" si="827"/>
        <v>2.6710919890125213</v>
      </c>
      <c r="DG283" s="173"/>
      <c r="DH283" s="173">
        <f t="shared" si="828"/>
        <v>0.54587688734030204</v>
      </c>
      <c r="DI283" s="545">
        <f t="shared" si="829"/>
        <v>1841.0744680851064</v>
      </c>
      <c r="DJ283" s="528">
        <f t="shared" si="830"/>
        <v>0.31842818428184283</v>
      </c>
      <c r="DL283" s="173">
        <f t="shared" si="831"/>
        <v>7.9454829361182258</v>
      </c>
      <c r="DM283" s="173">
        <f t="shared" si="832"/>
        <v>7.9454829361182258</v>
      </c>
      <c r="DN283" s="173">
        <f t="shared" si="833"/>
        <v>4.6164071131739943</v>
      </c>
      <c r="DP283" s="545">
        <f t="shared" si="834"/>
        <v>1675</v>
      </c>
      <c r="DQ283" s="460">
        <f t="shared" si="835"/>
        <v>350</v>
      </c>
      <c r="DS283">
        <f t="shared" si="836"/>
        <v>1675</v>
      </c>
      <c r="DT283">
        <f t="shared" si="837"/>
        <v>350</v>
      </c>
      <c r="DV283" s="5">
        <f t="shared" si="867"/>
        <v>2.8571428571428572</v>
      </c>
      <c r="DW283" s="5">
        <f t="shared" si="838"/>
        <v>0.93359424499389154</v>
      </c>
      <c r="DX283" s="5">
        <f t="shared" si="839"/>
        <v>1.9235486121489656</v>
      </c>
      <c r="DY283" s="173">
        <f t="shared" si="840"/>
        <v>0.32675798574786202</v>
      </c>
      <c r="EA283" s="5">
        <f t="shared" si="868"/>
        <v>5.5848941441598869</v>
      </c>
      <c r="EB283" s="5">
        <f t="shared" si="869"/>
        <v>0.52125678678825615</v>
      </c>
      <c r="EC283" s="5">
        <f t="shared" si="870"/>
        <v>1.6109719626747583</v>
      </c>
      <c r="ED283" s="5"/>
      <c r="EE283" s="173">
        <f t="shared" si="871"/>
        <v>2.6222420478728341</v>
      </c>
      <c r="EF283" s="173">
        <f t="shared" si="872"/>
        <v>3.7639624075013005</v>
      </c>
      <c r="EG283" s="173">
        <f t="shared" si="873"/>
        <v>0.37948145583824588</v>
      </c>
      <c r="EH283" s="173"/>
      <c r="EI283" s="528">
        <f t="shared" si="874"/>
        <v>8.2513840291587773E-2</v>
      </c>
      <c r="EJ283" s="528">
        <f t="shared" si="875"/>
        <v>3.6299336067802925</v>
      </c>
      <c r="EK283" s="528">
        <f t="shared" si="876"/>
        <v>4.0250000000000001E-2</v>
      </c>
      <c r="EL283" s="528">
        <f t="shared" si="877"/>
        <v>0.81355656375000007</v>
      </c>
      <c r="EM283">
        <f t="shared" si="878"/>
        <v>1.7999999999999999E-2</v>
      </c>
      <c r="EN283" s="460">
        <f t="shared" si="879"/>
        <v>58.249999999999993</v>
      </c>
      <c r="EP283" s="460">
        <f t="shared" si="880"/>
        <v>4584.25401082188</v>
      </c>
      <c r="EQ283" s="173">
        <f t="shared" si="881"/>
        <v>1.1724999999999999</v>
      </c>
      <c r="ER283" s="173">
        <f t="shared" si="841"/>
        <v>8.0232499999999998E-2</v>
      </c>
      <c r="ES283" s="528"/>
      <c r="EU283" s="460">
        <f t="shared" si="882"/>
        <v>1252.7324999999998</v>
      </c>
      <c r="EV283" s="528">
        <f t="shared" si="883"/>
        <v>9.6266147006852404E-2</v>
      </c>
      <c r="EW283" s="528">
        <f t="shared" si="884"/>
        <v>0.19834378207116182</v>
      </c>
      <c r="EX283" s="528">
        <f t="shared" si="885"/>
        <v>7.2003087662557278E-4</v>
      </c>
      <c r="EY283" s="528">
        <f t="shared" si="886"/>
        <v>20.391109811718653</v>
      </c>
      <c r="EZ283" s="528"/>
      <c r="FA283" s="625">
        <f t="shared" si="887"/>
        <v>2.209574468085107</v>
      </c>
      <c r="FB283" s="460">
        <f t="shared" si="888"/>
        <v>22896.014239758402</v>
      </c>
      <c r="FC283" s="173">
        <f t="shared" si="889"/>
        <v>28.733000750580281</v>
      </c>
      <c r="FD283" s="5">
        <f t="shared" si="890"/>
        <v>51.924999999999997</v>
      </c>
      <c r="FE283" s="173">
        <f t="shared" si="891"/>
        <v>0.6437675062213396</v>
      </c>
      <c r="FF283" s="5">
        <f t="shared" si="892"/>
        <v>64.376750622133954</v>
      </c>
      <c r="FG283">
        <f t="shared" si="893"/>
        <v>67</v>
      </c>
      <c r="FI283" s="562">
        <f t="shared" si="842"/>
        <v>-50</v>
      </c>
    </row>
    <row r="284" spans="5:165">
      <c r="E284" s="170">
        <v>68</v>
      </c>
      <c r="F284" s="217">
        <f t="shared" si="843"/>
        <v>1.7000000000000002</v>
      </c>
      <c r="G284" s="217">
        <f t="shared" si="772"/>
        <v>0.17</v>
      </c>
      <c r="H284" s="217">
        <f t="shared" si="773"/>
        <v>47.600000000000009</v>
      </c>
      <c r="I284" s="217">
        <f t="shared" si="774"/>
        <v>5.1000000000000005</v>
      </c>
      <c r="J284" s="541">
        <f t="shared" si="775"/>
        <v>39.868732640222213</v>
      </c>
      <c r="K284" s="443">
        <f t="shared" si="776"/>
        <v>28.753251710590845</v>
      </c>
      <c r="L284" s="172">
        <f t="shared" si="777"/>
        <v>68.621984350813051</v>
      </c>
      <c r="M284" s="443"/>
      <c r="N284" s="217">
        <f t="shared" si="778"/>
        <v>0.41900933035682708</v>
      </c>
      <c r="O284" s="172">
        <f t="shared" si="779"/>
        <v>125.73935135514431</v>
      </c>
      <c r="P284" s="172">
        <f t="shared" si="780"/>
        <v>14.915509790852576</v>
      </c>
      <c r="Q284" s="217">
        <f t="shared" si="781"/>
        <v>4.4906911198265824</v>
      </c>
      <c r="R284" s="217">
        <f t="shared" si="782"/>
        <v>4.1913117118381438</v>
      </c>
      <c r="S284" s="217">
        <f t="shared" si="783"/>
        <v>28</v>
      </c>
      <c r="T284" s="217">
        <f t="shared" si="784"/>
        <v>6.3093480663233628</v>
      </c>
      <c r="U284" s="217">
        <f t="shared" si="785"/>
        <v>0.74378927916567261</v>
      </c>
      <c r="V284" s="217">
        <f t="shared" si="786"/>
        <v>1.0313246032203447</v>
      </c>
      <c r="W284" s="197">
        <f t="shared" si="787"/>
        <v>350</v>
      </c>
      <c r="X284" s="443">
        <f t="shared" si="844"/>
        <v>350</v>
      </c>
      <c r="Z284" s="217">
        <f t="shared" si="788"/>
        <v>10.15524070866558</v>
      </c>
      <c r="AA284" s="173">
        <f t="shared" si="789"/>
        <v>1.6599733418376366</v>
      </c>
      <c r="AB284" s="173">
        <f t="shared" si="790"/>
        <v>2.6645613353552622</v>
      </c>
      <c r="AC284" s="173"/>
      <c r="AD284" s="173">
        <f t="shared" si="791"/>
        <v>0.54486591027532649</v>
      </c>
      <c r="AE284" s="545">
        <f t="shared" si="792"/>
        <v>1872.0202177533611</v>
      </c>
      <c r="AF284" s="528">
        <f t="shared" si="793"/>
        <v>0.3178384476606072</v>
      </c>
      <c r="AH284" s="173">
        <f t="shared" si="794"/>
        <v>8.0045579720723801</v>
      </c>
      <c r="AI284" s="173">
        <f t="shared" si="795"/>
        <v>8.0045579720723801</v>
      </c>
      <c r="AJ284" s="173">
        <f t="shared" si="796"/>
        <v>4.6601663990659601</v>
      </c>
      <c r="AL284" s="545">
        <f t="shared" si="797"/>
        <v>1700.0000000000002</v>
      </c>
      <c r="AM284" s="460">
        <f t="shared" si="798"/>
        <v>350</v>
      </c>
      <c r="AO284">
        <f t="shared" si="799"/>
        <v>1700.0000000000002</v>
      </c>
      <c r="AP284">
        <f t="shared" si="800"/>
        <v>350</v>
      </c>
      <c r="AR284" s="5">
        <f t="shared" si="771"/>
        <v>2.8571428571428572</v>
      </c>
      <c r="AS284" s="5">
        <f t="shared" si="737"/>
        <v>0.94363226461794292</v>
      </c>
      <c r="AT284" s="5">
        <f t="shared" si="738"/>
        <v>1.9135105925249143</v>
      </c>
      <c r="AU284" s="173">
        <f t="shared" si="739"/>
        <v>0.33027129261628002</v>
      </c>
      <c r="BA284" s="173">
        <f t="shared" si="845"/>
        <v>2.655902575153001</v>
      </c>
      <c r="BB284" s="173">
        <f t="shared" si="846"/>
        <v>3.7820405806986641</v>
      </c>
      <c r="BC284" s="173">
        <f t="shared" si="847"/>
        <v>0.38130409133273419</v>
      </c>
      <c r="BD284" s="173"/>
      <c r="BE284" s="528">
        <f t="shared" si="848"/>
        <v>8.4645821864452117E-2</v>
      </c>
      <c r="BF284" s="528">
        <f t="shared" si="801"/>
        <v>3.5085812639775669</v>
      </c>
      <c r="BG284" s="528">
        <f t="shared" si="849"/>
        <v>4.0250000000000001E-2</v>
      </c>
      <c r="BH284" s="528">
        <f t="shared" si="850"/>
        <v>0.81170986490992703</v>
      </c>
      <c r="BI284">
        <f t="shared" si="851"/>
        <v>1.7940929688099995E-2</v>
      </c>
      <c r="BJ284" s="460">
        <f t="shared" si="852"/>
        <v>58.190929688099999</v>
      </c>
      <c r="BK284">
        <f t="shared" si="802"/>
        <v>4.5186701261179083</v>
      </c>
      <c r="BL284" s="460">
        <f t="shared" si="853"/>
        <v>4463.1278804400463</v>
      </c>
      <c r="BM284" s="173">
        <f t="shared" si="803"/>
        <v>1.1400199999999998</v>
      </c>
      <c r="BN284" s="173">
        <f t="shared" si="804"/>
        <v>8.1430000000000002E-2</v>
      </c>
      <c r="BQ284" s="460">
        <f t="shared" si="854"/>
        <v>1221.4499999999998</v>
      </c>
      <c r="BR284" s="528">
        <f t="shared" si="855"/>
        <v>9.8753458841860792E-2</v>
      </c>
      <c r="BS284" s="528">
        <f t="shared" si="856"/>
        <v>0.20025363335672083</v>
      </c>
      <c r="BT284" s="528">
        <f t="shared" si="857"/>
        <v>7.2696405033541051E-4</v>
      </c>
      <c r="BU284" s="528">
        <f t="shared" si="858"/>
        <v>20.772248093332518</v>
      </c>
      <c r="BV284" s="528"/>
      <c r="BW284" s="625">
        <f t="shared" si="859"/>
        <v>2.2425531914893626</v>
      </c>
      <c r="BX284" s="460">
        <f t="shared" si="860"/>
        <v>23314.535341070798</v>
      </c>
      <c r="BY284" s="173">
        <f t="shared" si="861"/>
        <v>28.999113221510846</v>
      </c>
      <c r="BZ284" s="5">
        <f t="shared" si="862"/>
        <v>52.70000000000001</v>
      </c>
      <c r="CA284" s="173">
        <f t="shared" si="863"/>
        <v>0.64504984108107111</v>
      </c>
      <c r="CB284" s="5">
        <f t="shared" si="864"/>
        <v>64.504984108107109</v>
      </c>
      <c r="CC284">
        <f t="shared" si="865"/>
        <v>68</v>
      </c>
      <c r="CE284" s="562">
        <f t="shared" si="805"/>
        <v>-50</v>
      </c>
      <c r="CG284" s="173">
        <f t="shared" si="806"/>
        <v>0.44693399960173091</v>
      </c>
      <c r="CH284" s="173">
        <f t="shared" si="807"/>
        <v>0.14510411372042045</v>
      </c>
      <c r="CI284" s="170">
        <v>68</v>
      </c>
      <c r="CJ284" s="217">
        <f t="shared" si="866"/>
        <v>1.7000000000000002</v>
      </c>
      <c r="CK284" s="217">
        <f t="shared" si="808"/>
        <v>0.17</v>
      </c>
      <c r="CL284" s="217">
        <f t="shared" si="809"/>
        <v>47.600000000000009</v>
      </c>
      <c r="CM284" s="217">
        <f t="shared" si="810"/>
        <v>5.1000000000000005</v>
      </c>
      <c r="CN284" s="541">
        <f t="shared" si="811"/>
        <v>40</v>
      </c>
      <c r="CO284" s="443">
        <f t="shared" si="812"/>
        <v>28.7</v>
      </c>
      <c r="CP284" s="443">
        <f t="shared" si="813"/>
        <v>68.7</v>
      </c>
      <c r="CQ284" s="443"/>
      <c r="CR284" s="217">
        <f t="shared" si="814"/>
        <v>0.41520467836257302</v>
      </c>
      <c r="CS284" s="172">
        <f t="shared" si="815"/>
        <v>125.00786015217253</v>
      </c>
      <c r="CT284" s="172">
        <f t="shared" si="816"/>
        <v>14.828738512949037</v>
      </c>
      <c r="CU284" s="217">
        <f t="shared" si="817"/>
        <v>4.4645664340061613</v>
      </c>
      <c r="CV284" s="217">
        <f t="shared" si="818"/>
        <v>4.1669286717390843</v>
      </c>
      <c r="CW284" s="217">
        <f t="shared" si="819"/>
        <v>28</v>
      </c>
      <c r="CX284" s="217">
        <f t="shared" si="820"/>
        <v>6.3462676056338054</v>
      </c>
      <c r="CY284" s="217">
        <f t="shared" si="821"/>
        <v>0.74568644366197212</v>
      </c>
      <c r="CZ284" s="217">
        <f t="shared" si="822"/>
        <v>1.0392842420375918</v>
      </c>
      <c r="DA284" s="197">
        <f t="shared" si="823"/>
        <v>350</v>
      </c>
      <c r="DB284" s="443">
        <f t="shared" si="824"/>
        <v>350</v>
      </c>
      <c r="DD284" s="217">
        <f t="shared" si="825"/>
        <v>10.158258230357086</v>
      </c>
      <c r="DE284" s="173">
        <f t="shared" si="826"/>
        <v>1.6635475150758992</v>
      </c>
      <c r="DF284" s="173">
        <f t="shared" si="827"/>
        <v>2.6710919890125213</v>
      </c>
      <c r="DG284" s="173"/>
      <c r="DH284" s="173">
        <f t="shared" si="828"/>
        <v>0.54587688734030204</v>
      </c>
      <c r="DI284" s="545">
        <f t="shared" si="829"/>
        <v>1868.553191489362</v>
      </c>
      <c r="DJ284" s="528">
        <f t="shared" si="830"/>
        <v>0.31842818428184283</v>
      </c>
      <c r="DL284" s="173">
        <f t="shared" si="831"/>
        <v>8.0045579720723801</v>
      </c>
      <c r="DM284" s="173">
        <f t="shared" si="832"/>
        <v>8.0045579720723801</v>
      </c>
      <c r="DN284" s="173">
        <f t="shared" si="833"/>
        <v>4.6601663990659601</v>
      </c>
      <c r="DP284" s="545">
        <f t="shared" si="834"/>
        <v>1700.0000000000002</v>
      </c>
      <c r="DQ284" s="460">
        <f t="shared" si="835"/>
        <v>350</v>
      </c>
      <c r="DS284">
        <f t="shared" si="836"/>
        <v>1700.0000000000002</v>
      </c>
      <c r="DT284">
        <f t="shared" si="837"/>
        <v>350</v>
      </c>
      <c r="DV284" s="5">
        <f t="shared" si="867"/>
        <v>2.8571428571428572</v>
      </c>
      <c r="DW284" s="5">
        <f t="shared" si="838"/>
        <v>0.94053556171850472</v>
      </c>
      <c r="DX284" s="5">
        <f t="shared" si="839"/>
        <v>1.9166072954243525</v>
      </c>
      <c r="DY284" s="173">
        <f t="shared" si="840"/>
        <v>0.32918744660147664</v>
      </c>
      <c r="EA284" s="5">
        <f t="shared" si="868"/>
        <v>5.71039448186235</v>
      </c>
      <c r="EB284" s="5">
        <f t="shared" si="869"/>
        <v>0.532970151640486</v>
      </c>
      <c r="EC284" s="5">
        <f t="shared" si="870"/>
        <v>1.6291162011106997</v>
      </c>
      <c r="ED284" s="5"/>
      <c r="EE284" s="173">
        <f t="shared" si="871"/>
        <v>2.6515410774623582</v>
      </c>
      <c r="EF284" s="173">
        <f t="shared" si="872"/>
        <v>3.785099649584617</v>
      </c>
      <c r="EG284" s="173">
        <f t="shared" si="873"/>
        <v>0.38161250565484256</v>
      </c>
      <c r="EH284" s="173"/>
      <c r="EI284" s="528">
        <f t="shared" si="874"/>
        <v>8.4368041025642923E-2</v>
      </c>
      <c r="EJ284" s="528">
        <f t="shared" si="875"/>
        <v>3.6569223323311282</v>
      </c>
      <c r="EK284" s="528">
        <f t="shared" si="876"/>
        <v>4.0250000000000001E-2</v>
      </c>
      <c r="EL284" s="528">
        <f t="shared" si="877"/>
        <v>0.81355656375000007</v>
      </c>
      <c r="EM284">
        <f t="shared" si="878"/>
        <v>1.7999999999999999E-2</v>
      </c>
      <c r="EN284" s="460">
        <f t="shared" si="879"/>
        <v>58.249999999999993</v>
      </c>
      <c r="EP284" s="460">
        <f t="shared" si="880"/>
        <v>4613.0969371067704</v>
      </c>
      <c r="EQ284" s="173">
        <f t="shared" si="881"/>
        <v>1.19</v>
      </c>
      <c r="ER284" s="173">
        <f t="shared" si="841"/>
        <v>8.1430000000000002E-2</v>
      </c>
      <c r="ES284" s="528"/>
      <c r="EU284" s="460">
        <f t="shared" si="882"/>
        <v>1271.43</v>
      </c>
      <c r="EV284" s="528">
        <f t="shared" si="883"/>
        <v>9.8429381196583413E-2</v>
      </c>
      <c r="EW284" s="528">
        <f t="shared" si="884"/>
        <v>0.20057771100199828</v>
      </c>
      <c r="EX284" s="528">
        <f t="shared" si="885"/>
        <v>7.2814052236083629E-4</v>
      </c>
      <c r="EY284" s="528">
        <f t="shared" si="886"/>
        <v>20.772248093332518</v>
      </c>
      <c r="EZ284" s="528"/>
      <c r="FA284" s="625">
        <f t="shared" si="887"/>
        <v>2.2425531914893626</v>
      </c>
      <c r="FB284" s="460">
        <f t="shared" si="888"/>
        <v>23314.536517542823</v>
      </c>
      <c r="FC284" s="173">
        <f t="shared" si="889"/>
        <v>29.199063454649597</v>
      </c>
      <c r="FD284" s="5">
        <f t="shared" si="890"/>
        <v>52.70000000000001</v>
      </c>
      <c r="FE284" s="173">
        <f t="shared" si="891"/>
        <v>0.64347500175239314</v>
      </c>
      <c r="FF284" s="5">
        <f t="shared" si="892"/>
        <v>64.347500175239318</v>
      </c>
      <c r="FG284">
        <f t="shared" si="893"/>
        <v>68</v>
      </c>
      <c r="FI284" s="562">
        <f t="shared" si="842"/>
        <v>-50</v>
      </c>
    </row>
    <row r="285" spans="5:165">
      <c r="E285" s="170">
        <v>69</v>
      </c>
      <c r="F285" s="217">
        <f t="shared" si="843"/>
        <v>1.7249999999999999</v>
      </c>
      <c r="G285" s="217">
        <f t="shared" si="772"/>
        <v>0.17249999999999999</v>
      </c>
      <c r="H285" s="217">
        <f t="shared" si="773"/>
        <v>48.3</v>
      </c>
      <c r="I285" s="217">
        <f t="shared" si="774"/>
        <v>5.1749999999999998</v>
      </c>
      <c r="J285" s="541">
        <f t="shared" si="775"/>
        <v>39.867770961726322</v>
      </c>
      <c r="K285" s="443">
        <f t="shared" si="776"/>
        <v>28.753641838228294</v>
      </c>
      <c r="L285" s="172">
        <f t="shared" si="777"/>
        <v>68.621412799954612</v>
      </c>
      <c r="M285" s="443"/>
      <c r="N285" s="217">
        <f t="shared" si="778"/>
        <v>0.41901850552175329</v>
      </c>
      <c r="O285" s="172">
        <f t="shared" si="779"/>
        <v>125.73907166458366</v>
      </c>
      <c r="P285" s="172">
        <f t="shared" si="780"/>
        <v>14.915476613273317</v>
      </c>
      <c r="Q285" s="217">
        <f t="shared" si="781"/>
        <v>4.4906811308779879</v>
      </c>
      <c r="R285" s="217">
        <f t="shared" si="782"/>
        <v>4.1913023888194552</v>
      </c>
      <c r="S285" s="217">
        <f t="shared" si="783"/>
        <v>28</v>
      </c>
      <c r="T285" s="217">
        <f t="shared" si="784"/>
        <v>6.4021468374395551</v>
      </c>
      <c r="U285" s="217">
        <f t="shared" si="785"/>
        <v>0.75474724094439249</v>
      </c>
      <c r="V285" s="217">
        <f t="shared" si="786"/>
        <v>1.0464792705305521</v>
      </c>
      <c r="W285" s="197">
        <f t="shared" si="787"/>
        <v>350</v>
      </c>
      <c r="X285" s="443">
        <f t="shared" si="844"/>
        <v>350</v>
      </c>
      <c r="Z285" s="217">
        <f t="shared" si="788"/>
        <v>10.15521811967545</v>
      </c>
      <c r="AA285" s="173">
        <f t="shared" si="789"/>
        <v>1.6599471270807049</v>
      </c>
      <c r="AB285" s="173">
        <f t="shared" si="790"/>
        <v>2.6645133289968572</v>
      </c>
      <c r="AC285" s="173"/>
      <c r="AD285" s="173">
        <f t="shared" si="791"/>
        <v>0.54485851756829129</v>
      </c>
      <c r="AE285" s="545">
        <f t="shared" si="792"/>
        <v>1899.5757001638051</v>
      </c>
      <c r="AF285" s="528">
        <f t="shared" si="793"/>
        <v>0.31783413524816995</v>
      </c>
      <c r="AH285" s="173">
        <f t="shared" si="794"/>
        <v>8.0632002063938017</v>
      </c>
      <c r="AI285" s="173">
        <f t="shared" si="795"/>
        <v>8.0632002063938017</v>
      </c>
      <c r="AJ285" s="173">
        <f t="shared" si="796"/>
        <v>4.703605091155902</v>
      </c>
      <c r="AL285" s="545">
        <f t="shared" si="797"/>
        <v>1724.9999999999998</v>
      </c>
      <c r="AM285" s="460">
        <f t="shared" si="798"/>
        <v>350</v>
      </c>
      <c r="AO285">
        <f t="shared" si="799"/>
        <v>1724.9999999999998</v>
      </c>
      <c r="AP285">
        <f t="shared" si="800"/>
        <v>350</v>
      </c>
      <c r="AR285" s="5">
        <f t="shared" si="771"/>
        <v>2.8571428571428572</v>
      </c>
      <c r="AS285" s="5">
        <f t="shared" si="737"/>
        <v>0.9505683426954723</v>
      </c>
      <c r="AT285" s="5">
        <f t="shared" si="738"/>
        <v>1.9065745144473849</v>
      </c>
      <c r="AU285" s="173">
        <f t="shared" si="739"/>
        <v>0.33269891994341527</v>
      </c>
      <c r="BA285" s="173">
        <f t="shared" si="845"/>
        <v>2.6851744829036592</v>
      </c>
      <c r="BB285" s="173">
        <f t="shared" si="846"/>
        <v>3.8028371670582239</v>
      </c>
      <c r="BC285" s="173">
        <f t="shared" si="847"/>
        <v>0.38340079635095209</v>
      </c>
      <c r="BD285" s="173"/>
      <c r="BE285" s="528">
        <f t="shared" si="848"/>
        <v>8.6521944043643204E-2</v>
      </c>
      <c r="BF285" s="528">
        <f t="shared" si="801"/>
        <v>3.5342560626772759</v>
      </c>
      <c r="BG285" s="528">
        <f t="shared" si="849"/>
        <v>4.0250000000000001E-2</v>
      </c>
      <c r="BH285" s="528">
        <f t="shared" si="850"/>
        <v>0.81169634354232323</v>
      </c>
      <c r="BI285">
        <f t="shared" si="851"/>
        <v>1.7940496932776846E-2</v>
      </c>
      <c r="BJ285" s="460">
        <f t="shared" si="852"/>
        <v>58.190496932776853</v>
      </c>
      <c r="BK285">
        <f t="shared" si="802"/>
        <v>4.549359246049403</v>
      </c>
      <c r="BL285" s="460">
        <f t="shared" si="853"/>
        <v>4490.6648471960189</v>
      </c>
      <c r="BM285" s="173">
        <f t="shared" si="803"/>
        <v>1.1567849999999997</v>
      </c>
      <c r="BN285" s="173">
        <f t="shared" si="804"/>
        <v>8.2627499999999993E-2</v>
      </c>
      <c r="BQ285" s="460">
        <f t="shared" si="854"/>
        <v>1239.4124999999999</v>
      </c>
      <c r="BR285" s="528">
        <f t="shared" si="855"/>
        <v>0.10094226805091708</v>
      </c>
      <c r="BS285" s="528">
        <f t="shared" si="856"/>
        <v>0.20246198726823186</v>
      </c>
      <c r="BT285" s="528">
        <f t="shared" si="857"/>
        <v>7.3498085321272127E-4</v>
      </c>
      <c r="BU285" s="528">
        <f t="shared" si="858"/>
        <v>21.154790241962971</v>
      </c>
      <c r="BV285" s="528"/>
      <c r="BW285" s="625">
        <f t="shared" si="859"/>
        <v>2.2755319148936164</v>
      </c>
      <c r="BX285" s="460">
        <f t="shared" si="860"/>
        <v>23734.461393028949</v>
      </c>
      <c r="BY285" s="173">
        <f t="shared" si="861"/>
        <v>29.464538740224967</v>
      </c>
      <c r="BZ285" s="5">
        <f t="shared" si="862"/>
        <v>53.474999999999994</v>
      </c>
      <c r="CA285" s="173">
        <f t="shared" si="863"/>
        <v>0.64474677352003507</v>
      </c>
      <c r="CB285" s="5">
        <f t="shared" si="864"/>
        <v>64.474677352003511</v>
      </c>
      <c r="CC285">
        <f t="shared" si="865"/>
        <v>69</v>
      </c>
      <c r="CE285" s="562">
        <f t="shared" si="805"/>
        <v>-50</v>
      </c>
      <c r="CG285" s="173">
        <f t="shared" si="806"/>
        <v>0.45020828513033828</v>
      </c>
      <c r="CH285" s="173">
        <f t="shared" si="807"/>
        <v>0.14616716173225117</v>
      </c>
      <c r="CI285" s="170">
        <v>69</v>
      </c>
      <c r="CJ285" s="217">
        <f t="shared" si="866"/>
        <v>1.7249999999999999</v>
      </c>
      <c r="CK285" s="217">
        <f t="shared" si="808"/>
        <v>0.17249999999999999</v>
      </c>
      <c r="CL285" s="217">
        <f t="shared" si="809"/>
        <v>48.3</v>
      </c>
      <c r="CM285" s="217">
        <f t="shared" si="810"/>
        <v>5.1749999999999998</v>
      </c>
      <c r="CN285" s="541">
        <f t="shared" si="811"/>
        <v>40</v>
      </c>
      <c r="CO285" s="443">
        <f t="shared" si="812"/>
        <v>28.7</v>
      </c>
      <c r="CP285" s="443">
        <f t="shared" si="813"/>
        <v>68.7</v>
      </c>
      <c r="CQ285" s="443"/>
      <c r="CR285" s="217">
        <f t="shared" si="814"/>
        <v>0.41520467836257302</v>
      </c>
      <c r="CS285" s="172">
        <f t="shared" si="815"/>
        <v>125.00786015217253</v>
      </c>
      <c r="CT285" s="172">
        <f t="shared" si="816"/>
        <v>14.828738512949037</v>
      </c>
      <c r="CU285" s="217">
        <f t="shared" si="817"/>
        <v>4.4645664340061613</v>
      </c>
      <c r="CV285" s="217">
        <f t="shared" si="818"/>
        <v>4.1669286717390843</v>
      </c>
      <c r="CW285" s="217">
        <f t="shared" si="819"/>
        <v>28</v>
      </c>
      <c r="CX285" s="217">
        <f t="shared" si="820"/>
        <v>6.439595070422536</v>
      </c>
      <c r="CY285" s="217">
        <f t="shared" si="821"/>
        <v>0.75665242077464789</v>
      </c>
      <c r="CZ285" s="217">
        <f t="shared" si="822"/>
        <v>1.0545678338322622</v>
      </c>
      <c r="DA285" s="197">
        <f t="shared" si="823"/>
        <v>350</v>
      </c>
      <c r="DB285" s="443">
        <f t="shared" si="824"/>
        <v>350</v>
      </c>
      <c r="DD285" s="217">
        <f t="shared" si="825"/>
        <v>10.158258230357086</v>
      </c>
      <c r="DE285" s="173">
        <f t="shared" si="826"/>
        <v>1.6635475150758992</v>
      </c>
      <c r="DF285" s="173">
        <f t="shared" si="827"/>
        <v>2.6710919890125213</v>
      </c>
      <c r="DG285" s="173"/>
      <c r="DH285" s="173">
        <f t="shared" si="828"/>
        <v>0.54587688734030204</v>
      </c>
      <c r="DI285" s="545">
        <f t="shared" si="829"/>
        <v>1896.0319148936167</v>
      </c>
      <c r="DJ285" s="528">
        <f t="shared" si="830"/>
        <v>0.31842818428184283</v>
      </c>
      <c r="DL285" s="173">
        <f t="shared" si="831"/>
        <v>8.0632002063938017</v>
      </c>
      <c r="DM285" s="173">
        <f t="shared" si="832"/>
        <v>8.0632002063938017</v>
      </c>
      <c r="DN285" s="173">
        <f t="shared" si="833"/>
        <v>4.703605091155902</v>
      </c>
      <c r="DP285" s="545">
        <f t="shared" si="834"/>
        <v>1724.9999999999998</v>
      </c>
      <c r="DQ285" s="460">
        <f t="shared" si="835"/>
        <v>350</v>
      </c>
      <c r="DS285">
        <f t="shared" si="836"/>
        <v>1724.9999999999998</v>
      </c>
      <c r="DT285">
        <f t="shared" si="837"/>
        <v>350</v>
      </c>
      <c r="DV285" s="5">
        <f t="shared" si="867"/>
        <v>2.8571428571428572</v>
      </c>
      <c r="DW285" s="5">
        <f t="shared" si="838"/>
        <v>0.94742602425127165</v>
      </c>
      <c r="DX285" s="5">
        <f t="shared" si="839"/>
        <v>1.9097168328915854</v>
      </c>
      <c r="DY285" s="173">
        <f t="shared" si="840"/>
        <v>0.33159910848794505</v>
      </c>
      <c r="EA285" s="5">
        <f t="shared" si="868"/>
        <v>5.8368210422622981</v>
      </c>
      <c r="EB285" s="5">
        <f t="shared" si="869"/>
        <v>0.54476996394448118</v>
      </c>
      <c r="EC285" s="5">
        <f t="shared" si="870"/>
        <v>1.6471307683689922</v>
      </c>
      <c r="ED285" s="5"/>
      <c r="EE285" s="173">
        <f t="shared" si="871"/>
        <v>2.6807325834458897</v>
      </c>
      <c r="EF285" s="173">
        <f t="shared" si="872"/>
        <v>3.8059696975735204</v>
      </c>
      <c r="EG285" s="173">
        <f t="shared" si="873"/>
        <v>0.38371661705044507</v>
      </c>
      <c r="EH285" s="173"/>
      <c r="EI285" s="528">
        <f t="shared" si="874"/>
        <v>8.6235926207381686E-2</v>
      </c>
      <c r="EJ285" s="528">
        <f t="shared" si="875"/>
        <v>3.6837133302920404</v>
      </c>
      <c r="EK285" s="528">
        <f t="shared" si="876"/>
        <v>4.0250000000000001E-2</v>
      </c>
      <c r="EL285" s="528">
        <f t="shared" si="877"/>
        <v>0.81355656375000007</v>
      </c>
      <c r="EM285">
        <f t="shared" si="878"/>
        <v>1.7999999999999999E-2</v>
      </c>
      <c r="EN285" s="460">
        <f t="shared" si="879"/>
        <v>58.249999999999993</v>
      </c>
      <c r="EP285" s="460">
        <f t="shared" si="880"/>
        <v>4641.755820249422</v>
      </c>
      <c r="EQ285" s="173">
        <f t="shared" si="881"/>
        <v>1.2074999999999998</v>
      </c>
      <c r="ER285" s="173">
        <f t="shared" si="841"/>
        <v>8.2627499999999993E-2</v>
      </c>
      <c r="ES285" s="528"/>
      <c r="EU285" s="460">
        <f t="shared" si="882"/>
        <v>1290.1274999999998</v>
      </c>
      <c r="EV285" s="528">
        <f t="shared" si="883"/>
        <v>0.10060858057527863</v>
      </c>
      <c r="EW285" s="528">
        <f t="shared" si="884"/>
        <v>0.20279567474387025</v>
      </c>
      <c r="EX285" s="528">
        <f t="shared" si="885"/>
        <v>7.3619221100318963E-4</v>
      </c>
      <c r="EY285" s="528">
        <f t="shared" si="886"/>
        <v>21.154790241962971</v>
      </c>
      <c r="EZ285" s="528"/>
      <c r="FA285" s="625">
        <f t="shared" si="887"/>
        <v>2.2755319148936164</v>
      </c>
      <c r="FB285" s="460">
        <f t="shared" si="888"/>
        <v>23734.462604386739</v>
      </c>
      <c r="FC285" s="173">
        <f t="shared" si="889"/>
        <v>29.666345924636161</v>
      </c>
      <c r="FD285" s="5">
        <f t="shared" si="890"/>
        <v>53.474999999999994</v>
      </c>
      <c r="FE285" s="173">
        <f t="shared" si="891"/>
        <v>0.64318179367065631</v>
      </c>
      <c r="FF285" s="5">
        <f t="shared" si="892"/>
        <v>64.318179367065625</v>
      </c>
      <c r="FG285">
        <f t="shared" si="893"/>
        <v>69</v>
      </c>
      <c r="FI285" s="562">
        <f t="shared" si="842"/>
        <v>-50</v>
      </c>
    </row>
    <row r="286" spans="5:165">
      <c r="E286" s="170">
        <v>70</v>
      </c>
      <c r="F286" s="217">
        <f t="shared" si="843"/>
        <v>1.75</v>
      </c>
      <c r="G286" s="217">
        <f t="shared" si="772"/>
        <v>0.17499999999999999</v>
      </c>
      <c r="H286" s="217">
        <f t="shared" si="773"/>
        <v>49</v>
      </c>
      <c r="I286" s="217">
        <f t="shared" si="774"/>
        <v>5.25</v>
      </c>
      <c r="J286" s="541">
        <f t="shared" si="775"/>
        <v>39.866816227029972</v>
      </c>
      <c r="K286" s="443">
        <f t="shared" si="776"/>
        <v>28.754029148949158</v>
      </c>
      <c r="L286" s="172">
        <f t="shared" si="777"/>
        <v>68.62084537597913</v>
      </c>
      <c r="M286" s="443"/>
      <c r="N286" s="217">
        <f t="shared" si="778"/>
        <v>0.41902761458859217</v>
      </c>
      <c r="O286" s="172">
        <f t="shared" si="779"/>
        <v>125.73879390750434</v>
      </c>
      <c r="P286" s="172">
        <f t="shared" si="780"/>
        <v>14.915443665048347</v>
      </c>
      <c r="Q286" s="217">
        <f t="shared" si="781"/>
        <v>4.4906712109822982</v>
      </c>
      <c r="R286" s="217">
        <f t="shared" si="782"/>
        <v>4.1912931302501448</v>
      </c>
      <c r="S286" s="217">
        <f t="shared" si="783"/>
        <v>28</v>
      </c>
      <c r="T286" s="217">
        <f t="shared" si="784"/>
        <v>6.4949459215222074</v>
      </c>
      <c r="U286" s="217">
        <f t="shared" si="785"/>
        <v>0.76570563491491883</v>
      </c>
      <c r="V286" s="217">
        <f t="shared" si="786"/>
        <v>1.0616336817711678</v>
      </c>
      <c r="W286" s="197">
        <f t="shared" si="787"/>
        <v>350</v>
      </c>
      <c r="X286" s="443">
        <f t="shared" si="844"/>
        <v>350</v>
      </c>
      <c r="Z286" s="217">
        <f t="shared" si="788"/>
        <v>10.155195686841427</v>
      </c>
      <c r="AA286" s="173">
        <f t="shared" si="789"/>
        <v>1.6599211011754511</v>
      </c>
      <c r="AB286" s="173">
        <f t="shared" si="790"/>
        <v>2.6644656669372466</v>
      </c>
      <c r="AC286" s="173"/>
      <c r="AD286" s="173">
        <f t="shared" si="791"/>
        <v>0.54485117843873432</v>
      </c>
      <c r="AE286" s="545">
        <f t="shared" si="792"/>
        <v>1927.1317408338264</v>
      </c>
      <c r="AF286" s="528">
        <f t="shared" si="793"/>
        <v>0.31782985408926173</v>
      </c>
      <c r="AH286" s="173">
        <f t="shared" si="794"/>
        <v>8.1214190144648146</v>
      </c>
      <c r="AI286" s="173">
        <f t="shared" si="795"/>
        <v>8.1214190144648146</v>
      </c>
      <c r="AJ286" s="173">
        <f t="shared" si="796"/>
        <v>4.7467301341714672</v>
      </c>
      <c r="AL286" s="545">
        <f t="shared" si="797"/>
        <v>1750</v>
      </c>
      <c r="AM286" s="460">
        <f t="shared" si="798"/>
        <v>350</v>
      </c>
      <c r="AO286">
        <f t="shared" si="799"/>
        <v>1750</v>
      </c>
      <c r="AP286">
        <f t="shared" si="800"/>
        <v>350</v>
      </c>
      <c r="AR286" s="5">
        <f t="shared" si="771"/>
        <v>2.8571428571428572</v>
      </c>
      <c r="AS286" s="5">
        <f t="shared" si="737"/>
        <v>0.9574546698340225</v>
      </c>
      <c r="AT286" s="5">
        <f t="shared" si="738"/>
        <v>1.8996881873088347</v>
      </c>
      <c r="AU286" s="173">
        <f t="shared" si="739"/>
        <v>0.33510913444190787</v>
      </c>
      <c r="BA286" s="173">
        <f t="shared" si="845"/>
        <v>2.7143411054372035</v>
      </c>
      <c r="BB286" s="173">
        <f t="shared" si="846"/>
        <v>3.8233712828040676</v>
      </c>
      <c r="BC286" s="173">
        <f t="shared" si="847"/>
        <v>0.38547103916795106</v>
      </c>
      <c r="BD286" s="173"/>
      <c r="BE286" s="528">
        <f t="shared" si="848"/>
        <v>8.8411771639992726E-2</v>
      </c>
      <c r="BF286" s="528">
        <f t="shared" si="801"/>
        <v>3.5597450529404986</v>
      </c>
      <c r="BG286" s="528">
        <f t="shared" si="849"/>
        <v>4.0250000000000001E-2</v>
      </c>
      <c r="BH286" s="528">
        <f t="shared" si="850"/>
        <v>0.81168291991715691</v>
      </c>
      <c r="BI286">
        <f t="shared" si="851"/>
        <v>1.7940067302163486E-2</v>
      </c>
      <c r="BJ286" s="460">
        <f t="shared" si="852"/>
        <v>58.190067302163484</v>
      </c>
      <c r="BK286">
        <f t="shared" si="802"/>
        <v>4.5799196317669661</v>
      </c>
      <c r="BL286" s="460">
        <f t="shared" si="853"/>
        <v>4518.0298117998118</v>
      </c>
      <c r="BM286" s="173">
        <f t="shared" si="803"/>
        <v>1.1735499999999999</v>
      </c>
      <c r="BN286" s="173">
        <f t="shared" si="804"/>
        <v>8.3824999999999997E-2</v>
      </c>
      <c r="BQ286" s="460">
        <f t="shared" si="854"/>
        <v>1257.375</v>
      </c>
      <c r="BR286" s="528">
        <f t="shared" si="855"/>
        <v>0.10314706691332484</v>
      </c>
      <c r="BS286" s="528">
        <f t="shared" si="856"/>
        <v>0.2046543515263915</v>
      </c>
      <c r="BT286" s="528">
        <f t="shared" si="857"/>
        <v>7.429396101861004E-4</v>
      </c>
      <c r="BU286" s="528">
        <f t="shared" si="858"/>
        <v>21.53872096942856</v>
      </c>
      <c r="BV286" s="528"/>
      <c r="BW286" s="625">
        <f t="shared" si="859"/>
        <v>2.3085106382978724</v>
      </c>
      <c r="BX286" s="460">
        <f t="shared" si="860"/>
        <v>24155.775965776334</v>
      </c>
      <c r="BY286" s="173">
        <f t="shared" si="861"/>
        <v>29.931180777576145</v>
      </c>
      <c r="BZ286" s="5">
        <f t="shared" si="862"/>
        <v>54.25</v>
      </c>
      <c r="CA286" s="173">
        <f t="shared" si="863"/>
        <v>0.64444332449243691</v>
      </c>
      <c r="CB286" s="5">
        <f t="shared" si="864"/>
        <v>64.444332449243689</v>
      </c>
      <c r="CC286">
        <f t="shared" si="865"/>
        <v>70</v>
      </c>
      <c r="CE286" s="562">
        <f t="shared" si="805"/>
        <v>-50</v>
      </c>
      <c r="CG286" s="173">
        <f t="shared" si="806"/>
        <v>0.45345892868042637</v>
      </c>
      <c r="CH286" s="173">
        <f t="shared" si="807"/>
        <v>0.14722253400595789</v>
      </c>
      <c r="CI286" s="170">
        <v>70</v>
      </c>
      <c r="CJ286" s="217">
        <f t="shared" si="866"/>
        <v>1.75</v>
      </c>
      <c r="CK286" s="217">
        <f t="shared" si="808"/>
        <v>0.17499999999999999</v>
      </c>
      <c r="CL286" s="217">
        <f t="shared" si="809"/>
        <v>49</v>
      </c>
      <c r="CM286" s="217">
        <f t="shared" si="810"/>
        <v>5.25</v>
      </c>
      <c r="CN286" s="541">
        <f t="shared" si="811"/>
        <v>40</v>
      </c>
      <c r="CO286" s="443">
        <f t="shared" si="812"/>
        <v>28.7</v>
      </c>
      <c r="CP286" s="443">
        <f t="shared" si="813"/>
        <v>68.7</v>
      </c>
      <c r="CQ286" s="443"/>
      <c r="CR286" s="217">
        <f t="shared" si="814"/>
        <v>0.41520467836257302</v>
      </c>
      <c r="CS286" s="172">
        <f t="shared" si="815"/>
        <v>125.00786015217253</v>
      </c>
      <c r="CT286" s="172">
        <f t="shared" si="816"/>
        <v>14.828738512949037</v>
      </c>
      <c r="CU286" s="217">
        <f t="shared" si="817"/>
        <v>4.4645664340061613</v>
      </c>
      <c r="CV286" s="217">
        <f t="shared" si="818"/>
        <v>4.1669286717390843</v>
      </c>
      <c r="CW286" s="217">
        <f t="shared" si="819"/>
        <v>28</v>
      </c>
      <c r="CX286" s="217">
        <f t="shared" si="820"/>
        <v>6.5329225352112692</v>
      </c>
      <c r="CY286" s="217">
        <f t="shared" si="821"/>
        <v>0.76761839788732411</v>
      </c>
      <c r="CZ286" s="217">
        <f t="shared" si="822"/>
        <v>1.0698514256269325</v>
      </c>
      <c r="DA286" s="197">
        <f t="shared" si="823"/>
        <v>350</v>
      </c>
      <c r="DB286" s="443">
        <f t="shared" si="824"/>
        <v>350</v>
      </c>
      <c r="DD286" s="217">
        <f t="shared" si="825"/>
        <v>10.158258230357086</v>
      </c>
      <c r="DE286" s="173">
        <f t="shared" si="826"/>
        <v>1.6635475150758992</v>
      </c>
      <c r="DF286" s="173">
        <f t="shared" si="827"/>
        <v>2.6710919890125213</v>
      </c>
      <c r="DG286" s="173"/>
      <c r="DH286" s="173">
        <f t="shared" si="828"/>
        <v>0.54587688734030204</v>
      </c>
      <c r="DI286" s="545">
        <f t="shared" si="829"/>
        <v>1923.5106382978722</v>
      </c>
      <c r="DJ286" s="528">
        <f t="shared" si="830"/>
        <v>0.31842818428184283</v>
      </c>
      <c r="DL286" s="173">
        <f t="shared" si="831"/>
        <v>8.1214190144648146</v>
      </c>
      <c r="DM286" s="173">
        <f t="shared" si="832"/>
        <v>8.1214190144648146</v>
      </c>
      <c r="DN286" s="173">
        <f t="shared" si="833"/>
        <v>4.7467301341714672</v>
      </c>
      <c r="DP286" s="545">
        <f t="shared" si="834"/>
        <v>1750</v>
      </c>
      <c r="DQ286" s="460">
        <f t="shared" si="835"/>
        <v>350</v>
      </c>
      <c r="DS286">
        <f t="shared" si="836"/>
        <v>1750</v>
      </c>
      <c r="DT286">
        <f t="shared" si="837"/>
        <v>350</v>
      </c>
      <c r="DV286" s="5">
        <f t="shared" si="867"/>
        <v>2.8571428571428572</v>
      </c>
      <c r="DW286" s="5">
        <f t="shared" si="838"/>
        <v>0.95426673419961572</v>
      </c>
      <c r="DX286" s="5">
        <f t="shared" si="839"/>
        <v>1.9028761229432414</v>
      </c>
      <c r="DY286" s="173">
        <f t="shared" si="840"/>
        <v>0.33399335696986548</v>
      </c>
      <c r="EA286" s="5">
        <f t="shared" si="868"/>
        <v>5.9641670887475993</v>
      </c>
      <c r="EB286" s="5">
        <f t="shared" si="869"/>
        <v>0.55665559494977579</v>
      </c>
      <c r="EC286" s="5">
        <f t="shared" si="870"/>
        <v>1.6650166075753361</v>
      </c>
      <c r="ED286" s="5"/>
      <c r="EE286" s="173">
        <f t="shared" si="871"/>
        <v>2.7098185103272021</v>
      </c>
      <c r="EF286" s="173">
        <f t="shared" si="872"/>
        <v>3.8265780070351298</v>
      </c>
      <c r="EG286" s="173">
        <f t="shared" si="873"/>
        <v>0.3857943400535418</v>
      </c>
      <c r="EH286" s="173"/>
      <c r="EI286" s="528">
        <f t="shared" si="874"/>
        <v>8.8117396306943249E-2</v>
      </c>
      <c r="EJ286" s="528">
        <f t="shared" si="875"/>
        <v>3.7103108838533227</v>
      </c>
      <c r="EK286" s="528">
        <f t="shared" si="876"/>
        <v>4.0250000000000001E-2</v>
      </c>
      <c r="EL286" s="528">
        <f t="shared" si="877"/>
        <v>0.81355656375000007</v>
      </c>
      <c r="EM286">
        <f t="shared" si="878"/>
        <v>1.7999999999999999E-2</v>
      </c>
      <c r="EN286" s="460">
        <f t="shared" si="879"/>
        <v>58.249999999999993</v>
      </c>
      <c r="EP286" s="460">
        <f t="shared" si="880"/>
        <v>4670.2348439102661</v>
      </c>
      <c r="EQ286" s="173">
        <f t="shared" si="881"/>
        <v>1.2249999999999999</v>
      </c>
      <c r="ER286" s="173">
        <f t="shared" si="841"/>
        <v>8.3824999999999997E-2</v>
      </c>
      <c r="ES286" s="528"/>
      <c r="EU286" s="460">
        <f t="shared" si="882"/>
        <v>1308.8249999999998</v>
      </c>
      <c r="EV286" s="528">
        <f t="shared" si="883"/>
        <v>0.10280362902476711</v>
      </c>
      <c r="EW286" s="528">
        <f t="shared" si="884"/>
        <v>0.20499778941494926</v>
      </c>
      <c r="EX286" s="528">
        <f t="shared" si="885"/>
        <v>7.4418636408673925E-4</v>
      </c>
      <c r="EY286" s="528">
        <f t="shared" si="886"/>
        <v>21.53872096942856</v>
      </c>
      <c r="EZ286" s="528"/>
      <c r="FA286" s="625">
        <f t="shared" si="887"/>
        <v>2.3085106382978724</v>
      </c>
      <c r="FB286" s="460">
        <f t="shared" si="888"/>
        <v>24155.777212530236</v>
      </c>
      <c r="FC286" s="173">
        <f t="shared" si="889"/>
        <v>30.134837056440499</v>
      </c>
      <c r="FD286" s="5">
        <f t="shared" si="890"/>
        <v>54.25</v>
      </c>
      <c r="FE286" s="173">
        <f t="shared" si="891"/>
        <v>0.64288801036275123</v>
      </c>
      <c r="FF286" s="5">
        <f t="shared" si="892"/>
        <v>64.288801036275117</v>
      </c>
      <c r="FG286">
        <f t="shared" si="893"/>
        <v>70</v>
      </c>
      <c r="FI286" s="562">
        <f t="shared" si="842"/>
        <v>-50</v>
      </c>
    </row>
    <row r="287" spans="5:165">
      <c r="E287" s="170">
        <v>71</v>
      </c>
      <c r="F287" s="217">
        <f t="shared" si="843"/>
        <v>1.7749999999999999</v>
      </c>
      <c r="G287" s="217">
        <f t="shared" si="772"/>
        <v>0.17749999999999999</v>
      </c>
      <c r="H287" s="217">
        <f t="shared" si="773"/>
        <v>49.699999999999996</v>
      </c>
      <c r="I287" s="217">
        <f t="shared" si="774"/>
        <v>5.3249999999999993</v>
      </c>
      <c r="J287" s="541">
        <f t="shared" si="775"/>
        <v>39.865868287857481</v>
      </c>
      <c r="K287" s="443">
        <f t="shared" si="776"/>
        <v>28.754413702904966</v>
      </c>
      <c r="L287" s="172">
        <f t="shared" si="777"/>
        <v>68.62028199076245</v>
      </c>
      <c r="M287" s="443"/>
      <c r="N287" s="217">
        <f t="shared" si="778"/>
        <v>0.41903665896878473</v>
      </c>
      <c r="O287" s="172">
        <f t="shared" si="779"/>
        <v>125.73851804261719</v>
      </c>
      <c r="P287" s="172">
        <f t="shared" si="780"/>
        <v>14.915410941279845</v>
      </c>
      <c r="Q287" s="217">
        <f t="shared" si="781"/>
        <v>4.4906613586648998</v>
      </c>
      <c r="R287" s="217">
        <f t="shared" si="782"/>
        <v>4.1912839347539066</v>
      </c>
      <c r="S287" s="217">
        <f t="shared" si="783"/>
        <v>28</v>
      </c>
      <c r="T287" s="217">
        <f t="shared" si="784"/>
        <v>6.5877453164557105</v>
      </c>
      <c r="U287" s="217">
        <f t="shared" si="785"/>
        <v>0.77666445802141226</v>
      </c>
      <c r="V287" s="217">
        <f t="shared" si="786"/>
        <v>1.0767878388079883</v>
      </c>
      <c r="W287" s="197">
        <f t="shared" si="787"/>
        <v>350</v>
      </c>
      <c r="X287" s="443">
        <f t="shared" si="844"/>
        <v>350</v>
      </c>
      <c r="Z287" s="217">
        <f t="shared" si="788"/>
        <v>10.15517340682883</v>
      </c>
      <c r="AA287" s="173">
        <f t="shared" si="789"/>
        <v>1.6598952600891863</v>
      </c>
      <c r="AB287" s="173">
        <f t="shared" si="790"/>
        <v>2.664418341824411</v>
      </c>
      <c r="AC287" s="173"/>
      <c r="AD287" s="173">
        <f t="shared" si="791"/>
        <v>0.54484389174257153</v>
      </c>
      <c r="AE287" s="545">
        <f t="shared" si="792"/>
        <v>1954.6883357613053</v>
      </c>
      <c r="AF287" s="528">
        <f t="shared" si="793"/>
        <v>0.31782560351650008</v>
      </c>
      <c r="AH287" s="173">
        <f t="shared" si="794"/>
        <v>8.1792234379941107</v>
      </c>
      <c r="AI287" s="173">
        <f t="shared" si="795"/>
        <v>8.1792234379941107</v>
      </c>
      <c r="AJ287" s="173">
        <f t="shared" si="796"/>
        <v>4.7895482256746496</v>
      </c>
      <c r="AL287" s="545">
        <f t="shared" si="797"/>
        <v>1775</v>
      </c>
      <c r="AM287" s="460">
        <f t="shared" si="798"/>
        <v>350</v>
      </c>
      <c r="AO287">
        <f t="shared" si="799"/>
        <v>1775</v>
      </c>
      <c r="AP287">
        <f t="shared" si="800"/>
        <v>350</v>
      </c>
      <c r="AR287" s="5">
        <f t="shared" si="771"/>
        <v>2.8571428571428572</v>
      </c>
      <c r="AS287" s="5">
        <f t="shared" si="737"/>
        <v>0.96429230842267288</v>
      </c>
      <c r="AT287" s="5">
        <f t="shared" si="738"/>
        <v>1.8928505487201843</v>
      </c>
      <c r="AU287" s="173">
        <f t="shared" si="739"/>
        <v>0.33750230794793551</v>
      </c>
      <c r="BA287" s="173">
        <f t="shared" si="845"/>
        <v>2.7434043217280695</v>
      </c>
      <c r="BB287" s="173">
        <f t="shared" si="846"/>
        <v>3.8436481902485755</v>
      </c>
      <c r="BC287" s="173">
        <f t="shared" si="847"/>
        <v>0.38751535032834</v>
      </c>
      <c r="BD287" s="173"/>
      <c r="BE287" s="528">
        <f t="shared" si="848"/>
        <v>9.0315207269714981E-2</v>
      </c>
      <c r="BF287" s="528">
        <f t="shared" si="801"/>
        <v>3.5850522024611431</v>
      </c>
      <c r="BG287" s="528">
        <f t="shared" si="849"/>
        <v>4.0250000000000001E-2</v>
      </c>
      <c r="BH287" s="528">
        <f t="shared" si="850"/>
        <v>0.81166959194726673</v>
      </c>
      <c r="BI287">
        <f t="shared" si="851"/>
        <v>1.7939640729535865E-2</v>
      </c>
      <c r="BJ287" s="460">
        <f t="shared" si="852"/>
        <v>58.18964072953586</v>
      </c>
      <c r="BK287">
        <f t="shared" si="802"/>
        <v>4.6103552283174709</v>
      </c>
      <c r="BL287" s="460">
        <f t="shared" si="853"/>
        <v>4545.2266424076606</v>
      </c>
      <c r="BM287" s="173">
        <f t="shared" si="803"/>
        <v>1.1903149999999998</v>
      </c>
      <c r="BN287" s="173">
        <f t="shared" si="804"/>
        <v>8.5022499999999987E-2</v>
      </c>
      <c r="BQ287" s="460">
        <f t="shared" si="854"/>
        <v>1275.3374999999999</v>
      </c>
      <c r="BR287" s="528">
        <f t="shared" si="855"/>
        <v>0.10536774181466749</v>
      </c>
      <c r="BS287" s="528">
        <f t="shared" si="856"/>
        <v>0.20683083974561609</v>
      </c>
      <c r="BT287" s="528">
        <f t="shared" si="857"/>
        <v>7.5084073370048038E-4</v>
      </c>
      <c r="BU287" s="528">
        <f t="shared" si="858"/>
        <v>21.924025370476922</v>
      </c>
      <c r="BV287" s="528"/>
      <c r="BW287" s="625">
        <f t="shared" si="859"/>
        <v>2.3414893617021271</v>
      </c>
      <c r="BX287" s="460">
        <f t="shared" si="860"/>
        <v>24578.464154473033</v>
      </c>
      <c r="BY287" s="173">
        <f t="shared" si="861"/>
        <v>30.399028296880694</v>
      </c>
      <c r="BZ287" s="5">
        <f t="shared" si="862"/>
        <v>55.024999999999991</v>
      </c>
      <c r="CA287" s="173">
        <f t="shared" si="863"/>
        <v>0.64413960681843963</v>
      </c>
      <c r="CB287" s="5">
        <f t="shared" si="864"/>
        <v>64.41396068184396</v>
      </c>
      <c r="CC287">
        <f t="shared" si="865"/>
        <v>71</v>
      </c>
      <c r="CE287" s="562">
        <f t="shared" si="805"/>
        <v>-50</v>
      </c>
      <c r="CG287" s="173">
        <f t="shared" si="806"/>
        <v>0.45668643509524121</v>
      </c>
      <c r="CH287" s="173">
        <f t="shared" si="807"/>
        <v>0.14827039444679707</v>
      </c>
      <c r="CI287" s="170">
        <v>71</v>
      </c>
      <c r="CJ287" s="217">
        <f t="shared" si="866"/>
        <v>1.7749999999999999</v>
      </c>
      <c r="CK287" s="217">
        <f t="shared" si="808"/>
        <v>0.17749999999999999</v>
      </c>
      <c r="CL287" s="217">
        <f t="shared" si="809"/>
        <v>49.699999999999996</v>
      </c>
      <c r="CM287" s="217">
        <f t="shared" si="810"/>
        <v>5.3249999999999993</v>
      </c>
      <c r="CN287" s="541">
        <f t="shared" si="811"/>
        <v>40</v>
      </c>
      <c r="CO287" s="443">
        <f t="shared" si="812"/>
        <v>28.7</v>
      </c>
      <c r="CP287" s="443">
        <f t="shared" si="813"/>
        <v>68.7</v>
      </c>
      <c r="CQ287" s="443"/>
      <c r="CR287" s="217">
        <f t="shared" si="814"/>
        <v>0.41520467836257302</v>
      </c>
      <c r="CS287" s="172">
        <f t="shared" si="815"/>
        <v>125.00786015217253</v>
      </c>
      <c r="CT287" s="172">
        <f t="shared" si="816"/>
        <v>14.828738512949037</v>
      </c>
      <c r="CU287" s="217">
        <f t="shared" si="817"/>
        <v>4.4645664340061613</v>
      </c>
      <c r="CV287" s="217">
        <f t="shared" si="818"/>
        <v>4.1669286717390843</v>
      </c>
      <c r="CW287" s="217">
        <f t="shared" si="819"/>
        <v>28</v>
      </c>
      <c r="CX287" s="217">
        <f t="shared" si="820"/>
        <v>6.6262500000000006</v>
      </c>
      <c r="CY287" s="217">
        <f t="shared" si="821"/>
        <v>0.778584375</v>
      </c>
      <c r="CZ287" s="217">
        <f t="shared" si="822"/>
        <v>1.0851350174216028</v>
      </c>
      <c r="DA287" s="197">
        <f t="shared" si="823"/>
        <v>350</v>
      </c>
      <c r="DB287" s="443">
        <f t="shared" si="824"/>
        <v>350</v>
      </c>
      <c r="DD287" s="217">
        <f t="shared" si="825"/>
        <v>10.158258230357086</v>
      </c>
      <c r="DE287" s="173">
        <f t="shared" si="826"/>
        <v>1.6635475150758992</v>
      </c>
      <c r="DF287" s="173">
        <f t="shared" si="827"/>
        <v>2.6710919890125213</v>
      </c>
      <c r="DG287" s="173"/>
      <c r="DH287" s="173">
        <f t="shared" si="828"/>
        <v>0.54587688734030204</v>
      </c>
      <c r="DI287" s="545">
        <f t="shared" si="829"/>
        <v>1950.9893617021273</v>
      </c>
      <c r="DJ287" s="528">
        <f t="shared" si="830"/>
        <v>0.31842818428184283</v>
      </c>
      <c r="DL287" s="173">
        <f t="shared" si="831"/>
        <v>8.1792234379941107</v>
      </c>
      <c r="DM287" s="173">
        <f t="shared" si="832"/>
        <v>8.1792234379941107</v>
      </c>
      <c r="DN287" s="173">
        <f t="shared" si="833"/>
        <v>4.7895482256746496</v>
      </c>
      <c r="DP287" s="545">
        <f t="shared" si="834"/>
        <v>1775</v>
      </c>
      <c r="DQ287" s="460">
        <f t="shared" si="835"/>
        <v>350</v>
      </c>
      <c r="DS287">
        <f t="shared" si="836"/>
        <v>1775</v>
      </c>
      <c r="DT287">
        <f t="shared" si="837"/>
        <v>350</v>
      </c>
      <c r="DV287" s="5">
        <f t="shared" si="867"/>
        <v>2.8571428571428572</v>
      </c>
      <c r="DW287" s="5">
        <f t="shared" si="838"/>
        <v>0.96105875396430807</v>
      </c>
      <c r="DX287" s="5">
        <f t="shared" si="839"/>
        <v>1.8960841031785491</v>
      </c>
      <c r="DY287" s="173">
        <f t="shared" si="840"/>
        <v>0.3363705638875078</v>
      </c>
      <c r="EA287" s="5">
        <f t="shared" si="868"/>
        <v>6.0924260295951669</v>
      </c>
      <c r="EB287" s="5">
        <f t="shared" si="869"/>
        <v>0.5686264294288822</v>
      </c>
      <c r="EC287" s="5">
        <f t="shared" si="870"/>
        <v>1.6827746415709621</v>
      </c>
      <c r="ED287" s="5"/>
      <c r="EE287" s="173">
        <f t="shared" si="871"/>
        <v>2.738800740213454</v>
      </c>
      <c r="EF287" s="173">
        <f t="shared" si="872"/>
        <v>3.8469298392723039</v>
      </c>
      <c r="EG287" s="173">
        <f t="shared" si="873"/>
        <v>0.38784620510696177</v>
      </c>
      <c r="EH287" s="173"/>
      <c r="EI287" s="528">
        <f t="shared" si="874"/>
        <v>9.0012353935125161E-2</v>
      </c>
      <c r="EJ287" s="528">
        <f t="shared" si="875"/>
        <v>3.7367191237648001</v>
      </c>
      <c r="EK287" s="528">
        <f t="shared" si="876"/>
        <v>4.0250000000000001E-2</v>
      </c>
      <c r="EL287" s="528">
        <f t="shared" si="877"/>
        <v>0.81355656375000007</v>
      </c>
      <c r="EM287">
        <f t="shared" si="878"/>
        <v>1.7999999999999999E-2</v>
      </c>
      <c r="EN287" s="460">
        <f t="shared" si="879"/>
        <v>58.249999999999993</v>
      </c>
      <c r="EP287" s="460">
        <f t="shared" si="880"/>
        <v>4698.5380414499241</v>
      </c>
      <c r="EQ287" s="173">
        <f t="shared" si="881"/>
        <v>1.2424999999999999</v>
      </c>
      <c r="ER287" s="173">
        <f t="shared" si="841"/>
        <v>8.5022499999999987E-2</v>
      </c>
      <c r="ES287" s="528"/>
      <c r="EU287" s="460">
        <f t="shared" si="882"/>
        <v>1327.5225</v>
      </c>
      <c r="EV287" s="528">
        <f t="shared" si="883"/>
        <v>0.10501441292431268</v>
      </c>
      <c r="EW287" s="528">
        <f t="shared" si="884"/>
        <v>0.20718416863597089</v>
      </c>
      <c r="EX287" s="528">
        <f t="shared" si="885"/>
        <v>7.521233940793573E-4</v>
      </c>
      <c r="EY287" s="528">
        <f t="shared" si="886"/>
        <v>21.924025370476922</v>
      </c>
      <c r="EZ287" s="528"/>
      <c r="FA287" s="625">
        <f t="shared" si="887"/>
        <v>2.3414893617021271</v>
      </c>
      <c r="FB287" s="460">
        <f t="shared" si="888"/>
        <v>24578.465437133415</v>
      </c>
      <c r="FC287" s="173">
        <f t="shared" si="889"/>
        <v>30.604525978583336</v>
      </c>
      <c r="FD287" s="5">
        <f t="shared" si="890"/>
        <v>55.024999999999991</v>
      </c>
      <c r="FE287" s="173">
        <f t="shared" si="891"/>
        <v>0.64259377091217584</v>
      </c>
      <c r="FF287" s="5">
        <f t="shared" si="892"/>
        <v>64.259377091217587</v>
      </c>
      <c r="FG287">
        <f t="shared" si="893"/>
        <v>71</v>
      </c>
      <c r="FI287" s="562">
        <f t="shared" si="842"/>
        <v>-50</v>
      </c>
    </row>
    <row r="288" spans="5:165">
      <c r="E288" s="170">
        <v>72</v>
      </c>
      <c r="F288" s="217">
        <f t="shared" si="843"/>
        <v>1.7999999999999998</v>
      </c>
      <c r="G288" s="217">
        <f t="shared" si="772"/>
        <v>0.18</v>
      </c>
      <c r="H288" s="217">
        <f t="shared" si="773"/>
        <v>50.399999999999991</v>
      </c>
      <c r="I288" s="217">
        <f t="shared" si="774"/>
        <v>5.3999999999999995</v>
      </c>
      <c r="J288" s="541">
        <f t="shared" si="775"/>
        <v>39.864927001136301</v>
      </c>
      <c r="K288" s="443">
        <f t="shared" si="776"/>
        <v>28.75479555813649</v>
      </c>
      <c r="L288" s="172">
        <f t="shared" si="777"/>
        <v>68.619722559272788</v>
      </c>
      <c r="M288" s="443"/>
      <c r="N288" s="217">
        <f t="shared" si="778"/>
        <v>0.41904564002424355</v>
      </c>
      <c r="O288" s="172">
        <f t="shared" si="779"/>
        <v>125.7382440300821</v>
      </c>
      <c r="P288" s="172">
        <f t="shared" si="780"/>
        <v>14.915378437241882</v>
      </c>
      <c r="Q288" s="217">
        <f t="shared" si="781"/>
        <v>4.4906515725029319</v>
      </c>
      <c r="R288" s="217">
        <f t="shared" si="782"/>
        <v>4.191274801002737</v>
      </c>
      <c r="S288" s="217">
        <f t="shared" si="783"/>
        <v>28</v>
      </c>
      <c r="T288" s="217">
        <f t="shared" si="784"/>
        <v>6.6805450201693208</v>
      </c>
      <c r="U288" s="217">
        <f t="shared" si="785"/>
        <v>0.78762370727283226</v>
      </c>
      <c r="V288" s="217">
        <f t="shared" si="786"/>
        <v>1.0919417434672469</v>
      </c>
      <c r="W288" s="197">
        <f t="shared" si="787"/>
        <v>350</v>
      </c>
      <c r="X288" s="443">
        <f t="shared" si="844"/>
        <v>350</v>
      </c>
      <c r="Z288" s="217">
        <f t="shared" si="788"/>
        <v>10.155151276420005</v>
      </c>
      <c r="AA288" s="173">
        <f t="shared" si="789"/>
        <v>1.6598695999307327</v>
      </c>
      <c r="AB288" s="173">
        <f t="shared" si="790"/>
        <v>2.6643713465643222</v>
      </c>
      <c r="AC288" s="173"/>
      <c r="AD288" s="173">
        <f t="shared" si="791"/>
        <v>0.5448366563758652</v>
      </c>
      <c r="AE288" s="545">
        <f t="shared" si="792"/>
        <v>1982.2454810289837</v>
      </c>
      <c r="AF288" s="528">
        <f t="shared" si="793"/>
        <v>0.31782138288592143</v>
      </c>
      <c r="AH288" s="173">
        <f t="shared" si="794"/>
        <v>8.2366222014096167</v>
      </c>
      <c r="AI288" s="173">
        <f t="shared" si="795"/>
        <v>8.2366222014096167</v>
      </c>
      <c r="AJ288" s="173">
        <f t="shared" si="796"/>
        <v>4.8320658282046542</v>
      </c>
      <c r="AL288" s="545">
        <f t="shared" si="797"/>
        <v>1799.9999999999998</v>
      </c>
      <c r="AM288" s="460">
        <f t="shared" si="798"/>
        <v>350</v>
      </c>
      <c r="AO288">
        <f t="shared" si="799"/>
        <v>1799.9999999999998</v>
      </c>
      <c r="AP288">
        <f t="shared" si="800"/>
        <v>350</v>
      </c>
      <c r="AR288" s="5">
        <f t="shared" si="771"/>
        <v>2.8571428571428572</v>
      </c>
      <c r="AS288" s="5">
        <f t="shared" si="737"/>
        <v>0.97108228357026105</v>
      </c>
      <c r="AT288" s="5">
        <f t="shared" si="738"/>
        <v>1.8860605735725962</v>
      </c>
      <c r="AU288" s="173">
        <f t="shared" si="739"/>
        <v>0.33987879924959136</v>
      </c>
      <c r="BA288" s="173">
        <f t="shared" si="845"/>
        <v>2.772365951282894</v>
      </c>
      <c r="BB288" s="173">
        <f t="shared" si="846"/>
        <v>3.8636729668911203</v>
      </c>
      <c r="BC288" s="173">
        <f t="shared" si="847"/>
        <v>0.3895342417439408</v>
      </c>
      <c r="BD288" s="173"/>
      <c r="BE288" s="528">
        <f t="shared" si="848"/>
        <v>9.2232155613992464E-2</v>
      </c>
      <c r="BF288" s="528">
        <f t="shared" si="801"/>
        <v>3.6101813397035789</v>
      </c>
      <c r="BG288" s="528">
        <f t="shared" si="849"/>
        <v>4.0250000000000001E-2</v>
      </c>
      <c r="BH288" s="528">
        <f t="shared" si="850"/>
        <v>0.81165635761873212</v>
      </c>
      <c r="BI288">
        <f t="shared" si="851"/>
        <v>1.7939217150511336E-2</v>
      </c>
      <c r="BJ288" s="460">
        <f t="shared" si="852"/>
        <v>58.18921715051134</v>
      </c>
      <c r="BK288">
        <f t="shared" si="802"/>
        <v>4.6406698453920887</v>
      </c>
      <c r="BL288" s="460">
        <f t="shared" si="853"/>
        <v>4572.2590700868141</v>
      </c>
      <c r="BM288" s="173">
        <f t="shared" si="803"/>
        <v>1.2070799999999997</v>
      </c>
      <c r="BN288" s="173">
        <f t="shared" si="804"/>
        <v>8.6219999999999991E-2</v>
      </c>
      <c r="BQ288" s="460">
        <f t="shared" si="854"/>
        <v>1293.2999999999997</v>
      </c>
      <c r="BR288" s="528">
        <f t="shared" si="855"/>
        <v>0.10760418154965788</v>
      </c>
      <c r="BS288" s="528">
        <f t="shared" si="856"/>
        <v>0.20899156313119324</v>
      </c>
      <c r="BT288" s="528">
        <f t="shared" si="857"/>
        <v>7.5868462745513454E-4</v>
      </c>
      <c r="BU288" s="528">
        <f t="shared" si="858"/>
        <v>22.310688907924984</v>
      </c>
      <c r="BV288" s="528"/>
      <c r="BW288" s="625">
        <f t="shared" si="859"/>
        <v>2.3744680851063835</v>
      </c>
      <c r="BX288" s="460">
        <f t="shared" si="860"/>
        <v>25002.511422339674</v>
      </c>
      <c r="BY288" s="173">
        <f t="shared" si="861"/>
        <v>30.868070492426487</v>
      </c>
      <c r="BZ288" s="5">
        <f t="shared" si="862"/>
        <v>55.79999999999999</v>
      </c>
      <c r="CA288" s="173">
        <f t="shared" si="863"/>
        <v>0.64383572500181707</v>
      </c>
      <c r="CB288" s="5">
        <f t="shared" si="864"/>
        <v>64.383572500181714</v>
      </c>
      <c r="CC288">
        <f t="shared" si="865"/>
        <v>72</v>
      </c>
      <c r="CE288" s="562">
        <f t="shared" si="805"/>
        <v>-50</v>
      </c>
      <c r="CG288" s="173">
        <f t="shared" si="806"/>
        <v>0.45989129150267677</v>
      </c>
      <c r="CH288" s="173">
        <f t="shared" si="807"/>
        <v>0.14931090120845883</v>
      </c>
      <c r="CI288" s="170">
        <v>72</v>
      </c>
      <c r="CJ288" s="217">
        <f t="shared" si="866"/>
        <v>1.7999999999999998</v>
      </c>
      <c r="CK288" s="217">
        <f t="shared" si="808"/>
        <v>0.18</v>
      </c>
      <c r="CL288" s="217">
        <f t="shared" si="809"/>
        <v>50.399999999999991</v>
      </c>
      <c r="CM288" s="217">
        <f t="shared" si="810"/>
        <v>5.3999999999999995</v>
      </c>
      <c r="CN288" s="541">
        <f t="shared" si="811"/>
        <v>40</v>
      </c>
      <c r="CO288" s="443">
        <f t="shared" si="812"/>
        <v>28.7</v>
      </c>
      <c r="CP288" s="443">
        <f t="shared" si="813"/>
        <v>68.7</v>
      </c>
      <c r="CQ288" s="443"/>
      <c r="CR288" s="217">
        <f t="shared" si="814"/>
        <v>0.41520467836257302</v>
      </c>
      <c r="CS288" s="172">
        <f t="shared" si="815"/>
        <v>125.00786015217253</v>
      </c>
      <c r="CT288" s="172">
        <f t="shared" si="816"/>
        <v>14.828738512949037</v>
      </c>
      <c r="CU288" s="217">
        <f t="shared" si="817"/>
        <v>4.4645664340061613</v>
      </c>
      <c r="CV288" s="217">
        <f t="shared" si="818"/>
        <v>4.1669286717390843</v>
      </c>
      <c r="CW288" s="217">
        <f t="shared" si="819"/>
        <v>28</v>
      </c>
      <c r="CX288" s="217">
        <f t="shared" si="820"/>
        <v>6.719577464788733</v>
      </c>
      <c r="CY288" s="217">
        <f t="shared" si="821"/>
        <v>0.7895503521126761</v>
      </c>
      <c r="CZ288" s="217">
        <f t="shared" si="822"/>
        <v>1.1004186092162733</v>
      </c>
      <c r="DA288" s="197">
        <f t="shared" si="823"/>
        <v>350</v>
      </c>
      <c r="DB288" s="443">
        <f t="shared" si="824"/>
        <v>350</v>
      </c>
      <c r="DD288" s="217">
        <f t="shared" si="825"/>
        <v>10.158258230357086</v>
      </c>
      <c r="DE288" s="173">
        <f t="shared" si="826"/>
        <v>1.6635475150758992</v>
      </c>
      <c r="DF288" s="173">
        <f t="shared" si="827"/>
        <v>2.6710919890125213</v>
      </c>
      <c r="DG288" s="173"/>
      <c r="DH288" s="173">
        <f t="shared" si="828"/>
        <v>0.54587688734030204</v>
      </c>
      <c r="DI288" s="545">
        <f t="shared" si="829"/>
        <v>1978.4680851063829</v>
      </c>
      <c r="DJ288" s="528">
        <f t="shared" si="830"/>
        <v>0.31842818428184283</v>
      </c>
      <c r="DL288" s="173">
        <f t="shared" si="831"/>
        <v>8.2366222014096167</v>
      </c>
      <c r="DM288" s="173">
        <f t="shared" si="832"/>
        <v>8.2366222014096167</v>
      </c>
      <c r="DN288" s="173">
        <f t="shared" si="833"/>
        <v>4.8320658282046542</v>
      </c>
      <c r="DP288" s="545">
        <f t="shared" si="834"/>
        <v>1799.9999999999998</v>
      </c>
      <c r="DQ288" s="460">
        <f t="shared" si="835"/>
        <v>350</v>
      </c>
      <c r="DS288">
        <f t="shared" si="836"/>
        <v>1799.9999999999998</v>
      </c>
      <c r="DT288">
        <f t="shared" si="837"/>
        <v>350</v>
      </c>
      <c r="DV288" s="5">
        <f t="shared" si="867"/>
        <v>2.8571428571428572</v>
      </c>
      <c r="DW288" s="5">
        <f t="shared" si="838"/>
        <v>0.96780310866562991</v>
      </c>
      <c r="DX288" s="5">
        <f t="shared" si="839"/>
        <v>1.8893397484772274</v>
      </c>
      <c r="DY288" s="173">
        <f t="shared" si="840"/>
        <v>0.33873108803297047</v>
      </c>
      <c r="EA288" s="5">
        <f t="shared" si="868"/>
        <v>6.2215914128504783</v>
      </c>
      <c r="EB288" s="5">
        <f t="shared" si="869"/>
        <v>0.58068186519937792</v>
      </c>
      <c r="EC288" s="5">
        <f t="shared" si="870"/>
        <v>1.7004057736295042</v>
      </c>
      <c r="ED288" s="5"/>
      <c r="EE288" s="173">
        <f t="shared" si="871"/>
        <v>2.7676810956667213</v>
      </c>
      <c r="EF288" s="173">
        <f t="shared" si="872"/>
        <v>3.8670302708418243</v>
      </c>
      <c r="EG288" s="173">
        <f t="shared" si="873"/>
        <v>0.3898727240274954</v>
      </c>
      <c r="EH288" s="173"/>
      <c r="EI288" s="528">
        <f t="shared" si="874"/>
        <v>9.1920703767731315E-2</v>
      </c>
      <c r="EJ288" s="528">
        <f t="shared" si="875"/>
        <v>3.7629420358249912</v>
      </c>
      <c r="EK288" s="528">
        <f t="shared" si="876"/>
        <v>4.0250000000000001E-2</v>
      </c>
      <c r="EL288" s="528">
        <f t="shared" si="877"/>
        <v>0.81355656375000007</v>
      </c>
      <c r="EM288">
        <f t="shared" si="878"/>
        <v>1.7999999999999999E-2</v>
      </c>
      <c r="EN288" s="460">
        <f t="shared" si="879"/>
        <v>58.249999999999993</v>
      </c>
      <c r="EP288" s="460">
        <f t="shared" si="880"/>
        <v>4726.6693033427218</v>
      </c>
      <c r="EQ288" s="173">
        <f t="shared" si="881"/>
        <v>1.2599999999999998</v>
      </c>
      <c r="ER288" s="173">
        <f t="shared" si="841"/>
        <v>8.6219999999999991E-2</v>
      </c>
      <c r="ES288" s="528"/>
      <c r="EU288" s="460">
        <f t="shared" si="882"/>
        <v>1346.2199999999998</v>
      </c>
      <c r="EV288" s="528">
        <f t="shared" si="883"/>
        <v>0.10724082106235321</v>
      </c>
      <c r="EW288" s="528">
        <f t="shared" si="884"/>
        <v>0.20935492361849789</v>
      </c>
      <c r="EX288" s="528">
        <f t="shared" si="885"/>
        <v>7.6000370470309794E-4</v>
      </c>
      <c r="EY288" s="528">
        <f t="shared" si="886"/>
        <v>22.310688907924984</v>
      </c>
      <c r="EZ288" s="528"/>
      <c r="FA288" s="625">
        <f t="shared" si="887"/>
        <v>2.3744680851063835</v>
      </c>
      <c r="FB288" s="460">
        <f t="shared" si="888"/>
        <v>25002.512741416922</v>
      </c>
      <c r="FC288" s="173">
        <f t="shared" si="889"/>
        <v>31.075402044759642</v>
      </c>
      <c r="FD288" s="5">
        <f t="shared" si="890"/>
        <v>55.79999999999999</v>
      </c>
      <c r="FE288" s="173">
        <f t="shared" si="891"/>
        <v>0.64229918580694356</v>
      </c>
      <c r="FF288" s="5">
        <f t="shared" si="892"/>
        <v>64.22991858069436</v>
      </c>
      <c r="FG288">
        <f t="shared" si="893"/>
        <v>72</v>
      </c>
      <c r="FI288" s="562">
        <f t="shared" si="842"/>
        <v>-50</v>
      </c>
    </row>
    <row r="289" spans="5:165">
      <c r="E289" s="170">
        <v>73</v>
      </c>
      <c r="F289" s="217">
        <f t="shared" si="843"/>
        <v>1.825</v>
      </c>
      <c r="G289" s="217">
        <f t="shared" si="772"/>
        <v>0.1825</v>
      </c>
      <c r="H289" s="217">
        <f t="shared" si="773"/>
        <v>51.1</v>
      </c>
      <c r="I289" s="217">
        <f t="shared" si="774"/>
        <v>5.4749999999999996</v>
      </c>
      <c r="J289" s="541">
        <f t="shared" si="775"/>
        <v>39.863992228744884</v>
      </c>
      <c r="K289" s="443">
        <f t="shared" si="776"/>
        <v>28.755174770675996</v>
      </c>
      <c r="L289" s="172">
        <f t="shared" si="777"/>
        <v>68.619166999420884</v>
      </c>
      <c r="M289" s="443"/>
      <c r="N289" s="217">
        <f t="shared" si="778"/>
        <v>0.41905455906975203</v>
      </c>
      <c r="O289" s="172">
        <f t="shared" si="779"/>
        <v>125.73797183143763</v>
      </c>
      <c r="P289" s="172">
        <f t="shared" si="780"/>
        <v>14.915346148372064</v>
      </c>
      <c r="Q289" s="217">
        <f t="shared" si="781"/>
        <v>4.4906418511227724</v>
      </c>
      <c r="R289" s="217">
        <f t="shared" si="782"/>
        <v>4.1912657277145877</v>
      </c>
      <c r="S289" s="217">
        <f t="shared" si="783"/>
        <v>28</v>
      </c>
      <c r="T289" s="217">
        <f t="shared" si="784"/>
        <v>6.773345030635598</v>
      </c>
      <c r="U289" s="217">
        <f t="shared" si="785"/>
        <v>0.7985833797406805</v>
      </c>
      <c r="V289" s="217">
        <f t="shared" si="786"/>
        <v>1.107095397536995</v>
      </c>
      <c r="W289" s="197">
        <f t="shared" si="787"/>
        <v>350</v>
      </c>
      <c r="X289" s="443">
        <f t="shared" si="844"/>
        <v>350</v>
      </c>
      <c r="Z289" s="217">
        <f t="shared" si="788"/>
        <v>10.155129292508638</v>
      </c>
      <c r="AA289" s="173">
        <f t="shared" si="789"/>
        <v>1.6598441169435656</v>
      </c>
      <c r="AB289" s="173">
        <f t="shared" si="790"/>
        <v>2.6643246743084359</v>
      </c>
      <c r="AC289" s="173"/>
      <c r="AD289" s="173">
        <f t="shared" si="791"/>
        <v>0.54482947127288017</v>
      </c>
      <c r="AE289" s="545">
        <f t="shared" si="792"/>
        <v>2009.8031728015033</v>
      </c>
      <c r="AF289" s="528">
        <f t="shared" si="793"/>
        <v>0.31781719157584681</v>
      </c>
      <c r="AH289" s="173">
        <f t="shared" si="794"/>
        <v>8.2936237272301785</v>
      </c>
      <c r="AI289" s="173">
        <f t="shared" si="795"/>
        <v>8.2936237272301785</v>
      </c>
      <c r="AJ289" s="173">
        <f t="shared" si="796"/>
        <v>4.8742891806643298</v>
      </c>
      <c r="AL289" s="545">
        <f t="shared" si="797"/>
        <v>1825</v>
      </c>
      <c r="AM289" s="460">
        <f t="shared" si="798"/>
        <v>350</v>
      </c>
      <c r="AO289">
        <f t="shared" si="799"/>
        <v>1825</v>
      </c>
      <c r="AP289">
        <f t="shared" si="800"/>
        <v>350</v>
      </c>
      <c r="AR289" s="5">
        <f t="shared" si="771"/>
        <v>2.8571428571428572</v>
      </c>
      <c r="AS289" s="5">
        <f t="shared" si="737"/>
        <v>0.97782558491154725</v>
      </c>
      <c r="AT289" s="5">
        <f t="shared" si="738"/>
        <v>1.8793172722313098</v>
      </c>
      <c r="AU289" s="173">
        <f t="shared" si="739"/>
        <v>0.34223895471904153</v>
      </c>
      <c r="BA289" s="173">
        <f t="shared" si="845"/>
        <v>2.8012277568210173</v>
      </c>
      <c r="BB289" s="173">
        <f t="shared" si="846"/>
        <v>3.8834505143459666</v>
      </c>
      <c r="BC289" s="173">
        <f t="shared" si="847"/>
        <v>0.39152820759389662</v>
      </c>
      <c r="BD289" s="173"/>
      <c r="BE289" s="528">
        <f t="shared" si="848"/>
        <v>9.416252334701411E-2</v>
      </c>
      <c r="BF289" s="528">
        <f t="shared" si="801"/>
        <v>3.6351361606480546</v>
      </c>
      <c r="BG289" s="528">
        <f t="shared" si="849"/>
        <v>4.0250000000000001E-2</v>
      </c>
      <c r="BH289" s="528">
        <f t="shared" si="850"/>
        <v>0.81164321498732428</v>
      </c>
      <c r="BI289">
        <f t="shared" si="851"/>
        <v>1.7938796502935197E-2</v>
      </c>
      <c r="BJ289" s="460">
        <f t="shared" si="852"/>
        <v>58.188796502935197</v>
      </c>
      <c r="BK289">
        <f t="shared" si="802"/>
        <v>4.6708671639646093</v>
      </c>
      <c r="BL289" s="460">
        <f t="shared" si="853"/>
        <v>4599.1306954853289</v>
      </c>
      <c r="BM289" s="173">
        <f t="shared" si="803"/>
        <v>1.2238449999999998</v>
      </c>
      <c r="BN289" s="173">
        <f t="shared" si="804"/>
        <v>8.7417499999999995E-2</v>
      </c>
      <c r="BQ289" s="460">
        <f t="shared" si="854"/>
        <v>1311.2624999999998</v>
      </c>
      <c r="BR289" s="528">
        <f t="shared" si="855"/>
        <v>0.10985627723818311</v>
      </c>
      <c r="BS289" s="528">
        <f t="shared" si="856"/>
        <v>0.21113663056323534</v>
      </c>
      <c r="BT289" s="528">
        <f t="shared" si="857"/>
        <v>7.6647168670844707E-4</v>
      </c>
      <c r="BU289" s="528">
        <f t="shared" si="858"/>
        <v>22.698697398574129</v>
      </c>
      <c r="BV289" s="528"/>
      <c r="BW289" s="625">
        <f t="shared" si="859"/>
        <v>2.4074468085106391</v>
      </c>
      <c r="BX289" s="460">
        <f t="shared" si="860"/>
        <v>25427.903586572895</v>
      </c>
      <c r="BY289" s="173">
        <f t="shared" si="861"/>
        <v>31.338296782058222</v>
      </c>
      <c r="BZ289" s="5">
        <f t="shared" si="862"/>
        <v>56.575000000000003</v>
      </c>
      <c r="CA289" s="173">
        <f t="shared" si="863"/>
        <v>0.64353177586153387</v>
      </c>
      <c r="CB289" s="5">
        <f t="shared" si="864"/>
        <v>64.353177586153393</v>
      </c>
      <c r="CC289">
        <f t="shared" si="865"/>
        <v>73</v>
      </c>
      <c r="CE289" s="562">
        <f t="shared" si="805"/>
        <v>-50</v>
      </c>
      <c r="CG289" s="173">
        <f t="shared" si="806"/>
        <v>0.46307396817355218</v>
      </c>
      <c r="CH289" s="173">
        <f t="shared" si="807"/>
        <v>0.15034420697172043</v>
      </c>
      <c r="CI289" s="170">
        <v>73</v>
      </c>
      <c r="CJ289" s="217">
        <f t="shared" si="866"/>
        <v>1.825</v>
      </c>
      <c r="CK289" s="217">
        <f t="shared" si="808"/>
        <v>0.1825</v>
      </c>
      <c r="CL289" s="217">
        <f t="shared" si="809"/>
        <v>51.1</v>
      </c>
      <c r="CM289" s="217">
        <f t="shared" si="810"/>
        <v>5.4749999999999996</v>
      </c>
      <c r="CN289" s="541">
        <f t="shared" si="811"/>
        <v>40</v>
      </c>
      <c r="CO289" s="443">
        <f t="shared" si="812"/>
        <v>28.7</v>
      </c>
      <c r="CP289" s="443">
        <f t="shared" si="813"/>
        <v>68.7</v>
      </c>
      <c r="CQ289" s="443"/>
      <c r="CR289" s="217">
        <f t="shared" si="814"/>
        <v>0.41520467836257302</v>
      </c>
      <c r="CS289" s="172">
        <f t="shared" si="815"/>
        <v>125.00786015217253</v>
      </c>
      <c r="CT289" s="172">
        <f t="shared" si="816"/>
        <v>14.828738512949037</v>
      </c>
      <c r="CU289" s="217">
        <f t="shared" si="817"/>
        <v>4.4645664340061613</v>
      </c>
      <c r="CV289" s="217">
        <f t="shared" si="818"/>
        <v>4.1669286717390843</v>
      </c>
      <c r="CW289" s="217">
        <f t="shared" si="819"/>
        <v>28</v>
      </c>
      <c r="CX289" s="217">
        <f t="shared" si="820"/>
        <v>6.8129049295774671</v>
      </c>
      <c r="CY289" s="217">
        <f t="shared" si="821"/>
        <v>0.80051632922535243</v>
      </c>
      <c r="CZ289" s="217">
        <f t="shared" si="822"/>
        <v>1.1157022010109441</v>
      </c>
      <c r="DA289" s="197">
        <f t="shared" si="823"/>
        <v>350</v>
      </c>
      <c r="DB289" s="443">
        <f t="shared" si="824"/>
        <v>350</v>
      </c>
      <c r="DD289" s="217">
        <f t="shared" si="825"/>
        <v>10.158258230357086</v>
      </c>
      <c r="DE289" s="173">
        <f t="shared" si="826"/>
        <v>1.6635475150758992</v>
      </c>
      <c r="DF289" s="173">
        <f t="shared" si="827"/>
        <v>2.6710919890125213</v>
      </c>
      <c r="DG289" s="173"/>
      <c r="DH289" s="173">
        <f t="shared" si="828"/>
        <v>0.54587688734030204</v>
      </c>
      <c r="DI289" s="545">
        <f t="shared" si="829"/>
        <v>2005.946808510638</v>
      </c>
      <c r="DJ289" s="528">
        <f t="shared" si="830"/>
        <v>0.31842818428184283</v>
      </c>
      <c r="DL289" s="173">
        <f t="shared" si="831"/>
        <v>8.2936237272301785</v>
      </c>
      <c r="DM289" s="173">
        <f t="shared" si="832"/>
        <v>8.2936237272301785</v>
      </c>
      <c r="DN289" s="173">
        <f t="shared" si="833"/>
        <v>4.8742891806643298</v>
      </c>
      <c r="DP289" s="545">
        <f t="shared" si="834"/>
        <v>1825</v>
      </c>
      <c r="DQ289" s="460">
        <f t="shared" si="835"/>
        <v>350</v>
      </c>
      <c r="DS289">
        <f t="shared" si="836"/>
        <v>1825</v>
      </c>
      <c r="DT289">
        <f t="shared" si="837"/>
        <v>350</v>
      </c>
      <c r="DV289" s="5">
        <f t="shared" si="867"/>
        <v>2.8571428571428572</v>
      </c>
      <c r="DW289" s="5">
        <f t="shared" si="838"/>
        <v>0.97450078794954587</v>
      </c>
      <c r="DX289" s="5">
        <f t="shared" si="839"/>
        <v>1.8826420691933112</v>
      </c>
      <c r="DY289" s="173">
        <f t="shared" si="840"/>
        <v>0.34107527578234104</v>
      </c>
      <c r="EA289" s="5">
        <f t="shared" si="868"/>
        <v>6.3516569214568621</v>
      </c>
      <c r="EB289" s="5">
        <f t="shared" si="869"/>
        <v>0.59282131266930715</v>
      </c>
      <c r="EC289" s="5">
        <f t="shared" si="870"/>
        <v>1.7179108881388965</v>
      </c>
      <c r="ED289" s="5"/>
      <c r="EE289" s="173">
        <f t="shared" si="871"/>
        <v>2.7964613423874569</v>
      </c>
      <c r="EF289" s="173">
        <f t="shared" si="872"/>
        <v>3.8868842024803123</v>
      </c>
      <c r="EG289" s="173">
        <f t="shared" si="873"/>
        <v>0.39187439090580195</v>
      </c>
      <c r="EH289" s="173"/>
      <c r="EI289" s="528">
        <f t="shared" si="874"/>
        <v>9.3842352473609503E-2</v>
      </c>
      <c r="EJ289" s="528">
        <f t="shared" si="875"/>
        <v>3.7889834679037433</v>
      </c>
      <c r="EK289" s="528">
        <f t="shared" si="876"/>
        <v>4.0250000000000001E-2</v>
      </c>
      <c r="EL289" s="528">
        <f t="shared" si="877"/>
        <v>0.81355656375000007</v>
      </c>
      <c r="EM289">
        <f t="shared" si="878"/>
        <v>1.7999999999999999E-2</v>
      </c>
      <c r="EN289" s="460">
        <f t="shared" si="879"/>
        <v>58.249999999999993</v>
      </c>
      <c r="EP289" s="460">
        <f t="shared" si="880"/>
        <v>4754.6323841273525</v>
      </c>
      <c r="EQ289" s="173">
        <f t="shared" si="881"/>
        <v>1.2774999999999999</v>
      </c>
      <c r="ER289" s="173">
        <f t="shared" si="841"/>
        <v>8.7417499999999995E-2</v>
      </c>
      <c r="ES289" s="528"/>
      <c r="EU289" s="460">
        <f t="shared" si="882"/>
        <v>1364.9174999999998</v>
      </c>
      <c r="EV289" s="528">
        <f t="shared" si="883"/>
        <v>0.10948274455254441</v>
      </c>
      <c r="EW289" s="528">
        <f t="shared" si="884"/>
        <v>0.2115101632488742</v>
      </c>
      <c r="EX289" s="528">
        <f t="shared" si="885"/>
        <v>7.6782769123896646E-4</v>
      </c>
      <c r="EY289" s="528">
        <f t="shared" si="886"/>
        <v>22.698697398574129</v>
      </c>
      <c r="EZ289" s="528"/>
      <c r="FA289" s="625">
        <f t="shared" si="887"/>
        <v>2.4074468085106391</v>
      </c>
      <c r="FB289" s="460">
        <f t="shared" si="888"/>
        <v>25427.904942577425</v>
      </c>
      <c r="FC289" s="173">
        <f t="shared" si="889"/>
        <v>31.547454826704776</v>
      </c>
      <c r="FD289" s="5">
        <f t="shared" si="890"/>
        <v>56.575000000000003</v>
      </c>
      <c r="FE289" s="173">
        <f t="shared" si="891"/>
        <v>0.64200435758690888</v>
      </c>
      <c r="FF289" s="5">
        <f t="shared" si="892"/>
        <v>64.200435758690887</v>
      </c>
      <c r="FG289">
        <f t="shared" si="893"/>
        <v>73</v>
      </c>
      <c r="FI289" s="562">
        <f t="shared" si="842"/>
        <v>-50</v>
      </c>
    </row>
    <row r="290" spans="5:165">
      <c r="E290" s="170">
        <v>74</v>
      </c>
      <c r="F290" s="217">
        <f t="shared" si="843"/>
        <v>1.85</v>
      </c>
      <c r="G290" s="217">
        <f t="shared" si="772"/>
        <v>0.185</v>
      </c>
      <c r="H290" s="217">
        <f t="shared" si="773"/>
        <v>51.800000000000004</v>
      </c>
      <c r="I290" s="217">
        <f t="shared" si="774"/>
        <v>5.55</v>
      </c>
      <c r="J290" s="541">
        <f t="shared" si="775"/>
        <v>39.863063837276144</v>
      </c>
      <c r="K290" s="443">
        <f t="shared" si="776"/>
        <v>28.755551394643234</v>
      </c>
      <c r="L290" s="172">
        <f t="shared" si="777"/>
        <v>68.618615231919378</v>
      </c>
      <c r="M290" s="443"/>
      <c r="N290" s="217">
        <f t="shared" si="778"/>
        <v>0.41906341737521674</v>
      </c>
      <c r="O290" s="172">
        <f t="shared" si="779"/>
        <v>125.73770140953498</v>
      </c>
      <c r="P290" s="172">
        <f t="shared" si="780"/>
        <v>14.915314070263715</v>
      </c>
      <c r="Q290" s="217">
        <f t="shared" si="781"/>
        <v>4.490632193197678</v>
      </c>
      <c r="R290" s="217">
        <f t="shared" si="782"/>
        <v>4.1912567136511658</v>
      </c>
      <c r="S290" s="217">
        <f t="shared" si="783"/>
        <v>28</v>
      </c>
      <c r="T290" s="217">
        <f t="shared" si="784"/>
        <v>6.8661453458689108</v>
      </c>
      <c r="U290" s="217">
        <f t="shared" si="785"/>
        <v>0.809543472556849</v>
      </c>
      <c r="V290" s="217">
        <f t="shared" si="786"/>
        <v>1.122248802768411</v>
      </c>
      <c r="W290" s="197">
        <f t="shared" si="787"/>
        <v>350</v>
      </c>
      <c r="X290" s="443">
        <f t="shared" si="844"/>
        <v>350</v>
      </c>
      <c r="Z290" s="217">
        <f t="shared" si="788"/>
        <v>10.155107452094445</v>
      </c>
      <c r="AA290" s="173">
        <f t="shared" si="789"/>
        <v>1.6598188074993807</v>
      </c>
      <c r="AB290" s="173">
        <f t="shared" si="790"/>
        <v>2.6642783184419687</v>
      </c>
      <c r="AC290" s="173"/>
      <c r="AD290" s="173">
        <f t="shared" si="791"/>
        <v>0.54482233540425706</v>
      </c>
      <c r="AE290" s="545">
        <f t="shared" si="792"/>
        <v>2037.3614073225949</v>
      </c>
      <c r="AF290" s="528">
        <f t="shared" si="793"/>
        <v>0.31781302898581659</v>
      </c>
      <c r="AH290" s="173">
        <f t="shared" si="794"/>
        <v>8.3502361504928082</v>
      </c>
      <c r="AI290" s="173">
        <f t="shared" si="795"/>
        <v>8.3502361504928082</v>
      </c>
      <c r="AJ290" s="173">
        <f t="shared" si="796"/>
        <v>4.9162243090070179</v>
      </c>
      <c r="AL290" s="545">
        <f t="shared" si="797"/>
        <v>1850</v>
      </c>
      <c r="AM290" s="460">
        <f t="shared" si="798"/>
        <v>350</v>
      </c>
      <c r="AO290">
        <f t="shared" si="799"/>
        <v>1850</v>
      </c>
      <c r="AP290">
        <f t="shared" si="800"/>
        <v>350</v>
      </c>
      <c r="AR290" s="5">
        <f t="shared" si="771"/>
        <v>2.8571428571428572</v>
      </c>
      <c r="AS290" s="5">
        <f t="shared" si="737"/>
        <v>0.98452316830240649</v>
      </c>
      <c r="AT290" s="5">
        <f t="shared" si="738"/>
        <v>1.8726196888404507</v>
      </c>
      <c r="AU290" s="173">
        <f t="shared" si="739"/>
        <v>0.34458310890584226</v>
      </c>
      <c r="BA290" s="173">
        <f t="shared" si="845"/>
        <v>2.8299914467991694</v>
      </c>
      <c r="BB290" s="173">
        <f t="shared" si="846"/>
        <v>3.9029855667222924</v>
      </c>
      <c r="BC290" s="173">
        <f t="shared" si="847"/>
        <v>0.39349772516954257</v>
      </c>
      <c r="BD290" s="173"/>
      <c r="BE290" s="528">
        <f t="shared" si="848"/>
        <v>9.6106219067477461E-2</v>
      </c>
      <c r="BF290" s="528">
        <f t="shared" si="801"/>
        <v>3.6599202351216813</v>
      </c>
      <c r="BG290" s="528">
        <f t="shared" si="849"/>
        <v>4.0250000000000001E-2</v>
      </c>
      <c r="BH290" s="528">
        <f t="shared" si="850"/>
        <v>0.81163016217517592</v>
      </c>
      <c r="BI290">
        <f t="shared" si="851"/>
        <v>1.7938378726774264E-2</v>
      </c>
      <c r="BJ290" s="460">
        <f t="shared" si="852"/>
        <v>58.188378726774268</v>
      </c>
      <c r="BK290">
        <f t="shared" si="802"/>
        <v>4.7009507425206936</v>
      </c>
      <c r="BL290" s="460">
        <f t="shared" si="853"/>
        <v>4625.844995091109</v>
      </c>
      <c r="BM290" s="173">
        <f t="shared" si="803"/>
        <v>1.24061</v>
      </c>
      <c r="BN290" s="173">
        <f t="shared" si="804"/>
        <v>8.8614999999999999E-2</v>
      </c>
      <c r="BQ290" s="460">
        <f t="shared" si="854"/>
        <v>1329.2250000000001</v>
      </c>
      <c r="BR290" s="528">
        <f t="shared" si="855"/>
        <v>0.11212392224539038</v>
      </c>
      <c r="BS290" s="528">
        <f t="shared" si="856"/>
        <v>0.21326614867659546</v>
      </c>
      <c r="BT290" s="528">
        <f t="shared" si="857"/>
        <v>7.7420229856802435E-4</v>
      </c>
      <c r="BU290" s="528">
        <f t="shared" si="858"/>
        <v>23.088036999850747</v>
      </c>
      <c r="BV290" s="528"/>
      <c r="BW290" s="625">
        <f t="shared" si="859"/>
        <v>2.4404255319148938</v>
      </c>
      <c r="BX290" s="460">
        <f t="shared" si="860"/>
        <v>25854.626804986194</v>
      </c>
      <c r="BY290" s="173">
        <f t="shared" si="861"/>
        <v>31.809696800077305</v>
      </c>
      <c r="BZ290" s="5">
        <f t="shared" si="862"/>
        <v>57.35</v>
      </c>
      <c r="CA290" s="173">
        <f t="shared" si="863"/>
        <v>0.64322784910984887</v>
      </c>
      <c r="CB290" s="5">
        <f t="shared" si="864"/>
        <v>64.322784910984893</v>
      </c>
      <c r="CC290">
        <f t="shared" si="865"/>
        <v>74</v>
      </c>
      <c r="CE290" s="562">
        <f t="shared" si="805"/>
        <v>-50</v>
      </c>
      <c r="CG290" s="173">
        <f t="shared" si="806"/>
        <v>0.46623491932715638</v>
      </c>
      <c r="CH290" s="173">
        <f t="shared" si="807"/>
        <v>0.15137045920597875</v>
      </c>
      <c r="CI290" s="170">
        <v>74</v>
      </c>
      <c r="CJ290" s="217">
        <f t="shared" si="866"/>
        <v>1.85</v>
      </c>
      <c r="CK290" s="217">
        <f t="shared" si="808"/>
        <v>0.185</v>
      </c>
      <c r="CL290" s="217">
        <f t="shared" si="809"/>
        <v>51.800000000000004</v>
      </c>
      <c r="CM290" s="217">
        <f t="shared" si="810"/>
        <v>5.55</v>
      </c>
      <c r="CN290" s="541">
        <f t="shared" si="811"/>
        <v>40</v>
      </c>
      <c r="CO290" s="443">
        <f t="shared" si="812"/>
        <v>28.7</v>
      </c>
      <c r="CP290" s="443">
        <f t="shared" si="813"/>
        <v>68.7</v>
      </c>
      <c r="CQ290" s="443"/>
      <c r="CR290" s="217">
        <f t="shared" si="814"/>
        <v>0.41520467836257302</v>
      </c>
      <c r="CS290" s="172">
        <f t="shared" si="815"/>
        <v>125.00786015217253</v>
      </c>
      <c r="CT290" s="172">
        <f t="shared" si="816"/>
        <v>14.828738512949037</v>
      </c>
      <c r="CU290" s="217">
        <f t="shared" si="817"/>
        <v>4.4645664340061613</v>
      </c>
      <c r="CV290" s="217">
        <f t="shared" si="818"/>
        <v>4.1669286717390843</v>
      </c>
      <c r="CW290" s="217">
        <f t="shared" si="819"/>
        <v>28</v>
      </c>
      <c r="CX290" s="217">
        <f t="shared" si="820"/>
        <v>6.9062323943661994</v>
      </c>
      <c r="CY290" s="217">
        <f t="shared" si="821"/>
        <v>0.81148230633802831</v>
      </c>
      <c r="CZ290" s="217">
        <f t="shared" si="822"/>
        <v>1.1309857928056144</v>
      </c>
      <c r="DA290" s="197">
        <f t="shared" si="823"/>
        <v>350</v>
      </c>
      <c r="DB290" s="443">
        <f t="shared" si="824"/>
        <v>350</v>
      </c>
      <c r="DD290" s="217">
        <f t="shared" si="825"/>
        <v>10.158258230357086</v>
      </c>
      <c r="DE290" s="173">
        <f t="shared" si="826"/>
        <v>1.6635475150758992</v>
      </c>
      <c r="DF290" s="173">
        <f t="shared" si="827"/>
        <v>2.6710919890125213</v>
      </c>
      <c r="DG290" s="173"/>
      <c r="DH290" s="173">
        <f t="shared" si="828"/>
        <v>0.54587688734030204</v>
      </c>
      <c r="DI290" s="545">
        <f t="shared" si="829"/>
        <v>2033.4255319148933</v>
      </c>
      <c r="DJ290" s="528">
        <f t="shared" si="830"/>
        <v>0.31842818428184283</v>
      </c>
      <c r="DL290" s="173">
        <f t="shared" si="831"/>
        <v>8.3502361504928082</v>
      </c>
      <c r="DM290" s="173">
        <f t="shared" si="832"/>
        <v>8.3502361504928082</v>
      </c>
      <c r="DN290" s="173">
        <f t="shared" si="833"/>
        <v>4.9162243090070179</v>
      </c>
      <c r="DP290" s="545">
        <f t="shared" si="834"/>
        <v>1850</v>
      </c>
      <c r="DQ290" s="460">
        <f t="shared" si="835"/>
        <v>350</v>
      </c>
      <c r="DS290">
        <f t="shared" si="836"/>
        <v>1850</v>
      </c>
      <c r="DT290">
        <f t="shared" si="837"/>
        <v>350</v>
      </c>
      <c r="DV290" s="5">
        <f t="shared" si="867"/>
        <v>2.8571428571428572</v>
      </c>
      <c r="DW290" s="5">
        <f t="shared" si="838"/>
        <v>0.98115274768290484</v>
      </c>
      <c r="DX290" s="5">
        <f t="shared" si="839"/>
        <v>1.8759901094599525</v>
      </c>
      <c r="DY290" s="173">
        <f t="shared" si="840"/>
        <v>0.3434034616890167</v>
      </c>
      <c r="EA290" s="5">
        <f t="shared" si="868"/>
        <v>6.4826163686191922</v>
      </c>
      <c r="EB290" s="5">
        <f t="shared" si="869"/>
        <v>0.60504419440445789</v>
      </c>
      <c r="EC290" s="5">
        <f t="shared" si="870"/>
        <v>1.7352908512504561</v>
      </c>
      <c r="ED290" s="5"/>
      <c r="EE290" s="173">
        <f t="shared" si="871"/>
        <v>2.8251431917419763</v>
      </c>
      <c r="EF290" s="173">
        <f t="shared" si="872"/>
        <v>3.9064963674823687</v>
      </c>
      <c r="EG290" s="173">
        <f t="shared" si="873"/>
        <v>0.3938516829510913</v>
      </c>
      <c r="EH290" s="173"/>
      <c r="EI290" s="528">
        <f t="shared" si="874"/>
        <v>9.5777208646152495E-2</v>
      </c>
      <c r="EJ290" s="528">
        <f t="shared" si="875"/>
        <v>3.814847136533392</v>
      </c>
      <c r="EK290" s="528">
        <f t="shared" si="876"/>
        <v>4.0250000000000001E-2</v>
      </c>
      <c r="EL290" s="528">
        <f t="shared" si="877"/>
        <v>0.81355656375000007</v>
      </c>
      <c r="EM290">
        <f t="shared" si="878"/>
        <v>1.7999999999999999E-2</v>
      </c>
      <c r="EN290" s="460">
        <f t="shared" si="879"/>
        <v>58.249999999999993</v>
      </c>
      <c r="EP290" s="460">
        <f t="shared" si="880"/>
        <v>4782.4309089295439</v>
      </c>
      <c r="EQ290" s="173">
        <f t="shared" si="881"/>
        <v>1.2949999999999999</v>
      </c>
      <c r="ER290" s="173">
        <f t="shared" si="841"/>
        <v>8.8614999999999999E-2</v>
      </c>
      <c r="ES290" s="528"/>
      <c r="EU290" s="460">
        <f t="shared" si="882"/>
        <v>1383.6149999999998</v>
      </c>
      <c r="EV290" s="528">
        <f t="shared" si="883"/>
        <v>0.11174007675384458</v>
      </c>
      <c r="EW290" s="528">
        <f t="shared" si="884"/>
        <v>0.21364999416814121</v>
      </c>
      <c r="EX290" s="528">
        <f t="shared" si="885"/>
        <v>7.7559574081703469E-4</v>
      </c>
      <c r="EY290" s="528">
        <f t="shared" si="886"/>
        <v>23.088036999850747</v>
      </c>
      <c r="EZ290" s="528"/>
      <c r="FA290" s="625">
        <f t="shared" si="887"/>
        <v>2.4404255319148938</v>
      </c>
      <c r="FB290" s="460">
        <f t="shared" si="888"/>
        <v>25854.628198428443</v>
      </c>
      <c r="FC290" s="173">
        <f t="shared" si="889"/>
        <v>32.020674107357991</v>
      </c>
      <c r="FD290" s="5">
        <f t="shared" si="890"/>
        <v>57.35</v>
      </c>
      <c r="FE290" s="173">
        <f t="shared" si="891"/>
        <v>0.64170938143654788</v>
      </c>
      <c r="FF290" s="5">
        <f t="shared" si="892"/>
        <v>64.170938143654794</v>
      </c>
      <c r="FG290">
        <f t="shared" si="893"/>
        <v>74</v>
      </c>
      <c r="FI290" s="562">
        <f t="shared" si="842"/>
        <v>-50</v>
      </c>
    </row>
    <row r="291" spans="5:165">
      <c r="E291" s="170">
        <v>75</v>
      </c>
      <c r="F291" s="217">
        <f t="shared" si="843"/>
        <v>1.875</v>
      </c>
      <c r="G291" s="217">
        <f t="shared" si="772"/>
        <v>0.1875</v>
      </c>
      <c r="H291" s="217">
        <f t="shared" si="773"/>
        <v>52.5</v>
      </c>
      <c r="I291" s="217">
        <f t="shared" si="774"/>
        <v>5.625</v>
      </c>
      <c r="J291" s="541">
        <f t="shared" si="775"/>
        <v>39.862141697815169</v>
      </c>
      <c r="K291" s="443">
        <f t="shared" si="776"/>
        <v>28.755925482335588</v>
      </c>
      <c r="L291" s="172">
        <f t="shared" si="777"/>
        <v>68.61806718015076</v>
      </c>
      <c r="M291" s="443"/>
      <c r="N291" s="217">
        <f t="shared" si="778"/>
        <v>0.4190722161677829</v>
      </c>
      <c r="O291" s="172">
        <f t="shared" si="779"/>
        <v>125.73743272847649</v>
      </c>
      <c r="P291" s="172">
        <f t="shared" si="780"/>
        <v>14.915282198658563</v>
      </c>
      <c r="Q291" s="217">
        <f t="shared" si="781"/>
        <v>4.4906225974455891</v>
      </c>
      <c r="R291" s="217">
        <f t="shared" si="782"/>
        <v>4.1912477576158826</v>
      </c>
      <c r="S291" s="217">
        <f t="shared" si="783"/>
        <v>28</v>
      </c>
      <c r="T291" s="217">
        <f t="shared" si="784"/>
        <v>6.9589459639240241</v>
      </c>
      <c r="U291" s="217">
        <f t="shared" si="785"/>
        <v>0.82050398291157478</v>
      </c>
      <c r="V291" s="217">
        <f t="shared" si="786"/>
        <v>1.1374019608770529</v>
      </c>
      <c r="W291" s="197">
        <f t="shared" si="787"/>
        <v>350</v>
      </c>
      <c r="X291" s="443">
        <f t="shared" si="844"/>
        <v>350</v>
      </c>
      <c r="Z291" s="217">
        <f t="shared" si="788"/>
        <v>10.15508575227817</v>
      </c>
      <c r="AA291" s="173">
        <f t="shared" si="789"/>
        <v>1.6597936680920486</v>
      </c>
      <c r="AB291" s="173">
        <f t="shared" si="790"/>
        <v>2.6642322725728746</v>
      </c>
      <c r="AC291" s="173"/>
      <c r="AD291" s="173">
        <f t="shared" si="791"/>
        <v>0.54481524777529788</v>
      </c>
      <c r="AE291" s="545">
        <f t="shared" si="792"/>
        <v>2064.9201809123956</v>
      </c>
      <c r="AF291" s="528">
        <f t="shared" si="793"/>
        <v>0.31780889453559052</v>
      </c>
      <c r="AH291" s="173">
        <f t="shared" si="794"/>
        <v>8.4064673323054393</v>
      </c>
      <c r="AI291" s="173">
        <f t="shared" si="795"/>
        <v>8.4064673323054393</v>
      </c>
      <c r="AJ291" s="173">
        <f t="shared" si="796"/>
        <v>4.957877036275633</v>
      </c>
      <c r="AL291" s="545">
        <f t="shared" si="797"/>
        <v>1875</v>
      </c>
      <c r="AM291" s="460">
        <f t="shared" si="798"/>
        <v>350</v>
      </c>
      <c r="AO291">
        <f t="shared" si="799"/>
        <v>1875</v>
      </c>
      <c r="AP291">
        <f t="shared" si="800"/>
        <v>350</v>
      </c>
      <c r="AR291" s="5">
        <f t="shared" si="771"/>
        <v>2.8571428571428572</v>
      </c>
      <c r="AS291" s="5">
        <f t="shared" si="737"/>
        <v>0.99117595741227116</v>
      </c>
      <c r="AT291" s="5">
        <f t="shared" si="738"/>
        <v>1.865966899730586</v>
      </c>
      <c r="AU291" s="173">
        <f t="shared" si="739"/>
        <v>0.34691158509429487</v>
      </c>
      <c r="BA291" s="173">
        <f t="shared" si="845"/>
        <v>2.8586586777913534</v>
      </c>
      <c r="BB291" s="173">
        <f t="shared" si="846"/>
        <v>3.9222826984968462</v>
      </c>
      <c r="BC291" s="173">
        <f t="shared" si="847"/>
        <v>0.39544325566812466</v>
      </c>
      <c r="BD291" s="173"/>
      <c r="BE291" s="528">
        <f t="shared" si="848"/>
        <v>9.8063153233341707E-2</v>
      </c>
      <c r="BF291" s="528">
        <f t="shared" si="801"/>
        <v>3.6845370127456669</v>
      </c>
      <c r="BG291" s="528">
        <f t="shared" si="849"/>
        <v>4.0250000000000001E-2</v>
      </c>
      <c r="BH291" s="528">
        <f t="shared" si="850"/>
        <v>0.81161719736765292</v>
      </c>
      <c r="BI291">
        <f t="shared" si="851"/>
        <v>1.7937963764016827E-2</v>
      </c>
      <c r="BJ291" s="460">
        <f t="shared" si="852"/>
        <v>58.187963764016828</v>
      </c>
      <c r="BK291">
        <f t="shared" si="802"/>
        <v>4.7309240229084226</v>
      </c>
      <c r="BL291" s="460">
        <f t="shared" si="853"/>
        <v>4652.4053271106786</v>
      </c>
      <c r="BM291" s="173">
        <f t="shared" si="803"/>
        <v>1.2573749999999999</v>
      </c>
      <c r="BN291" s="173">
        <f t="shared" si="804"/>
        <v>8.981249999999999E-2</v>
      </c>
      <c r="BQ291" s="460">
        <f t="shared" si="854"/>
        <v>1347.1875</v>
      </c>
      <c r="BR291" s="528">
        <f t="shared" si="855"/>
        <v>0.11440701210556532</v>
      </c>
      <c r="BS291" s="528">
        <f t="shared" si="856"/>
        <v>0.21538022193698783</v>
      </c>
      <c r="BT291" s="528">
        <f t="shared" si="857"/>
        <v>7.8187684226702905E-4</v>
      </c>
      <c r="BU291" s="528">
        <f t="shared" si="858"/>
        <v>23.478694197124568</v>
      </c>
      <c r="BV291" s="528"/>
      <c r="BW291" s="625">
        <f t="shared" si="859"/>
        <v>2.4734042553191484</v>
      </c>
      <c r="BX291" s="460">
        <f t="shared" si="860"/>
        <v>26282.667563328538</v>
      </c>
      <c r="BY291" s="173">
        <f t="shared" si="861"/>
        <v>32.282260390439212</v>
      </c>
      <c r="BZ291" s="5">
        <f t="shared" si="862"/>
        <v>58.125</v>
      </c>
      <c r="CA291" s="173">
        <f t="shared" si="863"/>
        <v>0.64292402788202241</v>
      </c>
      <c r="CB291" s="5">
        <f t="shared" si="864"/>
        <v>64.292402788202239</v>
      </c>
      <c r="CC291">
        <f t="shared" si="865"/>
        <v>75</v>
      </c>
      <c r="CE291" s="562">
        <f t="shared" si="805"/>
        <v>-50</v>
      </c>
      <c r="CG291" s="173">
        <f t="shared" si="806"/>
        <v>0.46937458388796471</v>
      </c>
      <c r="CH291" s="173">
        <f t="shared" si="807"/>
        <v>0.15238980041493017</v>
      </c>
      <c r="CI291" s="170">
        <v>75</v>
      </c>
      <c r="CJ291" s="217">
        <f t="shared" si="866"/>
        <v>1.875</v>
      </c>
      <c r="CK291" s="217">
        <f t="shared" si="808"/>
        <v>0.1875</v>
      </c>
      <c r="CL291" s="217">
        <f t="shared" si="809"/>
        <v>52.5</v>
      </c>
      <c r="CM291" s="217">
        <f t="shared" si="810"/>
        <v>5.625</v>
      </c>
      <c r="CN291" s="541">
        <f t="shared" si="811"/>
        <v>40</v>
      </c>
      <c r="CO291" s="443">
        <f t="shared" si="812"/>
        <v>28.7</v>
      </c>
      <c r="CP291" s="443">
        <f t="shared" si="813"/>
        <v>68.7</v>
      </c>
      <c r="CQ291" s="443"/>
      <c r="CR291" s="217">
        <f t="shared" si="814"/>
        <v>0.41520467836257302</v>
      </c>
      <c r="CS291" s="172">
        <f t="shared" si="815"/>
        <v>125.00786015217253</v>
      </c>
      <c r="CT291" s="172">
        <f t="shared" si="816"/>
        <v>14.828738512949037</v>
      </c>
      <c r="CU291" s="217">
        <f t="shared" si="817"/>
        <v>4.4645664340061613</v>
      </c>
      <c r="CV291" s="217">
        <f t="shared" si="818"/>
        <v>4.1669286717390843</v>
      </c>
      <c r="CW291" s="217">
        <f t="shared" si="819"/>
        <v>28</v>
      </c>
      <c r="CX291" s="217">
        <f t="shared" si="820"/>
        <v>6.9995598591549308</v>
      </c>
      <c r="CY291" s="217">
        <f t="shared" si="821"/>
        <v>0.82244828345070442</v>
      </c>
      <c r="CZ291" s="217">
        <f t="shared" si="822"/>
        <v>1.1462693846002849</v>
      </c>
      <c r="DA291" s="197">
        <f t="shared" si="823"/>
        <v>350</v>
      </c>
      <c r="DB291" s="443">
        <f t="shared" si="824"/>
        <v>350</v>
      </c>
      <c r="DD291" s="217">
        <f t="shared" si="825"/>
        <v>10.158258230357086</v>
      </c>
      <c r="DE291" s="173">
        <f t="shared" si="826"/>
        <v>1.6635475150758992</v>
      </c>
      <c r="DF291" s="173">
        <f t="shared" si="827"/>
        <v>2.6710919890125213</v>
      </c>
      <c r="DG291" s="173"/>
      <c r="DH291" s="173">
        <f t="shared" si="828"/>
        <v>0.54587688734030204</v>
      </c>
      <c r="DI291" s="545">
        <f t="shared" si="829"/>
        <v>2060.9042553191489</v>
      </c>
      <c r="DJ291" s="528">
        <f t="shared" si="830"/>
        <v>0.31842818428184283</v>
      </c>
      <c r="DL291" s="173">
        <f t="shared" si="831"/>
        <v>8.4064673323054393</v>
      </c>
      <c r="DM291" s="173">
        <f t="shared" si="832"/>
        <v>8.4064673323054393</v>
      </c>
      <c r="DN291" s="173">
        <f t="shared" si="833"/>
        <v>4.957877036275633</v>
      </c>
      <c r="DP291" s="545">
        <f t="shared" si="834"/>
        <v>1875</v>
      </c>
      <c r="DQ291" s="460">
        <f t="shared" si="835"/>
        <v>350</v>
      </c>
      <c r="DS291">
        <f t="shared" si="836"/>
        <v>1875</v>
      </c>
      <c r="DT291">
        <f t="shared" si="837"/>
        <v>350</v>
      </c>
      <c r="DV291" s="5">
        <f t="shared" si="867"/>
        <v>2.8571428571428572</v>
      </c>
      <c r="DW291" s="5">
        <f t="shared" si="838"/>
        <v>0.98775991154588905</v>
      </c>
      <c r="DX291" s="5">
        <f t="shared" si="839"/>
        <v>1.8693829455969682</v>
      </c>
      <c r="DY291" s="173">
        <f t="shared" si="840"/>
        <v>0.34571596904106117</v>
      </c>
      <c r="EA291" s="5">
        <f t="shared" si="868"/>
        <v>6.6144636933876493</v>
      </c>
      <c r="EB291" s="5">
        <f t="shared" si="869"/>
        <v>0.61734994471618065</v>
      </c>
      <c r="EC291" s="5">
        <f t="shared" si="870"/>
        <v>1.7525465114971575</v>
      </c>
      <c r="ED291" s="5"/>
      <c r="EE291" s="173">
        <f t="shared" si="871"/>
        <v>2.8537283031450089</v>
      </c>
      <c r="EF291" s="173">
        <f t="shared" si="872"/>
        <v>3.9258713395714611</v>
      </c>
      <c r="EG291" s="173">
        <f t="shared" si="873"/>
        <v>0.39580506128466375</v>
      </c>
      <c r="EH291" s="173"/>
      <c r="EI291" s="528">
        <f t="shared" si="874"/>
        <v>9.7725182738050712E-2</v>
      </c>
      <c r="EJ291" s="528">
        <f t="shared" si="875"/>
        <v>3.8405366331004021</v>
      </c>
      <c r="EK291" s="528">
        <f t="shared" si="876"/>
        <v>4.0250000000000001E-2</v>
      </c>
      <c r="EL291" s="528">
        <f t="shared" si="877"/>
        <v>0.81355656375000007</v>
      </c>
      <c r="EM291">
        <f t="shared" si="878"/>
        <v>1.7999999999999999E-2</v>
      </c>
      <c r="EN291" s="460">
        <f t="shared" si="879"/>
        <v>58.249999999999993</v>
      </c>
      <c r="EP291" s="460">
        <f t="shared" si="880"/>
        <v>4810.0683795884524</v>
      </c>
      <c r="EQ291" s="173">
        <f t="shared" si="881"/>
        <v>1.3125</v>
      </c>
      <c r="ER291" s="173">
        <f t="shared" si="841"/>
        <v>8.981249999999999E-2</v>
      </c>
      <c r="ES291" s="528"/>
      <c r="EU291" s="460">
        <f t="shared" si="882"/>
        <v>1402.3125</v>
      </c>
      <c r="EV291" s="528">
        <f t="shared" si="883"/>
        <v>0.11401271319439249</v>
      </c>
      <c r="EW291" s="528">
        <f t="shared" si="884"/>
        <v>0.21577452084816065</v>
      </c>
      <c r="EX291" s="528">
        <f t="shared" si="885"/>
        <v>7.8330823269278217E-4</v>
      </c>
      <c r="EY291" s="528">
        <f t="shared" si="886"/>
        <v>23.478694197124568</v>
      </c>
      <c r="EZ291" s="528"/>
      <c r="FA291" s="625">
        <f t="shared" si="887"/>
        <v>2.4734042553191484</v>
      </c>
      <c r="FB291" s="460">
        <f t="shared" si="888"/>
        <v>26282.668994718962</v>
      </c>
      <c r="FC291" s="173">
        <f t="shared" si="889"/>
        <v>32.495049874307412</v>
      </c>
      <c r="FD291" s="5">
        <f t="shared" si="890"/>
        <v>58.125</v>
      </c>
      <c r="FE291" s="173">
        <f t="shared" si="891"/>
        <v>0.64141434572835732</v>
      </c>
      <c r="FF291" s="5">
        <f t="shared" si="892"/>
        <v>64.141434572835735</v>
      </c>
      <c r="FG291">
        <f t="shared" si="893"/>
        <v>75</v>
      </c>
      <c r="FI291" s="562">
        <f t="shared" si="842"/>
        <v>-50</v>
      </c>
    </row>
    <row r="292" spans="5:165">
      <c r="E292" s="170">
        <v>76</v>
      </c>
      <c r="F292" s="217">
        <f t="shared" si="843"/>
        <v>1.9</v>
      </c>
      <c r="G292" s="217">
        <f t="shared" si="772"/>
        <v>0.19</v>
      </c>
      <c r="H292" s="217">
        <f t="shared" si="773"/>
        <v>53.199999999999996</v>
      </c>
      <c r="I292" s="217">
        <f t="shared" si="774"/>
        <v>5.7</v>
      </c>
      <c r="J292" s="541">
        <f t="shared" si="775"/>
        <v>39.861225685730268</v>
      </c>
      <c r="K292" s="443">
        <f t="shared" si="776"/>
        <v>28.756297084312845</v>
      </c>
      <c r="L292" s="172">
        <f t="shared" si="777"/>
        <v>68.617522770043109</v>
      </c>
      <c r="M292" s="443"/>
      <c r="N292" s="217">
        <f t="shared" si="778"/>
        <v>0.41908095663382366</v>
      </c>
      <c r="O292" s="172">
        <f t="shared" si="779"/>
        <v>125.73716575355711</v>
      </c>
      <c r="P292" s="172">
        <f t="shared" si="780"/>
        <v>14.91525052943981</v>
      </c>
      <c r="Q292" s="217">
        <f t="shared" si="781"/>
        <v>4.4906130626270393</v>
      </c>
      <c r="R292" s="217">
        <f t="shared" si="782"/>
        <v>4.1912388584519036</v>
      </c>
      <c r="S292" s="217">
        <f t="shared" si="783"/>
        <v>28</v>
      </c>
      <c r="T292" s="217">
        <f t="shared" si="784"/>
        <v>7.0517468828947489</v>
      </c>
      <c r="U292" s="217">
        <f t="shared" si="785"/>
        <v>0.83146490805148776</v>
      </c>
      <c r="V292" s="217">
        <f t="shared" si="786"/>
        <v>1.1525548735440498</v>
      </c>
      <c r="W292" s="197">
        <f t="shared" si="787"/>
        <v>350</v>
      </c>
      <c r="X292" s="443">
        <f t="shared" si="844"/>
        <v>350</v>
      </c>
      <c r="Z292" s="217">
        <f t="shared" si="788"/>
        <v>10.155064190256891</v>
      </c>
      <c r="AA292" s="173">
        <f t="shared" si="789"/>
        <v>1.6597686953319326</v>
      </c>
      <c r="AB292" s="173">
        <f t="shared" si="790"/>
        <v>2.6641865305214862</v>
      </c>
      <c r="AC292" s="173"/>
      <c r="AD292" s="173">
        <f t="shared" si="791"/>
        <v>0.54480820742435432</v>
      </c>
      <c r="AE292" s="545">
        <f t="shared" si="792"/>
        <v>2092.4794899648923</v>
      </c>
      <c r="AF292" s="528">
        <f t="shared" si="793"/>
        <v>0.31780478766420667</v>
      </c>
      <c r="AH292" s="173">
        <f t="shared" si="794"/>
        <v>8.4623248725891003</v>
      </c>
      <c r="AI292" s="173">
        <f t="shared" si="795"/>
        <v>8.4623248725891003</v>
      </c>
      <c r="AJ292" s="173">
        <f t="shared" si="796"/>
        <v>4.9992529920413089</v>
      </c>
      <c r="AL292" s="545">
        <f t="shared" si="797"/>
        <v>1900</v>
      </c>
      <c r="AM292" s="460">
        <f t="shared" si="798"/>
        <v>350</v>
      </c>
      <c r="AO292">
        <f t="shared" si="799"/>
        <v>1900</v>
      </c>
      <c r="AP292">
        <f t="shared" si="800"/>
        <v>350</v>
      </c>
      <c r="AR292" s="5">
        <f t="shared" si="771"/>
        <v>2.8571428571428572</v>
      </c>
      <c r="AS292" s="5">
        <f t="shared" si="737"/>
        <v>0.99778484522132738</v>
      </c>
      <c r="AT292" s="5">
        <f t="shared" si="738"/>
        <v>1.8593580119215298</v>
      </c>
      <c r="AU292" s="173">
        <f t="shared" si="739"/>
        <v>0.34922469582746457</v>
      </c>
      <c r="BA292" s="173">
        <f t="shared" si="845"/>
        <v>2.8872310567340591</v>
      </c>
      <c r="BB292" s="173">
        <f t="shared" si="846"/>
        <v>3.9413463319163382</v>
      </c>
      <c r="BC292" s="173">
        <f t="shared" si="847"/>
        <v>0.39736524493910624</v>
      </c>
      <c r="BD292" s="173"/>
      <c r="BE292" s="528">
        <f t="shared" si="848"/>
        <v>0.10003323809963607</v>
      </c>
      <c r="BF292" s="528">
        <f t="shared" si="801"/>
        <v>3.7089898285268577</v>
      </c>
      <c r="BG292" s="528">
        <f t="shared" si="849"/>
        <v>4.0250000000000001E-2</v>
      </c>
      <c r="BH292" s="528">
        <f t="shared" si="850"/>
        <v>0.81160431881041173</v>
      </c>
      <c r="BI292">
        <f t="shared" si="851"/>
        <v>1.793755155857862E-2</v>
      </c>
      <c r="BJ292" s="460">
        <f t="shared" si="852"/>
        <v>58.187551558578619</v>
      </c>
      <c r="BK292">
        <f t="shared" si="802"/>
        <v>4.760790335837866</v>
      </c>
      <c r="BL292" s="460">
        <f t="shared" si="853"/>
        <v>4678.8149369954835</v>
      </c>
      <c r="BM292" s="173">
        <f t="shared" si="803"/>
        <v>1.2741399999999998</v>
      </c>
      <c r="BN292" s="173">
        <f t="shared" si="804"/>
        <v>9.1009999999999994E-2</v>
      </c>
      <c r="BQ292" s="460">
        <f t="shared" si="854"/>
        <v>1365.1499999999999</v>
      </c>
      <c r="BR292" s="528">
        <f t="shared" si="855"/>
        <v>0.11670544444957541</v>
      </c>
      <c r="BS292" s="528">
        <f t="shared" si="856"/>
        <v>0.21747895271354525</v>
      </c>
      <c r="BT292" s="528">
        <f t="shared" si="857"/>
        <v>7.8949568942757956E-4</v>
      </c>
      <c r="BU292" s="528">
        <f t="shared" si="858"/>
        <v>23.870655791662561</v>
      </c>
      <c r="BV292" s="528"/>
      <c r="BW292" s="625">
        <f t="shared" si="859"/>
        <v>2.5063829787234044</v>
      </c>
      <c r="BX292" s="460">
        <f t="shared" si="860"/>
        <v>26712.012663238515</v>
      </c>
      <c r="BY292" s="173">
        <f t="shared" si="861"/>
        <v>32.755977600233997</v>
      </c>
      <c r="BZ292" s="5">
        <f t="shared" si="862"/>
        <v>58.9</v>
      </c>
      <c r="CA292" s="173">
        <f t="shared" si="863"/>
        <v>0.64262038922216058</v>
      </c>
      <c r="CB292" s="5">
        <f t="shared" si="864"/>
        <v>64.262038922216064</v>
      </c>
      <c r="CC292">
        <f t="shared" si="865"/>
        <v>76</v>
      </c>
      <c r="CE292" s="562">
        <f t="shared" si="805"/>
        <v>-50</v>
      </c>
      <c r="CG292" s="173">
        <f t="shared" si="806"/>
        <v>0.47249338619709796</v>
      </c>
      <c r="CH292" s="173">
        <f t="shared" si="807"/>
        <v>0.15340236836755686</v>
      </c>
      <c r="CI292" s="170">
        <v>76</v>
      </c>
      <c r="CJ292" s="217">
        <f t="shared" si="866"/>
        <v>1.9</v>
      </c>
      <c r="CK292" s="217">
        <f t="shared" si="808"/>
        <v>0.19</v>
      </c>
      <c r="CL292" s="217">
        <f t="shared" si="809"/>
        <v>53.199999999999996</v>
      </c>
      <c r="CM292" s="217">
        <f t="shared" si="810"/>
        <v>5.7</v>
      </c>
      <c r="CN292" s="541">
        <f t="shared" si="811"/>
        <v>40</v>
      </c>
      <c r="CO292" s="443">
        <f t="shared" si="812"/>
        <v>28.7</v>
      </c>
      <c r="CP292" s="443">
        <f t="shared" si="813"/>
        <v>68.7</v>
      </c>
      <c r="CQ292" s="443"/>
      <c r="CR292" s="217">
        <f t="shared" si="814"/>
        <v>0.41520467836257302</v>
      </c>
      <c r="CS292" s="172">
        <f t="shared" si="815"/>
        <v>125.00786015217253</v>
      </c>
      <c r="CT292" s="172">
        <f t="shared" si="816"/>
        <v>14.828738512949037</v>
      </c>
      <c r="CU292" s="217">
        <f t="shared" si="817"/>
        <v>4.4645664340061613</v>
      </c>
      <c r="CV292" s="217">
        <f t="shared" si="818"/>
        <v>4.1669286717390843</v>
      </c>
      <c r="CW292" s="217">
        <f t="shared" si="819"/>
        <v>28</v>
      </c>
      <c r="CX292" s="217">
        <f t="shared" si="820"/>
        <v>7.0928873239436632</v>
      </c>
      <c r="CY292" s="217">
        <f t="shared" si="821"/>
        <v>0.83341426056338042</v>
      </c>
      <c r="CZ292" s="217">
        <f t="shared" si="822"/>
        <v>1.1615529763949552</v>
      </c>
      <c r="DA292" s="197">
        <f t="shared" si="823"/>
        <v>350</v>
      </c>
      <c r="DB292" s="443">
        <f t="shared" si="824"/>
        <v>350</v>
      </c>
      <c r="DD292" s="217">
        <f t="shared" si="825"/>
        <v>10.158258230357086</v>
      </c>
      <c r="DE292" s="173">
        <f t="shared" si="826"/>
        <v>1.6635475150758992</v>
      </c>
      <c r="DF292" s="173">
        <f t="shared" si="827"/>
        <v>2.6710919890125213</v>
      </c>
      <c r="DG292" s="173"/>
      <c r="DH292" s="173">
        <f t="shared" si="828"/>
        <v>0.54587688734030204</v>
      </c>
      <c r="DI292" s="545">
        <f t="shared" si="829"/>
        <v>2088.382978723404</v>
      </c>
      <c r="DJ292" s="528">
        <f t="shared" si="830"/>
        <v>0.31842818428184283</v>
      </c>
      <c r="DL292" s="173">
        <f t="shared" si="831"/>
        <v>8.4623248725891003</v>
      </c>
      <c r="DM292" s="173">
        <f t="shared" si="832"/>
        <v>8.4623248725891003</v>
      </c>
      <c r="DN292" s="173">
        <f t="shared" si="833"/>
        <v>4.9992529920413089</v>
      </c>
      <c r="DP292" s="545">
        <f t="shared" si="834"/>
        <v>1900</v>
      </c>
      <c r="DQ292" s="460">
        <f t="shared" si="835"/>
        <v>350</v>
      </c>
      <c r="DS292">
        <f t="shared" si="836"/>
        <v>1900</v>
      </c>
      <c r="DT292">
        <f t="shared" si="837"/>
        <v>350</v>
      </c>
      <c r="DV292" s="5">
        <f t="shared" si="867"/>
        <v>2.8571428571428572</v>
      </c>
      <c r="DW292" s="5">
        <f t="shared" si="838"/>
        <v>0.99432317252921931</v>
      </c>
      <c r="DX292" s="5">
        <f t="shared" si="839"/>
        <v>1.8628196846136378</v>
      </c>
      <c r="DY292" s="173">
        <f t="shared" si="840"/>
        <v>0.34801311038522675</v>
      </c>
      <c r="EA292" s="5">
        <f t="shared" si="868"/>
        <v>6.7471929564482727</v>
      </c>
      <c r="EB292" s="5">
        <f t="shared" si="869"/>
        <v>0.62973800926850554</v>
      </c>
      <c r="EC292" s="5">
        <f t="shared" si="870"/>
        <v>1.7696787003829555</v>
      </c>
      <c r="ED292" s="5"/>
      <c r="EE292" s="173">
        <f t="shared" si="871"/>
        <v>2.882218286307435</v>
      </c>
      <c r="EF292" s="173">
        <f t="shared" si="872"/>
        <v>3.9450135403006006</v>
      </c>
      <c r="EG292" s="173">
        <f t="shared" si="873"/>
        <v>0.39773497168604416</v>
      </c>
      <c r="EH292" s="173"/>
      <c r="EI292" s="528">
        <f t="shared" si="874"/>
        <v>9.9686186999099605E-2</v>
      </c>
      <c r="EJ292" s="528">
        <f t="shared" si="875"/>
        <v>3.866055429666694</v>
      </c>
      <c r="EK292" s="528">
        <f t="shared" si="876"/>
        <v>4.0250000000000001E-2</v>
      </c>
      <c r="EL292" s="528">
        <f t="shared" si="877"/>
        <v>0.81355656375000007</v>
      </c>
      <c r="EM292">
        <f t="shared" si="878"/>
        <v>1.7999999999999999E-2</v>
      </c>
      <c r="EN292" s="460">
        <f t="shared" si="879"/>
        <v>58.249999999999993</v>
      </c>
      <c r="EP292" s="460">
        <f t="shared" si="880"/>
        <v>4837.5481804157935</v>
      </c>
      <c r="EQ292" s="173">
        <f t="shared" si="881"/>
        <v>1.3299999999999998</v>
      </c>
      <c r="ER292" s="173">
        <f t="shared" si="841"/>
        <v>9.1009999999999994E-2</v>
      </c>
      <c r="ES292" s="528"/>
      <c r="EU292" s="460">
        <f t="shared" si="882"/>
        <v>1421.01</v>
      </c>
      <c r="EV292" s="528">
        <f t="shared" si="883"/>
        <v>0.11630055149894954</v>
      </c>
      <c r="EW292" s="528">
        <f t="shared" si="884"/>
        <v>0.2178838456641711</v>
      </c>
      <c r="EX292" s="528">
        <f t="shared" si="885"/>
        <v>7.9096553851049176E-4</v>
      </c>
      <c r="EY292" s="528">
        <f t="shared" si="886"/>
        <v>23.870655791662561</v>
      </c>
      <c r="EZ292" s="528"/>
      <c r="FA292" s="625">
        <f t="shared" si="887"/>
        <v>2.5063829787234044</v>
      </c>
      <c r="FB292" s="460">
        <f t="shared" si="888"/>
        <v>26712.014133087596</v>
      </c>
      <c r="FC292" s="173">
        <f t="shared" si="889"/>
        <v>32.970572313503389</v>
      </c>
      <c r="FD292" s="5">
        <f t="shared" si="890"/>
        <v>58.9</v>
      </c>
      <c r="FE292" s="173">
        <f t="shared" si="891"/>
        <v>0.64111933252148379</v>
      </c>
      <c r="FF292" s="5">
        <f t="shared" si="892"/>
        <v>64.111933252148376</v>
      </c>
      <c r="FG292">
        <f t="shared" si="893"/>
        <v>76</v>
      </c>
      <c r="FI292" s="562">
        <f t="shared" si="842"/>
        <v>-50</v>
      </c>
    </row>
    <row r="293" spans="5:165">
      <c r="E293" s="170">
        <v>77</v>
      </c>
      <c r="F293" s="217">
        <f t="shared" si="843"/>
        <v>1.925</v>
      </c>
      <c r="G293" s="217">
        <f t="shared" si="772"/>
        <v>0.1925</v>
      </c>
      <c r="H293" s="217">
        <f t="shared" si="773"/>
        <v>53.9</v>
      </c>
      <c r="I293" s="217">
        <f t="shared" si="774"/>
        <v>5.7750000000000004</v>
      </c>
      <c r="J293" s="541">
        <f t="shared" si="775"/>
        <v>39.860315680476347</v>
      </c>
      <c r="K293" s="443">
        <f t="shared" si="776"/>
        <v>28.756666249476979</v>
      </c>
      <c r="L293" s="172">
        <f t="shared" si="777"/>
        <v>68.616981929953326</v>
      </c>
      <c r="M293" s="443"/>
      <c r="N293" s="217">
        <f t="shared" si="778"/>
        <v>0.41908963992081166</v>
      </c>
      <c r="O293" s="172">
        <f t="shared" si="779"/>
        <v>125.73690045120971</v>
      </c>
      <c r="P293" s="172">
        <f t="shared" si="780"/>
        <v>14.91521905862564</v>
      </c>
      <c r="Q293" s="217">
        <f t="shared" si="781"/>
        <v>4.4906035875432035</v>
      </c>
      <c r="R293" s="217">
        <f t="shared" si="782"/>
        <v>4.1912300150403237</v>
      </c>
      <c r="S293" s="217">
        <f t="shared" si="783"/>
        <v>28</v>
      </c>
      <c r="T293" s="217">
        <f t="shared" si="784"/>
        <v>7.1445481009126519</v>
      </c>
      <c r="U293" s="217">
        <f t="shared" si="785"/>
        <v>0.8424262452777489</v>
      </c>
      <c r="V293" s="217">
        <f t="shared" si="786"/>
        <v>1.167707542417237</v>
      </c>
      <c r="W293" s="197">
        <f t="shared" si="787"/>
        <v>350</v>
      </c>
      <c r="X293" s="443">
        <f t="shared" si="844"/>
        <v>350</v>
      </c>
      <c r="Z293" s="217">
        <f t="shared" si="788"/>
        <v>10.155042763319583</v>
      </c>
      <c r="AA293" s="173">
        <f t="shared" si="789"/>
        <v>1.659743885940538</v>
      </c>
      <c r="AB293" s="173">
        <f t="shared" si="790"/>
        <v>2.6641410863107575</v>
      </c>
      <c r="AC293" s="173"/>
      <c r="AD293" s="173">
        <f t="shared" si="791"/>
        <v>0.54480121342130927</v>
      </c>
      <c r="AE293" s="545">
        <f t="shared" si="792"/>
        <v>2120.0393309454835</v>
      </c>
      <c r="AF293" s="528">
        <f t="shared" si="793"/>
        <v>0.31780070782909708</v>
      </c>
      <c r="AH293" s="173">
        <f t="shared" si="794"/>
        <v>8.5178161220680089</v>
      </c>
      <c r="AI293" s="173">
        <f t="shared" si="795"/>
        <v>8.5178161220680089</v>
      </c>
      <c r="AJ293" s="173">
        <f t="shared" si="796"/>
        <v>5.0403576212849446</v>
      </c>
      <c r="AL293" s="545">
        <f t="shared" si="797"/>
        <v>1925</v>
      </c>
      <c r="AM293" s="460">
        <f t="shared" si="798"/>
        <v>350</v>
      </c>
      <c r="AO293">
        <f t="shared" si="799"/>
        <v>1925</v>
      </c>
      <c r="AP293">
        <f t="shared" si="800"/>
        <v>350</v>
      </c>
      <c r="AR293" s="5">
        <f t="shared" si="771"/>
        <v>2.8571428571428572</v>
      </c>
      <c r="AS293" s="5">
        <f t="shared" si="737"/>
        <v>1.0043506954293449</v>
      </c>
      <c r="AT293" s="5">
        <f t="shared" si="738"/>
        <v>1.8527921617135124</v>
      </c>
      <c r="AU293" s="173">
        <f t="shared" si="739"/>
        <v>0.35152274340027068</v>
      </c>
      <c r="BA293" s="173">
        <f t="shared" si="845"/>
        <v>2.9157101430460926</v>
      </c>
      <c r="BB293" s="173">
        <f t="shared" si="846"/>
        <v>3.960180743963424</v>
      </c>
      <c r="BC293" s="173">
        <f t="shared" si="847"/>
        <v>0.39926412418647633</v>
      </c>
      <c r="BD293" s="173"/>
      <c r="BE293" s="528">
        <f t="shared" si="848"/>
        <v>0.10201638765914239</v>
      </c>
      <c r="BF293" s="528">
        <f t="shared" si="801"/>
        <v>3.7332819081192441</v>
      </c>
      <c r="BG293" s="528">
        <f t="shared" si="849"/>
        <v>4.0250000000000001E-2</v>
      </c>
      <c r="BH293" s="528">
        <f t="shared" si="850"/>
        <v>0.81159152480663399</v>
      </c>
      <c r="BI293">
        <f t="shared" si="851"/>
        <v>1.7937142056214356E-2</v>
      </c>
      <c r="BJ293" s="460">
        <f t="shared" si="852"/>
        <v>58.187142056214356</v>
      </c>
      <c r="BK293">
        <f t="shared" si="802"/>
        <v>4.7905529060550904</v>
      </c>
      <c r="BL293" s="460">
        <f t="shared" si="853"/>
        <v>4705.0769626412348</v>
      </c>
      <c r="BM293" s="173">
        <f t="shared" si="803"/>
        <v>1.290905</v>
      </c>
      <c r="BN293" s="173">
        <f t="shared" si="804"/>
        <v>9.2207499999999998E-2</v>
      </c>
      <c r="BQ293" s="460">
        <f t="shared" si="854"/>
        <v>1383.1125</v>
      </c>
      <c r="BR293" s="528">
        <f t="shared" si="855"/>
        <v>0.11901911893566613</v>
      </c>
      <c r="BS293" s="528">
        <f t="shared" si="856"/>
        <v>0.21956244134802178</v>
      </c>
      <c r="BT293" s="528">
        <f t="shared" si="857"/>
        <v>7.9705920431196993E-4</v>
      </c>
      <c r="BU293" s="528">
        <f t="shared" si="858"/>
        <v>24.263908889178154</v>
      </c>
      <c r="BV293" s="528"/>
      <c r="BW293" s="625">
        <f t="shared" si="859"/>
        <v>2.5393617021276595</v>
      </c>
      <c r="BX293" s="460">
        <f t="shared" si="860"/>
        <v>27142.649210793814</v>
      </c>
      <c r="BY293" s="173">
        <f t="shared" si="861"/>
        <v>33.230838673435045</v>
      </c>
      <c r="BZ293" s="5">
        <f t="shared" si="862"/>
        <v>59.674999999999997</v>
      </c>
      <c r="CA293" s="173">
        <f t="shared" si="863"/>
        <v>0.64231700452926566</v>
      </c>
      <c r="CB293" s="5">
        <f t="shared" si="864"/>
        <v>64.23170045292656</v>
      </c>
      <c r="CC293">
        <f t="shared" si="865"/>
        <v>77</v>
      </c>
      <c r="CE293" s="562">
        <f t="shared" si="805"/>
        <v>-50</v>
      </c>
      <c r="CG293" s="173">
        <f t="shared" si="806"/>
        <v>0.47559173668178889</v>
      </c>
      <c r="CH293" s="173">
        <f t="shared" si="807"/>
        <v>0.1544082963154797</v>
      </c>
      <c r="CI293" s="170">
        <v>77</v>
      </c>
      <c r="CJ293" s="217">
        <f t="shared" si="866"/>
        <v>1.925</v>
      </c>
      <c r="CK293" s="217">
        <f t="shared" si="808"/>
        <v>0.1925</v>
      </c>
      <c r="CL293" s="217">
        <f t="shared" si="809"/>
        <v>53.9</v>
      </c>
      <c r="CM293" s="217">
        <f t="shared" si="810"/>
        <v>5.7750000000000004</v>
      </c>
      <c r="CN293" s="541">
        <f t="shared" si="811"/>
        <v>40</v>
      </c>
      <c r="CO293" s="443">
        <f t="shared" si="812"/>
        <v>28.7</v>
      </c>
      <c r="CP293" s="443">
        <f t="shared" si="813"/>
        <v>68.7</v>
      </c>
      <c r="CQ293" s="443"/>
      <c r="CR293" s="217">
        <f t="shared" si="814"/>
        <v>0.41520467836257302</v>
      </c>
      <c r="CS293" s="172">
        <f t="shared" si="815"/>
        <v>125.00786015217253</v>
      </c>
      <c r="CT293" s="172">
        <f t="shared" si="816"/>
        <v>14.828738512949037</v>
      </c>
      <c r="CU293" s="217">
        <f t="shared" si="817"/>
        <v>4.4645664340061613</v>
      </c>
      <c r="CV293" s="217">
        <f t="shared" si="818"/>
        <v>4.1669286717390843</v>
      </c>
      <c r="CW293" s="217">
        <f t="shared" si="819"/>
        <v>28</v>
      </c>
      <c r="CX293" s="217">
        <f t="shared" si="820"/>
        <v>7.1862147887323955</v>
      </c>
      <c r="CY293" s="217">
        <f t="shared" si="821"/>
        <v>0.84438023767605641</v>
      </c>
      <c r="CZ293" s="217">
        <f t="shared" si="822"/>
        <v>1.1768365681896256</v>
      </c>
      <c r="DA293" s="197">
        <f t="shared" si="823"/>
        <v>350</v>
      </c>
      <c r="DB293" s="443">
        <f t="shared" si="824"/>
        <v>350</v>
      </c>
      <c r="DD293" s="217">
        <f t="shared" si="825"/>
        <v>10.158258230357086</v>
      </c>
      <c r="DE293" s="173">
        <f t="shared" si="826"/>
        <v>1.6635475150758992</v>
      </c>
      <c r="DF293" s="173">
        <f t="shared" si="827"/>
        <v>2.6710919890125213</v>
      </c>
      <c r="DG293" s="173"/>
      <c r="DH293" s="173">
        <f t="shared" si="828"/>
        <v>0.54587688734030204</v>
      </c>
      <c r="DI293" s="545">
        <f t="shared" si="829"/>
        <v>2115.8617021276596</v>
      </c>
      <c r="DJ293" s="528">
        <f t="shared" si="830"/>
        <v>0.31842818428184283</v>
      </c>
      <c r="DL293" s="173">
        <f t="shared" si="831"/>
        <v>8.5178161220680089</v>
      </c>
      <c r="DM293" s="173">
        <f t="shared" si="832"/>
        <v>8.5178161220680089</v>
      </c>
      <c r="DN293" s="173">
        <f t="shared" si="833"/>
        <v>5.0403576212849446</v>
      </c>
      <c r="DP293" s="545">
        <f t="shared" si="834"/>
        <v>1925</v>
      </c>
      <c r="DQ293" s="460">
        <f t="shared" si="835"/>
        <v>350</v>
      </c>
      <c r="DS293">
        <f t="shared" si="836"/>
        <v>1925</v>
      </c>
      <c r="DT293">
        <f t="shared" si="837"/>
        <v>350</v>
      </c>
      <c r="DV293" s="5">
        <f t="shared" si="867"/>
        <v>2.8571428571428572</v>
      </c>
      <c r="DW293" s="5">
        <f t="shared" si="838"/>
        <v>1.0008433943429911</v>
      </c>
      <c r="DX293" s="5">
        <f t="shared" si="839"/>
        <v>1.8562994627998661</v>
      </c>
      <c r="DY293" s="173">
        <f t="shared" si="840"/>
        <v>0.35029518802004689</v>
      </c>
      <c r="EA293" s="5">
        <f t="shared" si="868"/>
        <v>6.8807983361080636</v>
      </c>
      <c r="EB293" s="5">
        <f t="shared" si="869"/>
        <v>0.64220784470341929</v>
      </c>
      <c r="EC293" s="5">
        <f t="shared" si="870"/>
        <v>1.786688232944871</v>
      </c>
      <c r="ED293" s="5"/>
      <c r="EE293" s="173">
        <f t="shared" si="871"/>
        <v>2.9106147033585206</v>
      </c>
      <c r="EF293" s="173">
        <f t="shared" si="872"/>
        <v>3.9639272460167274</v>
      </c>
      <c r="EG293" s="173">
        <f t="shared" si="873"/>
        <v>0.39964184529512903</v>
      </c>
      <c r="EH293" s="173"/>
      <c r="EI293" s="528">
        <f t="shared" si="874"/>
        <v>0.10166013541688171</v>
      </c>
      <c r="EJ293" s="528">
        <f t="shared" si="875"/>
        <v>3.8914068844473806</v>
      </c>
      <c r="EK293" s="528">
        <f t="shared" si="876"/>
        <v>4.0250000000000001E-2</v>
      </c>
      <c r="EL293" s="528">
        <f t="shared" si="877"/>
        <v>0.81355656375000007</v>
      </c>
      <c r="EM293">
        <f t="shared" si="878"/>
        <v>1.7999999999999999E-2</v>
      </c>
      <c r="EN293" s="460">
        <f t="shared" si="879"/>
        <v>58.249999999999993</v>
      </c>
      <c r="EP293" s="460">
        <f t="shared" si="880"/>
        <v>4864.8735836142623</v>
      </c>
      <c r="EQ293" s="173">
        <f t="shared" si="881"/>
        <v>1.3474999999999999</v>
      </c>
      <c r="ER293" s="173">
        <f t="shared" si="841"/>
        <v>9.2207499999999998E-2</v>
      </c>
      <c r="ES293" s="528"/>
      <c r="EU293" s="460">
        <f t="shared" si="882"/>
        <v>1439.7075</v>
      </c>
      <c r="EV293" s="528">
        <f t="shared" si="883"/>
        <v>0.11860349131969533</v>
      </c>
      <c r="EW293" s="528">
        <f t="shared" si="884"/>
        <v>0.21997806896399261</v>
      </c>
      <c r="EX293" s="528">
        <f t="shared" si="885"/>
        <v>7.9856802255447916E-4</v>
      </c>
      <c r="EY293" s="528">
        <f t="shared" si="886"/>
        <v>24.263908889178154</v>
      </c>
      <c r="EZ293" s="528"/>
      <c r="FA293" s="625">
        <f t="shared" si="887"/>
        <v>2.5393617021276595</v>
      </c>
      <c r="FB293" s="460">
        <f t="shared" si="888"/>
        <v>27142.650719612058</v>
      </c>
      <c r="FC293" s="173">
        <f t="shared" si="889"/>
        <v>33.447231803226316</v>
      </c>
      <c r="FD293" s="5">
        <f t="shared" si="890"/>
        <v>59.674999999999997</v>
      </c>
      <c r="FE293" s="173">
        <f t="shared" si="891"/>
        <v>0.64082441801972034</v>
      </c>
      <c r="FF293" s="5">
        <f t="shared" si="892"/>
        <v>64.082441801972038</v>
      </c>
      <c r="FG293">
        <f t="shared" si="893"/>
        <v>77</v>
      </c>
      <c r="FI293" s="562">
        <f t="shared" si="842"/>
        <v>-50</v>
      </c>
    </row>
    <row r="294" spans="5:165">
      <c r="E294" s="170">
        <v>78</v>
      </c>
      <c r="F294" s="217">
        <f t="shared" si="843"/>
        <v>1.9500000000000002</v>
      </c>
      <c r="G294" s="217">
        <f t="shared" si="772"/>
        <v>0.19500000000000001</v>
      </c>
      <c r="H294" s="217">
        <f t="shared" si="773"/>
        <v>54.600000000000009</v>
      </c>
      <c r="I294" s="217">
        <f t="shared" si="774"/>
        <v>5.8500000000000005</v>
      </c>
      <c r="J294" s="541">
        <f t="shared" si="775"/>
        <v>39.859411565409751</v>
      </c>
      <c r="K294" s="443">
        <f t="shared" si="776"/>
        <v>28.757033025147248</v>
      </c>
      <c r="L294" s="172">
        <f t="shared" si="777"/>
        <v>68.616444590556995</v>
      </c>
      <c r="M294" s="443"/>
      <c r="N294" s="217">
        <f t="shared" si="778"/>
        <v>0.4190982671390816</v>
      </c>
      <c r="O294" s="172">
        <f t="shared" si="779"/>
        <v>125.73663678895363</v>
      </c>
      <c r="P294" s="172">
        <f t="shared" si="780"/>
        <v>14.915187782363121</v>
      </c>
      <c r="Q294" s="217">
        <f t="shared" si="781"/>
        <v>4.4905941710340587</v>
      </c>
      <c r="R294" s="217">
        <f t="shared" si="782"/>
        <v>4.1912212262984543</v>
      </c>
      <c r="S294" s="217">
        <f t="shared" si="783"/>
        <v>28</v>
      </c>
      <c r="T294" s="217">
        <f t="shared" si="784"/>
        <v>7.2373496161458215</v>
      </c>
      <c r="U294" s="217">
        <f t="shared" si="785"/>
        <v>0.85338799194427295</v>
      </c>
      <c r="V294" s="217">
        <f t="shared" si="786"/>
        <v>1.1828599691122406</v>
      </c>
      <c r="W294" s="197">
        <f t="shared" si="787"/>
        <v>350</v>
      </c>
      <c r="X294" s="443">
        <f t="shared" si="844"/>
        <v>350</v>
      </c>
      <c r="Z294" s="217">
        <f t="shared" si="788"/>
        <v>10.155021468842975</v>
      </c>
      <c r="AA294" s="173">
        <f t="shared" si="789"/>
        <v>1.6597192367454809</v>
      </c>
      <c r="AB294" s="173">
        <f t="shared" si="790"/>
        <v>2.6640959341570958</v>
      </c>
      <c r="AC294" s="173"/>
      <c r="AD294" s="173">
        <f t="shared" si="791"/>
        <v>0.54479426486614912</v>
      </c>
      <c r="AE294" s="545">
        <f t="shared" si="792"/>
        <v>2147.5997003886559</v>
      </c>
      <c r="AF294" s="528">
        <f t="shared" si="793"/>
        <v>0.31779665450525368</v>
      </c>
      <c r="AH294" s="173">
        <f t="shared" si="794"/>
        <v>8.5729481935611442</v>
      </c>
      <c r="AI294" s="173">
        <f t="shared" si="795"/>
        <v>8.5729481935611442</v>
      </c>
      <c r="AJ294" s="173">
        <f t="shared" si="796"/>
        <v>5.0811961927613414</v>
      </c>
      <c r="AL294" s="545">
        <f t="shared" si="797"/>
        <v>1950.0000000000002</v>
      </c>
      <c r="AM294" s="460">
        <f t="shared" si="798"/>
        <v>350</v>
      </c>
      <c r="AO294">
        <f t="shared" si="799"/>
        <v>1950.0000000000002</v>
      </c>
      <c r="AP294">
        <f t="shared" si="800"/>
        <v>350</v>
      </c>
      <c r="AR294" s="5">
        <f t="shared" si="771"/>
        <v>2.8571428571428572</v>
      </c>
      <c r="AS294" s="5">
        <f t="shared" si="737"/>
        <v>1.0108743437824299</v>
      </c>
      <c r="AT294" s="5">
        <f t="shared" si="738"/>
        <v>1.8462685133604273</v>
      </c>
      <c r="AU294" s="173">
        <f t="shared" si="739"/>
        <v>0.35380602032385045</v>
      </c>
      <c r="BA294" s="173">
        <f t="shared" si="845"/>
        <v>2.9440974506315687</v>
      </c>
      <c r="BB294" s="173">
        <f t="shared" si="846"/>
        <v>3.9787900729173677</v>
      </c>
      <c r="BC294" s="173">
        <f t="shared" si="847"/>
        <v>0.40114031063019362</v>
      </c>
      <c r="BD294" s="173"/>
      <c r="BE294" s="528">
        <f t="shared" si="848"/>
        <v>0.10401251758578363</v>
      </c>
      <c r="BF294" s="528">
        <f t="shared" si="801"/>
        <v>3.7574163727789398</v>
      </c>
      <c r="BG294" s="528">
        <f t="shared" si="849"/>
        <v>4.0250000000000001E-2</v>
      </c>
      <c r="BH294" s="528">
        <f t="shared" si="850"/>
        <v>0.81157881371441765</v>
      </c>
      <c r="BI294">
        <f t="shared" si="851"/>
        <v>1.7936735204434388E-2</v>
      </c>
      <c r="BJ294" s="460">
        <f t="shared" si="852"/>
        <v>58.186735204434392</v>
      </c>
      <c r="BK294">
        <f t="shared" si="802"/>
        <v>4.8202148572138253</v>
      </c>
      <c r="BL294" s="460">
        <f t="shared" si="853"/>
        <v>4731.1944392835749</v>
      </c>
      <c r="BM294" s="173">
        <f t="shared" si="803"/>
        <v>1.3076699999999999</v>
      </c>
      <c r="BN294" s="173">
        <f t="shared" si="804"/>
        <v>9.3405000000000002E-2</v>
      </c>
      <c r="BQ294" s="460">
        <f t="shared" si="854"/>
        <v>1401.0749999999998</v>
      </c>
      <c r="BR294" s="528">
        <f t="shared" si="855"/>
        <v>0.12134793718341423</v>
      </c>
      <c r="BS294" s="528">
        <f t="shared" si="856"/>
        <v>0.22163078622084112</v>
      </c>
      <c r="BT294" s="528">
        <f t="shared" si="857"/>
        <v>8.0456774406244117E-4</v>
      </c>
      <c r="BU294" s="528">
        <f t="shared" si="858"/>
        <v>24.658440888939264</v>
      </c>
      <c r="BV294" s="528"/>
      <c r="BW294" s="625">
        <f t="shared" si="859"/>
        <v>2.5723404255319156</v>
      </c>
      <c r="BX294" s="460">
        <f t="shared" si="860"/>
        <v>27574.564605619496</v>
      </c>
      <c r="BY294" s="173">
        <f t="shared" si="861"/>
        <v>33.706834044903069</v>
      </c>
      <c r="BZ294" s="5">
        <f t="shared" si="862"/>
        <v>60.45000000000001</v>
      </c>
      <c r="CA294" s="173">
        <f t="shared" si="863"/>
        <v>0.64201393996713618</v>
      </c>
      <c r="CB294" s="5">
        <f t="shared" si="864"/>
        <v>64.20139399671362</v>
      </c>
      <c r="CC294">
        <f t="shared" si="865"/>
        <v>78</v>
      </c>
      <c r="CE294" s="562">
        <f t="shared" si="805"/>
        <v>-50</v>
      </c>
      <c r="CG294" s="173">
        <f t="shared" si="806"/>
        <v>0.47867003248584516</v>
      </c>
      <c r="CH294" s="173">
        <f t="shared" si="807"/>
        <v>0.15540771319764776</v>
      </c>
      <c r="CI294" s="170">
        <v>78</v>
      </c>
      <c r="CJ294" s="217">
        <f t="shared" si="866"/>
        <v>1.9500000000000002</v>
      </c>
      <c r="CK294" s="217">
        <f t="shared" si="808"/>
        <v>0.19500000000000001</v>
      </c>
      <c r="CL294" s="217">
        <f t="shared" si="809"/>
        <v>54.600000000000009</v>
      </c>
      <c r="CM294" s="217">
        <f t="shared" si="810"/>
        <v>5.8500000000000005</v>
      </c>
      <c r="CN294" s="541">
        <f t="shared" si="811"/>
        <v>40</v>
      </c>
      <c r="CO294" s="443">
        <f t="shared" si="812"/>
        <v>28.7</v>
      </c>
      <c r="CP294" s="443">
        <f t="shared" si="813"/>
        <v>68.7</v>
      </c>
      <c r="CQ294" s="443"/>
      <c r="CR294" s="217">
        <f t="shared" si="814"/>
        <v>0.41520467836257302</v>
      </c>
      <c r="CS294" s="172">
        <f t="shared" si="815"/>
        <v>125.00786015217253</v>
      </c>
      <c r="CT294" s="172">
        <f t="shared" si="816"/>
        <v>14.828738512949037</v>
      </c>
      <c r="CU294" s="217">
        <f t="shared" si="817"/>
        <v>4.4645664340061613</v>
      </c>
      <c r="CV294" s="217">
        <f t="shared" si="818"/>
        <v>4.1669286717390843</v>
      </c>
      <c r="CW294" s="217">
        <f t="shared" si="819"/>
        <v>28</v>
      </c>
      <c r="CX294" s="217">
        <f t="shared" si="820"/>
        <v>7.2795422535211296</v>
      </c>
      <c r="CY294" s="217">
        <f t="shared" si="821"/>
        <v>0.85534621478873274</v>
      </c>
      <c r="CZ294" s="217">
        <f t="shared" si="822"/>
        <v>1.1921201599842965</v>
      </c>
      <c r="DA294" s="197">
        <f t="shared" si="823"/>
        <v>350</v>
      </c>
      <c r="DB294" s="443">
        <f t="shared" si="824"/>
        <v>350</v>
      </c>
      <c r="DD294" s="217">
        <f t="shared" si="825"/>
        <v>10.158258230357086</v>
      </c>
      <c r="DE294" s="173">
        <f t="shared" si="826"/>
        <v>1.6635475150758992</v>
      </c>
      <c r="DF294" s="173">
        <f t="shared" si="827"/>
        <v>2.6710919890125213</v>
      </c>
      <c r="DG294" s="173"/>
      <c r="DH294" s="173">
        <f t="shared" si="828"/>
        <v>0.54587688734030204</v>
      </c>
      <c r="DI294" s="545">
        <f t="shared" si="829"/>
        <v>2143.3404255319151</v>
      </c>
      <c r="DJ294" s="528">
        <f t="shared" si="830"/>
        <v>0.31842818428184283</v>
      </c>
      <c r="DL294" s="173">
        <f t="shared" si="831"/>
        <v>8.5729481935611442</v>
      </c>
      <c r="DM294" s="173">
        <f t="shared" si="832"/>
        <v>8.5729481935611442</v>
      </c>
      <c r="DN294" s="173">
        <f t="shared" si="833"/>
        <v>5.0811961927613414</v>
      </c>
      <c r="DP294" s="545">
        <f t="shared" si="834"/>
        <v>1950.0000000000002</v>
      </c>
      <c r="DQ294" s="460">
        <f t="shared" si="835"/>
        <v>350</v>
      </c>
      <c r="DS294">
        <f t="shared" si="836"/>
        <v>1950.0000000000002</v>
      </c>
      <c r="DT294">
        <f t="shared" si="837"/>
        <v>350</v>
      </c>
      <c r="DV294" s="5">
        <f t="shared" si="867"/>
        <v>2.8571428571428572</v>
      </c>
      <c r="DW294" s="5">
        <f t="shared" si="838"/>
        <v>1.0073214127434342</v>
      </c>
      <c r="DX294" s="5">
        <f t="shared" si="839"/>
        <v>1.849821444399423</v>
      </c>
      <c r="DY294" s="173">
        <f t="shared" si="840"/>
        <v>0.35256249446020199</v>
      </c>
      <c r="EA294" s="5">
        <f t="shared" si="868"/>
        <v>7.0152741244632031</v>
      </c>
      <c r="EB294" s="5">
        <f t="shared" si="869"/>
        <v>0.65475891828323218</v>
      </c>
      <c r="EC294" s="5">
        <f t="shared" si="870"/>
        <v>1.8035759082894376</v>
      </c>
      <c r="ED294" s="5"/>
      <c r="EE294" s="173">
        <f t="shared" si="871"/>
        <v>2.938919070851195</v>
      </c>
      <c r="EF294" s="173">
        <f t="shared" si="872"/>
        <v>3.9826165944198353</v>
      </c>
      <c r="EG294" s="173">
        <f t="shared" si="873"/>
        <v>0.40152609927347516</v>
      </c>
      <c r="EH294" s="173"/>
      <c r="EI294" s="528">
        <f t="shared" si="874"/>
        <v>0.10364694366015421</v>
      </c>
      <c r="EJ294" s="528">
        <f t="shared" si="875"/>
        <v>3.9165942469693764</v>
      </c>
      <c r="EK294" s="528">
        <f t="shared" si="876"/>
        <v>4.0250000000000001E-2</v>
      </c>
      <c r="EL294" s="528">
        <f t="shared" si="877"/>
        <v>0.81355656375000007</v>
      </c>
      <c r="EM294">
        <f t="shared" si="878"/>
        <v>1.7999999999999999E-2</v>
      </c>
      <c r="EN294" s="460">
        <f t="shared" si="879"/>
        <v>58.249999999999993</v>
      </c>
      <c r="EP294" s="460">
        <f t="shared" si="880"/>
        <v>4892.0477543795305</v>
      </c>
      <c r="EQ294" s="173">
        <f t="shared" si="881"/>
        <v>1.365</v>
      </c>
      <c r="ER294" s="173">
        <f t="shared" si="841"/>
        <v>9.3405000000000002E-2</v>
      </c>
      <c r="ES294" s="528"/>
      <c r="EU294" s="460">
        <f t="shared" si="882"/>
        <v>1458.405</v>
      </c>
      <c r="EV294" s="528">
        <f t="shared" si="883"/>
        <v>0.12092143427017991</v>
      </c>
      <c r="EW294" s="528">
        <f t="shared" si="884"/>
        <v>0.22205728913407546</v>
      </c>
      <c r="EX294" s="528">
        <f t="shared" si="885"/>
        <v>8.0611604198886318E-4</v>
      </c>
      <c r="EY294" s="528">
        <f t="shared" si="886"/>
        <v>24.658440888939264</v>
      </c>
      <c r="EZ294" s="528"/>
      <c r="FA294" s="625">
        <f t="shared" si="887"/>
        <v>2.5723404255319156</v>
      </c>
      <c r="FB294" s="460">
        <f t="shared" si="888"/>
        <v>27574.566153917425</v>
      </c>
      <c r="FC294" s="173">
        <f t="shared" si="889"/>
        <v>33.925018908296956</v>
      </c>
      <c r="FD294" s="5">
        <f t="shared" si="890"/>
        <v>60.45000000000001</v>
      </c>
      <c r="FE294" s="173">
        <f t="shared" si="891"/>
        <v>0.64052967299258001</v>
      </c>
      <c r="FF294" s="5">
        <f t="shared" si="892"/>
        <v>64.052967299258</v>
      </c>
      <c r="FG294">
        <f t="shared" si="893"/>
        <v>78</v>
      </c>
      <c r="FI294" s="562">
        <f t="shared" si="842"/>
        <v>-50</v>
      </c>
    </row>
    <row r="295" spans="5:165">
      <c r="E295" s="170">
        <v>79</v>
      </c>
      <c r="F295" s="217">
        <f t="shared" si="843"/>
        <v>1.9750000000000001</v>
      </c>
      <c r="G295" s="217">
        <f t="shared" si="772"/>
        <v>0.19750000000000001</v>
      </c>
      <c r="H295" s="217">
        <f t="shared" si="773"/>
        <v>55.300000000000004</v>
      </c>
      <c r="I295" s="217">
        <f t="shared" si="774"/>
        <v>5.9250000000000007</v>
      </c>
      <c r="J295" s="541">
        <f t="shared" si="775"/>
        <v>39.85851322761372</v>
      </c>
      <c r="K295" s="443">
        <f t="shared" si="776"/>
        <v>28.757397457131013</v>
      </c>
      <c r="L295" s="172">
        <f t="shared" si="777"/>
        <v>68.615910684744733</v>
      </c>
      <c r="M295" s="443"/>
      <c r="N295" s="217">
        <f t="shared" si="778"/>
        <v>0.4191068393634918</v>
      </c>
      <c r="O295" s="172">
        <f t="shared" si="779"/>
        <v>125.73637473534606</v>
      </c>
      <c r="P295" s="172">
        <f t="shared" si="780"/>
        <v>14.915156696922427</v>
      </c>
      <c r="Q295" s="217">
        <f t="shared" si="781"/>
        <v>4.4905848119766452</v>
      </c>
      <c r="R295" s="217">
        <f t="shared" si="782"/>
        <v>4.1912124911782023</v>
      </c>
      <c r="S295" s="217">
        <f t="shared" si="783"/>
        <v>28</v>
      </c>
      <c r="T295" s="217">
        <f t="shared" si="784"/>
        <v>7.3301514267976975</v>
      </c>
      <c r="U295" s="217">
        <f t="shared" si="785"/>
        <v>0.86435014545603406</v>
      </c>
      <c r="V295" s="217">
        <f t="shared" si="786"/>
        <v>1.198012155213515</v>
      </c>
      <c r="W295" s="197">
        <f t="shared" si="787"/>
        <v>350</v>
      </c>
      <c r="X295" s="443">
        <f t="shared" si="844"/>
        <v>350</v>
      </c>
      <c r="Z295" s="217">
        <f t="shared" si="788"/>
        <v>10.155000304287608</v>
      </c>
      <c r="AA295" s="173">
        <f t="shared" si="789"/>
        <v>1.6596947446757375</v>
      </c>
      <c r="AB295" s="173">
        <f t="shared" si="790"/>
        <v>2.6640510684616978</v>
      </c>
      <c r="AC295" s="173"/>
      <c r="AD295" s="173">
        <f t="shared" si="791"/>
        <v>0.54478736088761681</v>
      </c>
      <c r="AE295" s="545">
        <f t="shared" si="792"/>
        <v>2175.1605948957604</v>
      </c>
      <c r="AF295" s="528">
        <f t="shared" si="793"/>
        <v>0.31779262718444318</v>
      </c>
      <c r="AH295" s="173">
        <f t="shared" si="794"/>
        <v>8.6277279726243616</v>
      </c>
      <c r="AI295" s="173">
        <f t="shared" si="795"/>
        <v>8.6277279726243616</v>
      </c>
      <c r="AJ295" s="173">
        <f t="shared" si="796"/>
        <v>5.1217738068822429</v>
      </c>
      <c r="AL295" s="545">
        <f t="shared" si="797"/>
        <v>1975</v>
      </c>
      <c r="AM295" s="460">
        <f t="shared" si="798"/>
        <v>350</v>
      </c>
      <c r="AO295">
        <f t="shared" si="799"/>
        <v>1975</v>
      </c>
      <c r="AP295">
        <f t="shared" si="800"/>
        <v>350</v>
      </c>
      <c r="AR295" s="5">
        <f t="shared" si="771"/>
        <v>2.8571428571428572</v>
      </c>
      <c r="AS295" s="5">
        <f t="shared" si="737"/>
        <v>1.0173565993234663</v>
      </c>
      <c r="AT295" s="5">
        <f t="shared" si="738"/>
        <v>1.8397862578193909</v>
      </c>
      <c r="AU295" s="173">
        <f t="shared" si="739"/>
        <v>0.35607480976321321</v>
      </c>
      <c r="BA295" s="173">
        <f t="shared" si="845"/>
        <v>2.9723944497739025</v>
      </c>
      <c r="BB295" s="173">
        <f t="shared" si="846"/>
        <v>3.9971783245378139</v>
      </c>
      <c r="BC295" s="173">
        <f t="shared" si="847"/>
        <v>0.4029942081296321</v>
      </c>
      <c r="BD295" s="173"/>
      <c r="BE295" s="528">
        <f t="shared" si="848"/>
        <v>0.10602154518056041</v>
      </c>
      <c r="BF295" s="528">
        <f t="shared" si="801"/>
        <v>3.7813962440341755</v>
      </c>
      <c r="BG295" s="528">
        <f t="shared" si="849"/>
        <v>4.0250000000000001E-2</v>
      </c>
      <c r="BH295" s="528">
        <f t="shared" si="850"/>
        <v>0.81156618394432234</v>
      </c>
      <c r="BI295">
        <f t="shared" si="851"/>
        <v>1.7936330952426173E-2</v>
      </c>
      <c r="BJ295" s="460">
        <f t="shared" si="852"/>
        <v>58.186330952426175</v>
      </c>
      <c r="BK295">
        <f t="shared" si="802"/>
        <v>4.8497792164660876</v>
      </c>
      <c r="BL295" s="460">
        <f t="shared" si="853"/>
        <v>4757.1703041114843</v>
      </c>
      <c r="BM295" s="173">
        <f t="shared" si="803"/>
        <v>1.324435</v>
      </c>
      <c r="BN295" s="173">
        <f t="shared" si="804"/>
        <v>9.4602500000000006E-2</v>
      </c>
      <c r="BQ295" s="460">
        <f t="shared" si="854"/>
        <v>1419.0374999999999</v>
      </c>
      <c r="BR295" s="528">
        <f t="shared" si="855"/>
        <v>0.12369180271065382</v>
      </c>
      <c r="BS295" s="528">
        <f t="shared" si="856"/>
        <v>0.22368408381416896</v>
      </c>
      <c r="BT295" s="528">
        <f t="shared" si="857"/>
        <v>8.1202165893014613E-4</v>
      </c>
      <c r="BU295" s="528">
        <f t="shared" si="858"/>
        <v>25.054239473400504</v>
      </c>
      <c r="BV295" s="528"/>
      <c r="BW295" s="625">
        <f t="shared" si="859"/>
        <v>2.6053191489361707</v>
      </c>
      <c r="BX295" s="460">
        <f t="shared" si="860"/>
        <v>28007.746530520428</v>
      </c>
      <c r="BY295" s="173">
        <f t="shared" si="861"/>
        <v>34.183954334631913</v>
      </c>
      <c r="BZ295" s="5">
        <f t="shared" si="862"/>
        <v>61.225000000000009</v>
      </c>
      <c r="CA295" s="173">
        <f t="shared" si="863"/>
        <v>0.64171125684139607</v>
      </c>
      <c r="CB295" s="5">
        <f t="shared" si="864"/>
        <v>64.171125684139611</v>
      </c>
      <c r="CC295">
        <f t="shared" si="865"/>
        <v>79</v>
      </c>
      <c r="CE295" s="562">
        <f t="shared" si="805"/>
        <v>-50</v>
      </c>
      <c r="CG295" s="173">
        <f t="shared" si="806"/>
        <v>0.48172865806385234</v>
      </c>
      <c r="CH295" s="173">
        <f t="shared" si="807"/>
        <v>0.15640074383325581</v>
      </c>
      <c r="CI295" s="170">
        <v>79</v>
      </c>
      <c r="CJ295" s="217">
        <f t="shared" si="866"/>
        <v>1.9750000000000001</v>
      </c>
      <c r="CK295" s="217">
        <f t="shared" si="808"/>
        <v>0.19750000000000001</v>
      </c>
      <c r="CL295" s="217">
        <f t="shared" si="809"/>
        <v>55.300000000000004</v>
      </c>
      <c r="CM295" s="217">
        <f t="shared" si="810"/>
        <v>5.9250000000000007</v>
      </c>
      <c r="CN295" s="541">
        <f t="shared" si="811"/>
        <v>40</v>
      </c>
      <c r="CO295" s="443">
        <f t="shared" si="812"/>
        <v>28.7</v>
      </c>
      <c r="CP295" s="443">
        <f t="shared" si="813"/>
        <v>68.7</v>
      </c>
      <c r="CQ295" s="443"/>
      <c r="CR295" s="217">
        <f t="shared" si="814"/>
        <v>0.41520467836257302</v>
      </c>
      <c r="CS295" s="172">
        <f t="shared" si="815"/>
        <v>125.00786015217253</v>
      </c>
      <c r="CT295" s="172">
        <f t="shared" si="816"/>
        <v>14.828738512949037</v>
      </c>
      <c r="CU295" s="217">
        <f t="shared" si="817"/>
        <v>4.4645664340061613</v>
      </c>
      <c r="CV295" s="217">
        <f t="shared" si="818"/>
        <v>4.1669286717390843</v>
      </c>
      <c r="CW295" s="217">
        <f t="shared" si="819"/>
        <v>28</v>
      </c>
      <c r="CX295" s="217">
        <f t="shared" si="820"/>
        <v>7.3728697183098619</v>
      </c>
      <c r="CY295" s="217">
        <f t="shared" si="821"/>
        <v>0.86631219190140885</v>
      </c>
      <c r="CZ295" s="217">
        <f t="shared" si="822"/>
        <v>1.2074037517789669</v>
      </c>
      <c r="DA295" s="197">
        <f t="shared" si="823"/>
        <v>350</v>
      </c>
      <c r="DB295" s="443">
        <f t="shared" si="824"/>
        <v>350</v>
      </c>
      <c r="DD295" s="217">
        <f t="shared" si="825"/>
        <v>10.158258230357086</v>
      </c>
      <c r="DE295" s="173">
        <f t="shared" si="826"/>
        <v>1.6635475150758992</v>
      </c>
      <c r="DF295" s="173">
        <f t="shared" si="827"/>
        <v>2.6710919890125213</v>
      </c>
      <c r="DG295" s="173"/>
      <c r="DH295" s="173">
        <f t="shared" si="828"/>
        <v>0.54587688734030204</v>
      </c>
      <c r="DI295" s="545">
        <f t="shared" si="829"/>
        <v>2170.8191489361702</v>
      </c>
      <c r="DJ295" s="528">
        <f t="shared" si="830"/>
        <v>0.31842818428184283</v>
      </c>
      <c r="DL295" s="173">
        <f t="shared" si="831"/>
        <v>8.6277279726243616</v>
      </c>
      <c r="DM295" s="173">
        <f t="shared" si="832"/>
        <v>8.6277279726243616</v>
      </c>
      <c r="DN295" s="173">
        <f t="shared" si="833"/>
        <v>5.1217738068822429</v>
      </c>
      <c r="DP295" s="545">
        <f t="shared" si="834"/>
        <v>1975</v>
      </c>
      <c r="DQ295" s="460">
        <f t="shared" si="835"/>
        <v>350</v>
      </c>
      <c r="DS295">
        <f t="shared" si="836"/>
        <v>1975</v>
      </c>
      <c r="DT295">
        <f t="shared" si="837"/>
        <v>350</v>
      </c>
      <c r="DV295" s="5">
        <f t="shared" si="867"/>
        <v>2.8571428571428572</v>
      </c>
      <c r="DW295" s="5">
        <f t="shared" si="838"/>
        <v>1.0137580367833625</v>
      </c>
      <c r="DX295" s="5">
        <f t="shared" si="839"/>
        <v>1.8433848203594947</v>
      </c>
      <c r="DY295" s="173">
        <f t="shared" si="840"/>
        <v>0.35481531287417689</v>
      </c>
      <c r="EA295" s="5">
        <f t="shared" si="868"/>
        <v>7.1506147237397899</v>
      </c>
      <c r="EB295" s="5">
        <f t="shared" si="869"/>
        <v>0.66739070754904706</v>
      </c>
      <c r="EC295" s="5">
        <f t="shared" si="870"/>
        <v>1.8203425101050008</v>
      </c>
      <c r="ED295" s="5"/>
      <c r="EE295" s="173">
        <f t="shared" si="871"/>
        <v>2.967132861658222</v>
      </c>
      <c r="EF295" s="173">
        <f t="shared" si="872"/>
        <v>4.0010855907452809</v>
      </c>
      <c r="EG295" s="173">
        <f t="shared" si="873"/>
        <v>0.40338813742759805</v>
      </c>
      <c r="EH295" s="173"/>
      <c r="EI295" s="528">
        <f t="shared" si="874"/>
        <v>0.10564652902478533</v>
      </c>
      <c r="EJ295" s="528">
        <f t="shared" si="875"/>
        <v>3.9416206629333033</v>
      </c>
      <c r="EK295" s="528">
        <f t="shared" si="876"/>
        <v>4.0250000000000001E-2</v>
      </c>
      <c r="EL295" s="528">
        <f t="shared" si="877"/>
        <v>0.81355656375000007</v>
      </c>
      <c r="EM295">
        <f t="shared" si="878"/>
        <v>1.7999999999999999E-2</v>
      </c>
      <c r="EN295" s="460">
        <f t="shared" si="879"/>
        <v>58.249999999999993</v>
      </c>
      <c r="EP295" s="460">
        <f t="shared" si="880"/>
        <v>4919.0737557080884</v>
      </c>
      <c r="EQ295" s="173">
        <f t="shared" si="881"/>
        <v>1.3825000000000001</v>
      </c>
      <c r="ER295" s="173">
        <f t="shared" si="841"/>
        <v>9.4602500000000006E-2</v>
      </c>
      <c r="ES295" s="528"/>
      <c r="EU295" s="460">
        <f t="shared" si="882"/>
        <v>1477.1025</v>
      </c>
      <c r="EV295" s="528">
        <f t="shared" si="883"/>
        <v>0.12325428386224954</v>
      </c>
      <c r="EW295" s="528">
        <f t="shared" si="884"/>
        <v>0.22412160266257317</v>
      </c>
      <c r="EX295" s="528">
        <f t="shared" si="885"/>
        <v>8.1360994708653362E-4</v>
      </c>
      <c r="EY295" s="528">
        <f t="shared" si="886"/>
        <v>25.054239473400504</v>
      </c>
      <c r="EZ295" s="528"/>
      <c r="FA295" s="625">
        <f t="shared" si="887"/>
        <v>2.6053191489361707</v>
      </c>
      <c r="FB295" s="460">
        <f t="shared" si="888"/>
        <v>28007.748118808584</v>
      </c>
      <c r="FC295" s="173">
        <f t="shared" si="889"/>
        <v>34.40392437451667</v>
      </c>
      <c r="FD295" s="5">
        <f t="shared" si="890"/>
        <v>61.225000000000009</v>
      </c>
      <c r="FE295" s="173">
        <f t="shared" si="891"/>
        <v>0.64023516316278173</v>
      </c>
      <c r="FF295" s="5">
        <f t="shared" si="892"/>
        <v>64.023516316278176</v>
      </c>
      <c r="FG295">
        <f t="shared" si="893"/>
        <v>79</v>
      </c>
      <c r="FI295" s="562">
        <f t="shared" si="842"/>
        <v>-50</v>
      </c>
    </row>
    <row r="296" spans="5:165">
      <c r="E296" s="170">
        <v>80</v>
      </c>
      <c r="F296" s="217">
        <f t="shared" si="843"/>
        <v>2</v>
      </c>
      <c r="G296" s="217">
        <f t="shared" si="772"/>
        <v>0.2</v>
      </c>
      <c r="H296" s="217">
        <f t="shared" si="773"/>
        <v>56</v>
      </c>
      <c r="I296" s="217">
        <f t="shared" si="774"/>
        <v>6</v>
      </c>
      <c r="J296" s="541">
        <f t="shared" si="775"/>
        <v>39.857620557733789</v>
      </c>
      <c r="K296" s="443">
        <f t="shared" si="776"/>
        <v>28.757759589790492</v>
      </c>
      <c r="L296" s="172">
        <f t="shared" si="777"/>
        <v>68.615380147524277</v>
      </c>
      <c r="M296" s="443"/>
      <c r="N296" s="217">
        <f t="shared" si="778"/>
        <v>0.41911535763499091</v>
      </c>
      <c r="O296" s="172">
        <f t="shared" si="779"/>
        <v>125.73611425993609</v>
      </c>
      <c r="P296" s="172">
        <f t="shared" si="780"/>
        <v>14.915125798691397</v>
      </c>
      <c r="Q296" s="217">
        <f t="shared" si="781"/>
        <v>4.4905755092834321</v>
      </c>
      <c r="R296" s="217">
        <f t="shared" si="782"/>
        <v>4.191203808664536</v>
      </c>
      <c r="S296" s="217">
        <f t="shared" si="783"/>
        <v>28</v>
      </c>
      <c r="T296" s="217">
        <f t="shared" si="784"/>
        <v>7.4229535311059474</v>
      </c>
      <c r="U296" s="217">
        <f t="shared" si="785"/>
        <v>0.87531270326744248</v>
      </c>
      <c r="V296" s="217">
        <f t="shared" si="786"/>
        <v>1.2131641022753303</v>
      </c>
      <c r="W296" s="197">
        <f t="shared" si="787"/>
        <v>350</v>
      </c>
      <c r="X296" s="443">
        <f t="shared" si="844"/>
        <v>350</v>
      </c>
      <c r="Z296" s="217">
        <f t="shared" si="788"/>
        <v>10.15497926719414</v>
      </c>
      <c r="AA296" s="173">
        <f t="shared" si="789"/>
        <v>1.6596704067571686</v>
      </c>
      <c r="AB296" s="173">
        <f t="shared" si="790"/>
        <v>2.6640064838023898</v>
      </c>
      <c r="AC296" s="173"/>
      <c r="AD296" s="173">
        <f t="shared" si="791"/>
        <v>0.54478050064194172</v>
      </c>
      <c r="AE296" s="545">
        <f t="shared" si="792"/>
        <v>2202.7220111328888</v>
      </c>
      <c r="AF296" s="528">
        <f t="shared" si="793"/>
        <v>0.31778862537446601</v>
      </c>
      <c r="AH296" s="173">
        <f t="shared" si="794"/>
        <v>8.6821621275881764</v>
      </c>
      <c r="AI296" s="173">
        <f t="shared" si="795"/>
        <v>8.6821621275881764</v>
      </c>
      <c r="AJ296" s="173">
        <f t="shared" si="796"/>
        <v>5.162095403151735</v>
      </c>
      <c r="AL296" s="545">
        <f t="shared" si="797"/>
        <v>2000</v>
      </c>
      <c r="AM296" s="460">
        <f t="shared" si="798"/>
        <v>350</v>
      </c>
      <c r="AO296">
        <f t="shared" si="799"/>
        <v>2000</v>
      </c>
      <c r="AP296">
        <f t="shared" si="800"/>
        <v>350</v>
      </c>
      <c r="AR296" s="5">
        <f t="shared" si="771"/>
        <v>2.8571428571428572</v>
      </c>
      <c r="AS296" s="5">
        <f t="shared" si="737"/>
        <v>1.0237982455715509</v>
      </c>
      <c r="AT296" s="5">
        <f t="shared" si="738"/>
        <v>1.8333446115713063</v>
      </c>
      <c r="AU296" s="173">
        <f t="shared" si="739"/>
        <v>0.35832938595004277</v>
      </c>
      <c r="BA296" s="173">
        <f t="shared" si="845"/>
        <v>3.0006025689280498</v>
      </c>
      <c r="BB296" s="173">
        <f t="shared" si="846"/>
        <v>4.0153493778978362</v>
      </c>
      <c r="BC296" s="173">
        <f t="shared" si="847"/>
        <v>0.40482620777166711</v>
      </c>
      <c r="BD296" s="173"/>
      <c r="BE296" s="528">
        <f t="shared" si="848"/>
        <v>0.10804338931989134</v>
      </c>
      <c r="BF296" s="528">
        <f t="shared" si="801"/>
        <v>3.8052244480900796</v>
      </c>
      <c r="BG296" s="528">
        <f t="shared" si="849"/>
        <v>4.0250000000000001E-2</v>
      </c>
      <c r="BH296" s="528">
        <f t="shared" si="850"/>
        <v>0.81155363395705016</v>
      </c>
      <c r="BI296">
        <f t="shared" si="851"/>
        <v>1.7935929250980205E-2</v>
      </c>
      <c r="BJ296" s="460">
        <f t="shared" si="852"/>
        <v>58.185929250980209</v>
      </c>
      <c r="BK296">
        <f t="shared" si="802"/>
        <v>4.8792489187913315</v>
      </c>
      <c r="BL296" s="460">
        <f t="shared" si="853"/>
        <v>4783.0074006180012</v>
      </c>
      <c r="BM296" s="173">
        <f t="shared" si="803"/>
        <v>1.3411999999999999</v>
      </c>
      <c r="BN296" s="173">
        <f t="shared" si="804"/>
        <v>9.5799999999999996E-2</v>
      </c>
      <c r="BQ296" s="460">
        <f t="shared" si="854"/>
        <v>1436.9999999999998</v>
      </c>
      <c r="BR296" s="528">
        <f t="shared" si="855"/>
        <v>0.12605062087320656</v>
      </c>
      <c r="BS296" s="528">
        <f t="shared" si="856"/>
        <v>0.22572242877218357</v>
      </c>
      <c r="BT296" s="528">
        <f t="shared" si="857"/>
        <v>8.1942129249394494E-4</v>
      </c>
      <c r="BU296" s="528">
        <f t="shared" si="858"/>
        <v>25.451292598328983</v>
      </c>
      <c r="BV296" s="528"/>
      <c r="BW296" s="625">
        <f t="shared" si="859"/>
        <v>2.6382978723404253</v>
      </c>
      <c r="BX296" s="460">
        <f t="shared" si="860"/>
        <v>28442.182941607294</v>
      </c>
      <c r="BY296" s="173">
        <f t="shared" si="861"/>
        <v>34.662190342225294</v>
      </c>
      <c r="BZ296" s="5">
        <f t="shared" si="862"/>
        <v>62</v>
      </c>
      <c r="CA296" s="173">
        <f t="shared" si="863"/>
        <v>0.64140901194659061</v>
      </c>
      <c r="CB296" s="5">
        <f t="shared" si="864"/>
        <v>64.140901194659065</v>
      </c>
      <c r="CC296">
        <f t="shared" si="865"/>
        <v>80</v>
      </c>
      <c r="CE296" s="562">
        <f t="shared" si="805"/>
        <v>-50</v>
      </c>
      <c r="CG296" s="173">
        <f t="shared" si="806"/>
        <v>0.48476798574163293</v>
      </c>
      <c r="CH296" s="173">
        <f t="shared" si="807"/>
        <v>0.15738750910370575</v>
      </c>
      <c r="CI296" s="170">
        <v>80</v>
      </c>
      <c r="CJ296" s="217">
        <f t="shared" si="866"/>
        <v>2</v>
      </c>
      <c r="CK296" s="217">
        <f t="shared" si="808"/>
        <v>0.2</v>
      </c>
      <c r="CL296" s="217">
        <f t="shared" si="809"/>
        <v>56</v>
      </c>
      <c r="CM296" s="217">
        <f t="shared" si="810"/>
        <v>6</v>
      </c>
      <c r="CN296" s="541">
        <f t="shared" si="811"/>
        <v>40</v>
      </c>
      <c r="CO296" s="443">
        <f t="shared" si="812"/>
        <v>28.7</v>
      </c>
      <c r="CP296" s="443">
        <f t="shared" si="813"/>
        <v>68.7</v>
      </c>
      <c r="CQ296" s="443"/>
      <c r="CR296" s="217">
        <f t="shared" si="814"/>
        <v>0.41520467836257302</v>
      </c>
      <c r="CS296" s="172">
        <f t="shared" si="815"/>
        <v>125.00786015217253</v>
      </c>
      <c r="CT296" s="172">
        <f t="shared" si="816"/>
        <v>14.828738512949037</v>
      </c>
      <c r="CU296" s="217">
        <f t="shared" si="817"/>
        <v>4.4645664340061613</v>
      </c>
      <c r="CV296" s="217">
        <f t="shared" si="818"/>
        <v>4.1669286717390843</v>
      </c>
      <c r="CW296" s="217">
        <f t="shared" si="819"/>
        <v>28</v>
      </c>
      <c r="CX296" s="217">
        <f t="shared" si="820"/>
        <v>7.4661971830985934</v>
      </c>
      <c r="CY296" s="217">
        <f t="shared" si="821"/>
        <v>0.87727816901408473</v>
      </c>
      <c r="CZ296" s="217">
        <f t="shared" si="822"/>
        <v>1.2226873435736372</v>
      </c>
      <c r="DA296" s="197">
        <f t="shared" si="823"/>
        <v>350</v>
      </c>
      <c r="DB296" s="443">
        <f t="shared" si="824"/>
        <v>350</v>
      </c>
      <c r="DD296" s="217">
        <f t="shared" si="825"/>
        <v>10.158258230357086</v>
      </c>
      <c r="DE296" s="173">
        <f t="shared" si="826"/>
        <v>1.6635475150758992</v>
      </c>
      <c r="DF296" s="173">
        <f t="shared" si="827"/>
        <v>2.6710919890125213</v>
      </c>
      <c r="DG296" s="173"/>
      <c r="DH296" s="173">
        <f t="shared" si="828"/>
        <v>0.54587688734030204</v>
      </c>
      <c r="DI296" s="545">
        <f t="shared" si="829"/>
        <v>2198.2978723404253</v>
      </c>
      <c r="DJ296" s="528">
        <f t="shared" si="830"/>
        <v>0.31842818428184283</v>
      </c>
      <c r="DL296" s="173">
        <f t="shared" si="831"/>
        <v>8.6821621275881764</v>
      </c>
      <c r="DM296" s="173">
        <f t="shared" si="832"/>
        <v>8.6821621275881764</v>
      </c>
      <c r="DN296" s="173">
        <f t="shared" si="833"/>
        <v>5.162095403151735</v>
      </c>
      <c r="DP296" s="545">
        <f t="shared" si="834"/>
        <v>2000</v>
      </c>
      <c r="DQ296" s="460">
        <f t="shared" si="835"/>
        <v>350</v>
      </c>
      <c r="DS296">
        <f t="shared" si="836"/>
        <v>2000</v>
      </c>
      <c r="DT296">
        <f t="shared" si="837"/>
        <v>350</v>
      </c>
      <c r="DV296" s="5">
        <f t="shared" si="867"/>
        <v>2.8571428571428572</v>
      </c>
      <c r="DW296" s="5">
        <f t="shared" si="838"/>
        <v>1.0201540499916106</v>
      </c>
      <c r="DX296" s="5">
        <f t="shared" si="839"/>
        <v>1.8369888071512466</v>
      </c>
      <c r="DY296" s="173">
        <f t="shared" si="840"/>
        <v>0.35705391749706372</v>
      </c>
      <c r="EA296" s="5">
        <f t="shared" si="868"/>
        <v>7.2868146427972187</v>
      </c>
      <c r="EB296" s="5">
        <f t="shared" si="869"/>
        <v>0.68010269999440709</v>
      </c>
      <c r="EC296" s="5">
        <f t="shared" si="870"/>
        <v>1.8369888071512464</v>
      </c>
      <c r="ED296" s="5"/>
      <c r="EE296" s="173">
        <f t="shared" si="871"/>
        <v>2.9952575067665079</v>
      </c>
      <c r="EF296" s="173">
        <f t="shared" si="872"/>
        <v>4.0193381135954507</v>
      </c>
      <c r="EG296" s="173">
        <f t="shared" si="873"/>
        <v>0.40522835079691844</v>
      </c>
      <c r="EH296" s="173"/>
      <c r="EI296" s="528">
        <f t="shared" si="874"/>
        <v>0.10765881038209341</v>
      </c>
      <c r="EJ296" s="528">
        <f t="shared" si="875"/>
        <v>3.9664891787992973</v>
      </c>
      <c r="EK296" s="528">
        <f t="shared" si="876"/>
        <v>4.0250000000000001E-2</v>
      </c>
      <c r="EL296" s="528">
        <f t="shared" si="877"/>
        <v>0.81355656375000007</v>
      </c>
      <c r="EM296">
        <f t="shared" si="878"/>
        <v>1.7999999999999999E-2</v>
      </c>
      <c r="EN296" s="460">
        <f t="shared" si="879"/>
        <v>58.249999999999993</v>
      </c>
      <c r="EP296" s="460">
        <f t="shared" si="880"/>
        <v>4945.9545529313909</v>
      </c>
      <c r="EQ296" s="173">
        <f t="shared" si="881"/>
        <v>1.4</v>
      </c>
      <c r="ER296" s="173">
        <f t="shared" si="841"/>
        <v>9.5799999999999996E-2</v>
      </c>
      <c r="ES296" s="528"/>
      <c r="EU296" s="460">
        <f t="shared" si="882"/>
        <v>1495.8</v>
      </c>
      <c r="EV296" s="528">
        <f t="shared" si="883"/>
        <v>0.12560194544577563</v>
      </c>
      <c r="EW296" s="528">
        <f t="shared" si="884"/>
        <v>0.22617110419961448</v>
      </c>
      <c r="EX296" s="528">
        <f t="shared" si="885"/>
        <v>8.2105008144795193E-4</v>
      </c>
      <c r="EY296" s="528">
        <f t="shared" si="886"/>
        <v>25.451292598328983</v>
      </c>
      <c r="EZ296" s="528"/>
      <c r="FA296" s="625">
        <f t="shared" si="887"/>
        <v>2.6382978723404253</v>
      </c>
      <c r="FB296" s="460">
        <f t="shared" si="888"/>
        <v>28442.184570396243</v>
      </c>
      <c r="FC296" s="173">
        <f t="shared" si="889"/>
        <v>34.883939123327636</v>
      </c>
      <c r="FD296" s="5">
        <f t="shared" si="890"/>
        <v>62</v>
      </c>
      <c r="FE296" s="173">
        <f t="shared" si="891"/>
        <v>0.63994094956314274</v>
      </c>
      <c r="FF296" s="5">
        <f t="shared" si="892"/>
        <v>63.994094956314271</v>
      </c>
      <c r="FG296">
        <f t="shared" si="893"/>
        <v>80</v>
      </c>
      <c r="FI296" s="562">
        <f t="shared" si="842"/>
        <v>-50</v>
      </c>
    </row>
    <row r="297" spans="5:165">
      <c r="E297" s="170">
        <v>81</v>
      </c>
      <c r="F297" s="217">
        <f t="shared" si="843"/>
        <v>2.0250000000000004</v>
      </c>
      <c r="G297" s="217">
        <f t="shared" si="772"/>
        <v>0.20250000000000001</v>
      </c>
      <c r="H297" s="217">
        <f t="shared" si="773"/>
        <v>56.70000000000001</v>
      </c>
      <c r="I297" s="217">
        <f t="shared" si="774"/>
        <v>6.0750000000000002</v>
      </c>
      <c r="J297" s="541">
        <f t="shared" si="775"/>
        <v>39.856733449822414</v>
      </c>
      <c r="K297" s="443">
        <f t="shared" si="776"/>
        <v>28.758119466105818</v>
      </c>
      <c r="L297" s="172">
        <f t="shared" si="777"/>
        <v>68.614852915928225</v>
      </c>
      <c r="M297" s="443"/>
      <c r="N297" s="217">
        <f t="shared" si="778"/>
        <v>0.41912382296209688</v>
      </c>
      <c r="O297" s="172">
        <f t="shared" si="779"/>
        <v>125.73585533322151</v>
      </c>
      <c r="P297" s="172">
        <f t="shared" si="780"/>
        <v>14.915095084170407</v>
      </c>
      <c r="Q297" s="217">
        <f t="shared" si="781"/>
        <v>4.490566261900768</v>
      </c>
      <c r="R297" s="217">
        <f t="shared" si="782"/>
        <v>4.1911951777740502</v>
      </c>
      <c r="S297" s="217">
        <f t="shared" si="783"/>
        <v>28</v>
      </c>
      <c r="T297" s="217">
        <f t="shared" si="784"/>
        <v>7.5157559273414005</v>
      </c>
      <c r="U297" s="217">
        <f t="shared" si="785"/>
        <v>0.88627566288079673</v>
      </c>
      <c r="V297" s="217">
        <f t="shared" si="786"/>
        <v>1.2283158118227215</v>
      </c>
      <c r="W297" s="197">
        <f t="shared" si="787"/>
        <v>350</v>
      </c>
      <c r="X297" s="443">
        <f t="shared" si="844"/>
        <v>350</v>
      </c>
      <c r="Z297" s="217">
        <f t="shared" si="788"/>
        <v>10.154958355179851</v>
      </c>
      <c r="AA297" s="173">
        <f t="shared" si="789"/>
        <v>1.6596462201082949</v>
      </c>
      <c r="AB297" s="173">
        <f t="shared" si="790"/>
        <v>2.6639621749259286</v>
      </c>
      <c r="AC297" s="173"/>
      <c r="AD297" s="173">
        <f t="shared" si="791"/>
        <v>0.54477368331164089</v>
      </c>
      <c r="AE297" s="545">
        <f t="shared" si="792"/>
        <v>2230.2839458288454</v>
      </c>
      <c r="AF297" s="528">
        <f t="shared" si="793"/>
        <v>0.31778464859845718</v>
      </c>
      <c r="AH297" s="173">
        <f t="shared" si="794"/>
        <v>8.736257119032615</v>
      </c>
      <c r="AI297" s="173">
        <f t="shared" si="795"/>
        <v>8.736257119032615</v>
      </c>
      <c r="AJ297" s="173">
        <f t="shared" si="796"/>
        <v>5.2021657671846526</v>
      </c>
      <c r="AL297" s="545">
        <f t="shared" si="797"/>
        <v>2025.0000000000005</v>
      </c>
      <c r="AM297" s="460">
        <f t="shared" si="798"/>
        <v>350</v>
      </c>
      <c r="AO297">
        <f t="shared" si="799"/>
        <v>2025.0000000000005</v>
      </c>
      <c r="AP297">
        <f t="shared" si="800"/>
        <v>350</v>
      </c>
      <c r="AR297" s="5">
        <f t="shared" si="771"/>
        <v>2.8571428571428572</v>
      </c>
      <c r="AS297" s="5">
        <f t="shared" si="737"/>
        <v>1.0302000416352795</v>
      </c>
      <c r="AT297" s="5">
        <f t="shared" si="738"/>
        <v>1.8269428155075778</v>
      </c>
      <c r="AU297" s="173">
        <f t="shared" si="739"/>
        <v>0.36057001457234777</v>
      </c>
      <c r="BA297" s="173">
        <f t="shared" si="845"/>
        <v>3.0287231964176575</v>
      </c>
      <c r="BB297" s="173">
        <f t="shared" si="846"/>
        <v>4.0333069908902655</v>
      </c>
      <c r="BC297" s="173">
        <f t="shared" si="847"/>
        <v>0.40663668842582185</v>
      </c>
      <c r="BD297" s="173"/>
      <c r="BE297" s="528">
        <f t="shared" si="848"/>
        <v>0.11007797040622072</v>
      </c>
      <c r="BF297" s="528">
        <f t="shared" si="801"/>
        <v>3.8289038199864573</v>
      </c>
      <c r="BG297" s="528">
        <f t="shared" si="849"/>
        <v>4.0250000000000001E-2</v>
      </c>
      <c r="BH297" s="528">
        <f t="shared" si="850"/>
        <v>0.81154116226126083</v>
      </c>
      <c r="BI297">
        <f t="shared" si="851"/>
        <v>1.7935530052420087E-2</v>
      </c>
      <c r="BJ297" s="460">
        <f t="shared" si="852"/>
        <v>58.185530052420091</v>
      </c>
      <c r="BK297">
        <f t="shared" si="802"/>
        <v>4.9086268110821045</v>
      </c>
      <c r="BL297" s="460">
        <f t="shared" si="853"/>
        <v>4808.7084827063591</v>
      </c>
      <c r="BM297" s="173">
        <f t="shared" si="803"/>
        <v>1.3579650000000001</v>
      </c>
      <c r="BN297" s="173">
        <f t="shared" si="804"/>
        <v>9.69975E-2</v>
      </c>
      <c r="BQ297" s="460">
        <f t="shared" si="854"/>
        <v>1454.9625000000001</v>
      </c>
      <c r="BR297" s="528">
        <f t="shared" si="855"/>
        <v>0.1284242988072575</v>
      </c>
      <c r="BS297" s="528">
        <f t="shared" si="856"/>
        <v>0.22774591395870003</v>
      </c>
      <c r="BT297" s="528">
        <f t="shared" si="857"/>
        <v>8.2676698186959457E-4</v>
      </c>
      <c r="BU297" s="528">
        <f t="shared" si="858"/>
        <v>25.849588483393223</v>
      </c>
      <c r="BV297" s="528"/>
      <c r="BW297" s="625">
        <f t="shared" si="859"/>
        <v>2.6712765957446818</v>
      </c>
      <c r="BX297" s="460">
        <f t="shared" si="860"/>
        <v>28877.862058885734</v>
      </c>
      <c r="BY297" s="173">
        <f t="shared" si="861"/>
        <v>35.141533041592091</v>
      </c>
      <c r="BZ297" s="5">
        <f t="shared" si="862"/>
        <v>62.775000000000013</v>
      </c>
      <c r="CA297" s="173">
        <f t="shared" si="863"/>
        <v>0.64110725788601008</v>
      </c>
      <c r="CB297" s="5">
        <f t="shared" si="864"/>
        <v>64.110725788601002</v>
      </c>
      <c r="CC297">
        <f t="shared" si="865"/>
        <v>81.000000000000014</v>
      </c>
      <c r="CE297" s="562">
        <f t="shared" si="805"/>
        <v>-50</v>
      </c>
      <c r="CG297" s="173">
        <f t="shared" si="806"/>
        <v>0.48778837624527299</v>
      </c>
      <c r="CH297" s="173">
        <f t="shared" si="807"/>
        <v>0.15836812612436388</v>
      </c>
      <c r="CI297" s="170">
        <v>81</v>
      </c>
      <c r="CJ297" s="217">
        <f t="shared" si="866"/>
        <v>2.0250000000000004</v>
      </c>
      <c r="CK297" s="217">
        <f t="shared" si="808"/>
        <v>0.20250000000000001</v>
      </c>
      <c r="CL297" s="217">
        <f t="shared" si="809"/>
        <v>56.70000000000001</v>
      </c>
      <c r="CM297" s="217">
        <f t="shared" si="810"/>
        <v>6.0750000000000002</v>
      </c>
      <c r="CN297" s="541">
        <f t="shared" si="811"/>
        <v>40</v>
      </c>
      <c r="CO297" s="443">
        <f t="shared" si="812"/>
        <v>28.7</v>
      </c>
      <c r="CP297" s="443">
        <f t="shared" si="813"/>
        <v>68.7</v>
      </c>
      <c r="CQ297" s="443"/>
      <c r="CR297" s="217">
        <f t="shared" si="814"/>
        <v>0.41520467836257302</v>
      </c>
      <c r="CS297" s="172">
        <f t="shared" si="815"/>
        <v>125.00786015217253</v>
      </c>
      <c r="CT297" s="172">
        <f t="shared" si="816"/>
        <v>14.828738512949037</v>
      </c>
      <c r="CU297" s="217">
        <f t="shared" si="817"/>
        <v>4.4645664340061613</v>
      </c>
      <c r="CV297" s="217">
        <f t="shared" si="818"/>
        <v>4.1669286717390843</v>
      </c>
      <c r="CW297" s="217">
        <f t="shared" si="819"/>
        <v>28</v>
      </c>
      <c r="CX297" s="217">
        <f t="shared" si="820"/>
        <v>7.5595246478873275</v>
      </c>
      <c r="CY297" s="217">
        <f t="shared" si="821"/>
        <v>0.88824414612676084</v>
      </c>
      <c r="CZ297" s="217">
        <f t="shared" si="822"/>
        <v>1.2379709353683079</v>
      </c>
      <c r="DA297" s="197">
        <f t="shared" si="823"/>
        <v>350</v>
      </c>
      <c r="DB297" s="443">
        <f t="shared" si="824"/>
        <v>350</v>
      </c>
      <c r="DD297" s="217">
        <f t="shared" si="825"/>
        <v>10.158258230357086</v>
      </c>
      <c r="DE297" s="173">
        <f t="shared" si="826"/>
        <v>1.6635475150758992</v>
      </c>
      <c r="DF297" s="173">
        <f t="shared" si="827"/>
        <v>2.6710919890125213</v>
      </c>
      <c r="DG297" s="173"/>
      <c r="DH297" s="173">
        <f t="shared" si="828"/>
        <v>0.54587688734030204</v>
      </c>
      <c r="DI297" s="545">
        <f t="shared" si="829"/>
        <v>2225.7765957446809</v>
      </c>
      <c r="DJ297" s="528">
        <f t="shared" si="830"/>
        <v>0.31842818428184283</v>
      </c>
      <c r="DL297" s="173">
        <f t="shared" si="831"/>
        <v>8.736257119032615</v>
      </c>
      <c r="DM297" s="173">
        <f t="shared" si="832"/>
        <v>8.736257119032615</v>
      </c>
      <c r="DN297" s="173">
        <f t="shared" si="833"/>
        <v>5.2021657671846526</v>
      </c>
      <c r="DP297" s="545">
        <f t="shared" si="834"/>
        <v>2025.0000000000005</v>
      </c>
      <c r="DQ297" s="460">
        <f t="shared" si="835"/>
        <v>350</v>
      </c>
      <c r="DS297">
        <f t="shared" si="836"/>
        <v>2025.0000000000005</v>
      </c>
      <c r="DT297">
        <f t="shared" si="837"/>
        <v>350</v>
      </c>
      <c r="DV297" s="5">
        <f t="shared" si="867"/>
        <v>2.8571428571428572</v>
      </c>
      <c r="DW297" s="5">
        <f t="shared" si="838"/>
        <v>1.026510211486332</v>
      </c>
      <c r="DX297" s="5">
        <f t="shared" si="839"/>
        <v>1.8306326456565252</v>
      </c>
      <c r="DY297" s="173">
        <f t="shared" si="840"/>
        <v>0.35927857402021618</v>
      </c>
      <c r="EA297" s="5">
        <f t="shared" si="868"/>
        <v>7.4238684937850818</v>
      </c>
      <c r="EB297" s="5">
        <f t="shared" si="869"/>
        <v>0.69289439275327414</v>
      </c>
      <c r="EC297" s="5">
        <f t="shared" si="870"/>
        <v>1.8535155537272316</v>
      </c>
      <c r="ED297" s="5"/>
      <c r="EE297" s="173">
        <f t="shared" si="871"/>
        <v>3.0232943969762309</v>
      </c>
      <c r="EF297" s="173">
        <f t="shared" si="872"/>
        <v>4.0373779204447544</v>
      </c>
      <c r="EG297" s="173">
        <f t="shared" si="873"/>
        <v>0.40704711820877443</v>
      </c>
      <c r="EH297" s="173"/>
      <c r="EI297" s="528">
        <f t="shared" si="874"/>
        <v>0.10968370812945447</v>
      </c>
      <c r="EJ297" s="528">
        <f t="shared" si="875"/>
        <v>3.9912027461156461</v>
      </c>
      <c r="EK297" s="528">
        <f t="shared" si="876"/>
        <v>4.0250000000000001E-2</v>
      </c>
      <c r="EL297" s="528">
        <f t="shared" si="877"/>
        <v>0.81355656375000007</v>
      </c>
      <c r="EM297">
        <f t="shared" si="878"/>
        <v>1.7999999999999999E-2</v>
      </c>
      <c r="EN297" s="460">
        <f t="shared" si="879"/>
        <v>58.249999999999993</v>
      </c>
      <c r="EP297" s="460">
        <f t="shared" si="880"/>
        <v>4972.6930179951005</v>
      </c>
      <c r="EQ297" s="173">
        <f t="shared" si="881"/>
        <v>1.4175000000000002</v>
      </c>
      <c r="ER297" s="173">
        <f t="shared" si="841"/>
        <v>9.69975E-2</v>
      </c>
      <c r="ES297" s="528"/>
      <c r="EU297" s="460">
        <f t="shared" si="882"/>
        <v>1514.4975000000002</v>
      </c>
      <c r="EV297" s="528">
        <f t="shared" si="883"/>
        <v>0.12796432615103021</v>
      </c>
      <c r="EW297" s="528">
        <f t="shared" si="884"/>
        <v>0.22820588661492736</v>
      </c>
      <c r="EX297" s="528">
        <f t="shared" si="885"/>
        <v>8.284367822103399E-4</v>
      </c>
      <c r="EY297" s="528">
        <f t="shared" si="886"/>
        <v>25.849588483393223</v>
      </c>
      <c r="EZ297" s="528"/>
      <c r="FA297" s="625">
        <f t="shared" si="887"/>
        <v>2.6712765957446818</v>
      </c>
      <c r="FB297" s="460">
        <f t="shared" si="888"/>
        <v>28877.863728686072</v>
      </c>
      <c r="FC297" s="173">
        <f t="shared" si="889"/>
        <v>35.365054246681169</v>
      </c>
      <c r="FD297" s="5">
        <f t="shared" si="890"/>
        <v>62.775000000000013</v>
      </c>
      <c r="FE297" s="173">
        <f t="shared" si="891"/>
        <v>0.63964708886558297</v>
      </c>
      <c r="FF297" s="5">
        <f t="shared" si="892"/>
        <v>63.964708886558299</v>
      </c>
      <c r="FG297">
        <f t="shared" si="893"/>
        <v>81.000000000000014</v>
      </c>
      <c r="FI297" s="562">
        <f t="shared" si="842"/>
        <v>-50</v>
      </c>
    </row>
    <row r="298" spans="5:165">
      <c r="E298" s="170">
        <v>82</v>
      </c>
      <c r="F298" s="217">
        <f t="shared" si="843"/>
        <v>2.0499999999999998</v>
      </c>
      <c r="G298" s="217">
        <f t="shared" si="772"/>
        <v>0.20499999999999999</v>
      </c>
      <c r="H298" s="217">
        <f t="shared" si="773"/>
        <v>57.399999999999991</v>
      </c>
      <c r="I298" s="217">
        <f t="shared" si="774"/>
        <v>6.1499999999999995</v>
      </c>
      <c r="J298" s="541">
        <f t="shared" si="775"/>
        <v>39.855851801192181</v>
      </c>
      <c r="K298" s="443">
        <f t="shared" si="776"/>
        <v>28.758477127734569</v>
      </c>
      <c r="L298" s="172">
        <f t="shared" si="777"/>
        <v>68.614328928926753</v>
      </c>
      <c r="M298" s="443"/>
      <c r="N298" s="217">
        <f t="shared" si="778"/>
        <v>0.4191322363222944</v>
      </c>
      <c r="O298" s="172">
        <f t="shared" si="779"/>
        <v>125.73559792660794</v>
      </c>
      <c r="P298" s="172">
        <f t="shared" si="780"/>
        <v>14.915064549967523</v>
      </c>
      <c r="Q298" s="217">
        <f t="shared" si="781"/>
        <v>4.4905570688074263</v>
      </c>
      <c r="R298" s="217">
        <f t="shared" si="782"/>
        <v>4.1911865975535978</v>
      </c>
      <c r="S298" s="217">
        <f t="shared" si="783"/>
        <v>28</v>
      </c>
      <c r="T298" s="217">
        <f t="shared" si="784"/>
        <v>7.6085586138070012</v>
      </c>
      <c r="U298" s="217">
        <f t="shared" si="785"/>
        <v>0.89723902184479809</v>
      </c>
      <c r="V298" s="217">
        <f t="shared" si="786"/>
        <v>1.24346728535239</v>
      </c>
      <c r="W298" s="197">
        <f t="shared" si="787"/>
        <v>350</v>
      </c>
      <c r="X298" s="443">
        <f t="shared" si="844"/>
        <v>350</v>
      </c>
      <c r="Z298" s="217">
        <f t="shared" si="788"/>
        <v>10.154937565935333</v>
      </c>
      <c r="AA298" s="173">
        <f t="shared" si="789"/>
        <v>1.6596221819363013</v>
      </c>
      <c r="AB298" s="173">
        <f t="shared" si="790"/>
        <v>2.6639181367407123</v>
      </c>
      <c r="AC298" s="173"/>
      <c r="AD298" s="173">
        <f t="shared" si="791"/>
        <v>0.54476690810438611</v>
      </c>
      <c r="AE298" s="545">
        <f t="shared" si="792"/>
        <v>2257.8463957732033</v>
      </c>
      <c r="AF298" s="528">
        <f t="shared" si="793"/>
        <v>0.31778069639422524</v>
      </c>
      <c r="AH298" s="173">
        <f t="shared" si="794"/>
        <v>8.7900192087372364</v>
      </c>
      <c r="AI298" s="173">
        <f t="shared" si="795"/>
        <v>8.7900192087372364</v>
      </c>
      <c r="AJ298" s="173">
        <f t="shared" si="796"/>
        <v>5.2419895373362237</v>
      </c>
      <c r="AL298" s="545">
        <f t="shared" si="797"/>
        <v>2050</v>
      </c>
      <c r="AM298" s="460">
        <f t="shared" si="798"/>
        <v>350</v>
      </c>
      <c r="AO298">
        <f t="shared" si="799"/>
        <v>2050</v>
      </c>
      <c r="AP298">
        <f t="shared" si="800"/>
        <v>350</v>
      </c>
      <c r="AR298" s="5">
        <f t="shared" si="771"/>
        <v>2.8571428571428572</v>
      </c>
      <c r="AS298" s="5">
        <f t="shared" si="737"/>
        <v>1.0365627232643724</v>
      </c>
      <c r="AT298" s="5">
        <f t="shared" si="738"/>
        <v>1.8205801338784848</v>
      </c>
      <c r="AU298" s="173">
        <f t="shared" si="739"/>
        <v>0.3627969531425303</v>
      </c>
      <c r="BA298" s="173">
        <f t="shared" si="845"/>
        <v>3.0567576820432816</v>
      </c>
      <c r="BB298" s="173">
        <f t="shared" si="846"/>
        <v>4.0510548054293931</v>
      </c>
      <c r="BC298" s="173">
        <f t="shared" si="847"/>
        <v>0.40842601726870115</v>
      </c>
      <c r="BD298" s="173"/>
      <c r="BE298" s="528">
        <f t="shared" si="848"/>
        <v>0.1121252103207674</v>
      </c>
      <c r="BF298" s="528">
        <f t="shared" si="801"/>
        <v>3.8524371075252413</v>
      </c>
      <c r="BG298" s="528">
        <f t="shared" si="849"/>
        <v>4.0250000000000001E-2</v>
      </c>
      <c r="BH298" s="528">
        <f t="shared" si="850"/>
        <v>0.81152876741150382</v>
      </c>
      <c r="BI298">
        <f t="shared" si="851"/>
        <v>1.7935133310536481E-2</v>
      </c>
      <c r="BJ298" s="460">
        <f t="shared" si="852"/>
        <v>58.185133310536486</v>
      </c>
      <c r="BK298">
        <f t="shared" si="802"/>
        <v>4.9379156560027013</v>
      </c>
      <c r="BL298" s="460">
        <f t="shared" si="853"/>
        <v>4834.2762185680494</v>
      </c>
      <c r="BM298" s="173">
        <f t="shared" si="803"/>
        <v>1.3747299999999998</v>
      </c>
      <c r="BN298" s="173">
        <f t="shared" si="804"/>
        <v>9.8194999999999991E-2</v>
      </c>
      <c r="BQ298" s="460">
        <f t="shared" si="854"/>
        <v>1472.9249999999997</v>
      </c>
      <c r="BR298" s="528">
        <f t="shared" si="855"/>
        <v>0.13081274537422863</v>
      </c>
      <c r="BS298" s="528">
        <f t="shared" si="856"/>
        <v>0.22975463051229611</v>
      </c>
      <c r="BT298" s="528">
        <f t="shared" si="857"/>
        <v>8.3405905790986685E-4</v>
      </c>
      <c r="BU298" s="528">
        <f t="shared" si="858"/>
        <v>26.249115603188756</v>
      </c>
      <c r="BV298" s="528"/>
      <c r="BW298" s="625">
        <f t="shared" si="859"/>
        <v>2.7042553191489365</v>
      </c>
      <c r="BX298" s="460">
        <f t="shared" si="860"/>
        <v>29314.772357282123</v>
      </c>
      <c r="BY298" s="173">
        <f t="shared" si="861"/>
        <v>35.62197357585017</v>
      </c>
      <c r="BZ298" s="5">
        <f t="shared" si="862"/>
        <v>63.54999999999999</v>
      </c>
      <c r="CA298" s="173">
        <f t="shared" si="863"/>
        <v>0.64080604336662461</v>
      </c>
      <c r="CB298" s="5">
        <f t="shared" si="864"/>
        <v>64.080604336662461</v>
      </c>
      <c r="CC298">
        <f t="shared" si="865"/>
        <v>82</v>
      </c>
      <c r="CE298" s="562">
        <f t="shared" si="805"/>
        <v>-50</v>
      </c>
      <c r="CG298" s="173">
        <f t="shared" si="806"/>
        <v>0.4907901792008475</v>
      </c>
      <c r="CH298" s="173">
        <f t="shared" si="807"/>
        <v>0.15934270840680406</v>
      </c>
      <c r="CI298" s="170">
        <v>82</v>
      </c>
      <c r="CJ298" s="217">
        <f t="shared" si="866"/>
        <v>2.0499999999999998</v>
      </c>
      <c r="CK298" s="217">
        <f t="shared" si="808"/>
        <v>0.20499999999999999</v>
      </c>
      <c r="CL298" s="217">
        <f t="shared" si="809"/>
        <v>57.399999999999991</v>
      </c>
      <c r="CM298" s="217">
        <f t="shared" si="810"/>
        <v>6.1499999999999995</v>
      </c>
      <c r="CN298" s="541">
        <f t="shared" si="811"/>
        <v>40</v>
      </c>
      <c r="CO298" s="443">
        <f t="shared" si="812"/>
        <v>28.7</v>
      </c>
      <c r="CP298" s="443">
        <f t="shared" si="813"/>
        <v>68.7</v>
      </c>
      <c r="CQ298" s="443"/>
      <c r="CR298" s="217">
        <f t="shared" si="814"/>
        <v>0.41520467836257302</v>
      </c>
      <c r="CS298" s="172">
        <f t="shared" si="815"/>
        <v>125.00786015217253</v>
      </c>
      <c r="CT298" s="172">
        <f t="shared" si="816"/>
        <v>14.828738512949037</v>
      </c>
      <c r="CU298" s="217">
        <f t="shared" si="817"/>
        <v>4.4645664340061613</v>
      </c>
      <c r="CV298" s="217">
        <f t="shared" si="818"/>
        <v>4.1669286717390843</v>
      </c>
      <c r="CW298" s="217">
        <f t="shared" si="819"/>
        <v>28</v>
      </c>
      <c r="CX298" s="217">
        <f t="shared" si="820"/>
        <v>7.6528521126760571</v>
      </c>
      <c r="CY298" s="217">
        <f t="shared" si="821"/>
        <v>0.89921012323943672</v>
      </c>
      <c r="CZ298" s="217">
        <f t="shared" si="822"/>
        <v>1.253254527162978</v>
      </c>
      <c r="DA298" s="197">
        <f t="shared" si="823"/>
        <v>350</v>
      </c>
      <c r="DB298" s="443">
        <f t="shared" si="824"/>
        <v>350</v>
      </c>
      <c r="DD298" s="217">
        <f t="shared" si="825"/>
        <v>10.158258230357086</v>
      </c>
      <c r="DE298" s="173">
        <f t="shared" si="826"/>
        <v>1.6635475150758992</v>
      </c>
      <c r="DF298" s="173">
        <f t="shared" si="827"/>
        <v>2.6710919890125213</v>
      </c>
      <c r="DG298" s="173"/>
      <c r="DH298" s="173">
        <f t="shared" si="828"/>
        <v>0.54587688734030204</v>
      </c>
      <c r="DI298" s="545">
        <f t="shared" si="829"/>
        <v>2253.255319148936</v>
      </c>
      <c r="DJ298" s="528">
        <f t="shared" si="830"/>
        <v>0.31842818428184283</v>
      </c>
      <c r="DL298" s="173">
        <f t="shared" si="831"/>
        <v>8.7900192087372364</v>
      </c>
      <c r="DM298" s="173">
        <f t="shared" si="832"/>
        <v>8.7900192087372364</v>
      </c>
      <c r="DN298" s="173">
        <f t="shared" si="833"/>
        <v>5.2419895373362237</v>
      </c>
      <c r="DP298" s="545">
        <f t="shared" si="834"/>
        <v>2050</v>
      </c>
      <c r="DQ298" s="460">
        <f t="shared" si="835"/>
        <v>350</v>
      </c>
      <c r="DS298">
        <f t="shared" si="836"/>
        <v>2050</v>
      </c>
      <c r="DT298">
        <f t="shared" si="837"/>
        <v>350</v>
      </c>
      <c r="DV298" s="5">
        <f t="shared" si="867"/>
        <v>2.8571428571428572</v>
      </c>
      <c r="DW298" s="5">
        <f t="shared" si="838"/>
        <v>1.0328272570266253</v>
      </c>
      <c r="DX298" s="5">
        <f t="shared" si="839"/>
        <v>1.824315600116232</v>
      </c>
      <c r="DY298" s="173">
        <f t="shared" si="840"/>
        <v>0.36148953995931882</v>
      </c>
      <c r="EA298" s="5">
        <f t="shared" si="868"/>
        <v>7.5617709889449349</v>
      </c>
      <c r="EB298" s="5">
        <f t="shared" si="869"/>
        <v>0.70576529230152718</v>
      </c>
      <c r="EC298" s="5">
        <f t="shared" si="870"/>
        <v>1.8699234901191375</v>
      </c>
      <c r="ED298" s="5"/>
      <c r="EE298" s="173">
        <f t="shared" si="871"/>
        <v>3.0512448845109414</v>
      </c>
      <c r="EF298" s="173">
        <f t="shared" si="872"/>
        <v>4.0552086528400739</v>
      </c>
      <c r="EG298" s="173">
        <f t="shared" si="873"/>
        <v>0.40884480680272883</v>
      </c>
      <c r="EH298" s="173"/>
      <c r="EI298" s="528">
        <f t="shared" si="874"/>
        <v>0.11172114414305026</v>
      </c>
      <c r="EJ298" s="528">
        <f t="shared" si="875"/>
        <v>4.0157642256076498</v>
      </c>
      <c r="EK298" s="528">
        <f t="shared" si="876"/>
        <v>4.0250000000000001E-2</v>
      </c>
      <c r="EL298" s="528">
        <f t="shared" si="877"/>
        <v>0.81355656375000007</v>
      </c>
      <c r="EM298">
        <f t="shared" si="878"/>
        <v>1.7999999999999999E-2</v>
      </c>
      <c r="EN298" s="460">
        <f t="shared" si="879"/>
        <v>58.249999999999993</v>
      </c>
      <c r="EP298" s="460">
        <f t="shared" si="880"/>
        <v>4999.2919335007</v>
      </c>
      <c r="EQ298" s="173">
        <f t="shared" si="881"/>
        <v>1.4349999999999998</v>
      </c>
      <c r="ER298" s="173">
        <f t="shared" si="841"/>
        <v>9.8194999999999991E-2</v>
      </c>
      <c r="ES298" s="528"/>
      <c r="EU298" s="460">
        <f t="shared" si="882"/>
        <v>1533.1949999999999</v>
      </c>
      <c r="EV298" s="528">
        <f t="shared" si="883"/>
        <v>0.13034133483355864</v>
      </c>
      <c r="EW298" s="528">
        <f t="shared" si="884"/>
        <v>0.23022604105296612</v>
      </c>
      <c r="EX298" s="528">
        <f t="shared" si="885"/>
        <v>8.3577038024780341E-4</v>
      </c>
      <c r="EY298" s="528">
        <f t="shared" si="886"/>
        <v>26.249115603188756</v>
      </c>
      <c r="EZ298" s="528"/>
      <c r="FA298" s="625">
        <f t="shared" si="887"/>
        <v>2.7042553191489365</v>
      </c>
      <c r="FB298" s="460">
        <f t="shared" si="888"/>
        <v>29314.774068604464</v>
      </c>
      <c r="FC298" s="173">
        <f t="shared" si="889"/>
        <v>35.847261002105164</v>
      </c>
      <c r="FD298" s="5">
        <f t="shared" si="890"/>
        <v>63.54999999999999</v>
      </c>
      <c r="FE298" s="173">
        <f t="shared" si="891"/>
        <v>0.63935363368467524</v>
      </c>
      <c r="FF298" s="5">
        <f t="shared" si="892"/>
        <v>63.93536336846752</v>
      </c>
      <c r="FG298">
        <f t="shared" si="893"/>
        <v>82</v>
      </c>
      <c r="FI298" s="562">
        <f t="shared" si="842"/>
        <v>-50</v>
      </c>
    </row>
    <row r="299" spans="5:165">
      <c r="E299" s="170">
        <v>83</v>
      </c>
      <c r="F299" s="217">
        <f t="shared" si="843"/>
        <v>2.0749999999999997</v>
      </c>
      <c r="G299" s="217">
        <f t="shared" si="772"/>
        <v>0.20749999999999999</v>
      </c>
      <c r="H299" s="217">
        <f t="shared" si="773"/>
        <v>58.099999999999994</v>
      </c>
      <c r="I299" s="217">
        <f t="shared" si="774"/>
        <v>6.2249999999999996</v>
      </c>
      <c r="J299" s="541">
        <f t="shared" si="775"/>
        <v>39.854975512277107</v>
      </c>
      <c r="K299" s="443">
        <f t="shared" si="776"/>
        <v>28.758832615068044</v>
      </c>
      <c r="L299" s="172">
        <f t="shared" si="777"/>
        <v>68.613808127345152</v>
      </c>
      <c r="M299" s="443"/>
      <c r="N299" s="217">
        <f t="shared" si="778"/>
        <v>0.41914059866335535</v>
      </c>
      <c r="O299" s="172">
        <f t="shared" si="779"/>
        <v>125.73534201237027</v>
      </c>
      <c r="P299" s="172">
        <f t="shared" si="780"/>
        <v>14.915034192793922</v>
      </c>
      <c r="Q299" s="217">
        <f t="shared" si="781"/>
        <v>4.490547929013224</v>
      </c>
      <c r="R299" s="217">
        <f t="shared" si="782"/>
        <v>4.1911780670790089</v>
      </c>
      <c r="S299" s="217">
        <f t="shared" si="783"/>
        <v>28</v>
      </c>
      <c r="T299" s="217">
        <f t="shared" si="784"/>
        <v>7.7013615888368543</v>
      </c>
      <c r="U299" s="217">
        <f t="shared" si="785"/>
        <v>0.90820277775313418</v>
      </c>
      <c r="V299" s="217">
        <f t="shared" si="786"/>
        <v>1.2586185243335744</v>
      </c>
      <c r="W299" s="197">
        <f t="shared" si="787"/>
        <v>350</v>
      </c>
      <c r="X299" s="443">
        <f t="shared" si="844"/>
        <v>350</v>
      </c>
      <c r="Z299" s="217">
        <f t="shared" si="788"/>
        <v>10.154916897221394</v>
      </c>
      <c r="AA299" s="173">
        <f t="shared" si="789"/>
        <v>1.6595982895332702</v>
      </c>
      <c r="AB299" s="173">
        <f t="shared" si="790"/>
        <v>2.6638743643099203</v>
      </c>
      <c r="AC299" s="173"/>
      <c r="AD299" s="173">
        <f t="shared" si="791"/>
        <v>0.5447601742519339</v>
      </c>
      <c r="AE299" s="545">
        <f t="shared" si="792"/>
        <v>2285.4093578144498</v>
      </c>
      <c r="AF299" s="528">
        <f t="shared" si="793"/>
        <v>0.31777676831362806</v>
      </c>
      <c r="AH299" s="173">
        <f t="shared" si="794"/>
        <v>8.8434544681414611</v>
      </c>
      <c r="AI299" s="173">
        <f t="shared" si="795"/>
        <v>8.8434544681414611</v>
      </c>
      <c r="AJ299" s="173">
        <f t="shared" si="796"/>
        <v>5.2815712109689832</v>
      </c>
      <c r="AL299" s="545">
        <f t="shared" si="797"/>
        <v>2074.9999999999995</v>
      </c>
      <c r="AM299" s="460">
        <f t="shared" si="798"/>
        <v>350</v>
      </c>
      <c r="AO299">
        <f t="shared" si="799"/>
        <v>2074.9999999999995</v>
      </c>
      <c r="AP299">
        <f t="shared" si="800"/>
        <v>350</v>
      </c>
      <c r="AR299" s="5">
        <f t="shared" si="771"/>
        <v>2.8571428571428572</v>
      </c>
      <c r="AS299" s="5">
        <f t="shared" si="737"/>
        <v>1.0428870038437543</v>
      </c>
      <c r="AT299" s="5">
        <f t="shared" si="738"/>
        <v>1.8142558532991029</v>
      </c>
      <c r="AU299" s="173">
        <f t="shared" si="739"/>
        <v>0.36501045134531401</v>
      </c>
      <c r="BA299" s="173">
        <f t="shared" si="845"/>
        <v>3.0847073386073567</v>
      </c>
      <c r="BB299" s="173">
        <f t="shared" si="846"/>
        <v>4.0685963523684228</v>
      </c>
      <c r="BC299" s="173">
        <f t="shared" si="847"/>
        <v>0.41019455027976726</v>
      </c>
      <c r="BD299" s="173"/>
      <c r="BE299" s="528">
        <f t="shared" si="848"/>
        <v>0.11418503237829698</v>
      </c>
      <c r="BF299" s="528">
        <f t="shared" si="801"/>
        <v>3.8758269749830676</v>
      </c>
      <c r="BG299" s="528">
        <f t="shared" si="849"/>
        <v>4.0250000000000001E-2</v>
      </c>
      <c r="BH299" s="528">
        <f t="shared" si="850"/>
        <v>0.81151644800626643</v>
      </c>
      <c r="BI299">
        <f t="shared" si="851"/>
        <v>1.7934738980524698E-2</v>
      </c>
      <c r="BJ299" s="460">
        <f t="shared" si="852"/>
        <v>58.184738980524706</v>
      </c>
      <c r="BK299">
        <f t="shared" si="802"/>
        <v>4.9671181356360892</v>
      </c>
      <c r="BL299" s="460">
        <f t="shared" si="853"/>
        <v>4859.7131943481563</v>
      </c>
      <c r="BM299" s="173">
        <f t="shared" si="803"/>
        <v>1.3914949999999997</v>
      </c>
      <c r="BN299" s="173">
        <f t="shared" si="804"/>
        <v>9.9392499999999995E-2</v>
      </c>
      <c r="BQ299" s="460">
        <f t="shared" si="854"/>
        <v>1490.8874999999996</v>
      </c>
      <c r="BR299" s="528">
        <f t="shared" si="855"/>
        <v>0.13321587110801314</v>
      </c>
      <c r="BS299" s="528">
        <f t="shared" si="856"/>
        <v>0.23174866789907889</v>
      </c>
      <c r="BT299" s="528">
        <f t="shared" si="857"/>
        <v>8.4129784539610259E-4</v>
      </c>
      <c r="BU299" s="528">
        <f t="shared" si="858"/>
        <v>26.649862678674857</v>
      </c>
      <c r="BV299" s="528"/>
      <c r="BW299" s="625">
        <f t="shared" si="859"/>
        <v>2.7372340425531907</v>
      </c>
      <c r="BX299" s="460">
        <f t="shared" si="860"/>
        <v>29752.902558080536</v>
      </c>
      <c r="BY299" s="173">
        <f t="shared" si="861"/>
        <v>36.103503252428688</v>
      </c>
      <c r="BZ299" s="5">
        <f t="shared" si="862"/>
        <v>64.324999999999989</v>
      </c>
      <c r="CA299" s="173">
        <f t="shared" si="863"/>
        <v>0.64050541347129375</v>
      </c>
      <c r="CB299" s="5">
        <f t="shared" si="864"/>
        <v>64.050541347129382</v>
      </c>
      <c r="CC299">
        <f t="shared" si="865"/>
        <v>82.999999999999986</v>
      </c>
      <c r="CE299" s="562">
        <f t="shared" si="805"/>
        <v>-50</v>
      </c>
      <c r="CG299" s="173">
        <f t="shared" si="806"/>
        <v>0.49377373360680094</v>
      </c>
      <c r="CH299" s="173">
        <f t="shared" si="807"/>
        <v>0.1603113660121738</v>
      </c>
      <c r="CI299" s="170">
        <v>83</v>
      </c>
      <c r="CJ299" s="217">
        <f t="shared" si="866"/>
        <v>2.0749999999999997</v>
      </c>
      <c r="CK299" s="217">
        <f t="shared" si="808"/>
        <v>0.20749999999999999</v>
      </c>
      <c r="CL299" s="217">
        <f t="shared" si="809"/>
        <v>58.099999999999994</v>
      </c>
      <c r="CM299" s="217">
        <f t="shared" si="810"/>
        <v>6.2249999999999996</v>
      </c>
      <c r="CN299" s="541">
        <f t="shared" si="811"/>
        <v>40</v>
      </c>
      <c r="CO299" s="443">
        <f t="shared" si="812"/>
        <v>28.7</v>
      </c>
      <c r="CP299" s="443">
        <f t="shared" si="813"/>
        <v>68.7</v>
      </c>
      <c r="CQ299" s="443"/>
      <c r="CR299" s="217">
        <f t="shared" si="814"/>
        <v>0.41520467836257302</v>
      </c>
      <c r="CS299" s="172">
        <f t="shared" si="815"/>
        <v>125.00786015217253</v>
      </c>
      <c r="CT299" s="172">
        <f t="shared" si="816"/>
        <v>14.828738512949037</v>
      </c>
      <c r="CU299" s="217">
        <f t="shared" si="817"/>
        <v>4.4645664340061613</v>
      </c>
      <c r="CV299" s="217">
        <f t="shared" si="818"/>
        <v>4.1669286717390843</v>
      </c>
      <c r="CW299" s="217">
        <f t="shared" si="819"/>
        <v>28</v>
      </c>
      <c r="CX299" s="217">
        <f t="shared" si="820"/>
        <v>7.7461795774647895</v>
      </c>
      <c r="CY299" s="217">
        <f t="shared" si="821"/>
        <v>0.91017610035211272</v>
      </c>
      <c r="CZ299" s="217">
        <f t="shared" si="822"/>
        <v>1.2685381189576486</v>
      </c>
      <c r="DA299" s="197">
        <f t="shared" si="823"/>
        <v>350</v>
      </c>
      <c r="DB299" s="443">
        <f t="shared" si="824"/>
        <v>350</v>
      </c>
      <c r="DD299" s="217">
        <f t="shared" si="825"/>
        <v>10.158258230357086</v>
      </c>
      <c r="DE299" s="173">
        <f t="shared" si="826"/>
        <v>1.6635475150758992</v>
      </c>
      <c r="DF299" s="173">
        <f t="shared" si="827"/>
        <v>2.6710919890125213</v>
      </c>
      <c r="DG299" s="173"/>
      <c r="DH299" s="173">
        <f t="shared" si="828"/>
        <v>0.54587688734030204</v>
      </c>
      <c r="DI299" s="545">
        <f t="shared" si="829"/>
        <v>2280.7340425531911</v>
      </c>
      <c r="DJ299" s="528">
        <f t="shared" si="830"/>
        <v>0.31842818428184283</v>
      </c>
      <c r="DL299" s="173">
        <f t="shared" si="831"/>
        <v>8.8434544681414611</v>
      </c>
      <c r="DM299" s="173">
        <f t="shared" si="832"/>
        <v>8.8434544681414611</v>
      </c>
      <c r="DN299" s="173">
        <f t="shared" si="833"/>
        <v>5.2815712109689832</v>
      </c>
      <c r="DP299" s="545">
        <f t="shared" si="834"/>
        <v>2074.9999999999995</v>
      </c>
      <c r="DQ299" s="460">
        <f t="shared" si="835"/>
        <v>350</v>
      </c>
      <c r="DS299">
        <f t="shared" si="836"/>
        <v>2074.9999999999995</v>
      </c>
      <c r="DT299">
        <f t="shared" si="837"/>
        <v>350</v>
      </c>
      <c r="DV299" s="5">
        <f t="shared" si="867"/>
        <v>2.8571428571428572</v>
      </c>
      <c r="DW299" s="5">
        <f t="shared" si="838"/>
        <v>1.0391059000066216</v>
      </c>
      <c r="DX299" s="5">
        <f t="shared" si="839"/>
        <v>1.8180369571362356</v>
      </c>
      <c r="DY299" s="173">
        <f t="shared" si="840"/>
        <v>0.36368706500231757</v>
      </c>
      <c r="EA299" s="5">
        <f t="shared" si="868"/>
        <v>7.7005169375490707</v>
      </c>
      <c r="EB299" s="5">
        <f t="shared" si="869"/>
        <v>0.71871491417124655</v>
      </c>
      <c r="EC299" s="5">
        <f t="shared" si="870"/>
        <v>1.8862133430288444</v>
      </c>
      <c r="ED299" s="5"/>
      <c r="EE299" s="173">
        <f t="shared" si="871"/>
        <v>3.079110284544329</v>
      </c>
      <c r="EF299" s="173">
        <f t="shared" si="872"/>
        <v>4.07283384131701</v>
      </c>
      <c r="EG299" s="173">
        <f t="shared" si="873"/>
        <v>0.41062177252622306</v>
      </c>
      <c r="EH299" s="173"/>
      <c r="EI299" s="528">
        <f t="shared" si="874"/>
        <v>0.1137710417326399</v>
      </c>
      <c r="EJ299" s="528">
        <f t="shared" si="875"/>
        <v>4.0401763910427677</v>
      </c>
      <c r="EK299" s="528">
        <f t="shared" si="876"/>
        <v>4.0250000000000001E-2</v>
      </c>
      <c r="EL299" s="528">
        <f t="shared" si="877"/>
        <v>0.81355656375000007</v>
      </c>
      <c r="EM299">
        <f t="shared" si="878"/>
        <v>1.7999999999999999E-2</v>
      </c>
      <c r="EN299" s="460">
        <f t="shared" si="879"/>
        <v>58.249999999999993</v>
      </c>
      <c r="EP299" s="460">
        <f t="shared" si="880"/>
        <v>5025.7539965254082</v>
      </c>
      <c r="EQ299" s="173">
        <f t="shared" si="881"/>
        <v>1.4524999999999997</v>
      </c>
      <c r="ER299" s="173">
        <f t="shared" si="841"/>
        <v>9.9392499999999995E-2</v>
      </c>
      <c r="ES299" s="528"/>
      <c r="EU299" s="460">
        <f t="shared" si="882"/>
        <v>1551.8924999999997</v>
      </c>
      <c r="EV299" s="528">
        <f t="shared" si="883"/>
        <v>0.13273288202141323</v>
      </c>
      <c r="EW299" s="528">
        <f t="shared" si="884"/>
        <v>0.23223165698567899</v>
      </c>
      <c r="EX299" s="528">
        <f t="shared" si="885"/>
        <v>8.4305120036288637E-4</v>
      </c>
      <c r="EY299" s="528">
        <f t="shared" si="886"/>
        <v>26.649862678674857</v>
      </c>
      <c r="EZ299" s="528"/>
      <c r="FA299" s="625">
        <f t="shared" si="887"/>
        <v>2.7372340425531907</v>
      </c>
      <c r="FB299" s="460">
        <f t="shared" si="888"/>
        <v>29752.904311435504</v>
      </c>
      <c r="FC299" s="173">
        <f t="shared" si="889"/>
        <v>36.330550807960911</v>
      </c>
      <c r="FD299" s="5">
        <f t="shared" si="890"/>
        <v>64.324999999999989</v>
      </c>
      <c r="FE299" s="173">
        <f t="shared" si="891"/>
        <v>0.63906063285793957</v>
      </c>
      <c r="FF299" s="5">
        <f t="shared" si="892"/>
        <v>63.906063285793955</v>
      </c>
      <c r="FG299">
        <f t="shared" si="893"/>
        <v>82.999999999999986</v>
      </c>
      <c r="FI299" s="562">
        <f t="shared" si="842"/>
        <v>-50</v>
      </c>
    </row>
    <row r="300" spans="5:165">
      <c r="E300" s="170">
        <v>84</v>
      </c>
      <c r="F300" s="217">
        <f t="shared" si="843"/>
        <v>2.1</v>
      </c>
      <c r="G300" s="217">
        <f t="shared" si="772"/>
        <v>0.21</v>
      </c>
      <c r="H300" s="217">
        <f t="shared" si="773"/>
        <v>58.800000000000004</v>
      </c>
      <c r="I300" s="217">
        <f t="shared" si="774"/>
        <v>6.3</v>
      </c>
      <c r="J300" s="541">
        <f t="shared" si="775"/>
        <v>39.854104486501335</v>
      </c>
      <c r="K300" s="443">
        <f t="shared" si="776"/>
        <v>28.75918596728452</v>
      </c>
      <c r="L300" s="172">
        <f t="shared" si="777"/>
        <v>68.613290453785851</v>
      </c>
      <c r="M300" s="443"/>
      <c r="N300" s="217">
        <f t="shared" si="778"/>
        <v>0.41914891090458822</v>
      </c>
      <c r="O300" s="172">
        <f t="shared" si="779"/>
        <v>125.73508756361599</v>
      </c>
      <c r="P300" s="172">
        <f t="shared" si="780"/>
        <v>14.915004009459551</v>
      </c>
      <c r="Q300" s="217">
        <f t="shared" si="781"/>
        <v>4.4905388415577141</v>
      </c>
      <c r="R300" s="217">
        <f t="shared" si="782"/>
        <v>4.1911695854538662</v>
      </c>
      <c r="S300" s="217">
        <f t="shared" si="783"/>
        <v>28</v>
      </c>
      <c r="T300" s="217">
        <f t="shared" si="784"/>
        <v>7.7941648507952612</v>
      </c>
      <c r="U300" s="217">
        <f t="shared" si="785"/>
        <v>0.91916692824311863</v>
      </c>
      <c r="V300" s="217">
        <f t="shared" si="786"/>
        <v>1.2737695302088767</v>
      </c>
      <c r="W300" s="197">
        <f t="shared" si="787"/>
        <v>350</v>
      </c>
      <c r="X300" s="443">
        <f t="shared" si="844"/>
        <v>350</v>
      </c>
      <c r="Z300" s="217">
        <f t="shared" si="788"/>
        <v>10.154896346866078</v>
      </c>
      <c r="AA300" s="173">
        <f t="shared" si="789"/>
        <v>1.6595745402726052</v>
      </c>
      <c r="AB300" s="173">
        <f t="shared" si="790"/>
        <v>2.6638308528449848</v>
      </c>
      <c r="AC300" s="173"/>
      <c r="AD300" s="173">
        <f t="shared" si="791"/>
        <v>0.54475348100911269</v>
      </c>
      <c r="AE300" s="545">
        <f t="shared" si="792"/>
        <v>2312.9728288582019</v>
      </c>
      <c r="AF300" s="528">
        <f t="shared" si="793"/>
        <v>0.3177728639219824</v>
      </c>
      <c r="AH300" s="173">
        <f t="shared" si="794"/>
        <v>8.8965687863475083</v>
      </c>
      <c r="AI300" s="173">
        <f t="shared" si="795"/>
        <v>8.8965687863475083</v>
      </c>
      <c r="AJ300" s="173">
        <f t="shared" si="796"/>
        <v>5.3209151503808698</v>
      </c>
      <c r="AL300" s="545">
        <f t="shared" si="797"/>
        <v>2100</v>
      </c>
      <c r="AM300" s="460">
        <f t="shared" si="798"/>
        <v>350</v>
      </c>
      <c r="AO300">
        <f t="shared" si="799"/>
        <v>2100</v>
      </c>
      <c r="AP300">
        <f t="shared" si="800"/>
        <v>350</v>
      </c>
      <c r="AR300" s="5">
        <f t="shared" si="771"/>
        <v>2.8571428571428572</v>
      </c>
      <c r="AS300" s="5">
        <f t="shared" si="737"/>
        <v>1.0491735753338964</v>
      </c>
      <c r="AT300" s="5">
        <f t="shared" si="738"/>
        <v>1.8079692818089608</v>
      </c>
      <c r="AU300" s="173">
        <f t="shared" si="739"/>
        <v>0.36721075136686376</v>
      </c>
      <c r="BA300" s="173">
        <f t="shared" si="845"/>
        <v>3.1125734433611778</v>
      </c>
      <c r="BB300" s="173">
        <f t="shared" si="846"/>
        <v>4.0859350561514072</v>
      </c>
      <c r="BC300" s="173">
        <f t="shared" si="847"/>
        <v>0.41194263271034676</v>
      </c>
      <c r="BD300" s="173"/>
      <c r="BE300" s="528">
        <f t="shared" si="848"/>
        <v>0.11625736128380712</v>
      </c>
      <c r="BF300" s="528">
        <f t="shared" si="801"/>
        <v>3.8990760066231318</v>
      </c>
      <c r="BG300" s="528">
        <f t="shared" si="849"/>
        <v>4.0250000000000001E-2</v>
      </c>
      <c r="BH300" s="528">
        <f t="shared" si="850"/>
        <v>0.81150420268612566</v>
      </c>
      <c r="BI300">
        <f t="shared" si="851"/>
        <v>1.79343470189256E-2</v>
      </c>
      <c r="BJ300" s="460">
        <f t="shared" si="852"/>
        <v>58.1843470189256</v>
      </c>
      <c r="BK300">
        <f t="shared" si="802"/>
        <v>4.9962368549330662</v>
      </c>
      <c r="BL300" s="460">
        <f t="shared" si="853"/>
        <v>4885.0219176119908</v>
      </c>
      <c r="BM300" s="173">
        <f t="shared" si="803"/>
        <v>1.4082599999999998</v>
      </c>
      <c r="BN300" s="173">
        <f t="shared" si="804"/>
        <v>0.10059</v>
      </c>
      <c r="BQ300" s="460">
        <f t="shared" si="854"/>
        <v>1508.85</v>
      </c>
      <c r="BR300" s="528">
        <f t="shared" si="855"/>
        <v>0.13563358816444163</v>
      </c>
      <c r="BS300" s="528">
        <f t="shared" si="856"/>
        <v>0.23372811396321808</v>
      </c>
      <c r="BT300" s="528">
        <f t="shared" si="857"/>
        <v>8.4848366322165828E-4</v>
      </c>
      <c r="BU300" s="528">
        <f t="shared" si="858"/>
        <v>27.051818668998639</v>
      </c>
      <c r="BV300" s="528"/>
      <c r="BW300" s="625">
        <f t="shared" si="859"/>
        <v>2.7702127659574476</v>
      </c>
      <c r="BX300" s="460">
        <f t="shared" si="860"/>
        <v>30192.241620746969</v>
      </c>
      <c r="BY300" s="173">
        <f t="shared" si="861"/>
        <v>36.586113538358958</v>
      </c>
      <c r="BZ300" s="5">
        <f t="shared" si="862"/>
        <v>65.100000000000009</v>
      </c>
      <c r="CA300" s="173">
        <f t="shared" si="863"/>
        <v>0.6402054099101977</v>
      </c>
      <c r="CB300" s="5">
        <f t="shared" si="864"/>
        <v>64.020540991019772</v>
      </c>
      <c r="CC300">
        <f t="shared" si="865"/>
        <v>84.000000000000014</v>
      </c>
      <c r="CE300" s="562">
        <f t="shared" si="805"/>
        <v>-50</v>
      </c>
      <c r="CG300" s="173">
        <f t="shared" si="806"/>
        <v>0.49673936828079174</v>
      </c>
      <c r="CH300" s="173">
        <f t="shared" si="807"/>
        <v>0.1612742056962691</v>
      </c>
      <c r="CI300" s="170">
        <v>84</v>
      </c>
      <c r="CJ300" s="217">
        <f t="shared" si="866"/>
        <v>2.1</v>
      </c>
      <c r="CK300" s="217">
        <f t="shared" si="808"/>
        <v>0.21</v>
      </c>
      <c r="CL300" s="217">
        <f t="shared" si="809"/>
        <v>58.800000000000004</v>
      </c>
      <c r="CM300" s="217">
        <f t="shared" si="810"/>
        <v>6.3</v>
      </c>
      <c r="CN300" s="541">
        <f t="shared" si="811"/>
        <v>40</v>
      </c>
      <c r="CO300" s="443">
        <f t="shared" si="812"/>
        <v>28.7</v>
      </c>
      <c r="CP300" s="443">
        <f t="shared" si="813"/>
        <v>68.7</v>
      </c>
      <c r="CQ300" s="443"/>
      <c r="CR300" s="217">
        <f t="shared" si="814"/>
        <v>0.41520467836257302</v>
      </c>
      <c r="CS300" s="172">
        <f t="shared" si="815"/>
        <v>125.00786015217253</v>
      </c>
      <c r="CT300" s="172">
        <f t="shared" si="816"/>
        <v>14.828738512949037</v>
      </c>
      <c r="CU300" s="217">
        <f t="shared" si="817"/>
        <v>4.4645664340061613</v>
      </c>
      <c r="CV300" s="217">
        <f t="shared" si="818"/>
        <v>4.1669286717390843</v>
      </c>
      <c r="CW300" s="217">
        <f t="shared" si="819"/>
        <v>28</v>
      </c>
      <c r="CX300" s="217">
        <f t="shared" si="820"/>
        <v>7.8395070422535245</v>
      </c>
      <c r="CY300" s="217">
        <f t="shared" si="821"/>
        <v>0.92114207746478916</v>
      </c>
      <c r="CZ300" s="217">
        <f t="shared" si="822"/>
        <v>1.2838217107523193</v>
      </c>
      <c r="DA300" s="197">
        <f t="shared" si="823"/>
        <v>350</v>
      </c>
      <c r="DB300" s="443">
        <f t="shared" si="824"/>
        <v>350</v>
      </c>
      <c r="DD300" s="217">
        <f t="shared" si="825"/>
        <v>10.158258230357086</v>
      </c>
      <c r="DE300" s="173">
        <f t="shared" si="826"/>
        <v>1.6635475150758992</v>
      </c>
      <c r="DF300" s="173">
        <f t="shared" si="827"/>
        <v>2.6710919890125213</v>
      </c>
      <c r="DG300" s="173"/>
      <c r="DH300" s="173">
        <f t="shared" si="828"/>
        <v>0.54587688734030204</v>
      </c>
      <c r="DI300" s="545">
        <f t="shared" si="829"/>
        <v>2308.2127659574467</v>
      </c>
      <c r="DJ300" s="528">
        <f t="shared" si="830"/>
        <v>0.31842818428184283</v>
      </c>
      <c r="DL300" s="173">
        <f t="shared" si="831"/>
        <v>8.8965687863475083</v>
      </c>
      <c r="DM300" s="173">
        <f t="shared" si="832"/>
        <v>8.8965687863475083</v>
      </c>
      <c r="DN300" s="173">
        <f t="shared" si="833"/>
        <v>5.3209151503808698</v>
      </c>
      <c r="DP300" s="545">
        <f t="shared" si="834"/>
        <v>2100</v>
      </c>
      <c r="DQ300" s="460">
        <f t="shared" si="835"/>
        <v>350</v>
      </c>
      <c r="DS300">
        <f t="shared" si="836"/>
        <v>2100</v>
      </c>
      <c r="DT300">
        <f t="shared" si="837"/>
        <v>350</v>
      </c>
      <c r="DV300" s="5">
        <f t="shared" si="867"/>
        <v>2.8571428571428572</v>
      </c>
      <c r="DW300" s="5">
        <f t="shared" si="838"/>
        <v>1.0453468323958321</v>
      </c>
      <c r="DX300" s="5">
        <f t="shared" si="839"/>
        <v>1.8117960247470251</v>
      </c>
      <c r="DY300" s="173">
        <f t="shared" si="840"/>
        <v>0.36587139133854124</v>
      </c>
      <c r="EA300" s="5">
        <f t="shared" si="868"/>
        <v>7.8401012429687409</v>
      </c>
      <c r="EB300" s="5">
        <f t="shared" si="869"/>
        <v>0.73174278267708237</v>
      </c>
      <c r="EC300" s="5">
        <f t="shared" si="870"/>
        <v>1.9023858259843764</v>
      </c>
      <c r="ED300" s="5"/>
      <c r="EE300" s="173">
        <f t="shared" si="871"/>
        <v>3.1068918766489197</v>
      </c>
      <c r="EF300" s="173">
        <f t="shared" si="872"/>
        <v>4.0902569100506652</v>
      </c>
      <c r="EG300" s="173">
        <f t="shared" si="873"/>
        <v>0.41237836060346872</v>
      </c>
      <c r="EH300" s="173"/>
      <c r="EI300" s="528">
        <f t="shared" si="874"/>
        <v>0.11583332559824455</v>
      </c>
      <c r="EJ300" s="528">
        <f t="shared" si="875"/>
        <v>4.0644419328867913</v>
      </c>
      <c r="EK300" s="528">
        <f t="shared" si="876"/>
        <v>4.0250000000000001E-2</v>
      </c>
      <c r="EL300" s="528">
        <f t="shared" si="877"/>
        <v>0.81355656375000007</v>
      </c>
      <c r="EM300">
        <f t="shared" si="878"/>
        <v>1.7999999999999999E-2</v>
      </c>
      <c r="EN300" s="460">
        <f t="shared" si="879"/>
        <v>58.249999999999993</v>
      </c>
      <c r="EP300" s="460">
        <f t="shared" si="880"/>
        <v>5052.0818222350363</v>
      </c>
      <c r="EQ300" s="173">
        <f t="shared" si="881"/>
        <v>1.47</v>
      </c>
      <c r="ER300" s="173">
        <f t="shared" si="841"/>
        <v>0.10059</v>
      </c>
      <c r="ES300" s="528"/>
      <c r="EU300" s="460">
        <f t="shared" si="882"/>
        <v>1570.59</v>
      </c>
      <c r="EV300" s="528">
        <f t="shared" si="883"/>
        <v>0.13513887986461864</v>
      </c>
      <c r="EW300" s="528">
        <f t="shared" si="884"/>
        <v>0.23422282226304103</v>
      </c>
      <c r="EX300" s="528">
        <f t="shared" si="885"/>
        <v>8.502795614700225E-4</v>
      </c>
      <c r="EY300" s="528">
        <f t="shared" si="886"/>
        <v>27.051818668998639</v>
      </c>
      <c r="EZ300" s="528"/>
      <c r="FA300" s="625">
        <f t="shared" si="887"/>
        <v>2.7702127659574476</v>
      </c>
      <c r="FB300" s="460">
        <f t="shared" si="888"/>
        <v>30192.243416645219</v>
      </c>
      <c r="FC300" s="173">
        <f t="shared" si="889"/>
        <v>36.814915238880253</v>
      </c>
      <c r="FD300" s="5">
        <f t="shared" si="890"/>
        <v>65.100000000000009</v>
      </c>
      <c r="FE300" s="173">
        <f t="shared" si="891"/>
        <v>0.63876813170487268</v>
      </c>
      <c r="FF300" s="5">
        <f t="shared" si="892"/>
        <v>63.876813170487267</v>
      </c>
      <c r="FG300">
        <f t="shared" si="893"/>
        <v>84.000000000000014</v>
      </c>
      <c r="FI300" s="562">
        <f t="shared" si="842"/>
        <v>-50</v>
      </c>
    </row>
    <row r="301" spans="5:165">
      <c r="E301" s="170">
        <v>85</v>
      </c>
      <c r="F301" s="217">
        <f t="shared" si="843"/>
        <v>2.125</v>
      </c>
      <c r="G301" s="217">
        <f t="shared" si="772"/>
        <v>0.21249999999999999</v>
      </c>
      <c r="H301" s="217">
        <f t="shared" si="773"/>
        <v>59.5</v>
      </c>
      <c r="I301" s="217">
        <f t="shared" si="774"/>
        <v>6.375</v>
      </c>
      <c r="J301" s="541">
        <f t="shared" si="775"/>
        <v>39.853238630154969</v>
      </c>
      <c r="K301" s="443">
        <f t="shared" si="776"/>
        <v>28.759537222399636</v>
      </c>
      <c r="L301" s="172">
        <f t="shared" si="777"/>
        <v>68.612775852554606</v>
      </c>
      <c r="M301" s="443"/>
      <c r="N301" s="217">
        <f t="shared" si="778"/>
        <v>0.41915717393802038</v>
      </c>
      <c r="O301" s="172">
        <f t="shared" si="779"/>
        <v>125.73483455425065</v>
      </c>
      <c r="P301" s="172">
        <f t="shared" si="780"/>
        <v>14.914973996869017</v>
      </c>
      <c r="Q301" s="217">
        <f t="shared" si="781"/>
        <v>4.4905298055089515</v>
      </c>
      <c r="R301" s="217">
        <f t="shared" si="782"/>
        <v>4.1911611518083554</v>
      </c>
      <c r="S301" s="217">
        <f t="shared" si="783"/>
        <v>28</v>
      </c>
      <c r="T301" s="217">
        <f t="shared" si="784"/>
        <v>7.8869683980758216</v>
      </c>
      <c r="U301" s="217">
        <f t="shared" si="785"/>
        <v>0.93013147099438687</v>
      </c>
      <c r="V301" s="217">
        <f t="shared" si="786"/>
        <v>1.2889203043950588</v>
      </c>
      <c r="W301" s="197">
        <f t="shared" si="787"/>
        <v>350</v>
      </c>
      <c r="X301" s="443">
        <f t="shared" si="844"/>
        <v>350</v>
      </c>
      <c r="Z301" s="217">
        <f t="shared" si="788"/>
        <v>10.154875912761886</v>
      </c>
      <c r="AA301" s="173">
        <f t="shared" si="789"/>
        <v>1.6595509316056563</v>
      </c>
      <c r="AB301" s="173">
        <f t="shared" si="790"/>
        <v>2.6637875976994438</v>
      </c>
      <c r="AC301" s="173"/>
      <c r="AD301" s="173">
        <f t="shared" si="791"/>
        <v>0.5447468276528642</v>
      </c>
      <c r="AE301" s="545">
        <f t="shared" si="792"/>
        <v>2340.5368058655026</v>
      </c>
      <c r="AF301" s="528">
        <f t="shared" si="793"/>
        <v>0.3177689827975041</v>
      </c>
      <c r="AH301" s="173">
        <f t="shared" si="794"/>
        <v>8.9493678776958507</v>
      </c>
      <c r="AI301" s="173">
        <f t="shared" si="795"/>
        <v>8.9493678776958507</v>
      </c>
      <c r="AJ301" s="173">
        <f t="shared" si="796"/>
        <v>5.3600255884166792</v>
      </c>
      <c r="AL301" s="545">
        <f t="shared" si="797"/>
        <v>2125</v>
      </c>
      <c r="AM301" s="460">
        <f t="shared" si="798"/>
        <v>350</v>
      </c>
      <c r="AO301">
        <f t="shared" si="799"/>
        <v>2125</v>
      </c>
      <c r="AP301">
        <f t="shared" si="800"/>
        <v>350</v>
      </c>
      <c r="AR301" s="5">
        <f t="shared" si="771"/>
        <v>2.8571428571428572</v>
      </c>
      <c r="AS301" s="5">
        <f t="shared" si="737"/>
        <v>1.0554231091609265</v>
      </c>
      <c r="AT301" s="5">
        <f t="shared" si="738"/>
        <v>1.8017197479819307</v>
      </c>
      <c r="AU301" s="173">
        <f t="shared" si="739"/>
        <v>0.36939808820632425</v>
      </c>
      <c r="BA301" s="173">
        <f t="shared" si="845"/>
        <v>3.1403572393787598</v>
      </c>
      <c r="BB301" s="173">
        <f t="shared" si="846"/>
        <v>4.1030742392170039</v>
      </c>
      <c r="BC301" s="173">
        <f t="shared" si="847"/>
        <v>0.41367059952761598</v>
      </c>
      <c r="BD301" s="173"/>
      <c r="BE301" s="528">
        <f t="shared" si="848"/>
        <v>0.11834212309102303</v>
      </c>
      <c r="BF301" s="528">
        <f t="shared" si="801"/>
        <v>3.9221867100194654</v>
      </c>
      <c r="BG301" s="528">
        <f t="shared" si="849"/>
        <v>4.0250000000000001E-2</v>
      </c>
      <c r="BH301" s="528">
        <f t="shared" si="850"/>
        <v>0.81149203013200122</v>
      </c>
      <c r="BI301">
        <f t="shared" si="851"/>
        <v>1.7933957383569735E-2</v>
      </c>
      <c r="BJ301" s="460">
        <f t="shared" si="852"/>
        <v>58.183957383569741</v>
      </c>
      <c r="BK301">
        <f t="shared" si="802"/>
        <v>5.0252743449766806</v>
      </c>
      <c r="BL301" s="460">
        <f t="shared" si="853"/>
        <v>4910.2048206260597</v>
      </c>
      <c r="BM301" s="173">
        <f t="shared" si="803"/>
        <v>1.4250249999999998</v>
      </c>
      <c r="BN301" s="173">
        <f t="shared" si="804"/>
        <v>0.10178749999999999</v>
      </c>
      <c r="BQ301" s="460">
        <f t="shared" si="854"/>
        <v>1526.8124999999998</v>
      </c>
      <c r="BR301" s="528">
        <f t="shared" si="855"/>
        <v>0.13806581027286019</v>
      </c>
      <c r="BS301" s="528">
        <f t="shared" si="856"/>
        <v>0.23569305497536677</v>
      </c>
      <c r="BT301" s="528">
        <f t="shared" si="857"/>
        <v>8.5561682456768628E-4</v>
      </c>
      <c r="BU301" s="528">
        <f t="shared" si="858"/>
        <v>27.454972763684783</v>
      </c>
      <c r="BV301" s="528"/>
      <c r="BW301" s="625">
        <f t="shared" si="859"/>
        <v>2.8031914893617018</v>
      </c>
      <c r="BX301" s="460">
        <f t="shared" si="860"/>
        <v>30632.778735119278</v>
      </c>
      <c r="BY301" s="173">
        <f t="shared" si="861"/>
        <v>37.069796055745336</v>
      </c>
      <c r="BZ301" s="5">
        <f t="shared" si="862"/>
        <v>65.875</v>
      </c>
      <c r="CA301" s="173">
        <f t="shared" si="863"/>
        <v>0.63990607125325905</v>
      </c>
      <c r="CB301" s="5">
        <f t="shared" si="864"/>
        <v>63.990607125325901</v>
      </c>
      <c r="CC301">
        <f t="shared" si="865"/>
        <v>85</v>
      </c>
      <c r="CE301" s="562">
        <f t="shared" si="805"/>
        <v>-50</v>
      </c>
      <c r="CG301" s="173">
        <f t="shared" si="806"/>
        <v>0.49968740228266711</v>
      </c>
      <c r="CH301" s="173">
        <f t="shared" si="807"/>
        <v>0.16223133104685999</v>
      </c>
      <c r="CI301" s="170">
        <v>85</v>
      </c>
      <c r="CJ301" s="217">
        <f t="shared" si="866"/>
        <v>2.125</v>
      </c>
      <c r="CK301" s="217">
        <f t="shared" si="808"/>
        <v>0.21249999999999999</v>
      </c>
      <c r="CL301" s="217">
        <f t="shared" si="809"/>
        <v>59.5</v>
      </c>
      <c r="CM301" s="217">
        <f t="shared" si="810"/>
        <v>6.375</v>
      </c>
      <c r="CN301" s="541">
        <f t="shared" si="811"/>
        <v>40</v>
      </c>
      <c r="CO301" s="443">
        <f t="shared" si="812"/>
        <v>28.7</v>
      </c>
      <c r="CP301" s="443">
        <f t="shared" si="813"/>
        <v>68.7</v>
      </c>
      <c r="CQ301" s="443"/>
      <c r="CR301" s="217">
        <f t="shared" si="814"/>
        <v>0.41520467836257302</v>
      </c>
      <c r="CS301" s="172">
        <f t="shared" si="815"/>
        <v>125.00786015217253</v>
      </c>
      <c r="CT301" s="172">
        <f t="shared" si="816"/>
        <v>14.828738512949037</v>
      </c>
      <c r="CU301" s="217">
        <f t="shared" si="817"/>
        <v>4.4645664340061613</v>
      </c>
      <c r="CV301" s="217">
        <f t="shared" si="818"/>
        <v>4.1669286717390843</v>
      </c>
      <c r="CW301" s="217">
        <f t="shared" si="819"/>
        <v>28</v>
      </c>
      <c r="CX301" s="217">
        <f t="shared" si="820"/>
        <v>7.932834507042255</v>
      </c>
      <c r="CY301" s="217">
        <f t="shared" si="821"/>
        <v>0.93210805457746493</v>
      </c>
      <c r="CZ301" s="217">
        <f t="shared" si="822"/>
        <v>1.2991053025469894</v>
      </c>
      <c r="DA301" s="197">
        <f t="shared" si="823"/>
        <v>350</v>
      </c>
      <c r="DB301" s="443">
        <f t="shared" si="824"/>
        <v>350</v>
      </c>
      <c r="DD301" s="217">
        <f t="shared" si="825"/>
        <v>10.158258230357086</v>
      </c>
      <c r="DE301" s="173">
        <f t="shared" si="826"/>
        <v>1.6635475150758992</v>
      </c>
      <c r="DF301" s="173">
        <f t="shared" si="827"/>
        <v>2.6710919890125213</v>
      </c>
      <c r="DG301" s="173"/>
      <c r="DH301" s="173">
        <f t="shared" si="828"/>
        <v>0.54587688734030204</v>
      </c>
      <c r="DI301" s="545">
        <f t="shared" si="829"/>
        <v>2335.6914893617022</v>
      </c>
      <c r="DJ301" s="528">
        <f t="shared" si="830"/>
        <v>0.31842818428184283</v>
      </c>
      <c r="DL301" s="173">
        <f t="shared" si="831"/>
        <v>8.9493678776958507</v>
      </c>
      <c r="DM301" s="173">
        <f t="shared" si="832"/>
        <v>8.9493678776958507</v>
      </c>
      <c r="DN301" s="173">
        <f t="shared" si="833"/>
        <v>5.3600255884166792</v>
      </c>
      <c r="DP301" s="545">
        <f t="shared" si="834"/>
        <v>2125</v>
      </c>
      <c r="DQ301" s="460">
        <f t="shared" si="835"/>
        <v>350</v>
      </c>
      <c r="DS301">
        <f t="shared" si="836"/>
        <v>2125</v>
      </c>
      <c r="DT301">
        <f t="shared" si="837"/>
        <v>350</v>
      </c>
      <c r="DV301" s="5">
        <f t="shared" si="867"/>
        <v>2.8571428571428572</v>
      </c>
      <c r="DW301" s="5">
        <f t="shared" si="838"/>
        <v>1.0515507256292624</v>
      </c>
      <c r="DX301" s="5">
        <f t="shared" si="839"/>
        <v>1.8055921315135948</v>
      </c>
      <c r="DY301" s="173">
        <f t="shared" si="840"/>
        <v>0.36804275397024183</v>
      </c>
      <c r="EA301" s="5">
        <f t="shared" si="868"/>
        <v>7.9805188998649381</v>
      </c>
      <c r="EB301" s="5">
        <f t="shared" si="869"/>
        <v>0.74484843065406081</v>
      </c>
      <c r="EC301" s="5">
        <f t="shared" si="870"/>
        <v>1.9184416397331945</v>
      </c>
      <c r="ED301" s="5"/>
      <c r="EE301" s="173">
        <f t="shared" si="871"/>
        <v>3.1345909061715798</v>
      </c>
      <c r="EF301" s="173">
        <f t="shared" si="872"/>
        <v>4.1074811812583158</v>
      </c>
      <c r="EG301" s="173">
        <f t="shared" si="873"/>
        <v>0.41411490597932205</v>
      </c>
      <c r="EH301" s="173"/>
      <c r="EI301" s="528">
        <f t="shared" si="874"/>
        <v>0.11790792178864279</v>
      </c>
      <c r="EJ301" s="528">
        <f t="shared" si="875"/>
        <v>4.0885634617647391</v>
      </c>
      <c r="EK301" s="528">
        <f t="shared" si="876"/>
        <v>4.0250000000000001E-2</v>
      </c>
      <c r="EL301" s="528">
        <f t="shared" si="877"/>
        <v>0.81355656375000007</v>
      </c>
      <c r="EM301">
        <f t="shared" si="878"/>
        <v>1.7999999999999999E-2</v>
      </c>
      <c r="EN301" s="460">
        <f t="shared" si="879"/>
        <v>58.249999999999993</v>
      </c>
      <c r="EP301" s="460">
        <f t="shared" si="880"/>
        <v>5078.2779473033816</v>
      </c>
      <c r="EQ301" s="173">
        <f t="shared" si="881"/>
        <v>1.4874999999999998</v>
      </c>
      <c r="ER301" s="173">
        <f t="shared" si="841"/>
        <v>0.10178749999999999</v>
      </c>
      <c r="ES301" s="528"/>
      <c r="EU301" s="460">
        <f t="shared" si="882"/>
        <v>1589.2874999999997</v>
      </c>
      <c r="EV301" s="528">
        <f t="shared" si="883"/>
        <v>0.13755924208674991</v>
      </c>
      <c r="EW301" s="528">
        <f t="shared" si="884"/>
        <v>0.23619962316147694</v>
      </c>
      <c r="EX301" s="528">
        <f t="shared" si="885"/>
        <v>8.5745577677131374E-4</v>
      </c>
      <c r="EY301" s="528">
        <f t="shared" si="886"/>
        <v>27.454972763684783</v>
      </c>
      <c r="EZ301" s="528"/>
      <c r="FA301" s="625">
        <f t="shared" si="887"/>
        <v>2.8031914893617018</v>
      </c>
      <c r="FB301" s="460">
        <f t="shared" si="888"/>
        <v>30632.780574071483</v>
      </c>
      <c r="FC301" s="173">
        <f t="shared" si="889"/>
        <v>37.300346021374864</v>
      </c>
      <c r="FD301" s="5">
        <f t="shared" si="890"/>
        <v>65.875</v>
      </c>
      <c r="FE301" s="173">
        <f t="shared" si="891"/>
        <v>0.63847617226650888</v>
      </c>
      <c r="FF301" s="5">
        <f t="shared" si="892"/>
        <v>63.84761722665089</v>
      </c>
      <c r="FG301">
        <f t="shared" si="893"/>
        <v>85</v>
      </c>
      <c r="FI301" s="562">
        <f t="shared" si="842"/>
        <v>-50</v>
      </c>
    </row>
    <row r="302" spans="5:165">
      <c r="E302" s="170">
        <v>86</v>
      </c>
      <c r="F302" s="217">
        <f t="shared" si="843"/>
        <v>2.15</v>
      </c>
      <c r="G302" s="217">
        <f t="shared" si="772"/>
        <v>0.215</v>
      </c>
      <c r="H302" s="217">
        <f t="shared" si="773"/>
        <v>60.199999999999996</v>
      </c>
      <c r="I302" s="217">
        <f t="shared" si="774"/>
        <v>6.45</v>
      </c>
      <c r="J302" s="541">
        <f t="shared" si="775"/>
        <v>39.852377852276362</v>
      </c>
      <c r="K302" s="443">
        <f t="shared" si="776"/>
        <v>28.759886417314139</v>
      </c>
      <c r="L302" s="172">
        <f t="shared" si="777"/>
        <v>68.612264269590497</v>
      </c>
      <c r="M302" s="443"/>
      <c r="N302" s="217">
        <f t="shared" si="778"/>
        <v>0.41916538862951869</v>
      </c>
      <c r="O302" s="172">
        <f t="shared" si="779"/>
        <v>125.73458295894508</v>
      </c>
      <c r="P302" s="172">
        <f t="shared" si="780"/>
        <v>14.91494415201772</v>
      </c>
      <c r="Q302" s="217">
        <f t="shared" si="781"/>
        <v>4.4905208199623248</v>
      </c>
      <c r="R302" s="217">
        <f t="shared" si="782"/>
        <v>4.1911527652981695</v>
      </c>
      <c r="S302" s="217">
        <f t="shared" si="783"/>
        <v>28</v>
      </c>
      <c r="T302" s="217">
        <f t="shared" si="784"/>
        <v>7.9797722291005826</v>
      </c>
      <c r="U302" s="217">
        <f t="shared" si="785"/>
        <v>0.94109640372765002</v>
      </c>
      <c r="V302" s="217">
        <f t="shared" si="786"/>
        <v>1.3040708482838053</v>
      </c>
      <c r="W302" s="197">
        <f t="shared" si="787"/>
        <v>350</v>
      </c>
      <c r="X302" s="443">
        <f t="shared" si="844"/>
        <v>350</v>
      </c>
      <c r="Z302" s="217">
        <f t="shared" si="788"/>
        <v>10.154855592863125</v>
      </c>
      <c r="AA302" s="173">
        <f t="shared" si="789"/>
        <v>1.6595274610585178</v>
      </c>
      <c r="AB302" s="173">
        <f t="shared" si="790"/>
        <v>2.6637445943631017</v>
      </c>
      <c r="AC302" s="173"/>
      <c r="AD302" s="173">
        <f t="shared" si="791"/>
        <v>0.54474021348133561</v>
      </c>
      <c r="AE302" s="545">
        <f t="shared" si="792"/>
        <v>2368.1012858511854</v>
      </c>
      <c r="AF302" s="528">
        <f t="shared" si="793"/>
        <v>0.3177651245307791</v>
      </c>
      <c r="AH302" s="173">
        <f t="shared" si="794"/>
        <v>9.0018572889407622</v>
      </c>
      <c r="AI302" s="173">
        <f t="shared" si="795"/>
        <v>9.0018572889407622</v>
      </c>
      <c r="AJ302" s="173">
        <f t="shared" si="796"/>
        <v>5.3989066337832803</v>
      </c>
      <c r="AL302" s="545">
        <f t="shared" si="797"/>
        <v>2150</v>
      </c>
      <c r="AM302" s="460">
        <f t="shared" si="798"/>
        <v>350</v>
      </c>
      <c r="AO302">
        <f t="shared" si="799"/>
        <v>2150</v>
      </c>
      <c r="AP302">
        <f t="shared" si="800"/>
        <v>350</v>
      </c>
      <c r="AR302" s="5">
        <f t="shared" si="771"/>
        <v>2.8571428571428572</v>
      </c>
      <c r="AS302" s="5">
        <f t="shared" si="737"/>
        <v>1.0616362570597506</v>
      </c>
      <c r="AT302" s="5">
        <f t="shared" si="738"/>
        <v>1.7955066000831066</v>
      </c>
      <c r="AU302" s="173">
        <f t="shared" si="739"/>
        <v>0.3715726899709127</v>
      </c>
      <c r="BA302" s="173">
        <f t="shared" si="845"/>
        <v>3.1680599368620999</v>
      </c>
      <c r="BB302" s="173">
        <f t="shared" si="846"/>
        <v>4.1200171261700627</v>
      </c>
      <c r="BC302" s="173">
        <f t="shared" si="847"/>
        <v>0.4153787758351784</v>
      </c>
      <c r="BD302" s="173"/>
      <c r="BE302" s="528">
        <f t="shared" si="848"/>
        <v>0.12043924516260832</v>
      </c>
      <c r="BF302" s="528">
        <f t="shared" si="801"/>
        <v>3.945161519205711</v>
      </c>
      <c r="BG302" s="528">
        <f t="shared" si="849"/>
        <v>4.0250000000000001E-2</v>
      </c>
      <c r="BH302" s="528">
        <f t="shared" si="850"/>
        <v>0.81147992906349653</v>
      </c>
      <c r="BI302">
        <f t="shared" si="851"/>
        <v>1.7933570033524363E-2</v>
      </c>
      <c r="BJ302" s="460">
        <f t="shared" si="852"/>
        <v>58.183570033524369</v>
      </c>
      <c r="BK302">
        <f t="shared" si="802"/>
        <v>5.0542330660737882</v>
      </c>
      <c r="BL302" s="460">
        <f t="shared" si="853"/>
        <v>4935.2642634653412</v>
      </c>
      <c r="BM302" s="173">
        <f t="shared" si="803"/>
        <v>1.4417899999999999</v>
      </c>
      <c r="BN302" s="173">
        <f t="shared" si="804"/>
        <v>0.10298499999999999</v>
      </c>
      <c r="BQ302" s="460">
        <f t="shared" si="854"/>
        <v>1544.7750000000001</v>
      </c>
      <c r="BR302" s="528">
        <f t="shared" si="855"/>
        <v>0.14051245268970969</v>
      </c>
      <c r="BS302" s="528">
        <f t="shared" si="856"/>
        <v>0.2376435756790847</v>
      </c>
      <c r="BT302" s="528">
        <f t="shared" si="857"/>
        <v>8.6269763707165698E-4</v>
      </c>
      <c r="BU302" s="528">
        <f t="shared" si="858"/>
        <v>27.859314375170612</v>
      </c>
      <c r="BV302" s="528"/>
      <c r="BW302" s="625">
        <f t="shared" si="859"/>
        <v>2.8361702127659578</v>
      </c>
      <c r="BX302" s="460">
        <f t="shared" si="860"/>
        <v>31074.503313942438</v>
      </c>
      <c r="BY302" s="173">
        <f t="shared" si="861"/>
        <v>37.55454257740778</v>
      </c>
      <c r="BZ302" s="5">
        <f t="shared" si="862"/>
        <v>66.649999999999991</v>
      </c>
      <c r="CA302" s="173">
        <f t="shared" si="863"/>
        <v>0.63960743314514723</v>
      </c>
      <c r="CB302" s="5">
        <f t="shared" si="864"/>
        <v>63.960743314514723</v>
      </c>
      <c r="CC302">
        <f t="shared" si="865"/>
        <v>86</v>
      </c>
      <c r="CE302" s="562">
        <f t="shared" si="805"/>
        <v>-50</v>
      </c>
      <c r="CG302" s="173">
        <f t="shared" si="806"/>
        <v>0.50261814531510896</v>
      </c>
      <c r="CH302" s="173">
        <f t="shared" si="807"/>
        <v>0.16318284261376634</v>
      </c>
      <c r="CI302" s="170">
        <v>86</v>
      </c>
      <c r="CJ302" s="217">
        <f t="shared" si="866"/>
        <v>2.15</v>
      </c>
      <c r="CK302" s="217">
        <f t="shared" si="808"/>
        <v>0.215</v>
      </c>
      <c r="CL302" s="217">
        <f t="shared" si="809"/>
        <v>60.199999999999996</v>
      </c>
      <c r="CM302" s="217">
        <f t="shared" si="810"/>
        <v>6.45</v>
      </c>
      <c r="CN302" s="541">
        <f t="shared" si="811"/>
        <v>40</v>
      </c>
      <c r="CO302" s="443">
        <f t="shared" si="812"/>
        <v>28.7</v>
      </c>
      <c r="CP302" s="443">
        <f t="shared" si="813"/>
        <v>68.7</v>
      </c>
      <c r="CQ302" s="443"/>
      <c r="CR302" s="217">
        <f t="shared" si="814"/>
        <v>0.41520467836257302</v>
      </c>
      <c r="CS302" s="172">
        <f t="shared" si="815"/>
        <v>125.00786015217253</v>
      </c>
      <c r="CT302" s="172">
        <f t="shared" si="816"/>
        <v>14.828738512949037</v>
      </c>
      <c r="CU302" s="217">
        <f t="shared" si="817"/>
        <v>4.4645664340061613</v>
      </c>
      <c r="CV302" s="217">
        <f t="shared" si="818"/>
        <v>4.1669286717390843</v>
      </c>
      <c r="CW302" s="217">
        <f t="shared" si="819"/>
        <v>28</v>
      </c>
      <c r="CX302" s="217">
        <f t="shared" si="820"/>
        <v>8.0261619718309873</v>
      </c>
      <c r="CY302" s="217">
        <f t="shared" si="821"/>
        <v>0.94307403169014092</v>
      </c>
      <c r="CZ302" s="217">
        <f t="shared" si="822"/>
        <v>1.31438889434166</v>
      </c>
      <c r="DA302" s="197">
        <f t="shared" si="823"/>
        <v>350</v>
      </c>
      <c r="DB302" s="443">
        <f t="shared" si="824"/>
        <v>350</v>
      </c>
      <c r="DD302" s="217">
        <f t="shared" si="825"/>
        <v>10.158258230357086</v>
      </c>
      <c r="DE302" s="173">
        <f t="shared" si="826"/>
        <v>1.6635475150758992</v>
      </c>
      <c r="DF302" s="173">
        <f t="shared" si="827"/>
        <v>2.6710919890125213</v>
      </c>
      <c r="DG302" s="173"/>
      <c r="DH302" s="173">
        <f t="shared" si="828"/>
        <v>0.54587688734030204</v>
      </c>
      <c r="DI302" s="545">
        <f t="shared" si="829"/>
        <v>2363.1702127659573</v>
      </c>
      <c r="DJ302" s="528">
        <f t="shared" si="830"/>
        <v>0.31842818428184283</v>
      </c>
      <c r="DL302" s="173">
        <f t="shared" si="831"/>
        <v>9.0018572889407622</v>
      </c>
      <c r="DM302" s="173">
        <f t="shared" si="832"/>
        <v>9.0018572889407622</v>
      </c>
      <c r="DN302" s="173">
        <f t="shared" si="833"/>
        <v>5.3989066337832803</v>
      </c>
      <c r="DP302" s="545">
        <f t="shared" si="834"/>
        <v>2150</v>
      </c>
      <c r="DQ302" s="460">
        <f t="shared" si="835"/>
        <v>350</v>
      </c>
      <c r="DS302">
        <f t="shared" si="836"/>
        <v>2150</v>
      </c>
      <c r="DT302">
        <f t="shared" si="837"/>
        <v>350</v>
      </c>
      <c r="DV302" s="5">
        <f t="shared" si="867"/>
        <v>2.8571428571428572</v>
      </c>
      <c r="DW302" s="5">
        <f t="shared" si="838"/>
        <v>1.0577182314505396</v>
      </c>
      <c r="DX302" s="5">
        <f t="shared" si="839"/>
        <v>1.7994246256923176</v>
      </c>
      <c r="DY302" s="173">
        <f t="shared" si="840"/>
        <v>0.37020138100768885</v>
      </c>
      <c r="EA302" s="5">
        <f t="shared" si="868"/>
        <v>8.1217649914952137</v>
      </c>
      <c r="EB302" s="5">
        <f t="shared" si="869"/>
        <v>0.75803139920621998</v>
      </c>
      <c r="EC302" s="5">
        <f t="shared" si="870"/>
        <v>1.9343814726192412</v>
      </c>
      <c r="ED302" s="5"/>
      <c r="EE302" s="173">
        <f t="shared" si="871"/>
        <v>3.1622085855403386</v>
      </c>
      <c r="EF302" s="173">
        <f t="shared" si="872"/>
        <v>4.1245098793699455</v>
      </c>
      <c r="EG302" s="173">
        <f t="shared" si="873"/>
        <v>0.41583173373975679</v>
      </c>
      <c r="EH302" s="173"/>
      <c r="EI302" s="528">
        <f t="shared" si="874"/>
        <v>0.11999475766158034</v>
      </c>
      <c r="EJ302" s="528">
        <f t="shared" si="875"/>
        <v>4.1125435117390321</v>
      </c>
      <c r="EK302" s="528">
        <f t="shared" si="876"/>
        <v>4.0250000000000001E-2</v>
      </c>
      <c r="EL302" s="528">
        <f t="shared" si="877"/>
        <v>0.81355656375000007</v>
      </c>
      <c r="EM302">
        <f t="shared" si="878"/>
        <v>1.7999999999999999E-2</v>
      </c>
      <c r="EN302" s="460">
        <f t="shared" si="879"/>
        <v>58.249999999999993</v>
      </c>
      <c r="EP302" s="460">
        <f t="shared" si="880"/>
        <v>5104.3448331506124</v>
      </c>
      <c r="EQ302" s="173">
        <f t="shared" si="881"/>
        <v>1.5049999999999999</v>
      </c>
      <c r="ER302" s="173">
        <f t="shared" si="841"/>
        <v>0.10298499999999999</v>
      </c>
      <c r="ES302" s="528"/>
      <c r="EU302" s="460">
        <f t="shared" si="882"/>
        <v>1607.9849999999997</v>
      </c>
      <c r="EV302" s="528">
        <f t="shared" si="883"/>
        <v>0.13999388393851039</v>
      </c>
      <c r="EW302" s="528">
        <f t="shared" si="884"/>
        <v>0.23816214443028397</v>
      </c>
      <c r="EX302" s="528">
        <f t="shared" si="885"/>
        <v>8.6458015392505997E-4</v>
      </c>
      <c r="EY302" s="528">
        <f t="shared" si="886"/>
        <v>27.859314375170612</v>
      </c>
      <c r="EZ302" s="528"/>
      <c r="FA302" s="625">
        <f t="shared" si="887"/>
        <v>2.8361702127659578</v>
      </c>
      <c r="FB302" s="460">
        <f t="shared" si="888"/>
        <v>31074.505196459289</v>
      </c>
      <c r="FC302" s="173">
        <f t="shared" si="889"/>
        <v>37.786835029609904</v>
      </c>
      <c r="FD302" s="5">
        <f t="shared" si="890"/>
        <v>66.649999999999991</v>
      </c>
      <c r="FE302" s="173">
        <f t="shared" si="891"/>
        <v>0.63818479352714397</v>
      </c>
      <c r="FF302" s="5">
        <f t="shared" si="892"/>
        <v>63.818479352714398</v>
      </c>
      <c r="FG302">
        <f t="shared" si="893"/>
        <v>86</v>
      </c>
      <c r="FI302" s="562">
        <f t="shared" si="842"/>
        <v>-50</v>
      </c>
    </row>
    <row r="303" spans="5:165">
      <c r="E303" s="170">
        <v>87</v>
      </c>
      <c r="F303" s="217">
        <f t="shared" si="843"/>
        <v>2.1749999999999998</v>
      </c>
      <c r="G303" s="217">
        <f t="shared" si="772"/>
        <v>0.2175</v>
      </c>
      <c r="H303" s="217">
        <f t="shared" si="773"/>
        <v>60.899999999999991</v>
      </c>
      <c r="I303" s="217">
        <f t="shared" si="774"/>
        <v>6.5250000000000004</v>
      </c>
      <c r="J303" s="541">
        <f t="shared" si="775"/>
        <v>39.851522064540589</v>
      </c>
      <c r="K303" s="443">
        <f t="shared" si="776"/>
        <v>28.760233587859126</v>
      </c>
      <c r="L303" s="172">
        <f t="shared" si="777"/>
        <v>68.611755652399722</v>
      </c>
      <c r="M303" s="443"/>
      <c r="N303" s="217">
        <f t="shared" si="778"/>
        <v>0.41917355581985061</v>
      </c>
      <c r="O303" s="172">
        <f t="shared" si="779"/>
        <v>125.7343327531043</v>
      </c>
      <c r="P303" s="172">
        <f t="shared" si="780"/>
        <v>14.914914471988137</v>
      </c>
      <c r="Q303" s="217">
        <f t="shared" si="781"/>
        <v>4.4905118840394396</v>
      </c>
      <c r="R303" s="217">
        <f t="shared" si="782"/>
        <v>4.1911444251034764</v>
      </c>
      <c r="S303" s="217">
        <f t="shared" si="783"/>
        <v>28</v>
      </c>
      <c r="T303" s="217">
        <f t="shared" si="784"/>
        <v>8.0725763423192021</v>
      </c>
      <c r="U303" s="217">
        <f t="shared" si="785"/>
        <v>0.95206172420349766</v>
      </c>
      <c r="V303" s="217">
        <f t="shared" si="786"/>
        <v>1.3192211632424551</v>
      </c>
      <c r="W303" s="197">
        <f t="shared" si="787"/>
        <v>350</v>
      </c>
      <c r="X303" s="443">
        <f t="shared" si="844"/>
        <v>350</v>
      </c>
      <c r="Z303" s="217">
        <f t="shared" si="788"/>
        <v>10.154835385183414</v>
      </c>
      <c r="AA303" s="173">
        <f t="shared" si="789"/>
        <v>1.6595041262289982</v>
      </c>
      <c r="AB303" s="173">
        <f t="shared" si="790"/>
        <v>2.6637018384565079</v>
      </c>
      <c r="AC303" s="173"/>
      <c r="AD303" s="173">
        <f t="shared" si="791"/>
        <v>0.54473363781301865</v>
      </c>
      <c r="AE303" s="545">
        <f t="shared" si="792"/>
        <v>2395.6662658823075</v>
      </c>
      <c r="AF303" s="528">
        <f t="shared" si="793"/>
        <v>0.31776128872426085</v>
      </c>
      <c r="AH303" s="173">
        <f t="shared" si="794"/>
        <v>9.0540424060514262</v>
      </c>
      <c r="AI303" s="173">
        <f t="shared" si="795"/>
        <v>9.0540424060514262</v>
      </c>
      <c r="AJ303" s="173">
        <f t="shared" si="796"/>
        <v>5.4375622760874762</v>
      </c>
      <c r="AL303" s="545">
        <f t="shared" si="797"/>
        <v>2175</v>
      </c>
      <c r="AM303" s="460">
        <f t="shared" si="798"/>
        <v>350</v>
      </c>
      <c r="AO303">
        <f t="shared" si="799"/>
        <v>2175</v>
      </c>
      <c r="AP303">
        <f t="shared" si="800"/>
        <v>350</v>
      </c>
      <c r="AR303" s="5">
        <f t="shared" si="771"/>
        <v>2.8571428571428572</v>
      </c>
      <c r="AS303" s="5">
        <f t="shared" si="737"/>
        <v>1.0678136518731802</v>
      </c>
      <c r="AT303" s="5">
        <f t="shared" si="738"/>
        <v>1.789329205269677</v>
      </c>
      <c r="AU303" s="173">
        <f t="shared" si="739"/>
        <v>0.37373477815561307</v>
      </c>
      <c r="BA303" s="173">
        <f t="shared" si="845"/>
        <v>3.1956827143819959</v>
      </c>
      <c r="BB303" s="173">
        <f t="shared" si="846"/>
        <v>4.1367668477357951</v>
      </c>
      <c r="BC303" s="173">
        <f t="shared" si="847"/>
        <v>0.41706747727172361</v>
      </c>
      <c r="BD303" s="173"/>
      <c r="BE303" s="528">
        <f t="shared" si="848"/>
        <v>0.12254865613199857</v>
      </c>
      <c r="BF303" s="528">
        <f t="shared" si="801"/>
        <v>3.9680027976596004</v>
      </c>
      <c r="BG303" s="528">
        <f t="shared" si="849"/>
        <v>4.0250000000000001E-2</v>
      </c>
      <c r="BH303" s="528">
        <f t="shared" si="850"/>
        <v>0.81146789823733123</v>
      </c>
      <c r="BI303">
        <f t="shared" si="851"/>
        <v>1.7933184929043264E-2</v>
      </c>
      <c r="BJ303" s="460">
        <f t="shared" si="852"/>
        <v>58.183184929043264</v>
      </c>
      <c r="BK303">
        <f t="shared" si="802"/>
        <v>5.0831154106848535</v>
      </c>
      <c r="BL303" s="460">
        <f t="shared" si="853"/>
        <v>4960.2025369579733</v>
      </c>
      <c r="BM303" s="173">
        <f t="shared" si="803"/>
        <v>1.4585549999999996</v>
      </c>
      <c r="BN303" s="173">
        <f t="shared" si="804"/>
        <v>0.1041825</v>
      </c>
      <c r="BQ303" s="460">
        <f t="shared" si="854"/>
        <v>1562.7374999999997</v>
      </c>
      <c r="BR303" s="528">
        <f t="shared" si="855"/>
        <v>0.14297343215399833</v>
      </c>
      <c r="BS303" s="528">
        <f t="shared" si="856"/>
        <v>0.23957975933536324</v>
      </c>
      <c r="BT303" s="528">
        <f t="shared" si="857"/>
        <v>8.6972640298899843E-4</v>
      </c>
      <c r="BU303" s="528">
        <f t="shared" si="858"/>
        <v>28.264833131666791</v>
      </c>
      <c r="BV303" s="528"/>
      <c r="BW303" s="625">
        <f t="shared" si="859"/>
        <v>2.8691489361702125</v>
      </c>
      <c r="BX303" s="460">
        <f t="shared" si="860"/>
        <v>31517.404985729354</v>
      </c>
      <c r="BY303" s="173">
        <f t="shared" si="861"/>
        <v>38.040345022687326</v>
      </c>
      <c r="BZ303" s="5">
        <f t="shared" si="862"/>
        <v>67.424999999999997</v>
      </c>
      <c r="CA303" s="173">
        <f t="shared" si="863"/>
        <v>0.6393095285043231</v>
      </c>
      <c r="CB303" s="5">
        <f t="shared" si="864"/>
        <v>63.930952850432313</v>
      </c>
      <c r="CC303">
        <f t="shared" si="865"/>
        <v>86.999999999999986</v>
      </c>
      <c r="CE303" s="562">
        <f t="shared" si="805"/>
        <v>-50</v>
      </c>
      <c r="CG303" s="173">
        <f t="shared" si="806"/>
        <v>0.50553189810337384</v>
      </c>
      <c r="CH303" s="173">
        <f t="shared" si="807"/>
        <v>0.16412883803214659</v>
      </c>
      <c r="CI303" s="170">
        <v>87</v>
      </c>
      <c r="CJ303" s="217">
        <f t="shared" si="866"/>
        <v>2.1749999999999998</v>
      </c>
      <c r="CK303" s="217">
        <f t="shared" si="808"/>
        <v>0.2175</v>
      </c>
      <c r="CL303" s="217">
        <f t="shared" si="809"/>
        <v>60.899999999999991</v>
      </c>
      <c r="CM303" s="217">
        <f t="shared" si="810"/>
        <v>6.5250000000000004</v>
      </c>
      <c r="CN303" s="541">
        <f t="shared" si="811"/>
        <v>40</v>
      </c>
      <c r="CO303" s="443">
        <f t="shared" si="812"/>
        <v>28.7</v>
      </c>
      <c r="CP303" s="443">
        <f t="shared" si="813"/>
        <v>68.7</v>
      </c>
      <c r="CQ303" s="443"/>
      <c r="CR303" s="217">
        <f t="shared" si="814"/>
        <v>0.41520467836257302</v>
      </c>
      <c r="CS303" s="172">
        <f t="shared" si="815"/>
        <v>125.00786015217253</v>
      </c>
      <c r="CT303" s="172">
        <f t="shared" si="816"/>
        <v>14.828738512949037</v>
      </c>
      <c r="CU303" s="217">
        <f t="shared" si="817"/>
        <v>4.4645664340061613</v>
      </c>
      <c r="CV303" s="217">
        <f t="shared" si="818"/>
        <v>4.1669286717390843</v>
      </c>
      <c r="CW303" s="217">
        <f t="shared" si="819"/>
        <v>28</v>
      </c>
      <c r="CX303" s="217">
        <f t="shared" si="820"/>
        <v>8.1194894366197197</v>
      </c>
      <c r="CY303" s="217">
        <f t="shared" si="821"/>
        <v>0.95404000880281714</v>
      </c>
      <c r="CZ303" s="217">
        <f t="shared" si="822"/>
        <v>1.3296724861363305</v>
      </c>
      <c r="DA303" s="197">
        <f t="shared" si="823"/>
        <v>350</v>
      </c>
      <c r="DB303" s="443">
        <f t="shared" si="824"/>
        <v>350</v>
      </c>
      <c r="DD303" s="217">
        <f t="shared" si="825"/>
        <v>10.158258230357086</v>
      </c>
      <c r="DE303" s="173">
        <f t="shared" si="826"/>
        <v>1.6635475150758992</v>
      </c>
      <c r="DF303" s="173">
        <f t="shared" si="827"/>
        <v>2.6710919890125213</v>
      </c>
      <c r="DG303" s="173"/>
      <c r="DH303" s="173">
        <f t="shared" si="828"/>
        <v>0.54587688734030204</v>
      </c>
      <c r="DI303" s="545">
        <f t="shared" si="829"/>
        <v>2390.6489361702124</v>
      </c>
      <c r="DJ303" s="528">
        <f t="shared" si="830"/>
        <v>0.31842818428184283</v>
      </c>
      <c r="DL303" s="173">
        <f t="shared" si="831"/>
        <v>9.0540424060514262</v>
      </c>
      <c r="DM303" s="173">
        <f t="shared" si="832"/>
        <v>9.0540424060514262</v>
      </c>
      <c r="DN303" s="173">
        <f t="shared" si="833"/>
        <v>5.4375622760874762</v>
      </c>
      <c r="DP303" s="545">
        <f t="shared" si="834"/>
        <v>2175</v>
      </c>
      <c r="DQ303" s="460">
        <f t="shared" si="835"/>
        <v>350</v>
      </c>
      <c r="DS303">
        <f t="shared" si="836"/>
        <v>2175</v>
      </c>
      <c r="DT303">
        <f t="shared" si="837"/>
        <v>350</v>
      </c>
      <c r="DV303" s="5">
        <f t="shared" si="867"/>
        <v>2.8571428571428572</v>
      </c>
      <c r="DW303" s="5">
        <f t="shared" si="838"/>
        <v>1.0638499827110426</v>
      </c>
      <c r="DX303" s="5">
        <f t="shared" si="839"/>
        <v>1.7932928744318146</v>
      </c>
      <c r="DY303" s="173">
        <f t="shared" si="840"/>
        <v>0.3723474939488649</v>
      </c>
      <c r="EA303" s="5">
        <f t="shared" si="868"/>
        <v>8.2638346871304194</v>
      </c>
      <c r="EB303" s="5">
        <f t="shared" si="869"/>
        <v>0.77129123746550587</v>
      </c>
      <c r="EC303" s="5">
        <f t="shared" si="870"/>
        <v>1.9502060009445978</v>
      </c>
      <c r="ED303" s="5"/>
      <c r="EE303" s="173">
        <f t="shared" si="871"/>
        <v>3.1897460955067083</v>
      </c>
      <c r="EF303" s="173">
        <f t="shared" si="872"/>
        <v>4.1413461349814193</v>
      </c>
      <c r="EG303" s="173">
        <f t="shared" si="873"/>
        <v>0.4175291595104218</v>
      </c>
      <c r="EH303" s="173"/>
      <c r="EI303" s="528">
        <f t="shared" si="874"/>
        <v>0.12209376184560349</v>
      </c>
      <c r="EJ303" s="528">
        <f t="shared" si="875"/>
        <v>4.1363845434166251</v>
      </c>
      <c r="EK303" s="528">
        <f t="shared" si="876"/>
        <v>4.0250000000000001E-2</v>
      </c>
      <c r="EL303" s="528">
        <f t="shared" si="877"/>
        <v>0.81355656375000007</v>
      </c>
      <c r="EM303">
        <f t="shared" si="878"/>
        <v>1.7999999999999999E-2</v>
      </c>
      <c r="EN303" s="460">
        <f t="shared" si="879"/>
        <v>58.249999999999993</v>
      </c>
      <c r="EP303" s="460">
        <f t="shared" si="880"/>
        <v>5130.2848690122282</v>
      </c>
      <c r="EQ303" s="173">
        <f t="shared" si="881"/>
        <v>1.5224999999999997</v>
      </c>
      <c r="ER303" s="173">
        <f t="shared" si="841"/>
        <v>0.1041825</v>
      </c>
      <c r="ES303" s="528"/>
      <c r="EU303" s="460">
        <f t="shared" si="882"/>
        <v>1626.6824999999999</v>
      </c>
      <c r="EV303" s="528">
        <f t="shared" si="883"/>
        <v>0.14244272215320408</v>
      </c>
      <c r="EW303" s="528">
        <f t="shared" si="884"/>
        <v>0.24011046933615757</v>
      </c>
      <c r="EX303" s="528">
        <f t="shared" si="885"/>
        <v>8.716529952073962E-4</v>
      </c>
      <c r="EY303" s="528">
        <f t="shared" si="886"/>
        <v>28.264833131666791</v>
      </c>
      <c r="EZ303" s="528"/>
      <c r="FA303" s="625">
        <f t="shared" si="887"/>
        <v>2.8691489361702125</v>
      </c>
      <c r="FB303" s="460">
        <f t="shared" si="888"/>
        <v>31517.406912321574</v>
      </c>
      <c r="FC303" s="173">
        <f t="shared" si="889"/>
        <v>38.274374281333799</v>
      </c>
      <c r="FD303" s="5">
        <f t="shared" si="890"/>
        <v>67.424999999999997</v>
      </c>
      <c r="FE303" s="173">
        <f t="shared" si="891"/>
        <v>0.63789403161970326</v>
      </c>
      <c r="FF303" s="5">
        <f t="shared" si="892"/>
        <v>63.789403161970327</v>
      </c>
      <c r="FG303">
        <f t="shared" si="893"/>
        <v>86.999999999999986</v>
      </c>
      <c r="FI303" s="562">
        <f t="shared" si="842"/>
        <v>-50</v>
      </c>
    </row>
    <row r="304" spans="5:165">
      <c r="E304" s="170">
        <v>88</v>
      </c>
      <c r="F304" s="217">
        <f t="shared" si="843"/>
        <v>2.2000000000000002</v>
      </c>
      <c r="G304" s="217">
        <f t="shared" si="772"/>
        <v>0.22</v>
      </c>
      <c r="H304" s="217">
        <f t="shared" si="773"/>
        <v>61.600000000000009</v>
      </c>
      <c r="I304" s="217">
        <f t="shared" si="774"/>
        <v>6.6</v>
      </c>
      <c r="J304" s="541">
        <f t="shared" si="775"/>
        <v>39.850671181153672</v>
      </c>
      <c r="K304" s="443">
        <f t="shared" si="776"/>
        <v>28.760578768838947</v>
      </c>
      <c r="L304" s="172">
        <f t="shared" si="777"/>
        <v>68.611249949992612</v>
      </c>
      <c r="M304" s="443"/>
      <c r="N304" s="217">
        <f t="shared" si="778"/>
        <v>0.41918167632569187</v>
      </c>
      <c r="O304" s="172">
        <f t="shared" si="779"/>
        <v>125.73408391283822</v>
      </c>
      <c r="P304" s="172">
        <f t="shared" si="780"/>
        <v>14.91488495394637</v>
      </c>
      <c r="Q304" s="217">
        <f t="shared" si="781"/>
        <v>4.4905029968870789</v>
      </c>
      <c r="R304" s="217">
        <f t="shared" si="782"/>
        <v>4.1911361304279406</v>
      </c>
      <c r="S304" s="217">
        <f t="shared" si="783"/>
        <v>28</v>
      </c>
      <c r="T304" s="217">
        <f t="shared" si="784"/>
        <v>8.1653807362081388</v>
      </c>
      <c r="U304" s="217">
        <f t="shared" si="785"/>
        <v>0.96302743022124515</v>
      </c>
      <c r="V304" s="217">
        <f t="shared" si="786"/>
        <v>1.3343712506147014</v>
      </c>
      <c r="W304" s="197">
        <f t="shared" si="787"/>
        <v>350</v>
      </c>
      <c r="X304" s="443">
        <f t="shared" si="844"/>
        <v>350</v>
      </c>
      <c r="Z304" s="217">
        <f t="shared" si="788"/>
        <v>10.154815287793273</v>
      </c>
      <c r="AA304" s="173">
        <f t="shared" si="789"/>
        <v>1.6594809247837377</v>
      </c>
      <c r="AB304" s="173">
        <f t="shared" si="790"/>
        <v>2.6636593257256957</v>
      </c>
      <c r="AC304" s="173"/>
      <c r="AD304" s="173">
        <f t="shared" si="791"/>
        <v>0.54472709998593405</v>
      </c>
      <c r="AE304" s="545">
        <f t="shared" si="792"/>
        <v>2423.2317430766434</v>
      </c>
      <c r="AF304" s="528">
        <f t="shared" si="793"/>
        <v>0.31775747499179491</v>
      </c>
      <c r="AH304" s="173">
        <f t="shared" si="794"/>
        <v>9.1059284606622679</v>
      </c>
      <c r="AI304" s="173">
        <f t="shared" si="795"/>
        <v>9.1059284606622679</v>
      </c>
      <c r="AJ304" s="173">
        <f t="shared" si="796"/>
        <v>5.475996390614025</v>
      </c>
      <c r="AL304" s="545">
        <f t="shared" si="797"/>
        <v>2200</v>
      </c>
      <c r="AM304" s="460">
        <f t="shared" si="798"/>
        <v>350</v>
      </c>
      <c r="AO304">
        <f t="shared" si="799"/>
        <v>2200</v>
      </c>
      <c r="AP304">
        <f t="shared" si="800"/>
        <v>350</v>
      </c>
      <c r="AR304" s="5">
        <f t="shared" si="771"/>
        <v>2.8571428571428572</v>
      </c>
      <c r="AS304" s="5">
        <f t="shared" si="737"/>
        <v>1.07395590830984</v>
      </c>
      <c r="AT304" s="5">
        <f t="shared" si="738"/>
        <v>1.7831869488330172</v>
      </c>
      <c r="AU304" s="173">
        <f t="shared" si="739"/>
        <v>0.37588456790844399</v>
      </c>
      <c r="BA304" s="173">
        <f t="shared" si="845"/>
        <v>3.2232267200583378</v>
      </c>
      <c r="BB304" s="173">
        <f t="shared" si="846"/>
        <v>4.153326444510272</v>
      </c>
      <c r="BC304" s="173">
        <f t="shared" si="847"/>
        <v>0.4187370103891504</v>
      </c>
      <c r="BD304" s="173"/>
      <c r="BE304" s="528">
        <f t="shared" si="848"/>
        <v>0.12467028586677636</v>
      </c>
      <c r="BF304" s="528">
        <f t="shared" si="801"/>
        <v>3.9907128411334862</v>
      </c>
      <c r="BG304" s="528">
        <f t="shared" si="849"/>
        <v>4.0250000000000001E-2</v>
      </c>
      <c r="BH304" s="528">
        <f t="shared" si="850"/>
        <v>0.81145593644584979</v>
      </c>
      <c r="BI304">
        <f t="shared" si="851"/>
        <v>1.7932802031519153E-2</v>
      </c>
      <c r="BJ304" s="460">
        <f t="shared" si="852"/>
        <v>58.182802031519152</v>
      </c>
      <c r="BK304">
        <f t="shared" si="802"/>
        <v>5.1119237062021972</v>
      </c>
      <c r="BL304" s="460">
        <f t="shared" si="853"/>
        <v>4985.0218654776318</v>
      </c>
      <c r="BM304" s="173">
        <f t="shared" si="803"/>
        <v>1.47532</v>
      </c>
      <c r="BN304" s="173">
        <f t="shared" si="804"/>
        <v>0.10538</v>
      </c>
      <c r="BQ304" s="460">
        <f t="shared" si="854"/>
        <v>1580.7</v>
      </c>
      <c r="BR304" s="528">
        <f t="shared" si="855"/>
        <v>0.14544866684457244</v>
      </c>
      <c r="BS304" s="528">
        <f t="shared" si="856"/>
        <v>0.24150168776535674</v>
      </c>
      <c r="BT304" s="528">
        <f t="shared" si="857"/>
        <v>8.7670341934821723E-4</v>
      </c>
      <c r="BU304" s="528">
        <f t="shared" si="858"/>
        <v>28.671518870326565</v>
      </c>
      <c r="BV304" s="528"/>
      <c r="BW304" s="625">
        <f t="shared" si="859"/>
        <v>2.9021276595744689</v>
      </c>
      <c r="BX304" s="460">
        <f t="shared" si="860"/>
        <v>31961.473587930312</v>
      </c>
      <c r="BY304" s="173">
        <f t="shared" si="861"/>
        <v>38.527195453407941</v>
      </c>
      <c r="BZ304" s="5">
        <f t="shared" si="862"/>
        <v>68.2</v>
      </c>
      <c r="CA304" s="173">
        <f t="shared" si="863"/>
        <v>0.63901238770743207</v>
      </c>
      <c r="CB304" s="5">
        <f t="shared" si="864"/>
        <v>63.901238770743205</v>
      </c>
      <c r="CC304">
        <f t="shared" si="865"/>
        <v>88.000000000000014</v>
      </c>
      <c r="CE304" s="562">
        <f t="shared" si="805"/>
        <v>-50</v>
      </c>
      <c r="CG304" s="173">
        <f t="shared" si="806"/>
        <v>0.50842895275544653</v>
      </c>
      <c r="CH304" s="173">
        <f t="shared" si="807"/>
        <v>0.16506941213942686</v>
      </c>
      <c r="CI304" s="170">
        <v>88</v>
      </c>
      <c r="CJ304" s="217">
        <f t="shared" si="866"/>
        <v>2.2000000000000002</v>
      </c>
      <c r="CK304" s="217">
        <f t="shared" si="808"/>
        <v>0.22</v>
      </c>
      <c r="CL304" s="217">
        <f t="shared" si="809"/>
        <v>61.600000000000009</v>
      </c>
      <c r="CM304" s="217">
        <f t="shared" si="810"/>
        <v>6.6</v>
      </c>
      <c r="CN304" s="541">
        <f t="shared" si="811"/>
        <v>40</v>
      </c>
      <c r="CO304" s="443">
        <f t="shared" si="812"/>
        <v>28.7</v>
      </c>
      <c r="CP304" s="443">
        <f t="shared" si="813"/>
        <v>68.7</v>
      </c>
      <c r="CQ304" s="443"/>
      <c r="CR304" s="217">
        <f t="shared" si="814"/>
        <v>0.41520467836257302</v>
      </c>
      <c r="CS304" s="172">
        <f t="shared" si="815"/>
        <v>125.00786015217253</v>
      </c>
      <c r="CT304" s="172">
        <f t="shared" si="816"/>
        <v>14.828738512949037</v>
      </c>
      <c r="CU304" s="217">
        <f t="shared" si="817"/>
        <v>4.4645664340061613</v>
      </c>
      <c r="CV304" s="217">
        <f t="shared" si="818"/>
        <v>4.1669286717390843</v>
      </c>
      <c r="CW304" s="217">
        <f t="shared" si="819"/>
        <v>28</v>
      </c>
      <c r="CX304" s="217">
        <f t="shared" si="820"/>
        <v>8.2128169014084538</v>
      </c>
      <c r="CY304" s="217">
        <f t="shared" si="821"/>
        <v>0.96500598591549325</v>
      </c>
      <c r="CZ304" s="217">
        <f t="shared" si="822"/>
        <v>1.344956077931001</v>
      </c>
      <c r="DA304" s="197">
        <f t="shared" si="823"/>
        <v>350</v>
      </c>
      <c r="DB304" s="443">
        <f t="shared" si="824"/>
        <v>350</v>
      </c>
      <c r="DD304" s="217">
        <f t="shared" si="825"/>
        <v>10.158258230357086</v>
      </c>
      <c r="DE304" s="173">
        <f t="shared" si="826"/>
        <v>1.6635475150758992</v>
      </c>
      <c r="DF304" s="173">
        <f t="shared" si="827"/>
        <v>2.6710919890125213</v>
      </c>
      <c r="DG304" s="173"/>
      <c r="DH304" s="173">
        <f t="shared" si="828"/>
        <v>0.54587688734030204</v>
      </c>
      <c r="DI304" s="545">
        <f t="shared" si="829"/>
        <v>2418.127659574468</v>
      </c>
      <c r="DJ304" s="528">
        <f t="shared" si="830"/>
        <v>0.31842818428184283</v>
      </c>
      <c r="DL304" s="173">
        <f t="shared" si="831"/>
        <v>9.1059284606622679</v>
      </c>
      <c r="DM304" s="173">
        <f t="shared" si="832"/>
        <v>9.1059284606622679</v>
      </c>
      <c r="DN304" s="173">
        <f t="shared" si="833"/>
        <v>5.475996390614025</v>
      </c>
      <c r="DP304" s="545">
        <f t="shared" si="834"/>
        <v>2200</v>
      </c>
      <c r="DQ304" s="460">
        <f t="shared" si="835"/>
        <v>350</v>
      </c>
      <c r="DS304">
        <f t="shared" si="836"/>
        <v>2200</v>
      </c>
      <c r="DT304">
        <f t="shared" si="837"/>
        <v>350</v>
      </c>
      <c r="DV304" s="5">
        <f t="shared" si="867"/>
        <v>2.8571428571428572</v>
      </c>
      <c r="DW304" s="5">
        <f t="shared" si="838"/>
        <v>1.0699465941278163</v>
      </c>
      <c r="DX304" s="5">
        <f t="shared" si="839"/>
        <v>1.7871962630150409</v>
      </c>
      <c r="DY304" s="173">
        <f t="shared" si="840"/>
        <v>0.37448130794473572</v>
      </c>
      <c r="EA304" s="5">
        <f t="shared" si="868"/>
        <v>8.406723239575701</v>
      </c>
      <c r="EB304" s="5">
        <f t="shared" si="869"/>
        <v>0.78462750236039858</v>
      </c>
      <c r="EC304" s="5">
        <f t="shared" si="870"/>
        <v>1.9659158893165449</v>
      </c>
      <c r="ED304" s="5"/>
      <c r="EE304" s="173">
        <f t="shared" si="871"/>
        <v>3.2172045863274086</v>
      </c>
      <c r="EF304" s="173">
        <f t="shared" si="872"/>
        <v>4.1579929886040281</v>
      </c>
      <c r="EG304" s="173">
        <f t="shared" si="873"/>
        <v>0.41920748983466838</v>
      </c>
      <c r="EH304" s="173"/>
      <c r="EI304" s="528">
        <f t="shared" si="874"/>
        <v>0.12420486420343334</v>
      </c>
      <c r="EJ304" s="528">
        <f t="shared" si="875"/>
        <v>4.1600889468958604</v>
      </c>
      <c r="EK304" s="528">
        <f t="shared" si="876"/>
        <v>4.0250000000000001E-2</v>
      </c>
      <c r="EL304" s="528">
        <f t="shared" si="877"/>
        <v>0.81355656375000007</v>
      </c>
      <c r="EM304">
        <f t="shared" si="878"/>
        <v>1.7999999999999999E-2</v>
      </c>
      <c r="EN304" s="460">
        <f t="shared" si="879"/>
        <v>58.249999999999993</v>
      </c>
      <c r="EP304" s="460">
        <f t="shared" si="880"/>
        <v>5156.1003748492931</v>
      </c>
      <c r="EQ304" s="173">
        <f t="shared" si="881"/>
        <v>1.54</v>
      </c>
      <c r="ER304" s="173">
        <f t="shared" si="841"/>
        <v>0.10538</v>
      </c>
      <c r="ES304" s="528"/>
      <c r="EU304" s="460">
        <f t="shared" si="882"/>
        <v>1645.38</v>
      </c>
      <c r="EV304" s="528">
        <f t="shared" si="883"/>
        <v>0.14490567490400558</v>
      </c>
      <c r="EW304" s="528">
        <f t="shared" si="884"/>
        <v>0.24204467970592358</v>
      </c>
      <c r="EX304" s="528">
        <f t="shared" si="885"/>
        <v>8.7867459766741791E-4</v>
      </c>
      <c r="EY304" s="528">
        <f t="shared" si="886"/>
        <v>28.671518870326565</v>
      </c>
      <c r="EZ304" s="528"/>
      <c r="FA304" s="625">
        <f t="shared" si="887"/>
        <v>2.9021276595744689</v>
      </c>
      <c r="FB304" s="460">
        <f t="shared" si="888"/>
        <v>31961.475559108632</v>
      </c>
      <c r="FC304" s="173">
        <f t="shared" si="889"/>
        <v>38.762955933957926</v>
      </c>
      <c r="FD304" s="5">
        <f t="shared" si="890"/>
        <v>68.2</v>
      </c>
      <c r="FE304" s="173">
        <f t="shared" si="891"/>
        <v>0.63760392001609123</v>
      </c>
      <c r="FF304" s="5">
        <f t="shared" si="892"/>
        <v>63.760392001609119</v>
      </c>
      <c r="FG304">
        <f t="shared" si="893"/>
        <v>88.000000000000014</v>
      </c>
      <c r="FI304" s="562">
        <f t="shared" si="842"/>
        <v>-50</v>
      </c>
    </row>
    <row r="305" spans="5:169">
      <c r="E305" s="170">
        <v>89</v>
      </c>
      <c r="F305" s="217">
        <f t="shared" si="843"/>
        <v>2.2250000000000001</v>
      </c>
      <c r="G305" s="217">
        <f t="shared" si="772"/>
        <v>0.2225</v>
      </c>
      <c r="H305" s="217">
        <f t="shared" si="773"/>
        <v>62.300000000000004</v>
      </c>
      <c r="I305" s="217">
        <f t="shared" si="774"/>
        <v>6.6749999999999998</v>
      </c>
      <c r="J305" s="541">
        <f t="shared" si="775"/>
        <v>39.8498251187522</v>
      </c>
      <c r="K305" s="443">
        <f t="shared" si="776"/>
        <v>28.760921994071943</v>
      </c>
      <c r="L305" s="172">
        <f t="shared" si="777"/>
        <v>68.610747112824143</v>
      </c>
      <c r="M305" s="443"/>
      <c r="N305" s="217">
        <f t="shared" si="778"/>
        <v>0.41918975094058103</v>
      </c>
      <c r="O305" s="172">
        <f t="shared" si="779"/>
        <v>125.73383641493346</v>
      </c>
      <c r="P305" s="172">
        <f t="shared" si="780"/>
        <v>14.914855595138791</v>
      </c>
      <c r="Q305" s="217">
        <f t="shared" si="781"/>
        <v>4.4904941576761948</v>
      </c>
      <c r="R305" s="217">
        <f t="shared" si="782"/>
        <v>4.1911278804977821</v>
      </c>
      <c r="S305" s="217">
        <f t="shared" si="783"/>
        <v>28</v>
      </c>
      <c r="T305" s="217">
        <f t="shared" si="784"/>
        <v>8.2581854092699114</v>
      </c>
      <c r="U305" s="217">
        <f t="shared" si="785"/>
        <v>0.97399351961783287</v>
      </c>
      <c r="V305" s="217">
        <f t="shared" si="786"/>
        <v>1.3495211117212662</v>
      </c>
      <c r="W305" s="197">
        <f t="shared" si="787"/>
        <v>350</v>
      </c>
      <c r="X305" s="443">
        <f t="shared" si="844"/>
        <v>350</v>
      </c>
      <c r="Z305" s="217">
        <f t="shared" si="788"/>
        <v>10.1547952988179</v>
      </c>
      <c r="AA305" s="173">
        <f t="shared" si="789"/>
        <v>1.6594578544554828</v>
      </c>
      <c r="AB305" s="173">
        <f t="shared" si="790"/>
        <v>2.6636170520372189</v>
      </c>
      <c r="AC305" s="173"/>
      <c r="AD305" s="173">
        <f t="shared" si="791"/>
        <v>0.54472059935685657</v>
      </c>
      <c r="AE305" s="545">
        <f t="shared" si="792"/>
        <v>2450.7977146012363</v>
      </c>
      <c r="AF305" s="528">
        <f t="shared" si="793"/>
        <v>0.31775368295816636</v>
      </c>
      <c r="AH305" s="173">
        <f t="shared" si="794"/>
        <v>9.157520536194319</v>
      </c>
      <c r="AI305" s="173">
        <f t="shared" si="795"/>
        <v>9.157520536194319</v>
      </c>
      <c r="AJ305" s="173">
        <f t="shared" si="796"/>
        <v>5.5142127428599892</v>
      </c>
      <c r="AL305" s="545">
        <f t="shared" si="797"/>
        <v>2225</v>
      </c>
      <c r="AM305" s="460">
        <f t="shared" si="798"/>
        <v>350</v>
      </c>
      <c r="AO305">
        <f t="shared" si="799"/>
        <v>2225</v>
      </c>
      <c r="AP305">
        <f t="shared" si="800"/>
        <v>350</v>
      </c>
      <c r="AR305" s="5">
        <f t="shared" si="771"/>
        <v>2.8571428571428572</v>
      </c>
      <c r="AS305" s="5">
        <f t="shared" si="737"/>
        <v>1.0800636236634256</v>
      </c>
      <c r="AT305" s="5">
        <f t="shared" si="738"/>
        <v>1.7770792334794316</v>
      </c>
      <c r="AU305" s="173">
        <f t="shared" si="739"/>
        <v>0.37802226828219893</v>
      </c>
      <c r="BA305" s="173">
        <f t="shared" si="845"/>
        <v>3.25069307268345</v>
      </c>
      <c r="BB305" s="173">
        <f t="shared" si="846"/>
        <v>4.1696988705198752</v>
      </c>
      <c r="BC305" s="173">
        <f t="shared" si="847"/>
        <v>0.4203876730114301</v>
      </c>
      <c r="BD305" s="173"/>
      <c r="BE305" s="528">
        <f t="shared" si="848"/>
        <v>0.12680406543350603</v>
      </c>
      <c r="BF305" s="528">
        <f t="shared" si="801"/>
        <v>4.0132938803405453</v>
      </c>
      <c r="BG305" s="528">
        <f t="shared" si="849"/>
        <v>4.0250000000000001E-2</v>
      </c>
      <c r="BH305" s="528">
        <f t="shared" si="850"/>
        <v>0.81144404251561131</v>
      </c>
      <c r="BI305">
        <f t="shared" si="851"/>
        <v>1.793242130343849E-2</v>
      </c>
      <c r="BJ305" s="460">
        <f t="shared" si="852"/>
        <v>58.182421303438495</v>
      </c>
      <c r="BK305">
        <f t="shared" si="802"/>
        <v>5.1406602175861975</v>
      </c>
      <c r="BL305" s="460">
        <f t="shared" si="853"/>
        <v>5009.724409593101</v>
      </c>
      <c r="BM305" s="173">
        <f t="shared" si="803"/>
        <v>1.4920849999999999</v>
      </c>
      <c r="BN305" s="173">
        <f t="shared" si="804"/>
        <v>0.10657749999999999</v>
      </c>
      <c r="BQ305" s="460">
        <f t="shared" si="854"/>
        <v>1598.6624999999999</v>
      </c>
      <c r="BR305" s="528">
        <f t="shared" si="855"/>
        <v>0.1479380763390904</v>
      </c>
      <c r="BS305" s="528">
        <f t="shared" si="856"/>
        <v>0.24340944139140611</v>
      </c>
      <c r="BT305" s="528">
        <f t="shared" si="857"/>
        <v>8.8362897809982533E-4</v>
      </c>
      <c r="BU305" s="528">
        <f t="shared" si="858"/>
        <v>29.079361630706373</v>
      </c>
      <c r="BV305" s="528"/>
      <c r="BW305" s="625">
        <f t="shared" si="859"/>
        <v>2.9351063829787245</v>
      </c>
      <c r="BX305" s="460">
        <f t="shared" si="860"/>
        <v>32406.699160393691</v>
      </c>
      <c r="BY305" s="173">
        <f t="shared" si="861"/>
        <v>39.015086069986793</v>
      </c>
      <c r="BZ305" s="5">
        <f t="shared" si="862"/>
        <v>68.975000000000009</v>
      </c>
      <c r="CA305" s="173">
        <f t="shared" si="863"/>
        <v>0.63871603876024619</v>
      </c>
      <c r="CB305" s="5">
        <f t="shared" si="864"/>
        <v>63.871603876024622</v>
      </c>
      <c r="CC305">
        <f t="shared" si="865"/>
        <v>89</v>
      </c>
      <c r="CE305" s="562">
        <f t="shared" si="805"/>
        <v>-50</v>
      </c>
      <c r="CG305" s="173">
        <f t="shared" si="806"/>
        <v>0.51130959310382595</v>
      </c>
      <c r="CH305" s="173">
        <f t="shared" si="807"/>
        <v>0.16600465708626769</v>
      </c>
      <c r="CI305" s="170">
        <v>89</v>
      </c>
      <c r="CJ305" s="217">
        <f t="shared" si="866"/>
        <v>2.2250000000000001</v>
      </c>
      <c r="CK305" s="217">
        <f t="shared" si="808"/>
        <v>0.2225</v>
      </c>
      <c r="CL305" s="217">
        <f t="shared" si="809"/>
        <v>62.300000000000004</v>
      </c>
      <c r="CM305" s="217">
        <f t="shared" si="810"/>
        <v>6.6749999999999998</v>
      </c>
      <c r="CN305" s="541">
        <f t="shared" si="811"/>
        <v>40</v>
      </c>
      <c r="CO305" s="443">
        <f t="shared" si="812"/>
        <v>28.7</v>
      </c>
      <c r="CP305" s="443">
        <f t="shared" si="813"/>
        <v>68.7</v>
      </c>
      <c r="CQ305" s="443"/>
      <c r="CR305" s="217">
        <f t="shared" si="814"/>
        <v>0.41520467836257302</v>
      </c>
      <c r="CS305" s="172">
        <f t="shared" si="815"/>
        <v>125.00786015217253</v>
      </c>
      <c r="CT305" s="172">
        <f t="shared" si="816"/>
        <v>14.828738512949037</v>
      </c>
      <c r="CU305" s="217">
        <f t="shared" si="817"/>
        <v>4.4645664340061613</v>
      </c>
      <c r="CV305" s="217">
        <f t="shared" si="818"/>
        <v>4.1669286717390843</v>
      </c>
      <c r="CW305" s="217">
        <f t="shared" si="819"/>
        <v>28</v>
      </c>
      <c r="CX305" s="217">
        <f t="shared" si="820"/>
        <v>8.3061443661971861</v>
      </c>
      <c r="CY305" s="217">
        <f t="shared" si="821"/>
        <v>0.97597196302816924</v>
      </c>
      <c r="CZ305" s="217">
        <f t="shared" si="822"/>
        <v>1.3602396697256716</v>
      </c>
      <c r="DA305" s="197">
        <f t="shared" si="823"/>
        <v>350</v>
      </c>
      <c r="DB305" s="443">
        <f t="shared" si="824"/>
        <v>350</v>
      </c>
      <c r="DD305" s="217">
        <f t="shared" si="825"/>
        <v>10.158258230357086</v>
      </c>
      <c r="DE305" s="173">
        <f t="shared" si="826"/>
        <v>1.6635475150758992</v>
      </c>
      <c r="DF305" s="173">
        <f t="shared" si="827"/>
        <v>2.6710919890125213</v>
      </c>
      <c r="DG305" s="173"/>
      <c r="DH305" s="173">
        <f t="shared" si="828"/>
        <v>0.54587688734030204</v>
      </c>
      <c r="DI305" s="545">
        <f t="shared" si="829"/>
        <v>2445.6063829787236</v>
      </c>
      <c r="DJ305" s="528">
        <f t="shared" si="830"/>
        <v>0.31842818428184283</v>
      </c>
      <c r="DL305" s="173">
        <f t="shared" si="831"/>
        <v>9.157520536194319</v>
      </c>
      <c r="DM305" s="173">
        <f t="shared" si="832"/>
        <v>9.157520536194319</v>
      </c>
      <c r="DN305" s="173">
        <f t="shared" si="833"/>
        <v>5.5142127428599892</v>
      </c>
      <c r="DP305" s="545">
        <f t="shared" si="834"/>
        <v>2225</v>
      </c>
      <c r="DQ305" s="460">
        <f t="shared" si="835"/>
        <v>350</v>
      </c>
      <c r="DS305">
        <f t="shared" si="836"/>
        <v>2225</v>
      </c>
      <c r="DT305">
        <f t="shared" si="837"/>
        <v>350</v>
      </c>
      <c r="DV305" s="5">
        <f t="shared" si="867"/>
        <v>2.8571428571428572</v>
      </c>
      <c r="DW305" s="5">
        <f t="shared" si="838"/>
        <v>1.0760086630028325</v>
      </c>
      <c r="DX305" s="5">
        <f t="shared" si="839"/>
        <v>1.7811341941400247</v>
      </c>
      <c r="DY305" s="173">
        <f t="shared" si="840"/>
        <v>0.37660303205099138</v>
      </c>
      <c r="EA305" s="5">
        <f t="shared" si="868"/>
        <v>8.550425982790367</v>
      </c>
      <c r="EB305" s="5">
        <f t="shared" si="869"/>
        <v>0.7980397583937674</v>
      </c>
      <c r="EC305" s="5">
        <f t="shared" si="870"/>
        <v>1.9815117909807773</v>
      </c>
      <c r="ED305" s="5"/>
      <c r="EE305" s="173">
        <f t="shared" si="871"/>
        <v>3.244585178889086</v>
      </c>
      <c r="EF305" s="173">
        <f t="shared" si="872"/>
        <v>4.17445339422303</v>
      </c>
      <c r="EG305" s="173">
        <f t="shared" si="873"/>
        <v>0.42086702253232189</v>
      </c>
      <c r="EH305" s="173"/>
      <c r="EI305" s="528">
        <f t="shared" si="874"/>
        <v>0.12632799579680068</v>
      </c>
      <c r="EJ305" s="528">
        <f t="shared" si="875"/>
        <v>4.1836590445630559</v>
      </c>
      <c r="EK305" s="528">
        <f t="shared" si="876"/>
        <v>4.0250000000000001E-2</v>
      </c>
      <c r="EL305" s="528">
        <f t="shared" si="877"/>
        <v>0.81355656375000007</v>
      </c>
      <c r="EM305">
        <f t="shared" si="878"/>
        <v>1.7999999999999999E-2</v>
      </c>
      <c r="EN305" s="460">
        <f t="shared" si="879"/>
        <v>58.249999999999993</v>
      </c>
      <c r="EP305" s="460">
        <f t="shared" si="880"/>
        <v>5181.7936041098565</v>
      </c>
      <c r="EQ305" s="173">
        <f t="shared" si="881"/>
        <v>1.5574999999999999</v>
      </c>
      <c r="ER305" s="173">
        <f t="shared" si="841"/>
        <v>0.10657749999999999</v>
      </c>
      <c r="ES305" s="528"/>
      <c r="EU305" s="460">
        <f t="shared" si="882"/>
        <v>1664.0774999999999</v>
      </c>
      <c r="EV305" s="528">
        <f t="shared" si="883"/>
        <v>0.14738266176293413</v>
      </c>
      <c r="EW305" s="528">
        <f t="shared" si="884"/>
        <v>0.24396485596756243</v>
      </c>
      <c r="EX305" s="528">
        <f t="shared" si="885"/>
        <v>8.8564525327610973E-4</v>
      </c>
      <c r="EY305" s="528">
        <f t="shared" si="886"/>
        <v>29.079361630706373</v>
      </c>
      <c r="EZ305" s="528"/>
      <c r="FA305" s="625">
        <f t="shared" si="887"/>
        <v>2.9351063829787245</v>
      </c>
      <c r="FB305" s="460">
        <f t="shared" si="888"/>
        <v>32406.701176668867</v>
      </c>
      <c r="FC305" s="173">
        <f t="shared" si="889"/>
        <v>39.252572280778729</v>
      </c>
      <c r="FD305" s="5">
        <f t="shared" si="890"/>
        <v>68.975000000000009</v>
      </c>
      <c r="FE305" s="173">
        <f t="shared" si="891"/>
        <v>0.63731448970374804</v>
      </c>
      <c r="FF305" s="5">
        <f t="shared" si="892"/>
        <v>63.731448970374807</v>
      </c>
      <c r="FG305">
        <f t="shared" si="893"/>
        <v>89</v>
      </c>
      <c r="FI305" s="562">
        <f t="shared" si="842"/>
        <v>-50</v>
      </c>
    </row>
    <row r="306" spans="5:169">
      <c r="E306" s="170">
        <v>90</v>
      </c>
      <c r="F306" s="217">
        <f t="shared" si="843"/>
        <v>2.25</v>
      </c>
      <c r="G306" s="217">
        <f t="shared" si="772"/>
        <v>0.22500000000000001</v>
      </c>
      <c r="H306" s="217">
        <f t="shared" si="773"/>
        <v>63</v>
      </c>
      <c r="I306" s="217">
        <f t="shared" si="774"/>
        <v>6.75</v>
      </c>
      <c r="J306" s="541">
        <f t="shared" si="775"/>
        <v>39.848983796308005</v>
      </c>
      <c r="K306" s="443">
        <f t="shared" si="776"/>
        <v>28.761263296429114</v>
      </c>
      <c r="L306" s="172">
        <f t="shared" si="777"/>
        <v>68.610247092737126</v>
      </c>
      <c r="M306" s="443"/>
      <c r="N306" s="217">
        <f t="shared" si="778"/>
        <v>0.41919778043582784</v>
      </c>
      <c r="O306" s="172">
        <f t="shared" si="779"/>
        <v>125.73359023682701</v>
      </c>
      <c r="P306" s="172">
        <f t="shared" si="780"/>
        <v>14.914826392888916</v>
      </c>
      <c r="Q306" s="217">
        <f t="shared" si="781"/>
        <v>4.4904853656009651</v>
      </c>
      <c r="R306" s="217">
        <f t="shared" si="782"/>
        <v>4.1911196745609001</v>
      </c>
      <c r="S306" s="217">
        <f t="shared" si="783"/>
        <v>28</v>
      </c>
      <c r="T306" s="217">
        <f t="shared" si="784"/>
        <v>8.3509903600323518</v>
      </c>
      <c r="U306" s="217">
        <f t="shared" si="785"/>
        <v>0.98495999026676606</v>
      </c>
      <c r="V306" s="217">
        <f t="shared" si="786"/>
        <v>1.3646707478605482</v>
      </c>
      <c r="W306" s="197">
        <f t="shared" si="787"/>
        <v>350</v>
      </c>
      <c r="X306" s="443">
        <f t="shared" si="844"/>
        <v>350</v>
      </c>
      <c r="Z306" s="217">
        <f t="shared" si="788"/>
        <v>10.154775416435006</v>
      </c>
      <c r="AA306" s="173">
        <f t="shared" si="789"/>
        <v>1.6594349130404915</v>
      </c>
      <c r="AB306" s="173">
        <f t="shared" si="790"/>
        <v>2.6635750133734186</v>
      </c>
      <c r="AC306" s="173"/>
      <c r="AD306" s="173">
        <f t="shared" si="791"/>
        <v>0.54471413530057899</v>
      </c>
      <c r="AE306" s="545">
        <f t="shared" si="792"/>
        <v>2478.3641776710197</v>
      </c>
      <c r="AF306" s="528">
        <f t="shared" si="793"/>
        <v>0.31774991225867111</v>
      </c>
      <c r="AH306" s="173">
        <f t="shared" si="794"/>
        <v>9.2088235736679334</v>
      </c>
      <c r="AI306" s="173">
        <f t="shared" si="795"/>
        <v>9.2088235736679334</v>
      </c>
      <c r="AJ306" s="173">
        <f t="shared" si="796"/>
        <v>5.5522149928404438</v>
      </c>
      <c r="AL306" s="545">
        <f t="shared" si="797"/>
        <v>2250</v>
      </c>
      <c r="AM306" s="460">
        <f t="shared" si="798"/>
        <v>350</v>
      </c>
      <c r="AO306">
        <f t="shared" si="799"/>
        <v>2250</v>
      </c>
      <c r="AP306">
        <f t="shared" si="800"/>
        <v>350</v>
      </c>
      <c r="AR306" s="5">
        <f t="shared" si="771"/>
        <v>2.8571428571428572</v>
      </c>
      <c r="AS306" s="5">
        <f t="shared" si="737"/>
        <v>1.086137378495692</v>
      </c>
      <c r="AT306" s="5">
        <f t="shared" si="738"/>
        <v>1.7710054786471652</v>
      </c>
      <c r="AU306" s="173">
        <f t="shared" si="739"/>
        <v>0.38014808247349219</v>
      </c>
      <c r="BA306" s="173">
        <f t="shared" si="845"/>
        <v>3.2780828627918659</v>
      </c>
      <c r="BB306" s="173">
        <f t="shared" si="846"/>
        <v>4.1858869966015204</v>
      </c>
      <c r="BC306" s="173">
        <f t="shared" si="847"/>
        <v>0.42201975457539925</v>
      </c>
      <c r="BD306" s="173"/>
      <c r="BE306" s="528">
        <f t="shared" si="848"/>
        <v>0.12894992706395658</v>
      </c>
      <c r="BF306" s="528">
        <f t="shared" si="801"/>
        <v>4.0357480835055037</v>
      </c>
      <c r="BG306" s="528">
        <f t="shared" si="849"/>
        <v>4.0250000000000001E-2</v>
      </c>
      <c r="BH306" s="528">
        <f t="shared" si="850"/>
        <v>0.8114322153060457</v>
      </c>
      <c r="BI306">
        <f t="shared" si="851"/>
        <v>1.7932042708338602E-2</v>
      </c>
      <c r="BJ306" s="460">
        <f t="shared" si="852"/>
        <v>58.182042708338599</v>
      </c>
      <c r="BK306">
        <f t="shared" si="802"/>
        <v>5.1693271498681614</v>
      </c>
      <c r="BL306" s="460">
        <f t="shared" si="853"/>
        <v>5034.3122685838453</v>
      </c>
      <c r="BM306" s="173">
        <f t="shared" si="803"/>
        <v>1.5088499999999998</v>
      </c>
      <c r="BN306" s="173">
        <f t="shared" si="804"/>
        <v>0.107775</v>
      </c>
      <c r="BQ306" s="460">
        <f t="shared" si="854"/>
        <v>1616.6249999999998</v>
      </c>
      <c r="BR306" s="528">
        <f t="shared" si="855"/>
        <v>0.15044158157461601</v>
      </c>
      <c r="BS306" s="528">
        <f t="shared" si="856"/>
        <v>0.24530309927644778</v>
      </c>
      <c r="BT306" s="528">
        <f t="shared" si="857"/>
        <v>8.9050336625940113E-4</v>
      </c>
      <c r="BU306" s="528">
        <f t="shared" si="858"/>
        <v>29.488351648502515</v>
      </c>
      <c r="BV306" s="528"/>
      <c r="BW306" s="625">
        <f t="shared" si="859"/>
        <v>2.9680851063829792</v>
      </c>
      <c r="BX306" s="460">
        <f t="shared" si="860"/>
        <v>32853.071939102818</v>
      </c>
      <c r="BY306" s="173">
        <f t="shared" si="861"/>
        <v>39.504009207686664</v>
      </c>
      <c r="BZ306" s="5">
        <f t="shared" si="862"/>
        <v>69.75</v>
      </c>
      <c r="CA306" s="173">
        <f t="shared" si="863"/>
        <v>0.63842050745623968</v>
      </c>
      <c r="CB306" s="5">
        <f t="shared" si="864"/>
        <v>63.842050745623965</v>
      </c>
      <c r="CC306">
        <f t="shared" si="865"/>
        <v>90</v>
      </c>
      <c r="CE306" s="562">
        <f t="shared" si="805"/>
        <v>-50</v>
      </c>
      <c r="CG306" s="173">
        <f t="shared" si="806"/>
        <v>0.51417409503007838</v>
      </c>
      <c r="CH306" s="173">
        <f t="shared" si="807"/>
        <v>0.16693466244193472</v>
      </c>
      <c r="CI306" s="170">
        <v>90</v>
      </c>
      <c r="CJ306" s="217">
        <f t="shared" si="866"/>
        <v>2.25</v>
      </c>
      <c r="CK306" s="217">
        <f t="shared" si="808"/>
        <v>0.22500000000000001</v>
      </c>
      <c r="CL306" s="217">
        <f t="shared" si="809"/>
        <v>63</v>
      </c>
      <c r="CM306" s="217">
        <f t="shared" si="810"/>
        <v>6.75</v>
      </c>
      <c r="CN306" s="541">
        <f t="shared" si="811"/>
        <v>40</v>
      </c>
      <c r="CO306" s="443">
        <f t="shared" si="812"/>
        <v>28.7</v>
      </c>
      <c r="CP306" s="443">
        <f t="shared" si="813"/>
        <v>68.7</v>
      </c>
      <c r="CQ306" s="443"/>
      <c r="CR306" s="217">
        <f t="shared" si="814"/>
        <v>0.41520467836257302</v>
      </c>
      <c r="CS306" s="172">
        <f t="shared" si="815"/>
        <v>125.00786015217253</v>
      </c>
      <c r="CT306" s="172">
        <f t="shared" si="816"/>
        <v>14.828738512949037</v>
      </c>
      <c r="CU306" s="217">
        <f t="shared" si="817"/>
        <v>4.4645664340061613</v>
      </c>
      <c r="CV306" s="217">
        <f t="shared" si="818"/>
        <v>4.1669286717390843</v>
      </c>
      <c r="CW306" s="217">
        <f t="shared" si="819"/>
        <v>28</v>
      </c>
      <c r="CX306" s="217">
        <f t="shared" si="820"/>
        <v>8.3994718309859167</v>
      </c>
      <c r="CY306" s="217">
        <f t="shared" si="821"/>
        <v>0.98693794014084513</v>
      </c>
      <c r="CZ306" s="217">
        <f t="shared" si="822"/>
        <v>1.3755232615203417</v>
      </c>
      <c r="DA306" s="197">
        <f t="shared" si="823"/>
        <v>350</v>
      </c>
      <c r="DB306" s="443">
        <f t="shared" si="824"/>
        <v>350</v>
      </c>
      <c r="DD306" s="217">
        <f t="shared" si="825"/>
        <v>10.158258230357086</v>
      </c>
      <c r="DE306" s="173">
        <f t="shared" si="826"/>
        <v>1.6635475150758992</v>
      </c>
      <c r="DF306" s="173">
        <f t="shared" si="827"/>
        <v>2.6710919890125213</v>
      </c>
      <c r="DG306" s="173"/>
      <c r="DH306" s="173">
        <f t="shared" si="828"/>
        <v>0.54587688734030204</v>
      </c>
      <c r="DI306" s="545">
        <f t="shared" si="829"/>
        <v>2473.0851063829787</v>
      </c>
      <c r="DJ306" s="528">
        <f t="shared" si="830"/>
        <v>0.31842818428184283</v>
      </c>
      <c r="DL306" s="173">
        <f t="shared" si="831"/>
        <v>9.2088235736679334</v>
      </c>
      <c r="DM306" s="173">
        <f t="shared" si="832"/>
        <v>9.2088235736679334</v>
      </c>
      <c r="DN306" s="173">
        <f t="shared" si="833"/>
        <v>5.5522149928404438</v>
      </c>
      <c r="DP306" s="545">
        <f t="shared" si="834"/>
        <v>2250</v>
      </c>
      <c r="DQ306" s="460">
        <f t="shared" si="835"/>
        <v>350</v>
      </c>
      <c r="DS306">
        <f t="shared" si="836"/>
        <v>2250</v>
      </c>
      <c r="DT306">
        <f t="shared" si="837"/>
        <v>350</v>
      </c>
      <c r="DV306" s="5">
        <f t="shared" si="867"/>
        <v>2.8571428571428572</v>
      </c>
      <c r="DW306" s="5">
        <f t="shared" si="838"/>
        <v>1.0820367699059823</v>
      </c>
      <c r="DX306" s="5">
        <f t="shared" si="839"/>
        <v>1.7751060872368749</v>
      </c>
      <c r="DY306" s="173">
        <f t="shared" si="840"/>
        <v>0.37871286946709382</v>
      </c>
      <c r="EA306" s="5">
        <f t="shared" si="868"/>
        <v>8.6949383296016443</v>
      </c>
      <c r="EB306" s="5">
        <f t="shared" si="869"/>
        <v>0.81152757742948678</v>
      </c>
      <c r="EC306" s="5">
        <f t="shared" si="870"/>
        <v>1.9969943481414838</v>
      </c>
      <c r="ED306" s="5"/>
      <c r="EE306" s="173">
        <f t="shared" si="871"/>
        <v>3.2718889657793975</v>
      </c>
      <c r="EF306" s="173">
        <f t="shared" si="872"/>
        <v>4.1907302226770025</v>
      </c>
      <c r="EG306" s="173">
        <f t="shared" si="873"/>
        <v>0.42250804704038641</v>
      </c>
      <c r="EH306" s="173"/>
      <c r="EI306" s="528">
        <f t="shared" si="874"/>
        <v>0.12846308885266772</v>
      </c>
      <c r="EJ306" s="528">
        <f t="shared" si="875"/>
        <v>4.2070970937480645</v>
      </c>
      <c r="EK306" s="528">
        <f t="shared" si="876"/>
        <v>4.0250000000000001E-2</v>
      </c>
      <c r="EL306" s="528">
        <f t="shared" si="877"/>
        <v>0.81355656375000007</v>
      </c>
      <c r="EM306">
        <f t="shared" si="878"/>
        <v>1.7999999999999999E-2</v>
      </c>
      <c r="EN306" s="460">
        <f t="shared" si="879"/>
        <v>58.249999999999993</v>
      </c>
      <c r="EP306" s="460">
        <f t="shared" si="880"/>
        <v>5207.3667463507318</v>
      </c>
      <c r="EQ306" s="173">
        <f t="shared" si="881"/>
        <v>1.575</v>
      </c>
      <c r="ER306" s="173">
        <f t="shared" si="841"/>
        <v>0.107775</v>
      </c>
      <c r="ES306" s="528"/>
      <c r="EU306" s="460">
        <f t="shared" si="882"/>
        <v>1682.7749999999999</v>
      </c>
      <c r="EV306" s="528">
        <f t="shared" si="883"/>
        <v>0.14987360366144564</v>
      </c>
      <c r="EW306" s="528">
        <f t="shared" si="884"/>
        <v>0.24587107718961815</v>
      </c>
      <c r="EX306" s="528">
        <f t="shared" si="885"/>
        <v>8.9256524906940692E-4</v>
      </c>
      <c r="EY306" s="528">
        <f t="shared" si="886"/>
        <v>29.488351648502515</v>
      </c>
      <c r="EZ306" s="528"/>
      <c r="FA306" s="625">
        <f t="shared" si="887"/>
        <v>2.9680851063829792</v>
      </c>
      <c r="FB306" s="460">
        <f t="shared" si="888"/>
        <v>32853.074000985631</v>
      </c>
      <c r="FC306" s="173">
        <f t="shared" si="889"/>
        <v>39.743215747336357</v>
      </c>
      <c r="FD306" s="5">
        <f t="shared" si="890"/>
        <v>69.75</v>
      </c>
      <c r="FE306" s="173">
        <f t="shared" si="891"/>
        <v>0.63702576934952071</v>
      </c>
      <c r="FF306" s="5">
        <f t="shared" si="892"/>
        <v>63.70257693495207</v>
      </c>
      <c r="FG306">
        <f t="shared" si="893"/>
        <v>90</v>
      </c>
      <c r="FI306" s="562">
        <f t="shared" si="842"/>
        <v>-50</v>
      </c>
    </row>
    <row r="307" spans="5:169">
      <c r="E307" s="170">
        <v>91</v>
      </c>
      <c r="F307" s="217">
        <f t="shared" si="843"/>
        <v>2.2749999999999999</v>
      </c>
      <c r="G307" s="217">
        <f t="shared" si="772"/>
        <v>0.22750000000000001</v>
      </c>
      <c r="H307" s="217">
        <f t="shared" si="773"/>
        <v>63.699999999999996</v>
      </c>
      <c r="I307" s="217">
        <f t="shared" si="774"/>
        <v>6.8250000000000002</v>
      </c>
      <c r="J307" s="541">
        <f t="shared" si="775"/>
        <v>39.848147135037593</v>
      </c>
      <c r="K307" s="443">
        <f t="shared" si="776"/>
        <v>28.76160270787085</v>
      </c>
      <c r="L307" s="172">
        <f t="shared" si="777"/>
        <v>68.609749842908442</v>
      </c>
      <c r="M307" s="443"/>
      <c r="N307" s="217">
        <f t="shared" si="778"/>
        <v>0.41920576556137484</v>
      </c>
      <c r="O307" s="172">
        <f t="shared" si="779"/>
        <v>125.73334535658087</v>
      </c>
      <c r="P307" s="172">
        <f t="shared" si="780"/>
        <v>14.914797344594414</v>
      </c>
      <c r="Q307" s="217">
        <f t="shared" si="781"/>
        <v>4.4904766198778878</v>
      </c>
      <c r="R307" s="217">
        <f t="shared" si="782"/>
        <v>4.1911115118860289</v>
      </c>
      <c r="S307" s="217">
        <f t="shared" si="783"/>
        <v>28</v>
      </c>
      <c r="T307" s="217">
        <f t="shared" si="784"/>
        <v>8.4437955870478962</v>
      </c>
      <c r="U307" s="217">
        <f t="shared" si="785"/>
        <v>0.99592684007709442</v>
      </c>
      <c r="V307" s="217">
        <f t="shared" si="786"/>
        <v>1.3798201603092428</v>
      </c>
      <c r="W307" s="197">
        <f t="shared" si="787"/>
        <v>350</v>
      </c>
      <c r="X307" s="443">
        <f t="shared" si="844"/>
        <v>350</v>
      </c>
      <c r="Z307" s="217">
        <f t="shared" si="788"/>
        <v>10.154755638872789</v>
      </c>
      <c r="AA307" s="173">
        <f t="shared" si="789"/>
        <v>1.6594120983960718</v>
      </c>
      <c r="AB307" s="173">
        <f t="shared" si="790"/>
        <v>2.6635332058279375</v>
      </c>
      <c r="AC307" s="173"/>
      <c r="AD307" s="173">
        <f t="shared" si="791"/>
        <v>0.54470770720921458</v>
      </c>
      <c r="AE307" s="545">
        <f t="shared" si="792"/>
        <v>2505.9311295474708</v>
      </c>
      <c r="AF307" s="528">
        <f t="shared" si="793"/>
        <v>0.31774616253870852</v>
      </c>
      <c r="AH307" s="173">
        <f t="shared" si="794"/>
        <v>9.2598423772256417</v>
      </c>
      <c r="AI307" s="173">
        <f t="shared" si="795"/>
        <v>9.2598423772256417</v>
      </c>
      <c r="AJ307" s="173">
        <f t="shared" si="796"/>
        <v>5.5900066991794874</v>
      </c>
      <c r="AL307" s="545">
        <f t="shared" si="797"/>
        <v>2275</v>
      </c>
      <c r="AM307" s="460">
        <f t="shared" si="798"/>
        <v>350</v>
      </c>
      <c r="AO307">
        <f t="shared" si="799"/>
        <v>2275</v>
      </c>
      <c r="AP307">
        <f t="shared" si="800"/>
        <v>350</v>
      </c>
      <c r="AR307" s="5">
        <f t="shared" si="771"/>
        <v>2.8571428571428572</v>
      </c>
      <c r="AS307" s="5">
        <f t="shared" ref="AS307:AS316" si="894">L*AI307/J307*1000000</f>
        <v>1.0921777372853865</v>
      </c>
      <c r="AT307" s="5">
        <f t="shared" ref="AT307:AT316" si="895">AR307-AS307</f>
        <v>1.7649651198574707</v>
      </c>
      <c r="AU307" s="173">
        <f t="shared" ref="AU307:AU316" si="896">AS307/AR307</f>
        <v>0.38226220804988525</v>
      </c>
      <c r="BA307" s="173">
        <f t="shared" si="845"/>
        <v>3.3053971536796389</v>
      </c>
      <c r="BB307" s="173">
        <f t="shared" si="846"/>
        <v>4.2018936136145202</v>
      </c>
      <c r="BC307" s="173">
        <f t="shared" si="847"/>
        <v>0.42363353645457869</v>
      </c>
      <c r="BD307" s="173"/>
      <c r="BE307" s="528">
        <f t="shared" si="848"/>
        <v>0.1311078041226415</v>
      </c>
      <c r="BF307" s="528">
        <f t="shared" si="801"/>
        <v>4.0580775587881917</v>
      </c>
      <c r="BG307" s="528">
        <f t="shared" si="849"/>
        <v>4.0250000000000001E-2</v>
      </c>
      <c r="BH307" s="528">
        <f t="shared" si="850"/>
        <v>0.81142045370817861</v>
      </c>
      <c r="BI307">
        <f t="shared" si="851"/>
        <v>1.7931666210766917E-2</v>
      </c>
      <c r="BJ307" s="460">
        <f t="shared" si="852"/>
        <v>58.18166621076692</v>
      </c>
      <c r="BK307">
        <f t="shared" si="802"/>
        <v>5.1979266505280961</v>
      </c>
      <c r="BL307" s="460">
        <f t="shared" si="853"/>
        <v>5058.7874828297781</v>
      </c>
      <c r="BM307" s="173">
        <f t="shared" si="803"/>
        <v>1.5256149999999997</v>
      </c>
      <c r="BN307" s="173">
        <f t="shared" si="804"/>
        <v>0.1089725</v>
      </c>
      <c r="BQ307" s="460">
        <f t="shared" si="854"/>
        <v>1634.5874999999996</v>
      </c>
      <c r="BR307" s="528">
        <f t="shared" si="855"/>
        <v>0.15295910480974842</v>
      </c>
      <c r="BS307" s="528">
        <f t="shared" si="856"/>
        <v>0.24718273916188291</v>
      </c>
      <c r="BT307" s="528">
        <f t="shared" si="857"/>
        <v>8.9732686604506427E-4</v>
      </c>
      <c r="BU307" s="528">
        <f t="shared" si="858"/>
        <v>29.898479349548975</v>
      </c>
      <c r="BV307" s="528"/>
      <c r="BW307" s="625">
        <f t="shared" si="859"/>
        <v>3.0010638297872338</v>
      </c>
      <c r="BX307" s="460">
        <f t="shared" si="860"/>
        <v>33300.582350173885</v>
      </c>
      <c r="BY307" s="173">
        <f t="shared" si="861"/>
        <v>39.993957333003664</v>
      </c>
      <c r="BZ307" s="5">
        <f t="shared" si="862"/>
        <v>70.524999999999991</v>
      </c>
      <c r="CA307" s="173">
        <f t="shared" si="863"/>
        <v>0.63812581752379149</v>
      </c>
      <c r="CB307" s="5">
        <f t="shared" si="864"/>
        <v>63.812581752379153</v>
      </c>
      <c r="CC307">
        <f t="shared" si="865"/>
        <v>90.999999999999986</v>
      </c>
      <c r="CE307" s="562">
        <f t="shared" si="805"/>
        <v>-50</v>
      </c>
      <c r="CG307" s="173">
        <f t="shared" si="806"/>
        <v>0.51702272677320482</v>
      </c>
      <c r="CH307" s="173">
        <f t="shared" si="807"/>
        <v>0.16785951529441537</v>
      </c>
      <c r="CI307" s="170">
        <v>91</v>
      </c>
      <c r="CJ307" s="217">
        <f t="shared" si="866"/>
        <v>2.2749999999999999</v>
      </c>
      <c r="CK307" s="217">
        <f t="shared" si="808"/>
        <v>0.22750000000000001</v>
      </c>
      <c r="CL307" s="217">
        <f t="shared" si="809"/>
        <v>63.699999999999996</v>
      </c>
      <c r="CM307" s="217">
        <f t="shared" si="810"/>
        <v>6.8250000000000002</v>
      </c>
      <c r="CN307" s="541">
        <f t="shared" si="811"/>
        <v>40</v>
      </c>
      <c r="CO307" s="443">
        <f t="shared" si="812"/>
        <v>28.7</v>
      </c>
      <c r="CP307" s="443">
        <f t="shared" si="813"/>
        <v>68.7</v>
      </c>
      <c r="CQ307" s="443"/>
      <c r="CR307" s="217">
        <f t="shared" si="814"/>
        <v>0.41520467836257302</v>
      </c>
      <c r="CS307" s="172">
        <f t="shared" si="815"/>
        <v>125.00786015217253</v>
      </c>
      <c r="CT307" s="172">
        <f t="shared" si="816"/>
        <v>14.828738512949037</v>
      </c>
      <c r="CU307" s="217">
        <f t="shared" si="817"/>
        <v>4.4645664340061613</v>
      </c>
      <c r="CV307" s="217">
        <f t="shared" si="818"/>
        <v>4.1669286717390843</v>
      </c>
      <c r="CW307" s="217">
        <f t="shared" si="819"/>
        <v>28</v>
      </c>
      <c r="CX307" s="217">
        <f t="shared" si="820"/>
        <v>8.492799295774649</v>
      </c>
      <c r="CY307" s="217">
        <f t="shared" si="821"/>
        <v>0.99790391725352134</v>
      </c>
      <c r="CZ307" s="217">
        <f t="shared" si="822"/>
        <v>1.3908068533150122</v>
      </c>
      <c r="DA307" s="197">
        <f t="shared" si="823"/>
        <v>350</v>
      </c>
      <c r="DB307" s="443">
        <f t="shared" si="824"/>
        <v>350</v>
      </c>
      <c r="DD307" s="217">
        <f t="shared" si="825"/>
        <v>10.158258230357086</v>
      </c>
      <c r="DE307" s="173">
        <f t="shared" si="826"/>
        <v>1.6635475150758992</v>
      </c>
      <c r="DF307" s="173">
        <f t="shared" si="827"/>
        <v>2.6710919890125213</v>
      </c>
      <c r="DG307" s="173"/>
      <c r="DH307" s="173">
        <f t="shared" si="828"/>
        <v>0.54587688734030204</v>
      </c>
      <c r="DI307" s="545">
        <f t="shared" si="829"/>
        <v>2500.5638297872338</v>
      </c>
      <c r="DJ307" s="528">
        <f t="shared" si="830"/>
        <v>0.31842818428184283</v>
      </c>
      <c r="DL307" s="173">
        <f t="shared" si="831"/>
        <v>9.2598423772256417</v>
      </c>
      <c r="DM307" s="173">
        <f t="shared" si="832"/>
        <v>9.2598423772256417</v>
      </c>
      <c r="DN307" s="173">
        <f t="shared" si="833"/>
        <v>5.5900066991794874</v>
      </c>
      <c r="DP307" s="545">
        <f t="shared" si="834"/>
        <v>2275</v>
      </c>
      <c r="DQ307" s="460">
        <f t="shared" si="835"/>
        <v>350</v>
      </c>
      <c r="DS307">
        <f t="shared" si="836"/>
        <v>2275</v>
      </c>
      <c r="DT307">
        <f t="shared" si="837"/>
        <v>350</v>
      </c>
      <c r="DV307" s="5">
        <f t="shared" si="867"/>
        <v>2.8571428571428572</v>
      </c>
      <c r="DW307" s="5">
        <f t="shared" si="838"/>
        <v>1.0880314793240129</v>
      </c>
      <c r="DX307" s="5">
        <f t="shared" si="839"/>
        <v>1.7691113778188443</v>
      </c>
      <c r="DY307" s="173">
        <f t="shared" si="840"/>
        <v>0.38081101776340448</v>
      </c>
      <c r="EA307" s="5">
        <f t="shared" si="868"/>
        <v>8.8402557695076034</v>
      </c>
      <c r="EB307" s="5">
        <f t="shared" si="869"/>
        <v>0.82509053848737646</v>
      </c>
      <c r="EC307" s="5">
        <f t="shared" si="870"/>
        <v>2.0123641922689348</v>
      </c>
      <c r="ED307" s="5"/>
      <c r="EE307" s="173">
        <f t="shared" si="871"/>
        <v>3.2991170123075815</v>
      </c>
      <c r="EF307" s="173">
        <f t="shared" si="872"/>
        <v>4.2068262648688783</v>
      </c>
      <c r="EG307" s="173">
        <f t="shared" si="873"/>
        <v>0.42413084473678037</v>
      </c>
      <c r="EH307" s="173"/>
      <c r="EI307" s="528">
        <f t="shared" si="874"/>
        <v>0.13061007673076763</v>
      </c>
      <c r="EJ307" s="528">
        <f t="shared" si="875"/>
        <v>4.2304052892474209</v>
      </c>
      <c r="EK307" s="528">
        <f t="shared" si="876"/>
        <v>4.0250000000000001E-2</v>
      </c>
      <c r="EL307" s="528">
        <f t="shared" si="877"/>
        <v>0.81355656375000007</v>
      </c>
      <c r="EM307">
        <f t="shared" si="878"/>
        <v>1.7999999999999999E-2</v>
      </c>
      <c r="EN307" s="460">
        <f t="shared" si="879"/>
        <v>58.249999999999993</v>
      </c>
      <c r="EP307" s="460">
        <f t="shared" si="880"/>
        <v>5232.8219297281885</v>
      </c>
      <c r="EQ307" s="173">
        <f t="shared" si="881"/>
        <v>1.5924999999999998</v>
      </c>
      <c r="ER307" s="173">
        <f t="shared" si="841"/>
        <v>0.1089725</v>
      </c>
      <c r="ES307" s="528"/>
      <c r="EU307" s="460">
        <f t="shared" si="882"/>
        <v>1701.4724999999996</v>
      </c>
      <c r="EV307" s="528">
        <f t="shared" si="883"/>
        <v>0.15237842285256223</v>
      </c>
      <c r="EW307" s="528">
        <f t="shared" si="884"/>
        <v>0.24776342111906893</v>
      </c>
      <c r="EX307" s="528">
        <f t="shared" si="885"/>
        <v>8.9943486728567444E-4</v>
      </c>
      <c r="EY307" s="528">
        <f t="shared" si="886"/>
        <v>29.898479349548975</v>
      </c>
      <c r="EZ307" s="528"/>
      <c r="FA307" s="625">
        <f t="shared" si="887"/>
        <v>3.0010638297872338</v>
      </c>
      <c r="FB307" s="460">
        <f t="shared" si="888"/>
        <v>33300.584458175123</v>
      </c>
      <c r="FC307" s="173">
        <f t="shared" si="889"/>
        <v>40.234878887903314</v>
      </c>
      <c r="FD307" s="5">
        <f t="shared" si="890"/>
        <v>70.524999999999991</v>
      </c>
      <c r="FE307" s="173">
        <f t="shared" si="891"/>
        <v>0.63673778545186188</v>
      </c>
      <c r="FF307" s="5">
        <f t="shared" si="892"/>
        <v>63.673778545186188</v>
      </c>
      <c r="FG307">
        <f t="shared" si="893"/>
        <v>90.999999999999986</v>
      </c>
      <c r="FI307" s="562">
        <f t="shared" si="842"/>
        <v>-50</v>
      </c>
    </row>
    <row r="308" spans="5:169">
      <c r="E308" s="170">
        <v>92</v>
      </c>
      <c r="F308" s="217">
        <f t="shared" si="843"/>
        <v>2.3000000000000003</v>
      </c>
      <c r="G308" s="217">
        <f t="shared" si="772"/>
        <v>0.23</v>
      </c>
      <c r="H308" s="217">
        <f t="shared" si="773"/>
        <v>64.400000000000006</v>
      </c>
      <c r="I308" s="217">
        <f t="shared" si="774"/>
        <v>6.9</v>
      </c>
      <c r="J308" s="541">
        <f t="shared" si="775"/>
        <v>39.847315058316013</v>
      </c>
      <c r="K308" s="443">
        <f t="shared" si="776"/>
        <v>28.761940259481865</v>
      </c>
      <c r="L308" s="172">
        <f t="shared" si="777"/>
        <v>68.609255317797874</v>
      </c>
      <c r="M308" s="443"/>
      <c r="N308" s="217">
        <f t="shared" si="778"/>
        <v>0.41921370704661698</v>
      </c>
      <c r="O308" s="172">
        <f t="shared" si="779"/>
        <v>125.73310175285803</v>
      </c>
      <c r="P308" s="172">
        <f t="shared" si="780"/>
        <v>14.91476844772423</v>
      </c>
      <c r="Q308" s="217">
        <f t="shared" si="781"/>
        <v>4.4904679197449298</v>
      </c>
      <c r="R308" s="217">
        <f t="shared" si="782"/>
        <v>4.191103391761934</v>
      </c>
      <c r="S308" s="217">
        <f t="shared" si="783"/>
        <v>28</v>
      </c>
      <c r="T308" s="217">
        <f t="shared" si="784"/>
        <v>8.5366010888929313</v>
      </c>
      <c r="U308" s="217">
        <f t="shared" si="785"/>
        <v>1.0068940669924369</v>
      </c>
      <c r="V308" s="217">
        <f t="shared" si="786"/>
        <v>1.3949693503229452</v>
      </c>
      <c r="W308" s="197">
        <f t="shared" si="787"/>
        <v>350</v>
      </c>
      <c r="X308" s="443">
        <f t="shared" si="844"/>
        <v>350</v>
      </c>
      <c r="Z308" s="217">
        <f t="shared" si="788"/>
        <v>10.154735964407987</v>
      </c>
      <c r="AA308" s="173">
        <f t="shared" si="789"/>
        <v>1.6593894084382372</v>
      </c>
      <c r="AB308" s="173">
        <f t="shared" si="790"/>
        <v>2.663491625601444</v>
      </c>
      <c r="AC308" s="173"/>
      <c r="AD308" s="173">
        <f t="shared" si="791"/>
        <v>0.54470131449153125</v>
      </c>
      <c r="AE308" s="545">
        <f t="shared" si="792"/>
        <v>2533.4985675373391</v>
      </c>
      <c r="AF308" s="528">
        <f t="shared" si="793"/>
        <v>0.3177424334533932</v>
      </c>
      <c r="AH308" s="173">
        <f t="shared" si="794"/>
        <v>9.3105816193826154</v>
      </c>
      <c r="AI308" s="173">
        <f t="shared" si="795"/>
        <v>9.3105816193826154</v>
      </c>
      <c r="AJ308" s="173">
        <f t="shared" si="796"/>
        <v>5.6275913229994678</v>
      </c>
      <c r="AL308" s="545">
        <f t="shared" si="797"/>
        <v>2300.0000000000005</v>
      </c>
      <c r="AM308" s="460">
        <f t="shared" si="798"/>
        <v>350</v>
      </c>
      <c r="AO308">
        <f t="shared" si="799"/>
        <v>2300.0000000000005</v>
      </c>
      <c r="AP308">
        <f t="shared" si="800"/>
        <v>350</v>
      </c>
      <c r="AR308" s="5">
        <f t="shared" si="771"/>
        <v>2.8571428571428572</v>
      </c>
      <c r="AS308" s="5">
        <f t="shared" si="894"/>
        <v>1.0981852490451742</v>
      </c>
      <c r="AT308" s="5">
        <f t="shared" si="895"/>
        <v>1.758957608097683</v>
      </c>
      <c r="AU308" s="173">
        <f t="shared" si="896"/>
        <v>0.38436483716581099</v>
      </c>
      <c r="BA308" s="173">
        <f t="shared" si="845"/>
        <v>3.3326369823760942</v>
      </c>
      <c r="BB308" s="173">
        <f t="shared" si="846"/>
        <v>4.2177214354942443</v>
      </c>
      <c r="BC308" s="173">
        <f t="shared" si="847"/>
        <v>0.42522929226704265</v>
      </c>
      <c r="BD308" s="173"/>
      <c r="BE308" s="528">
        <f t="shared" si="848"/>
        <v>0.13327763107561008</v>
      </c>
      <c r="BF308" s="528">
        <f t="shared" si="801"/>
        <v>4.0802843565875575</v>
      </c>
      <c r="BG308" s="528">
        <f t="shared" si="849"/>
        <v>4.0250000000000001E-2</v>
      </c>
      <c r="BH308" s="528">
        <f t="shared" si="850"/>
        <v>0.81140875664342105</v>
      </c>
      <c r="BI308">
        <f t="shared" si="851"/>
        <v>1.7931291776242204E-2</v>
      </c>
      <c r="BJ308" s="460">
        <f t="shared" si="852"/>
        <v>58.181291776242205</v>
      </c>
      <c r="BK308">
        <f t="shared" si="802"/>
        <v>5.2264608117548903</v>
      </c>
      <c r="BL308" s="460">
        <f t="shared" si="853"/>
        <v>5083.1520360828308</v>
      </c>
      <c r="BM308" s="173">
        <f t="shared" si="803"/>
        <v>1.5423800000000001</v>
      </c>
      <c r="BN308" s="173">
        <f t="shared" si="804"/>
        <v>0.11017</v>
      </c>
      <c r="BQ308" s="460">
        <f t="shared" si="854"/>
        <v>1652.5500000000002</v>
      </c>
      <c r="BR308" s="528">
        <f t="shared" si="855"/>
        <v>0.15549056958821175</v>
      </c>
      <c r="BS308" s="528">
        <f t="shared" si="856"/>
        <v>0.24904843750398678</v>
      </c>
      <c r="BT308" s="528">
        <f t="shared" si="857"/>
        <v>9.0409975500964986E-4</v>
      </c>
      <c r="BU308" s="528">
        <f t="shared" si="858"/>
        <v>30.309735344063292</v>
      </c>
      <c r="BV308" s="528"/>
      <c r="BW308" s="625">
        <f t="shared" si="859"/>
        <v>3.0340425531914894</v>
      </c>
      <c r="BX308" s="460">
        <f t="shared" si="860"/>
        <v>33749.221004101993</v>
      </c>
      <c r="BY308" s="173">
        <f t="shared" si="861"/>
        <v>40.484923040184817</v>
      </c>
      <c r="BZ308" s="5">
        <f t="shared" si="862"/>
        <v>71.300000000000011</v>
      </c>
      <c r="CA308" s="173">
        <f t="shared" si="863"/>
        <v>0.63783199076291219</v>
      </c>
      <c r="CB308" s="5">
        <f t="shared" si="864"/>
        <v>63.783199076291218</v>
      </c>
      <c r="CC308">
        <f t="shared" si="865"/>
        <v>92.000000000000014</v>
      </c>
      <c r="CE308" s="562">
        <f t="shared" si="805"/>
        <v>-50</v>
      </c>
      <c r="CG308" s="173">
        <f t="shared" si="806"/>
        <v>0.5198557492228012</v>
      </c>
      <c r="CH308" s="173">
        <f t="shared" si="807"/>
        <v>0.16877930034559754</v>
      </c>
      <c r="CI308" s="170">
        <v>92</v>
      </c>
      <c r="CJ308" s="217">
        <f t="shared" si="866"/>
        <v>2.3000000000000003</v>
      </c>
      <c r="CK308" s="217">
        <f t="shared" si="808"/>
        <v>0.23</v>
      </c>
      <c r="CL308" s="217">
        <f t="shared" si="809"/>
        <v>64.400000000000006</v>
      </c>
      <c r="CM308" s="217">
        <f t="shared" si="810"/>
        <v>6.9</v>
      </c>
      <c r="CN308" s="541">
        <f t="shared" si="811"/>
        <v>40</v>
      </c>
      <c r="CO308" s="443">
        <f t="shared" si="812"/>
        <v>28.7</v>
      </c>
      <c r="CP308" s="443">
        <f t="shared" si="813"/>
        <v>68.7</v>
      </c>
      <c r="CQ308" s="443"/>
      <c r="CR308" s="217">
        <f t="shared" si="814"/>
        <v>0.41520467836257302</v>
      </c>
      <c r="CS308" s="172">
        <f t="shared" si="815"/>
        <v>125.00786015217253</v>
      </c>
      <c r="CT308" s="172">
        <f t="shared" si="816"/>
        <v>14.828738512949037</v>
      </c>
      <c r="CU308" s="217">
        <f t="shared" si="817"/>
        <v>4.4645664340061613</v>
      </c>
      <c r="CV308" s="217">
        <f t="shared" si="818"/>
        <v>4.1669286717390843</v>
      </c>
      <c r="CW308" s="217">
        <f t="shared" si="819"/>
        <v>28</v>
      </c>
      <c r="CX308" s="217">
        <f t="shared" si="820"/>
        <v>8.5861267605633831</v>
      </c>
      <c r="CY308" s="217">
        <f t="shared" si="821"/>
        <v>1.0088698943661973</v>
      </c>
      <c r="CZ308" s="217">
        <f t="shared" si="822"/>
        <v>1.406090445109683</v>
      </c>
      <c r="DA308" s="197">
        <f t="shared" si="823"/>
        <v>350</v>
      </c>
      <c r="DB308" s="443">
        <f t="shared" si="824"/>
        <v>350</v>
      </c>
      <c r="DD308" s="217">
        <f t="shared" si="825"/>
        <v>10.158258230357086</v>
      </c>
      <c r="DE308" s="173">
        <f t="shared" si="826"/>
        <v>1.6635475150758992</v>
      </c>
      <c r="DF308" s="173">
        <f t="shared" si="827"/>
        <v>2.6710919890125213</v>
      </c>
      <c r="DG308" s="173"/>
      <c r="DH308" s="173">
        <f t="shared" si="828"/>
        <v>0.54587688734030204</v>
      </c>
      <c r="DI308" s="545">
        <f t="shared" si="829"/>
        <v>2528.0425531914893</v>
      </c>
      <c r="DJ308" s="528">
        <f t="shared" si="830"/>
        <v>0.31842818428184283</v>
      </c>
      <c r="DL308" s="173">
        <f t="shared" si="831"/>
        <v>9.3105816193826154</v>
      </c>
      <c r="DM308" s="173">
        <f t="shared" si="832"/>
        <v>9.3105816193826154</v>
      </c>
      <c r="DN308" s="173">
        <f t="shared" si="833"/>
        <v>5.6275913229994678</v>
      </c>
      <c r="DP308" s="545">
        <f t="shared" si="834"/>
        <v>2300.0000000000005</v>
      </c>
      <c r="DQ308" s="460">
        <f t="shared" si="835"/>
        <v>350</v>
      </c>
      <c r="DS308">
        <f t="shared" si="836"/>
        <v>2300.0000000000005</v>
      </c>
      <c r="DT308">
        <f t="shared" si="837"/>
        <v>350</v>
      </c>
      <c r="DV308" s="5">
        <f t="shared" si="867"/>
        <v>2.8571428571428572</v>
      </c>
      <c r="DW308" s="5">
        <f t="shared" si="838"/>
        <v>1.0939933402774573</v>
      </c>
      <c r="DX308" s="5">
        <f t="shared" si="839"/>
        <v>1.7631495168653999</v>
      </c>
      <c r="DY308" s="173">
        <f t="shared" si="840"/>
        <v>0.38289766909711004</v>
      </c>
      <c r="EA308" s="5">
        <f t="shared" si="868"/>
        <v>8.9863738665648292</v>
      </c>
      <c r="EB308" s="5">
        <f t="shared" si="869"/>
        <v>0.83872822754605059</v>
      </c>
      <c r="EC308" s="5">
        <f t="shared" si="870"/>
        <v>2.0276219443952099</v>
      </c>
      <c r="ED308" s="5"/>
      <c r="EE308" s="173">
        <f t="shared" si="871"/>
        <v>3.3262703574774259</v>
      </c>
      <c r="EF308" s="173">
        <f t="shared" si="872"/>
        <v>4.2227442348188058</v>
      </c>
      <c r="EG308" s="173">
        <f t="shared" si="873"/>
        <v>0.42573568924812549</v>
      </c>
      <c r="EH308" s="173"/>
      <c r="EI308" s="528">
        <f t="shared" si="874"/>
        <v>0.13276889389239604</v>
      </c>
      <c r="EJ308" s="528">
        <f t="shared" si="875"/>
        <v>4.2535857657230451</v>
      </c>
      <c r="EK308" s="528">
        <f t="shared" si="876"/>
        <v>4.0250000000000001E-2</v>
      </c>
      <c r="EL308" s="528">
        <f t="shared" si="877"/>
        <v>0.81355656375000007</v>
      </c>
      <c r="EM308">
        <f t="shared" si="878"/>
        <v>1.7999999999999999E-2</v>
      </c>
      <c r="EN308" s="460">
        <f t="shared" si="879"/>
        <v>58.249999999999993</v>
      </c>
      <c r="EP308" s="460">
        <f t="shared" si="880"/>
        <v>5258.1612233654414</v>
      </c>
      <c r="EQ308" s="173">
        <f t="shared" si="881"/>
        <v>1.61</v>
      </c>
      <c r="ER308" s="173">
        <f t="shared" si="841"/>
        <v>0.11017</v>
      </c>
      <c r="ES308" s="528"/>
      <c r="EU308" s="460">
        <f t="shared" si="882"/>
        <v>1720.1700000000003</v>
      </c>
      <c r="EV308" s="528">
        <f t="shared" si="883"/>
        <v>0.15489704287446204</v>
      </c>
      <c r="EW308" s="528">
        <f t="shared" si="884"/>
        <v>0.24964196421773649</v>
      </c>
      <c r="EX308" s="528">
        <f t="shared" si="885"/>
        <v>9.0625438549788231E-4</v>
      </c>
      <c r="EY308" s="528">
        <f t="shared" si="886"/>
        <v>30.309735344063292</v>
      </c>
      <c r="EZ308" s="528"/>
      <c r="FA308" s="625">
        <f t="shared" si="887"/>
        <v>3.0340425531914894</v>
      </c>
      <c r="FB308" s="460">
        <f t="shared" si="888"/>
        <v>33749.223158732479</v>
      </c>
      <c r="FC308" s="173">
        <f t="shared" si="889"/>
        <v>40.727554382097921</v>
      </c>
      <c r="FD308" s="5">
        <f t="shared" si="890"/>
        <v>71.300000000000011</v>
      </c>
      <c r="FE308" s="173">
        <f t="shared" si="891"/>
        <v>0.63645056248227616</v>
      </c>
      <c r="FF308" s="5">
        <f t="shared" si="892"/>
        <v>63.645056248227618</v>
      </c>
      <c r="FG308">
        <f t="shared" si="893"/>
        <v>92.000000000000014</v>
      </c>
      <c r="FI308" s="562">
        <f t="shared" si="842"/>
        <v>-50</v>
      </c>
    </row>
    <row r="309" spans="5:169">
      <c r="E309" s="170">
        <v>93</v>
      </c>
      <c r="F309" s="217">
        <f t="shared" si="843"/>
        <v>2.3250000000000002</v>
      </c>
      <c r="G309" s="217">
        <f t="shared" si="772"/>
        <v>0.23250000000000001</v>
      </c>
      <c r="H309" s="217">
        <f t="shared" si="773"/>
        <v>65.100000000000009</v>
      </c>
      <c r="I309" s="217">
        <f t="shared" si="774"/>
        <v>6.9750000000000005</v>
      </c>
      <c r="J309" s="541">
        <f t="shared" si="775"/>
        <v>39.846487491595006</v>
      </c>
      <c r="K309" s="443">
        <f t="shared" si="776"/>
        <v>28.76227598150443</v>
      </c>
      <c r="L309" s="172">
        <f t="shared" si="777"/>
        <v>68.60876347309943</v>
      </c>
      <c r="M309" s="443"/>
      <c r="N309" s="217">
        <f t="shared" si="778"/>
        <v>0.41922160560118144</v>
      </c>
      <c r="O309" s="172">
        <f t="shared" si="779"/>
        <v>125.73285940489997</v>
      </c>
      <c r="P309" s="172">
        <f t="shared" si="780"/>
        <v>14.914739699815939</v>
      </c>
      <c r="Q309" s="217">
        <f t="shared" si="781"/>
        <v>4.4904592644607133</v>
      </c>
      <c r="R309" s="217">
        <f t="shared" si="782"/>
        <v>4.1910953134966658</v>
      </c>
      <c r="S309" s="217">
        <f t="shared" si="783"/>
        <v>28</v>
      </c>
      <c r="T309" s="217">
        <f t="shared" si="784"/>
        <v>8.6294068641670965</v>
      </c>
      <c r="U309" s="217">
        <f t="shared" si="785"/>
        <v>1.0178616689900326</v>
      </c>
      <c r="V309" s="217">
        <f t="shared" si="786"/>
        <v>1.4101183191367155</v>
      </c>
      <c r="W309" s="197">
        <f t="shared" si="787"/>
        <v>350</v>
      </c>
      <c r="X309" s="443">
        <f t="shared" si="844"/>
        <v>350</v>
      </c>
      <c r="Z309" s="217">
        <f t="shared" si="788"/>
        <v>10.15471639136404</v>
      </c>
      <c r="AA309" s="173">
        <f t="shared" si="789"/>
        <v>1.6593668411394815</v>
      </c>
      <c r="AB309" s="173">
        <f t="shared" si="790"/>
        <v>2.6634502689975745</v>
      </c>
      <c r="AC309" s="173"/>
      <c r="AD309" s="173">
        <f t="shared" si="791"/>
        <v>0.54469495657232092</v>
      </c>
      <c r="AE309" s="545">
        <f t="shared" si="792"/>
        <v>2561.0664889914055</v>
      </c>
      <c r="AF309" s="528">
        <f t="shared" si="793"/>
        <v>0.31773872466718722</v>
      </c>
      <c r="AH309" s="173">
        <f t="shared" si="794"/>
        <v>9.3610458460209998</v>
      </c>
      <c r="AI309" s="173">
        <f t="shared" si="795"/>
        <v>9.3610458460209998</v>
      </c>
      <c r="AJ309" s="173">
        <f t="shared" si="796"/>
        <v>5.6649722316204931</v>
      </c>
      <c r="AL309" s="545">
        <f t="shared" si="797"/>
        <v>2325</v>
      </c>
      <c r="AM309" s="460">
        <f t="shared" si="798"/>
        <v>350</v>
      </c>
      <c r="AO309">
        <f t="shared" si="799"/>
        <v>2325</v>
      </c>
      <c r="AP309">
        <f t="shared" si="800"/>
        <v>350</v>
      </c>
      <c r="AR309" s="5">
        <f t="shared" si="771"/>
        <v>2.8571428571428572</v>
      </c>
      <c r="AS309" s="5">
        <f t="shared" si="894"/>
        <v>1.1041604479084675</v>
      </c>
      <c r="AT309" s="5">
        <f t="shared" si="895"/>
        <v>1.7529824092343897</v>
      </c>
      <c r="AU309" s="173">
        <f t="shared" si="896"/>
        <v>0.38645615676796358</v>
      </c>
      <c r="BA309" s="173">
        <f t="shared" si="845"/>
        <v>3.3598033605707531</v>
      </c>
      <c r="BB309" s="173">
        <f t="shared" si="846"/>
        <v>4.2333731021570111</v>
      </c>
      <c r="BC309" s="173">
        <f t="shared" si="847"/>
        <v>0.42680728816828883</v>
      </c>
      <c r="BD309" s="173"/>
      <c r="BE309" s="528">
        <f t="shared" si="848"/>
        <v>0.13545934346043031</v>
      </c>
      <c r="BF309" s="528">
        <f t="shared" si="801"/>
        <v>4.102370471733285</v>
      </c>
      <c r="BG309" s="528">
        <f t="shared" si="849"/>
        <v>4.0250000000000001E-2</v>
      </c>
      <c r="BH309" s="528">
        <f t="shared" si="850"/>
        <v>0.81139712306241518</v>
      </c>
      <c r="BI309">
        <f t="shared" si="851"/>
        <v>1.7930919371217751E-2</v>
      </c>
      <c r="BJ309" s="460">
        <f t="shared" si="852"/>
        <v>58.180919371217747</v>
      </c>
      <c r="BK309">
        <f t="shared" si="802"/>
        <v>5.2549316725959523</v>
      </c>
      <c r="BL309" s="460">
        <f t="shared" si="853"/>
        <v>5107.4078576273478</v>
      </c>
      <c r="BM309" s="173">
        <f t="shared" si="803"/>
        <v>1.5591449999999998</v>
      </c>
      <c r="BN309" s="173">
        <f t="shared" si="804"/>
        <v>0.11136750000000001</v>
      </c>
      <c r="BQ309" s="460">
        <f t="shared" si="854"/>
        <v>1670.5124999999998</v>
      </c>
      <c r="BR309" s="528">
        <f t="shared" si="855"/>
        <v>0.15803590070383536</v>
      </c>
      <c r="BS309" s="528">
        <f t="shared" si="856"/>
        <v>0.25090026950893068</v>
      </c>
      <c r="BT309" s="528">
        <f t="shared" si="857"/>
        <v>9.1082230616784372E-4</v>
      </c>
      <c r="BU309" s="528">
        <f t="shared" si="858"/>
        <v>30.722110421127084</v>
      </c>
      <c r="BV309" s="528"/>
      <c r="BW309" s="625">
        <f t="shared" si="859"/>
        <v>3.0670212765957459</v>
      </c>
      <c r="BX309" s="460">
        <f t="shared" si="860"/>
        <v>34198.978690241762</v>
      </c>
      <c r="BY309" s="173">
        <f t="shared" si="861"/>
        <v>40.976899047869111</v>
      </c>
      <c r="BZ309" s="5">
        <f t="shared" si="862"/>
        <v>72.075000000000003</v>
      </c>
      <c r="CA309" s="173">
        <f t="shared" si="863"/>
        <v>0.6375390471723219</v>
      </c>
      <c r="CB309" s="5">
        <f t="shared" si="864"/>
        <v>63.753904717232189</v>
      </c>
      <c r="CC309">
        <f t="shared" si="865"/>
        <v>93</v>
      </c>
      <c r="CE309" s="562">
        <f t="shared" si="805"/>
        <v>-50</v>
      </c>
      <c r="CG309" s="173">
        <f t="shared" si="806"/>
        <v>0.52267341619791607</v>
      </c>
      <c r="CH309" s="173">
        <f t="shared" si="807"/>
        <v>0.16969410000180557</v>
      </c>
      <c r="CI309" s="170">
        <v>93</v>
      </c>
      <c r="CJ309" s="217">
        <f t="shared" si="866"/>
        <v>2.3250000000000002</v>
      </c>
      <c r="CK309" s="217">
        <f t="shared" si="808"/>
        <v>0.23250000000000001</v>
      </c>
      <c r="CL309" s="217">
        <f t="shared" si="809"/>
        <v>65.100000000000009</v>
      </c>
      <c r="CM309" s="217">
        <f t="shared" si="810"/>
        <v>6.9750000000000005</v>
      </c>
      <c r="CN309" s="541">
        <f t="shared" si="811"/>
        <v>40</v>
      </c>
      <c r="CO309" s="443">
        <f t="shared" si="812"/>
        <v>28.7</v>
      </c>
      <c r="CP309" s="443">
        <f t="shared" si="813"/>
        <v>68.7</v>
      </c>
      <c r="CQ309" s="443"/>
      <c r="CR309" s="217">
        <f t="shared" si="814"/>
        <v>0.41520467836257302</v>
      </c>
      <c r="CS309" s="172">
        <f t="shared" si="815"/>
        <v>125.00786015217253</v>
      </c>
      <c r="CT309" s="172">
        <f t="shared" si="816"/>
        <v>14.828738512949037</v>
      </c>
      <c r="CU309" s="217">
        <f t="shared" si="817"/>
        <v>4.4645664340061613</v>
      </c>
      <c r="CV309" s="217">
        <f t="shared" si="818"/>
        <v>4.1669286717390843</v>
      </c>
      <c r="CW309" s="217">
        <f t="shared" si="819"/>
        <v>28</v>
      </c>
      <c r="CX309" s="217">
        <f t="shared" si="820"/>
        <v>8.6794542253521154</v>
      </c>
      <c r="CY309" s="217">
        <f t="shared" si="821"/>
        <v>1.0198358714788733</v>
      </c>
      <c r="CZ309" s="217">
        <f t="shared" si="822"/>
        <v>1.4213740369043533</v>
      </c>
      <c r="DA309" s="197">
        <f t="shared" si="823"/>
        <v>350</v>
      </c>
      <c r="DB309" s="443">
        <f t="shared" si="824"/>
        <v>350</v>
      </c>
      <c r="DD309" s="217">
        <f t="shared" si="825"/>
        <v>10.158258230357086</v>
      </c>
      <c r="DE309" s="173">
        <f t="shared" si="826"/>
        <v>1.6635475150758992</v>
      </c>
      <c r="DF309" s="173">
        <f t="shared" si="827"/>
        <v>2.6710919890125213</v>
      </c>
      <c r="DG309" s="173"/>
      <c r="DH309" s="173">
        <f t="shared" si="828"/>
        <v>0.54587688734030204</v>
      </c>
      <c r="DI309" s="545">
        <f t="shared" si="829"/>
        <v>2555.5212765957449</v>
      </c>
      <c r="DJ309" s="528">
        <f t="shared" si="830"/>
        <v>0.31842818428184283</v>
      </c>
      <c r="DL309" s="173">
        <f t="shared" si="831"/>
        <v>9.3610458460209998</v>
      </c>
      <c r="DM309" s="173">
        <f t="shared" si="832"/>
        <v>9.3610458460209998</v>
      </c>
      <c r="DN309" s="173">
        <f t="shared" si="833"/>
        <v>5.6649722316204931</v>
      </c>
      <c r="DP309" s="545">
        <f t="shared" si="834"/>
        <v>2325</v>
      </c>
      <c r="DQ309" s="460">
        <f t="shared" si="835"/>
        <v>350</v>
      </c>
      <c r="DS309">
        <f t="shared" si="836"/>
        <v>2325</v>
      </c>
      <c r="DT309">
        <f t="shared" si="837"/>
        <v>350</v>
      </c>
      <c r="DV309" s="5">
        <f t="shared" si="867"/>
        <v>2.8571428571428572</v>
      </c>
      <c r="DW309" s="5">
        <f t="shared" si="838"/>
        <v>1.0999228869074673</v>
      </c>
      <c r="DX309" s="5">
        <f t="shared" si="839"/>
        <v>1.7572199702353899</v>
      </c>
      <c r="DY309" s="173">
        <f t="shared" si="840"/>
        <v>0.38497301041761356</v>
      </c>
      <c r="EA309" s="5">
        <f t="shared" si="868"/>
        <v>9.1332882573566483</v>
      </c>
      <c r="EB309" s="5">
        <f t="shared" si="869"/>
        <v>0.85244023735328733</v>
      </c>
      <c r="EC309" s="5">
        <f t="shared" si="870"/>
        <v>2.0427682153986408</v>
      </c>
      <c r="ED309" s="5"/>
      <c r="EE309" s="173">
        <f t="shared" si="871"/>
        <v>3.3533500149153426</v>
      </c>
      <c r="EF309" s="173">
        <f t="shared" si="872"/>
        <v>4.2384867725682804</v>
      </c>
      <c r="EG309" s="173">
        <f t="shared" si="873"/>
        <v>0.42732284674253973</v>
      </c>
      <c r="EH309" s="173"/>
      <c r="EI309" s="528">
        <f t="shared" si="874"/>
        <v>0.13493947587039273</v>
      </c>
      <c r="EJ309" s="528">
        <f t="shared" si="875"/>
        <v>4.2766405999839243</v>
      </c>
      <c r="EK309" s="528">
        <f t="shared" si="876"/>
        <v>4.0250000000000001E-2</v>
      </c>
      <c r="EL309" s="528">
        <f t="shared" si="877"/>
        <v>0.81355656375000007</v>
      </c>
      <c r="EM309">
        <f t="shared" si="878"/>
        <v>1.7999999999999999E-2</v>
      </c>
      <c r="EN309" s="460">
        <f t="shared" si="879"/>
        <v>58.249999999999993</v>
      </c>
      <c r="EP309" s="460">
        <f t="shared" si="880"/>
        <v>5283.3866396043168</v>
      </c>
      <c r="EQ309" s="173">
        <f t="shared" si="881"/>
        <v>1.6274999999999999</v>
      </c>
      <c r="ER309" s="173">
        <f t="shared" si="841"/>
        <v>0.11136750000000001</v>
      </c>
      <c r="ES309" s="528"/>
      <c r="EU309" s="460">
        <f t="shared" si="882"/>
        <v>1738.8675000000001</v>
      </c>
      <c r="EV309" s="528">
        <f t="shared" si="883"/>
        <v>0.15742938851545818</v>
      </c>
      <c r="EW309" s="528">
        <f t="shared" si="884"/>
        <v>0.25150678169730789</v>
      </c>
      <c r="EX309" s="528">
        <f t="shared" si="885"/>
        <v>9.1302407674074052E-4</v>
      </c>
      <c r="EY309" s="528">
        <f t="shared" si="886"/>
        <v>30.722110421127084</v>
      </c>
      <c r="EZ309" s="528"/>
      <c r="FA309" s="625">
        <f t="shared" si="887"/>
        <v>3.0670212765957459</v>
      </c>
      <c r="FB309" s="460">
        <f t="shared" si="888"/>
        <v>34198.98089201234</v>
      </c>
      <c r="FC309" s="173">
        <f t="shared" si="889"/>
        <v>41.221235031616651</v>
      </c>
      <c r="FD309" s="5">
        <f t="shared" si="890"/>
        <v>72.075000000000003</v>
      </c>
      <c r="FE309" s="173">
        <f t="shared" si="891"/>
        <v>0.63616412301685599</v>
      </c>
      <c r="FF309" s="5">
        <f t="shared" si="892"/>
        <v>63.6164123016856</v>
      </c>
      <c r="FG309">
        <f t="shared" si="893"/>
        <v>93</v>
      </c>
      <c r="FI309" s="562">
        <f t="shared" si="842"/>
        <v>-50</v>
      </c>
    </row>
    <row r="310" spans="5:169">
      <c r="E310" s="170">
        <v>94</v>
      </c>
      <c r="F310" s="217">
        <f t="shared" si="843"/>
        <v>2.3499999999999996</v>
      </c>
      <c r="G310" s="217">
        <f t="shared" si="772"/>
        <v>0.23499999999999999</v>
      </c>
      <c r="H310" s="217">
        <f t="shared" si="773"/>
        <v>65.799999999999983</v>
      </c>
      <c r="I310" s="217">
        <f t="shared" si="774"/>
        <v>7.05</v>
      </c>
      <c r="J310" s="541">
        <f t="shared" si="775"/>
        <v>39.845664362325017</v>
      </c>
      <c r="K310" s="443">
        <f t="shared" si="776"/>
        <v>28.762609903369995</v>
      </c>
      <c r="L310" s="172">
        <f t="shared" si="777"/>
        <v>68.608274265695016</v>
      </c>
      <c r="M310" s="443"/>
      <c r="N310" s="217">
        <f t="shared" si="778"/>
        <v>0.41922946191566945</v>
      </c>
      <c r="O310" s="172">
        <f t="shared" si="779"/>
        <v>125.7326182925045</v>
      </c>
      <c r="P310" s="172">
        <f t="shared" si="780"/>
        <v>14.914711098473109</v>
      </c>
      <c r="Q310" s="217">
        <f t="shared" si="781"/>
        <v>4.4904506533037321</v>
      </c>
      <c r="R310" s="217">
        <f t="shared" si="782"/>
        <v>4.191087276416817</v>
      </c>
      <c r="S310" s="217">
        <f t="shared" si="783"/>
        <v>28</v>
      </c>
      <c r="T310" s="217">
        <f t="shared" si="784"/>
        <v>8.7222129114927025</v>
      </c>
      <c r="U310" s="217">
        <f t="shared" si="785"/>
        <v>1.0288296440798421</v>
      </c>
      <c r="V310" s="217">
        <f t="shared" si="786"/>
        <v>1.4252670679656423</v>
      </c>
      <c r="W310" s="197">
        <f t="shared" si="787"/>
        <v>350</v>
      </c>
      <c r="X310" s="443">
        <f t="shared" si="844"/>
        <v>350</v>
      </c>
      <c r="Z310" s="217">
        <f t="shared" si="788"/>
        <v>10.154696918109353</v>
      </c>
      <c r="AA310" s="173">
        <f t="shared" si="789"/>
        <v>1.6593443945266584</v>
      </c>
      <c r="AB310" s="173">
        <f t="shared" si="790"/>
        <v>2.6634091324190727</v>
      </c>
      <c r="AC310" s="173"/>
      <c r="AD310" s="173">
        <f t="shared" si="791"/>
        <v>0.54468863289179703</v>
      </c>
      <c r="AE310" s="545">
        <f t="shared" si="792"/>
        <v>2588.6348913032994</v>
      </c>
      <c r="AF310" s="528">
        <f t="shared" si="793"/>
        <v>0.31773503585354829</v>
      </c>
      <c r="AH310" s="173">
        <f t="shared" si="794"/>
        <v>9.4112394811432001</v>
      </c>
      <c r="AI310" s="173">
        <f t="shared" si="795"/>
        <v>9.4112394811432001</v>
      </c>
      <c r="AJ310" s="173">
        <f t="shared" si="796"/>
        <v>5.7021527020813823</v>
      </c>
      <c r="AL310" s="545">
        <f t="shared" si="797"/>
        <v>2349.9999999999995</v>
      </c>
      <c r="AM310" s="460">
        <f t="shared" si="798"/>
        <v>350</v>
      </c>
      <c r="AO310">
        <f t="shared" si="799"/>
        <v>2349.9999999999995</v>
      </c>
      <c r="AP310">
        <f t="shared" si="800"/>
        <v>350</v>
      </c>
      <c r="AR310" s="5">
        <f t="shared" si="771"/>
        <v>2.8571428571428572</v>
      </c>
      <c r="AS310" s="5">
        <f t="shared" si="894"/>
        <v>1.1101038536879357</v>
      </c>
      <c r="AT310" s="5">
        <f t="shared" si="895"/>
        <v>1.7470390034549215</v>
      </c>
      <c r="AU310" s="173">
        <f t="shared" si="896"/>
        <v>0.38853634879077747</v>
      </c>
      <c r="BA310" s="173">
        <f t="shared" si="845"/>
        <v>3.3868972754979341</v>
      </c>
      <c r="BB310" s="173">
        <f t="shared" si="846"/>
        <v>4.2488511822649402</v>
      </c>
      <c r="BC310" s="173">
        <f t="shared" si="847"/>
        <v>0.42836778312998997</v>
      </c>
      <c r="BD310" s="173"/>
      <c r="BE310" s="528">
        <f t="shared" si="848"/>
        <v>0.13765287785730396</v>
      </c>
      <c r="BF310" s="528">
        <f t="shared" si="801"/>
        <v>4.1243378455716435</v>
      </c>
      <c r="BG310" s="528">
        <f t="shared" si="849"/>
        <v>4.0250000000000001E-2</v>
      </c>
      <c r="BH310" s="528">
        <f t="shared" si="850"/>
        <v>0.81138555194393847</v>
      </c>
      <c r="BI310">
        <f t="shared" si="851"/>
        <v>1.7930548963046258E-2</v>
      </c>
      <c r="BJ310" s="460">
        <f t="shared" si="852"/>
        <v>58.180548963046256</v>
      </c>
      <c r="BK310">
        <f t="shared" si="802"/>
        <v>5.2833412210028614</v>
      </c>
      <c r="BL310" s="460">
        <f t="shared" si="853"/>
        <v>5131.556824335933</v>
      </c>
      <c r="BM310" s="173">
        <f t="shared" si="803"/>
        <v>1.5759099999999995</v>
      </c>
      <c r="BN310" s="173">
        <f t="shared" si="804"/>
        <v>0.11256499999999998</v>
      </c>
      <c r="BQ310" s="460">
        <f t="shared" si="854"/>
        <v>1688.4749999999995</v>
      </c>
      <c r="BR310" s="528">
        <f t="shared" si="855"/>
        <v>0.16059502416685462</v>
      </c>
      <c r="BS310" s="528">
        <f t="shared" si="856"/>
        <v>0.25273830916647849</v>
      </c>
      <c r="BT310" s="528">
        <f t="shared" si="857"/>
        <v>9.1749478811851059E-4</v>
      </c>
      <c r="BU310" s="528">
        <f t="shared" si="858"/>
        <v>31.135595543389183</v>
      </c>
      <c r="BV310" s="528"/>
      <c r="BW310" s="625">
        <f t="shared" si="859"/>
        <v>3.0999999999999988</v>
      </c>
      <c r="BX310" s="460">
        <f t="shared" si="860"/>
        <v>34649.846371510634</v>
      </c>
      <c r="BY310" s="173">
        <f t="shared" si="861"/>
        <v>41.469878195846569</v>
      </c>
      <c r="BZ310" s="5">
        <f t="shared" si="862"/>
        <v>72.84999999999998</v>
      </c>
      <c r="CA310" s="173">
        <f t="shared" si="863"/>
        <v>0.63724700506763454</v>
      </c>
      <c r="CB310" s="5">
        <f t="shared" si="864"/>
        <v>63.724700506763455</v>
      </c>
      <c r="CC310">
        <f t="shared" si="865"/>
        <v>93.999999999999986</v>
      </c>
      <c r="CE310" s="562">
        <f t="shared" si="805"/>
        <v>-50</v>
      </c>
      <c r="CG310" s="173">
        <f t="shared" si="806"/>
        <v>0.52547597471245056</v>
      </c>
      <c r="CH310" s="173">
        <f t="shared" si="807"/>
        <v>0.1706039944599661</v>
      </c>
      <c r="CI310" s="170">
        <v>94</v>
      </c>
      <c r="CJ310" s="217">
        <f t="shared" si="866"/>
        <v>2.3499999999999996</v>
      </c>
      <c r="CK310" s="217">
        <f t="shared" si="808"/>
        <v>0.23499999999999999</v>
      </c>
      <c r="CL310" s="217">
        <f t="shared" si="809"/>
        <v>65.799999999999983</v>
      </c>
      <c r="CM310" s="217">
        <f t="shared" si="810"/>
        <v>7.05</v>
      </c>
      <c r="CN310" s="541">
        <f t="shared" si="811"/>
        <v>40</v>
      </c>
      <c r="CO310" s="443">
        <f t="shared" si="812"/>
        <v>28.7</v>
      </c>
      <c r="CP310" s="443">
        <f t="shared" si="813"/>
        <v>68.7</v>
      </c>
      <c r="CQ310" s="443"/>
      <c r="CR310" s="217">
        <f t="shared" si="814"/>
        <v>0.41520467836257302</v>
      </c>
      <c r="CS310" s="172">
        <f t="shared" si="815"/>
        <v>125.00786015217253</v>
      </c>
      <c r="CT310" s="172">
        <f t="shared" si="816"/>
        <v>14.828738512949037</v>
      </c>
      <c r="CU310" s="217">
        <f t="shared" si="817"/>
        <v>4.4645664340061613</v>
      </c>
      <c r="CV310" s="217">
        <f t="shared" si="818"/>
        <v>4.1669286717390843</v>
      </c>
      <c r="CW310" s="217">
        <f t="shared" si="819"/>
        <v>28</v>
      </c>
      <c r="CX310" s="217">
        <f t="shared" si="820"/>
        <v>8.7727816901408442</v>
      </c>
      <c r="CY310" s="217">
        <f t="shared" si="821"/>
        <v>1.0308018485915491</v>
      </c>
      <c r="CZ310" s="217">
        <f t="shared" si="822"/>
        <v>1.4366576286990231</v>
      </c>
      <c r="DA310" s="197">
        <f t="shared" si="823"/>
        <v>350</v>
      </c>
      <c r="DB310" s="443">
        <f t="shared" si="824"/>
        <v>350</v>
      </c>
      <c r="DD310" s="217">
        <f t="shared" si="825"/>
        <v>10.158258230357086</v>
      </c>
      <c r="DE310" s="173">
        <f t="shared" si="826"/>
        <v>1.6635475150758992</v>
      </c>
      <c r="DF310" s="173">
        <f t="shared" si="827"/>
        <v>2.6710919890125213</v>
      </c>
      <c r="DG310" s="173"/>
      <c r="DH310" s="173">
        <f t="shared" si="828"/>
        <v>0.54587688734030204</v>
      </c>
      <c r="DI310" s="545">
        <f t="shared" si="829"/>
        <v>2582.9999999999995</v>
      </c>
      <c r="DJ310" s="528">
        <f t="shared" si="830"/>
        <v>0.31842818428184283</v>
      </c>
      <c r="DL310" s="173">
        <f t="shared" si="831"/>
        <v>9.4112394811432001</v>
      </c>
      <c r="DM310" s="173">
        <f t="shared" si="832"/>
        <v>9.4112394811432001</v>
      </c>
      <c r="DN310" s="173">
        <f t="shared" si="833"/>
        <v>5.7021527020813823</v>
      </c>
      <c r="DP310" s="545">
        <f t="shared" si="834"/>
        <v>2349.9999999999995</v>
      </c>
      <c r="DQ310" s="460">
        <f t="shared" si="835"/>
        <v>350</v>
      </c>
      <c r="DS310">
        <f t="shared" si="836"/>
        <v>2349.9999999999995</v>
      </c>
      <c r="DT310">
        <f t="shared" si="837"/>
        <v>350</v>
      </c>
      <c r="DV310" s="5">
        <f t="shared" si="867"/>
        <v>2.8571428571428572</v>
      </c>
      <c r="DW310" s="5">
        <f t="shared" si="838"/>
        <v>1.1058206390343261</v>
      </c>
      <c r="DX310" s="5">
        <f t="shared" si="839"/>
        <v>1.7513222181085311</v>
      </c>
      <c r="DY310" s="173">
        <f t="shared" si="840"/>
        <v>0.38703722366201415</v>
      </c>
      <c r="EA310" s="5">
        <f t="shared" si="868"/>
        <v>9.2809946490380923</v>
      </c>
      <c r="EB310" s="5">
        <f t="shared" si="869"/>
        <v>0.86622616724355539</v>
      </c>
      <c r="EC310" s="5">
        <f t="shared" si="870"/>
        <v>2.0578036062775231</v>
      </c>
      <c r="ED310" s="5"/>
      <c r="EE310" s="173">
        <f t="shared" si="871"/>
        <v>3.3803569737560801</v>
      </c>
      <c r="EF310" s="173">
        <f t="shared" si="872"/>
        <v>4.2540564469442748</v>
      </c>
      <c r="EG310" s="173">
        <f t="shared" si="873"/>
        <v>0.42889257620831628</v>
      </c>
      <c r="EH310" s="173"/>
      <c r="EI310" s="528">
        <f t="shared" si="874"/>
        <v>0.13712175924025638</v>
      </c>
      <c r="EJ310" s="528">
        <f t="shared" si="875"/>
        <v>4.2995718131576766</v>
      </c>
      <c r="EK310" s="528">
        <f t="shared" si="876"/>
        <v>4.0250000000000001E-2</v>
      </c>
      <c r="EL310" s="528">
        <f t="shared" si="877"/>
        <v>0.81355656375000007</v>
      </c>
      <c r="EM310">
        <f t="shared" si="878"/>
        <v>1.7999999999999999E-2</v>
      </c>
      <c r="EN310" s="460">
        <f t="shared" si="879"/>
        <v>58.249999999999993</v>
      </c>
      <c r="EP310" s="460">
        <f t="shared" si="880"/>
        <v>5308.5001361479326</v>
      </c>
      <c r="EQ310" s="173">
        <f t="shared" si="881"/>
        <v>1.6449999999999996</v>
      </c>
      <c r="ER310" s="173">
        <f t="shared" si="841"/>
        <v>0.11256499999999998</v>
      </c>
      <c r="ES310" s="528"/>
      <c r="EU310" s="460">
        <f t="shared" si="882"/>
        <v>1757.5649999999996</v>
      </c>
      <c r="EV310" s="528">
        <f t="shared" si="883"/>
        <v>0.1599753857802991</v>
      </c>
      <c r="EW310" s="528">
        <f t="shared" si="884"/>
        <v>0.25335794755303409</v>
      </c>
      <c r="EX310" s="528">
        <f t="shared" si="885"/>
        <v>9.1974420963303186E-4</v>
      </c>
      <c r="EY310" s="528">
        <f t="shared" si="886"/>
        <v>31.135595543389183</v>
      </c>
      <c r="EZ310" s="528"/>
      <c r="FA310" s="625">
        <f t="shared" si="887"/>
        <v>3.0999999999999988</v>
      </c>
      <c r="FB310" s="460">
        <f t="shared" si="888"/>
        <v>34649.848620932149</v>
      </c>
      <c r="FC310" s="173">
        <f t="shared" si="889"/>
        <v>41.715913757080081</v>
      </c>
      <c r="FD310" s="5">
        <f t="shared" si="890"/>
        <v>72.84999999999998</v>
      </c>
      <c r="FE310" s="173">
        <f t="shared" si="891"/>
        <v>0.63587848785867962</v>
      </c>
      <c r="FF310" s="5">
        <f t="shared" si="892"/>
        <v>63.587848785867962</v>
      </c>
      <c r="FG310">
        <f t="shared" si="893"/>
        <v>93.999999999999986</v>
      </c>
      <c r="FI310" s="562">
        <f t="shared" si="842"/>
        <v>-50</v>
      </c>
    </row>
    <row r="311" spans="5:169">
      <c r="E311" s="170">
        <v>95</v>
      </c>
      <c r="F311" s="217">
        <f t="shared" si="843"/>
        <v>2.375</v>
      </c>
      <c r="G311" s="217">
        <f t="shared" si="772"/>
        <v>0.23749999999999999</v>
      </c>
      <c r="H311" s="217">
        <f t="shared" si="773"/>
        <v>66.5</v>
      </c>
      <c r="I311" s="217">
        <f t="shared" si="774"/>
        <v>7.125</v>
      </c>
      <c r="J311" s="541">
        <f t="shared" si="775"/>
        <v>39.844845599880976</v>
      </c>
      <c r="K311" s="443">
        <f t="shared" si="776"/>
        <v>28.762942053729279</v>
      </c>
      <c r="L311" s="172">
        <f t="shared" si="777"/>
        <v>68.607787653610259</v>
      </c>
      <c r="M311" s="443"/>
      <c r="N311" s="217">
        <f t="shared" si="778"/>
        <v>0.41923727666236332</v>
      </c>
      <c r="O311" s="172">
        <f t="shared" si="779"/>
        <v>125.73237839600556</v>
      </c>
      <c r="P311" s="172">
        <f t="shared" si="780"/>
        <v>14.914682641362903</v>
      </c>
      <c r="Q311" s="217">
        <f t="shared" si="781"/>
        <v>4.4904420855716269</v>
      </c>
      <c r="R311" s="217">
        <f t="shared" si="782"/>
        <v>4.1910792798668517</v>
      </c>
      <c r="S311" s="217">
        <f t="shared" si="783"/>
        <v>28</v>
      </c>
      <c r="T311" s="217">
        <f t="shared" si="784"/>
        <v>8.8150192295141103</v>
      </c>
      <c r="U311" s="217">
        <f t="shared" si="785"/>
        <v>1.0397979903036714</v>
      </c>
      <c r="V311" s="217">
        <f t="shared" si="786"/>
        <v>1.4404155980053719</v>
      </c>
      <c r="W311" s="197">
        <f t="shared" si="787"/>
        <v>350</v>
      </c>
      <c r="X311" s="443">
        <f t="shared" si="844"/>
        <v>350</v>
      </c>
      <c r="Z311" s="217">
        <f t="shared" si="788"/>
        <v>10.154677543055595</v>
      </c>
      <c r="AA311" s="173">
        <f t="shared" si="789"/>
        <v>1.6593220666789621</v>
      </c>
      <c r="AB311" s="173">
        <f t="shared" si="790"/>
        <v>2.6633682123641007</v>
      </c>
      <c r="AC311" s="173"/>
      <c r="AD311" s="173">
        <f t="shared" si="791"/>
        <v>0.5446823429050226</v>
      </c>
      <c r="AE311" s="545">
        <f t="shared" si="792"/>
        <v>2616.2037719083546</v>
      </c>
      <c r="AF311" s="528">
        <f t="shared" si="793"/>
        <v>0.31773136669459651</v>
      </c>
      <c r="AH311" s="173">
        <f t="shared" si="794"/>
        <v>9.461166831398236</v>
      </c>
      <c r="AI311" s="173">
        <f t="shared" si="795"/>
        <v>9.461166831398236</v>
      </c>
      <c r="AJ311" s="173">
        <f t="shared" si="796"/>
        <v>5.73913592449252</v>
      </c>
      <c r="AL311" s="545">
        <f t="shared" si="797"/>
        <v>2375</v>
      </c>
      <c r="AM311" s="460">
        <f t="shared" si="798"/>
        <v>350</v>
      </c>
      <c r="AO311">
        <f t="shared" si="799"/>
        <v>2375</v>
      </c>
      <c r="AP311">
        <f t="shared" si="800"/>
        <v>350</v>
      </c>
      <c r="AR311" s="5">
        <f t="shared" si="771"/>
        <v>2.8571428571428572</v>
      </c>
      <c r="AS311" s="5">
        <f t="shared" si="894"/>
        <v>1.1160159724073455</v>
      </c>
      <c r="AT311" s="5">
        <f t="shared" si="895"/>
        <v>1.7411268847355117</v>
      </c>
      <c r="AU311" s="173">
        <f t="shared" si="896"/>
        <v>0.39060559034257092</v>
      </c>
      <c r="BA311" s="173">
        <f t="shared" si="845"/>
        <v>3.4139196907814156</v>
      </c>
      <c r="BB311" s="173">
        <f t="shared" si="846"/>
        <v>4.2641581758589782</v>
      </c>
      <c r="BC311" s="173">
        <f t="shared" si="847"/>
        <v>0.42991102920545438</v>
      </c>
      <c r="BD311" s="173"/>
      <c r="BE311" s="528">
        <f t="shared" si="848"/>
        <v>0.13985817186126093</v>
      </c>
      <c r="BF311" s="528">
        <f t="shared" si="801"/>
        <v>4.1461883679517362</v>
      </c>
      <c r="BG311" s="528">
        <f t="shared" si="849"/>
        <v>4.0250000000000001E-2</v>
      </c>
      <c r="BH311" s="528">
        <f t="shared" si="850"/>
        <v>0.81137404229385579</v>
      </c>
      <c r="BI311">
        <f t="shared" si="851"/>
        <v>1.793018051994644E-2</v>
      </c>
      <c r="BJ311" s="460">
        <f t="shared" si="852"/>
        <v>58.180180519946447</v>
      </c>
      <c r="BK311">
        <f t="shared" si="802"/>
        <v>5.3116913957791061</v>
      </c>
      <c r="BL311" s="460">
        <f t="shared" si="853"/>
        <v>5155.6007626267992</v>
      </c>
      <c r="BM311" s="173">
        <f t="shared" si="803"/>
        <v>1.5926749999999998</v>
      </c>
      <c r="BN311" s="173">
        <f t="shared" si="804"/>
        <v>0.11376249999999999</v>
      </c>
      <c r="BQ311" s="460">
        <f t="shared" si="854"/>
        <v>1706.4374999999998</v>
      </c>
      <c r="BR311" s="528">
        <f t="shared" si="855"/>
        <v>0.16316786717147108</v>
      </c>
      <c r="BS311" s="528">
        <f t="shared" si="856"/>
        <v>0.25456262928242956</v>
      </c>
      <c r="BT311" s="528">
        <f t="shared" si="857"/>
        <v>9.241174651624652E-4</v>
      </c>
      <c r="BU311" s="528">
        <f t="shared" si="858"/>
        <v>31.550181841981313</v>
      </c>
      <c r="BV311" s="528"/>
      <c r="BW311" s="625">
        <f t="shared" si="859"/>
        <v>3.1329787234042552</v>
      </c>
      <c r="BX311" s="460">
        <f t="shared" si="860"/>
        <v>35101.815179304627</v>
      </c>
      <c r="BY311" s="173">
        <f t="shared" si="861"/>
        <v>41.963853441931434</v>
      </c>
      <c r="BZ311" s="5">
        <f t="shared" si="862"/>
        <v>73.625</v>
      </c>
      <c r="CA311" s="173">
        <f t="shared" si="863"/>
        <v>0.63695588119132196</v>
      </c>
      <c r="CB311" s="5">
        <f t="shared" si="864"/>
        <v>63.695588119132196</v>
      </c>
      <c r="CC311">
        <f t="shared" si="865"/>
        <v>95</v>
      </c>
      <c r="CE311" s="562">
        <f t="shared" si="805"/>
        <v>-50</v>
      </c>
      <c r="CG311" s="173">
        <f t="shared" si="806"/>
        <v>0.52826366522788593</v>
      </c>
      <c r="CH311" s="173">
        <f t="shared" si="807"/>
        <v>0.1715090617896603</v>
      </c>
      <c r="CI311" s="170">
        <v>95</v>
      </c>
      <c r="CJ311" s="217">
        <f t="shared" si="866"/>
        <v>2.375</v>
      </c>
      <c r="CK311" s="217">
        <f t="shared" si="808"/>
        <v>0.23749999999999999</v>
      </c>
      <c r="CL311" s="217">
        <f t="shared" si="809"/>
        <v>66.5</v>
      </c>
      <c r="CM311" s="217">
        <f t="shared" si="810"/>
        <v>7.125</v>
      </c>
      <c r="CN311" s="541">
        <f t="shared" si="811"/>
        <v>40</v>
      </c>
      <c r="CO311" s="443">
        <f t="shared" si="812"/>
        <v>28.7</v>
      </c>
      <c r="CP311" s="443">
        <f t="shared" si="813"/>
        <v>68.7</v>
      </c>
      <c r="CQ311" s="443"/>
      <c r="CR311" s="217">
        <f t="shared" si="814"/>
        <v>0.41520467836257302</v>
      </c>
      <c r="CS311" s="172">
        <f t="shared" si="815"/>
        <v>125.00786015217253</v>
      </c>
      <c r="CT311" s="172">
        <f t="shared" si="816"/>
        <v>14.828738512949037</v>
      </c>
      <c r="CU311" s="217">
        <f t="shared" si="817"/>
        <v>4.4645664340061613</v>
      </c>
      <c r="CV311" s="217">
        <f t="shared" si="818"/>
        <v>4.1669286717390843</v>
      </c>
      <c r="CW311" s="217">
        <f t="shared" si="819"/>
        <v>28</v>
      </c>
      <c r="CX311" s="217">
        <f t="shared" si="820"/>
        <v>8.8661091549295801</v>
      </c>
      <c r="CY311" s="217">
        <f t="shared" si="821"/>
        <v>1.0417678257042258</v>
      </c>
      <c r="CZ311" s="217">
        <f t="shared" si="822"/>
        <v>1.4519412204936943</v>
      </c>
      <c r="DA311" s="197">
        <f t="shared" si="823"/>
        <v>350</v>
      </c>
      <c r="DB311" s="443">
        <f t="shared" si="824"/>
        <v>350</v>
      </c>
      <c r="DD311" s="217">
        <f t="shared" si="825"/>
        <v>10.158258230357086</v>
      </c>
      <c r="DE311" s="173">
        <f t="shared" si="826"/>
        <v>1.6635475150758992</v>
      </c>
      <c r="DF311" s="173">
        <f t="shared" si="827"/>
        <v>2.6710919890125213</v>
      </c>
      <c r="DG311" s="173"/>
      <c r="DH311" s="173">
        <f t="shared" si="828"/>
        <v>0.54587688734030204</v>
      </c>
      <c r="DI311" s="545">
        <f t="shared" si="829"/>
        <v>2610.4787234042551</v>
      </c>
      <c r="DJ311" s="528">
        <f t="shared" si="830"/>
        <v>0.31842818428184283</v>
      </c>
      <c r="DL311" s="173">
        <f t="shared" si="831"/>
        <v>9.461166831398236</v>
      </c>
      <c r="DM311" s="173">
        <f t="shared" si="832"/>
        <v>9.461166831398236</v>
      </c>
      <c r="DN311" s="173">
        <f t="shared" si="833"/>
        <v>5.73913592449252</v>
      </c>
      <c r="DP311" s="545">
        <f t="shared" si="834"/>
        <v>2375</v>
      </c>
      <c r="DQ311" s="460">
        <f t="shared" si="835"/>
        <v>350</v>
      </c>
      <c r="DS311">
        <f t="shared" si="836"/>
        <v>2375</v>
      </c>
      <c r="DT311">
        <f t="shared" si="837"/>
        <v>350</v>
      </c>
      <c r="DV311" s="5">
        <f t="shared" si="867"/>
        <v>2.8571428571428572</v>
      </c>
      <c r="DW311" s="5">
        <f t="shared" si="838"/>
        <v>1.1116871026892929</v>
      </c>
      <c r="DX311" s="5">
        <f t="shared" si="839"/>
        <v>1.7454557544535643</v>
      </c>
      <c r="DY311" s="173">
        <f t="shared" si="840"/>
        <v>0.38909048594125251</v>
      </c>
      <c r="EA311" s="5">
        <f t="shared" si="868"/>
        <v>9.4294888174538229</v>
      </c>
      <c r="EB311" s="5">
        <f t="shared" si="869"/>
        <v>0.88008562296235682</v>
      </c>
      <c r="EC311" s="5">
        <f t="shared" si="870"/>
        <v>2.0727287084136075</v>
      </c>
      <c r="ED311" s="5"/>
      <c r="EE311" s="173">
        <f t="shared" si="871"/>
        <v>3.4072921994884613</v>
      </c>
      <c r="EF311" s="173">
        <f t="shared" si="872"/>
        <v>4.2694557581915671</v>
      </c>
      <c r="EG311" s="173">
        <f t="shared" si="873"/>
        <v>0.43044512971931376</v>
      </c>
      <c r="EH311" s="173"/>
      <c r="EI311" s="528">
        <f t="shared" si="874"/>
        <v>0.13931568159233901</v>
      </c>
      <c r="EJ311" s="528">
        <f t="shared" si="875"/>
        <v>4.322381372758441</v>
      </c>
      <c r="EK311" s="528">
        <f t="shared" si="876"/>
        <v>4.0250000000000001E-2</v>
      </c>
      <c r="EL311" s="528">
        <f t="shared" si="877"/>
        <v>0.81355656375000007</v>
      </c>
      <c r="EM311">
        <f t="shared" si="878"/>
        <v>1.7999999999999999E-2</v>
      </c>
      <c r="EN311" s="460">
        <f t="shared" si="879"/>
        <v>58.249999999999993</v>
      </c>
      <c r="EP311" s="460">
        <f t="shared" si="880"/>
        <v>5333.5036181007799</v>
      </c>
      <c r="EQ311" s="173">
        <f t="shared" si="881"/>
        <v>1.6624999999999999</v>
      </c>
      <c r="ER311" s="173">
        <f t="shared" si="841"/>
        <v>0.11376249999999999</v>
      </c>
      <c r="ES311" s="528"/>
      <c r="EU311" s="460">
        <f t="shared" si="882"/>
        <v>1776.2624999999998</v>
      </c>
      <c r="EV311" s="528">
        <f t="shared" si="883"/>
        <v>0.16253496185772884</v>
      </c>
      <c r="EW311" s="528">
        <f t="shared" si="884"/>
        <v>0.25519553459617184</v>
      </c>
      <c r="EX311" s="528">
        <f t="shared" si="885"/>
        <v>9.2641504849538424E-4</v>
      </c>
      <c r="EY311" s="528">
        <f t="shared" si="886"/>
        <v>31.550181841981313</v>
      </c>
      <c r="EZ311" s="528"/>
      <c r="FA311" s="625">
        <f t="shared" si="887"/>
        <v>3.1329787234042552</v>
      </c>
      <c r="FB311" s="460">
        <f t="shared" si="888"/>
        <v>35101.817476887969</v>
      </c>
      <c r="FC311" s="173">
        <f t="shared" si="889"/>
        <v>42.211583594988745</v>
      </c>
      <c r="FD311" s="5">
        <f t="shared" si="890"/>
        <v>73.625</v>
      </c>
      <c r="FE311" s="173">
        <f t="shared" si="891"/>
        <v>0.63559367615176388</v>
      </c>
      <c r="FF311" s="5">
        <f t="shared" si="892"/>
        <v>63.559367615176384</v>
      </c>
      <c r="FG311">
        <f t="shared" si="893"/>
        <v>95</v>
      </c>
      <c r="FI311" s="562">
        <f t="shared" si="842"/>
        <v>-50</v>
      </c>
    </row>
    <row r="312" spans="5:169">
      <c r="E312" s="170">
        <v>96</v>
      </c>
      <c r="F312" s="217">
        <f t="shared" si="843"/>
        <v>2.4</v>
      </c>
      <c r="G312" s="217">
        <f t="shared" si="772"/>
        <v>0.24</v>
      </c>
      <c r="H312" s="217">
        <f t="shared" si="773"/>
        <v>67.2</v>
      </c>
      <c r="I312" s="217">
        <f t="shared" si="774"/>
        <v>7.1999999999999993</v>
      </c>
      <c r="J312" s="541">
        <f t="shared" si="775"/>
        <v>39.844031135491583</v>
      </c>
      <c r="K312" s="443">
        <f t="shared" si="776"/>
        <v>28.763272460480994</v>
      </c>
      <c r="L312" s="172">
        <f t="shared" si="777"/>
        <v>68.607303595972581</v>
      </c>
      <c r="M312" s="443"/>
      <c r="N312" s="217">
        <f t="shared" si="778"/>
        <v>0.41924505049589894</v>
      </c>
      <c r="O312" s="172">
        <f>N312*J312*Isw_max*0.5*Efficiency*Pout/(Pout+Pout2)</f>
        <v>125.73213969625309</v>
      </c>
      <c r="P312" s="172">
        <f t="shared" si="780"/>
        <v>14.914654326213695</v>
      </c>
      <c r="Q312" s="217">
        <f t="shared" si="781"/>
        <v>4.4904335605804677</v>
      </c>
      <c r="R312" s="217">
        <f t="shared" si="782"/>
        <v>4.191071323208436</v>
      </c>
      <c r="S312" s="217">
        <f t="shared" si="783"/>
        <v>28</v>
      </c>
      <c r="T312" s="217">
        <f t="shared" si="784"/>
        <v>8.907825816897132</v>
      </c>
      <c r="U312" s="217">
        <f t="shared" si="785"/>
        <v>1.0507667057343288</v>
      </c>
      <c r="V312" s="217">
        <f t="shared" si="786"/>
        <v>1.4555639104326172</v>
      </c>
      <c r="W312" s="197">
        <f t="shared" si="787"/>
        <v>350</v>
      </c>
      <c r="X312" s="443">
        <f t="shared" si="844"/>
        <v>350</v>
      </c>
      <c r="Z312" s="217">
        <f t="shared" si="788"/>
        <v>10.154658264656133</v>
      </c>
      <c r="AA312" s="173">
        <f t="shared" si="789"/>
        <v>1.6592998557260026</v>
      </c>
      <c r="AB312" s="173">
        <f>0.5*AA312*Z312*Nps*W312/1000*(Pout/(Pout+Pout2))</f>
        <v>2.6633275054227363</v>
      </c>
      <c r="AC312" s="173"/>
      <c r="AD312" s="173">
        <f t="shared" si="791"/>
        <v>0.54467608608136375</v>
      </c>
      <c r="AE312" s="545">
        <f>MAX(10, F312/(0.5*AD312/1000000*Isw_min*Nps)/1000*Pout_total/Pout)</f>
        <v>2643.7731282825084</v>
      </c>
      <c r="AF312" s="528">
        <f t="shared" si="793"/>
        <v>0.3177277168807956</v>
      </c>
      <c r="AH312" s="173">
        <f t="shared" si="794"/>
        <v>9.5108320903941799</v>
      </c>
      <c r="AI312" s="173">
        <f>MAX(IF(F312&gt;AB312,T312,AH312),Isw_min)</f>
        <v>9.5108320903941799</v>
      </c>
      <c r="AJ312" s="173">
        <f>IF(F312&gt;AF312, (AI312-Isw_min)/1.08*0.8+1.2, AE312*0.2/350+1)</f>
        <v>5.7759250052302562</v>
      </c>
      <c r="AL312" s="545">
        <f t="shared" si="797"/>
        <v>2400</v>
      </c>
      <c r="AM312" s="460">
        <f t="shared" si="798"/>
        <v>350</v>
      </c>
      <c r="AO312">
        <f t="shared" si="799"/>
        <v>2400</v>
      </c>
      <c r="AP312">
        <f t="shared" si="800"/>
        <v>350</v>
      </c>
      <c r="AR312" s="5">
        <f t="shared" si="771"/>
        <v>2.8571428571428572</v>
      </c>
      <c r="AS312" s="5">
        <f t="shared" si="894"/>
        <v>1.1218972968082723</v>
      </c>
      <c r="AT312" s="5">
        <f t="shared" si="895"/>
        <v>1.7352455603345849</v>
      </c>
      <c r="AU312" s="173">
        <f t="shared" si="896"/>
        <v>0.39266405388289533</v>
      </c>
      <c r="BA312" s="173">
        <f t="shared" si="845"/>
        <v>3.4408715472413318</v>
      </c>
      <c r="BB312" s="173">
        <f t="shared" si="846"/>
        <v>4.2792965168676513</v>
      </c>
      <c r="BC312" s="173">
        <f t="shared" si="847"/>
        <v>0.43143727178255836</v>
      </c>
      <c r="BD312" s="173"/>
      <c r="BE312" s="528">
        <f t="shared" si="848"/>
        <v>0.14207516405537948</v>
      </c>
      <c r="BF312" s="528">
        <f t="shared" si="801"/>
        <v>4.1679238791178994</v>
      </c>
      <c r="BG312" s="528">
        <f t="shared" si="849"/>
        <v>4.0250000000000001E-2</v>
      </c>
      <c r="BH312" s="528">
        <f t="shared" si="850"/>
        <v>0.81136259314412806</v>
      </c>
      <c r="BI312">
        <f t="shared" si="851"/>
        <v>1.7929814010971212E-2</v>
      </c>
      <c r="BJ312" s="460">
        <f t="shared" si="852"/>
        <v>58.179814010971214</v>
      </c>
      <c r="BK312">
        <f t="shared" si="802"/>
        <v>5.3399840884355818</v>
      </c>
      <c r="BL312" s="460">
        <f t="shared" si="853"/>
        <v>5179.5414503283782</v>
      </c>
      <c r="BM312" s="173">
        <f t="shared" si="803"/>
        <v>1.60944</v>
      </c>
      <c r="BN312" s="173">
        <f t="shared" si="804"/>
        <v>0.11495999999999999</v>
      </c>
      <c r="BQ312" s="460">
        <f t="shared" si="854"/>
        <v>1724.3999999999999</v>
      </c>
      <c r="BR312" s="528">
        <f t="shared" si="855"/>
        <v>0.16575435806460939</v>
      </c>
      <c r="BS312" s="528">
        <f t="shared" si="856"/>
        <v>0.2563733015098586</v>
      </c>
      <c r="BT312" s="528">
        <f t="shared" si="857"/>
        <v>9.3069059741588561E-4</v>
      </c>
      <c r="BU312" s="528">
        <f t="shared" si="858"/>
        <v>31.965860611633598</v>
      </c>
      <c r="BV312" s="528"/>
      <c r="BW312" s="625">
        <f t="shared" si="859"/>
        <v>3.1659574468085108</v>
      </c>
      <c r="BX312" s="460">
        <f t="shared" si="860"/>
        <v>35554.876408613993</v>
      </c>
      <c r="BY312" s="173">
        <f t="shared" si="861"/>
        <v>42.458817858942375</v>
      </c>
      <c r="BZ312" s="5">
        <f t="shared" si="862"/>
        <v>74.400000000000006</v>
      </c>
      <c r="CA312" s="173">
        <f t="shared" si="863"/>
        <v>0.63666569081510438</v>
      </c>
      <c r="CB312" s="5">
        <f t="shared" si="864"/>
        <v>63.666569081510438</v>
      </c>
      <c r="CC312">
        <f t="shared" si="865"/>
        <v>96</v>
      </c>
      <c r="CE312" s="562">
        <f t="shared" si="805"/>
        <v>-50</v>
      </c>
      <c r="CG312" s="173">
        <f t="shared" si="806"/>
        <v>0.53103672189407025</v>
      </c>
      <c r="CH312" s="173">
        <f t="shared" si="807"/>
        <v>0.17240937801129866</v>
      </c>
      <c r="CI312" s="170">
        <v>96</v>
      </c>
      <c r="CJ312" s="217">
        <f t="shared" si="866"/>
        <v>2.4</v>
      </c>
      <c r="CK312" s="217">
        <f t="shared" si="808"/>
        <v>0.24</v>
      </c>
      <c r="CL312" s="217">
        <f t="shared" si="809"/>
        <v>67.2</v>
      </c>
      <c r="CM312" s="217">
        <f t="shared" si="810"/>
        <v>7.1999999999999993</v>
      </c>
      <c r="CN312" s="541">
        <f t="shared" si="811"/>
        <v>40</v>
      </c>
      <c r="CO312" s="443">
        <f t="shared" si="812"/>
        <v>28.7</v>
      </c>
      <c r="CP312" s="443">
        <f t="shared" si="813"/>
        <v>68.7</v>
      </c>
      <c r="CQ312" s="443"/>
      <c r="CR312" s="217">
        <f t="shared" si="814"/>
        <v>0.41520467836257302</v>
      </c>
      <c r="CS312" s="172">
        <f t="shared" si="815"/>
        <v>125.00786015217253</v>
      </c>
      <c r="CT312" s="172">
        <f t="shared" si="816"/>
        <v>14.828738512949037</v>
      </c>
      <c r="CU312" s="217">
        <f t="shared" si="817"/>
        <v>4.4645664340061613</v>
      </c>
      <c r="CV312" s="217">
        <f t="shared" si="818"/>
        <v>4.1669286717390843</v>
      </c>
      <c r="CW312" s="217">
        <f t="shared" si="819"/>
        <v>28</v>
      </c>
      <c r="CX312" s="217">
        <f t="shared" si="820"/>
        <v>8.9594366197183124</v>
      </c>
      <c r="CY312" s="217">
        <f t="shared" si="821"/>
        <v>1.0527338028169015</v>
      </c>
      <c r="CZ312" s="217">
        <f t="shared" si="822"/>
        <v>1.4672248122883647</v>
      </c>
      <c r="DA312" s="197">
        <f t="shared" si="823"/>
        <v>350</v>
      </c>
      <c r="DB312" s="443">
        <f t="shared" si="824"/>
        <v>350</v>
      </c>
      <c r="DD312" s="217">
        <f t="shared" si="825"/>
        <v>10.158258230357086</v>
      </c>
      <c r="DE312" s="173">
        <f t="shared" si="826"/>
        <v>1.6635475150758992</v>
      </c>
      <c r="DF312" s="173">
        <f t="shared" si="827"/>
        <v>2.6710919890125213</v>
      </c>
      <c r="DG312" s="173"/>
      <c r="DH312" s="173">
        <f t="shared" si="828"/>
        <v>0.54587688734030204</v>
      </c>
      <c r="DI312" s="545">
        <f t="shared" si="829"/>
        <v>2637.9574468085107</v>
      </c>
      <c r="DJ312" s="528">
        <f t="shared" si="830"/>
        <v>0.31842818428184283</v>
      </c>
      <c r="DL312" s="173">
        <f t="shared" si="831"/>
        <v>9.5108320903941799</v>
      </c>
      <c r="DM312" s="173">
        <f t="shared" si="832"/>
        <v>9.5108320903941799</v>
      </c>
      <c r="DN312" s="173">
        <f t="shared" si="833"/>
        <v>5.7759250052302562</v>
      </c>
      <c r="DP312" s="545">
        <f t="shared" si="834"/>
        <v>2400</v>
      </c>
      <c r="DQ312" s="460">
        <f t="shared" si="835"/>
        <v>350</v>
      </c>
      <c r="DS312">
        <f t="shared" si="836"/>
        <v>2400</v>
      </c>
      <c r="DT312">
        <f t="shared" si="837"/>
        <v>350</v>
      </c>
      <c r="DV312" s="5">
        <f t="shared" si="867"/>
        <v>2.8571428571428572</v>
      </c>
      <c r="DW312" s="5">
        <f t="shared" si="838"/>
        <v>1.1175227706213162</v>
      </c>
      <c r="DX312" s="5">
        <f t="shared" si="839"/>
        <v>1.739620086521541</v>
      </c>
      <c r="DY312" s="173">
        <f t="shared" si="840"/>
        <v>0.39113296971746064</v>
      </c>
      <c r="EA312" s="5">
        <f t="shared" si="868"/>
        <v>9.5787666053255673</v>
      </c>
      <c r="EB312" s="5">
        <f t="shared" si="869"/>
        <v>0.89401821649705304</v>
      </c>
      <c r="EC312" s="5">
        <f t="shared" si="870"/>
        <v>2.0875441038258491</v>
      </c>
      <c r="ED312" s="5"/>
      <c r="EE312" s="173">
        <f t="shared" si="871"/>
        <v>3.4341566347632981</v>
      </c>
      <c r="EF312" s="173">
        <f t="shared" si="872"/>
        <v>4.2846871404808304</v>
      </c>
      <c r="EG312" s="173">
        <f t="shared" si="873"/>
        <v>0.43198075268782143</v>
      </c>
      <c r="EH312" s="173"/>
      <c r="EI312" s="528">
        <f t="shared" si="874"/>
        <v>0.14152118150506537</v>
      </c>
      <c r="EJ312" s="528">
        <f t="shared" si="875"/>
        <v>4.3450711946570335</v>
      </c>
      <c r="EK312" s="528">
        <f t="shared" si="876"/>
        <v>4.0250000000000001E-2</v>
      </c>
      <c r="EL312" s="528">
        <f t="shared" si="877"/>
        <v>0.81355656375000007</v>
      </c>
      <c r="EM312">
        <f t="shared" si="878"/>
        <v>1.7999999999999999E-2</v>
      </c>
      <c r="EN312" s="460">
        <f t="shared" si="879"/>
        <v>58.249999999999993</v>
      </c>
      <c r="EP312" s="460">
        <f t="shared" si="880"/>
        <v>5358.3989399120983</v>
      </c>
      <c r="EQ312" s="173">
        <f t="shared" si="881"/>
        <v>1.68</v>
      </c>
      <c r="ER312" s="173">
        <f t="shared" si="841"/>
        <v>0.11495999999999999</v>
      </c>
      <c r="ES312" s="528"/>
      <c r="EU312" s="460">
        <f t="shared" si="882"/>
        <v>1794.9599999999998</v>
      </c>
      <c r="EV312" s="528">
        <f t="shared" si="883"/>
        <v>0.16510804508924293</v>
      </c>
      <c r="EW312" s="528">
        <f t="shared" si="884"/>
        <v>0.25701961448522515</v>
      </c>
      <c r="EX312" s="528">
        <f t="shared" si="885"/>
        <v>9.3303685346368377E-4</v>
      </c>
      <c r="EY312" s="528">
        <f t="shared" si="886"/>
        <v>31.965860611633598</v>
      </c>
      <c r="EZ312" s="528"/>
      <c r="FA312" s="625">
        <f t="shared" si="887"/>
        <v>3.1659574468085108</v>
      </c>
      <c r="FB312" s="460">
        <f t="shared" si="888"/>
        <v>35554.878754870042</v>
      </c>
      <c r="FC312" s="173">
        <f t="shared" si="889"/>
        <v>42.708237694782142</v>
      </c>
      <c r="FD312" s="5">
        <f t="shared" si="890"/>
        <v>74.400000000000006</v>
      </c>
      <c r="FE312" s="173">
        <f t="shared" si="891"/>
        <v>0.63530970548722521</v>
      </c>
      <c r="FF312" s="5">
        <f t="shared" si="892"/>
        <v>63.530970548722522</v>
      </c>
      <c r="FG312">
        <f t="shared" si="893"/>
        <v>96</v>
      </c>
      <c r="FI312" s="562">
        <f t="shared" si="842"/>
        <v>-50</v>
      </c>
    </row>
    <row r="313" spans="5:169">
      <c r="E313" s="170">
        <v>97</v>
      </c>
      <c r="F313" s="217">
        <f>IF(PLOT_TYPE=1, E313/100*Iout_max, min_I*EXP(O313*rr/100))</f>
        <v>2.4249999999999998</v>
      </c>
      <c r="G313" s="217">
        <f t="shared" si="772"/>
        <v>0.24249999999999999</v>
      </c>
      <c r="H313" s="217">
        <f t="shared" si="773"/>
        <v>67.899999999999991</v>
      </c>
      <c r="I313" s="217">
        <f t="shared" si="774"/>
        <v>7.2749999999999995</v>
      </c>
      <c r="J313" s="541">
        <f t="shared" si="775"/>
        <v>39.843220902171893</v>
      </c>
      <c r="K313" s="443">
        <f t="shared" si="776"/>
        <v>28.763601150799168</v>
      </c>
      <c r="L313" s="172">
        <f t="shared" si="777"/>
        <v>68.606822052971069</v>
      </c>
      <c r="M313" s="443"/>
      <c r="N313" s="217">
        <f t="shared" si="778"/>
        <v>0.41925278405390792</v>
      </c>
      <c r="O313" s="172">
        <f>N313*J313*Isw_max*0.5*Efficiency*Pout/(Pout+Pout2)</f>
        <v>125.73190217459457</v>
      </c>
      <c r="P313" s="172">
        <f t="shared" si="780"/>
        <v>14.914626150812875</v>
      </c>
      <c r="Q313" s="217">
        <f t="shared" si="781"/>
        <v>4.4904250776640913</v>
      </c>
      <c r="R313" s="217">
        <f t="shared" si="782"/>
        <v>4.1910634058198193</v>
      </c>
      <c r="S313" s="217">
        <f t="shared" si="783"/>
        <v>28</v>
      </c>
      <c r="T313" s="217">
        <f t="shared" si="784"/>
        <v>9.0006326723285</v>
      </c>
      <c r="U313" s="217">
        <f t="shared" si="785"/>
        <v>1.0617357884748213</v>
      </c>
      <c r="V313" s="217">
        <f t="shared" si="786"/>
        <v>1.4707120064056585</v>
      </c>
      <c r="W313" s="197">
        <f t="shared" si="787"/>
        <v>350</v>
      </c>
      <c r="X313" s="443">
        <f t="shared" si="844"/>
        <v>350</v>
      </c>
      <c r="Z313" s="217">
        <f t="shared" si="788"/>
        <v>10.154639081404513</v>
      </c>
      <c r="AA313" s="173">
        <f t="shared" si="789"/>
        <v>1.6592777598459771</v>
      </c>
      <c r="AB313" s="173">
        <f>0.5*AA313*Z313*Nps*W313/1000*(Pout/(Pout+Pout2))</f>
        <v>2.6632870082736364</v>
      </c>
      <c r="AC313" s="173"/>
      <c r="AD313" s="173">
        <f t="shared" si="791"/>
        <v>0.54466986190397038</v>
      </c>
      <c r="AE313" s="545">
        <f>MAX(10, F313/(0.5*AD313/1000000*Isw_min*Nps)/1000*Pout_total/Pout)</f>
        <v>2671.3429579412414</v>
      </c>
      <c r="AF313" s="528">
        <f t="shared" si="793"/>
        <v>0.3177240861106494</v>
      </c>
      <c r="AH313" s="173">
        <f t="shared" si="794"/>
        <v>9.5602393428090124</v>
      </c>
      <c r="AI313" s="173">
        <f>MAX(IF(F313&gt;AB313,T313,AH313),Isw_min)</f>
        <v>9.5602393428090124</v>
      </c>
      <c r="AJ313" s="173">
        <f>IF(F313&gt;AF313, (AI313-Isw_min)/1.08*0.8+1.2, AE313*0.2/350+1)</f>
        <v>5.812522969981984</v>
      </c>
      <c r="AL313" s="545">
        <f t="shared" si="797"/>
        <v>2425</v>
      </c>
      <c r="AM313" s="460">
        <f t="shared" si="798"/>
        <v>350</v>
      </c>
      <c r="AO313">
        <f t="shared" si="799"/>
        <v>2425</v>
      </c>
      <c r="AP313">
        <f t="shared" si="800"/>
        <v>350</v>
      </c>
      <c r="AR313" s="5">
        <f t="shared" si="771"/>
        <v>2.8571428571428572</v>
      </c>
      <c r="AS313" s="5">
        <f t="shared" si="894"/>
        <v>1.1277483068331207</v>
      </c>
      <c r="AT313" s="5">
        <f t="shared" si="895"/>
        <v>1.7293945503097365</v>
      </c>
      <c r="AU313" s="173">
        <f t="shared" si="896"/>
        <v>0.39471190739159223</v>
      </c>
      <c r="BA313" s="173">
        <f t="shared" si="845"/>
        <v>3.4677537636654048</v>
      </c>
      <c r="BB313" s="173">
        <f t="shared" si="846"/>
        <v>4.2942685754986867</v>
      </c>
      <c r="BC313" s="173">
        <f t="shared" si="847"/>
        <v>0.43294674982486758</v>
      </c>
      <c r="BD313" s="173"/>
      <c r="BE313" s="528">
        <f t="shared" si="848"/>
        <v>0.14430379398498697</v>
      </c>
      <c r="BF313" s="528">
        <f t="shared" si="801"/>
        <v>4.1895461715136317</v>
      </c>
      <c r="BG313" s="528">
        <f t="shared" si="849"/>
        <v>4.0250000000000001E-2</v>
      </c>
      <c r="BH313" s="528">
        <f t="shared" si="850"/>
        <v>0.81135120355186041</v>
      </c>
      <c r="BI313">
        <f t="shared" si="851"/>
        <v>1.7929449405977353E-2</v>
      </c>
      <c r="BJ313" s="460">
        <f t="shared" si="852"/>
        <v>58.179449405977358</v>
      </c>
      <c r="BK313">
        <f t="shared" si="802"/>
        <v>5.3682211449591497</v>
      </c>
      <c r="BL313" s="460">
        <f t="shared" si="853"/>
        <v>5203.3806184564555</v>
      </c>
      <c r="BM313" s="173">
        <f t="shared" si="803"/>
        <v>1.6262049999999997</v>
      </c>
      <c r="BN313" s="173">
        <f t="shared" si="804"/>
        <v>0.1161575</v>
      </c>
      <c r="BQ313" s="460">
        <f t="shared" si="854"/>
        <v>1742.3624999999995</v>
      </c>
      <c r="BR313" s="528">
        <f t="shared" si="855"/>
        <v>0.16835442631581812</v>
      </c>
      <c r="BS313" s="528">
        <f t="shared" si="856"/>
        <v>0.25817039637921729</v>
      </c>
      <c r="BT313" s="528">
        <f t="shared" si="857"/>
        <v>9.3721444091958233E-4</v>
      </c>
      <c r="BU313" s="528">
        <f t="shared" si="858"/>
        <v>32.382623305981866</v>
      </c>
      <c r="BV313" s="528"/>
      <c r="BW313" s="625">
        <f t="shared" si="859"/>
        <v>3.198936170212765</v>
      </c>
      <c r="BX313" s="460">
        <f t="shared" si="860"/>
        <v>36009.02151333059</v>
      </c>
      <c r="BY313" s="173">
        <f t="shared" si="861"/>
        <v>42.954764631787043</v>
      </c>
      <c r="BZ313" s="5">
        <f t="shared" si="862"/>
        <v>75.174999999999997</v>
      </c>
      <c r="CA313" s="173">
        <f t="shared" si="863"/>
        <v>0.63637644783532799</v>
      </c>
      <c r="CB313" s="5">
        <f t="shared" si="864"/>
        <v>63.637644783532799</v>
      </c>
      <c r="CC313">
        <f t="shared" si="865"/>
        <v>97</v>
      </c>
      <c r="CE313" s="562">
        <f t="shared" si="805"/>
        <v>-50</v>
      </c>
      <c r="CG313" s="173">
        <f t="shared" si="806"/>
        <v>0.53379537277874556</v>
      </c>
      <c r="CH313" s="173">
        <f t="shared" si="807"/>
        <v>0.1733050171706412</v>
      </c>
      <c r="CI313" s="170">
        <v>97</v>
      </c>
      <c r="CJ313" s="217">
        <f t="shared" si="866"/>
        <v>2.4249999999999998</v>
      </c>
      <c r="CK313" s="217">
        <f t="shared" si="808"/>
        <v>0.24249999999999999</v>
      </c>
      <c r="CL313" s="217">
        <f t="shared" si="809"/>
        <v>67.899999999999991</v>
      </c>
      <c r="CM313" s="217">
        <f t="shared" si="810"/>
        <v>7.2749999999999995</v>
      </c>
      <c r="CN313" s="541">
        <f t="shared" si="811"/>
        <v>40</v>
      </c>
      <c r="CO313" s="443">
        <f t="shared" si="812"/>
        <v>28.7</v>
      </c>
      <c r="CP313" s="443">
        <f t="shared" si="813"/>
        <v>68.7</v>
      </c>
      <c r="CQ313" s="443"/>
      <c r="CR313" s="217">
        <f t="shared" si="814"/>
        <v>0.41520467836257302</v>
      </c>
      <c r="CS313" s="172">
        <f t="shared" si="815"/>
        <v>125.00786015217253</v>
      </c>
      <c r="CT313" s="172">
        <f t="shared" si="816"/>
        <v>14.828738512949037</v>
      </c>
      <c r="CU313" s="217">
        <f t="shared" si="817"/>
        <v>4.4645664340061613</v>
      </c>
      <c r="CV313" s="217">
        <f t="shared" si="818"/>
        <v>4.1669286717390843</v>
      </c>
      <c r="CW313" s="217">
        <f t="shared" si="819"/>
        <v>28</v>
      </c>
      <c r="CX313" s="217">
        <f t="shared" si="820"/>
        <v>9.0527640845070447</v>
      </c>
      <c r="CY313" s="217">
        <f t="shared" si="821"/>
        <v>1.0636997799295778</v>
      </c>
      <c r="CZ313" s="217">
        <f t="shared" si="822"/>
        <v>1.4825084040830352</v>
      </c>
      <c r="DA313" s="197">
        <f t="shared" si="823"/>
        <v>350</v>
      </c>
      <c r="DB313" s="443">
        <f t="shared" si="824"/>
        <v>350</v>
      </c>
      <c r="DD313" s="217">
        <f t="shared" si="825"/>
        <v>10.158258230357086</v>
      </c>
      <c r="DE313" s="173">
        <f t="shared" si="826"/>
        <v>1.6635475150758992</v>
      </c>
      <c r="DF313" s="173">
        <f t="shared" si="827"/>
        <v>2.6710919890125213</v>
      </c>
      <c r="DG313" s="173"/>
      <c r="DH313" s="173">
        <f t="shared" si="828"/>
        <v>0.54587688734030204</v>
      </c>
      <c r="DI313" s="545">
        <f t="shared" si="829"/>
        <v>2665.4361702127658</v>
      </c>
      <c r="DJ313" s="528">
        <f t="shared" si="830"/>
        <v>0.31842818428184283</v>
      </c>
      <c r="DL313" s="173">
        <f t="shared" si="831"/>
        <v>9.5602393428090124</v>
      </c>
      <c r="DM313" s="173">
        <f t="shared" si="832"/>
        <v>9.5602393428090124</v>
      </c>
      <c r="DN313" s="173">
        <f t="shared" si="833"/>
        <v>5.812522969981984</v>
      </c>
      <c r="DP313" s="545">
        <f t="shared" si="834"/>
        <v>2425</v>
      </c>
      <c r="DQ313" s="460">
        <f t="shared" si="835"/>
        <v>350</v>
      </c>
      <c r="DS313">
        <f t="shared" si="836"/>
        <v>2425</v>
      </c>
      <c r="DT313">
        <f t="shared" si="837"/>
        <v>350</v>
      </c>
      <c r="DV313" s="5">
        <f t="shared" si="867"/>
        <v>2.8571428571428572</v>
      </c>
      <c r="DW313" s="5">
        <f t="shared" si="838"/>
        <v>1.1233281227800589</v>
      </c>
      <c r="DX313" s="5">
        <f t="shared" si="839"/>
        <v>1.7338147343627983</v>
      </c>
      <c r="DY313" s="173">
        <f t="shared" si="840"/>
        <v>0.39316484297302062</v>
      </c>
      <c r="EA313" s="5">
        <f t="shared" si="868"/>
        <v>9.7288239205058655</v>
      </c>
      <c r="EB313" s="5">
        <f t="shared" si="869"/>
        <v>0.908023565913881</v>
      </c>
      <c r="EC313" s="5">
        <f t="shared" si="870"/>
        <v>2.1022503654148927</v>
      </c>
      <c r="ED313" s="5"/>
      <c r="EE313" s="173">
        <f t="shared" si="871"/>
        <v>3.4609512001656118</v>
      </c>
      <c r="EF313" s="173">
        <f t="shared" si="872"/>
        <v>4.2997529642996133</v>
      </c>
      <c r="EG313" s="173">
        <f t="shared" si="873"/>
        <v>0.43349968410561679</v>
      </c>
      <c r="EH313" s="173"/>
      <c r="EI313" s="528">
        <f t="shared" si="874"/>
        <v>0.14373819851913347</v>
      </c>
      <c r="EJ313" s="528">
        <f t="shared" si="875"/>
        <v>4.3676431449590121</v>
      </c>
      <c r="EK313" s="528">
        <f t="shared" si="876"/>
        <v>4.0250000000000001E-2</v>
      </c>
      <c r="EL313" s="528">
        <f t="shared" si="877"/>
        <v>0.81355656375000007</v>
      </c>
      <c r="EM313">
        <f t="shared" si="878"/>
        <v>1.7999999999999999E-2</v>
      </c>
      <c r="EN313" s="460">
        <f t="shared" si="879"/>
        <v>58.249999999999993</v>
      </c>
      <c r="EP313" s="460">
        <f t="shared" si="880"/>
        <v>5383.1879072281454</v>
      </c>
      <c r="EQ313" s="173">
        <f t="shared" si="881"/>
        <v>1.6974999999999998</v>
      </c>
      <c r="ER313" s="173">
        <f t="shared" si="841"/>
        <v>0.1161575</v>
      </c>
      <c r="ES313" s="528"/>
      <c r="EU313" s="460">
        <f t="shared" si="882"/>
        <v>1813.6574999999998</v>
      </c>
      <c r="EV313" s="528">
        <f t="shared" si="883"/>
        <v>0.16769456493898904</v>
      </c>
      <c r="EW313" s="528">
        <f t="shared" si="884"/>
        <v>0.2588302577560464</v>
      </c>
      <c r="EX313" s="528">
        <f t="shared" si="885"/>
        <v>9.3960988059834771E-4</v>
      </c>
      <c r="EY313" s="528">
        <f t="shared" si="886"/>
        <v>32.382623305981866</v>
      </c>
      <c r="EZ313" s="528"/>
      <c r="FA313" s="625">
        <f t="shared" si="887"/>
        <v>3.198936170212765</v>
      </c>
      <c r="FB313" s="460">
        <f t="shared" si="888"/>
        <v>36009.023908770265</v>
      </c>
      <c r="FC313" s="173">
        <f t="shared" si="889"/>
        <v>43.205869315998413</v>
      </c>
      <c r="FD313" s="5">
        <f t="shared" si="890"/>
        <v>75.174999999999997</v>
      </c>
      <c r="FE313" s="173">
        <f t="shared" si="891"/>
        <v>0.63502659200223144</v>
      </c>
      <c r="FF313" s="5">
        <f t="shared" si="892"/>
        <v>63.502659200223142</v>
      </c>
      <c r="FG313">
        <f t="shared" si="893"/>
        <v>97</v>
      </c>
      <c r="FI313" s="562">
        <f t="shared" si="842"/>
        <v>-50</v>
      </c>
    </row>
    <row r="314" spans="5:169">
      <c r="E314" s="170">
        <v>98</v>
      </c>
      <c r="F314" s="217">
        <f>IF(PLOT_TYPE=1, E314/100*Iout_max, min_I*EXP(O314*rr/100))</f>
        <v>2.4500000000000002</v>
      </c>
      <c r="G314" s="217">
        <f t="shared" si="772"/>
        <v>0.245</v>
      </c>
      <c r="H314" s="217">
        <f t="shared" si="773"/>
        <v>68.600000000000009</v>
      </c>
      <c r="I314" s="217">
        <f t="shared" si="774"/>
        <v>7.35</v>
      </c>
      <c r="J314" s="541">
        <f t="shared" si="775"/>
        <v>39.842414834659017</v>
      </c>
      <c r="K314" s="443">
        <f t="shared" si="776"/>
        <v>28.763928151159238</v>
      </c>
      <c r="L314" s="172">
        <f t="shared" si="777"/>
        <v>68.606342985818259</v>
      </c>
      <c r="M314" s="443"/>
      <c r="N314" s="217">
        <f t="shared" si="778"/>
        <v>0.41926047795762966</v>
      </c>
      <c r="O314" s="172">
        <f>N314*J314*Isw_max*0.5*Efficiency*Pout/(Pout+Pout2)</f>
        <v>125.73166581285705</v>
      </c>
      <c r="P314" s="172">
        <f t="shared" si="780"/>
        <v>14.914598113004725</v>
      </c>
      <c r="Q314" s="217">
        <f t="shared" si="781"/>
        <v>4.4904166361734656</v>
      </c>
      <c r="R314" s="217">
        <f t="shared" si="782"/>
        <v>4.1910555270952345</v>
      </c>
      <c r="S314" s="217">
        <f t="shared" si="783"/>
        <v>28</v>
      </c>
      <c r="T314" s="217">
        <f t="shared" si="784"/>
        <v>9.0934397945153016</v>
      </c>
      <c r="U314" s="217">
        <f t="shared" si="785"/>
        <v>1.0727052366575685</v>
      </c>
      <c r="V314" s="217">
        <f t="shared" si="786"/>
        <v>1.4858598870648148</v>
      </c>
      <c r="W314" s="197">
        <f t="shared" si="787"/>
        <v>350</v>
      </c>
      <c r="X314" s="443">
        <f t="shared" si="844"/>
        <v>350</v>
      </c>
      <c r="Z314" s="217">
        <f t="shared" si="788"/>
        <v>10.154619991833007</v>
      </c>
      <c r="AA314" s="173">
        <f t="shared" si="789"/>
        <v>1.6592557772639154</v>
      </c>
      <c r="AB314" s="173">
        <f>0.5*AA314*Z314*Nps*W314/1000*(Pout/(Pout+Pout2))</f>
        <v>2.6632467176808383</v>
      </c>
      <c r="AC314" s="173"/>
      <c r="AD314" s="173">
        <f t="shared" si="791"/>
        <v>0.54466366986927939</v>
      </c>
      <c r="AE314" s="545">
        <f>MAX(10, F314/(0.5*AD314/1000000*Isw_min*Nps)/1000*Pout_total/Pout)</f>
        <v>2698.9132584385584</v>
      </c>
      <c r="AF314" s="528">
        <f t="shared" si="793"/>
        <v>0.31772047409041299</v>
      </c>
      <c r="AH314" s="173">
        <f t="shared" si="794"/>
        <v>9.60939256831122</v>
      </c>
      <c r="AI314" s="173">
        <f>MAX(IF(F314&gt;AB314,T314,AH314),Isw_min)</f>
        <v>9.60939256831122</v>
      </c>
      <c r="AJ314" s="173">
        <f>IF(F314&gt;AF314, (AI314-Isw_min)/1.08*0.8+1.2, AE314*0.2/350+1)</f>
        <v>5.8489327666502859</v>
      </c>
      <c r="AL314" s="545">
        <f t="shared" si="797"/>
        <v>2450</v>
      </c>
      <c r="AM314" s="460">
        <f t="shared" si="798"/>
        <v>350</v>
      </c>
      <c r="AO314">
        <f t="shared" si="799"/>
        <v>2450</v>
      </c>
      <c r="AP314">
        <f t="shared" si="800"/>
        <v>350</v>
      </c>
      <c r="AR314" s="5">
        <f t="shared" si="771"/>
        <v>2.8571428571428572</v>
      </c>
      <c r="AS314" s="5">
        <f t="shared" si="894"/>
        <v>1.1335694700857921</v>
      </c>
      <c r="AT314" s="5">
        <f t="shared" si="895"/>
        <v>1.7235733870570651</v>
      </c>
      <c r="AU314" s="173">
        <f t="shared" si="896"/>
        <v>0.39674931453002721</v>
      </c>
      <c r="BA314" s="173">
        <f t="shared" si="845"/>
        <v>3.494567237546411</v>
      </c>
      <c r="BB314" s="173">
        <f t="shared" si="846"/>
        <v>4.3090766605200805</v>
      </c>
      <c r="BC314" s="173">
        <f t="shared" si="847"/>
        <v>0.43443969610161465</v>
      </c>
      <c r="BD314" s="173"/>
      <c r="BE314" s="528">
        <f t="shared" si="848"/>
        <v>0.14654400213279306</v>
      </c>
      <c r="BF314" s="528">
        <f t="shared" si="801"/>
        <v>4.2110569915020317</v>
      </c>
      <c r="BG314" s="528">
        <f t="shared" si="849"/>
        <v>4.0250000000000001E-2</v>
      </c>
      <c r="BH314" s="528">
        <f t="shared" si="850"/>
        <v>0.81133987259839824</v>
      </c>
      <c r="BI314">
        <f t="shared" si="851"/>
        <v>1.7929086675596558E-2</v>
      </c>
      <c r="BJ314" s="460">
        <f t="shared" si="852"/>
        <v>58.179086675596558</v>
      </c>
      <c r="BK314">
        <f t="shared" si="802"/>
        <v>5.3964043674991924</v>
      </c>
      <c r="BL314" s="460">
        <f t="shared" si="853"/>
        <v>5227.1199529088199</v>
      </c>
      <c r="BM314" s="173">
        <f t="shared" si="803"/>
        <v>1.64297</v>
      </c>
      <c r="BN314" s="173">
        <f t="shared" si="804"/>
        <v>0.11735499999999999</v>
      </c>
      <c r="BQ314" s="460">
        <f t="shared" si="854"/>
        <v>1760.3249999999998</v>
      </c>
      <c r="BR314" s="528">
        <f t="shared" si="855"/>
        <v>0.17096800248825855</v>
      </c>
      <c r="BS314" s="528">
        <f t="shared" si="856"/>
        <v>0.25995398332734448</v>
      </c>
      <c r="BT314" s="528">
        <f t="shared" si="857"/>
        <v>9.4368924774431654E-4</v>
      </c>
      <c r="BU314" s="528">
        <f t="shared" si="858"/>
        <v>32.800461533056485</v>
      </c>
      <c r="BV314" s="528"/>
      <c r="BW314" s="625">
        <f t="shared" si="859"/>
        <v>3.2319148936170223</v>
      </c>
      <c r="BX314" s="460">
        <f t="shared" si="860"/>
        <v>36464.242101736854</v>
      </c>
      <c r="BY314" s="173">
        <f t="shared" si="861"/>
        <v>43.451687054645674</v>
      </c>
      <c r="BZ314" s="5">
        <f t="shared" si="862"/>
        <v>75.95</v>
      </c>
      <c r="CA314" s="173">
        <f t="shared" si="863"/>
        <v>0.6360881648618627</v>
      </c>
      <c r="CB314" s="5">
        <f t="shared" si="864"/>
        <v>63.608816486186271</v>
      </c>
      <c r="CC314">
        <f t="shared" si="865"/>
        <v>98.000000000000014</v>
      </c>
      <c r="CE314" s="562">
        <f t="shared" si="805"/>
        <v>-50</v>
      </c>
      <c r="CG314" s="173">
        <f t="shared" si="806"/>
        <v>0.53653984008645617</v>
      </c>
      <c r="CH314" s="173">
        <f t="shared" si="807"/>
        <v>0.17419605140986863</v>
      </c>
      <c r="CI314" s="170">
        <v>98</v>
      </c>
      <c r="CJ314" s="217">
        <f t="shared" si="866"/>
        <v>2.4500000000000002</v>
      </c>
      <c r="CK314" s="217">
        <f t="shared" si="808"/>
        <v>0.245</v>
      </c>
      <c r="CL314" s="217">
        <f t="shared" si="809"/>
        <v>68.600000000000009</v>
      </c>
      <c r="CM314" s="217">
        <f t="shared" si="810"/>
        <v>7.35</v>
      </c>
      <c r="CN314" s="541">
        <f t="shared" si="811"/>
        <v>40</v>
      </c>
      <c r="CO314" s="443">
        <f t="shared" si="812"/>
        <v>28.7</v>
      </c>
      <c r="CP314" s="443">
        <f t="shared" si="813"/>
        <v>68.7</v>
      </c>
      <c r="CQ314" s="443"/>
      <c r="CR314" s="217">
        <f t="shared" si="814"/>
        <v>0.41520467836257302</v>
      </c>
      <c r="CS314" s="172">
        <f t="shared" si="815"/>
        <v>125.00786015217253</v>
      </c>
      <c r="CT314" s="172">
        <f t="shared" si="816"/>
        <v>14.828738512949037</v>
      </c>
      <c r="CU314" s="217">
        <f t="shared" si="817"/>
        <v>4.4645664340061613</v>
      </c>
      <c r="CV314" s="217">
        <f t="shared" si="818"/>
        <v>4.1669286717390843</v>
      </c>
      <c r="CW314" s="217">
        <f t="shared" si="819"/>
        <v>28</v>
      </c>
      <c r="CX314" s="217">
        <f t="shared" si="820"/>
        <v>9.1460915492957771</v>
      </c>
      <c r="CY314" s="217">
        <f t="shared" si="821"/>
        <v>1.0746657570422538</v>
      </c>
      <c r="CZ314" s="217">
        <f t="shared" si="822"/>
        <v>1.4977919958777057</v>
      </c>
      <c r="DA314" s="197">
        <f t="shared" si="823"/>
        <v>350</v>
      </c>
      <c r="DB314" s="443">
        <f t="shared" si="824"/>
        <v>350</v>
      </c>
      <c r="DD314" s="217">
        <f t="shared" si="825"/>
        <v>10.158258230357086</v>
      </c>
      <c r="DE314" s="173">
        <f t="shared" si="826"/>
        <v>1.6635475150758992</v>
      </c>
      <c r="DF314" s="173">
        <f t="shared" si="827"/>
        <v>2.6710919890125213</v>
      </c>
      <c r="DG314" s="173"/>
      <c r="DH314" s="173">
        <f t="shared" si="828"/>
        <v>0.54587688734030204</v>
      </c>
      <c r="DI314" s="545">
        <f t="shared" si="829"/>
        <v>2692.9148936170213</v>
      </c>
      <c r="DJ314" s="528">
        <f t="shared" si="830"/>
        <v>0.31842818428184283</v>
      </c>
      <c r="DL314" s="173">
        <f t="shared" si="831"/>
        <v>9.60939256831122</v>
      </c>
      <c r="DM314" s="173">
        <f t="shared" si="832"/>
        <v>9.60939256831122</v>
      </c>
      <c r="DN314" s="173">
        <f t="shared" si="833"/>
        <v>5.8489327666502859</v>
      </c>
      <c r="DP314" s="545">
        <f t="shared" si="834"/>
        <v>2450</v>
      </c>
      <c r="DQ314" s="460">
        <f t="shared" si="835"/>
        <v>350</v>
      </c>
      <c r="DS314">
        <f t="shared" si="836"/>
        <v>2450</v>
      </c>
      <c r="DT314">
        <f t="shared" si="837"/>
        <v>350</v>
      </c>
      <c r="DV314" s="5">
        <f t="shared" si="867"/>
        <v>2.8571428571428572</v>
      </c>
      <c r="DW314" s="5">
        <f t="shared" si="838"/>
        <v>1.1291036267765682</v>
      </c>
      <c r="DX314" s="5">
        <f t="shared" si="839"/>
        <v>1.728039230366289</v>
      </c>
      <c r="DY314" s="173">
        <f t="shared" si="840"/>
        <v>0.39518626937179885</v>
      </c>
      <c r="EA314" s="5">
        <f t="shared" si="868"/>
        <v>9.8796567342949722</v>
      </c>
      <c r="EB314" s="5">
        <f t="shared" si="869"/>
        <v>0.92210129520086392</v>
      </c>
      <c r="EC314" s="5">
        <f t="shared" si="870"/>
        <v>2.1168480571987045</v>
      </c>
      <c r="ED314" s="5"/>
      <c r="EE314" s="173">
        <f t="shared" si="871"/>
        <v>3.4876767949530461</v>
      </c>
      <c r="EF314" s="173">
        <f t="shared" si="872"/>
        <v>4.3146555387328061</v>
      </c>
      <c r="EG314" s="173">
        <f t="shared" si="873"/>
        <v>0.43500215677388132</v>
      </c>
      <c r="EH314" s="173"/>
      <c r="EI314" s="528">
        <f t="shared" si="874"/>
        <v>0.14596667311264744</v>
      </c>
      <c r="EJ314" s="528">
        <f t="shared" si="875"/>
        <v>4.390099041795823</v>
      </c>
      <c r="EK314" s="528">
        <f t="shared" si="876"/>
        <v>4.0250000000000001E-2</v>
      </c>
      <c r="EL314" s="528">
        <f t="shared" si="877"/>
        <v>0.81355656375000007</v>
      </c>
      <c r="EM314">
        <f t="shared" si="878"/>
        <v>1.7999999999999999E-2</v>
      </c>
      <c r="EN314" s="460">
        <f t="shared" si="879"/>
        <v>58.249999999999993</v>
      </c>
      <c r="EP314" s="460">
        <f t="shared" si="880"/>
        <v>5407.8722786584703</v>
      </c>
      <c r="EQ314" s="173">
        <f t="shared" si="881"/>
        <v>1.7150000000000001</v>
      </c>
      <c r="ER314" s="173">
        <f t="shared" si="841"/>
        <v>0.11735499999999999</v>
      </c>
      <c r="ES314" s="528"/>
      <c r="EU314" s="460">
        <f t="shared" si="882"/>
        <v>1832.3550000000002</v>
      </c>
      <c r="EV314" s="528">
        <f t="shared" si="883"/>
        <v>0.17029445196475534</v>
      </c>
      <c r="EW314" s="528">
        <f t="shared" si="884"/>
        <v>0.26062753385084758</v>
      </c>
      <c r="EX314" s="528">
        <f t="shared" si="885"/>
        <v>9.4613438198964213E-4</v>
      </c>
      <c r="EY314" s="528">
        <f t="shared" si="886"/>
        <v>32.800461533056485</v>
      </c>
      <c r="EZ314" s="528"/>
      <c r="FA314" s="625">
        <f t="shared" si="887"/>
        <v>3.2319148936170223</v>
      </c>
      <c r="FB314" s="460">
        <f t="shared" si="888"/>
        <v>36464.244546871101</v>
      </c>
      <c r="FC314" s="173">
        <f t="shared" si="889"/>
        <v>43.704471825529573</v>
      </c>
      <c r="FD314" s="5">
        <f t="shared" si="890"/>
        <v>75.95</v>
      </c>
      <c r="FE314" s="173">
        <f t="shared" si="891"/>
        <v>0.63474435047228417</v>
      </c>
      <c r="FF314" s="5">
        <f t="shared" si="892"/>
        <v>63.474435047228418</v>
      </c>
      <c r="FG314">
        <f t="shared" si="893"/>
        <v>98.000000000000014</v>
      </c>
      <c r="FI314" s="562">
        <f t="shared" si="842"/>
        <v>-50</v>
      </c>
    </row>
    <row r="315" spans="5:169">
      <c r="E315" s="170">
        <v>99</v>
      </c>
      <c r="F315" s="217">
        <f>IF(PLOT_TYPE=1, E315/100*Iout_max, min_I*EXP(O315*rr/100))</f>
        <v>2.4750000000000001</v>
      </c>
      <c r="G315" s="217">
        <f t="shared" si="772"/>
        <v>0.2475</v>
      </c>
      <c r="H315" s="217">
        <f t="shared" si="773"/>
        <v>69.3</v>
      </c>
      <c r="I315" s="217">
        <f t="shared" si="774"/>
        <v>7.4249999999999998</v>
      </c>
      <c r="J315" s="541">
        <f t="shared" si="775"/>
        <v>39.841612869350769</v>
      </c>
      <c r="K315" s="443">
        <f t="shared" si="776"/>
        <v>28.764253487362925</v>
      </c>
      <c r="L315" s="172">
        <f t="shared" si="777"/>
        <v>68.60586635671369</v>
      </c>
      <c r="M315" s="443"/>
      <c r="N315" s="217">
        <f t="shared" si="778"/>
        <v>0.41926813281249509</v>
      </c>
      <c r="O315" s="172">
        <f>N315*J315*Isw_max*0.5*Efficiency*Pout/(Pout+Pout2)</f>
        <v>125.73143059332989</v>
      </c>
      <c r="P315" s="172">
        <f t="shared" si="780"/>
        <v>14.914570210688368</v>
      </c>
      <c r="Q315" s="217">
        <f t="shared" si="781"/>
        <v>4.4904082354760675</v>
      </c>
      <c r="R315" s="217">
        <f t="shared" si="782"/>
        <v>4.19104768644433</v>
      </c>
      <c r="S315" s="217">
        <f t="shared" si="783"/>
        <v>28</v>
      </c>
      <c r="T315" s="217">
        <f t="shared" si="784"/>
        <v>9.1862471821844771</v>
      </c>
      <c r="U315" s="217">
        <f t="shared" si="785"/>
        <v>1.083675048443655</v>
      </c>
      <c r="V315" s="217">
        <f t="shared" si="786"/>
        <v>1.5010075535329082</v>
      </c>
      <c r="W315" s="197">
        <f t="shared" si="787"/>
        <v>350</v>
      </c>
      <c r="X315" s="443">
        <f t="shared" si="844"/>
        <v>350</v>
      </c>
      <c r="Z315" s="217">
        <f t="shared" si="788"/>
        <v>10.154600994511229</v>
      </c>
      <c r="AA315" s="173">
        <f t="shared" si="789"/>
        <v>1.6592339062500141</v>
      </c>
      <c r="AB315" s="173">
        <f>0.5*AA315*Z315*Nps*W315/1000*(Pout/(Pout+Pout2))</f>
        <v>2.6632066304907229</v>
      </c>
      <c r="AC315" s="173"/>
      <c r="AD315" s="173">
        <f t="shared" si="791"/>
        <v>0.54465750948654179</v>
      </c>
      <c r="AE315" s="545">
        <f>MAX(10, F315/(0.5*AD315/1000000*Isw_min*Nps)/1000*Pout_total/Pout)</f>
        <v>2726.4840273659966</v>
      </c>
      <c r="AF315" s="528">
        <f t="shared" si="793"/>
        <v>0.31771688053381608</v>
      </c>
      <c r="AH315" s="173">
        <f t="shared" si="794"/>
        <v>9.6582956453008038</v>
      </c>
      <c r="AI315" s="173">
        <f>MAX(IF(F315&gt;AB315,T315,AH315),Isw_min)</f>
        <v>9.6582956453008038</v>
      </c>
      <c r="AJ315" s="173">
        <f>IF(F315&gt;AF315, (AI315-Isw_min)/1.08*0.8+1.2, AE315*0.2/350+1)</f>
        <v>5.8851572681240514</v>
      </c>
      <c r="AL315" s="545">
        <f t="shared" si="797"/>
        <v>2475</v>
      </c>
      <c r="AM315" s="460">
        <f t="shared" si="798"/>
        <v>350</v>
      </c>
      <c r="AO315">
        <f t="shared" si="799"/>
        <v>2475</v>
      </c>
      <c r="AP315">
        <f t="shared" si="800"/>
        <v>350</v>
      </c>
      <c r="AR315" s="5">
        <f t="shared" si="771"/>
        <v>2.8571428571428572</v>
      </c>
      <c r="AS315" s="5">
        <f t="shared" si="894"/>
        <v>1.1393612422712516</v>
      </c>
      <c r="AT315" s="5">
        <f t="shared" si="895"/>
        <v>1.7177816148716056</v>
      </c>
      <c r="AU315" s="173">
        <f t="shared" si="896"/>
        <v>0.39877643479493802</v>
      </c>
      <c r="BA315" s="173">
        <f t="shared" si="845"/>
        <v>3.5213128457876999</v>
      </c>
      <c r="BB315" s="173">
        <f t="shared" si="846"/>
        <v>4.3237230214368134</v>
      </c>
      <c r="BC315" s="173">
        <f t="shared" si="847"/>
        <v>0.43591633740715419</v>
      </c>
      <c r="BD315" s="173"/>
      <c r="BE315" s="528">
        <f t="shared" si="848"/>
        <v>0.14879572989491363</v>
      </c>
      <c r="BF315" s="528">
        <f t="shared" si="801"/>
        <v>4.2324580410074359</v>
      </c>
      <c r="BG315" s="528">
        <f t="shared" si="849"/>
        <v>4.0250000000000001E-2</v>
      </c>
      <c r="BH315" s="528">
        <f t="shared" si="850"/>
        <v>0.8113285993884628</v>
      </c>
      <c r="BI315">
        <f t="shared" si="851"/>
        <v>1.7928725791207845E-2</v>
      </c>
      <c r="BJ315" s="460">
        <f t="shared" si="852"/>
        <v>58.178725791207853</v>
      </c>
      <c r="BK315">
        <f t="shared" si="802"/>
        <v>5.4245355159767357</v>
      </c>
      <c r="BL315" s="460">
        <f t="shared" si="853"/>
        <v>5250.7610960820202</v>
      </c>
      <c r="BM315" s="173">
        <f t="shared" si="803"/>
        <v>1.659735</v>
      </c>
      <c r="BN315" s="173">
        <f t="shared" si="804"/>
        <v>0.11855249999999999</v>
      </c>
      <c r="BQ315" s="460">
        <f t="shared" si="854"/>
        <v>1778.2874999999999</v>
      </c>
      <c r="BR315" s="528">
        <f t="shared" si="855"/>
        <v>0.17359501821073256</v>
      </c>
      <c r="BS315" s="528">
        <f t="shared" si="856"/>
        <v>0.2617241307254376</v>
      </c>
      <c r="BT315" s="528">
        <f t="shared" si="857"/>
        <v>9.5011526609233943E-4</v>
      </c>
      <c r="BU315" s="528">
        <f t="shared" si="858"/>
        <v>33.219367050944001</v>
      </c>
      <c r="BV315" s="528"/>
      <c r="BW315" s="625">
        <f t="shared" si="859"/>
        <v>3.2648936170212766</v>
      </c>
      <c r="BX315" s="460">
        <f t="shared" si="860"/>
        <v>36920.529932167541</v>
      </c>
      <c r="BY315" s="173">
        <f t="shared" si="861"/>
        <v>43.94957852824956</v>
      </c>
      <c r="BZ315" s="5">
        <f t="shared" si="862"/>
        <v>76.724999999999994</v>
      </c>
      <c r="CA315" s="173">
        <f t="shared" si="863"/>
        <v>0.63580085330100322</v>
      </c>
      <c r="CB315" s="5">
        <f t="shared" si="864"/>
        <v>63.580085330100324</v>
      </c>
      <c r="CC315">
        <f t="shared" si="865"/>
        <v>99</v>
      </c>
      <c r="CE315" s="562">
        <f t="shared" si="805"/>
        <v>-50</v>
      </c>
      <c r="CG315" s="173">
        <f t="shared" si="806"/>
        <v>0.53927034036742649</v>
      </c>
      <c r="CH315" s="173">
        <f t="shared" si="807"/>
        <v>0.17508255103539863</v>
      </c>
      <c r="CI315" s="170">
        <v>99</v>
      </c>
      <c r="CJ315" s="217">
        <f t="shared" si="866"/>
        <v>2.4750000000000001</v>
      </c>
      <c r="CK315" s="217">
        <f t="shared" si="808"/>
        <v>0.2475</v>
      </c>
      <c r="CL315" s="217">
        <f t="shared" si="809"/>
        <v>69.3</v>
      </c>
      <c r="CM315" s="217">
        <f t="shared" si="810"/>
        <v>7.4249999999999998</v>
      </c>
      <c r="CN315" s="541">
        <f t="shared" si="811"/>
        <v>40</v>
      </c>
      <c r="CO315" s="443">
        <f t="shared" si="812"/>
        <v>28.7</v>
      </c>
      <c r="CP315" s="443">
        <f t="shared" si="813"/>
        <v>68.7</v>
      </c>
      <c r="CQ315" s="443"/>
      <c r="CR315" s="217">
        <f t="shared" si="814"/>
        <v>0.41520467836257302</v>
      </c>
      <c r="CS315" s="172">
        <f t="shared" si="815"/>
        <v>125.00786015217253</v>
      </c>
      <c r="CT315" s="172">
        <f t="shared" si="816"/>
        <v>14.828738512949037</v>
      </c>
      <c r="CU315" s="217">
        <f t="shared" si="817"/>
        <v>4.4645664340061613</v>
      </c>
      <c r="CV315" s="217">
        <f t="shared" si="818"/>
        <v>4.1669286717390843</v>
      </c>
      <c r="CW315" s="217">
        <f t="shared" si="819"/>
        <v>28</v>
      </c>
      <c r="CX315" s="217">
        <f t="shared" si="820"/>
        <v>9.2394190140845094</v>
      </c>
      <c r="CY315" s="217">
        <f t="shared" si="821"/>
        <v>1.08563173415493</v>
      </c>
      <c r="CZ315" s="217">
        <f t="shared" si="822"/>
        <v>1.513075587672376</v>
      </c>
      <c r="DA315" s="197">
        <f t="shared" si="823"/>
        <v>350</v>
      </c>
      <c r="DB315" s="443">
        <f t="shared" si="824"/>
        <v>350</v>
      </c>
      <c r="DD315" s="217">
        <f t="shared" si="825"/>
        <v>10.158258230357086</v>
      </c>
      <c r="DE315" s="173">
        <f t="shared" si="826"/>
        <v>1.6635475150758992</v>
      </c>
      <c r="DF315" s="173">
        <f t="shared" si="827"/>
        <v>2.6710919890125213</v>
      </c>
      <c r="DG315" s="173"/>
      <c r="DH315" s="173">
        <f t="shared" si="828"/>
        <v>0.54587688734030204</v>
      </c>
      <c r="DI315" s="545">
        <f t="shared" si="829"/>
        <v>2720.3936170212764</v>
      </c>
      <c r="DJ315" s="528">
        <f t="shared" si="830"/>
        <v>0.31842818428184283</v>
      </c>
      <c r="DL315" s="173">
        <f t="shared" si="831"/>
        <v>9.6582956453008038</v>
      </c>
      <c r="DM315" s="173">
        <f t="shared" si="832"/>
        <v>9.6582956453008038</v>
      </c>
      <c r="DN315" s="173">
        <f t="shared" si="833"/>
        <v>5.8851572681240514</v>
      </c>
      <c r="DP315" s="545">
        <f t="shared" si="834"/>
        <v>2475</v>
      </c>
      <c r="DQ315" s="460">
        <f t="shared" si="835"/>
        <v>350</v>
      </c>
      <c r="DS315">
        <f t="shared" si="836"/>
        <v>2475</v>
      </c>
      <c r="DT315">
        <f t="shared" si="837"/>
        <v>350</v>
      </c>
      <c r="DV315" s="5">
        <f t="shared" si="867"/>
        <v>2.8571428571428572</v>
      </c>
      <c r="DW315" s="5">
        <f t="shared" si="838"/>
        <v>1.1348497383228444</v>
      </c>
      <c r="DX315" s="5">
        <f t="shared" si="839"/>
        <v>1.7222931188200128</v>
      </c>
      <c r="DY315" s="173">
        <f t="shared" si="840"/>
        <v>0.39719740841299556</v>
      </c>
      <c r="EA315" s="5">
        <f t="shared" si="868"/>
        <v>10.031261079818</v>
      </c>
      <c r="EB315" s="5">
        <f t="shared" si="869"/>
        <v>0.93625103411634658</v>
      </c>
      <c r="EC315" s="5">
        <f t="shared" si="870"/>
        <v>2.1313377345397653</v>
      </c>
      <c r="ED315" s="5"/>
      <c r="EE315" s="173">
        <f t="shared" si="871"/>
        <v>3.5143342977622951</v>
      </c>
      <c r="EF315" s="173">
        <f t="shared" si="872"/>
        <v>4.329397113638775</v>
      </c>
      <c r="EG315" s="173">
        <f t="shared" si="873"/>
        <v>0.43648839752259788</v>
      </c>
      <c r="EH315" s="173"/>
      <c r="EI315" s="528">
        <f t="shared" si="874"/>
        <v>0.14820654667714087</v>
      </c>
      <c r="EJ315" s="528">
        <f t="shared" si="875"/>
        <v>4.4124406570338994</v>
      </c>
      <c r="EK315" s="528">
        <f t="shared" si="876"/>
        <v>4.0250000000000001E-2</v>
      </c>
      <c r="EL315" s="528">
        <f t="shared" si="877"/>
        <v>0.81355656375000007</v>
      </c>
      <c r="EM315">
        <f t="shared" si="878"/>
        <v>1.7999999999999999E-2</v>
      </c>
      <c r="EN315" s="460">
        <f t="shared" si="879"/>
        <v>58.249999999999993</v>
      </c>
      <c r="EP315" s="460">
        <f t="shared" si="880"/>
        <v>5432.4537674610401</v>
      </c>
      <c r="EQ315" s="173">
        <f t="shared" si="881"/>
        <v>1.7324999999999999</v>
      </c>
      <c r="ER315" s="173">
        <f t="shared" si="841"/>
        <v>0.11855249999999999</v>
      </c>
      <c r="ES315" s="528"/>
      <c r="EU315" s="460">
        <f t="shared" si="882"/>
        <v>1851.0525</v>
      </c>
      <c r="EV315" s="528">
        <f t="shared" si="883"/>
        <v>0.17290763778999765</v>
      </c>
      <c r="EW315" s="528">
        <f t="shared" si="884"/>
        <v>0.26241151114617256</v>
      </c>
      <c r="EX315" s="528">
        <f t="shared" si="885"/>
        <v>9.5261060585922726E-4</v>
      </c>
      <c r="EY315" s="528">
        <f t="shared" si="886"/>
        <v>33.219367050944001</v>
      </c>
      <c r="EZ315" s="528"/>
      <c r="FA315" s="625">
        <f t="shared" si="887"/>
        <v>3.2648936170212766</v>
      </c>
      <c r="FB315" s="460">
        <f t="shared" si="888"/>
        <v>36920.532427507314</v>
      </c>
      <c r="FC315" s="173">
        <f t="shared" si="889"/>
        <v>44.204038694968354</v>
      </c>
      <c r="FD315" s="5">
        <f t="shared" si="890"/>
        <v>76.724999999999994</v>
      </c>
      <c r="FE315" s="173">
        <f t="shared" si="891"/>
        <v>0.63446299439732834</v>
      </c>
      <c r="FF315" s="5">
        <f t="shared" si="892"/>
        <v>63.446299439732833</v>
      </c>
      <c r="FG315">
        <f t="shared" si="893"/>
        <v>99</v>
      </c>
      <c r="FI315" s="562">
        <f t="shared" si="842"/>
        <v>-50</v>
      </c>
    </row>
    <row r="316" spans="5:169">
      <c r="E316" s="170">
        <v>100</v>
      </c>
      <c r="F316" s="217">
        <f>IF(PLOT_TYPE=1, E316/100*Iout_max, min_I*EXP(O316*rr/100))</f>
        <v>2.5</v>
      </c>
      <c r="G316" s="217">
        <f t="shared" si="772"/>
        <v>0.25</v>
      </c>
      <c r="H316" s="217">
        <f t="shared" si="773"/>
        <v>70</v>
      </c>
      <c r="I316" s="217">
        <f t="shared" si="774"/>
        <v>7.5</v>
      </c>
      <c r="J316" s="541">
        <f t="shared" si="775"/>
        <v>39.840814944247121</v>
      </c>
      <c r="K316" s="443">
        <f t="shared" si="776"/>
        <v>28.764577184562022</v>
      </c>
      <c r="L316" s="172">
        <f t="shared" si="777"/>
        <v>68.605392128809143</v>
      </c>
      <c r="M316" s="443"/>
      <c r="N316" s="217">
        <f t="shared" si="778"/>
        <v>0.41927574920868421</v>
      </c>
      <c r="O316" s="172">
        <f>N316*J316*Isw_max*0.5*Efficiency*Pout/(Pout+Pout2)</f>
        <v>125.73119649874869</v>
      </c>
      <c r="P316" s="172">
        <f t="shared" si="780"/>
        <v>14.914542441815851</v>
      </c>
      <c r="Q316" s="217">
        <f t="shared" si="781"/>
        <v>4.49039987495531</v>
      </c>
      <c r="R316" s="217">
        <f t="shared" si="782"/>
        <v>4.1910398832916229</v>
      </c>
      <c r="S316" s="217">
        <f t="shared" si="783"/>
        <v>28</v>
      </c>
      <c r="T316" s="217">
        <f t="shared" si="784"/>
        <v>9.2790548340823094</v>
      </c>
      <c r="U316" s="217">
        <f t="shared" si="785"/>
        <v>1.0946452220221017</v>
      </c>
      <c r="V316" s="217">
        <f t="shared" si="786"/>
        <v>1.516155006915701</v>
      </c>
      <c r="W316" s="197">
        <f t="shared" si="787"/>
        <v>350</v>
      </c>
      <c r="X316" s="443">
        <f t="shared" si="844"/>
        <v>350</v>
      </c>
      <c r="Z316" s="217">
        <f t="shared" si="788"/>
        <v>10.154582088044835</v>
      </c>
      <c r="AA316" s="173">
        <f t="shared" si="789"/>
        <v>1.6592121451180448</v>
      </c>
      <c r="AB316" s="173">
        <f>0.5*AA316*Z316*Nps*W316/1000*(Pout/(Pout+Pout2))</f>
        <v>2.6631667436291124</v>
      </c>
      <c r="AC316" s="173"/>
      <c r="AD316" s="173">
        <f t="shared" si="791"/>
        <v>0.54465138027737059</v>
      </c>
      <c r="AE316" s="545">
        <f>MAX(10, F316/(0.5*AD316/1000000*Isw_min*Nps)/1000*Pout_total/Pout)</f>
        <v>2754.0552623516828</v>
      </c>
      <c r="AF316" s="528">
        <f t="shared" si="793"/>
        <v>0.31771330516179946</v>
      </c>
      <c r="AH316" s="173">
        <f>SQRT((H316+I316)/(0.5*L*Fsw_DCM))</f>
        <v>9.7069523544806824</v>
      </c>
      <c r="AI316" s="173">
        <f>MAX(IF(F316&gt;AB316,T316,AH316),Isw_min)</f>
        <v>9.7069523544806824</v>
      </c>
      <c r="AJ316" s="173">
        <f>IF(F316&gt;AF316, (AI316-Isw_min)/1.08*0.8+1.2, AE316*0.2/350+1)</f>
        <v>5.9211992749239615</v>
      </c>
      <c r="AL316" s="545">
        <f t="shared" si="797"/>
        <v>2500</v>
      </c>
      <c r="AM316" s="460">
        <f t="shared" si="798"/>
        <v>350</v>
      </c>
      <c r="AO316">
        <f t="shared" si="799"/>
        <v>2500</v>
      </c>
      <c r="AP316">
        <f t="shared" si="800"/>
        <v>350</v>
      </c>
      <c r="AR316" s="5">
        <f t="shared" si="771"/>
        <v>2.8571428571428572</v>
      </c>
      <c r="AS316" s="5">
        <f t="shared" si="894"/>
        <v>1.1451240676151622</v>
      </c>
      <c r="AT316" s="5">
        <f t="shared" si="895"/>
        <v>1.712018789527695</v>
      </c>
      <c r="AU316" s="173">
        <f t="shared" si="896"/>
        <v>0.40079342366530674</v>
      </c>
      <c r="BA316" s="173">
        <f t="shared" si="845"/>
        <v>3.54799144537846</v>
      </c>
      <c r="BB316" s="173">
        <f t="shared" si="846"/>
        <v>4.3382098505690054</v>
      </c>
      <c r="BC316" s="173">
        <f t="shared" si="847"/>
        <v>0.43737689477048175</v>
      </c>
      <c r="BD316" s="173"/>
      <c r="BE316" s="528">
        <f>Rdson*BA316^2</f>
        <v>0.15105891955774481</v>
      </c>
      <c r="BF316" s="528">
        <f t="shared" si="801"/>
        <v>4.2537509790826276</v>
      </c>
      <c r="BG316" s="528">
        <f t="shared" si="849"/>
        <v>4.0250000000000001E-2</v>
      </c>
      <c r="BH316" s="528">
        <f t="shared" si="850"/>
        <v>0.81131738304932921</v>
      </c>
      <c r="BI316">
        <f t="shared" si="851"/>
        <v>1.7928366724911205E-2</v>
      </c>
      <c r="BJ316" s="460">
        <f t="shared" si="852"/>
        <v>58.178366724911207</v>
      </c>
      <c r="BK316">
        <f t="shared" si="802"/>
        <v>5.4526163096205185</v>
      </c>
      <c r="BL316" s="460">
        <f t="shared" si="853"/>
        <v>5274.3056484146127</v>
      </c>
      <c r="BM316" s="173">
        <f t="shared" si="803"/>
        <v>1.6764999999999999</v>
      </c>
      <c r="BN316" s="173">
        <f t="shared" si="804"/>
        <v>0.11975</v>
      </c>
      <c r="BQ316" s="460">
        <f t="shared" si="854"/>
        <v>1796.25</v>
      </c>
      <c r="BR316" s="528">
        <f t="shared" si="855"/>
        <v>0.17623540615070227</v>
      </c>
      <c r="BS316" s="528">
        <f t="shared" si="856"/>
        <v>0.26348090590603535</v>
      </c>
      <c r="BT316" s="528">
        <f t="shared" si="857"/>
        <v>9.5649274039534538E-4</v>
      </c>
      <c r="BU316" s="528">
        <f t="shared" si="858"/>
        <v>33.639331763613235</v>
      </c>
      <c r="BV316" s="528"/>
      <c r="BW316" s="625">
        <f t="shared" si="859"/>
        <v>3.297872340425533</v>
      </c>
      <c r="BX316" s="460">
        <f t="shared" si="860"/>
        <v>37377.876908835904</v>
      </c>
      <c r="BY316" s="173">
        <f>SUM(BE316:BI316,BM316:BP316,BR316:BW316)</f>
        <v>44.448432557250513</v>
      </c>
      <c r="BZ316" s="5">
        <f t="shared" si="862"/>
        <v>77.5</v>
      </c>
      <c r="CA316" s="173">
        <f t="shared" si="863"/>
        <v>0.63551452343281634</v>
      </c>
      <c r="CB316" s="5">
        <f t="shared" si="864"/>
        <v>63.551452343281632</v>
      </c>
      <c r="CC316">
        <f t="shared" si="865"/>
        <v>100</v>
      </c>
      <c r="CE316" s="562">
        <f t="shared" si="805"/>
        <v>-50</v>
      </c>
      <c r="CG316" s="173">
        <f t="shared" si="806"/>
        <v>0.54198708471696999</v>
      </c>
      <c r="CH316" s="173">
        <f t="shared" si="807"/>
        <v>0.17596458458262651</v>
      </c>
      <c r="CI316" s="170">
        <v>100</v>
      </c>
      <c r="CJ316" s="217">
        <f t="shared" si="866"/>
        <v>2.5</v>
      </c>
      <c r="CK316" s="217">
        <f t="shared" si="808"/>
        <v>0.25</v>
      </c>
      <c r="CL316" s="217">
        <f t="shared" si="809"/>
        <v>70</v>
      </c>
      <c r="CM316" s="217">
        <f t="shared" si="810"/>
        <v>7.5</v>
      </c>
      <c r="CN316" s="541">
        <f t="shared" si="811"/>
        <v>40</v>
      </c>
      <c r="CO316" s="443">
        <f t="shared" si="812"/>
        <v>28.7</v>
      </c>
      <c r="CP316" s="443">
        <f t="shared" si="813"/>
        <v>68.7</v>
      </c>
      <c r="CQ316" s="443"/>
      <c r="CR316" s="217">
        <f t="shared" si="814"/>
        <v>0.41520467836257302</v>
      </c>
      <c r="CS316" s="172">
        <f t="shared" si="815"/>
        <v>125.00786015217253</v>
      </c>
      <c r="CT316" s="172">
        <f t="shared" si="816"/>
        <v>14.828738512949037</v>
      </c>
      <c r="CU316" s="217">
        <f t="shared" si="817"/>
        <v>4.4645664340061613</v>
      </c>
      <c r="CV316" s="217">
        <f t="shared" si="818"/>
        <v>4.1669286717390843</v>
      </c>
      <c r="CW316" s="217">
        <f t="shared" si="819"/>
        <v>28</v>
      </c>
      <c r="CX316" s="217">
        <f t="shared" si="820"/>
        <v>9.3327464788732417</v>
      </c>
      <c r="CY316" s="217">
        <f t="shared" si="821"/>
        <v>1.0965977112676057</v>
      </c>
      <c r="CZ316" s="217">
        <f t="shared" si="822"/>
        <v>1.5283591794670464</v>
      </c>
      <c r="DA316" s="197">
        <f t="shared" si="823"/>
        <v>350</v>
      </c>
      <c r="DB316" s="443">
        <f t="shared" si="824"/>
        <v>350</v>
      </c>
      <c r="DD316" s="217">
        <f t="shared" si="825"/>
        <v>10.158258230357086</v>
      </c>
      <c r="DE316" s="173">
        <f t="shared" si="826"/>
        <v>1.6635475150758992</v>
      </c>
      <c r="DF316" s="173">
        <f t="shared" si="827"/>
        <v>2.6710919890125213</v>
      </c>
      <c r="DG316" s="173"/>
      <c r="DH316" s="173">
        <f t="shared" si="828"/>
        <v>0.54587688734030204</v>
      </c>
      <c r="DI316" s="545">
        <f t="shared" si="829"/>
        <v>2747.872340425532</v>
      </c>
      <c r="DJ316" s="528">
        <f t="shared" si="830"/>
        <v>0.31842818428184283</v>
      </c>
      <c r="DL316" s="173">
        <f t="shared" si="831"/>
        <v>9.7069523544806824</v>
      </c>
      <c r="DM316" s="173">
        <f t="shared" si="832"/>
        <v>9.7069523544806824</v>
      </c>
      <c r="DN316" s="173">
        <f t="shared" si="833"/>
        <v>5.9211992749239615</v>
      </c>
      <c r="DP316" s="545">
        <f t="shared" si="834"/>
        <v>2500</v>
      </c>
      <c r="DQ316" s="460">
        <f t="shared" si="835"/>
        <v>350</v>
      </c>
      <c r="DS316">
        <f t="shared" si="836"/>
        <v>2500</v>
      </c>
      <c r="DT316">
        <f t="shared" si="837"/>
        <v>350</v>
      </c>
      <c r="DV316" s="5">
        <f t="shared" si="867"/>
        <v>2.8571428571428572</v>
      </c>
      <c r="DW316" s="5">
        <f t="shared" si="838"/>
        <v>1.1405669016514801</v>
      </c>
      <c r="DX316" s="5">
        <f t="shared" si="839"/>
        <v>1.7165759554913771</v>
      </c>
      <c r="DY316" s="173">
        <f t="shared" si="840"/>
        <v>0.39919841557801805</v>
      </c>
      <c r="EA316" s="5">
        <f t="shared" si="868"/>
        <v>10.183633050459644</v>
      </c>
      <c r="EB316" s="5">
        <f t="shared" si="869"/>
        <v>0.95047241804290006</v>
      </c>
      <c r="EC316" s="5">
        <f t="shared" si="870"/>
        <v>2.1457199443642212</v>
      </c>
      <c r="ED316" s="5"/>
      <c r="EE316" s="173">
        <f t="shared" si="871"/>
        <v>3.5409245672852472</v>
      </c>
      <c r="EF316" s="173">
        <f t="shared" si="872"/>
        <v>4.3439798817269484</v>
      </c>
      <c r="EG316" s="173">
        <f t="shared" si="873"/>
        <v>0.43795862742001207</v>
      </c>
      <c r="EH316" s="173"/>
      <c r="EI316" s="528">
        <f t="shared" si="874"/>
        <v>0.15045776149445059</v>
      </c>
      <c r="EJ316" s="528">
        <f t="shared" si="875"/>
        <v>4.4346697179062735</v>
      </c>
      <c r="EK316" s="528">
        <f t="shared" si="876"/>
        <v>4.0250000000000001E-2</v>
      </c>
      <c r="EL316" s="528">
        <f t="shared" si="877"/>
        <v>0.81355656375000007</v>
      </c>
      <c r="EM316">
        <f t="shared" si="878"/>
        <v>1.7999999999999999E-2</v>
      </c>
      <c r="EN316" s="460">
        <f t="shared" si="879"/>
        <v>58.249999999999993</v>
      </c>
      <c r="EP316" s="460">
        <f t="shared" si="880"/>
        <v>5456.9340431507244</v>
      </c>
      <c r="EQ316" s="173">
        <f t="shared" si="881"/>
        <v>1.75</v>
      </c>
      <c r="ER316" s="173">
        <f t="shared" si="841"/>
        <v>0.11975</v>
      </c>
      <c r="ES316" s="528"/>
      <c r="EU316" s="460">
        <f t="shared" si="882"/>
        <v>1869.75</v>
      </c>
      <c r="EV316" s="528">
        <f t="shared" si="883"/>
        <v>0.17553405507685901</v>
      </c>
      <c r="EW316" s="528">
        <f t="shared" si="884"/>
        <v>0.26418225697987863</v>
      </c>
      <c r="EX316" s="528">
        <f t="shared" si="885"/>
        <v>9.5903879665810478E-4</v>
      </c>
      <c r="EY316" s="528">
        <f t="shared" si="886"/>
        <v>33.639331763613235</v>
      </c>
      <c r="EZ316" s="528"/>
      <c r="FA316" s="625">
        <f t="shared" si="887"/>
        <v>3.297872340425533</v>
      </c>
      <c r="FB316" s="460">
        <f t="shared" si="888"/>
        <v>37377.879454892165</v>
      </c>
      <c r="FC316" s="173">
        <f t="shared" si="889"/>
        <v>44.704563498042894</v>
      </c>
      <c r="FD316" s="5">
        <f t="shared" si="890"/>
        <v>77.5</v>
      </c>
      <c r="FE316" s="173">
        <f t="shared" si="891"/>
        <v>0.63418253608214203</v>
      </c>
      <c r="FF316" s="5">
        <f t="shared" si="892"/>
        <v>63.418253608214201</v>
      </c>
      <c r="FG316">
        <f t="shared" si="893"/>
        <v>100</v>
      </c>
      <c r="FI316" s="562">
        <f t="shared" si="842"/>
        <v>-50</v>
      </c>
    </row>
    <row r="317" spans="5:169">
      <c r="E317" s="170"/>
      <c r="F317" s="217"/>
      <c r="G317" s="217"/>
      <c r="CI317" s="170"/>
      <c r="CJ317" s="217"/>
      <c r="CK317" s="217"/>
    </row>
    <row r="318" spans="5:169" ht="45" customHeight="1" thickBot="1">
      <c r="E318" s="241" t="s">
        <v>25</v>
      </c>
      <c r="F318" s="602" t="s">
        <v>580</v>
      </c>
      <c r="G318" s="444" t="s">
        <v>579</v>
      </c>
      <c r="H318" s="603" t="s">
        <v>581</v>
      </c>
      <c r="I318" s="604" t="s">
        <v>582</v>
      </c>
      <c r="J318" s="242" t="s">
        <v>412</v>
      </c>
      <c r="K318" s="243" t="s">
        <v>586</v>
      </c>
      <c r="L318" s="605" t="s">
        <v>413</v>
      </c>
      <c r="M318" s="606"/>
      <c r="N318" s="244" t="s">
        <v>48</v>
      </c>
      <c r="O318" s="606" t="s">
        <v>590</v>
      </c>
      <c r="P318" s="606" t="s">
        <v>606</v>
      </c>
      <c r="Q318" s="606" t="s">
        <v>583</v>
      </c>
      <c r="R318" s="606" t="s">
        <v>584</v>
      </c>
      <c r="S318" s="606" t="s">
        <v>585</v>
      </c>
      <c r="T318" s="606" t="s">
        <v>414</v>
      </c>
      <c r="U318" s="606" t="s">
        <v>466</v>
      </c>
      <c r="V318" s="606" t="s">
        <v>465</v>
      </c>
      <c r="W318" s="607" t="s">
        <v>420</v>
      </c>
      <c r="X318" s="608" t="s">
        <v>425</v>
      </c>
      <c r="Z318" s="245" t="s">
        <v>417</v>
      </c>
      <c r="AA318" s="245" t="s">
        <v>464</v>
      </c>
      <c r="AB318" s="245" t="s">
        <v>587</v>
      </c>
      <c r="AC318" s="544"/>
      <c r="AD318" s="245" t="s">
        <v>463</v>
      </c>
      <c r="AE318" s="607" t="s">
        <v>426</v>
      </c>
      <c r="AF318" s="245" t="s">
        <v>588</v>
      </c>
      <c r="AG318" s="544"/>
      <c r="AH318" s="245" t="s">
        <v>429</v>
      </c>
      <c r="AI318" s="547" t="s">
        <v>430</v>
      </c>
      <c r="AJ318" s="547" t="s">
        <v>431</v>
      </c>
      <c r="AL318" s="543" t="s">
        <v>275</v>
      </c>
      <c r="AM318" s="543" t="s">
        <v>432</v>
      </c>
      <c r="AO318" s="245" t="s">
        <v>275</v>
      </c>
      <c r="AP318" s="245" t="s">
        <v>432</v>
      </c>
      <c r="AQ318" s="548"/>
      <c r="AR318" s="245" t="s">
        <v>467</v>
      </c>
      <c r="AS318" s="245" t="s">
        <v>461</v>
      </c>
      <c r="AT318" s="245" t="s">
        <v>462</v>
      </c>
      <c r="AU318" s="245" t="s">
        <v>48</v>
      </c>
      <c r="AV318" s="544"/>
      <c r="AW318" s="245" t="s">
        <v>591</v>
      </c>
      <c r="AX318" s="245" t="s">
        <v>592</v>
      </c>
      <c r="AY318" s="245" t="s">
        <v>514</v>
      </c>
      <c r="AZ318" s="544"/>
      <c r="BA318" s="557" t="s">
        <v>456</v>
      </c>
      <c r="BB318" s="245" t="s">
        <v>599</v>
      </c>
      <c r="BC318" s="245" t="s">
        <v>598</v>
      </c>
      <c r="BD318" s="544"/>
      <c r="BE318" s="557" t="s">
        <v>474</v>
      </c>
      <c r="BF318" s="245" t="s">
        <v>475</v>
      </c>
      <c r="BG318" s="245" t="s">
        <v>473</v>
      </c>
      <c r="BH318" s="245" t="s">
        <v>469</v>
      </c>
      <c r="BI318" s="245" t="s">
        <v>478</v>
      </c>
      <c r="BJ318" s="245" t="s">
        <v>491</v>
      </c>
      <c r="BK318" s="245" t="s">
        <v>776</v>
      </c>
      <c r="BL318" s="245" t="s">
        <v>778</v>
      </c>
      <c r="BM318" s="557" t="s">
        <v>601</v>
      </c>
      <c r="BN318" s="245" t="s">
        <v>600</v>
      </c>
      <c r="BO318" s="245" t="s">
        <v>477</v>
      </c>
      <c r="BP318" s="245" t="s">
        <v>483</v>
      </c>
      <c r="BQ318" s="245" t="s">
        <v>487</v>
      </c>
      <c r="BR318" s="557" t="s">
        <v>458</v>
      </c>
      <c r="BS318" s="245" t="s">
        <v>603</v>
      </c>
      <c r="BT318" s="245" t="s">
        <v>602</v>
      </c>
      <c r="BU318" s="245" t="s">
        <v>468</v>
      </c>
      <c r="BV318" s="245" t="s">
        <v>673</v>
      </c>
      <c r="BW318" s="245" t="s">
        <v>484</v>
      </c>
      <c r="BX318" s="245" t="s">
        <v>486</v>
      </c>
      <c r="BY318" s="557" t="s">
        <v>482</v>
      </c>
      <c r="BZ318" s="245" t="s">
        <v>223</v>
      </c>
      <c r="CA318" s="245" t="s">
        <v>47</v>
      </c>
      <c r="CB318" s="245" t="s">
        <v>485</v>
      </c>
      <c r="CC318" s="245" t="s">
        <v>604</v>
      </c>
      <c r="CE318" s="569" t="s">
        <v>497</v>
      </c>
      <c r="CG318" s="782" t="s">
        <v>829</v>
      </c>
      <c r="CH318" s="783" t="s">
        <v>830</v>
      </c>
      <c r="CI318" s="241" t="s">
        <v>25</v>
      </c>
      <c r="CJ318" s="602" t="s">
        <v>580</v>
      </c>
      <c r="CK318" s="444" t="s">
        <v>579</v>
      </c>
      <c r="CL318" s="603" t="s">
        <v>581</v>
      </c>
      <c r="CM318" s="604" t="s">
        <v>582</v>
      </c>
      <c r="CN318" s="242" t="s">
        <v>412</v>
      </c>
      <c r="CO318" s="243" t="s">
        <v>586</v>
      </c>
      <c r="CP318" s="605" t="s">
        <v>413</v>
      </c>
      <c r="CQ318" s="606"/>
      <c r="CR318" s="244" t="s">
        <v>48</v>
      </c>
      <c r="CS318" s="606" t="s">
        <v>590</v>
      </c>
      <c r="CT318" s="606" t="s">
        <v>606</v>
      </c>
      <c r="CU318" s="606" t="s">
        <v>583</v>
      </c>
      <c r="CV318" s="606" t="s">
        <v>584</v>
      </c>
      <c r="CW318" s="606" t="s">
        <v>585</v>
      </c>
      <c r="CX318" s="606" t="s">
        <v>414</v>
      </c>
      <c r="CY318" s="606" t="s">
        <v>466</v>
      </c>
      <c r="CZ318" s="606" t="s">
        <v>465</v>
      </c>
      <c r="DA318" s="607" t="s">
        <v>420</v>
      </c>
      <c r="DB318" s="608" t="s">
        <v>425</v>
      </c>
      <c r="DD318" s="245" t="s">
        <v>417</v>
      </c>
      <c r="DE318" s="245" t="s">
        <v>464</v>
      </c>
      <c r="DF318" s="245" t="s">
        <v>587</v>
      </c>
      <c r="DG318" s="544"/>
      <c r="DH318" s="245" t="s">
        <v>463</v>
      </c>
      <c r="DI318" s="607" t="s">
        <v>426</v>
      </c>
      <c r="DJ318" s="245" t="s">
        <v>588</v>
      </c>
      <c r="DK318" s="544"/>
      <c r="DL318" s="245" t="s">
        <v>429</v>
      </c>
      <c r="DM318" s="547" t="s">
        <v>430</v>
      </c>
      <c r="DN318" s="547" t="s">
        <v>431</v>
      </c>
      <c r="DP318" s="543" t="s">
        <v>275</v>
      </c>
      <c r="DQ318" s="543" t="s">
        <v>432</v>
      </c>
      <c r="DS318" s="245" t="s">
        <v>275</v>
      </c>
      <c r="DT318" s="245" t="s">
        <v>432</v>
      </c>
      <c r="DU318" s="548"/>
      <c r="DV318" s="245" t="s">
        <v>467</v>
      </c>
      <c r="DW318" s="245" t="s">
        <v>461</v>
      </c>
      <c r="DX318" s="245" t="s">
        <v>462</v>
      </c>
      <c r="DY318" s="245" t="s">
        <v>48</v>
      </c>
      <c r="DZ318" s="544"/>
      <c r="EA318" s="245" t="s">
        <v>591</v>
      </c>
      <c r="EB318" s="245" t="s">
        <v>592</v>
      </c>
      <c r="EC318" s="245" t="s">
        <v>514</v>
      </c>
      <c r="ED318" s="544"/>
      <c r="EE318" s="557" t="s">
        <v>456</v>
      </c>
      <c r="EF318" s="245" t="s">
        <v>599</v>
      </c>
      <c r="EG318" s="245" t="s">
        <v>598</v>
      </c>
      <c r="EH318" s="544"/>
      <c r="EI318" s="557" t="s">
        <v>474</v>
      </c>
      <c r="EJ318" s="245" t="s">
        <v>475</v>
      </c>
      <c r="EK318" s="245" t="s">
        <v>473</v>
      </c>
      <c r="EL318" s="245" t="s">
        <v>469</v>
      </c>
      <c r="EM318" s="245" t="s">
        <v>478</v>
      </c>
      <c r="EN318" s="245" t="s">
        <v>491</v>
      </c>
      <c r="EO318" s="245" t="s">
        <v>776</v>
      </c>
      <c r="EP318" s="245" t="s">
        <v>778</v>
      </c>
      <c r="EQ318" s="557" t="s">
        <v>601</v>
      </c>
      <c r="ER318" s="245" t="s">
        <v>600</v>
      </c>
      <c r="ES318" s="245" t="s">
        <v>477</v>
      </c>
      <c r="ET318" s="245" t="s">
        <v>483</v>
      </c>
      <c r="EU318" s="245" t="s">
        <v>487</v>
      </c>
      <c r="EV318" s="557" t="s">
        <v>458</v>
      </c>
      <c r="EW318" s="245" t="s">
        <v>603</v>
      </c>
      <c r="EX318" s="245" t="s">
        <v>602</v>
      </c>
      <c r="EY318" s="245" t="s">
        <v>468</v>
      </c>
      <c r="EZ318" s="245" t="s">
        <v>673</v>
      </c>
      <c r="FA318" s="245" t="s">
        <v>484</v>
      </c>
      <c r="FB318" s="245" t="s">
        <v>486</v>
      </c>
      <c r="FC318" s="557" t="s">
        <v>482</v>
      </c>
      <c r="FD318" s="245" t="s">
        <v>223</v>
      </c>
      <c r="FE318" s="245" t="s">
        <v>47</v>
      </c>
      <c r="FF318" s="245" t="s">
        <v>485</v>
      </c>
      <c r="FG318" s="245" t="s">
        <v>604</v>
      </c>
      <c r="FI318" s="569" t="s">
        <v>497</v>
      </c>
      <c r="FL318" s="782" t="s">
        <v>876</v>
      </c>
      <c r="FM318" s="782" t="s">
        <v>875</v>
      </c>
    </row>
    <row r="320" spans="5:169">
      <c r="E320" s="76" t="s">
        <v>913</v>
      </c>
      <c r="K320" s="76"/>
      <c r="L320" s="76" t="s">
        <v>914</v>
      </c>
    </row>
    <row r="321" spans="5:20">
      <c r="F321" s="76" t="s">
        <v>915</v>
      </c>
      <c r="G321" s="76" t="s">
        <v>916</v>
      </c>
      <c r="M321" s="76" t="s">
        <v>917</v>
      </c>
      <c r="N321" s="76" t="s">
        <v>918</v>
      </c>
    </row>
    <row r="322" spans="5:20">
      <c r="F322">
        <f>'Design Converter'!E73</f>
        <v>1E-3</v>
      </c>
      <c r="G322" s="884">
        <f>F322*Vout</f>
        <v>2.8000000000000001E-2</v>
      </c>
      <c r="M322">
        <f>'Design Converter'!L73</f>
        <v>5.0000000000000001E-4</v>
      </c>
      <c r="N322" s="884">
        <f>M322*Vout2</f>
        <v>1.4999999999999999E-2</v>
      </c>
      <c r="T322">
        <f>Vout*F316+Vout2*G316</f>
        <v>77.5</v>
      </c>
    </row>
    <row r="323" spans="5:20">
      <c r="E323" t="s">
        <v>907</v>
      </c>
      <c r="L323" t="s">
        <v>907</v>
      </c>
    </row>
    <row r="324" spans="5:20">
      <c r="F324" t="s">
        <v>908</v>
      </c>
      <c r="G324" t="s">
        <v>909</v>
      </c>
      <c r="H324" t="s">
        <v>910</v>
      </c>
      <c r="I324" s="76" t="s">
        <v>660</v>
      </c>
      <c r="M324" t="s">
        <v>908</v>
      </c>
      <c r="N324" t="s">
        <v>909</v>
      </c>
      <c r="O324" t="s">
        <v>910</v>
      </c>
      <c r="P324" s="76" t="s">
        <v>660</v>
      </c>
    </row>
    <row r="325" spans="5:20">
      <c r="F325" s="885">
        <v>1.9999999999999999E-7</v>
      </c>
      <c r="G325">
        <f>VIN_max</f>
        <v>40</v>
      </c>
      <c r="H325">
        <f>15000</f>
        <v>15000</v>
      </c>
      <c r="I325">
        <f>L*0.9</f>
        <v>4.2300000000000002E-6</v>
      </c>
      <c r="M325" s="885">
        <v>1.9999999999999999E-7</v>
      </c>
      <c r="N325">
        <f>VIN_max</f>
        <v>40</v>
      </c>
      <c r="O325">
        <f>15000</f>
        <v>15000</v>
      </c>
      <c r="P325">
        <f>L*0.9</f>
        <v>4.2300000000000002E-6</v>
      </c>
    </row>
    <row r="326" spans="5:20">
      <c r="G326" s="76" t="s">
        <v>911</v>
      </c>
      <c r="N326" s="76" t="s">
        <v>911</v>
      </c>
    </row>
    <row r="327" spans="5:20">
      <c r="G327" s="884">
        <f>0.5*(G325/I325*F325)^2*H325*I325</f>
        <v>0.11347517730496451</v>
      </c>
      <c r="N327" s="884">
        <f>0.5*(N325/P325*M325)^2*O325*P325</f>
        <v>0.11347517730496451</v>
      </c>
    </row>
    <row r="328" spans="5:20">
      <c r="E328" s="76" t="s">
        <v>919</v>
      </c>
      <c r="K328" s="76"/>
      <c r="L328" s="76" t="s">
        <v>920</v>
      </c>
    </row>
    <row r="329" spans="5:20">
      <c r="G329" t="str">
        <f>IF(G322+N322&lt;G327, "Yes", IF(G322&lt;G327, "Yes", "No"))</f>
        <v>Yes</v>
      </c>
      <c r="H329">
        <f>(Vout*1.05)^2/(G327-G322)</f>
        <v>10112.409558579493</v>
      </c>
      <c r="N329" t="str">
        <f>IF(G322+N322&lt;N327, "Yes", IF(N322&lt;N327, "Yes", "No"))</f>
        <v>Yes</v>
      </c>
      <c r="O329">
        <f>(Vout2*1.05)^2/(N327-N322)</f>
        <v>10076.143320129639</v>
      </c>
    </row>
  </sheetData>
  <sheetProtection algorithmName="SHA-512" hashValue="sWvrwAQ3B69gBZjIlK616dakgLhTsTT5OB5GCuVhR+7fa79j1lcPhdIKbEQae0OtQnbnhpknsUpx7HSinTgeoQ==" saltValue="DDZfNCxQKD8Tiuv1vFkeMA==" spinCount="100000" sheet="1" selectLockedCells="1" selectUnlockedCells="1"/>
  <mergeCells count="2">
    <mergeCell ref="N3:Z3"/>
    <mergeCell ref="CR3:DD3"/>
  </mergeCells>
  <phoneticPr fontId="83"/>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tabColor rgb="FFFF0000"/>
  </sheetPr>
  <dimension ref="C3:S106"/>
  <sheetViews>
    <sheetView workbookViewId="0">
      <selection activeCell="V6" sqref="V6"/>
    </sheetView>
  </sheetViews>
  <sheetFormatPr defaultRowHeight="12.5"/>
  <cols>
    <col min="3" max="3" width="7.7265625" customWidth="1"/>
    <col min="5" max="5" width="10.26953125" customWidth="1"/>
    <col min="7" max="7" width="10.7265625" customWidth="1"/>
    <col min="8" max="8" width="9.7265625" customWidth="1"/>
    <col min="9" max="9" width="9.54296875" customWidth="1"/>
    <col min="10" max="10" width="8.7265625" customWidth="1"/>
    <col min="11" max="11" width="9.81640625" customWidth="1"/>
    <col min="12" max="12" width="10.7265625" customWidth="1"/>
    <col min="13" max="13" width="15" customWidth="1"/>
    <col min="14" max="14" width="11.453125" customWidth="1"/>
    <col min="15" max="16" width="11" customWidth="1"/>
    <col min="17" max="17" width="11.1796875" customWidth="1"/>
    <col min="18" max="18" width="11.26953125" customWidth="1"/>
    <col min="19" max="19" width="5.1796875" customWidth="1"/>
  </cols>
  <sheetData>
    <row r="3" spans="3:19" ht="13" thickBot="1"/>
    <row r="4" spans="3:19" ht="13">
      <c r="C4" s="220" t="s">
        <v>421</v>
      </c>
      <c r="D4" s="221"/>
      <c r="E4" s="222"/>
      <c r="F4" s="947" t="s">
        <v>189</v>
      </c>
      <c r="G4" s="948"/>
      <c r="H4" s="947"/>
      <c r="I4" s="947"/>
      <c r="J4" s="947"/>
      <c r="K4" s="948"/>
      <c r="L4" s="948"/>
      <c r="M4" s="948"/>
      <c r="N4" s="947"/>
      <c r="O4" s="949"/>
      <c r="P4" s="533"/>
      <c r="Q4" s="533"/>
      <c r="R4" s="533"/>
      <c r="S4" s="533"/>
    </row>
    <row r="5" spans="3:19" ht="45" customHeight="1" thickBot="1">
      <c r="C5" s="241" t="s">
        <v>25</v>
      </c>
      <c r="D5" s="242" t="s">
        <v>412</v>
      </c>
      <c r="E5" s="243" t="s">
        <v>418</v>
      </c>
      <c r="F5" s="244" t="s">
        <v>48</v>
      </c>
      <c r="G5" s="527" t="s">
        <v>402</v>
      </c>
      <c r="H5" s="527" t="s">
        <v>403</v>
      </c>
      <c r="I5" s="527" t="s">
        <v>413</v>
      </c>
      <c r="J5" s="527" t="s">
        <v>414</v>
      </c>
      <c r="K5" s="527" t="s">
        <v>415</v>
      </c>
      <c r="L5" s="527" t="s">
        <v>416</v>
      </c>
      <c r="M5" s="246" t="s">
        <v>419</v>
      </c>
      <c r="N5" s="245" t="s">
        <v>420</v>
      </c>
      <c r="O5" s="245" t="s">
        <v>417</v>
      </c>
      <c r="P5" s="245" t="s">
        <v>422</v>
      </c>
      <c r="Q5" s="245" t="s">
        <v>423</v>
      </c>
      <c r="R5" s="245" t="s">
        <v>424</v>
      </c>
      <c r="S5" s="245"/>
    </row>
    <row r="6" spans="3:19">
      <c r="C6" s="170">
        <v>0.1</v>
      </c>
      <c r="D6" s="529">
        <f>VIN_min</f>
        <v>19</v>
      </c>
      <c r="E6" s="443">
        <f t="shared" ref="E6:E37" si="0">(Vout+Vfwd1)*Nps</f>
        <v>28.4</v>
      </c>
      <c r="F6" s="217">
        <f t="shared" ref="F6:F37" si="1">(Vout+Vfwd1)*Nps/((Vout+Vfwd1)*Nps+D6)</f>
        <v>0.59915611814345993</v>
      </c>
      <c r="G6" s="172">
        <f t="shared" ref="G6:G37" si="2">F6*D6*Isw_max*0.5*Efficiency</f>
        <v>94.866385372714504</v>
      </c>
      <c r="H6" s="217">
        <f t="shared" ref="H6:H37" si="3">G6/Vout</f>
        <v>3.3880851918826607</v>
      </c>
      <c r="I6" s="443">
        <f t="shared" ref="I6:I37" si="4">(Vout+Vfwd1)*Nps+D6</f>
        <v>47.4</v>
      </c>
      <c r="J6" s="172">
        <f t="shared" ref="J6:J37" si="5">MIN(2*Vout*Iout/(Efficiency*D6*F6), 1.35)</f>
        <v>1.35</v>
      </c>
      <c r="K6" s="172">
        <f t="shared" ref="K6:K37" si="6">L*J6/D6*1000000</f>
        <v>0.33394736842105266</v>
      </c>
      <c r="L6" s="172">
        <f t="shared" ref="L6:L37" si="7">L*J6/((Vout+Vfwd1)*Nps)*1000000</f>
        <v>0.22341549295774651</v>
      </c>
      <c r="M6" s="443">
        <f>MIN(1/(K6+L6)*1000, 350)</f>
        <v>350</v>
      </c>
      <c r="N6" s="197">
        <f t="shared" ref="N6:N37" si="8">IF(1/((350000*L)*(1/D6+1/E6))&gt;Isw_min, 350, 0.001/((Isw_min*L)*(1/D6+1/E6)))</f>
        <v>350</v>
      </c>
      <c r="O6" s="217">
        <f t="shared" ref="O6:O37" si="9">1/((N6*1000*L)*(1/D6+1/E6))</f>
        <v>6.9203442217177731</v>
      </c>
      <c r="P6" s="173">
        <f t="shared" ref="P6:P37" si="10">L*O6/E6*1000000</f>
        <v>1.1452682338758289</v>
      </c>
      <c r="Q6" s="173">
        <f t="shared" ref="Q6:Q37" si="11">0.5*P6*O6*Nps*N6/1000</f>
        <v>1.3869888208084145</v>
      </c>
      <c r="R6" s="173">
        <f t="shared" ref="R6:R37" si="12">L*Isw_min/E6*1000000</f>
        <v>0.55164319248826299</v>
      </c>
    </row>
    <row r="7" spans="3:19">
      <c r="C7" s="170">
        <v>1</v>
      </c>
      <c r="D7" s="5">
        <f t="shared" ref="D7:D38" si="13">C7/100*(VIN_max-VIN_min)+VIN_min</f>
        <v>19.21</v>
      </c>
      <c r="E7" s="443">
        <f t="shared" si="0"/>
        <v>28.4</v>
      </c>
      <c r="F7" s="217">
        <f t="shared" si="1"/>
        <v>0.59651333753413149</v>
      </c>
      <c r="G7" s="172">
        <f t="shared" si="2"/>
        <v>95.491843450255558</v>
      </c>
      <c r="H7" s="217">
        <f t="shared" si="3"/>
        <v>3.41042298036627</v>
      </c>
      <c r="I7" s="443">
        <f t="shared" si="4"/>
        <v>47.61</v>
      </c>
      <c r="J7" s="172">
        <f t="shared" si="5"/>
        <v>1.35</v>
      </c>
      <c r="K7" s="172">
        <f t="shared" si="6"/>
        <v>0.33029672045809472</v>
      </c>
      <c r="L7" s="172">
        <f t="shared" si="7"/>
        <v>0.22341549295774651</v>
      </c>
      <c r="M7" s="443">
        <f t="shared" ref="M7:M70" si="14">MIN(1/(K7+L7)*1000, 350)</f>
        <v>350</v>
      </c>
      <c r="N7" s="197">
        <f t="shared" si="8"/>
        <v>350</v>
      </c>
      <c r="O7" s="217">
        <f t="shared" si="9"/>
        <v>6.9659703428757842</v>
      </c>
      <c r="P7" s="173">
        <f t="shared" si="10"/>
        <v>1.1528190356167671</v>
      </c>
      <c r="Q7" s="173">
        <f t="shared" si="11"/>
        <v>1.4053380622415859</v>
      </c>
      <c r="R7" s="173">
        <f t="shared" si="12"/>
        <v>0.55164319248826299</v>
      </c>
    </row>
    <row r="8" spans="3:19">
      <c r="C8" s="170">
        <v>2</v>
      </c>
      <c r="D8" s="5">
        <f t="shared" si="13"/>
        <v>19.420000000000002</v>
      </c>
      <c r="E8" s="443">
        <f t="shared" si="0"/>
        <v>28.4</v>
      </c>
      <c r="F8" s="217">
        <f t="shared" si="1"/>
        <v>0.59389376829778329</v>
      </c>
      <c r="G8" s="172">
        <f t="shared" si="2"/>
        <v>96.111808169524608</v>
      </c>
      <c r="H8" s="217">
        <f t="shared" si="3"/>
        <v>3.4325645774830216</v>
      </c>
      <c r="I8" s="443">
        <f t="shared" si="4"/>
        <v>47.82</v>
      </c>
      <c r="J8" s="172">
        <f t="shared" si="5"/>
        <v>1.35</v>
      </c>
      <c r="K8" s="172">
        <f t="shared" si="6"/>
        <v>0.32672502574665291</v>
      </c>
      <c r="L8" s="172">
        <f t="shared" si="7"/>
        <v>0.22341549295774651</v>
      </c>
      <c r="M8" s="443">
        <f t="shared" si="14"/>
        <v>350</v>
      </c>
      <c r="N8" s="197">
        <f t="shared" si="8"/>
        <v>350</v>
      </c>
      <c r="O8" s="217">
        <f t="shared" si="9"/>
        <v>7.0111957327312782</v>
      </c>
      <c r="P8" s="173">
        <f t="shared" si="10"/>
        <v>1.1603035191491906</v>
      </c>
      <c r="Q8" s="173">
        <f t="shared" si="11"/>
        <v>1.4236451393730807</v>
      </c>
      <c r="R8" s="173">
        <f t="shared" si="12"/>
        <v>0.55164319248826299</v>
      </c>
    </row>
    <row r="9" spans="3:19">
      <c r="C9" s="170">
        <v>3</v>
      </c>
      <c r="D9" s="5">
        <f t="shared" si="13"/>
        <v>19.63</v>
      </c>
      <c r="E9" s="443">
        <f t="shared" si="0"/>
        <v>28.4</v>
      </c>
      <c r="F9" s="217">
        <f t="shared" si="1"/>
        <v>0.59129710597543195</v>
      </c>
      <c r="G9" s="172">
        <f t="shared" si="2"/>
        <v>96.726351585814413</v>
      </c>
      <c r="H9" s="217">
        <f t="shared" si="3"/>
        <v>3.4545125566362289</v>
      </c>
      <c r="I9" s="443">
        <f t="shared" si="4"/>
        <v>48.03</v>
      </c>
      <c r="J9" s="172">
        <f t="shared" si="5"/>
        <v>1.35</v>
      </c>
      <c r="K9" s="172">
        <f t="shared" si="6"/>
        <v>0.3232297503820683</v>
      </c>
      <c r="L9" s="172">
        <f t="shared" si="7"/>
        <v>0.22341549295774651</v>
      </c>
      <c r="M9" s="443">
        <f t="shared" si="14"/>
        <v>350</v>
      </c>
      <c r="N9" s="197">
        <f t="shared" si="8"/>
        <v>350</v>
      </c>
      <c r="O9" s="217">
        <f t="shared" si="9"/>
        <v>7.0560256475974041</v>
      </c>
      <c r="P9" s="173">
        <f t="shared" si="10"/>
        <v>1.1677225543559084</v>
      </c>
      <c r="Q9" s="173">
        <f t="shared" si="11"/>
        <v>1.4419090512423176</v>
      </c>
      <c r="R9" s="173">
        <f t="shared" si="12"/>
        <v>0.55164319248826299</v>
      </c>
    </row>
    <row r="10" spans="3:19">
      <c r="C10" s="170">
        <v>4</v>
      </c>
      <c r="D10" s="5">
        <f t="shared" si="13"/>
        <v>19.84</v>
      </c>
      <c r="E10" s="443">
        <f t="shared" si="0"/>
        <v>28.4</v>
      </c>
      <c r="F10" s="217">
        <f t="shared" si="1"/>
        <v>0.58872305140961856</v>
      </c>
      <c r="G10" s="172">
        <f t="shared" si="2"/>
        <v>97.335544499723611</v>
      </c>
      <c r="H10" s="217">
        <f t="shared" si="3"/>
        <v>3.4762694464187005</v>
      </c>
      <c r="I10" s="443">
        <f t="shared" si="4"/>
        <v>48.239999999999995</v>
      </c>
      <c r="J10" s="172">
        <f t="shared" si="5"/>
        <v>1.35</v>
      </c>
      <c r="K10" s="172">
        <f t="shared" si="6"/>
        <v>0.3198084677419355</v>
      </c>
      <c r="L10" s="172">
        <f t="shared" si="7"/>
        <v>0.22341549295774651</v>
      </c>
      <c r="M10" s="443">
        <f t="shared" si="14"/>
        <v>350</v>
      </c>
      <c r="N10" s="197">
        <f t="shared" si="8"/>
        <v>350</v>
      </c>
      <c r="O10" s="217">
        <f t="shared" si="9"/>
        <v>7.1004652522594718</v>
      </c>
      <c r="P10" s="173">
        <f t="shared" si="10"/>
        <v>1.1750769959725182</v>
      </c>
      <c r="Q10" s="173">
        <f t="shared" si="11"/>
        <v>1.4601288412606541</v>
      </c>
      <c r="R10" s="173">
        <f t="shared" si="12"/>
        <v>0.55164319248826299</v>
      </c>
    </row>
    <row r="11" spans="3:19">
      <c r="C11" s="170">
        <v>5</v>
      </c>
      <c r="D11" s="5">
        <f t="shared" si="13"/>
        <v>20.05</v>
      </c>
      <c r="E11" s="443">
        <f t="shared" si="0"/>
        <v>28.4</v>
      </c>
      <c r="F11" s="217">
        <f t="shared" si="1"/>
        <v>0.58617131062951489</v>
      </c>
      <c r="G11" s="172">
        <f t="shared" si="2"/>
        <v>97.939456484348113</v>
      </c>
      <c r="H11" s="217">
        <f t="shared" si="3"/>
        <v>3.4978377315838611</v>
      </c>
      <c r="I11" s="443">
        <f t="shared" si="4"/>
        <v>48.45</v>
      </c>
      <c r="J11" s="172">
        <f t="shared" si="5"/>
        <v>1.35</v>
      </c>
      <c r="K11" s="172">
        <f t="shared" si="6"/>
        <v>0.31645885286783043</v>
      </c>
      <c r="L11" s="172">
        <f t="shared" si="7"/>
        <v>0.22341549295774651</v>
      </c>
      <c r="M11" s="443">
        <f t="shared" si="14"/>
        <v>350</v>
      </c>
      <c r="N11" s="197">
        <f t="shared" si="8"/>
        <v>350</v>
      </c>
      <c r="O11" s="217">
        <f t="shared" si="9"/>
        <v>7.1445196219585263</v>
      </c>
      <c r="P11" s="173">
        <f t="shared" si="10"/>
        <v>1.1823676839156718</v>
      </c>
      <c r="Q11" s="173">
        <f t="shared" si="11"/>
        <v>1.4783035956684054</v>
      </c>
      <c r="R11" s="173">
        <f t="shared" si="12"/>
        <v>0.55164319248826299</v>
      </c>
    </row>
    <row r="12" spans="3:19">
      <c r="C12" s="170">
        <v>6</v>
      </c>
      <c r="D12" s="5">
        <f t="shared" si="13"/>
        <v>20.260000000000002</v>
      </c>
      <c r="E12" s="443">
        <f t="shared" si="0"/>
        <v>28.4</v>
      </c>
      <c r="F12" s="217">
        <f t="shared" si="1"/>
        <v>0.58364159473900534</v>
      </c>
      <c r="G12" s="172">
        <f t="shared" si="2"/>
        <v>98.53815591176874</v>
      </c>
      <c r="H12" s="217">
        <f t="shared" si="3"/>
        <v>3.5192198539917405</v>
      </c>
      <c r="I12" s="443">
        <f t="shared" si="4"/>
        <v>48.66</v>
      </c>
      <c r="J12" s="172">
        <f t="shared" si="5"/>
        <v>1.35</v>
      </c>
      <c r="K12" s="172">
        <f t="shared" si="6"/>
        <v>0.31317867719644615</v>
      </c>
      <c r="L12" s="172">
        <f t="shared" si="7"/>
        <v>0.22341549295774651</v>
      </c>
      <c r="M12" s="443">
        <f t="shared" si="14"/>
        <v>350</v>
      </c>
      <c r="N12" s="197">
        <f t="shared" si="8"/>
        <v>350</v>
      </c>
      <c r="O12" s="217">
        <f t="shared" si="9"/>
        <v>7.1881937443235557</v>
      </c>
      <c r="P12" s="173">
        <f t="shared" si="10"/>
        <v>1.189595443602842</v>
      </c>
      <c r="Q12" s="173">
        <f t="shared" si="11"/>
        <v>1.4964324420468067</v>
      </c>
      <c r="R12" s="173">
        <f t="shared" si="12"/>
        <v>0.55164319248826299</v>
      </c>
    </row>
    <row r="13" spans="3:19">
      <c r="C13" s="170">
        <v>7</v>
      </c>
      <c r="D13" s="5">
        <f t="shared" si="13"/>
        <v>20.47</v>
      </c>
      <c r="E13" s="443">
        <f t="shared" si="0"/>
        <v>28.4</v>
      </c>
      <c r="F13" s="217">
        <f t="shared" si="1"/>
        <v>0.58113361980765299</v>
      </c>
      <c r="G13" s="172">
        <f t="shared" si="2"/>
        <v>99.131709978855469</v>
      </c>
      <c r="H13" s="217">
        <f t="shared" si="3"/>
        <v>3.5404182135305526</v>
      </c>
      <c r="I13" s="443">
        <f t="shared" si="4"/>
        <v>48.87</v>
      </c>
      <c r="J13" s="172">
        <f t="shared" si="5"/>
        <v>1.35</v>
      </c>
      <c r="K13" s="172">
        <f t="shared" si="6"/>
        <v>0.30996580361504644</v>
      </c>
      <c r="L13" s="172">
        <f t="shared" si="7"/>
        <v>0.22341549295774651</v>
      </c>
      <c r="M13" s="443">
        <f t="shared" si="14"/>
        <v>350</v>
      </c>
      <c r="N13" s="197">
        <f t="shared" si="8"/>
        <v>350</v>
      </c>
      <c r="O13" s="217">
        <f t="shared" si="9"/>
        <v>7.2314925212538936</v>
      </c>
      <c r="P13" s="173">
        <f t="shared" si="10"/>
        <v>1.1967610862638487</v>
      </c>
      <c r="Q13" s="173">
        <f t="shared" si="11"/>
        <v>1.5145145478828237</v>
      </c>
      <c r="R13" s="173">
        <f t="shared" si="12"/>
        <v>0.55164319248826299</v>
      </c>
    </row>
    <row r="14" spans="3:19" s="76" customFormat="1">
      <c r="C14" s="189">
        <v>8</v>
      </c>
      <c r="D14" s="534">
        <f t="shared" si="13"/>
        <v>20.68</v>
      </c>
      <c r="E14" s="535">
        <f t="shared" si="0"/>
        <v>28.4</v>
      </c>
      <c r="F14" s="329">
        <f t="shared" si="1"/>
        <v>0.57864710676446618</v>
      </c>
      <c r="G14" s="536">
        <f t="shared" si="2"/>
        <v>99.720184732409678</v>
      </c>
      <c r="H14" s="329">
        <f t="shared" si="3"/>
        <v>3.5614351690146315</v>
      </c>
      <c r="I14" s="535">
        <f t="shared" si="4"/>
        <v>49.08</v>
      </c>
      <c r="J14" s="172">
        <f t="shared" si="5"/>
        <v>1.35</v>
      </c>
      <c r="K14" s="536">
        <f t="shared" si="6"/>
        <v>0.30681818181818182</v>
      </c>
      <c r="L14" s="536">
        <f t="shared" si="7"/>
        <v>0.22341549295774651</v>
      </c>
      <c r="M14" s="535">
        <f t="shared" si="14"/>
        <v>350</v>
      </c>
      <c r="N14" s="537">
        <f t="shared" si="8"/>
        <v>350</v>
      </c>
      <c r="O14" s="329">
        <f t="shared" si="9"/>
        <v>7.274420770753288</v>
      </c>
      <c r="P14" s="173">
        <f t="shared" si="10"/>
        <v>1.2038654092443821</v>
      </c>
      <c r="Q14" s="538">
        <f t="shared" si="11"/>
        <v>1.5325491191847795</v>
      </c>
      <c r="R14" s="173">
        <f t="shared" si="12"/>
        <v>0.55164319248826299</v>
      </c>
    </row>
    <row r="15" spans="3:19">
      <c r="C15" s="170">
        <v>9</v>
      </c>
      <c r="D15" s="5">
        <f t="shared" si="13"/>
        <v>20.89</v>
      </c>
      <c r="E15" s="443">
        <f t="shared" si="0"/>
        <v>28.4</v>
      </c>
      <c r="F15" s="217">
        <f t="shared" si="1"/>
        <v>0.57618178129438014</v>
      </c>
      <c r="G15" s="172">
        <f t="shared" si="2"/>
        <v>100.30364509366335</v>
      </c>
      <c r="H15" s="217">
        <f t="shared" si="3"/>
        <v>3.5822730390594053</v>
      </c>
      <c r="I15" s="443">
        <f t="shared" si="4"/>
        <v>49.29</v>
      </c>
      <c r="J15" s="172">
        <f t="shared" si="5"/>
        <v>1.35</v>
      </c>
      <c r="K15" s="172">
        <f t="shared" si="6"/>
        <v>0.30373384394447106</v>
      </c>
      <c r="L15" s="172">
        <f t="shared" si="7"/>
        <v>0.22341549295774651</v>
      </c>
      <c r="M15" s="443">
        <f t="shared" si="14"/>
        <v>350</v>
      </c>
      <c r="N15" s="197">
        <f t="shared" si="8"/>
        <v>350</v>
      </c>
      <c r="O15" s="217">
        <f t="shared" si="9"/>
        <v>7.3169832287170848</v>
      </c>
      <c r="P15" s="173">
        <f t="shared" si="10"/>
        <v>1.2109091963017713</v>
      </c>
      <c r="Q15" s="173">
        <f t="shared" si="11"/>
        <v>1.5505353991468855</v>
      </c>
      <c r="R15" s="173">
        <f t="shared" si="12"/>
        <v>0.55164319248826299</v>
      </c>
    </row>
    <row r="16" spans="3:19">
      <c r="C16" s="170">
        <v>10</v>
      </c>
      <c r="D16" s="5">
        <f t="shared" si="13"/>
        <v>21.1</v>
      </c>
      <c r="E16" s="443">
        <f t="shared" si="0"/>
        <v>28.4</v>
      </c>
      <c r="F16" s="217">
        <f t="shared" si="1"/>
        <v>0.57373737373737366</v>
      </c>
      <c r="G16" s="172">
        <f t="shared" si="2"/>
        <v>100.88215488215488</v>
      </c>
      <c r="H16" s="217">
        <f t="shared" si="3"/>
        <v>3.6029341029341029</v>
      </c>
      <c r="I16" s="443">
        <f t="shared" si="4"/>
        <v>49.5</v>
      </c>
      <c r="J16" s="172">
        <f t="shared" si="5"/>
        <v>1.35</v>
      </c>
      <c r="K16" s="172">
        <f t="shared" si="6"/>
        <v>0.30071090047393367</v>
      </c>
      <c r="L16" s="172">
        <f t="shared" si="7"/>
        <v>0.22341549295774651</v>
      </c>
      <c r="M16" s="443">
        <f t="shared" si="14"/>
        <v>350</v>
      </c>
      <c r="N16" s="197">
        <f t="shared" si="8"/>
        <v>350</v>
      </c>
      <c r="O16" s="217">
        <f t="shared" si="9"/>
        <v>7.3591845506739118</v>
      </c>
      <c r="P16" s="173">
        <f t="shared" si="10"/>
        <v>1.2178932178932178</v>
      </c>
      <c r="Q16" s="173">
        <f t="shared" si="11"/>
        <v>1.5684726668608033</v>
      </c>
      <c r="R16" s="173">
        <f t="shared" si="12"/>
        <v>0.55164319248826299</v>
      </c>
    </row>
    <row r="17" spans="3:18">
      <c r="C17" s="170">
        <v>11</v>
      </c>
      <c r="D17" s="5">
        <f t="shared" si="13"/>
        <v>21.31</v>
      </c>
      <c r="E17" s="443">
        <f t="shared" si="0"/>
        <v>28.4</v>
      </c>
      <c r="F17" s="217">
        <f t="shared" si="1"/>
        <v>0.57131361899014288</v>
      </c>
      <c r="G17" s="172">
        <f t="shared" si="2"/>
        <v>101.45577683899954</v>
      </c>
      <c r="H17" s="217">
        <f t="shared" si="3"/>
        <v>3.6234206013928407</v>
      </c>
      <c r="I17" s="443">
        <f t="shared" si="4"/>
        <v>49.709999999999994</v>
      </c>
      <c r="J17" s="172">
        <f t="shared" si="5"/>
        <v>1.35</v>
      </c>
      <c r="K17" s="172">
        <f t="shared" si="6"/>
        <v>0.29774753636790247</v>
      </c>
      <c r="L17" s="172">
        <f t="shared" si="7"/>
        <v>0.22341549295774651</v>
      </c>
      <c r="M17" s="443">
        <f t="shared" si="14"/>
        <v>350</v>
      </c>
      <c r="N17" s="197">
        <f t="shared" si="8"/>
        <v>350</v>
      </c>
      <c r="O17" s="217">
        <f t="shared" si="9"/>
        <v>7.4010293134832468</v>
      </c>
      <c r="P17" s="173">
        <f t="shared" si="10"/>
        <v>1.2248182314567344</v>
      </c>
      <c r="Q17" s="173">
        <f t="shared" si="11"/>
        <v>1.5863602360725002</v>
      </c>
      <c r="R17" s="173">
        <f t="shared" si="12"/>
        <v>0.55164319248826299</v>
      </c>
    </row>
    <row r="18" spans="3:18">
      <c r="C18" s="170">
        <v>12</v>
      </c>
      <c r="D18" s="5">
        <f t="shared" si="13"/>
        <v>21.52</v>
      </c>
      <c r="E18" s="443">
        <f t="shared" si="0"/>
        <v>28.4</v>
      </c>
      <c r="F18" s="217">
        <f t="shared" si="1"/>
        <v>0.56891025641025639</v>
      </c>
      <c r="G18" s="172">
        <f t="shared" si="2"/>
        <v>102.02457264957265</v>
      </c>
      <c r="H18" s="217">
        <f t="shared" si="3"/>
        <v>3.6437347374847375</v>
      </c>
      <c r="I18" s="443">
        <f t="shared" si="4"/>
        <v>49.92</v>
      </c>
      <c r="J18" s="172">
        <f t="shared" si="5"/>
        <v>1.35</v>
      </c>
      <c r="K18" s="172">
        <f t="shared" si="6"/>
        <v>0.29484200743494426</v>
      </c>
      <c r="L18" s="172">
        <f t="shared" si="7"/>
        <v>0.22341549295774651</v>
      </c>
      <c r="M18" s="443">
        <f t="shared" si="14"/>
        <v>350</v>
      </c>
      <c r="N18" s="197">
        <f t="shared" si="8"/>
        <v>350</v>
      </c>
      <c r="O18" s="217">
        <f t="shared" si="9"/>
        <v>7.4425220169901012</v>
      </c>
      <c r="P18" s="173">
        <f t="shared" si="10"/>
        <v>1.2316849816849815</v>
      </c>
      <c r="Q18" s="173">
        <f t="shared" si="11"/>
        <v>1.604197453982642</v>
      </c>
      <c r="R18" s="173">
        <f t="shared" si="12"/>
        <v>0.55164319248826299</v>
      </c>
    </row>
    <row r="19" spans="3:18">
      <c r="C19" s="170">
        <v>13</v>
      </c>
      <c r="D19" s="5">
        <f t="shared" si="13"/>
        <v>21.73</v>
      </c>
      <c r="E19" s="443">
        <f t="shared" si="0"/>
        <v>28.4</v>
      </c>
      <c r="F19" s="217">
        <f t="shared" si="1"/>
        <v>0.56652702972272095</v>
      </c>
      <c r="G19" s="172">
        <f t="shared" si="2"/>
        <v>102.58860296562273</v>
      </c>
      <c r="H19" s="217">
        <f t="shared" si="3"/>
        <v>3.6638786773436687</v>
      </c>
      <c r="I19" s="443">
        <f t="shared" si="4"/>
        <v>50.129999999999995</v>
      </c>
      <c r="J19" s="172">
        <f t="shared" si="5"/>
        <v>1.35</v>
      </c>
      <c r="K19" s="172">
        <f t="shared" si="6"/>
        <v>0.29199263690750116</v>
      </c>
      <c r="L19" s="172">
        <f t="shared" si="7"/>
        <v>0.22341549295774651</v>
      </c>
      <c r="M19" s="443">
        <f t="shared" si="14"/>
        <v>350</v>
      </c>
      <c r="N19" s="197">
        <f t="shared" si="8"/>
        <v>350</v>
      </c>
      <c r="O19" s="217">
        <f t="shared" si="9"/>
        <v>7.4836670856381309</v>
      </c>
      <c r="P19" s="173">
        <f t="shared" si="10"/>
        <v>1.2384942007922259</v>
      </c>
      <c r="Q19" s="173">
        <f t="shared" si="11"/>
        <v>1.6219837000889348</v>
      </c>
      <c r="R19" s="173">
        <f t="shared" si="12"/>
        <v>0.55164319248826299</v>
      </c>
    </row>
    <row r="20" spans="3:18">
      <c r="C20" s="170">
        <v>14</v>
      </c>
      <c r="D20" s="5">
        <f t="shared" si="13"/>
        <v>21.94</v>
      </c>
      <c r="E20" s="443">
        <f t="shared" si="0"/>
        <v>28.4</v>
      </c>
      <c r="F20" s="217">
        <f t="shared" si="1"/>
        <v>0.56416368692888352</v>
      </c>
      <c r="G20" s="172">
        <f t="shared" si="2"/>
        <v>103.14792742683089</v>
      </c>
      <c r="H20" s="217">
        <f t="shared" si="3"/>
        <v>3.6838545509582459</v>
      </c>
      <c r="I20" s="443">
        <f t="shared" si="4"/>
        <v>50.34</v>
      </c>
      <c r="J20" s="172">
        <f t="shared" si="5"/>
        <v>1.35</v>
      </c>
      <c r="K20" s="172">
        <f t="shared" si="6"/>
        <v>0.28919781221513213</v>
      </c>
      <c r="L20" s="172">
        <f t="shared" si="7"/>
        <v>0.22341549295774651</v>
      </c>
      <c r="M20" s="443">
        <f t="shared" si="14"/>
        <v>350</v>
      </c>
      <c r="N20" s="197">
        <f t="shared" si="8"/>
        <v>350</v>
      </c>
      <c r="O20" s="217">
        <f t="shared" si="9"/>
        <v>7.5244688700423747</v>
      </c>
      <c r="P20" s="173">
        <f t="shared" si="10"/>
        <v>1.2452466087746181</v>
      </c>
      <c r="Q20" s="173">
        <f t="shared" si="11"/>
        <v>1.6397183850688286</v>
      </c>
      <c r="R20" s="173">
        <f t="shared" si="12"/>
        <v>0.55164319248826299</v>
      </c>
    </row>
    <row r="21" spans="3:18">
      <c r="C21" s="170">
        <v>15</v>
      </c>
      <c r="D21" s="5">
        <f t="shared" si="13"/>
        <v>22.15</v>
      </c>
      <c r="E21" s="443">
        <f t="shared" si="0"/>
        <v>28.4</v>
      </c>
      <c r="F21" s="217">
        <f t="shared" si="1"/>
        <v>0.56181998021760637</v>
      </c>
      <c r="G21" s="172">
        <f t="shared" si="2"/>
        <v>103.70260468183318</v>
      </c>
      <c r="H21" s="217">
        <f t="shared" si="3"/>
        <v>3.7036644529226135</v>
      </c>
      <c r="I21" s="443">
        <f t="shared" si="4"/>
        <v>50.55</v>
      </c>
      <c r="J21" s="172">
        <f t="shared" si="5"/>
        <v>1.35</v>
      </c>
      <c r="K21" s="172">
        <f t="shared" si="6"/>
        <v>0.28645598194130928</v>
      </c>
      <c r="L21" s="172">
        <f t="shared" si="7"/>
        <v>0.22341549295774651</v>
      </c>
      <c r="M21" s="443">
        <f t="shared" si="14"/>
        <v>350</v>
      </c>
      <c r="N21" s="197">
        <f t="shared" si="8"/>
        <v>350</v>
      </c>
      <c r="O21" s="217">
        <f t="shared" si="9"/>
        <v>7.5649316485227844</v>
      </c>
      <c r="P21" s="173">
        <f t="shared" si="10"/>
        <v>1.2519429136639821</v>
      </c>
      <c r="Q21" s="173">
        <f t="shared" si="11"/>
        <v>1.6574009497010851</v>
      </c>
      <c r="R21" s="173">
        <f t="shared" si="12"/>
        <v>0.55164319248826299</v>
      </c>
    </row>
    <row r="22" spans="3:18" s="3" customFormat="1" ht="13">
      <c r="C22" s="333">
        <v>16</v>
      </c>
      <c r="D22" s="530">
        <f t="shared" si="13"/>
        <v>22.36</v>
      </c>
      <c r="E22" s="531">
        <f t="shared" si="0"/>
        <v>28.4</v>
      </c>
      <c r="F22" s="532">
        <f t="shared" si="1"/>
        <v>0.55949566587864463</v>
      </c>
      <c r="G22" s="332">
        <f t="shared" si="2"/>
        <v>104.25269240872079</v>
      </c>
      <c r="H22" s="532">
        <f t="shared" si="3"/>
        <v>3.7233104431685997</v>
      </c>
      <c r="I22" s="531">
        <f t="shared" si="4"/>
        <v>50.76</v>
      </c>
      <c r="J22" s="172">
        <f t="shared" si="5"/>
        <v>1.35</v>
      </c>
      <c r="K22" s="332">
        <f t="shared" si="6"/>
        <v>0.28376565295169948</v>
      </c>
      <c r="L22" s="332">
        <f t="shared" si="7"/>
        <v>0.22341549295774651</v>
      </c>
      <c r="M22" s="531">
        <f t="shared" si="14"/>
        <v>350</v>
      </c>
      <c r="N22" s="335">
        <f t="shared" si="8"/>
        <v>350</v>
      </c>
      <c r="O22" s="532">
        <f t="shared" si="9"/>
        <v>7.6050596285996921</v>
      </c>
      <c r="P22" s="173">
        <f t="shared" si="10"/>
        <v>1.258583811775301</v>
      </c>
      <c r="Q22" s="539">
        <f t="shared" si="11"/>
        <v>1.6750308638247546</v>
      </c>
      <c r="R22" s="173">
        <f t="shared" si="12"/>
        <v>0.55164319248826299</v>
      </c>
    </row>
    <row r="23" spans="3:18">
      <c r="C23" s="170">
        <v>17</v>
      </c>
      <c r="D23" s="5">
        <f t="shared" si="13"/>
        <v>22.57</v>
      </c>
      <c r="E23" s="443">
        <f t="shared" si="0"/>
        <v>28.4</v>
      </c>
      <c r="F23" s="217">
        <f t="shared" si="1"/>
        <v>0.55719050421816751</v>
      </c>
      <c r="G23" s="172">
        <f t="shared" si="2"/>
        <v>104.79824733503368</v>
      </c>
      <c r="H23" s="217">
        <f t="shared" si="3"/>
        <v>3.7427945476797744</v>
      </c>
      <c r="I23" s="443">
        <f t="shared" si="4"/>
        <v>50.97</v>
      </c>
      <c r="J23" s="172">
        <f t="shared" si="5"/>
        <v>1.35</v>
      </c>
      <c r="K23" s="172">
        <f t="shared" si="6"/>
        <v>0.28112538768276474</v>
      </c>
      <c r="L23" s="172">
        <f t="shared" si="7"/>
        <v>0.22341549295774651</v>
      </c>
      <c r="M23" s="443">
        <f t="shared" si="14"/>
        <v>350</v>
      </c>
      <c r="N23" s="197">
        <f t="shared" si="8"/>
        <v>350</v>
      </c>
      <c r="O23" s="217">
        <f t="shared" si="9"/>
        <v>7.644856948452305</v>
      </c>
      <c r="P23" s="173">
        <f t="shared" si="10"/>
        <v>1.2651699879480927</v>
      </c>
      <c r="Q23" s="173">
        <f t="shared" si="11"/>
        <v>1.6926076253342017</v>
      </c>
      <c r="R23" s="173">
        <f t="shared" si="12"/>
        <v>0.55164319248826299</v>
      </c>
    </row>
    <row r="24" spans="3:18">
      <c r="C24" s="170">
        <v>18</v>
      </c>
      <c r="D24" s="5">
        <f t="shared" si="13"/>
        <v>22.78</v>
      </c>
      <c r="E24" s="443">
        <f t="shared" si="0"/>
        <v>28.4</v>
      </c>
      <c r="F24" s="217">
        <f t="shared" si="1"/>
        <v>0.55490425947635791</v>
      </c>
      <c r="G24" s="172">
        <f t="shared" si="2"/>
        <v>105.33932525726196</v>
      </c>
      <c r="H24" s="217">
        <f t="shared" si="3"/>
        <v>3.7621187591879273</v>
      </c>
      <c r="I24" s="443">
        <f t="shared" si="4"/>
        <v>51.18</v>
      </c>
      <c r="J24" s="172">
        <f t="shared" si="5"/>
        <v>1.35</v>
      </c>
      <c r="K24" s="172">
        <f t="shared" si="6"/>
        <v>0.27853380158033364</v>
      </c>
      <c r="L24" s="172">
        <f t="shared" si="7"/>
        <v>0.22341549295774651</v>
      </c>
      <c r="M24" s="443">
        <f t="shared" si="14"/>
        <v>350</v>
      </c>
      <c r="N24" s="197">
        <f t="shared" si="8"/>
        <v>350</v>
      </c>
      <c r="O24" s="217">
        <f t="shared" si="9"/>
        <v>7.6843276783412966</v>
      </c>
      <c r="P24" s="173">
        <f t="shared" si="10"/>
        <v>1.2717021157818342</v>
      </c>
      <c r="Q24" s="173">
        <f t="shared" si="11"/>
        <v>1.7101307592088191</v>
      </c>
      <c r="R24" s="173">
        <f t="shared" si="12"/>
        <v>0.55164319248826299</v>
      </c>
    </row>
    <row r="25" spans="3:18">
      <c r="C25" s="170">
        <v>19</v>
      </c>
      <c r="D25" s="5">
        <f t="shared" si="13"/>
        <v>22.990000000000002</v>
      </c>
      <c r="E25" s="443">
        <f t="shared" si="0"/>
        <v>28.4</v>
      </c>
      <c r="F25" s="217">
        <f t="shared" si="1"/>
        <v>0.55263669974703244</v>
      </c>
      <c r="G25" s="172">
        <f t="shared" si="2"/>
        <v>105.87598105986898</v>
      </c>
      <c r="H25" s="217">
        <f t="shared" si="3"/>
        <v>3.7812850378524634</v>
      </c>
      <c r="I25" s="443">
        <f t="shared" si="4"/>
        <v>51.39</v>
      </c>
      <c r="J25" s="172">
        <f t="shared" si="5"/>
        <v>1.35</v>
      </c>
      <c r="K25" s="172">
        <f t="shared" si="6"/>
        <v>0.2759895606785559</v>
      </c>
      <c r="L25" s="172">
        <f t="shared" si="7"/>
        <v>0.22341549295774651</v>
      </c>
      <c r="M25" s="443">
        <f t="shared" si="14"/>
        <v>350</v>
      </c>
      <c r="N25" s="197">
        <f t="shared" si="8"/>
        <v>350</v>
      </c>
      <c r="O25" s="217">
        <f t="shared" si="9"/>
        <v>7.7234758219965221</v>
      </c>
      <c r="P25" s="173">
        <f t="shared" si="10"/>
        <v>1.2781808578656217</v>
      </c>
      <c r="Q25" s="173">
        <f t="shared" si="11"/>
        <v>1.727599816576183</v>
      </c>
      <c r="R25" s="173">
        <f t="shared" si="12"/>
        <v>0.55164319248826299</v>
      </c>
    </row>
    <row r="26" spans="3:18">
      <c r="C26" s="170">
        <v>20</v>
      </c>
      <c r="D26" s="5">
        <f t="shared" si="13"/>
        <v>23.2</v>
      </c>
      <c r="E26" s="443">
        <f t="shared" si="0"/>
        <v>28.4</v>
      </c>
      <c r="F26" s="217">
        <f t="shared" si="1"/>
        <v>0.55038759689922478</v>
      </c>
      <c r="G26" s="172">
        <f t="shared" si="2"/>
        <v>106.40826873385012</v>
      </c>
      <c r="H26" s="217">
        <f t="shared" si="3"/>
        <v>3.8002953119232186</v>
      </c>
      <c r="I26" s="443">
        <f t="shared" si="4"/>
        <v>51.599999999999994</v>
      </c>
      <c r="J26" s="172">
        <f t="shared" si="5"/>
        <v>1.35</v>
      </c>
      <c r="K26" s="172">
        <f t="shared" si="6"/>
        <v>0.27349137931034484</v>
      </c>
      <c r="L26" s="172">
        <f t="shared" si="7"/>
        <v>0.22341549295774651</v>
      </c>
      <c r="M26" s="443">
        <f t="shared" si="14"/>
        <v>350</v>
      </c>
      <c r="N26" s="197">
        <f t="shared" si="8"/>
        <v>350</v>
      </c>
      <c r="O26" s="217">
        <f t="shared" si="9"/>
        <v>7.7623053179708279</v>
      </c>
      <c r="P26" s="173">
        <f t="shared" si="10"/>
        <v>1.2846068660022145</v>
      </c>
      <c r="Q26" s="173">
        <f t="shared" si="11"/>
        <v>1.7450143738073951</v>
      </c>
      <c r="R26" s="173">
        <f t="shared" si="12"/>
        <v>0.55164319248826299</v>
      </c>
    </row>
    <row r="27" spans="3:18">
      <c r="C27" s="170">
        <v>21</v>
      </c>
      <c r="D27" s="5">
        <f t="shared" si="13"/>
        <v>23.41</v>
      </c>
      <c r="E27" s="443">
        <f t="shared" si="0"/>
        <v>28.4</v>
      </c>
      <c r="F27" s="217">
        <f t="shared" si="1"/>
        <v>0.54815672650067548</v>
      </c>
      <c r="G27" s="172">
        <f t="shared" si="2"/>
        <v>106.93624139484012</v>
      </c>
      <c r="H27" s="217">
        <f t="shared" si="3"/>
        <v>3.8191514783871474</v>
      </c>
      <c r="I27" s="443">
        <f t="shared" si="4"/>
        <v>51.81</v>
      </c>
      <c r="J27" s="172">
        <f t="shared" si="5"/>
        <v>1.35</v>
      </c>
      <c r="K27" s="172">
        <f t="shared" si="6"/>
        <v>0.27103801794105081</v>
      </c>
      <c r="L27" s="172">
        <f t="shared" si="7"/>
        <v>0.22341549295774651</v>
      </c>
      <c r="M27" s="443">
        <f t="shared" si="14"/>
        <v>350</v>
      </c>
      <c r="N27" s="197">
        <f t="shared" si="8"/>
        <v>350</v>
      </c>
      <c r="O27" s="217">
        <f t="shared" si="9"/>
        <v>7.8008200409609803</v>
      </c>
      <c r="P27" s="173">
        <f t="shared" si="10"/>
        <v>1.290980781426641</v>
      </c>
      <c r="Q27" s="173">
        <f t="shared" si="11"/>
        <v>1.7623740316434713</v>
      </c>
      <c r="R27" s="173">
        <f t="shared" si="12"/>
        <v>0.55164319248826299</v>
      </c>
    </row>
    <row r="28" spans="3:18">
      <c r="C28" s="170">
        <v>22</v>
      </c>
      <c r="D28" s="5">
        <f t="shared" si="13"/>
        <v>23.62</v>
      </c>
      <c r="E28" s="443">
        <f t="shared" si="0"/>
        <v>28.4</v>
      </c>
      <c r="F28" s="217">
        <f t="shared" si="1"/>
        <v>0.54594386774317571</v>
      </c>
      <c r="G28" s="172">
        <f t="shared" si="2"/>
        <v>107.45995130078177</v>
      </c>
      <c r="H28" s="217">
        <f t="shared" si="3"/>
        <v>3.8378554035993488</v>
      </c>
      <c r="I28" s="443">
        <f t="shared" si="4"/>
        <v>52.019999999999996</v>
      </c>
      <c r="J28" s="172">
        <f t="shared" si="5"/>
        <v>1.35</v>
      </c>
      <c r="K28" s="172">
        <f t="shared" si="6"/>
        <v>0.26862828111769688</v>
      </c>
      <c r="L28" s="172">
        <f t="shared" si="7"/>
        <v>0.22341549295774651</v>
      </c>
      <c r="M28" s="443">
        <f t="shared" si="14"/>
        <v>350</v>
      </c>
      <c r="N28" s="197">
        <f t="shared" si="8"/>
        <v>350</v>
      </c>
      <c r="O28" s="217">
        <f t="shared" si="9"/>
        <v>7.8390238030965405</v>
      </c>
      <c r="P28" s="173">
        <f t="shared" si="10"/>
        <v>1.297303235019498</v>
      </c>
      <c r="Q28" s="173">
        <f t="shared" si="11"/>
        <v>1.779678414351598</v>
      </c>
      <c r="R28" s="173">
        <f t="shared" si="12"/>
        <v>0.55164319248826299</v>
      </c>
    </row>
    <row r="29" spans="3:18">
      <c r="C29" s="170">
        <v>23</v>
      </c>
      <c r="D29" s="5">
        <f t="shared" si="13"/>
        <v>23.83</v>
      </c>
      <c r="E29" s="443">
        <f t="shared" si="0"/>
        <v>28.4</v>
      </c>
      <c r="F29" s="217">
        <f t="shared" si="1"/>
        <v>0.54374880336971088</v>
      </c>
      <c r="G29" s="172">
        <f t="shared" si="2"/>
        <v>107.97944986916842</v>
      </c>
      <c r="H29" s="217">
        <f t="shared" si="3"/>
        <v>3.8564089238988721</v>
      </c>
      <c r="I29" s="443">
        <f t="shared" si="4"/>
        <v>52.23</v>
      </c>
      <c r="J29" s="172">
        <f t="shared" si="5"/>
        <v>1.35</v>
      </c>
      <c r="K29" s="172">
        <f t="shared" si="6"/>
        <v>0.2662610155266471</v>
      </c>
      <c r="L29" s="172">
        <f t="shared" si="7"/>
        <v>0.22341549295774651</v>
      </c>
      <c r="M29" s="443">
        <f t="shared" si="14"/>
        <v>350</v>
      </c>
      <c r="N29" s="197">
        <f t="shared" si="8"/>
        <v>350</v>
      </c>
      <c r="O29" s="217">
        <f t="shared" si="9"/>
        <v>7.8769203551976954</v>
      </c>
      <c r="P29" s="173">
        <f t="shared" si="10"/>
        <v>1.3035748475151114</v>
      </c>
      <c r="Q29" s="173">
        <f t="shared" si="11"/>
        <v>1.7969271689102146</v>
      </c>
      <c r="R29" s="173">
        <f t="shared" si="12"/>
        <v>0.55164319248826299</v>
      </c>
    </row>
    <row r="30" spans="3:18">
      <c r="C30" s="170">
        <v>24</v>
      </c>
      <c r="D30" s="5">
        <f t="shared" si="13"/>
        <v>24.04</v>
      </c>
      <c r="E30" s="443">
        <f t="shared" si="0"/>
        <v>28.4</v>
      </c>
      <c r="F30" s="217">
        <f t="shared" si="1"/>
        <v>0.54157131960335625</v>
      </c>
      <c r="G30" s="172">
        <f t="shared" si="2"/>
        <v>108.49478769387237</v>
      </c>
      <c r="H30" s="217">
        <f t="shared" si="3"/>
        <v>3.8748138462097272</v>
      </c>
      <c r="I30" s="443">
        <f t="shared" si="4"/>
        <v>52.44</v>
      </c>
      <c r="J30" s="172">
        <f t="shared" si="5"/>
        <v>1.35</v>
      </c>
      <c r="K30" s="172">
        <f t="shared" si="6"/>
        <v>0.26393510815307825</v>
      </c>
      <c r="L30" s="172">
        <f t="shared" si="7"/>
        <v>0.22341549295774651</v>
      </c>
      <c r="M30" s="443">
        <f t="shared" si="14"/>
        <v>350</v>
      </c>
      <c r="N30" s="197">
        <f t="shared" si="8"/>
        <v>350</v>
      </c>
      <c r="O30" s="217">
        <f t="shared" si="9"/>
        <v>7.9145133880028471</v>
      </c>
      <c r="P30" s="173">
        <f t="shared" si="10"/>
        <v>1.3097962297046963</v>
      </c>
      <c r="Q30" s="173">
        <f t="shared" si="11"/>
        <v>1.8141199642218575</v>
      </c>
      <c r="R30" s="173">
        <f t="shared" si="12"/>
        <v>0.55164319248826299</v>
      </c>
    </row>
    <row r="31" spans="3:18">
      <c r="C31" s="170">
        <v>25</v>
      </c>
      <c r="D31" s="5">
        <f t="shared" si="13"/>
        <v>24.25</v>
      </c>
      <c r="E31" s="443">
        <f t="shared" si="0"/>
        <v>28.4</v>
      </c>
      <c r="F31" s="217">
        <f t="shared" si="1"/>
        <v>0.53941120607787274</v>
      </c>
      <c r="G31" s="172">
        <f t="shared" si="2"/>
        <v>109.00601456157013</v>
      </c>
      <c r="H31" s="217">
        <f t="shared" si="3"/>
        <v>3.8930719486275045</v>
      </c>
      <c r="I31" s="443">
        <f t="shared" si="4"/>
        <v>52.65</v>
      </c>
      <c r="J31" s="172">
        <f t="shared" si="5"/>
        <v>1.35</v>
      </c>
      <c r="K31" s="172">
        <f t="shared" si="6"/>
        <v>0.2616494845360825</v>
      </c>
      <c r="L31" s="172">
        <f t="shared" si="7"/>
        <v>0.22341549295774651</v>
      </c>
      <c r="M31" s="443">
        <f t="shared" si="14"/>
        <v>350</v>
      </c>
      <c r="N31" s="197">
        <f t="shared" si="8"/>
        <v>350</v>
      </c>
      <c r="O31" s="217">
        <f t="shared" si="9"/>
        <v>7.9518065333668169</v>
      </c>
      <c r="P31" s="173">
        <f t="shared" si="10"/>
        <v>1.3159679826346495</v>
      </c>
      <c r="Q31" s="173">
        <f t="shared" si="11"/>
        <v>1.8312564903527573</v>
      </c>
      <c r="R31" s="173">
        <f t="shared" si="12"/>
        <v>0.55164319248826299</v>
      </c>
    </row>
    <row r="32" spans="3:18">
      <c r="C32" s="170">
        <v>26</v>
      </c>
      <c r="D32" s="5">
        <f t="shared" si="13"/>
        <v>24.46</v>
      </c>
      <c r="E32" s="443">
        <f t="shared" si="0"/>
        <v>28.4</v>
      </c>
      <c r="F32" s="217">
        <f t="shared" si="1"/>
        <v>0.5372682557699584</v>
      </c>
      <c r="G32" s="172">
        <f t="shared" si="2"/>
        <v>109.51317946777652</v>
      </c>
      <c r="H32" s="217">
        <f t="shared" si="3"/>
        <v>3.9111849809920187</v>
      </c>
      <c r="I32" s="443">
        <f t="shared" si="4"/>
        <v>52.86</v>
      </c>
      <c r="J32" s="172">
        <f t="shared" si="5"/>
        <v>1.35</v>
      </c>
      <c r="K32" s="172">
        <f t="shared" si="6"/>
        <v>0.25940310711365494</v>
      </c>
      <c r="L32" s="172">
        <f t="shared" si="7"/>
        <v>0.22341549295774651</v>
      </c>
      <c r="M32" s="443">
        <f t="shared" si="14"/>
        <v>350</v>
      </c>
      <c r="N32" s="197">
        <f t="shared" si="8"/>
        <v>350</v>
      </c>
      <c r="O32" s="217">
        <f t="shared" si="9"/>
        <v>7.9888033654305053</v>
      </c>
      <c r="P32" s="173">
        <f t="shared" si="10"/>
        <v>1.3220906978001188</v>
      </c>
      <c r="Q32" s="173">
        <f t="shared" si="11"/>
        <v>1.8483364577982417</v>
      </c>
      <c r="R32" s="173">
        <f t="shared" si="12"/>
        <v>0.55164319248826299</v>
      </c>
    </row>
    <row r="33" spans="3:18">
      <c r="C33" s="170">
        <v>27</v>
      </c>
      <c r="D33" s="5">
        <f t="shared" si="13"/>
        <v>24.67</v>
      </c>
      <c r="E33" s="443">
        <f t="shared" si="0"/>
        <v>28.4</v>
      </c>
      <c r="F33" s="217">
        <f t="shared" si="1"/>
        <v>0.53514226493310724</v>
      </c>
      <c r="G33" s="172">
        <f t="shared" si="2"/>
        <v>110.01633063249798</v>
      </c>
      <c r="H33" s="217">
        <f t="shared" si="3"/>
        <v>3.9291546654463567</v>
      </c>
      <c r="I33" s="443">
        <f t="shared" si="4"/>
        <v>53.07</v>
      </c>
      <c r="J33" s="172">
        <f t="shared" si="5"/>
        <v>1.35</v>
      </c>
      <c r="K33" s="172">
        <f t="shared" si="6"/>
        <v>0.25719497365220917</v>
      </c>
      <c r="L33" s="172">
        <f t="shared" si="7"/>
        <v>0.22341549295774651</v>
      </c>
      <c r="M33" s="443">
        <f t="shared" si="14"/>
        <v>350</v>
      </c>
      <c r="N33" s="197">
        <f t="shared" si="8"/>
        <v>350</v>
      </c>
      <c r="O33" s="217">
        <f t="shared" si="9"/>
        <v>8.0255074017627681</v>
      </c>
      <c r="P33" s="173">
        <f t="shared" si="10"/>
        <v>1.3281649573339793</v>
      </c>
      <c r="Q33" s="173">
        <f t="shared" si="11"/>
        <v>1.8653595967730119</v>
      </c>
      <c r="R33" s="173">
        <f t="shared" si="12"/>
        <v>0.55164319248826299</v>
      </c>
    </row>
    <row r="34" spans="3:18">
      <c r="C34" s="170">
        <v>28</v>
      </c>
      <c r="D34" s="5">
        <f t="shared" si="13"/>
        <v>24.880000000000003</v>
      </c>
      <c r="E34" s="443">
        <f t="shared" si="0"/>
        <v>28.4</v>
      </c>
      <c r="F34" s="217">
        <f t="shared" si="1"/>
        <v>0.53303303303303295</v>
      </c>
      <c r="G34" s="172">
        <f t="shared" si="2"/>
        <v>110.51551551551552</v>
      </c>
      <c r="H34" s="217">
        <f t="shared" si="3"/>
        <v>3.9469826969826971</v>
      </c>
      <c r="I34" s="443">
        <f t="shared" si="4"/>
        <v>53.28</v>
      </c>
      <c r="J34" s="172">
        <f t="shared" si="5"/>
        <v>1.35</v>
      </c>
      <c r="K34" s="172">
        <f t="shared" si="6"/>
        <v>0.255024115755627</v>
      </c>
      <c r="L34" s="172">
        <f t="shared" si="7"/>
        <v>0.22341549295774651</v>
      </c>
      <c r="M34" s="443">
        <f t="shared" si="14"/>
        <v>350</v>
      </c>
      <c r="N34" s="197">
        <f t="shared" si="8"/>
        <v>350</v>
      </c>
      <c r="O34" s="217">
        <f t="shared" si="9"/>
        <v>8.0619221044752969</v>
      </c>
      <c r="P34" s="173">
        <f t="shared" si="10"/>
        <v>1.3341913341913343</v>
      </c>
      <c r="Q34" s="173">
        <f t="shared" si="11"/>
        <v>1.8823256565253885</v>
      </c>
      <c r="R34" s="173">
        <f t="shared" si="12"/>
        <v>0.55164319248826299</v>
      </c>
    </row>
    <row r="35" spans="3:18">
      <c r="C35" s="170">
        <v>29</v>
      </c>
      <c r="D35" s="5">
        <f t="shared" si="13"/>
        <v>25.09</v>
      </c>
      <c r="E35" s="443">
        <f t="shared" si="0"/>
        <v>28.4</v>
      </c>
      <c r="F35" s="217">
        <f t="shared" si="1"/>
        <v>0.53094036268461398</v>
      </c>
      <c r="G35" s="172">
        <f t="shared" si="2"/>
        <v>111.01078083130804</v>
      </c>
      <c r="H35" s="217">
        <f t="shared" si="3"/>
        <v>3.9646707439752871</v>
      </c>
      <c r="I35" s="443">
        <f t="shared" si="4"/>
        <v>53.489999999999995</v>
      </c>
      <c r="J35" s="172">
        <f t="shared" si="5"/>
        <v>1.35</v>
      </c>
      <c r="K35" s="172">
        <f t="shared" si="6"/>
        <v>0.25288959744918293</v>
      </c>
      <c r="L35" s="172">
        <f t="shared" si="7"/>
        <v>0.22341549295774651</v>
      </c>
      <c r="M35" s="443">
        <f t="shared" si="14"/>
        <v>350</v>
      </c>
      <c r="N35" s="197">
        <f t="shared" si="8"/>
        <v>350</v>
      </c>
      <c r="O35" s="217">
        <f t="shared" si="9"/>
        <v>8.0980508813112237</v>
      </c>
      <c r="P35" s="173">
        <f t="shared" si="10"/>
        <v>1.3401703923296744</v>
      </c>
      <c r="Q35" s="173">
        <f t="shared" si="11"/>
        <v>1.8992344046746925</v>
      </c>
      <c r="R35" s="173">
        <f t="shared" si="12"/>
        <v>0.55164319248826299</v>
      </c>
    </row>
    <row r="36" spans="3:18">
      <c r="C36" s="170">
        <v>30</v>
      </c>
      <c r="D36" s="5">
        <f t="shared" si="13"/>
        <v>25.3</v>
      </c>
      <c r="E36" s="443">
        <f t="shared" si="0"/>
        <v>28.4</v>
      </c>
      <c r="F36" s="217">
        <f t="shared" si="1"/>
        <v>0.52886405959031657</v>
      </c>
      <c r="G36" s="172">
        <f t="shared" si="2"/>
        <v>111.50217256362509</v>
      </c>
      <c r="H36" s="217">
        <f t="shared" si="3"/>
        <v>3.9822204487008963</v>
      </c>
      <c r="I36" s="443">
        <f t="shared" si="4"/>
        <v>53.7</v>
      </c>
      <c r="J36" s="172">
        <f t="shared" si="5"/>
        <v>1.35</v>
      </c>
      <c r="K36" s="172">
        <f t="shared" si="6"/>
        <v>0.25079051383399209</v>
      </c>
      <c r="L36" s="172">
        <f t="shared" si="7"/>
        <v>0.22341549295774651</v>
      </c>
      <c r="M36" s="443">
        <f t="shared" si="14"/>
        <v>350</v>
      </c>
      <c r="N36" s="197">
        <f t="shared" si="8"/>
        <v>350</v>
      </c>
      <c r="O36" s="217">
        <f t="shared" si="9"/>
        <v>8.1338970867082114</v>
      </c>
      <c r="P36" s="173">
        <f t="shared" si="10"/>
        <v>1.3461026868848096</v>
      </c>
      <c r="Q36" s="173">
        <f t="shared" si="11"/>
        <v>1.9160856265709285</v>
      </c>
      <c r="R36" s="173">
        <f t="shared" si="12"/>
        <v>0.55164319248826299</v>
      </c>
    </row>
    <row r="37" spans="3:18">
      <c r="C37" s="170">
        <v>31</v>
      </c>
      <c r="D37" s="5">
        <f t="shared" si="13"/>
        <v>25.509999999999998</v>
      </c>
      <c r="E37" s="443">
        <f t="shared" si="0"/>
        <v>28.4</v>
      </c>
      <c r="F37" s="217">
        <f t="shared" si="1"/>
        <v>0.52680393248005941</v>
      </c>
      <c r="G37" s="172">
        <f t="shared" si="2"/>
        <v>111.9897359797193</v>
      </c>
      <c r="H37" s="217">
        <f t="shared" si="3"/>
        <v>3.999633427847118</v>
      </c>
      <c r="I37" s="443">
        <f t="shared" si="4"/>
        <v>53.91</v>
      </c>
      <c r="J37" s="172">
        <f t="shared" si="5"/>
        <v>1.35</v>
      </c>
      <c r="K37" s="172">
        <f t="shared" si="6"/>
        <v>0.24872598980791849</v>
      </c>
      <c r="L37" s="172">
        <f t="shared" si="7"/>
        <v>0.22341549295774651</v>
      </c>
      <c r="M37" s="443">
        <f t="shared" si="14"/>
        <v>350</v>
      </c>
      <c r="N37" s="197">
        <f t="shared" si="8"/>
        <v>350</v>
      </c>
      <c r="O37" s="217">
        <f t="shared" si="9"/>
        <v>8.1694640228366655</v>
      </c>
      <c r="P37" s="173">
        <f t="shared" si="10"/>
        <v>1.3519887643426876</v>
      </c>
      <c r="Q37" s="173">
        <f t="shared" si="11"/>
        <v>1.9328791246759724</v>
      </c>
      <c r="R37" s="173">
        <f t="shared" si="12"/>
        <v>0.55164319248826299</v>
      </c>
    </row>
    <row r="38" spans="3:18">
      <c r="C38" s="170">
        <v>32</v>
      </c>
      <c r="D38" s="5">
        <f t="shared" si="13"/>
        <v>25.72</v>
      </c>
      <c r="E38" s="443">
        <f t="shared" ref="E38:E69" si="15">(Vout+Vfwd1)*Nps</f>
        <v>28.4</v>
      </c>
      <c r="F38" s="217">
        <f t="shared" ref="F38:F69" si="16">(Vout+Vfwd1)*Nps/((Vout+Vfwd1)*Nps+D38)</f>
        <v>0.524759793052476</v>
      </c>
      <c r="G38" s="172">
        <f t="shared" ref="G38:G69" si="17">F38*D38*Isw_max*0.5*Efficiency</f>
        <v>112.47351564424736</v>
      </c>
      <c r="H38" s="217">
        <f t="shared" ref="H38:H69" si="18">G38/Vout</f>
        <v>4.0169112730088345</v>
      </c>
      <c r="I38" s="443">
        <f t="shared" ref="I38:I69" si="19">(Vout+Vfwd1)*Nps+D38</f>
        <v>54.12</v>
      </c>
      <c r="J38" s="172">
        <f t="shared" ref="J38:J69" si="20">MIN(2*Vout*Iout/(Efficiency*D38*F38), 1.35)</f>
        <v>1.35</v>
      </c>
      <c r="K38" s="172">
        <f t="shared" ref="K38:K69" si="21">L*J38/D38*1000000</f>
        <v>0.24669517884914463</v>
      </c>
      <c r="L38" s="172">
        <f t="shared" ref="L38:L69" si="22">L*J38/((Vout+Vfwd1)*Nps)*1000000</f>
        <v>0.22341549295774651</v>
      </c>
      <c r="M38" s="443">
        <f t="shared" si="14"/>
        <v>350</v>
      </c>
      <c r="N38" s="197">
        <f t="shared" ref="N38:N69" si="23">IF(1/((350000*L)*(1/D38+1/E38))&gt;Isw_min, 350, 0.001/((Isw_min*L)*(1/D38+1/E38)))</f>
        <v>350</v>
      </c>
      <c r="O38" s="217">
        <f t="shared" ref="O38:O69" si="24">1/((N38*1000*L)*(1/D38+1/E38))</f>
        <v>8.2047549406137872</v>
      </c>
      <c r="P38" s="173">
        <f t="shared" ref="P38:P69" si="25">L*O38/E38*1000000</f>
        <v>1.3578291627072114</v>
      </c>
      <c r="Q38" s="173">
        <f t="shared" ref="Q38:Q69" si="26">0.5*P38*O38*Nps*N38/1000</f>
        <v>1.9496147179655081</v>
      </c>
      <c r="R38" s="173">
        <f t="shared" ref="R38:R69" si="27">L*Isw_min/E38*1000000</f>
        <v>0.55164319248826299</v>
      </c>
    </row>
    <row r="39" spans="3:18">
      <c r="C39" s="170">
        <v>33</v>
      </c>
      <c r="D39" s="5">
        <f t="shared" ref="D39:D70" si="28">C39/100*(VIN_max-VIN_min)+VIN_min</f>
        <v>25.93</v>
      </c>
      <c r="E39" s="443">
        <f t="shared" si="15"/>
        <v>28.4</v>
      </c>
      <c r="F39" s="217">
        <f t="shared" si="16"/>
        <v>0.522731455917541</v>
      </c>
      <c r="G39" s="172">
        <f t="shared" si="17"/>
        <v>112.95355543284866</v>
      </c>
      <c r="H39" s="217">
        <f t="shared" si="18"/>
        <v>4.0340555511731662</v>
      </c>
      <c r="I39" s="443">
        <f t="shared" si="19"/>
        <v>54.33</v>
      </c>
      <c r="J39" s="172">
        <f t="shared" si="20"/>
        <v>1.35</v>
      </c>
      <c r="K39" s="172">
        <f t="shared" si="21"/>
        <v>0.2446972618588508</v>
      </c>
      <c r="L39" s="172">
        <f t="shared" si="22"/>
        <v>0.22341549295774651</v>
      </c>
      <c r="M39" s="443">
        <f t="shared" si="14"/>
        <v>350</v>
      </c>
      <c r="N39" s="197">
        <f t="shared" si="23"/>
        <v>350</v>
      </c>
      <c r="O39" s="217">
        <f t="shared" si="24"/>
        <v>8.239773040694125</v>
      </c>
      <c r="P39" s="173">
        <f t="shared" si="25"/>
        <v>1.3636244116641687</v>
      </c>
      <c r="Q39" s="173">
        <f t="shared" si="26"/>
        <v>1.9662922413509909</v>
      </c>
      <c r="R39" s="173">
        <f t="shared" si="27"/>
        <v>0.55164319248826299</v>
      </c>
    </row>
    <row r="40" spans="3:18">
      <c r="C40" s="170">
        <v>34</v>
      </c>
      <c r="D40" s="5">
        <f t="shared" si="28"/>
        <v>26.14</v>
      </c>
      <c r="E40" s="443">
        <f t="shared" si="15"/>
        <v>28.4</v>
      </c>
      <c r="F40" s="217">
        <f t="shared" si="16"/>
        <v>0.52071873854052075</v>
      </c>
      <c r="G40" s="172">
        <f t="shared" si="17"/>
        <v>113.42989854541011</v>
      </c>
      <c r="H40" s="217">
        <f t="shared" si="18"/>
        <v>4.0510678051932185</v>
      </c>
      <c r="I40" s="443">
        <f t="shared" si="19"/>
        <v>54.54</v>
      </c>
      <c r="J40" s="172">
        <f t="shared" si="20"/>
        <v>1.35</v>
      </c>
      <c r="K40" s="172">
        <f t="shared" si="21"/>
        <v>0.24273144605967867</v>
      </c>
      <c r="L40" s="172">
        <f t="shared" si="22"/>
        <v>0.22341549295774651</v>
      </c>
      <c r="M40" s="443">
        <f t="shared" si="14"/>
        <v>350</v>
      </c>
      <c r="N40" s="197">
        <f t="shared" si="23"/>
        <v>350</v>
      </c>
      <c r="O40" s="217">
        <f t="shared" si="24"/>
        <v>8.2745214744372113</v>
      </c>
      <c r="P40" s="173">
        <f t="shared" si="25"/>
        <v>1.3693750327413696</v>
      </c>
      <c r="Q40" s="173">
        <f t="shared" si="26"/>
        <v>1.9829115451209089</v>
      </c>
      <c r="R40" s="173">
        <f t="shared" si="27"/>
        <v>0.55164319248826299</v>
      </c>
    </row>
    <row r="41" spans="3:18">
      <c r="C41" s="170">
        <v>35</v>
      </c>
      <c r="D41" s="5">
        <f t="shared" si="28"/>
        <v>26.35</v>
      </c>
      <c r="E41" s="443">
        <f t="shared" si="15"/>
        <v>28.4</v>
      </c>
      <c r="F41" s="217">
        <f t="shared" si="16"/>
        <v>0.51872146118721463</v>
      </c>
      <c r="G41" s="172">
        <f t="shared" si="17"/>
        <v>113.90258751902589</v>
      </c>
      <c r="H41" s="217">
        <f t="shared" si="18"/>
        <v>4.0679495542509247</v>
      </c>
      <c r="I41" s="443">
        <f t="shared" si="19"/>
        <v>54.75</v>
      </c>
      <c r="J41" s="172">
        <f t="shared" si="20"/>
        <v>1.35</v>
      </c>
      <c r="K41" s="172">
        <f t="shared" si="21"/>
        <v>0.24079696394686906</v>
      </c>
      <c r="L41" s="172">
        <f t="shared" si="22"/>
        <v>0.22341549295774651</v>
      </c>
      <c r="M41" s="443">
        <f t="shared" si="14"/>
        <v>350</v>
      </c>
      <c r="N41" s="197">
        <f t="shared" si="23"/>
        <v>350</v>
      </c>
      <c r="O41" s="217">
        <f t="shared" si="24"/>
        <v>8.3090033448529521</v>
      </c>
      <c r="P41" s="173">
        <f t="shared" si="25"/>
        <v>1.3750815394651015</v>
      </c>
      <c r="Q41" s="173">
        <f t="shared" si="26"/>
        <v>1.9994724944006881</v>
      </c>
      <c r="R41" s="173">
        <f t="shared" si="27"/>
        <v>0.55164319248826299</v>
      </c>
    </row>
    <row r="42" spans="3:18">
      <c r="C42" s="170">
        <v>36</v>
      </c>
      <c r="D42" s="5">
        <f t="shared" si="28"/>
        <v>26.56</v>
      </c>
      <c r="E42" s="443">
        <f t="shared" si="15"/>
        <v>28.4</v>
      </c>
      <c r="F42" s="217">
        <f t="shared" si="16"/>
        <v>0.51673944687045126</v>
      </c>
      <c r="G42" s="172">
        <f t="shared" si="17"/>
        <v>114.37166424065988</v>
      </c>
      <c r="H42" s="217">
        <f t="shared" si="18"/>
        <v>4.0847022943092819</v>
      </c>
      <c r="I42" s="443">
        <f t="shared" si="19"/>
        <v>54.959999999999994</v>
      </c>
      <c r="J42" s="172">
        <f t="shared" si="20"/>
        <v>1.35</v>
      </c>
      <c r="K42" s="172">
        <f t="shared" si="21"/>
        <v>0.23889307228915663</v>
      </c>
      <c r="L42" s="172">
        <f t="shared" si="22"/>
        <v>0.22341549295774651</v>
      </c>
      <c r="M42" s="443">
        <f t="shared" si="14"/>
        <v>350</v>
      </c>
      <c r="N42" s="197">
        <f t="shared" si="23"/>
        <v>350</v>
      </c>
      <c r="O42" s="217">
        <f t="shared" si="24"/>
        <v>8.3432217075253394</v>
      </c>
      <c r="P42" s="173">
        <f t="shared" si="25"/>
        <v>1.3807444375129962</v>
      </c>
      <c r="Q42" s="173">
        <f t="shared" si="26"/>
        <v>2.0159749686305766</v>
      </c>
      <c r="R42" s="173">
        <f t="shared" si="27"/>
        <v>0.55164319248826299</v>
      </c>
    </row>
    <row r="43" spans="3:18">
      <c r="C43" s="170">
        <v>37</v>
      </c>
      <c r="D43" s="5">
        <f t="shared" si="28"/>
        <v>26.77</v>
      </c>
      <c r="E43" s="443">
        <f t="shared" si="15"/>
        <v>28.4</v>
      </c>
      <c r="F43" s="217">
        <f t="shared" si="16"/>
        <v>0.51477252129780671</v>
      </c>
      <c r="G43" s="172">
        <f t="shared" si="17"/>
        <v>114.83716995951904</v>
      </c>
      <c r="H43" s="217">
        <f t="shared" si="18"/>
        <v>4.1013274985542516</v>
      </c>
      <c r="I43" s="443">
        <f t="shared" si="19"/>
        <v>55.17</v>
      </c>
      <c r="J43" s="172">
        <f t="shared" si="20"/>
        <v>1.35</v>
      </c>
      <c r="K43" s="172">
        <f t="shared" si="21"/>
        <v>0.23701905117669034</v>
      </c>
      <c r="L43" s="172">
        <f t="shared" si="22"/>
        <v>0.22341549295774651</v>
      </c>
      <c r="M43" s="443">
        <f t="shared" si="14"/>
        <v>350</v>
      </c>
      <c r="N43" s="197">
        <f t="shared" si="23"/>
        <v>350</v>
      </c>
      <c r="O43" s="217">
        <f t="shared" si="24"/>
        <v>8.3771795715150699</v>
      </c>
      <c r="P43" s="173">
        <f t="shared" si="25"/>
        <v>1.3863642248634094</v>
      </c>
      <c r="Q43" s="173">
        <f t="shared" si="26"/>
        <v>2.0324188610608886</v>
      </c>
      <c r="R43" s="173">
        <f t="shared" si="27"/>
        <v>0.55164319248826299</v>
      </c>
    </row>
    <row r="44" spans="3:18">
      <c r="C44" s="170">
        <v>38</v>
      </c>
      <c r="D44" s="5">
        <f t="shared" si="28"/>
        <v>26.98</v>
      </c>
      <c r="E44" s="443">
        <f t="shared" si="15"/>
        <v>28.4</v>
      </c>
      <c r="F44" s="217">
        <f t="shared" si="16"/>
        <v>0.51282051282051289</v>
      </c>
      <c r="G44" s="172">
        <f t="shared" si="17"/>
        <v>115.29914529914532</v>
      </c>
      <c r="H44" s="217">
        <f t="shared" si="18"/>
        <v>4.1178266178266183</v>
      </c>
      <c r="I44" s="443">
        <f t="shared" si="19"/>
        <v>55.379999999999995</v>
      </c>
      <c r="J44" s="172">
        <f t="shared" si="20"/>
        <v>1.35</v>
      </c>
      <c r="K44" s="172">
        <f t="shared" si="21"/>
        <v>0.23517420311341736</v>
      </c>
      <c r="L44" s="172">
        <f t="shared" si="22"/>
        <v>0.22341549295774651</v>
      </c>
      <c r="M44" s="443">
        <f t="shared" si="14"/>
        <v>350</v>
      </c>
      <c r="N44" s="197">
        <f t="shared" si="23"/>
        <v>350</v>
      </c>
      <c r="O44" s="217">
        <f t="shared" si="24"/>
        <v>8.4108799002416017</v>
      </c>
      <c r="P44" s="173">
        <f t="shared" si="25"/>
        <v>1.3919413919413919</v>
      </c>
      <c r="Q44" s="173">
        <f t="shared" si="26"/>
        <v>2.0488040782639798</v>
      </c>
      <c r="R44" s="173">
        <f t="shared" si="27"/>
        <v>0.55164319248826299</v>
      </c>
    </row>
    <row r="45" spans="3:18">
      <c r="C45" s="170">
        <v>39</v>
      </c>
      <c r="D45" s="5">
        <f t="shared" si="28"/>
        <v>27.189999999999998</v>
      </c>
      <c r="E45" s="443">
        <f t="shared" si="15"/>
        <v>28.4</v>
      </c>
      <c r="F45" s="217">
        <f t="shared" si="16"/>
        <v>0.51088325238352228</v>
      </c>
      <c r="G45" s="172">
        <f t="shared" si="17"/>
        <v>115.75763026923309</v>
      </c>
      <c r="H45" s="217">
        <f t="shared" si="18"/>
        <v>4.1342010810440391</v>
      </c>
      <c r="I45" s="443">
        <f t="shared" si="19"/>
        <v>55.589999999999996</v>
      </c>
      <c r="J45" s="172">
        <f t="shared" si="20"/>
        <v>1.35</v>
      </c>
      <c r="K45" s="172">
        <f t="shared" si="21"/>
        <v>0.23335785215152632</v>
      </c>
      <c r="L45" s="172">
        <f t="shared" si="22"/>
        <v>0.22341549295774651</v>
      </c>
      <c r="M45" s="443">
        <f t="shared" si="14"/>
        <v>350</v>
      </c>
      <c r="N45" s="197">
        <f t="shared" si="23"/>
        <v>350</v>
      </c>
      <c r="O45" s="217">
        <f t="shared" si="24"/>
        <v>8.4443256123452688</v>
      </c>
      <c r="P45" s="173">
        <f t="shared" si="25"/>
        <v>1.3974764217613649</v>
      </c>
      <c r="Q45" s="173">
        <f t="shared" si="26"/>
        <v>2.06513053966242</v>
      </c>
      <c r="R45" s="173">
        <f t="shared" si="27"/>
        <v>0.55164319248826299</v>
      </c>
    </row>
    <row r="46" spans="3:18">
      <c r="C46" s="170">
        <v>40</v>
      </c>
      <c r="D46" s="5">
        <f t="shared" si="28"/>
        <v>27.4</v>
      </c>
      <c r="E46" s="443">
        <f t="shared" si="15"/>
        <v>28.4</v>
      </c>
      <c r="F46" s="217">
        <f t="shared" si="16"/>
        <v>0.50896057347670254</v>
      </c>
      <c r="G46" s="172">
        <f t="shared" si="17"/>
        <v>116.21266427718041</v>
      </c>
      <c r="H46" s="217">
        <f t="shared" si="18"/>
        <v>4.1504522956135856</v>
      </c>
      <c r="I46" s="443">
        <f t="shared" si="19"/>
        <v>55.8</v>
      </c>
      <c r="J46" s="172">
        <f t="shared" si="20"/>
        <v>1.35</v>
      </c>
      <c r="K46" s="172">
        <f t="shared" si="21"/>
        <v>0.23156934306569343</v>
      </c>
      <c r="L46" s="172">
        <f t="shared" si="22"/>
        <v>0.22341549295774651</v>
      </c>
      <c r="M46" s="443">
        <f t="shared" si="14"/>
        <v>350</v>
      </c>
      <c r="N46" s="197">
        <f t="shared" si="23"/>
        <v>350</v>
      </c>
      <c r="O46" s="217">
        <f t="shared" si="24"/>
        <v>8.4775195825298777</v>
      </c>
      <c r="P46" s="173">
        <f t="shared" si="25"/>
        <v>1.4029697900665641</v>
      </c>
      <c r="Q46" s="173">
        <f t="shared" si="26"/>
        <v>2.0813981770727472</v>
      </c>
      <c r="R46" s="173">
        <f t="shared" si="27"/>
        <v>0.55164319248826299</v>
      </c>
    </row>
    <row r="47" spans="3:18">
      <c r="C47" s="170">
        <v>41</v>
      </c>
      <c r="D47" s="5">
        <f t="shared" si="28"/>
        <v>27.61</v>
      </c>
      <c r="E47" s="443">
        <f t="shared" si="15"/>
        <v>28.4</v>
      </c>
      <c r="F47" s="217">
        <f t="shared" si="16"/>
        <v>0.50705231208712731</v>
      </c>
      <c r="G47" s="172">
        <f t="shared" si="17"/>
        <v>116.66428613937988</v>
      </c>
      <c r="H47" s="217">
        <f t="shared" si="18"/>
        <v>4.1665816478349962</v>
      </c>
      <c r="I47" s="443">
        <f t="shared" si="19"/>
        <v>56.01</v>
      </c>
      <c r="J47" s="172">
        <f t="shared" si="20"/>
        <v>1.35</v>
      </c>
      <c r="K47" s="172">
        <f t="shared" si="21"/>
        <v>0.22980804056501269</v>
      </c>
      <c r="L47" s="172">
        <f t="shared" si="22"/>
        <v>0.22341549295774651</v>
      </c>
      <c r="M47" s="443">
        <f t="shared" si="14"/>
        <v>350</v>
      </c>
      <c r="N47" s="197">
        <f t="shared" si="23"/>
        <v>350</v>
      </c>
      <c r="O47" s="217">
        <f t="shared" si="24"/>
        <v>8.5104646423863723</v>
      </c>
      <c r="P47" s="173">
        <f t="shared" si="25"/>
        <v>1.4084219654653503</v>
      </c>
      <c r="Q47" s="173">
        <f t="shared" si="26"/>
        <v>2.0976069342643071</v>
      </c>
      <c r="R47" s="173">
        <f t="shared" si="27"/>
        <v>0.55164319248826299</v>
      </c>
    </row>
    <row r="48" spans="3:18">
      <c r="C48" s="170">
        <v>42</v>
      </c>
      <c r="D48" s="5">
        <f t="shared" si="28"/>
        <v>27.82</v>
      </c>
      <c r="E48" s="443">
        <f t="shared" si="15"/>
        <v>28.4</v>
      </c>
      <c r="F48" s="217">
        <f t="shared" si="16"/>
        <v>0.50515830665243688</v>
      </c>
      <c r="G48" s="172">
        <f t="shared" si="17"/>
        <v>117.11253409225662</v>
      </c>
      <c r="H48" s="217">
        <f t="shared" si="18"/>
        <v>4.1825905032948798</v>
      </c>
      <c r="I48" s="443">
        <f t="shared" si="19"/>
        <v>56.22</v>
      </c>
      <c r="J48" s="172">
        <f t="shared" si="20"/>
        <v>1.35</v>
      </c>
      <c r="K48" s="172">
        <f t="shared" si="21"/>
        <v>0.22807332854061826</v>
      </c>
      <c r="L48" s="172">
        <f t="shared" si="22"/>
        <v>0.22341549295774651</v>
      </c>
      <c r="M48" s="443">
        <f t="shared" si="14"/>
        <v>350</v>
      </c>
      <c r="N48" s="197">
        <f t="shared" si="23"/>
        <v>350</v>
      </c>
      <c r="O48" s="217">
        <f t="shared" si="24"/>
        <v>8.5431635811980495</v>
      </c>
      <c r="P48" s="173">
        <f t="shared" si="25"/>
        <v>1.413833409564466</v>
      </c>
      <c r="Q48" s="173">
        <f t="shared" si="26"/>
        <v>2.1137567665326373</v>
      </c>
      <c r="R48" s="173">
        <f t="shared" si="27"/>
        <v>0.55164319248826299</v>
      </c>
    </row>
    <row r="49" spans="3:18">
      <c r="C49" s="170">
        <v>43</v>
      </c>
      <c r="D49" s="5">
        <f t="shared" si="28"/>
        <v>28.03</v>
      </c>
      <c r="E49" s="443">
        <f t="shared" si="15"/>
        <v>28.4</v>
      </c>
      <c r="F49" s="217">
        <f t="shared" si="16"/>
        <v>0.5032783980152401</v>
      </c>
      <c r="G49" s="172">
        <f t="shared" si="17"/>
        <v>117.55744580305985</v>
      </c>
      <c r="H49" s="217">
        <f t="shared" si="18"/>
        <v>4.1984802072521372</v>
      </c>
      <c r="I49" s="443">
        <f t="shared" si="19"/>
        <v>56.43</v>
      </c>
      <c r="J49" s="172">
        <f t="shared" si="20"/>
        <v>1.35</v>
      </c>
      <c r="K49" s="172">
        <f t="shared" si="21"/>
        <v>0.22636460934712807</v>
      </c>
      <c r="L49" s="172">
        <f t="shared" si="22"/>
        <v>0.22341549295774651</v>
      </c>
      <c r="M49" s="443">
        <f t="shared" si="14"/>
        <v>350</v>
      </c>
      <c r="N49" s="197">
        <f t="shared" si="23"/>
        <v>350</v>
      </c>
      <c r="O49" s="217">
        <f t="shared" si="24"/>
        <v>8.5756191467277709</v>
      </c>
      <c r="P49" s="173">
        <f t="shared" si="25"/>
        <v>1.4192045770993142</v>
      </c>
      <c r="Q49" s="173">
        <f t="shared" si="26"/>
        <v>2.1298476402868998</v>
      </c>
      <c r="R49" s="173">
        <f t="shared" si="27"/>
        <v>0.55164319248826299</v>
      </c>
    </row>
    <row r="50" spans="3:18">
      <c r="C50" s="170">
        <v>44</v>
      </c>
      <c r="D50" s="5">
        <f t="shared" si="28"/>
        <v>28.240000000000002</v>
      </c>
      <c r="E50" s="443">
        <f t="shared" si="15"/>
        <v>28.4</v>
      </c>
      <c r="F50" s="217">
        <f t="shared" si="16"/>
        <v>0.50141242937853103</v>
      </c>
      <c r="G50" s="172">
        <f t="shared" si="17"/>
        <v>117.99905838041431</v>
      </c>
      <c r="H50" s="217">
        <f t="shared" si="18"/>
        <v>4.2142520850147971</v>
      </c>
      <c r="I50" s="443">
        <f t="shared" si="19"/>
        <v>56.64</v>
      </c>
      <c r="J50" s="172">
        <f t="shared" si="20"/>
        <v>1.35</v>
      </c>
      <c r="K50" s="172">
        <f t="shared" si="21"/>
        <v>0.22468130311614731</v>
      </c>
      <c r="L50" s="172">
        <f t="shared" si="22"/>
        <v>0.22341549295774651</v>
      </c>
      <c r="M50" s="443">
        <f t="shared" si="14"/>
        <v>350</v>
      </c>
      <c r="N50" s="197">
        <f t="shared" si="23"/>
        <v>350</v>
      </c>
      <c r="O50" s="217">
        <f t="shared" si="24"/>
        <v>8.607834045987671</v>
      </c>
      <c r="P50" s="173">
        <f t="shared" si="25"/>
        <v>1.42453591606134</v>
      </c>
      <c r="Q50" s="173">
        <f t="shared" si="26"/>
        <v>2.1458795326508815</v>
      </c>
      <c r="R50" s="173">
        <f t="shared" si="27"/>
        <v>0.55164319248826299</v>
      </c>
    </row>
    <row r="51" spans="3:18">
      <c r="C51" s="170">
        <v>45</v>
      </c>
      <c r="D51" s="5">
        <f t="shared" si="28"/>
        <v>28.450000000000003</v>
      </c>
      <c r="E51" s="443">
        <f t="shared" si="15"/>
        <v>28.4</v>
      </c>
      <c r="F51" s="217">
        <f t="shared" si="16"/>
        <v>0.49956024626209317</v>
      </c>
      <c r="G51" s="172">
        <f t="shared" si="17"/>
        <v>118.43740838463795</v>
      </c>
      <c r="H51" s="217">
        <f t="shared" si="18"/>
        <v>4.2299074423084981</v>
      </c>
      <c r="I51" s="443">
        <f t="shared" si="19"/>
        <v>56.85</v>
      </c>
      <c r="J51" s="172">
        <f t="shared" si="20"/>
        <v>1.35</v>
      </c>
      <c r="K51" s="172">
        <f t="shared" si="21"/>
        <v>0.22302284710017573</v>
      </c>
      <c r="L51" s="172">
        <f t="shared" si="22"/>
        <v>0.22341549295774651</v>
      </c>
      <c r="M51" s="443">
        <f t="shared" si="14"/>
        <v>350</v>
      </c>
      <c r="N51" s="197">
        <f t="shared" si="23"/>
        <v>350</v>
      </c>
      <c r="O51" s="217">
        <f t="shared" si="24"/>
        <v>8.6398109459918242</v>
      </c>
      <c r="P51" s="173">
        <f t="shared" si="25"/>
        <v>1.4298278678225906</v>
      </c>
      <c r="Q51" s="173">
        <f t="shared" si="26"/>
        <v>2.1618524310771097</v>
      </c>
      <c r="R51" s="173">
        <f t="shared" si="27"/>
        <v>0.55164319248826299</v>
      </c>
    </row>
    <row r="52" spans="3:18">
      <c r="C52" s="170">
        <v>46</v>
      </c>
      <c r="D52" s="5">
        <f t="shared" si="28"/>
        <v>28.66</v>
      </c>
      <c r="E52" s="443">
        <f t="shared" si="15"/>
        <v>28.4</v>
      </c>
      <c r="F52" s="217">
        <f t="shared" si="16"/>
        <v>0.49772169645986675</v>
      </c>
      <c r="G52" s="172">
        <f t="shared" si="17"/>
        <v>118.87253183783152</v>
      </c>
      <c r="H52" s="217">
        <f t="shared" si="18"/>
        <v>4.24544756563684</v>
      </c>
      <c r="I52" s="443">
        <f t="shared" si="19"/>
        <v>57.06</v>
      </c>
      <c r="J52" s="172">
        <f t="shared" si="20"/>
        <v>1.35</v>
      </c>
      <c r="K52" s="172">
        <f t="shared" si="21"/>
        <v>0.22138869504535938</v>
      </c>
      <c r="L52" s="172">
        <f t="shared" si="22"/>
        <v>0.22341549295774651</v>
      </c>
      <c r="M52" s="443">
        <f t="shared" si="14"/>
        <v>350</v>
      </c>
      <c r="N52" s="197">
        <f t="shared" si="23"/>
        <v>350</v>
      </c>
      <c r="O52" s="217">
        <f t="shared" si="24"/>
        <v>8.6715524744922678</v>
      </c>
      <c r="P52" s="173">
        <f t="shared" si="25"/>
        <v>1.4350808672575235</v>
      </c>
      <c r="Q52" s="173">
        <f t="shared" si="26"/>
        <v>2.1777663329736101</v>
      </c>
      <c r="R52" s="173">
        <f t="shared" si="27"/>
        <v>0.55164319248826299</v>
      </c>
    </row>
    <row r="53" spans="3:18">
      <c r="C53" s="170">
        <v>47</v>
      </c>
      <c r="D53" s="5">
        <f t="shared" si="28"/>
        <v>28.869999999999997</v>
      </c>
      <c r="E53" s="443">
        <f t="shared" si="15"/>
        <v>28.4</v>
      </c>
      <c r="F53" s="217">
        <f t="shared" si="16"/>
        <v>0.4958966299982539</v>
      </c>
      <c r="G53" s="172">
        <f t="shared" si="17"/>
        <v>119.30446423374659</v>
      </c>
      <c r="H53" s="217">
        <f t="shared" si="18"/>
        <v>4.2608737226338063</v>
      </c>
      <c r="I53" s="443">
        <f t="shared" si="19"/>
        <v>57.269999999999996</v>
      </c>
      <c r="J53" s="172">
        <f t="shared" si="20"/>
        <v>1.35</v>
      </c>
      <c r="K53" s="172">
        <f t="shared" si="21"/>
        <v>0.21977831659161765</v>
      </c>
      <c r="L53" s="172">
        <f t="shared" si="22"/>
        <v>0.22341549295774651</v>
      </c>
      <c r="M53" s="443">
        <f t="shared" si="14"/>
        <v>350</v>
      </c>
      <c r="N53" s="197">
        <f t="shared" si="23"/>
        <v>350</v>
      </c>
      <c r="O53" s="217">
        <f t="shared" si="24"/>
        <v>8.7030612206988387</v>
      </c>
      <c r="P53" s="173">
        <f t="shared" si="25"/>
        <v>1.4402953428621317</v>
      </c>
      <c r="Q53" s="173">
        <f t="shared" si="26"/>
        <v>2.1936212453428974</v>
      </c>
      <c r="R53" s="173">
        <f t="shared" si="27"/>
        <v>0.55164319248826299</v>
      </c>
    </row>
    <row r="54" spans="3:18">
      <c r="C54" s="170">
        <v>48</v>
      </c>
      <c r="D54" s="5">
        <f t="shared" si="28"/>
        <v>29.08</v>
      </c>
      <c r="E54" s="443">
        <f t="shared" si="15"/>
        <v>28.4</v>
      </c>
      <c r="F54" s="217">
        <f t="shared" si="16"/>
        <v>0.49408489909533754</v>
      </c>
      <c r="G54" s="172">
        <f t="shared" si="17"/>
        <v>119.73324054743679</v>
      </c>
      <c r="H54" s="217">
        <f t="shared" si="18"/>
        <v>4.2761871624084566</v>
      </c>
      <c r="I54" s="443">
        <f t="shared" si="19"/>
        <v>57.48</v>
      </c>
      <c r="J54" s="172">
        <f t="shared" si="20"/>
        <v>1.35</v>
      </c>
      <c r="K54" s="172">
        <f t="shared" si="21"/>
        <v>0.21819119669876205</v>
      </c>
      <c r="L54" s="172">
        <f t="shared" si="22"/>
        <v>0.22341549295774651</v>
      </c>
      <c r="M54" s="443">
        <f t="shared" si="14"/>
        <v>350</v>
      </c>
      <c r="N54" s="197">
        <f t="shared" si="23"/>
        <v>350</v>
      </c>
      <c r="O54" s="217">
        <f t="shared" si="24"/>
        <v>8.7343397359832302</v>
      </c>
      <c r="P54" s="173">
        <f t="shared" si="25"/>
        <v>1.4454717168704641</v>
      </c>
      <c r="Q54" s="173">
        <f t="shared" si="26"/>
        <v>2.2094171844327795</v>
      </c>
      <c r="R54" s="173">
        <f t="shared" si="27"/>
        <v>0.55164319248826299</v>
      </c>
    </row>
    <row r="55" spans="3:18">
      <c r="C55" s="170">
        <v>49</v>
      </c>
      <c r="D55" s="5">
        <f t="shared" si="28"/>
        <v>29.29</v>
      </c>
      <c r="E55" s="443">
        <f t="shared" si="15"/>
        <v>28.4</v>
      </c>
      <c r="F55" s="217">
        <f t="shared" si="16"/>
        <v>0.49228635812099147</v>
      </c>
      <c r="G55" s="172">
        <f t="shared" si="17"/>
        <v>120.15889524469868</v>
      </c>
      <c r="H55" s="217">
        <f t="shared" si="18"/>
        <v>4.2913891158820956</v>
      </c>
      <c r="I55" s="443">
        <f t="shared" si="19"/>
        <v>57.69</v>
      </c>
      <c r="J55" s="172">
        <f t="shared" si="20"/>
        <v>1.35</v>
      </c>
      <c r="K55" s="172">
        <f t="shared" si="21"/>
        <v>0.21662683509730285</v>
      </c>
      <c r="L55" s="172">
        <f t="shared" si="22"/>
        <v>0.22341549295774651</v>
      </c>
      <c r="M55" s="443">
        <f t="shared" si="14"/>
        <v>350</v>
      </c>
      <c r="N55" s="197">
        <f t="shared" si="23"/>
        <v>350</v>
      </c>
      <c r="O55" s="217">
        <f t="shared" si="24"/>
        <v>8.7653905345676844</v>
      </c>
      <c r="P55" s="173">
        <f t="shared" si="25"/>
        <v>1.4506104053685955</v>
      </c>
      <c r="Q55" s="173">
        <f t="shared" si="26"/>
        <v>2.2251541753985737</v>
      </c>
      <c r="R55" s="173">
        <f t="shared" si="27"/>
        <v>0.55164319248826299</v>
      </c>
    </row>
    <row r="56" spans="3:18">
      <c r="C56" s="170">
        <v>50</v>
      </c>
      <c r="D56" s="5">
        <f t="shared" si="28"/>
        <v>29.5</v>
      </c>
      <c r="E56" s="443">
        <f t="shared" si="15"/>
        <v>28.4</v>
      </c>
      <c r="F56" s="217">
        <f t="shared" si="16"/>
        <v>0.49050086355785838</v>
      </c>
      <c r="G56" s="172">
        <f t="shared" si="17"/>
        <v>120.58146229130686</v>
      </c>
      <c r="H56" s="217">
        <f t="shared" si="18"/>
        <v>4.3064807961181026</v>
      </c>
      <c r="I56" s="443">
        <f t="shared" si="19"/>
        <v>57.9</v>
      </c>
      <c r="J56" s="172">
        <f t="shared" si="20"/>
        <v>1.35</v>
      </c>
      <c r="K56" s="172">
        <f t="shared" si="21"/>
        <v>0.21508474576271189</v>
      </c>
      <c r="L56" s="172">
        <f t="shared" si="22"/>
        <v>0.22341549295774651</v>
      </c>
      <c r="M56" s="443">
        <f t="shared" si="14"/>
        <v>350</v>
      </c>
      <c r="N56" s="197">
        <f t="shared" si="23"/>
        <v>350</v>
      </c>
      <c r="O56" s="217">
        <f t="shared" si="24"/>
        <v>8.7962160941986767</v>
      </c>
      <c r="P56" s="173">
        <f t="shared" si="25"/>
        <v>1.4557118184061191</v>
      </c>
      <c r="Q56" s="173">
        <f t="shared" si="26"/>
        <v>2.2408322519763471</v>
      </c>
      <c r="R56" s="173">
        <f t="shared" si="27"/>
        <v>0.55164319248826299</v>
      </c>
    </row>
    <row r="57" spans="3:18">
      <c r="C57" s="170">
        <v>51</v>
      </c>
      <c r="D57" s="5">
        <f t="shared" si="28"/>
        <v>29.71</v>
      </c>
      <c r="E57" s="443">
        <f t="shared" si="15"/>
        <v>28.4</v>
      </c>
      <c r="F57" s="217">
        <f t="shared" si="16"/>
        <v>0.48872827396317325</v>
      </c>
      <c r="G57" s="172">
        <f t="shared" si="17"/>
        <v>121.000975162049</v>
      </c>
      <c r="H57" s="217">
        <f t="shared" si="18"/>
        <v>4.3214633986446076</v>
      </c>
      <c r="I57" s="443">
        <f t="shared" si="19"/>
        <v>58.11</v>
      </c>
      <c r="J57" s="172">
        <f t="shared" si="20"/>
        <v>1.35</v>
      </c>
      <c r="K57" s="172">
        <f t="shared" si="21"/>
        <v>0.21356445641198252</v>
      </c>
      <c r="L57" s="172">
        <f t="shared" si="22"/>
        <v>0.22341549295774651</v>
      </c>
      <c r="M57" s="443">
        <f t="shared" si="14"/>
        <v>350</v>
      </c>
      <c r="N57" s="197">
        <f t="shared" si="23"/>
        <v>350</v>
      </c>
      <c r="O57" s="217">
        <f t="shared" si="24"/>
        <v>8.8268188568060033</v>
      </c>
      <c r="P57" s="173">
        <f t="shared" si="25"/>
        <v>1.4607763601052188</v>
      </c>
      <c r="Q57" s="173">
        <f t="shared" si="26"/>
        <v>2.2564514561668072</v>
      </c>
      <c r="R57" s="173">
        <f t="shared" si="27"/>
        <v>0.55164319248826299</v>
      </c>
    </row>
    <row r="58" spans="3:18">
      <c r="C58" s="170">
        <v>52</v>
      </c>
      <c r="D58" s="5">
        <f t="shared" si="28"/>
        <v>29.92</v>
      </c>
      <c r="E58" s="443">
        <f t="shared" si="15"/>
        <v>28.4</v>
      </c>
      <c r="F58" s="217">
        <f t="shared" si="16"/>
        <v>0.48696844993141286</v>
      </c>
      <c r="G58" s="172">
        <f t="shared" si="17"/>
        <v>121.41746684956563</v>
      </c>
      <c r="H58" s="217">
        <f t="shared" si="18"/>
        <v>4.3363381017702007</v>
      </c>
      <c r="I58" s="443">
        <f t="shared" si="19"/>
        <v>58.32</v>
      </c>
      <c r="J58" s="172">
        <f t="shared" si="20"/>
        <v>1.35</v>
      </c>
      <c r="K58" s="172">
        <f t="shared" si="21"/>
        <v>0.21206550802139038</v>
      </c>
      <c r="L58" s="172">
        <f t="shared" si="22"/>
        <v>0.22341549295774651</v>
      </c>
      <c r="M58" s="443">
        <f t="shared" si="14"/>
        <v>350</v>
      </c>
      <c r="N58" s="197">
        <f t="shared" si="23"/>
        <v>350</v>
      </c>
      <c r="O58" s="217">
        <f t="shared" si="24"/>
        <v>8.857201229147643</v>
      </c>
      <c r="P58" s="173">
        <f t="shared" si="25"/>
        <v>1.4658044287673917</v>
      </c>
      <c r="Q58" s="173">
        <f t="shared" si="26"/>
        <v>2.2720118379295053</v>
      </c>
      <c r="R58" s="173">
        <f t="shared" si="27"/>
        <v>0.55164319248826299</v>
      </c>
    </row>
    <row r="59" spans="3:18">
      <c r="C59" s="170">
        <v>53</v>
      </c>
      <c r="D59" s="5">
        <f t="shared" si="28"/>
        <v>30.130000000000003</v>
      </c>
      <c r="E59" s="443">
        <f t="shared" si="15"/>
        <v>28.4</v>
      </c>
      <c r="F59" s="217">
        <f t="shared" si="16"/>
        <v>0.48522125405774813</v>
      </c>
      <c r="G59" s="172">
        <f t="shared" si="17"/>
        <v>121.83096987299962</v>
      </c>
      <c r="H59" s="217">
        <f t="shared" si="18"/>
        <v>4.3511060668928438</v>
      </c>
      <c r="I59" s="443">
        <f t="shared" si="19"/>
        <v>58.53</v>
      </c>
      <c r="J59" s="172">
        <f t="shared" si="20"/>
        <v>1.35</v>
      </c>
      <c r="K59" s="172">
        <f t="shared" si="21"/>
        <v>0.21058745436442083</v>
      </c>
      <c r="L59" s="172">
        <f t="shared" si="22"/>
        <v>0.22341549295774651</v>
      </c>
      <c r="M59" s="443">
        <f t="shared" si="14"/>
        <v>350</v>
      </c>
      <c r="N59" s="197">
        <f t="shared" si="23"/>
        <v>350</v>
      </c>
      <c r="O59" s="217">
        <f t="shared" si="24"/>
        <v>8.887365583440701</v>
      </c>
      <c r="P59" s="173">
        <f t="shared" si="25"/>
        <v>1.4707964169778627</v>
      </c>
      <c r="Q59" s="173">
        <f t="shared" si="26"/>
        <v>2.2875134548869673</v>
      </c>
      <c r="R59" s="173">
        <f t="shared" si="27"/>
        <v>0.55164319248826299</v>
      </c>
    </row>
    <row r="60" spans="3:18">
      <c r="C60" s="170">
        <v>54</v>
      </c>
      <c r="D60" s="5">
        <f t="shared" si="28"/>
        <v>30.34</v>
      </c>
      <c r="E60" s="443">
        <f t="shared" si="15"/>
        <v>28.4</v>
      </c>
      <c r="F60" s="217">
        <f t="shared" si="16"/>
        <v>0.48348655090228126</v>
      </c>
      <c r="G60" s="172">
        <f t="shared" si="17"/>
        <v>122.24151628646013</v>
      </c>
      <c r="H60" s="217">
        <f t="shared" si="18"/>
        <v>4.3657684388021476</v>
      </c>
      <c r="I60" s="443">
        <f t="shared" si="19"/>
        <v>58.739999999999995</v>
      </c>
      <c r="J60" s="172">
        <f t="shared" si="20"/>
        <v>1.35</v>
      </c>
      <c r="K60" s="172">
        <f t="shared" si="21"/>
        <v>0.20912986156888597</v>
      </c>
      <c r="L60" s="172">
        <f t="shared" si="22"/>
        <v>0.22341549295774651</v>
      </c>
      <c r="M60" s="443">
        <f t="shared" si="14"/>
        <v>350</v>
      </c>
      <c r="N60" s="197">
        <f t="shared" si="23"/>
        <v>350</v>
      </c>
      <c r="O60" s="217">
        <f t="shared" si="24"/>
        <v>8.9173142579788518</v>
      </c>
      <c r="P60" s="173">
        <f t="shared" si="25"/>
        <v>1.4757527117077678</v>
      </c>
      <c r="Q60" s="173">
        <f t="shared" si="26"/>
        <v>2.3029563720384609</v>
      </c>
      <c r="R60" s="173">
        <f t="shared" si="27"/>
        <v>0.55164319248826299</v>
      </c>
    </row>
    <row r="61" spans="3:18">
      <c r="C61" s="170">
        <v>55</v>
      </c>
      <c r="D61" s="5">
        <f t="shared" si="28"/>
        <v>30.55</v>
      </c>
      <c r="E61" s="443">
        <f t="shared" si="15"/>
        <v>28.4</v>
      </c>
      <c r="F61" s="217">
        <f t="shared" si="16"/>
        <v>0.48176420695504663</v>
      </c>
      <c r="G61" s="172">
        <f t="shared" si="17"/>
        <v>122.64913768730564</v>
      </c>
      <c r="H61" s="217">
        <f t="shared" si="18"/>
        <v>4.3803263459752015</v>
      </c>
      <c r="I61" s="443">
        <f t="shared" si="19"/>
        <v>58.95</v>
      </c>
      <c r="J61" s="172">
        <f t="shared" si="20"/>
        <v>1.35</v>
      </c>
      <c r="K61" s="172">
        <f t="shared" si="21"/>
        <v>0.2076923076923077</v>
      </c>
      <c r="L61" s="172">
        <f t="shared" si="22"/>
        <v>0.22341549295774651</v>
      </c>
      <c r="M61" s="443">
        <f t="shared" si="14"/>
        <v>350</v>
      </c>
      <c r="N61" s="197">
        <f t="shared" si="23"/>
        <v>350</v>
      </c>
      <c r="O61" s="217">
        <f t="shared" si="24"/>
        <v>8.9470495577365785</v>
      </c>
      <c r="P61" s="173">
        <f t="shared" si="25"/>
        <v>1.4806736944141523</v>
      </c>
      <c r="Q61" s="173">
        <f t="shared" si="26"/>
        <v>2.3183406614830573</v>
      </c>
      <c r="R61" s="173">
        <f t="shared" si="27"/>
        <v>0.55164319248826299</v>
      </c>
    </row>
    <row r="62" spans="3:18">
      <c r="C62" s="170">
        <v>56</v>
      </c>
      <c r="D62" s="5">
        <f t="shared" si="28"/>
        <v>30.76</v>
      </c>
      <c r="E62" s="443">
        <f t="shared" si="15"/>
        <v>28.4</v>
      </c>
      <c r="F62" s="217">
        <f t="shared" si="16"/>
        <v>0.48005409060175797</v>
      </c>
      <c r="G62" s="172">
        <f t="shared" si="17"/>
        <v>123.05386522425064</v>
      </c>
      <c r="H62" s="217">
        <f t="shared" si="18"/>
        <v>4.3947809008660945</v>
      </c>
      <c r="I62" s="443">
        <f t="shared" si="19"/>
        <v>59.16</v>
      </c>
      <c r="J62" s="172">
        <f t="shared" si="20"/>
        <v>1.35</v>
      </c>
      <c r="K62" s="172">
        <f t="shared" si="21"/>
        <v>0.20627438231469442</v>
      </c>
      <c r="L62" s="172">
        <f t="shared" si="22"/>
        <v>0.22341549295774651</v>
      </c>
      <c r="M62" s="443">
        <f t="shared" si="14"/>
        <v>350</v>
      </c>
      <c r="N62" s="197">
        <f t="shared" si="23"/>
        <v>350</v>
      </c>
      <c r="O62" s="217">
        <f t="shared" si="24"/>
        <v>8.9765737549605316</v>
      </c>
      <c r="P62" s="173">
        <f t="shared" si="25"/>
        <v>1.4855597411378345</v>
      </c>
      <c r="Q62" s="173">
        <f t="shared" si="26"/>
        <v>2.3336664021516729</v>
      </c>
      <c r="R62" s="173">
        <f t="shared" si="27"/>
        <v>0.55164319248826299</v>
      </c>
    </row>
    <row r="63" spans="3:18">
      <c r="C63" s="170">
        <v>57</v>
      </c>
      <c r="D63" s="5">
        <f t="shared" si="28"/>
        <v>30.97</v>
      </c>
      <c r="E63" s="443">
        <f t="shared" si="15"/>
        <v>28.4</v>
      </c>
      <c r="F63" s="217">
        <f t="shared" si="16"/>
        <v>0.4783560720902813</v>
      </c>
      <c r="G63" s="172">
        <f t="shared" si="17"/>
        <v>123.45572960530009</v>
      </c>
      <c r="H63" s="217">
        <f t="shared" si="18"/>
        <v>4.4091332001892889</v>
      </c>
      <c r="I63" s="443">
        <f t="shared" si="19"/>
        <v>59.37</v>
      </c>
      <c r="J63" s="172">
        <f t="shared" si="20"/>
        <v>1.35</v>
      </c>
      <c r="K63" s="172">
        <f t="shared" si="21"/>
        <v>0.20487568614788507</v>
      </c>
      <c r="L63" s="172">
        <f t="shared" si="22"/>
        <v>0.22341549295774651</v>
      </c>
      <c r="M63" s="443">
        <f t="shared" si="14"/>
        <v>350</v>
      </c>
      <c r="N63" s="197">
        <f t="shared" si="23"/>
        <v>350</v>
      </c>
      <c r="O63" s="217">
        <f t="shared" si="24"/>
        <v>9.0058890897483348</v>
      </c>
      <c r="P63" s="173">
        <f t="shared" si="25"/>
        <v>1.4904112225991963</v>
      </c>
      <c r="Q63" s="173">
        <f t="shared" si="26"/>
        <v>2.3489336795478013</v>
      </c>
      <c r="R63" s="173">
        <f t="shared" si="27"/>
        <v>0.55164319248826299</v>
      </c>
    </row>
    <row r="64" spans="3:18">
      <c r="C64" s="170">
        <v>58</v>
      </c>
      <c r="D64" s="5">
        <f t="shared" si="28"/>
        <v>31.18</v>
      </c>
      <c r="E64" s="443">
        <f t="shared" si="15"/>
        <v>28.4</v>
      </c>
      <c r="F64" s="217">
        <f t="shared" si="16"/>
        <v>0.47667002349781806</v>
      </c>
      <c r="G64" s="172">
        <f t="shared" si="17"/>
        <v>123.85476110551639</v>
      </c>
      <c r="H64" s="217">
        <f t="shared" si="18"/>
        <v>4.4233843251970137</v>
      </c>
      <c r="I64" s="443">
        <f t="shared" si="19"/>
        <v>59.58</v>
      </c>
      <c r="J64" s="172">
        <f t="shared" si="20"/>
        <v>1.35</v>
      </c>
      <c r="K64" s="172">
        <f t="shared" si="21"/>
        <v>0.20349583066067994</v>
      </c>
      <c r="L64" s="172">
        <f t="shared" si="22"/>
        <v>0.22341549295774651</v>
      </c>
      <c r="M64" s="443">
        <f t="shared" si="14"/>
        <v>350</v>
      </c>
      <c r="N64" s="197">
        <f t="shared" si="23"/>
        <v>350</v>
      </c>
      <c r="O64" s="217">
        <f t="shared" si="24"/>
        <v>9.0349977706151758</v>
      </c>
      <c r="P64" s="173">
        <f t="shared" si="25"/>
        <v>1.495228504291948</v>
      </c>
      <c r="Q64" s="173">
        <f t="shared" si="26"/>
        <v>2.3641425854966522</v>
      </c>
      <c r="R64" s="173">
        <f t="shared" si="27"/>
        <v>0.55164319248826299</v>
      </c>
    </row>
    <row r="65" spans="3:18">
      <c r="C65" s="170">
        <v>59</v>
      </c>
      <c r="D65" s="5">
        <f t="shared" si="28"/>
        <v>31.39</v>
      </c>
      <c r="E65" s="443">
        <f t="shared" si="15"/>
        <v>28.4</v>
      </c>
      <c r="F65" s="217">
        <f t="shared" si="16"/>
        <v>0.47499581869877905</v>
      </c>
      <c r="G65" s="172">
        <f t="shared" si="17"/>
        <v>124.2509895746223</v>
      </c>
      <c r="H65" s="217">
        <f t="shared" si="18"/>
        <v>4.4375353419507961</v>
      </c>
      <c r="I65" s="443">
        <f t="shared" si="19"/>
        <v>59.79</v>
      </c>
      <c r="J65" s="172">
        <f t="shared" si="20"/>
        <v>1.35</v>
      </c>
      <c r="K65" s="172">
        <f t="shared" si="21"/>
        <v>0.20213443771901879</v>
      </c>
      <c r="L65" s="172">
        <f t="shared" si="22"/>
        <v>0.22341549295774651</v>
      </c>
      <c r="M65" s="443">
        <f t="shared" si="14"/>
        <v>350</v>
      </c>
      <c r="N65" s="197">
        <f t="shared" si="23"/>
        <v>350</v>
      </c>
      <c r="O65" s="217">
        <f t="shared" si="24"/>
        <v>9.0639019750484326</v>
      </c>
      <c r="P65" s="173">
        <f t="shared" si="25"/>
        <v>1.5000119465749167</v>
      </c>
      <c r="Q65" s="173">
        <f t="shared" si="26"/>
        <v>2.3792932179024104</v>
      </c>
      <c r="R65" s="173">
        <f t="shared" si="27"/>
        <v>0.55164319248826299</v>
      </c>
    </row>
    <row r="66" spans="3:18">
      <c r="C66" s="170">
        <v>60</v>
      </c>
      <c r="D66" s="5">
        <f t="shared" si="28"/>
        <v>31.6</v>
      </c>
      <c r="E66" s="443">
        <f t="shared" si="15"/>
        <v>28.4</v>
      </c>
      <c r="F66" s="217">
        <f t="shared" si="16"/>
        <v>0.47333333333333333</v>
      </c>
      <c r="G66" s="172">
        <f t="shared" si="17"/>
        <v>124.64444444444446</v>
      </c>
      <c r="H66" s="217">
        <f t="shared" si="18"/>
        <v>4.4515873015873018</v>
      </c>
      <c r="I66" s="443">
        <f t="shared" si="19"/>
        <v>60</v>
      </c>
      <c r="J66" s="172">
        <f t="shared" si="20"/>
        <v>1.35</v>
      </c>
      <c r="K66" s="172">
        <f t="shared" si="21"/>
        <v>0.20079113924050634</v>
      </c>
      <c r="L66" s="172">
        <f t="shared" si="22"/>
        <v>0.22341549295774651</v>
      </c>
      <c r="M66" s="443">
        <f t="shared" si="14"/>
        <v>350</v>
      </c>
      <c r="N66" s="197">
        <f t="shared" si="23"/>
        <v>350</v>
      </c>
      <c r="O66" s="217">
        <f t="shared" si="24"/>
        <v>9.0926038500506596</v>
      </c>
      <c r="P66" s="173">
        <f t="shared" si="25"/>
        <v>1.5047619047619052</v>
      </c>
      <c r="Q66" s="173">
        <f t="shared" si="26"/>
        <v>2.394385680513341</v>
      </c>
      <c r="R66" s="173">
        <f t="shared" si="27"/>
        <v>0.55164319248826299</v>
      </c>
    </row>
    <row r="67" spans="3:18">
      <c r="C67" s="170">
        <v>61</v>
      </c>
      <c r="D67" s="5">
        <f t="shared" si="28"/>
        <v>31.810000000000002</v>
      </c>
      <c r="E67" s="443">
        <f t="shared" si="15"/>
        <v>28.4</v>
      </c>
      <c r="F67" s="217">
        <f t="shared" si="16"/>
        <v>0.47168244477661514</v>
      </c>
      <c r="G67" s="172">
        <f t="shared" si="17"/>
        <v>125.03515473620108</v>
      </c>
      <c r="H67" s="217">
        <f t="shared" si="18"/>
        <v>4.4655412405786103</v>
      </c>
      <c r="I67" s="443">
        <f t="shared" si="19"/>
        <v>60.21</v>
      </c>
      <c r="J67" s="172">
        <f t="shared" si="20"/>
        <v>1.35</v>
      </c>
      <c r="K67" s="172">
        <f t="shared" si="21"/>
        <v>0.19946557686262181</v>
      </c>
      <c r="L67" s="172">
        <f t="shared" si="22"/>
        <v>0.22341549295774651</v>
      </c>
      <c r="M67" s="443">
        <f t="shared" si="14"/>
        <v>350</v>
      </c>
      <c r="N67" s="197">
        <f t="shared" si="23"/>
        <v>350</v>
      </c>
      <c r="O67" s="217">
        <f t="shared" si="24"/>
        <v>9.1211055126712033</v>
      </c>
      <c r="P67" s="173">
        <f t="shared" si="25"/>
        <v>1.5094787292096712</v>
      </c>
      <c r="Q67" s="173">
        <f t="shared" si="26"/>
        <v>2.4094200826944947</v>
      </c>
      <c r="R67" s="173">
        <f t="shared" si="27"/>
        <v>0.55164319248826299</v>
      </c>
    </row>
    <row r="68" spans="3:18">
      <c r="C68" s="170">
        <v>62</v>
      </c>
      <c r="D68" s="5">
        <f t="shared" si="28"/>
        <v>32.019999999999996</v>
      </c>
      <c r="E68" s="443">
        <f t="shared" si="15"/>
        <v>28.4</v>
      </c>
      <c r="F68" s="217">
        <f t="shared" si="16"/>
        <v>0.47004303210857334</v>
      </c>
      <c r="G68" s="172">
        <f t="shared" si="17"/>
        <v>125.42314906763765</v>
      </c>
      <c r="H68" s="217">
        <f t="shared" si="18"/>
        <v>4.4793981809870589</v>
      </c>
      <c r="I68" s="443">
        <f t="shared" si="19"/>
        <v>60.419999999999995</v>
      </c>
      <c r="J68" s="172">
        <f t="shared" si="20"/>
        <v>1.35</v>
      </c>
      <c r="K68" s="172">
        <f t="shared" si="21"/>
        <v>0.19815740162398504</v>
      </c>
      <c r="L68" s="172">
        <f t="shared" si="22"/>
        <v>0.22341549295774651</v>
      </c>
      <c r="M68" s="443">
        <f t="shared" si="14"/>
        <v>350</v>
      </c>
      <c r="N68" s="197">
        <f t="shared" si="23"/>
        <v>350</v>
      </c>
      <c r="O68" s="217">
        <f t="shared" si="24"/>
        <v>9.1494090505267582</v>
      </c>
      <c r="P68" s="173">
        <f t="shared" si="25"/>
        <v>1.5141627654040761</v>
      </c>
      <c r="Q68" s="173">
        <f t="shared" si="26"/>
        <v>2.4243965392077689</v>
      </c>
      <c r="R68" s="173">
        <f t="shared" si="27"/>
        <v>0.55164319248826299</v>
      </c>
    </row>
    <row r="69" spans="3:18">
      <c r="C69" s="170">
        <v>63</v>
      </c>
      <c r="D69" s="5">
        <f t="shared" si="28"/>
        <v>32.230000000000004</v>
      </c>
      <c r="E69" s="443">
        <f t="shared" si="15"/>
        <v>28.4</v>
      </c>
      <c r="F69" s="217">
        <f t="shared" si="16"/>
        <v>0.4684149760844466</v>
      </c>
      <c r="G69" s="172">
        <f t="shared" si="17"/>
        <v>125.8084556600143</v>
      </c>
      <c r="H69" s="217">
        <f t="shared" si="18"/>
        <v>4.4931591307147967</v>
      </c>
      <c r="I69" s="443">
        <f t="shared" si="19"/>
        <v>60.63</v>
      </c>
      <c r="J69" s="172">
        <f t="shared" si="20"/>
        <v>1.35</v>
      </c>
      <c r="K69" s="172">
        <f t="shared" si="21"/>
        <v>0.19686627365808251</v>
      </c>
      <c r="L69" s="172">
        <f t="shared" si="22"/>
        <v>0.22341549295774651</v>
      </c>
      <c r="M69" s="443">
        <f t="shared" si="14"/>
        <v>350</v>
      </c>
      <c r="N69" s="197">
        <f t="shared" si="23"/>
        <v>350</v>
      </c>
      <c r="O69" s="217">
        <f t="shared" si="24"/>
        <v>9.1775165223110733</v>
      </c>
      <c r="P69" s="173">
        <f t="shared" si="25"/>
        <v>1.5188143540444381</v>
      </c>
      <c r="Q69" s="173">
        <f t="shared" si="26"/>
        <v>2.439315169999059</v>
      </c>
      <c r="R69" s="173">
        <f t="shared" si="27"/>
        <v>0.55164319248826299</v>
      </c>
    </row>
    <row r="70" spans="3:18">
      <c r="C70" s="170">
        <v>64</v>
      </c>
      <c r="D70" s="5">
        <f t="shared" si="28"/>
        <v>32.44</v>
      </c>
      <c r="E70" s="443">
        <f t="shared" ref="E70:E106" si="29">(Vout+Vfwd1)*Nps</f>
        <v>28.4</v>
      </c>
      <c r="F70" s="217">
        <f t="shared" ref="F70:F106" si="30">(Vout+Vfwd1)*Nps/((Vout+Vfwd1)*Nps+D70)</f>
        <v>0.46679815910585143</v>
      </c>
      <c r="G70" s="172">
        <f t="shared" ref="G70:G101" si="31">F70*D70*Isw_max*0.5*Efficiency</f>
        <v>126.19110234494849</v>
      </c>
      <c r="H70" s="217">
        <f t="shared" ref="H70:H101" si="32">G70/Vout</f>
        <v>4.5068250837481605</v>
      </c>
      <c r="I70" s="443">
        <f t="shared" ref="I70:I106" si="33">(Vout+Vfwd1)*Nps+D70</f>
        <v>60.839999999999996</v>
      </c>
      <c r="J70" s="172">
        <f t="shared" ref="J70:J106" si="34">MIN(2*Vout*Iout/(Efficiency*D70*F70), 1.35)</f>
        <v>1.35</v>
      </c>
      <c r="K70" s="172">
        <f t="shared" ref="K70:K101" si="35">L*J70/D70*1000000</f>
        <v>0.19559186189889027</v>
      </c>
      <c r="L70" s="172">
        <f t="shared" ref="L70:L106" si="36">L*J70/((Vout+Vfwd1)*Nps)*1000000</f>
        <v>0.22341549295774651</v>
      </c>
      <c r="M70" s="443">
        <f t="shared" si="14"/>
        <v>350</v>
      </c>
      <c r="N70" s="197">
        <f t="shared" ref="N70:N106" si="37">IF(1/((350000*L)*(1/D70+1/E70))&gt;Isw_min, 350, 0.001/((Isw_min*L)*(1/D70+1/E70)))</f>
        <v>350</v>
      </c>
      <c r="O70" s="217">
        <f t="shared" ref="O70:O101" si="38">1/((N70*1000*L)*(1/D70+1/E70))</f>
        <v>9.2054299582941148</v>
      </c>
      <c r="P70" s="173">
        <f t="shared" ref="P70:P101" si="39">L*O70/E70*1000000</f>
        <v>1.5234338311261388</v>
      </c>
      <c r="Q70" s="173">
        <f t="shared" ref="Q70:Q101" si="40">0.5*P70*O70*Nps*N70/1000</f>
        <v>2.4541760999922837</v>
      </c>
      <c r="R70" s="173">
        <f t="shared" ref="R70:R106" si="41">L*Isw_min/E70*1000000</f>
        <v>0.55164319248826299</v>
      </c>
    </row>
    <row r="71" spans="3:18">
      <c r="C71" s="170">
        <v>65</v>
      </c>
      <c r="D71" s="5">
        <f t="shared" ref="D71:D102" si="42">C71/100*(VIN_max-VIN_min)+VIN_min</f>
        <v>32.65</v>
      </c>
      <c r="E71" s="443">
        <f t="shared" si="29"/>
        <v>28.4</v>
      </c>
      <c r="F71" s="217">
        <f t="shared" si="30"/>
        <v>0.46519246519246521</v>
      </c>
      <c r="G71" s="172">
        <f t="shared" si="31"/>
        <v>126.57111657111658</v>
      </c>
      <c r="H71" s="217">
        <f t="shared" si="32"/>
        <v>4.520397020397021</v>
      </c>
      <c r="I71" s="443">
        <f t="shared" si="33"/>
        <v>61.05</v>
      </c>
      <c r="J71" s="172">
        <f t="shared" si="34"/>
        <v>1.35</v>
      </c>
      <c r="K71" s="172">
        <f t="shared" si="35"/>
        <v>0.19433384379785607</v>
      </c>
      <c r="L71" s="172">
        <f t="shared" si="36"/>
        <v>0.22341549295774651</v>
      </c>
      <c r="M71" s="443">
        <f t="shared" ref="M71:M106" si="43">MIN(1/(K71+L71)*1000, 350)</f>
        <v>350</v>
      </c>
      <c r="N71" s="197">
        <f t="shared" si="37"/>
        <v>350</v>
      </c>
      <c r="O71" s="217">
        <f t="shared" si="38"/>
        <v>9.2331513608109361</v>
      </c>
      <c r="P71" s="173">
        <f t="shared" si="39"/>
        <v>1.5280215280215281</v>
      </c>
      <c r="Q71" s="173">
        <f t="shared" si="40"/>
        <v>2.4689794588900664</v>
      </c>
      <c r="R71" s="173">
        <f t="shared" si="41"/>
        <v>0.55164319248826299</v>
      </c>
    </row>
    <row r="72" spans="3:18">
      <c r="C72" s="170">
        <v>66</v>
      </c>
      <c r="D72" s="5">
        <f t="shared" si="42"/>
        <v>32.86</v>
      </c>
      <c r="E72" s="443">
        <f t="shared" si="29"/>
        <v>28.4</v>
      </c>
      <c r="F72" s="217">
        <f t="shared" si="30"/>
        <v>0.46359777995429319</v>
      </c>
      <c r="G72" s="172">
        <f t="shared" si="31"/>
        <v>126.9485254108173</v>
      </c>
      <c r="H72" s="217">
        <f t="shared" si="32"/>
        <v>4.5338759075291888</v>
      </c>
      <c r="I72" s="443">
        <f t="shared" si="33"/>
        <v>61.26</v>
      </c>
      <c r="J72" s="172">
        <f t="shared" si="34"/>
        <v>1.35</v>
      </c>
      <c r="K72" s="172">
        <f t="shared" si="35"/>
        <v>0.19309190505173465</v>
      </c>
      <c r="L72" s="172">
        <f t="shared" si="36"/>
        <v>0.22341549295774651</v>
      </c>
      <c r="M72" s="443">
        <f t="shared" si="43"/>
        <v>350</v>
      </c>
      <c r="N72" s="197">
        <f t="shared" si="37"/>
        <v>350</v>
      </c>
      <c r="O72" s="217">
        <f t="shared" si="38"/>
        <v>9.2606827047404696</v>
      </c>
      <c r="P72" s="173">
        <f t="shared" si="39"/>
        <v>1.5325777715591624</v>
      </c>
      <c r="Q72" s="173">
        <f t="shared" si="40"/>
        <v>2.4837253809808346</v>
      </c>
      <c r="R72" s="173">
        <f t="shared" si="41"/>
        <v>0.55164319248826299</v>
      </c>
    </row>
    <row r="73" spans="3:18">
      <c r="C73" s="170">
        <v>67</v>
      </c>
      <c r="D73" s="5">
        <f t="shared" si="42"/>
        <v>33.07</v>
      </c>
      <c r="E73" s="443">
        <f t="shared" si="29"/>
        <v>28.4</v>
      </c>
      <c r="F73" s="217">
        <f t="shared" si="30"/>
        <v>0.46201399056450299</v>
      </c>
      <c r="G73" s="172">
        <f t="shared" si="31"/>
        <v>127.32335556640095</v>
      </c>
      <c r="H73" s="217">
        <f t="shared" si="32"/>
        <v>4.5472626988000338</v>
      </c>
      <c r="I73" s="443">
        <f t="shared" si="33"/>
        <v>61.47</v>
      </c>
      <c r="J73" s="172">
        <f t="shared" si="34"/>
        <v>1.35</v>
      </c>
      <c r="K73" s="172">
        <f t="shared" si="35"/>
        <v>0.19186573934079226</v>
      </c>
      <c r="L73" s="172">
        <f t="shared" si="36"/>
        <v>0.22341549295774651</v>
      </c>
      <c r="M73" s="443">
        <f t="shared" si="43"/>
        <v>350</v>
      </c>
      <c r="N73" s="197">
        <f t="shared" si="37"/>
        <v>350</v>
      </c>
      <c r="O73" s="217">
        <f t="shared" si="38"/>
        <v>9.2880259379745365</v>
      </c>
      <c r="P73" s="173">
        <f t="shared" si="39"/>
        <v>1.5371028841014196</v>
      </c>
      <c r="Q73" s="173">
        <f t="shared" si="40"/>
        <v>2.4984140049521542</v>
      </c>
      <c r="R73" s="173">
        <f t="shared" si="41"/>
        <v>0.55164319248826299</v>
      </c>
    </row>
    <row r="74" spans="3:18">
      <c r="C74" s="170">
        <v>68</v>
      </c>
      <c r="D74" s="5">
        <f t="shared" si="42"/>
        <v>33.28</v>
      </c>
      <c r="E74" s="443">
        <f t="shared" si="29"/>
        <v>28.4</v>
      </c>
      <c r="F74" s="217">
        <f t="shared" si="30"/>
        <v>0.4604409857328145</v>
      </c>
      <c r="G74" s="172">
        <f t="shared" si="31"/>
        <v>127.69563337656723</v>
      </c>
      <c r="H74" s="217">
        <f t="shared" si="32"/>
        <v>4.5605583348774008</v>
      </c>
      <c r="I74" s="443">
        <f t="shared" si="33"/>
        <v>61.68</v>
      </c>
      <c r="J74" s="172">
        <f t="shared" si="34"/>
        <v>1.35</v>
      </c>
      <c r="K74" s="172">
        <f t="shared" si="35"/>
        <v>0.19065504807692307</v>
      </c>
      <c r="L74" s="172">
        <f t="shared" si="36"/>
        <v>0.22341549295774651</v>
      </c>
      <c r="M74" s="443">
        <f t="shared" si="43"/>
        <v>350</v>
      </c>
      <c r="N74" s="197">
        <f t="shared" si="37"/>
        <v>350</v>
      </c>
      <c r="O74" s="217">
        <f t="shared" si="38"/>
        <v>9.3151829818772445</v>
      </c>
      <c r="P74" s="173">
        <f t="shared" si="39"/>
        <v>1.5415971836205298</v>
      </c>
      <c r="Q74" s="173">
        <f t="shared" si="40"/>
        <v>2.5130454737100734</v>
      </c>
      <c r="R74" s="173">
        <f t="shared" si="41"/>
        <v>0.55164319248826299</v>
      </c>
    </row>
    <row r="75" spans="3:18">
      <c r="C75" s="170">
        <v>69</v>
      </c>
      <c r="D75" s="5">
        <f t="shared" si="42"/>
        <v>33.489999999999995</v>
      </c>
      <c r="E75" s="443">
        <f t="shared" si="29"/>
        <v>28.4</v>
      </c>
      <c r="F75" s="217">
        <f t="shared" si="30"/>
        <v>0.45887865567943126</v>
      </c>
      <c r="G75" s="172">
        <f t="shared" si="31"/>
        <v>128.06538482253458</v>
      </c>
      <c r="H75" s="217">
        <f t="shared" si="32"/>
        <v>4.5737637436619494</v>
      </c>
      <c r="I75" s="443">
        <f t="shared" si="33"/>
        <v>61.889999999999993</v>
      </c>
      <c r="J75" s="172">
        <f t="shared" si="34"/>
        <v>1.35</v>
      </c>
      <c r="K75" s="172">
        <f t="shared" si="35"/>
        <v>0.1894595401612422</v>
      </c>
      <c r="L75" s="172">
        <f t="shared" si="36"/>
        <v>0.22341549295774651</v>
      </c>
      <c r="M75" s="443">
        <f t="shared" si="43"/>
        <v>350</v>
      </c>
      <c r="N75" s="197">
        <f t="shared" si="37"/>
        <v>350</v>
      </c>
      <c r="O75" s="217">
        <f t="shared" si="38"/>
        <v>9.3421557317350459</v>
      </c>
      <c r="P75" s="173">
        <f t="shared" si="39"/>
        <v>1.5460609837730535</v>
      </c>
      <c r="Q75" s="173">
        <f t="shared" si="40"/>
        <v>2.5276199342042873</v>
      </c>
      <c r="R75" s="173">
        <f t="shared" si="41"/>
        <v>0.55164319248826299</v>
      </c>
    </row>
    <row r="76" spans="3:18">
      <c r="C76" s="170">
        <v>70</v>
      </c>
      <c r="D76" s="5">
        <f t="shared" si="42"/>
        <v>33.700000000000003</v>
      </c>
      <c r="E76" s="443">
        <f t="shared" si="29"/>
        <v>28.4</v>
      </c>
      <c r="F76" s="217">
        <f t="shared" si="30"/>
        <v>0.45732689210950078</v>
      </c>
      <c r="G76" s="172">
        <f t="shared" si="31"/>
        <v>128.43263553408482</v>
      </c>
      <c r="H76" s="217">
        <f t="shared" si="32"/>
        <v>4.5868798405030295</v>
      </c>
      <c r="I76" s="443">
        <f t="shared" si="33"/>
        <v>62.1</v>
      </c>
      <c r="J76" s="172">
        <f t="shared" si="34"/>
        <v>1.35</v>
      </c>
      <c r="K76" s="172">
        <f t="shared" si="35"/>
        <v>0.18827893175074181</v>
      </c>
      <c r="L76" s="172">
        <f t="shared" si="36"/>
        <v>0.22341549295774651</v>
      </c>
      <c r="M76" s="443">
        <f t="shared" si="43"/>
        <v>350</v>
      </c>
      <c r="N76" s="197">
        <f t="shared" si="37"/>
        <v>350</v>
      </c>
      <c r="O76" s="217">
        <f t="shared" si="38"/>
        <v>9.3689460571976753</v>
      </c>
      <c r="P76" s="173">
        <f t="shared" si="39"/>
        <v>1.5504945939728547</v>
      </c>
      <c r="Q76" s="173">
        <f t="shared" si="40"/>
        <v>2.5421375372589501</v>
      </c>
      <c r="R76" s="173">
        <f t="shared" si="41"/>
        <v>0.55164319248826299</v>
      </c>
    </row>
    <row r="77" spans="3:18">
      <c r="C77" s="170">
        <v>71</v>
      </c>
      <c r="D77" s="5">
        <f t="shared" si="42"/>
        <v>33.909999999999997</v>
      </c>
      <c r="E77" s="443">
        <f t="shared" si="29"/>
        <v>28.4</v>
      </c>
      <c r="F77" s="217">
        <f t="shared" si="30"/>
        <v>0.45578558818809184</v>
      </c>
      <c r="G77" s="172">
        <f t="shared" si="31"/>
        <v>128.79741079548495</v>
      </c>
      <c r="H77" s="217">
        <f t="shared" si="32"/>
        <v>4.5999075284101769</v>
      </c>
      <c r="I77" s="443">
        <f t="shared" si="33"/>
        <v>62.309999999999995</v>
      </c>
      <c r="J77" s="172">
        <f t="shared" si="34"/>
        <v>1.35</v>
      </c>
      <c r="K77" s="172">
        <f t="shared" si="35"/>
        <v>0.18711294603361842</v>
      </c>
      <c r="L77" s="172">
        <f t="shared" si="36"/>
        <v>0.22341549295774651</v>
      </c>
      <c r="M77" s="443">
        <f t="shared" si="43"/>
        <v>350</v>
      </c>
      <c r="N77" s="197">
        <f t="shared" si="37"/>
        <v>350</v>
      </c>
      <c r="O77" s="217">
        <f t="shared" si="38"/>
        <v>9.3955558027101471</v>
      </c>
      <c r="P77" s="173">
        <f t="shared" si="39"/>
        <v>1.5548983194625949</v>
      </c>
      <c r="Q77" s="173">
        <f t="shared" si="40"/>
        <v>2.5565984374089323</v>
      </c>
      <c r="R77" s="173">
        <f t="shared" si="41"/>
        <v>0.55164319248826299</v>
      </c>
    </row>
    <row r="78" spans="3:18">
      <c r="C78" s="170">
        <v>72</v>
      </c>
      <c r="D78" s="5">
        <f t="shared" si="42"/>
        <v>34.119999999999997</v>
      </c>
      <c r="E78" s="443">
        <f t="shared" si="29"/>
        <v>28.4</v>
      </c>
      <c r="F78" s="217">
        <f t="shared" si="30"/>
        <v>0.45425463851567499</v>
      </c>
      <c r="G78" s="172">
        <f t="shared" si="31"/>
        <v>129.15973555129025</v>
      </c>
      <c r="H78" s="217">
        <f t="shared" si="32"/>
        <v>4.6128476982603663</v>
      </c>
      <c r="I78" s="443">
        <f t="shared" si="33"/>
        <v>62.519999999999996</v>
      </c>
      <c r="J78" s="172">
        <f t="shared" si="34"/>
        <v>1.35</v>
      </c>
      <c r="K78" s="172">
        <f t="shared" si="35"/>
        <v>0.18596131301289567</v>
      </c>
      <c r="L78" s="172">
        <f t="shared" si="36"/>
        <v>0.22341549295774651</v>
      </c>
      <c r="M78" s="443">
        <f t="shared" si="43"/>
        <v>350</v>
      </c>
      <c r="N78" s="197">
        <f t="shared" si="37"/>
        <v>350</v>
      </c>
      <c r="O78" s="217">
        <f t="shared" si="38"/>
        <v>9.421986787936067</v>
      </c>
      <c r="P78" s="173">
        <f t="shared" si="39"/>
        <v>1.5592724613837858</v>
      </c>
      <c r="Q78" s="173">
        <f t="shared" si="40"/>
        <v>2.5710027927413517</v>
      </c>
      <c r="R78" s="173">
        <f t="shared" si="41"/>
        <v>0.55164319248826299</v>
      </c>
    </row>
    <row r="79" spans="3:18">
      <c r="C79" s="170">
        <v>73</v>
      </c>
      <c r="D79" s="5">
        <f t="shared" si="42"/>
        <v>34.33</v>
      </c>
      <c r="E79" s="443">
        <f t="shared" si="29"/>
        <v>28.4</v>
      </c>
      <c r="F79" s="217">
        <f t="shared" si="30"/>
        <v>0.45273393910409693</v>
      </c>
      <c r="G79" s="172">
        <f t="shared" si="31"/>
        <v>129.5196344120304</v>
      </c>
      <c r="H79" s="217">
        <f t="shared" si="32"/>
        <v>4.6257012290010859</v>
      </c>
      <c r="I79" s="443">
        <f t="shared" si="33"/>
        <v>62.73</v>
      </c>
      <c r="J79" s="172">
        <f t="shared" si="34"/>
        <v>1.35</v>
      </c>
      <c r="K79" s="172">
        <f t="shared" si="35"/>
        <v>0.1848237692979901</v>
      </c>
      <c r="L79" s="172">
        <f t="shared" si="36"/>
        <v>0.22341549295774651</v>
      </c>
      <c r="M79" s="443">
        <f t="shared" si="43"/>
        <v>350</v>
      </c>
      <c r="N79" s="197">
        <f t="shared" si="37"/>
        <v>350</v>
      </c>
      <c r="O79" s="217">
        <f t="shared" si="38"/>
        <v>9.4482408081724287</v>
      </c>
      <c r="P79" s="173">
        <f t="shared" si="39"/>
        <v>1.563617316845437</v>
      </c>
      <c r="Q79" s="173">
        <f t="shared" si="40"/>
        <v>2.5853507647422238</v>
      </c>
      <c r="R79" s="173">
        <f t="shared" si="41"/>
        <v>0.55164319248826299</v>
      </c>
    </row>
    <row r="80" spans="3:18">
      <c r="C80" s="170">
        <v>74</v>
      </c>
      <c r="D80" s="5">
        <f t="shared" si="42"/>
        <v>34.54</v>
      </c>
      <c r="E80" s="443">
        <f t="shared" si="29"/>
        <v>28.4</v>
      </c>
      <c r="F80" s="217">
        <f t="shared" si="30"/>
        <v>0.45122338735303463</v>
      </c>
      <c r="G80" s="172">
        <f t="shared" si="31"/>
        <v>129.87713165978181</v>
      </c>
      <c r="H80" s="217">
        <f t="shared" si="32"/>
        <v>4.6384689878493504</v>
      </c>
      <c r="I80" s="443">
        <f t="shared" si="33"/>
        <v>62.94</v>
      </c>
      <c r="J80" s="172">
        <f t="shared" si="34"/>
        <v>1.35</v>
      </c>
      <c r="K80" s="172">
        <f t="shared" si="35"/>
        <v>0.18370005790387958</v>
      </c>
      <c r="L80" s="172">
        <f t="shared" si="36"/>
        <v>0.22341549295774651</v>
      </c>
      <c r="M80" s="443">
        <f t="shared" si="43"/>
        <v>350</v>
      </c>
      <c r="N80" s="197">
        <f t="shared" si="37"/>
        <v>350</v>
      </c>
      <c r="O80" s="217">
        <f t="shared" si="38"/>
        <v>9.4743196347561174</v>
      </c>
      <c r="P80" s="173">
        <f t="shared" si="39"/>
        <v>1.5679331789913293</v>
      </c>
      <c r="Q80" s="173">
        <f t="shared" si="40"/>
        <v>2.5996425181480478</v>
      </c>
      <c r="R80" s="173">
        <f t="shared" si="41"/>
        <v>0.55164319248826299</v>
      </c>
    </row>
    <row r="81" spans="3:18">
      <c r="C81" s="170">
        <v>75</v>
      </c>
      <c r="D81" s="5">
        <f t="shared" si="42"/>
        <v>34.75</v>
      </c>
      <c r="E81" s="443">
        <f t="shared" si="29"/>
        <v>28.4</v>
      </c>
      <c r="F81" s="217">
        <f t="shared" si="30"/>
        <v>0.44972288202692001</v>
      </c>
      <c r="G81" s="172">
        <f t="shared" si="31"/>
        <v>130.23225125362893</v>
      </c>
      <c r="H81" s="217">
        <f t="shared" si="32"/>
        <v>4.6511518304867474</v>
      </c>
      <c r="I81" s="443">
        <f t="shared" si="33"/>
        <v>63.15</v>
      </c>
      <c r="J81" s="172">
        <f t="shared" si="34"/>
        <v>1.35</v>
      </c>
      <c r="K81" s="172">
        <f t="shared" si="35"/>
        <v>0.18258992805755395</v>
      </c>
      <c r="L81" s="172">
        <f t="shared" si="36"/>
        <v>0.22341549295774651</v>
      </c>
      <c r="M81" s="443">
        <f t="shared" si="43"/>
        <v>350</v>
      </c>
      <c r="N81" s="197">
        <f t="shared" si="37"/>
        <v>350</v>
      </c>
      <c r="O81" s="217">
        <f t="shared" si="38"/>
        <v>9.5002250154622931</v>
      </c>
      <c r="P81" s="173">
        <f t="shared" si="39"/>
        <v>1.5722203370659429</v>
      </c>
      <c r="Q81" s="173">
        <f t="shared" si="40"/>
        <v>2.6138782208021749</v>
      </c>
      <c r="R81" s="173">
        <f t="shared" si="41"/>
        <v>0.55164319248826299</v>
      </c>
    </row>
    <row r="82" spans="3:18">
      <c r="C82" s="170">
        <v>76</v>
      </c>
      <c r="D82" s="5">
        <f t="shared" si="42"/>
        <v>34.96</v>
      </c>
      <c r="E82" s="443">
        <f t="shared" si="29"/>
        <v>28.4</v>
      </c>
      <c r="F82" s="217">
        <f t="shared" si="30"/>
        <v>0.4482323232323232</v>
      </c>
      <c r="G82" s="172">
        <f t="shared" si="31"/>
        <v>130.58501683501683</v>
      </c>
      <c r="H82" s="217">
        <f t="shared" si="32"/>
        <v>4.6637506012506007</v>
      </c>
      <c r="I82" s="443">
        <f t="shared" si="33"/>
        <v>63.36</v>
      </c>
      <c r="J82" s="172">
        <f t="shared" si="34"/>
        <v>1.35</v>
      </c>
      <c r="K82" s="172">
        <f t="shared" si="35"/>
        <v>0.18149313501144165</v>
      </c>
      <c r="L82" s="172">
        <f t="shared" si="36"/>
        <v>0.22341549295774651</v>
      </c>
      <c r="M82" s="443">
        <f t="shared" si="43"/>
        <v>350</v>
      </c>
      <c r="N82" s="197">
        <f t="shared" si="37"/>
        <v>350</v>
      </c>
      <c r="O82" s="217">
        <f t="shared" si="38"/>
        <v>9.525958674894845</v>
      </c>
      <c r="P82" s="173">
        <f t="shared" si="39"/>
        <v>1.5764790764790766</v>
      </c>
      <c r="Q82" s="173">
        <f t="shared" si="40"/>
        <v>2.628058043515813</v>
      </c>
      <c r="R82" s="173">
        <f t="shared" si="41"/>
        <v>0.55164319248826299</v>
      </c>
    </row>
    <row r="83" spans="3:18">
      <c r="C83" s="170">
        <v>77</v>
      </c>
      <c r="D83" s="5">
        <f t="shared" si="42"/>
        <v>35.17</v>
      </c>
      <c r="E83" s="443">
        <f t="shared" si="29"/>
        <v>28.4</v>
      </c>
      <c r="F83" s="217">
        <f t="shared" si="30"/>
        <v>0.44675161239578415</v>
      </c>
      <c r="G83" s="172">
        <f t="shared" si="31"/>
        <v>130.93545173299776</v>
      </c>
      <c r="H83" s="217">
        <f t="shared" si="32"/>
        <v>4.6762661333213487</v>
      </c>
      <c r="I83" s="443">
        <f t="shared" si="33"/>
        <v>63.57</v>
      </c>
      <c r="J83" s="172">
        <f t="shared" si="34"/>
        <v>1.35</v>
      </c>
      <c r="K83" s="172">
        <f t="shared" si="35"/>
        <v>0.18040943986352004</v>
      </c>
      <c r="L83" s="172">
        <f t="shared" si="36"/>
        <v>0.22341549295774651</v>
      </c>
      <c r="M83" s="443">
        <f t="shared" si="43"/>
        <v>350</v>
      </c>
      <c r="N83" s="197">
        <f t="shared" si="37"/>
        <v>350</v>
      </c>
      <c r="O83" s="217">
        <f t="shared" si="38"/>
        <v>9.5515223148691373</v>
      </c>
      <c r="P83" s="173">
        <f t="shared" si="39"/>
        <v>1.5807096788691881</v>
      </c>
      <c r="Q83" s="173">
        <f t="shared" si="40"/>
        <v>2.6421821599335185</v>
      </c>
      <c r="R83" s="173">
        <f t="shared" si="41"/>
        <v>0.55164319248826299</v>
      </c>
    </row>
    <row r="84" spans="3:18">
      <c r="C84" s="170">
        <v>78</v>
      </c>
      <c r="D84" s="5">
        <f t="shared" si="42"/>
        <v>35.379999999999995</v>
      </c>
      <c r="E84" s="443">
        <f t="shared" si="29"/>
        <v>28.4</v>
      </c>
      <c r="F84" s="217">
        <f t="shared" si="30"/>
        <v>0.44528065224208219</v>
      </c>
      <c r="G84" s="172">
        <f t="shared" si="31"/>
        <v>131.28357896937388</v>
      </c>
      <c r="H84" s="217">
        <f t="shared" si="32"/>
        <v>4.68869924890621</v>
      </c>
      <c r="I84" s="443">
        <f t="shared" si="33"/>
        <v>63.779999999999994</v>
      </c>
      <c r="J84" s="172">
        <f t="shared" si="34"/>
        <v>1.35</v>
      </c>
      <c r="K84" s="172">
        <f t="shared" si="35"/>
        <v>0.17933860938383273</v>
      </c>
      <c r="L84" s="172">
        <f t="shared" si="36"/>
        <v>0.22341549295774651</v>
      </c>
      <c r="M84" s="443">
        <f t="shared" si="43"/>
        <v>350</v>
      </c>
      <c r="N84" s="197">
        <f t="shared" si="37"/>
        <v>350</v>
      </c>
      <c r="O84" s="217">
        <f t="shared" si="38"/>
        <v>9.5769176147871526</v>
      </c>
      <c r="P84" s="173">
        <f t="shared" si="39"/>
        <v>1.5849124221654796</v>
      </c>
      <c r="Q84" s="173">
        <f t="shared" si="40"/>
        <v>2.6562507464030216</v>
      </c>
      <c r="R84" s="173">
        <f t="shared" si="41"/>
        <v>0.55164319248826299</v>
      </c>
    </row>
    <row r="85" spans="3:18">
      <c r="C85" s="170">
        <v>79</v>
      </c>
      <c r="D85" s="5">
        <f t="shared" si="42"/>
        <v>35.590000000000003</v>
      </c>
      <c r="E85" s="443">
        <f t="shared" si="29"/>
        <v>28.4</v>
      </c>
      <c r="F85" s="217">
        <f t="shared" si="30"/>
        <v>0.44381934677293322</v>
      </c>
      <c r="G85" s="172">
        <f t="shared" si="31"/>
        <v>131.62942126373912</v>
      </c>
      <c r="H85" s="217">
        <f t="shared" si="32"/>
        <v>4.7010507594192541</v>
      </c>
      <c r="I85" s="443">
        <f t="shared" si="33"/>
        <v>63.99</v>
      </c>
      <c r="J85" s="172">
        <f t="shared" si="34"/>
        <v>1.35</v>
      </c>
      <c r="K85" s="172">
        <f t="shared" si="35"/>
        <v>0.17828041584714807</v>
      </c>
      <c r="L85" s="172">
        <f t="shared" si="36"/>
        <v>0.22341549295774651</v>
      </c>
      <c r="M85" s="443">
        <f t="shared" si="43"/>
        <v>350</v>
      </c>
      <c r="N85" s="197">
        <f t="shared" si="37"/>
        <v>350</v>
      </c>
      <c r="O85" s="217">
        <f t="shared" si="38"/>
        <v>9.6021462320052855</v>
      </c>
      <c r="P85" s="173">
        <f t="shared" si="39"/>
        <v>1.5890875806487623</v>
      </c>
      <c r="Q85" s="173">
        <f t="shared" si="40"/>
        <v>2.6702639818492591</v>
      </c>
      <c r="R85" s="173">
        <f t="shared" si="41"/>
        <v>0.55164319248826299</v>
      </c>
    </row>
    <row r="86" spans="3:18">
      <c r="C86" s="170">
        <v>80</v>
      </c>
      <c r="D86" s="5">
        <f t="shared" si="42"/>
        <v>35.799999999999997</v>
      </c>
      <c r="E86" s="443">
        <f t="shared" si="29"/>
        <v>28.4</v>
      </c>
      <c r="F86" s="217">
        <f t="shared" si="30"/>
        <v>0.44236760124610597</v>
      </c>
      <c r="G86" s="172">
        <f t="shared" si="31"/>
        <v>131.97300103842161</v>
      </c>
      <c r="H86" s="217">
        <f t="shared" si="32"/>
        <v>4.7133214656579145</v>
      </c>
      <c r="I86" s="443">
        <f t="shared" si="33"/>
        <v>64.199999999999989</v>
      </c>
      <c r="J86" s="172">
        <f t="shared" si="34"/>
        <v>1.35</v>
      </c>
      <c r="K86" s="172">
        <f t="shared" si="35"/>
        <v>0.17723463687150839</v>
      </c>
      <c r="L86" s="172">
        <f t="shared" si="36"/>
        <v>0.22341549295774651</v>
      </c>
      <c r="M86" s="443">
        <f t="shared" si="43"/>
        <v>350</v>
      </c>
      <c r="N86" s="197">
        <f t="shared" si="37"/>
        <v>350</v>
      </c>
      <c r="O86" s="217">
        <f t="shared" si="38"/>
        <v>9.6272098021948889</v>
      </c>
      <c r="P86" s="173">
        <f t="shared" si="39"/>
        <v>1.593235425011126</v>
      </c>
      <c r="Q86" s="173">
        <f t="shared" si="40"/>
        <v>2.6842220476524692</v>
      </c>
      <c r="R86" s="173">
        <f t="shared" si="41"/>
        <v>0.55164319248826299</v>
      </c>
    </row>
    <row r="87" spans="3:18">
      <c r="C87" s="170">
        <v>81</v>
      </c>
      <c r="D87" s="5">
        <f t="shared" si="42"/>
        <v>36.010000000000005</v>
      </c>
      <c r="E87" s="443">
        <f t="shared" si="29"/>
        <v>28.4</v>
      </c>
      <c r="F87" s="217">
        <f t="shared" si="30"/>
        <v>0.4409253221549449</v>
      </c>
      <c r="G87" s="172">
        <f t="shared" si="31"/>
        <v>132.31434042332975</v>
      </c>
      <c r="H87" s="217">
        <f t="shared" si="32"/>
        <v>4.7255121579760626</v>
      </c>
      <c r="I87" s="443">
        <f t="shared" si="33"/>
        <v>64.41</v>
      </c>
      <c r="J87" s="172">
        <f t="shared" si="34"/>
        <v>1.35</v>
      </c>
      <c r="K87" s="172">
        <f t="shared" si="35"/>
        <v>0.17620105526242708</v>
      </c>
      <c r="L87" s="172">
        <f t="shared" si="36"/>
        <v>0.22341549295774651</v>
      </c>
      <c r="M87" s="443">
        <f t="shared" si="43"/>
        <v>350</v>
      </c>
      <c r="N87" s="197">
        <f t="shared" si="37"/>
        <v>350</v>
      </c>
      <c r="O87" s="217">
        <f t="shared" si="38"/>
        <v>9.6521099396957855</v>
      </c>
      <c r="P87" s="173">
        <f t="shared" si="39"/>
        <v>1.5973562224144435</v>
      </c>
      <c r="Q87" s="173">
        <f t="shared" si="40"/>
        <v>2.6981251275302385</v>
      </c>
      <c r="R87" s="173">
        <f t="shared" si="41"/>
        <v>0.55164319248826299</v>
      </c>
    </row>
    <row r="88" spans="3:18">
      <c r="C88" s="170">
        <v>82</v>
      </c>
      <c r="D88" s="5">
        <f t="shared" si="42"/>
        <v>36.22</v>
      </c>
      <c r="E88" s="443">
        <f t="shared" si="29"/>
        <v>28.4</v>
      </c>
      <c r="F88" s="217">
        <f t="shared" si="30"/>
        <v>0.43949241720829457</v>
      </c>
      <c r="G88" s="172">
        <f t="shared" si="31"/>
        <v>132.65346126070358</v>
      </c>
      <c r="H88" s="217">
        <f t="shared" si="32"/>
        <v>4.7376236164536989</v>
      </c>
      <c r="I88" s="443">
        <f t="shared" si="33"/>
        <v>64.62</v>
      </c>
      <c r="J88" s="172">
        <f t="shared" si="34"/>
        <v>1.35</v>
      </c>
      <c r="K88" s="172">
        <f t="shared" si="35"/>
        <v>0.17517945886250691</v>
      </c>
      <c r="L88" s="172">
        <f t="shared" si="36"/>
        <v>0.22341549295774651</v>
      </c>
      <c r="M88" s="443">
        <f t="shared" si="43"/>
        <v>350</v>
      </c>
      <c r="N88" s="197">
        <f t="shared" si="37"/>
        <v>350</v>
      </c>
      <c r="O88" s="217">
        <f t="shared" si="38"/>
        <v>9.6768482378628757</v>
      </c>
      <c r="P88" s="173">
        <f t="shared" si="39"/>
        <v>1.6014502365477297</v>
      </c>
      <c r="Q88" s="173">
        <f t="shared" si="40"/>
        <v>2.711973407423347</v>
      </c>
      <c r="R88" s="173">
        <f t="shared" si="41"/>
        <v>0.55164319248826299</v>
      </c>
    </row>
    <row r="89" spans="3:18">
      <c r="C89" s="170">
        <v>83</v>
      </c>
      <c r="D89" s="5">
        <f t="shared" si="42"/>
        <v>36.43</v>
      </c>
      <c r="E89" s="443">
        <f t="shared" si="29"/>
        <v>28.4</v>
      </c>
      <c r="F89" s="217">
        <f t="shared" si="30"/>
        <v>0.43806879531081289</v>
      </c>
      <c r="G89" s="172">
        <f t="shared" si="31"/>
        <v>132.99038510977428</v>
      </c>
      <c r="H89" s="217">
        <f t="shared" si="32"/>
        <v>4.7496566110633669</v>
      </c>
      <c r="I89" s="443">
        <f t="shared" si="33"/>
        <v>64.83</v>
      </c>
      <c r="J89" s="172">
        <f t="shared" si="34"/>
        <v>1.35</v>
      </c>
      <c r="K89" s="172">
        <f t="shared" si="35"/>
        <v>0.1741696404062586</v>
      </c>
      <c r="L89" s="172">
        <f t="shared" si="36"/>
        <v>0.22341549295774651</v>
      </c>
      <c r="M89" s="443">
        <f t="shared" si="43"/>
        <v>350</v>
      </c>
      <c r="N89" s="197">
        <f t="shared" si="37"/>
        <v>350</v>
      </c>
      <c r="O89" s="217">
        <f t="shared" si="38"/>
        <v>9.7014262694060278</v>
      </c>
      <c r="P89" s="173">
        <f t="shared" si="39"/>
        <v>1.6055177276833918</v>
      </c>
      <c r="Q89" s="173">
        <f t="shared" si="40"/>
        <v>2.7257670753853276</v>
      </c>
      <c r="R89" s="173">
        <f t="shared" si="41"/>
        <v>0.55164319248826299</v>
      </c>
    </row>
    <row r="90" spans="3:18">
      <c r="C90" s="170">
        <v>84</v>
      </c>
      <c r="D90" s="5">
        <f t="shared" si="42"/>
        <v>36.64</v>
      </c>
      <c r="E90" s="443">
        <f t="shared" si="29"/>
        <v>28.4</v>
      </c>
      <c r="F90" s="217">
        <f t="shared" si="30"/>
        <v>0.43665436654366546</v>
      </c>
      <c r="G90" s="172">
        <f t="shared" si="31"/>
        <v>133.32513325133252</v>
      </c>
      <c r="H90" s="217">
        <f t="shared" si="32"/>
        <v>4.7616119018333043</v>
      </c>
      <c r="I90" s="443">
        <f t="shared" si="33"/>
        <v>65.039999999999992</v>
      </c>
      <c r="J90" s="172">
        <f t="shared" si="34"/>
        <v>1.35</v>
      </c>
      <c r="K90" s="172">
        <f t="shared" si="35"/>
        <v>0.17317139737991266</v>
      </c>
      <c r="L90" s="172">
        <f t="shared" si="36"/>
        <v>0.22341549295774651</v>
      </c>
      <c r="M90" s="443">
        <f t="shared" si="43"/>
        <v>350</v>
      </c>
      <c r="N90" s="197">
        <f t="shared" si="37"/>
        <v>350</v>
      </c>
      <c r="O90" s="217">
        <f t="shared" si="38"/>
        <v>9.7258455867233433</v>
      </c>
      <c r="P90" s="173">
        <f t="shared" si="39"/>
        <v>1.6095589527323846</v>
      </c>
      <c r="Q90" s="173">
        <f t="shared" si="40"/>
        <v>2.739506321475579</v>
      </c>
      <c r="R90" s="173">
        <f t="shared" si="41"/>
        <v>0.55164319248826299</v>
      </c>
    </row>
    <row r="91" spans="3:18">
      <c r="C91" s="170">
        <v>85</v>
      </c>
      <c r="D91" s="5">
        <f t="shared" si="42"/>
        <v>36.849999999999994</v>
      </c>
      <c r="E91" s="443">
        <f t="shared" si="29"/>
        <v>28.4</v>
      </c>
      <c r="F91" s="217">
        <f t="shared" si="30"/>
        <v>0.43524904214559385</v>
      </c>
      <c r="G91" s="172">
        <f t="shared" si="31"/>
        <v>133.65772669220945</v>
      </c>
      <c r="H91" s="217">
        <f t="shared" si="32"/>
        <v>4.7734902390074803</v>
      </c>
      <c r="I91" s="443">
        <f t="shared" si="33"/>
        <v>65.25</v>
      </c>
      <c r="J91" s="172">
        <f t="shared" si="34"/>
        <v>1.35</v>
      </c>
      <c r="K91" s="172">
        <f t="shared" si="35"/>
        <v>0.17218453188602445</v>
      </c>
      <c r="L91" s="172">
        <f t="shared" si="36"/>
        <v>0.22341549295774651</v>
      </c>
      <c r="M91" s="443">
        <f t="shared" si="43"/>
        <v>350</v>
      </c>
      <c r="N91" s="197">
        <f t="shared" si="37"/>
        <v>350</v>
      </c>
      <c r="O91" s="217">
        <f t="shared" si="38"/>
        <v>9.7501077222280443</v>
      </c>
      <c r="P91" s="173">
        <f t="shared" si="39"/>
        <v>1.6135741652983033</v>
      </c>
      <c r="Q91" s="173">
        <f t="shared" si="40"/>
        <v>2.7531913376559651</v>
      </c>
      <c r="R91" s="173">
        <f t="shared" si="41"/>
        <v>0.55164319248826299</v>
      </c>
    </row>
    <row r="92" spans="3:18">
      <c r="C92" s="170">
        <v>86</v>
      </c>
      <c r="D92" s="5">
        <f t="shared" si="42"/>
        <v>37.06</v>
      </c>
      <c r="E92" s="443">
        <f t="shared" si="29"/>
        <v>28.4</v>
      </c>
      <c r="F92" s="217">
        <f t="shared" si="30"/>
        <v>0.43385273449434764</v>
      </c>
      <c r="G92" s="172">
        <f t="shared" si="31"/>
        <v>133.98818616967102</v>
      </c>
      <c r="H92" s="217">
        <f t="shared" si="32"/>
        <v>4.7852923632025366</v>
      </c>
      <c r="I92" s="443">
        <f t="shared" si="33"/>
        <v>65.460000000000008</v>
      </c>
      <c r="J92" s="172">
        <f t="shared" si="34"/>
        <v>1.35</v>
      </c>
      <c r="K92" s="172">
        <f t="shared" si="35"/>
        <v>0.17120885051268214</v>
      </c>
      <c r="L92" s="172">
        <f t="shared" si="36"/>
        <v>0.22341549295774651</v>
      </c>
      <c r="M92" s="443">
        <f t="shared" si="43"/>
        <v>350</v>
      </c>
      <c r="N92" s="197">
        <f t="shared" si="37"/>
        <v>350</v>
      </c>
      <c r="O92" s="217">
        <f t="shared" si="38"/>
        <v>9.7742141886690117</v>
      </c>
      <c r="P92" s="173">
        <f t="shared" si="39"/>
        <v>1.6175636157304352</v>
      </c>
      <c r="Q92" s="173">
        <f t="shared" si="40"/>
        <v>2.7668223176907545</v>
      </c>
      <c r="R92" s="173">
        <f t="shared" si="41"/>
        <v>0.55164319248826299</v>
      </c>
    </row>
    <row r="93" spans="3:18">
      <c r="C93" s="170">
        <v>87</v>
      </c>
      <c r="D93" s="5">
        <f t="shared" si="42"/>
        <v>37.269999999999996</v>
      </c>
      <c r="E93" s="443">
        <f t="shared" si="29"/>
        <v>28.4</v>
      </c>
      <c r="F93" s="217">
        <f t="shared" si="30"/>
        <v>0.43246535708847272</v>
      </c>
      <c r="G93" s="172">
        <f t="shared" si="31"/>
        <v>134.31653215572817</v>
      </c>
      <c r="H93" s="217">
        <f t="shared" si="32"/>
        <v>4.7970190055617206</v>
      </c>
      <c r="I93" s="443">
        <f t="shared" si="33"/>
        <v>65.669999999999987</v>
      </c>
      <c r="J93" s="172">
        <f t="shared" si="34"/>
        <v>1.35</v>
      </c>
      <c r="K93" s="172">
        <f t="shared" si="35"/>
        <v>0.17024416420713712</v>
      </c>
      <c r="L93" s="172">
        <f t="shared" si="36"/>
        <v>0.22341549295774651</v>
      </c>
      <c r="M93" s="443">
        <f t="shared" si="43"/>
        <v>350</v>
      </c>
      <c r="N93" s="197">
        <f t="shared" si="37"/>
        <v>350</v>
      </c>
      <c r="O93" s="217">
        <f t="shared" si="38"/>
        <v>9.7981664794452126</v>
      </c>
      <c r="P93" s="173">
        <f t="shared" si="39"/>
        <v>1.6215275511757923</v>
      </c>
      <c r="Q93" s="173">
        <f t="shared" si="40"/>
        <v>2.7803994570498176</v>
      </c>
      <c r="R93" s="173">
        <f t="shared" si="41"/>
        <v>0.55164319248826299</v>
      </c>
    </row>
    <row r="94" spans="3:18">
      <c r="C94" s="170">
        <v>88</v>
      </c>
      <c r="D94" s="5">
        <f t="shared" si="42"/>
        <v>37.480000000000004</v>
      </c>
      <c r="E94" s="443">
        <f t="shared" si="29"/>
        <v>28.4</v>
      </c>
      <c r="F94" s="217">
        <f t="shared" si="30"/>
        <v>0.43108682452944747</v>
      </c>
      <c r="G94" s="172">
        <f t="shared" si="31"/>
        <v>134.64278486136411</v>
      </c>
      <c r="H94" s="217">
        <f t="shared" si="32"/>
        <v>4.8086708879058611</v>
      </c>
      <c r="I94" s="443">
        <f t="shared" si="33"/>
        <v>65.88</v>
      </c>
      <c r="J94" s="172">
        <f t="shared" si="34"/>
        <v>1.35</v>
      </c>
      <c r="K94" s="172">
        <f t="shared" si="35"/>
        <v>0.16929028815368194</v>
      </c>
      <c r="L94" s="172">
        <f t="shared" si="36"/>
        <v>0.22341549295774651</v>
      </c>
      <c r="M94" s="443">
        <f t="shared" si="43"/>
        <v>350</v>
      </c>
      <c r="N94" s="197">
        <f t="shared" si="37"/>
        <v>350</v>
      </c>
      <c r="O94" s="217">
        <f t="shared" si="38"/>
        <v>9.8219660689140991</v>
      </c>
      <c r="P94" s="173">
        <f t="shared" si="39"/>
        <v>1.6254662156301503</v>
      </c>
      <c r="Q94" s="173">
        <f t="shared" si="40"/>
        <v>2.7939229528149703</v>
      </c>
      <c r="R94" s="173">
        <f t="shared" si="41"/>
        <v>0.55164319248826299</v>
      </c>
    </row>
    <row r="95" spans="3:18">
      <c r="C95" s="170">
        <v>89</v>
      </c>
      <c r="D95" s="5">
        <f t="shared" si="42"/>
        <v>37.69</v>
      </c>
      <c r="E95" s="443">
        <f t="shared" si="29"/>
        <v>28.4</v>
      </c>
      <c r="F95" s="217">
        <f t="shared" si="30"/>
        <v>0.42971705250416092</v>
      </c>
      <c r="G95" s="172">
        <f t="shared" si="31"/>
        <v>134.96696424068188</v>
      </c>
      <c r="H95" s="217">
        <f t="shared" si="32"/>
        <v>4.8202487228814954</v>
      </c>
      <c r="I95" s="443">
        <f t="shared" si="33"/>
        <v>66.09</v>
      </c>
      <c r="J95" s="172">
        <f t="shared" si="34"/>
        <v>1.35</v>
      </c>
      <c r="K95" s="172">
        <f t="shared" si="35"/>
        <v>0.1683470416556116</v>
      </c>
      <c r="L95" s="172">
        <f t="shared" si="36"/>
        <v>0.22341549295774651</v>
      </c>
      <c r="M95" s="443">
        <f t="shared" si="43"/>
        <v>350</v>
      </c>
      <c r="N95" s="197">
        <f t="shared" si="37"/>
        <v>350</v>
      </c>
      <c r="O95" s="217">
        <f t="shared" si="38"/>
        <v>9.8456144126941201</v>
      </c>
      <c r="P95" s="173">
        <f t="shared" si="39"/>
        <v>1.6293798499881114</v>
      </c>
      <c r="Q95" s="173">
        <f t="shared" si="40"/>
        <v>2.8073930035893579</v>
      </c>
      <c r="R95" s="173">
        <f t="shared" si="41"/>
        <v>0.55164319248826299</v>
      </c>
    </row>
    <row r="96" spans="3:18">
      <c r="C96" s="170">
        <v>90</v>
      </c>
      <c r="D96" s="5">
        <f t="shared" si="42"/>
        <v>37.900000000000006</v>
      </c>
      <c r="E96" s="443">
        <f t="shared" si="29"/>
        <v>28.4</v>
      </c>
      <c r="F96" s="217">
        <f t="shared" si="30"/>
        <v>0.4283559577677224</v>
      </c>
      <c r="G96" s="172">
        <f t="shared" si="31"/>
        <v>135.28908999497236</v>
      </c>
      <c r="H96" s="217">
        <f t="shared" si="32"/>
        <v>4.8317532141061559</v>
      </c>
      <c r="I96" s="443">
        <f t="shared" si="33"/>
        <v>66.300000000000011</v>
      </c>
      <c r="J96" s="172">
        <f t="shared" si="34"/>
        <v>1.35</v>
      </c>
      <c r="K96" s="172">
        <f t="shared" si="35"/>
        <v>0.16741424802110816</v>
      </c>
      <c r="L96" s="172">
        <f t="shared" si="36"/>
        <v>0.22341549295774651</v>
      </c>
      <c r="M96" s="443">
        <f t="shared" si="43"/>
        <v>350</v>
      </c>
      <c r="N96" s="197">
        <f t="shared" si="37"/>
        <v>350</v>
      </c>
      <c r="O96" s="217">
        <f t="shared" si="38"/>
        <v>9.8691129479615096</v>
      </c>
      <c r="P96" s="173">
        <f t="shared" si="39"/>
        <v>1.6332686920922217</v>
      </c>
      <c r="Q96" s="173">
        <f t="shared" si="40"/>
        <v>2.8208098094098135</v>
      </c>
      <c r="R96" s="173">
        <f t="shared" si="41"/>
        <v>0.55164319248826299</v>
      </c>
    </row>
    <row r="97" spans="3:18">
      <c r="C97" s="170">
        <v>91</v>
      </c>
      <c r="D97" s="5">
        <f t="shared" si="42"/>
        <v>38.11</v>
      </c>
      <c r="E97" s="443">
        <f t="shared" si="29"/>
        <v>28.4</v>
      </c>
      <c r="F97" s="217">
        <f t="shared" si="30"/>
        <v>0.42700345812659757</v>
      </c>
      <c r="G97" s="172">
        <f t="shared" si="31"/>
        <v>135.60918157670531</v>
      </c>
      <c r="H97" s="217">
        <f t="shared" si="32"/>
        <v>4.8431850563109036</v>
      </c>
      <c r="I97" s="443">
        <f t="shared" si="33"/>
        <v>66.509999999999991</v>
      </c>
      <c r="J97" s="172">
        <f t="shared" si="34"/>
        <v>1.35</v>
      </c>
      <c r="K97" s="172">
        <f t="shared" si="35"/>
        <v>0.1664917344528995</v>
      </c>
      <c r="L97" s="172">
        <f t="shared" si="36"/>
        <v>0.22341549295774651</v>
      </c>
      <c r="M97" s="443">
        <f t="shared" si="43"/>
        <v>350</v>
      </c>
      <c r="N97" s="197">
        <f t="shared" si="37"/>
        <v>350</v>
      </c>
      <c r="O97" s="217">
        <f t="shared" si="38"/>
        <v>9.8924630937414157</v>
      </c>
      <c r="P97" s="173">
        <f t="shared" si="39"/>
        <v>1.6371329767811498</v>
      </c>
      <c r="Q97" s="173">
        <f t="shared" si="40"/>
        <v>2.8341735716620455</v>
      </c>
      <c r="R97" s="173">
        <f t="shared" si="41"/>
        <v>0.55164319248826299</v>
      </c>
    </row>
    <row r="98" spans="3:18">
      <c r="C98" s="170">
        <v>92</v>
      </c>
      <c r="D98" s="5">
        <f t="shared" si="42"/>
        <v>38.32</v>
      </c>
      <c r="E98" s="443">
        <f t="shared" si="29"/>
        <v>28.4</v>
      </c>
      <c r="F98" s="217">
        <f t="shared" si="30"/>
        <v>0.42565947242206231</v>
      </c>
      <c r="G98" s="172">
        <f t="shared" si="31"/>
        <v>135.92725819344525</v>
      </c>
      <c r="H98" s="217">
        <f t="shared" si="32"/>
        <v>4.8545449354801873</v>
      </c>
      <c r="I98" s="443">
        <f t="shared" si="33"/>
        <v>66.72</v>
      </c>
      <c r="J98" s="172">
        <f t="shared" si="34"/>
        <v>1.35</v>
      </c>
      <c r="K98" s="172">
        <f t="shared" si="35"/>
        <v>0.16557933194154489</v>
      </c>
      <c r="L98" s="172">
        <f t="shared" si="36"/>
        <v>0.22341549295774651</v>
      </c>
      <c r="M98" s="443">
        <f t="shared" si="43"/>
        <v>350</v>
      </c>
      <c r="N98" s="197">
        <f t="shared" si="37"/>
        <v>350</v>
      </c>
      <c r="O98" s="217">
        <f t="shared" si="38"/>
        <v>9.9156662511935725</v>
      </c>
      <c r="P98" s="173">
        <f t="shared" si="39"/>
        <v>1.6409729359369645</v>
      </c>
      <c r="Q98" s="173">
        <f t="shared" si="40"/>
        <v>2.8474844929986336</v>
      </c>
      <c r="R98" s="173">
        <f t="shared" si="41"/>
        <v>0.55164319248826299</v>
      </c>
    </row>
    <row r="99" spans="3:18">
      <c r="C99" s="170">
        <v>93</v>
      </c>
      <c r="D99" s="5">
        <f t="shared" si="42"/>
        <v>38.53</v>
      </c>
      <c r="E99" s="443">
        <f t="shared" si="29"/>
        <v>28.4</v>
      </c>
      <c r="F99" s="217">
        <f t="shared" si="30"/>
        <v>0.42432392051396978</v>
      </c>
      <c r="G99" s="172">
        <f t="shared" si="31"/>
        <v>136.2433388116938</v>
      </c>
      <c r="H99" s="217">
        <f t="shared" si="32"/>
        <v>4.8658335289890644</v>
      </c>
      <c r="I99" s="443">
        <f t="shared" si="33"/>
        <v>66.930000000000007</v>
      </c>
      <c r="J99" s="172">
        <f t="shared" si="34"/>
        <v>1.35</v>
      </c>
      <c r="K99" s="172">
        <f t="shared" si="35"/>
        <v>0.16467687516221127</v>
      </c>
      <c r="L99" s="172">
        <f t="shared" si="36"/>
        <v>0.22341549295774651</v>
      </c>
      <c r="M99" s="443">
        <f t="shared" si="43"/>
        <v>350</v>
      </c>
      <c r="N99" s="197">
        <f t="shared" si="37"/>
        <v>350</v>
      </c>
      <c r="O99" s="217">
        <f t="shared" si="38"/>
        <v>9.9387238038925574</v>
      </c>
      <c r="P99" s="173">
        <f t="shared" si="39"/>
        <v>1.6447887985315151</v>
      </c>
      <c r="Q99" s="173">
        <f t="shared" si="40"/>
        <v>2.8607427772596767</v>
      </c>
      <c r="R99" s="173">
        <f t="shared" si="41"/>
        <v>0.55164319248826299</v>
      </c>
    </row>
    <row r="100" spans="3:18">
      <c r="C100" s="170">
        <v>94</v>
      </c>
      <c r="D100" s="5">
        <f t="shared" si="42"/>
        <v>38.739999999999995</v>
      </c>
      <c r="E100" s="443">
        <f t="shared" si="29"/>
        <v>28.4</v>
      </c>
      <c r="F100" s="217">
        <f t="shared" si="30"/>
        <v>0.42299672326481985</v>
      </c>
      <c r="G100" s="172">
        <f t="shared" si="31"/>
        <v>136.55744216065932</v>
      </c>
      <c r="H100" s="217">
        <f t="shared" si="32"/>
        <v>4.8770515057378327</v>
      </c>
      <c r="I100" s="443">
        <f t="shared" si="33"/>
        <v>67.139999999999986</v>
      </c>
      <c r="J100" s="172">
        <f t="shared" si="34"/>
        <v>1.35</v>
      </c>
      <c r="K100" s="172">
        <f t="shared" si="35"/>
        <v>0.16378420237480643</v>
      </c>
      <c r="L100" s="172">
        <f t="shared" si="36"/>
        <v>0.22341549295774651</v>
      </c>
      <c r="M100" s="443">
        <f t="shared" si="43"/>
        <v>350</v>
      </c>
      <c r="N100" s="197">
        <f t="shared" si="37"/>
        <v>350</v>
      </c>
      <c r="O100" s="217">
        <f t="shared" si="38"/>
        <v>9.9616371181028072</v>
      </c>
      <c r="P100" s="173">
        <f t="shared" si="39"/>
        <v>1.6485807906719436</v>
      </c>
      <c r="Q100" s="173">
        <f t="shared" si="40"/>
        <v>2.8739486293960592</v>
      </c>
      <c r="R100" s="173">
        <f t="shared" si="41"/>
        <v>0.55164319248826299</v>
      </c>
    </row>
    <row r="101" spans="3:18">
      <c r="C101" s="170">
        <v>95</v>
      </c>
      <c r="D101" s="5">
        <f t="shared" si="42"/>
        <v>38.950000000000003</v>
      </c>
      <c r="E101" s="443">
        <f t="shared" si="29"/>
        <v>28.4</v>
      </c>
      <c r="F101" s="217">
        <f t="shared" si="30"/>
        <v>0.42167780252412773</v>
      </c>
      <c r="G101" s="172">
        <f t="shared" si="31"/>
        <v>136.86958673595649</v>
      </c>
      <c r="H101" s="217">
        <f t="shared" si="32"/>
        <v>4.8881995262841604</v>
      </c>
      <c r="I101" s="443">
        <f t="shared" si="33"/>
        <v>67.349999999999994</v>
      </c>
      <c r="J101" s="172">
        <f t="shared" si="34"/>
        <v>1.35</v>
      </c>
      <c r="K101" s="172">
        <f t="shared" si="35"/>
        <v>0.16290115532734273</v>
      </c>
      <c r="L101" s="172">
        <f t="shared" si="36"/>
        <v>0.22341549295774651</v>
      </c>
      <c r="M101" s="443">
        <f t="shared" si="43"/>
        <v>350</v>
      </c>
      <c r="N101" s="197">
        <f t="shared" si="37"/>
        <v>350</v>
      </c>
      <c r="O101" s="217">
        <f t="shared" si="38"/>
        <v>9.9844075430484942</v>
      </c>
      <c r="P101" s="173">
        <f t="shared" si="39"/>
        <v>1.6523491356453495</v>
      </c>
      <c r="Q101" s="173">
        <f t="shared" si="40"/>
        <v>2.8871022553952397</v>
      </c>
      <c r="R101" s="173">
        <f t="shared" si="41"/>
        <v>0.55164319248826299</v>
      </c>
    </row>
    <row r="102" spans="3:18">
      <c r="C102" s="170">
        <v>96</v>
      </c>
      <c r="D102" s="5">
        <f t="shared" si="42"/>
        <v>39.159999999999997</v>
      </c>
      <c r="E102" s="443">
        <f t="shared" si="29"/>
        <v>28.4</v>
      </c>
      <c r="F102" s="217">
        <f t="shared" si="30"/>
        <v>0.42036708111308463</v>
      </c>
      <c r="G102" s="172">
        <f>F102*D102*Isw_max*0.5*Efficiency</f>
        <v>137.17979080323661</v>
      </c>
      <c r="H102" s="217">
        <f>G102/Vout</f>
        <v>4.899278242972736</v>
      </c>
      <c r="I102" s="443">
        <f t="shared" si="33"/>
        <v>67.56</v>
      </c>
      <c r="J102" s="172">
        <f t="shared" si="34"/>
        <v>1.35</v>
      </c>
      <c r="K102" s="172">
        <f>L*J102/D102*1000000</f>
        <v>0.16202757916241065</v>
      </c>
      <c r="L102" s="172">
        <f t="shared" si="36"/>
        <v>0.22341549295774651</v>
      </c>
      <c r="M102" s="443">
        <f t="shared" si="43"/>
        <v>350</v>
      </c>
      <c r="N102" s="197">
        <f t="shared" si="37"/>
        <v>350</v>
      </c>
      <c r="O102" s="217">
        <f>1/((N102*1000*L)*(1/D102+1/E102))</f>
        <v>10.007036411178355</v>
      </c>
      <c r="P102" s="173">
        <f>L*O102/E102*1000000</f>
        <v>1.656094053962615</v>
      </c>
      <c r="Q102" s="173">
        <f>0.5*P102*O102*Nps*N102/1000</f>
        <v>2.9002038622094757</v>
      </c>
      <c r="R102" s="173">
        <f t="shared" si="41"/>
        <v>0.55164319248826299</v>
      </c>
    </row>
    <row r="103" spans="3:18">
      <c r="C103" s="170">
        <v>97</v>
      </c>
      <c r="D103" s="5">
        <f>C103/100*(VIN_max-VIN_min)+VIN_min</f>
        <v>39.370000000000005</v>
      </c>
      <c r="E103" s="443">
        <f t="shared" si="29"/>
        <v>28.4</v>
      </c>
      <c r="F103" s="217">
        <f t="shared" si="30"/>
        <v>0.41906448280950265</v>
      </c>
      <c r="G103" s="172">
        <f>F103*D103*Isw_max*0.5*Efficiency</f>
        <v>137.48807240175103</v>
      </c>
      <c r="H103" s="217">
        <f>G103/Vout</f>
        <v>4.910288300062537</v>
      </c>
      <c r="I103" s="443">
        <f t="shared" si="33"/>
        <v>67.77000000000001</v>
      </c>
      <c r="J103" s="172">
        <f t="shared" si="34"/>
        <v>1.35</v>
      </c>
      <c r="K103" s="172">
        <f>L*J103/D103*1000000</f>
        <v>0.16116332232664465</v>
      </c>
      <c r="L103" s="172">
        <f t="shared" si="36"/>
        <v>0.22341549295774651</v>
      </c>
      <c r="M103" s="443">
        <f t="shared" si="43"/>
        <v>350</v>
      </c>
      <c r="N103" s="197">
        <f t="shared" si="37"/>
        <v>350</v>
      </c>
      <c r="O103" s="217">
        <f>1/((N103*1000*L)*(1/D103+1/E103))</f>
        <v>10.029525038425607</v>
      </c>
      <c r="P103" s="173">
        <f>L*O103/E103*1000000</f>
        <v>1.6598157634014208</v>
      </c>
      <c r="Q103" s="173">
        <f>0.5*P103*O103*Nps*N103/1000</f>
        <v>2.9132536576864108</v>
      </c>
      <c r="R103" s="173">
        <f t="shared" si="41"/>
        <v>0.55164319248826299</v>
      </c>
    </row>
    <row r="104" spans="3:18">
      <c r="C104" s="170">
        <v>98</v>
      </c>
      <c r="D104" s="5">
        <f>C104/100*(VIN_max-VIN_min)+VIN_min</f>
        <v>39.58</v>
      </c>
      <c r="E104" s="443">
        <f t="shared" si="29"/>
        <v>28.4</v>
      </c>
      <c r="F104" s="217">
        <f t="shared" si="30"/>
        <v>0.41776993233303916</v>
      </c>
      <c r="G104" s="172">
        <f>F104*D104*Isw_max*0.5*Efficiency</f>
        <v>137.7944493478474</v>
      </c>
      <c r="H104" s="217">
        <f>G104/Vout</f>
        <v>4.9212303338516934</v>
      </c>
      <c r="I104" s="443">
        <f t="shared" si="33"/>
        <v>67.97999999999999</v>
      </c>
      <c r="J104" s="172">
        <f t="shared" si="34"/>
        <v>1.35</v>
      </c>
      <c r="K104" s="172">
        <f>L*J104/D104*1000000</f>
        <v>0.16030823648307227</v>
      </c>
      <c r="L104" s="172">
        <f t="shared" si="36"/>
        <v>0.22341549295774651</v>
      </c>
      <c r="M104" s="443">
        <f t="shared" si="43"/>
        <v>350</v>
      </c>
      <c r="N104" s="197">
        <f t="shared" si="37"/>
        <v>350</v>
      </c>
      <c r="O104" s="217">
        <f>1/((N104*1000*L)*(1/D104+1/E104))</f>
        <v>10.051874724463032</v>
      </c>
      <c r="P104" s="173">
        <f>L*O104/E104*1000000</f>
        <v>1.6635144790484595</v>
      </c>
      <c r="Q104" s="173">
        <f>0.5*P104*O104*Nps*N104/1000</f>
        <v>2.9262518505019619</v>
      </c>
      <c r="R104" s="173">
        <f t="shared" si="41"/>
        <v>0.55164319248826299</v>
      </c>
    </row>
    <row r="105" spans="3:18">
      <c r="C105" s="170">
        <v>99</v>
      </c>
      <c r="D105" s="5">
        <f>C105/100*(VIN_max-VIN_min)+VIN_min</f>
        <v>39.79</v>
      </c>
      <c r="E105" s="443">
        <f t="shared" si="29"/>
        <v>28.4</v>
      </c>
      <c r="F105" s="217">
        <f t="shared" si="30"/>
        <v>0.41648335533069364</v>
      </c>
      <c r="G105" s="172">
        <f>F105*D105*Isw_max*0.5*Efficiency</f>
        <v>138.09893923840252</v>
      </c>
      <c r="H105" s="217">
        <f>G105/Vout</f>
        <v>4.9321049728000901</v>
      </c>
      <c r="I105" s="443">
        <f t="shared" si="33"/>
        <v>68.19</v>
      </c>
      <c r="J105" s="172">
        <f t="shared" si="34"/>
        <v>1.35</v>
      </c>
      <c r="K105" s="172">
        <f>L*J105/D105*1000000</f>
        <v>0.15946217642623775</v>
      </c>
      <c r="L105" s="172">
        <f t="shared" si="36"/>
        <v>0.22341549295774651</v>
      </c>
      <c r="M105" s="443">
        <f t="shared" si="43"/>
        <v>350</v>
      </c>
      <c r="N105" s="197">
        <f t="shared" si="37"/>
        <v>350</v>
      </c>
      <c r="O105" s="217">
        <f>1/((N105*1000*L)*(1/D105+1/E105))</f>
        <v>10.074086752953374</v>
      </c>
      <c r="P105" s="173">
        <f>L*O105/E105*1000000</f>
        <v>1.6671904133408753</v>
      </c>
      <c r="Q105" s="173">
        <f>0.5*P105*O105*Nps*N105/1000</f>
        <v>2.9391986500954301</v>
      </c>
      <c r="R105" s="173">
        <f t="shared" si="41"/>
        <v>0.55164319248826299</v>
      </c>
    </row>
    <row r="106" spans="3:18">
      <c r="C106" s="170">
        <v>100</v>
      </c>
      <c r="D106" s="5">
        <f>C106/100*(VIN_max-VIN_min)+VIN_min</f>
        <v>40</v>
      </c>
      <c r="E106" s="443">
        <f t="shared" si="29"/>
        <v>28.4</v>
      </c>
      <c r="F106" s="217">
        <f t="shared" si="30"/>
        <v>0.41520467836257302</v>
      </c>
      <c r="G106" s="172">
        <f>F106*D106*Isw_max*0.5*Efficiency</f>
        <v>138.40155945419102</v>
      </c>
      <c r="H106" s="217">
        <f>G106/Vout</f>
        <v>4.9429128376496791</v>
      </c>
      <c r="I106" s="443">
        <f t="shared" si="33"/>
        <v>68.400000000000006</v>
      </c>
      <c r="J106" s="172">
        <f t="shared" si="34"/>
        <v>1.35</v>
      </c>
      <c r="K106" s="172">
        <f>L*J106/D106*1000000</f>
        <v>0.15862500000000002</v>
      </c>
      <c r="L106" s="172">
        <f t="shared" si="36"/>
        <v>0.22341549295774651</v>
      </c>
      <c r="M106" s="443">
        <f t="shared" si="43"/>
        <v>350</v>
      </c>
      <c r="N106" s="197">
        <f t="shared" si="37"/>
        <v>350</v>
      </c>
      <c r="O106" s="217">
        <f>1/((N106*1000*L)*(1/D106+1/E106))</f>
        <v>10.09616239179509</v>
      </c>
      <c r="P106" s="173">
        <f>L*O106/E106*1000000</f>
        <v>1.6708437761069339</v>
      </c>
      <c r="Q106" s="173">
        <f>0.5*P106*O106*Nps*N106/1000</f>
        <v>2.9520942666067511</v>
      </c>
      <c r="R106" s="173">
        <f t="shared" si="41"/>
        <v>0.55164319248826299</v>
      </c>
    </row>
  </sheetData>
  <sheetProtection sheet="1" objects="1" scenarios="1"/>
  <mergeCells count="1">
    <mergeCell ref="F4:O4"/>
  </mergeCells>
  <phoneticPr fontId="83"/>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tabColor rgb="FFFF0000"/>
  </sheetPr>
  <dimension ref="A1:Q64"/>
  <sheetViews>
    <sheetView zoomScale="70" zoomScaleNormal="70" workbookViewId="0">
      <selection activeCell="Q36" sqref="Q36"/>
    </sheetView>
  </sheetViews>
  <sheetFormatPr defaultRowHeight="12.5"/>
  <cols>
    <col min="1" max="1" width="9.54296875" style="114" customWidth="1"/>
    <col min="2" max="2" width="11.453125" style="114" customWidth="1"/>
    <col min="3" max="3" width="13.453125" style="114" customWidth="1"/>
    <col min="4" max="4" width="20.1796875" style="114" customWidth="1"/>
    <col min="5" max="5" width="17.26953125" style="114" customWidth="1"/>
    <col min="6" max="6" width="13.54296875" style="114" customWidth="1"/>
    <col min="7" max="7" width="16.1796875" style="114" customWidth="1"/>
    <col min="8" max="8" width="18.1796875" style="114" customWidth="1"/>
    <col min="9" max="9" width="10.81640625" style="114" customWidth="1"/>
    <col min="10" max="10" width="15.81640625" style="114" customWidth="1"/>
    <col min="11" max="11" width="11.81640625" style="462" customWidth="1"/>
    <col min="12" max="12" width="7.81640625" style="461" customWidth="1"/>
    <col min="13" max="13" width="11.7265625" style="114" customWidth="1"/>
    <col min="14" max="254" width="9.1796875" style="114"/>
    <col min="255" max="255" width="8.7265625" style="114" bestFit="1" customWidth="1"/>
    <col min="256" max="256" width="13.26953125" style="114" customWidth="1"/>
    <col min="257" max="257" width="16.1796875" style="114" bestFit="1" customWidth="1"/>
    <col min="258" max="258" width="23.54296875" style="114" customWidth="1"/>
    <col min="259" max="259" width="17.26953125" style="114" customWidth="1"/>
    <col min="260" max="260" width="20.54296875" style="114" bestFit="1" customWidth="1"/>
    <col min="261" max="261" width="17.1796875" style="114" customWidth="1"/>
    <col min="262" max="262" width="21.81640625" style="114" bestFit="1" customWidth="1"/>
    <col min="263" max="263" width="17.1796875" style="114" bestFit="1" customWidth="1"/>
    <col min="264" max="264" width="18.1796875" style="114" bestFit="1" customWidth="1"/>
    <col min="265" max="265" width="26.453125" style="114" customWidth="1"/>
    <col min="266" max="510" width="9.1796875" style="114"/>
    <col min="511" max="511" width="8.7265625" style="114" bestFit="1" customWidth="1"/>
    <col min="512" max="512" width="13.26953125" style="114" customWidth="1"/>
    <col min="513" max="513" width="16.1796875" style="114" bestFit="1" customWidth="1"/>
    <col min="514" max="514" width="23.54296875" style="114" customWidth="1"/>
    <col min="515" max="515" width="17.26953125" style="114" customWidth="1"/>
    <col min="516" max="516" width="20.54296875" style="114" bestFit="1" customWidth="1"/>
    <col min="517" max="517" width="17.1796875" style="114" customWidth="1"/>
    <col min="518" max="518" width="21.81640625" style="114" bestFit="1" customWidth="1"/>
    <col min="519" max="519" width="17.1796875" style="114" bestFit="1" customWidth="1"/>
    <col min="520" max="520" width="18.1796875" style="114" bestFit="1" customWidth="1"/>
    <col min="521" max="521" width="26.453125" style="114" customWidth="1"/>
    <col min="522" max="766" width="9.1796875" style="114"/>
    <col min="767" max="767" width="8.7265625" style="114" bestFit="1" customWidth="1"/>
    <col min="768" max="768" width="13.26953125" style="114" customWidth="1"/>
    <col min="769" max="769" width="16.1796875" style="114" bestFit="1" customWidth="1"/>
    <col min="770" max="770" width="23.54296875" style="114" customWidth="1"/>
    <col min="771" max="771" width="17.26953125" style="114" customWidth="1"/>
    <col min="772" max="772" width="20.54296875" style="114" bestFit="1" customWidth="1"/>
    <col min="773" max="773" width="17.1796875" style="114" customWidth="1"/>
    <col min="774" max="774" width="21.81640625" style="114" bestFit="1" customWidth="1"/>
    <col min="775" max="775" width="17.1796875" style="114" bestFit="1" customWidth="1"/>
    <col min="776" max="776" width="18.1796875" style="114" bestFit="1" customWidth="1"/>
    <col min="777" max="777" width="26.453125" style="114" customWidth="1"/>
    <col min="778" max="1022" width="9.1796875" style="114"/>
    <col min="1023" max="1023" width="8.7265625" style="114" bestFit="1" customWidth="1"/>
    <col min="1024" max="1024" width="13.26953125" style="114" customWidth="1"/>
    <col min="1025" max="1025" width="16.1796875" style="114" bestFit="1" customWidth="1"/>
    <col min="1026" max="1026" width="23.54296875" style="114" customWidth="1"/>
    <col min="1027" max="1027" width="17.26953125" style="114" customWidth="1"/>
    <col min="1028" max="1028" width="20.54296875" style="114" bestFit="1" customWidth="1"/>
    <col min="1029" max="1029" width="17.1796875" style="114" customWidth="1"/>
    <col min="1030" max="1030" width="21.81640625" style="114" bestFit="1" customWidth="1"/>
    <col min="1031" max="1031" width="17.1796875" style="114" bestFit="1" customWidth="1"/>
    <col min="1032" max="1032" width="18.1796875" style="114" bestFit="1" customWidth="1"/>
    <col min="1033" max="1033" width="26.453125" style="114" customWidth="1"/>
    <col min="1034" max="1278" width="9.1796875" style="114"/>
    <col min="1279" max="1279" width="8.7265625" style="114" bestFit="1" customWidth="1"/>
    <col min="1280" max="1280" width="13.26953125" style="114" customWidth="1"/>
    <col min="1281" max="1281" width="16.1796875" style="114" bestFit="1" customWidth="1"/>
    <col min="1282" max="1282" width="23.54296875" style="114" customWidth="1"/>
    <col min="1283" max="1283" width="17.26953125" style="114" customWidth="1"/>
    <col min="1284" max="1284" width="20.54296875" style="114" bestFit="1" customWidth="1"/>
    <col min="1285" max="1285" width="17.1796875" style="114" customWidth="1"/>
    <col min="1286" max="1286" width="21.81640625" style="114" bestFit="1" customWidth="1"/>
    <col min="1287" max="1287" width="17.1796875" style="114" bestFit="1" customWidth="1"/>
    <col min="1288" max="1288" width="18.1796875" style="114" bestFit="1" customWidth="1"/>
    <col min="1289" max="1289" width="26.453125" style="114" customWidth="1"/>
    <col min="1290" max="1534" width="9.1796875" style="114"/>
    <col min="1535" max="1535" width="8.7265625" style="114" bestFit="1" customWidth="1"/>
    <col min="1536" max="1536" width="13.26953125" style="114" customWidth="1"/>
    <col min="1537" max="1537" width="16.1796875" style="114" bestFit="1" customWidth="1"/>
    <col min="1538" max="1538" width="23.54296875" style="114" customWidth="1"/>
    <col min="1539" max="1539" width="17.26953125" style="114" customWidth="1"/>
    <col min="1540" max="1540" width="20.54296875" style="114" bestFit="1" customWidth="1"/>
    <col min="1541" max="1541" width="17.1796875" style="114" customWidth="1"/>
    <col min="1542" max="1542" width="21.81640625" style="114" bestFit="1" customWidth="1"/>
    <col min="1543" max="1543" width="17.1796875" style="114" bestFit="1" customWidth="1"/>
    <col min="1544" max="1544" width="18.1796875" style="114" bestFit="1" customWidth="1"/>
    <col min="1545" max="1545" width="26.453125" style="114" customWidth="1"/>
    <col min="1546" max="1790" width="9.1796875" style="114"/>
    <col min="1791" max="1791" width="8.7265625" style="114" bestFit="1" customWidth="1"/>
    <col min="1792" max="1792" width="13.26953125" style="114" customWidth="1"/>
    <col min="1793" max="1793" width="16.1796875" style="114" bestFit="1" customWidth="1"/>
    <col min="1794" max="1794" width="23.54296875" style="114" customWidth="1"/>
    <col min="1795" max="1795" width="17.26953125" style="114" customWidth="1"/>
    <col min="1796" max="1796" width="20.54296875" style="114" bestFit="1" customWidth="1"/>
    <col min="1797" max="1797" width="17.1796875" style="114" customWidth="1"/>
    <col min="1798" max="1798" width="21.81640625" style="114" bestFit="1" customWidth="1"/>
    <col min="1799" max="1799" width="17.1796875" style="114" bestFit="1" customWidth="1"/>
    <col min="1800" max="1800" width="18.1796875" style="114" bestFit="1" customWidth="1"/>
    <col min="1801" max="1801" width="26.453125" style="114" customWidth="1"/>
    <col min="1802" max="2046" width="9.1796875" style="114"/>
    <col min="2047" max="2047" width="8.7265625" style="114" bestFit="1" customWidth="1"/>
    <col min="2048" max="2048" width="13.26953125" style="114" customWidth="1"/>
    <col min="2049" max="2049" width="16.1796875" style="114" bestFit="1" customWidth="1"/>
    <col min="2050" max="2050" width="23.54296875" style="114" customWidth="1"/>
    <col min="2051" max="2051" width="17.26953125" style="114" customWidth="1"/>
    <col min="2052" max="2052" width="20.54296875" style="114" bestFit="1" customWidth="1"/>
    <col min="2053" max="2053" width="17.1796875" style="114" customWidth="1"/>
    <col min="2054" max="2054" width="21.81640625" style="114" bestFit="1" customWidth="1"/>
    <col min="2055" max="2055" width="17.1796875" style="114" bestFit="1" customWidth="1"/>
    <col min="2056" max="2056" width="18.1796875" style="114" bestFit="1" customWidth="1"/>
    <col min="2057" max="2057" width="26.453125" style="114" customWidth="1"/>
    <col min="2058" max="2302" width="9.1796875" style="114"/>
    <col min="2303" max="2303" width="8.7265625" style="114" bestFit="1" customWidth="1"/>
    <col min="2304" max="2304" width="13.26953125" style="114" customWidth="1"/>
    <col min="2305" max="2305" width="16.1796875" style="114" bestFit="1" customWidth="1"/>
    <col min="2306" max="2306" width="23.54296875" style="114" customWidth="1"/>
    <col min="2307" max="2307" width="17.26953125" style="114" customWidth="1"/>
    <col min="2308" max="2308" width="20.54296875" style="114" bestFit="1" customWidth="1"/>
    <col min="2309" max="2309" width="17.1796875" style="114" customWidth="1"/>
    <col min="2310" max="2310" width="21.81640625" style="114" bestFit="1" customWidth="1"/>
    <col min="2311" max="2311" width="17.1796875" style="114" bestFit="1" customWidth="1"/>
    <col min="2312" max="2312" width="18.1796875" style="114" bestFit="1" customWidth="1"/>
    <col min="2313" max="2313" width="26.453125" style="114" customWidth="1"/>
    <col min="2314" max="2558" width="9.1796875" style="114"/>
    <col min="2559" max="2559" width="8.7265625" style="114" bestFit="1" customWidth="1"/>
    <col min="2560" max="2560" width="13.26953125" style="114" customWidth="1"/>
    <col min="2561" max="2561" width="16.1796875" style="114" bestFit="1" customWidth="1"/>
    <col min="2562" max="2562" width="23.54296875" style="114" customWidth="1"/>
    <col min="2563" max="2563" width="17.26953125" style="114" customWidth="1"/>
    <col min="2564" max="2564" width="20.54296875" style="114" bestFit="1" customWidth="1"/>
    <col min="2565" max="2565" width="17.1796875" style="114" customWidth="1"/>
    <col min="2566" max="2566" width="21.81640625" style="114" bestFit="1" customWidth="1"/>
    <col min="2567" max="2567" width="17.1796875" style="114" bestFit="1" customWidth="1"/>
    <col min="2568" max="2568" width="18.1796875" style="114" bestFit="1" customWidth="1"/>
    <col min="2569" max="2569" width="26.453125" style="114" customWidth="1"/>
    <col min="2570" max="2814" width="9.1796875" style="114"/>
    <col min="2815" max="2815" width="8.7265625" style="114" bestFit="1" customWidth="1"/>
    <col min="2816" max="2816" width="13.26953125" style="114" customWidth="1"/>
    <col min="2817" max="2817" width="16.1796875" style="114" bestFit="1" customWidth="1"/>
    <col min="2818" max="2818" width="23.54296875" style="114" customWidth="1"/>
    <col min="2819" max="2819" width="17.26953125" style="114" customWidth="1"/>
    <col min="2820" max="2820" width="20.54296875" style="114" bestFit="1" customWidth="1"/>
    <col min="2821" max="2821" width="17.1796875" style="114" customWidth="1"/>
    <col min="2822" max="2822" width="21.81640625" style="114" bestFit="1" customWidth="1"/>
    <col min="2823" max="2823" width="17.1796875" style="114" bestFit="1" customWidth="1"/>
    <col min="2824" max="2824" width="18.1796875" style="114" bestFit="1" customWidth="1"/>
    <col min="2825" max="2825" width="26.453125" style="114" customWidth="1"/>
    <col min="2826" max="3070" width="9.1796875" style="114"/>
    <col min="3071" max="3071" width="8.7265625" style="114" bestFit="1" customWidth="1"/>
    <col min="3072" max="3072" width="13.26953125" style="114" customWidth="1"/>
    <col min="3073" max="3073" width="16.1796875" style="114" bestFit="1" customWidth="1"/>
    <col min="3074" max="3074" width="23.54296875" style="114" customWidth="1"/>
    <col min="3075" max="3075" width="17.26953125" style="114" customWidth="1"/>
    <col min="3076" max="3076" width="20.54296875" style="114" bestFit="1" customWidth="1"/>
    <col min="3077" max="3077" width="17.1796875" style="114" customWidth="1"/>
    <col min="3078" max="3078" width="21.81640625" style="114" bestFit="1" customWidth="1"/>
    <col min="3079" max="3079" width="17.1796875" style="114" bestFit="1" customWidth="1"/>
    <col min="3080" max="3080" width="18.1796875" style="114" bestFit="1" customWidth="1"/>
    <col min="3081" max="3081" width="26.453125" style="114" customWidth="1"/>
    <col min="3082" max="3326" width="9.1796875" style="114"/>
    <col min="3327" max="3327" width="8.7265625" style="114" bestFit="1" customWidth="1"/>
    <col min="3328" max="3328" width="13.26953125" style="114" customWidth="1"/>
    <col min="3329" max="3329" width="16.1796875" style="114" bestFit="1" customWidth="1"/>
    <col min="3330" max="3330" width="23.54296875" style="114" customWidth="1"/>
    <col min="3331" max="3331" width="17.26953125" style="114" customWidth="1"/>
    <col min="3332" max="3332" width="20.54296875" style="114" bestFit="1" customWidth="1"/>
    <col min="3333" max="3333" width="17.1796875" style="114" customWidth="1"/>
    <col min="3334" max="3334" width="21.81640625" style="114" bestFit="1" customWidth="1"/>
    <col min="3335" max="3335" width="17.1796875" style="114" bestFit="1" customWidth="1"/>
    <col min="3336" max="3336" width="18.1796875" style="114" bestFit="1" customWidth="1"/>
    <col min="3337" max="3337" width="26.453125" style="114" customWidth="1"/>
    <col min="3338" max="3582" width="9.1796875" style="114"/>
    <col min="3583" max="3583" width="8.7265625" style="114" bestFit="1" customWidth="1"/>
    <col min="3584" max="3584" width="13.26953125" style="114" customWidth="1"/>
    <col min="3585" max="3585" width="16.1796875" style="114" bestFit="1" customWidth="1"/>
    <col min="3586" max="3586" width="23.54296875" style="114" customWidth="1"/>
    <col min="3587" max="3587" width="17.26953125" style="114" customWidth="1"/>
    <col min="3588" max="3588" width="20.54296875" style="114" bestFit="1" customWidth="1"/>
    <col min="3589" max="3589" width="17.1796875" style="114" customWidth="1"/>
    <col min="3590" max="3590" width="21.81640625" style="114" bestFit="1" customWidth="1"/>
    <col min="3591" max="3591" width="17.1796875" style="114" bestFit="1" customWidth="1"/>
    <col min="3592" max="3592" width="18.1796875" style="114" bestFit="1" customWidth="1"/>
    <col min="3593" max="3593" width="26.453125" style="114" customWidth="1"/>
    <col min="3594" max="3838" width="9.1796875" style="114"/>
    <col min="3839" max="3839" width="8.7265625" style="114" bestFit="1" customWidth="1"/>
    <col min="3840" max="3840" width="13.26953125" style="114" customWidth="1"/>
    <col min="3841" max="3841" width="16.1796875" style="114" bestFit="1" customWidth="1"/>
    <col min="3842" max="3842" width="23.54296875" style="114" customWidth="1"/>
    <col min="3843" max="3843" width="17.26953125" style="114" customWidth="1"/>
    <col min="3844" max="3844" width="20.54296875" style="114" bestFit="1" customWidth="1"/>
    <col min="3845" max="3845" width="17.1796875" style="114" customWidth="1"/>
    <col min="3846" max="3846" width="21.81640625" style="114" bestFit="1" customWidth="1"/>
    <col min="3847" max="3847" width="17.1796875" style="114" bestFit="1" customWidth="1"/>
    <col min="3848" max="3848" width="18.1796875" style="114" bestFit="1" customWidth="1"/>
    <col min="3849" max="3849" width="26.453125" style="114" customWidth="1"/>
    <col min="3850" max="4094" width="9.1796875" style="114"/>
    <col min="4095" max="4095" width="8.7265625" style="114" bestFit="1" customWidth="1"/>
    <col min="4096" max="4096" width="13.26953125" style="114" customWidth="1"/>
    <col min="4097" max="4097" width="16.1796875" style="114" bestFit="1" customWidth="1"/>
    <col min="4098" max="4098" width="23.54296875" style="114" customWidth="1"/>
    <col min="4099" max="4099" width="17.26953125" style="114" customWidth="1"/>
    <col min="4100" max="4100" width="20.54296875" style="114" bestFit="1" customWidth="1"/>
    <col min="4101" max="4101" width="17.1796875" style="114" customWidth="1"/>
    <col min="4102" max="4102" width="21.81640625" style="114" bestFit="1" customWidth="1"/>
    <col min="4103" max="4103" width="17.1796875" style="114" bestFit="1" customWidth="1"/>
    <col min="4104" max="4104" width="18.1796875" style="114" bestFit="1" customWidth="1"/>
    <col min="4105" max="4105" width="26.453125" style="114" customWidth="1"/>
    <col min="4106" max="4350" width="9.1796875" style="114"/>
    <col min="4351" max="4351" width="8.7265625" style="114" bestFit="1" customWidth="1"/>
    <col min="4352" max="4352" width="13.26953125" style="114" customWidth="1"/>
    <col min="4353" max="4353" width="16.1796875" style="114" bestFit="1" customWidth="1"/>
    <col min="4354" max="4354" width="23.54296875" style="114" customWidth="1"/>
    <col min="4355" max="4355" width="17.26953125" style="114" customWidth="1"/>
    <col min="4356" max="4356" width="20.54296875" style="114" bestFit="1" customWidth="1"/>
    <col min="4357" max="4357" width="17.1796875" style="114" customWidth="1"/>
    <col min="4358" max="4358" width="21.81640625" style="114" bestFit="1" customWidth="1"/>
    <col min="4359" max="4359" width="17.1796875" style="114" bestFit="1" customWidth="1"/>
    <col min="4360" max="4360" width="18.1796875" style="114" bestFit="1" customWidth="1"/>
    <col min="4361" max="4361" width="26.453125" style="114" customWidth="1"/>
    <col min="4362" max="4606" width="9.1796875" style="114"/>
    <col min="4607" max="4607" width="8.7265625" style="114" bestFit="1" customWidth="1"/>
    <col min="4608" max="4608" width="13.26953125" style="114" customWidth="1"/>
    <col min="4609" max="4609" width="16.1796875" style="114" bestFit="1" customWidth="1"/>
    <col min="4610" max="4610" width="23.54296875" style="114" customWidth="1"/>
    <col min="4611" max="4611" width="17.26953125" style="114" customWidth="1"/>
    <col min="4612" max="4612" width="20.54296875" style="114" bestFit="1" customWidth="1"/>
    <col min="4613" max="4613" width="17.1796875" style="114" customWidth="1"/>
    <col min="4614" max="4614" width="21.81640625" style="114" bestFit="1" customWidth="1"/>
    <col min="4615" max="4615" width="17.1796875" style="114" bestFit="1" customWidth="1"/>
    <col min="4616" max="4616" width="18.1796875" style="114" bestFit="1" customWidth="1"/>
    <col min="4617" max="4617" width="26.453125" style="114" customWidth="1"/>
    <col min="4618" max="4862" width="9.1796875" style="114"/>
    <col min="4863" max="4863" width="8.7265625" style="114" bestFit="1" customWidth="1"/>
    <col min="4864" max="4864" width="13.26953125" style="114" customWidth="1"/>
    <col min="4865" max="4865" width="16.1796875" style="114" bestFit="1" customWidth="1"/>
    <col min="4866" max="4866" width="23.54296875" style="114" customWidth="1"/>
    <col min="4867" max="4867" width="17.26953125" style="114" customWidth="1"/>
    <col min="4868" max="4868" width="20.54296875" style="114" bestFit="1" customWidth="1"/>
    <col min="4869" max="4869" width="17.1796875" style="114" customWidth="1"/>
    <col min="4870" max="4870" width="21.81640625" style="114" bestFit="1" customWidth="1"/>
    <col min="4871" max="4871" width="17.1796875" style="114" bestFit="1" customWidth="1"/>
    <col min="4872" max="4872" width="18.1796875" style="114" bestFit="1" customWidth="1"/>
    <col min="4873" max="4873" width="26.453125" style="114" customWidth="1"/>
    <col min="4874" max="5118" width="9.1796875" style="114"/>
    <col min="5119" max="5119" width="8.7265625" style="114" bestFit="1" customWidth="1"/>
    <col min="5120" max="5120" width="13.26953125" style="114" customWidth="1"/>
    <col min="5121" max="5121" width="16.1796875" style="114" bestFit="1" customWidth="1"/>
    <col min="5122" max="5122" width="23.54296875" style="114" customWidth="1"/>
    <col min="5123" max="5123" width="17.26953125" style="114" customWidth="1"/>
    <col min="5124" max="5124" width="20.54296875" style="114" bestFit="1" customWidth="1"/>
    <col min="5125" max="5125" width="17.1796875" style="114" customWidth="1"/>
    <col min="5126" max="5126" width="21.81640625" style="114" bestFit="1" customWidth="1"/>
    <col min="5127" max="5127" width="17.1796875" style="114" bestFit="1" customWidth="1"/>
    <col min="5128" max="5128" width="18.1796875" style="114" bestFit="1" customWidth="1"/>
    <col min="5129" max="5129" width="26.453125" style="114" customWidth="1"/>
    <col min="5130" max="5374" width="9.1796875" style="114"/>
    <col min="5375" max="5375" width="8.7265625" style="114" bestFit="1" customWidth="1"/>
    <col min="5376" max="5376" width="13.26953125" style="114" customWidth="1"/>
    <col min="5377" max="5377" width="16.1796875" style="114" bestFit="1" customWidth="1"/>
    <col min="5378" max="5378" width="23.54296875" style="114" customWidth="1"/>
    <col min="5379" max="5379" width="17.26953125" style="114" customWidth="1"/>
    <col min="5380" max="5380" width="20.54296875" style="114" bestFit="1" customWidth="1"/>
    <col min="5381" max="5381" width="17.1796875" style="114" customWidth="1"/>
    <col min="5382" max="5382" width="21.81640625" style="114" bestFit="1" customWidth="1"/>
    <col min="5383" max="5383" width="17.1796875" style="114" bestFit="1" customWidth="1"/>
    <col min="5384" max="5384" width="18.1796875" style="114" bestFit="1" customWidth="1"/>
    <col min="5385" max="5385" width="26.453125" style="114" customWidth="1"/>
    <col min="5386" max="5630" width="9.1796875" style="114"/>
    <col min="5631" max="5631" width="8.7265625" style="114" bestFit="1" customWidth="1"/>
    <col min="5632" max="5632" width="13.26953125" style="114" customWidth="1"/>
    <col min="5633" max="5633" width="16.1796875" style="114" bestFit="1" customWidth="1"/>
    <col min="5634" max="5634" width="23.54296875" style="114" customWidth="1"/>
    <col min="5635" max="5635" width="17.26953125" style="114" customWidth="1"/>
    <col min="5636" max="5636" width="20.54296875" style="114" bestFit="1" customWidth="1"/>
    <col min="5637" max="5637" width="17.1796875" style="114" customWidth="1"/>
    <col min="5638" max="5638" width="21.81640625" style="114" bestFit="1" customWidth="1"/>
    <col min="5639" max="5639" width="17.1796875" style="114" bestFit="1" customWidth="1"/>
    <col min="5640" max="5640" width="18.1796875" style="114" bestFit="1" customWidth="1"/>
    <col min="5641" max="5641" width="26.453125" style="114" customWidth="1"/>
    <col min="5642" max="5886" width="9.1796875" style="114"/>
    <col min="5887" max="5887" width="8.7265625" style="114" bestFit="1" customWidth="1"/>
    <col min="5888" max="5888" width="13.26953125" style="114" customWidth="1"/>
    <col min="5889" max="5889" width="16.1796875" style="114" bestFit="1" customWidth="1"/>
    <col min="5890" max="5890" width="23.54296875" style="114" customWidth="1"/>
    <col min="5891" max="5891" width="17.26953125" style="114" customWidth="1"/>
    <col min="5892" max="5892" width="20.54296875" style="114" bestFit="1" customWidth="1"/>
    <col min="5893" max="5893" width="17.1796875" style="114" customWidth="1"/>
    <col min="5894" max="5894" width="21.81640625" style="114" bestFit="1" customWidth="1"/>
    <col min="5895" max="5895" width="17.1796875" style="114" bestFit="1" customWidth="1"/>
    <col min="5896" max="5896" width="18.1796875" style="114" bestFit="1" customWidth="1"/>
    <col min="5897" max="5897" width="26.453125" style="114" customWidth="1"/>
    <col min="5898" max="6142" width="9.1796875" style="114"/>
    <col min="6143" max="6143" width="8.7265625" style="114" bestFit="1" customWidth="1"/>
    <col min="6144" max="6144" width="13.26953125" style="114" customWidth="1"/>
    <col min="6145" max="6145" width="16.1796875" style="114" bestFit="1" customWidth="1"/>
    <col min="6146" max="6146" width="23.54296875" style="114" customWidth="1"/>
    <col min="6147" max="6147" width="17.26953125" style="114" customWidth="1"/>
    <col min="6148" max="6148" width="20.54296875" style="114" bestFit="1" customWidth="1"/>
    <col min="6149" max="6149" width="17.1796875" style="114" customWidth="1"/>
    <col min="6150" max="6150" width="21.81640625" style="114" bestFit="1" customWidth="1"/>
    <col min="6151" max="6151" width="17.1796875" style="114" bestFit="1" customWidth="1"/>
    <col min="6152" max="6152" width="18.1796875" style="114" bestFit="1" customWidth="1"/>
    <col min="6153" max="6153" width="26.453125" style="114" customWidth="1"/>
    <col min="6154" max="6398" width="9.1796875" style="114"/>
    <col min="6399" max="6399" width="8.7265625" style="114" bestFit="1" customWidth="1"/>
    <col min="6400" max="6400" width="13.26953125" style="114" customWidth="1"/>
    <col min="6401" max="6401" width="16.1796875" style="114" bestFit="1" customWidth="1"/>
    <col min="6402" max="6402" width="23.54296875" style="114" customWidth="1"/>
    <col min="6403" max="6403" width="17.26953125" style="114" customWidth="1"/>
    <col min="6404" max="6404" width="20.54296875" style="114" bestFit="1" customWidth="1"/>
    <col min="6405" max="6405" width="17.1796875" style="114" customWidth="1"/>
    <col min="6406" max="6406" width="21.81640625" style="114" bestFit="1" customWidth="1"/>
    <col min="6407" max="6407" width="17.1796875" style="114" bestFit="1" customWidth="1"/>
    <col min="6408" max="6408" width="18.1796875" style="114" bestFit="1" customWidth="1"/>
    <col min="6409" max="6409" width="26.453125" style="114" customWidth="1"/>
    <col min="6410" max="6654" width="9.1796875" style="114"/>
    <col min="6655" max="6655" width="8.7265625" style="114" bestFit="1" customWidth="1"/>
    <col min="6656" max="6656" width="13.26953125" style="114" customWidth="1"/>
    <col min="6657" max="6657" width="16.1796875" style="114" bestFit="1" customWidth="1"/>
    <col min="6658" max="6658" width="23.54296875" style="114" customWidth="1"/>
    <col min="6659" max="6659" width="17.26953125" style="114" customWidth="1"/>
    <col min="6660" max="6660" width="20.54296875" style="114" bestFit="1" customWidth="1"/>
    <col min="6661" max="6661" width="17.1796875" style="114" customWidth="1"/>
    <col min="6662" max="6662" width="21.81640625" style="114" bestFit="1" customWidth="1"/>
    <col min="6663" max="6663" width="17.1796875" style="114" bestFit="1" customWidth="1"/>
    <col min="6664" max="6664" width="18.1796875" style="114" bestFit="1" customWidth="1"/>
    <col min="6665" max="6665" width="26.453125" style="114" customWidth="1"/>
    <col min="6666" max="6910" width="9.1796875" style="114"/>
    <col min="6911" max="6911" width="8.7265625" style="114" bestFit="1" customWidth="1"/>
    <col min="6912" max="6912" width="13.26953125" style="114" customWidth="1"/>
    <col min="6913" max="6913" width="16.1796875" style="114" bestFit="1" customWidth="1"/>
    <col min="6914" max="6914" width="23.54296875" style="114" customWidth="1"/>
    <col min="6915" max="6915" width="17.26953125" style="114" customWidth="1"/>
    <col min="6916" max="6916" width="20.54296875" style="114" bestFit="1" customWidth="1"/>
    <col min="6917" max="6917" width="17.1796875" style="114" customWidth="1"/>
    <col min="6918" max="6918" width="21.81640625" style="114" bestFit="1" customWidth="1"/>
    <col min="6919" max="6919" width="17.1796875" style="114" bestFit="1" customWidth="1"/>
    <col min="6920" max="6920" width="18.1796875" style="114" bestFit="1" customWidth="1"/>
    <col min="6921" max="6921" width="26.453125" style="114" customWidth="1"/>
    <col min="6922" max="7166" width="9.1796875" style="114"/>
    <col min="7167" max="7167" width="8.7265625" style="114" bestFit="1" customWidth="1"/>
    <col min="7168" max="7168" width="13.26953125" style="114" customWidth="1"/>
    <col min="7169" max="7169" width="16.1796875" style="114" bestFit="1" customWidth="1"/>
    <col min="7170" max="7170" width="23.54296875" style="114" customWidth="1"/>
    <col min="7171" max="7171" width="17.26953125" style="114" customWidth="1"/>
    <col min="7172" max="7172" width="20.54296875" style="114" bestFit="1" customWidth="1"/>
    <col min="7173" max="7173" width="17.1796875" style="114" customWidth="1"/>
    <col min="7174" max="7174" width="21.81640625" style="114" bestFit="1" customWidth="1"/>
    <col min="7175" max="7175" width="17.1796875" style="114" bestFit="1" customWidth="1"/>
    <col min="7176" max="7176" width="18.1796875" style="114" bestFit="1" customWidth="1"/>
    <col min="7177" max="7177" width="26.453125" style="114" customWidth="1"/>
    <col min="7178" max="7422" width="9.1796875" style="114"/>
    <col min="7423" max="7423" width="8.7265625" style="114" bestFit="1" customWidth="1"/>
    <col min="7424" max="7424" width="13.26953125" style="114" customWidth="1"/>
    <col min="7425" max="7425" width="16.1796875" style="114" bestFit="1" customWidth="1"/>
    <col min="7426" max="7426" width="23.54296875" style="114" customWidth="1"/>
    <col min="7427" max="7427" width="17.26953125" style="114" customWidth="1"/>
    <col min="7428" max="7428" width="20.54296875" style="114" bestFit="1" customWidth="1"/>
    <col min="7429" max="7429" width="17.1796875" style="114" customWidth="1"/>
    <col min="7430" max="7430" width="21.81640625" style="114" bestFit="1" customWidth="1"/>
    <col min="7431" max="7431" width="17.1796875" style="114" bestFit="1" customWidth="1"/>
    <col min="7432" max="7432" width="18.1796875" style="114" bestFit="1" customWidth="1"/>
    <col min="7433" max="7433" width="26.453125" style="114" customWidth="1"/>
    <col min="7434" max="7678" width="9.1796875" style="114"/>
    <col min="7679" max="7679" width="8.7265625" style="114" bestFit="1" customWidth="1"/>
    <col min="7680" max="7680" width="13.26953125" style="114" customWidth="1"/>
    <col min="7681" max="7681" width="16.1796875" style="114" bestFit="1" customWidth="1"/>
    <col min="7682" max="7682" width="23.54296875" style="114" customWidth="1"/>
    <col min="7683" max="7683" width="17.26953125" style="114" customWidth="1"/>
    <col min="7684" max="7684" width="20.54296875" style="114" bestFit="1" customWidth="1"/>
    <col min="7685" max="7685" width="17.1796875" style="114" customWidth="1"/>
    <col min="7686" max="7686" width="21.81640625" style="114" bestFit="1" customWidth="1"/>
    <col min="7687" max="7687" width="17.1796875" style="114" bestFit="1" customWidth="1"/>
    <col min="7688" max="7688" width="18.1796875" style="114" bestFit="1" customWidth="1"/>
    <col min="7689" max="7689" width="26.453125" style="114" customWidth="1"/>
    <col min="7690" max="7934" width="9.1796875" style="114"/>
    <col min="7935" max="7935" width="8.7265625" style="114" bestFit="1" customWidth="1"/>
    <col min="7936" max="7936" width="13.26953125" style="114" customWidth="1"/>
    <col min="7937" max="7937" width="16.1796875" style="114" bestFit="1" customWidth="1"/>
    <col min="7938" max="7938" width="23.54296875" style="114" customWidth="1"/>
    <col min="7939" max="7939" width="17.26953125" style="114" customWidth="1"/>
    <col min="7940" max="7940" width="20.54296875" style="114" bestFit="1" customWidth="1"/>
    <col min="7941" max="7941" width="17.1796875" style="114" customWidth="1"/>
    <col min="7942" max="7942" width="21.81640625" style="114" bestFit="1" customWidth="1"/>
    <col min="7943" max="7943" width="17.1796875" style="114" bestFit="1" customWidth="1"/>
    <col min="7944" max="7944" width="18.1796875" style="114" bestFit="1" customWidth="1"/>
    <col min="7945" max="7945" width="26.453125" style="114" customWidth="1"/>
    <col min="7946" max="8190" width="9.1796875" style="114"/>
    <col min="8191" max="8191" width="8.7265625" style="114" bestFit="1" customWidth="1"/>
    <col min="8192" max="8192" width="13.26953125" style="114" customWidth="1"/>
    <col min="8193" max="8193" width="16.1796875" style="114" bestFit="1" customWidth="1"/>
    <col min="8194" max="8194" width="23.54296875" style="114" customWidth="1"/>
    <col min="8195" max="8195" width="17.26953125" style="114" customWidth="1"/>
    <col min="8196" max="8196" width="20.54296875" style="114" bestFit="1" customWidth="1"/>
    <col min="8197" max="8197" width="17.1796875" style="114" customWidth="1"/>
    <col min="8198" max="8198" width="21.81640625" style="114" bestFit="1" customWidth="1"/>
    <col min="8199" max="8199" width="17.1796875" style="114" bestFit="1" customWidth="1"/>
    <col min="8200" max="8200" width="18.1796875" style="114" bestFit="1" customWidth="1"/>
    <col min="8201" max="8201" width="26.453125" style="114" customWidth="1"/>
    <col min="8202" max="8446" width="9.1796875" style="114"/>
    <col min="8447" max="8447" width="8.7265625" style="114" bestFit="1" customWidth="1"/>
    <col min="8448" max="8448" width="13.26953125" style="114" customWidth="1"/>
    <col min="8449" max="8449" width="16.1796875" style="114" bestFit="1" customWidth="1"/>
    <col min="8450" max="8450" width="23.54296875" style="114" customWidth="1"/>
    <col min="8451" max="8451" width="17.26953125" style="114" customWidth="1"/>
    <col min="8452" max="8452" width="20.54296875" style="114" bestFit="1" customWidth="1"/>
    <col min="8453" max="8453" width="17.1796875" style="114" customWidth="1"/>
    <col min="8454" max="8454" width="21.81640625" style="114" bestFit="1" customWidth="1"/>
    <col min="8455" max="8455" width="17.1796875" style="114" bestFit="1" customWidth="1"/>
    <col min="8456" max="8456" width="18.1796875" style="114" bestFit="1" customWidth="1"/>
    <col min="8457" max="8457" width="26.453125" style="114" customWidth="1"/>
    <col min="8458" max="8702" width="9.1796875" style="114"/>
    <col min="8703" max="8703" width="8.7265625" style="114" bestFit="1" customWidth="1"/>
    <col min="8704" max="8704" width="13.26953125" style="114" customWidth="1"/>
    <col min="8705" max="8705" width="16.1796875" style="114" bestFit="1" customWidth="1"/>
    <col min="8706" max="8706" width="23.54296875" style="114" customWidth="1"/>
    <col min="8707" max="8707" width="17.26953125" style="114" customWidth="1"/>
    <col min="8708" max="8708" width="20.54296875" style="114" bestFit="1" customWidth="1"/>
    <col min="8709" max="8709" width="17.1796875" style="114" customWidth="1"/>
    <col min="8710" max="8710" width="21.81640625" style="114" bestFit="1" customWidth="1"/>
    <col min="8711" max="8711" width="17.1796875" style="114" bestFit="1" customWidth="1"/>
    <col min="8712" max="8712" width="18.1796875" style="114" bestFit="1" customWidth="1"/>
    <col min="8713" max="8713" width="26.453125" style="114" customWidth="1"/>
    <col min="8714" max="8958" width="9.1796875" style="114"/>
    <col min="8959" max="8959" width="8.7265625" style="114" bestFit="1" customWidth="1"/>
    <col min="8960" max="8960" width="13.26953125" style="114" customWidth="1"/>
    <col min="8961" max="8961" width="16.1796875" style="114" bestFit="1" customWidth="1"/>
    <col min="8962" max="8962" width="23.54296875" style="114" customWidth="1"/>
    <col min="8963" max="8963" width="17.26953125" style="114" customWidth="1"/>
    <col min="8964" max="8964" width="20.54296875" style="114" bestFit="1" customWidth="1"/>
    <col min="8965" max="8965" width="17.1796875" style="114" customWidth="1"/>
    <col min="8966" max="8966" width="21.81640625" style="114" bestFit="1" customWidth="1"/>
    <col min="8967" max="8967" width="17.1796875" style="114" bestFit="1" customWidth="1"/>
    <col min="8968" max="8968" width="18.1796875" style="114" bestFit="1" customWidth="1"/>
    <col min="8969" max="8969" width="26.453125" style="114" customWidth="1"/>
    <col min="8970" max="9214" width="9.1796875" style="114"/>
    <col min="9215" max="9215" width="8.7265625" style="114" bestFit="1" customWidth="1"/>
    <col min="9216" max="9216" width="13.26953125" style="114" customWidth="1"/>
    <col min="9217" max="9217" width="16.1796875" style="114" bestFit="1" customWidth="1"/>
    <col min="9218" max="9218" width="23.54296875" style="114" customWidth="1"/>
    <col min="9219" max="9219" width="17.26953125" style="114" customWidth="1"/>
    <col min="9220" max="9220" width="20.54296875" style="114" bestFit="1" customWidth="1"/>
    <col min="9221" max="9221" width="17.1796875" style="114" customWidth="1"/>
    <col min="9222" max="9222" width="21.81640625" style="114" bestFit="1" customWidth="1"/>
    <col min="9223" max="9223" width="17.1796875" style="114" bestFit="1" customWidth="1"/>
    <col min="9224" max="9224" width="18.1796875" style="114" bestFit="1" customWidth="1"/>
    <col min="9225" max="9225" width="26.453125" style="114" customWidth="1"/>
    <col min="9226" max="9470" width="9.1796875" style="114"/>
    <col min="9471" max="9471" width="8.7265625" style="114" bestFit="1" customWidth="1"/>
    <col min="9472" max="9472" width="13.26953125" style="114" customWidth="1"/>
    <col min="9473" max="9473" width="16.1796875" style="114" bestFit="1" customWidth="1"/>
    <col min="9474" max="9474" width="23.54296875" style="114" customWidth="1"/>
    <col min="9475" max="9475" width="17.26953125" style="114" customWidth="1"/>
    <col min="9476" max="9476" width="20.54296875" style="114" bestFit="1" customWidth="1"/>
    <col min="9477" max="9477" width="17.1796875" style="114" customWidth="1"/>
    <col min="9478" max="9478" width="21.81640625" style="114" bestFit="1" customWidth="1"/>
    <col min="9479" max="9479" width="17.1796875" style="114" bestFit="1" customWidth="1"/>
    <col min="9480" max="9480" width="18.1796875" style="114" bestFit="1" customWidth="1"/>
    <col min="9481" max="9481" width="26.453125" style="114" customWidth="1"/>
    <col min="9482" max="9726" width="9.1796875" style="114"/>
    <col min="9727" max="9727" width="8.7265625" style="114" bestFit="1" customWidth="1"/>
    <col min="9728" max="9728" width="13.26953125" style="114" customWidth="1"/>
    <col min="9729" max="9729" width="16.1796875" style="114" bestFit="1" customWidth="1"/>
    <col min="9730" max="9730" width="23.54296875" style="114" customWidth="1"/>
    <col min="9731" max="9731" width="17.26953125" style="114" customWidth="1"/>
    <col min="9732" max="9732" width="20.54296875" style="114" bestFit="1" customWidth="1"/>
    <col min="9733" max="9733" width="17.1796875" style="114" customWidth="1"/>
    <col min="9734" max="9734" width="21.81640625" style="114" bestFit="1" customWidth="1"/>
    <col min="9735" max="9735" width="17.1796875" style="114" bestFit="1" customWidth="1"/>
    <col min="9736" max="9736" width="18.1796875" style="114" bestFit="1" customWidth="1"/>
    <col min="9737" max="9737" width="26.453125" style="114" customWidth="1"/>
    <col min="9738" max="9982" width="9.1796875" style="114"/>
    <col min="9983" max="9983" width="8.7265625" style="114" bestFit="1" customWidth="1"/>
    <col min="9984" max="9984" width="13.26953125" style="114" customWidth="1"/>
    <col min="9985" max="9985" width="16.1796875" style="114" bestFit="1" customWidth="1"/>
    <col min="9986" max="9986" width="23.54296875" style="114" customWidth="1"/>
    <col min="9987" max="9987" width="17.26953125" style="114" customWidth="1"/>
    <col min="9988" max="9988" width="20.54296875" style="114" bestFit="1" customWidth="1"/>
    <col min="9989" max="9989" width="17.1796875" style="114" customWidth="1"/>
    <col min="9990" max="9990" width="21.81640625" style="114" bestFit="1" customWidth="1"/>
    <col min="9991" max="9991" width="17.1796875" style="114" bestFit="1" customWidth="1"/>
    <col min="9992" max="9992" width="18.1796875" style="114" bestFit="1" customWidth="1"/>
    <col min="9993" max="9993" width="26.453125" style="114" customWidth="1"/>
    <col min="9994" max="10238" width="9.1796875" style="114"/>
    <col min="10239" max="10239" width="8.7265625" style="114" bestFit="1" customWidth="1"/>
    <col min="10240" max="10240" width="13.26953125" style="114" customWidth="1"/>
    <col min="10241" max="10241" width="16.1796875" style="114" bestFit="1" customWidth="1"/>
    <col min="10242" max="10242" width="23.54296875" style="114" customWidth="1"/>
    <col min="10243" max="10243" width="17.26953125" style="114" customWidth="1"/>
    <col min="10244" max="10244" width="20.54296875" style="114" bestFit="1" customWidth="1"/>
    <col min="10245" max="10245" width="17.1796875" style="114" customWidth="1"/>
    <col min="10246" max="10246" width="21.81640625" style="114" bestFit="1" customWidth="1"/>
    <col min="10247" max="10247" width="17.1796875" style="114" bestFit="1" customWidth="1"/>
    <col min="10248" max="10248" width="18.1796875" style="114" bestFit="1" customWidth="1"/>
    <col min="10249" max="10249" width="26.453125" style="114" customWidth="1"/>
    <col min="10250" max="10494" width="9.1796875" style="114"/>
    <col min="10495" max="10495" width="8.7265625" style="114" bestFit="1" customWidth="1"/>
    <col min="10496" max="10496" width="13.26953125" style="114" customWidth="1"/>
    <col min="10497" max="10497" width="16.1796875" style="114" bestFit="1" customWidth="1"/>
    <col min="10498" max="10498" width="23.54296875" style="114" customWidth="1"/>
    <col min="10499" max="10499" width="17.26953125" style="114" customWidth="1"/>
    <col min="10500" max="10500" width="20.54296875" style="114" bestFit="1" customWidth="1"/>
    <col min="10501" max="10501" width="17.1796875" style="114" customWidth="1"/>
    <col min="10502" max="10502" width="21.81640625" style="114" bestFit="1" customWidth="1"/>
    <col min="10503" max="10503" width="17.1796875" style="114" bestFit="1" customWidth="1"/>
    <col min="10504" max="10504" width="18.1796875" style="114" bestFit="1" customWidth="1"/>
    <col min="10505" max="10505" width="26.453125" style="114" customWidth="1"/>
    <col min="10506" max="10750" width="9.1796875" style="114"/>
    <col min="10751" max="10751" width="8.7265625" style="114" bestFit="1" customWidth="1"/>
    <col min="10752" max="10752" width="13.26953125" style="114" customWidth="1"/>
    <col min="10753" max="10753" width="16.1796875" style="114" bestFit="1" customWidth="1"/>
    <col min="10754" max="10754" width="23.54296875" style="114" customWidth="1"/>
    <col min="10755" max="10755" width="17.26953125" style="114" customWidth="1"/>
    <col min="10756" max="10756" width="20.54296875" style="114" bestFit="1" customWidth="1"/>
    <col min="10757" max="10757" width="17.1796875" style="114" customWidth="1"/>
    <col min="10758" max="10758" width="21.81640625" style="114" bestFit="1" customWidth="1"/>
    <col min="10759" max="10759" width="17.1796875" style="114" bestFit="1" customWidth="1"/>
    <col min="10760" max="10760" width="18.1796875" style="114" bestFit="1" customWidth="1"/>
    <col min="10761" max="10761" width="26.453125" style="114" customWidth="1"/>
    <col min="10762" max="11006" width="9.1796875" style="114"/>
    <col min="11007" max="11007" width="8.7265625" style="114" bestFit="1" customWidth="1"/>
    <col min="11008" max="11008" width="13.26953125" style="114" customWidth="1"/>
    <col min="11009" max="11009" width="16.1796875" style="114" bestFit="1" customWidth="1"/>
    <col min="11010" max="11010" width="23.54296875" style="114" customWidth="1"/>
    <col min="11011" max="11011" width="17.26953125" style="114" customWidth="1"/>
    <col min="11012" max="11012" width="20.54296875" style="114" bestFit="1" customWidth="1"/>
    <col min="11013" max="11013" width="17.1796875" style="114" customWidth="1"/>
    <col min="11014" max="11014" width="21.81640625" style="114" bestFit="1" customWidth="1"/>
    <col min="11015" max="11015" width="17.1796875" style="114" bestFit="1" customWidth="1"/>
    <col min="11016" max="11016" width="18.1796875" style="114" bestFit="1" customWidth="1"/>
    <col min="11017" max="11017" width="26.453125" style="114" customWidth="1"/>
    <col min="11018" max="11262" width="9.1796875" style="114"/>
    <col min="11263" max="11263" width="8.7265625" style="114" bestFit="1" customWidth="1"/>
    <col min="11264" max="11264" width="13.26953125" style="114" customWidth="1"/>
    <col min="11265" max="11265" width="16.1796875" style="114" bestFit="1" customWidth="1"/>
    <col min="11266" max="11266" width="23.54296875" style="114" customWidth="1"/>
    <col min="11267" max="11267" width="17.26953125" style="114" customWidth="1"/>
    <col min="11268" max="11268" width="20.54296875" style="114" bestFit="1" customWidth="1"/>
    <col min="11269" max="11269" width="17.1796875" style="114" customWidth="1"/>
    <col min="11270" max="11270" width="21.81640625" style="114" bestFit="1" customWidth="1"/>
    <col min="11271" max="11271" width="17.1796875" style="114" bestFit="1" customWidth="1"/>
    <col min="11272" max="11272" width="18.1796875" style="114" bestFit="1" customWidth="1"/>
    <col min="11273" max="11273" width="26.453125" style="114" customWidth="1"/>
    <col min="11274" max="11518" width="9.1796875" style="114"/>
    <col min="11519" max="11519" width="8.7265625" style="114" bestFit="1" customWidth="1"/>
    <col min="11520" max="11520" width="13.26953125" style="114" customWidth="1"/>
    <col min="11521" max="11521" width="16.1796875" style="114" bestFit="1" customWidth="1"/>
    <col min="11522" max="11522" width="23.54296875" style="114" customWidth="1"/>
    <col min="11523" max="11523" width="17.26953125" style="114" customWidth="1"/>
    <col min="11524" max="11524" width="20.54296875" style="114" bestFit="1" customWidth="1"/>
    <col min="11525" max="11525" width="17.1796875" style="114" customWidth="1"/>
    <col min="11526" max="11526" width="21.81640625" style="114" bestFit="1" customWidth="1"/>
    <col min="11527" max="11527" width="17.1796875" style="114" bestFit="1" customWidth="1"/>
    <col min="11528" max="11528" width="18.1796875" style="114" bestFit="1" customWidth="1"/>
    <col min="11529" max="11529" width="26.453125" style="114" customWidth="1"/>
    <col min="11530" max="11774" width="9.1796875" style="114"/>
    <col min="11775" max="11775" width="8.7265625" style="114" bestFit="1" customWidth="1"/>
    <col min="11776" max="11776" width="13.26953125" style="114" customWidth="1"/>
    <col min="11777" max="11777" width="16.1796875" style="114" bestFit="1" customWidth="1"/>
    <col min="11778" max="11778" width="23.54296875" style="114" customWidth="1"/>
    <col min="11779" max="11779" width="17.26953125" style="114" customWidth="1"/>
    <col min="11780" max="11780" width="20.54296875" style="114" bestFit="1" customWidth="1"/>
    <col min="11781" max="11781" width="17.1796875" style="114" customWidth="1"/>
    <col min="11782" max="11782" width="21.81640625" style="114" bestFit="1" customWidth="1"/>
    <col min="11783" max="11783" width="17.1796875" style="114" bestFit="1" customWidth="1"/>
    <col min="11784" max="11784" width="18.1796875" style="114" bestFit="1" customWidth="1"/>
    <col min="11785" max="11785" width="26.453125" style="114" customWidth="1"/>
    <col min="11786" max="12030" width="9.1796875" style="114"/>
    <col min="12031" max="12031" width="8.7265625" style="114" bestFit="1" customWidth="1"/>
    <col min="12032" max="12032" width="13.26953125" style="114" customWidth="1"/>
    <col min="12033" max="12033" width="16.1796875" style="114" bestFit="1" customWidth="1"/>
    <col min="12034" max="12034" width="23.54296875" style="114" customWidth="1"/>
    <col min="12035" max="12035" width="17.26953125" style="114" customWidth="1"/>
    <col min="12036" max="12036" width="20.54296875" style="114" bestFit="1" customWidth="1"/>
    <col min="12037" max="12037" width="17.1796875" style="114" customWidth="1"/>
    <col min="12038" max="12038" width="21.81640625" style="114" bestFit="1" customWidth="1"/>
    <col min="12039" max="12039" width="17.1796875" style="114" bestFit="1" customWidth="1"/>
    <col min="12040" max="12040" width="18.1796875" style="114" bestFit="1" customWidth="1"/>
    <col min="12041" max="12041" width="26.453125" style="114" customWidth="1"/>
    <col min="12042" max="12286" width="9.1796875" style="114"/>
    <col min="12287" max="12287" width="8.7265625" style="114" bestFit="1" customWidth="1"/>
    <col min="12288" max="12288" width="13.26953125" style="114" customWidth="1"/>
    <col min="12289" max="12289" width="16.1796875" style="114" bestFit="1" customWidth="1"/>
    <col min="12290" max="12290" width="23.54296875" style="114" customWidth="1"/>
    <col min="12291" max="12291" width="17.26953125" style="114" customWidth="1"/>
    <col min="12292" max="12292" width="20.54296875" style="114" bestFit="1" customWidth="1"/>
    <col min="12293" max="12293" width="17.1796875" style="114" customWidth="1"/>
    <col min="12294" max="12294" width="21.81640625" style="114" bestFit="1" customWidth="1"/>
    <col min="12295" max="12295" width="17.1796875" style="114" bestFit="1" customWidth="1"/>
    <col min="12296" max="12296" width="18.1796875" style="114" bestFit="1" customWidth="1"/>
    <col min="12297" max="12297" width="26.453125" style="114" customWidth="1"/>
    <col min="12298" max="12542" width="9.1796875" style="114"/>
    <col min="12543" max="12543" width="8.7265625" style="114" bestFit="1" customWidth="1"/>
    <col min="12544" max="12544" width="13.26953125" style="114" customWidth="1"/>
    <col min="12545" max="12545" width="16.1796875" style="114" bestFit="1" customWidth="1"/>
    <col min="12546" max="12546" width="23.54296875" style="114" customWidth="1"/>
    <col min="12547" max="12547" width="17.26953125" style="114" customWidth="1"/>
    <col min="12548" max="12548" width="20.54296875" style="114" bestFit="1" customWidth="1"/>
    <col min="12549" max="12549" width="17.1796875" style="114" customWidth="1"/>
    <col min="12550" max="12550" width="21.81640625" style="114" bestFit="1" customWidth="1"/>
    <col min="12551" max="12551" width="17.1796875" style="114" bestFit="1" customWidth="1"/>
    <col min="12552" max="12552" width="18.1796875" style="114" bestFit="1" customWidth="1"/>
    <col min="12553" max="12553" width="26.453125" style="114" customWidth="1"/>
    <col min="12554" max="12798" width="9.1796875" style="114"/>
    <col min="12799" max="12799" width="8.7265625" style="114" bestFit="1" customWidth="1"/>
    <col min="12800" max="12800" width="13.26953125" style="114" customWidth="1"/>
    <col min="12801" max="12801" width="16.1796875" style="114" bestFit="1" customWidth="1"/>
    <col min="12802" max="12802" width="23.54296875" style="114" customWidth="1"/>
    <col min="12803" max="12803" width="17.26953125" style="114" customWidth="1"/>
    <col min="12804" max="12804" width="20.54296875" style="114" bestFit="1" customWidth="1"/>
    <col min="12805" max="12805" width="17.1796875" style="114" customWidth="1"/>
    <col min="12806" max="12806" width="21.81640625" style="114" bestFit="1" customWidth="1"/>
    <col min="12807" max="12807" width="17.1796875" style="114" bestFit="1" customWidth="1"/>
    <col min="12808" max="12808" width="18.1796875" style="114" bestFit="1" customWidth="1"/>
    <col min="12809" max="12809" width="26.453125" style="114" customWidth="1"/>
    <col min="12810" max="13054" width="9.1796875" style="114"/>
    <col min="13055" max="13055" width="8.7265625" style="114" bestFit="1" customWidth="1"/>
    <col min="13056" max="13056" width="13.26953125" style="114" customWidth="1"/>
    <col min="13057" max="13057" width="16.1796875" style="114" bestFit="1" customWidth="1"/>
    <col min="13058" max="13058" width="23.54296875" style="114" customWidth="1"/>
    <col min="13059" max="13059" width="17.26953125" style="114" customWidth="1"/>
    <col min="13060" max="13060" width="20.54296875" style="114" bestFit="1" customWidth="1"/>
    <col min="13061" max="13061" width="17.1796875" style="114" customWidth="1"/>
    <col min="13062" max="13062" width="21.81640625" style="114" bestFit="1" customWidth="1"/>
    <col min="13063" max="13063" width="17.1796875" style="114" bestFit="1" customWidth="1"/>
    <col min="13064" max="13064" width="18.1796875" style="114" bestFit="1" customWidth="1"/>
    <col min="13065" max="13065" width="26.453125" style="114" customWidth="1"/>
    <col min="13066" max="13310" width="9.1796875" style="114"/>
    <col min="13311" max="13311" width="8.7265625" style="114" bestFit="1" customWidth="1"/>
    <col min="13312" max="13312" width="13.26953125" style="114" customWidth="1"/>
    <col min="13313" max="13313" width="16.1796875" style="114" bestFit="1" customWidth="1"/>
    <col min="13314" max="13314" width="23.54296875" style="114" customWidth="1"/>
    <col min="13315" max="13315" width="17.26953125" style="114" customWidth="1"/>
    <col min="13316" max="13316" width="20.54296875" style="114" bestFit="1" customWidth="1"/>
    <col min="13317" max="13317" width="17.1796875" style="114" customWidth="1"/>
    <col min="13318" max="13318" width="21.81640625" style="114" bestFit="1" customWidth="1"/>
    <col min="13319" max="13319" width="17.1796875" style="114" bestFit="1" customWidth="1"/>
    <col min="13320" max="13320" width="18.1796875" style="114" bestFit="1" customWidth="1"/>
    <col min="13321" max="13321" width="26.453125" style="114" customWidth="1"/>
    <col min="13322" max="13566" width="9.1796875" style="114"/>
    <col min="13567" max="13567" width="8.7265625" style="114" bestFit="1" customWidth="1"/>
    <col min="13568" max="13568" width="13.26953125" style="114" customWidth="1"/>
    <col min="13569" max="13569" width="16.1796875" style="114" bestFit="1" customWidth="1"/>
    <col min="13570" max="13570" width="23.54296875" style="114" customWidth="1"/>
    <col min="13571" max="13571" width="17.26953125" style="114" customWidth="1"/>
    <col min="13572" max="13572" width="20.54296875" style="114" bestFit="1" customWidth="1"/>
    <col min="13573" max="13573" width="17.1796875" style="114" customWidth="1"/>
    <col min="13574" max="13574" width="21.81640625" style="114" bestFit="1" customWidth="1"/>
    <col min="13575" max="13575" width="17.1796875" style="114" bestFit="1" customWidth="1"/>
    <col min="13576" max="13576" width="18.1796875" style="114" bestFit="1" customWidth="1"/>
    <col min="13577" max="13577" width="26.453125" style="114" customWidth="1"/>
    <col min="13578" max="13822" width="9.1796875" style="114"/>
    <col min="13823" max="13823" width="8.7265625" style="114" bestFit="1" customWidth="1"/>
    <col min="13824" max="13824" width="13.26953125" style="114" customWidth="1"/>
    <col min="13825" max="13825" width="16.1796875" style="114" bestFit="1" customWidth="1"/>
    <col min="13826" max="13826" width="23.54296875" style="114" customWidth="1"/>
    <col min="13827" max="13827" width="17.26953125" style="114" customWidth="1"/>
    <col min="13828" max="13828" width="20.54296875" style="114" bestFit="1" customWidth="1"/>
    <col min="13829" max="13829" width="17.1796875" style="114" customWidth="1"/>
    <col min="13830" max="13830" width="21.81640625" style="114" bestFit="1" customWidth="1"/>
    <col min="13831" max="13831" width="17.1796875" style="114" bestFit="1" customWidth="1"/>
    <col min="13832" max="13832" width="18.1796875" style="114" bestFit="1" customWidth="1"/>
    <col min="13833" max="13833" width="26.453125" style="114" customWidth="1"/>
    <col min="13834" max="14078" width="9.1796875" style="114"/>
    <col min="14079" max="14079" width="8.7265625" style="114" bestFit="1" customWidth="1"/>
    <col min="14080" max="14080" width="13.26953125" style="114" customWidth="1"/>
    <col min="14081" max="14081" width="16.1796875" style="114" bestFit="1" customWidth="1"/>
    <col min="14082" max="14082" width="23.54296875" style="114" customWidth="1"/>
    <col min="14083" max="14083" width="17.26953125" style="114" customWidth="1"/>
    <col min="14084" max="14084" width="20.54296875" style="114" bestFit="1" customWidth="1"/>
    <col min="14085" max="14085" width="17.1796875" style="114" customWidth="1"/>
    <col min="14086" max="14086" width="21.81640625" style="114" bestFit="1" customWidth="1"/>
    <col min="14087" max="14087" width="17.1796875" style="114" bestFit="1" customWidth="1"/>
    <col min="14088" max="14088" width="18.1796875" style="114" bestFit="1" customWidth="1"/>
    <col min="14089" max="14089" width="26.453125" style="114" customWidth="1"/>
    <col min="14090" max="14334" width="9.1796875" style="114"/>
    <col min="14335" max="14335" width="8.7265625" style="114" bestFit="1" customWidth="1"/>
    <col min="14336" max="14336" width="13.26953125" style="114" customWidth="1"/>
    <col min="14337" max="14337" width="16.1796875" style="114" bestFit="1" customWidth="1"/>
    <col min="14338" max="14338" width="23.54296875" style="114" customWidth="1"/>
    <col min="14339" max="14339" width="17.26953125" style="114" customWidth="1"/>
    <col min="14340" max="14340" width="20.54296875" style="114" bestFit="1" customWidth="1"/>
    <col min="14341" max="14341" width="17.1796875" style="114" customWidth="1"/>
    <col min="14342" max="14342" width="21.81640625" style="114" bestFit="1" customWidth="1"/>
    <col min="14343" max="14343" width="17.1796875" style="114" bestFit="1" customWidth="1"/>
    <col min="14344" max="14344" width="18.1796875" style="114" bestFit="1" customWidth="1"/>
    <col min="14345" max="14345" width="26.453125" style="114" customWidth="1"/>
    <col min="14346" max="14590" width="9.1796875" style="114"/>
    <col min="14591" max="14591" width="8.7265625" style="114" bestFit="1" customWidth="1"/>
    <col min="14592" max="14592" width="13.26953125" style="114" customWidth="1"/>
    <col min="14593" max="14593" width="16.1796875" style="114" bestFit="1" customWidth="1"/>
    <col min="14594" max="14594" width="23.54296875" style="114" customWidth="1"/>
    <col min="14595" max="14595" width="17.26953125" style="114" customWidth="1"/>
    <col min="14596" max="14596" width="20.54296875" style="114" bestFit="1" customWidth="1"/>
    <col min="14597" max="14597" width="17.1796875" style="114" customWidth="1"/>
    <col min="14598" max="14598" width="21.81640625" style="114" bestFit="1" customWidth="1"/>
    <col min="14599" max="14599" width="17.1796875" style="114" bestFit="1" customWidth="1"/>
    <col min="14600" max="14600" width="18.1796875" style="114" bestFit="1" customWidth="1"/>
    <col min="14601" max="14601" width="26.453125" style="114" customWidth="1"/>
    <col min="14602" max="14846" width="9.1796875" style="114"/>
    <col min="14847" max="14847" width="8.7265625" style="114" bestFit="1" customWidth="1"/>
    <col min="14848" max="14848" width="13.26953125" style="114" customWidth="1"/>
    <col min="14849" max="14849" width="16.1796875" style="114" bestFit="1" customWidth="1"/>
    <col min="14850" max="14850" width="23.54296875" style="114" customWidth="1"/>
    <col min="14851" max="14851" width="17.26953125" style="114" customWidth="1"/>
    <col min="14852" max="14852" width="20.54296875" style="114" bestFit="1" customWidth="1"/>
    <col min="14853" max="14853" width="17.1796875" style="114" customWidth="1"/>
    <col min="14854" max="14854" width="21.81640625" style="114" bestFit="1" customWidth="1"/>
    <col min="14855" max="14855" width="17.1796875" style="114" bestFit="1" customWidth="1"/>
    <col min="14856" max="14856" width="18.1796875" style="114" bestFit="1" customWidth="1"/>
    <col min="14857" max="14857" width="26.453125" style="114" customWidth="1"/>
    <col min="14858" max="15102" width="9.1796875" style="114"/>
    <col min="15103" max="15103" width="8.7265625" style="114" bestFit="1" customWidth="1"/>
    <col min="15104" max="15104" width="13.26953125" style="114" customWidth="1"/>
    <col min="15105" max="15105" width="16.1796875" style="114" bestFit="1" customWidth="1"/>
    <col min="15106" max="15106" width="23.54296875" style="114" customWidth="1"/>
    <col min="15107" max="15107" width="17.26953125" style="114" customWidth="1"/>
    <col min="15108" max="15108" width="20.54296875" style="114" bestFit="1" customWidth="1"/>
    <col min="15109" max="15109" width="17.1796875" style="114" customWidth="1"/>
    <col min="15110" max="15110" width="21.81640625" style="114" bestFit="1" customWidth="1"/>
    <col min="15111" max="15111" width="17.1796875" style="114" bestFit="1" customWidth="1"/>
    <col min="15112" max="15112" width="18.1796875" style="114" bestFit="1" customWidth="1"/>
    <col min="15113" max="15113" width="26.453125" style="114" customWidth="1"/>
    <col min="15114" max="15358" width="9.1796875" style="114"/>
    <col min="15359" max="15359" width="8.7265625" style="114" bestFit="1" customWidth="1"/>
    <col min="15360" max="15360" width="13.26953125" style="114" customWidth="1"/>
    <col min="15361" max="15361" width="16.1796875" style="114" bestFit="1" customWidth="1"/>
    <col min="15362" max="15362" width="23.54296875" style="114" customWidth="1"/>
    <col min="15363" max="15363" width="17.26953125" style="114" customWidth="1"/>
    <col min="15364" max="15364" width="20.54296875" style="114" bestFit="1" customWidth="1"/>
    <col min="15365" max="15365" width="17.1796875" style="114" customWidth="1"/>
    <col min="15366" max="15366" width="21.81640625" style="114" bestFit="1" customWidth="1"/>
    <col min="15367" max="15367" width="17.1796875" style="114" bestFit="1" customWidth="1"/>
    <col min="15368" max="15368" width="18.1796875" style="114" bestFit="1" customWidth="1"/>
    <col min="15369" max="15369" width="26.453125" style="114" customWidth="1"/>
    <col min="15370" max="15614" width="9.1796875" style="114"/>
    <col min="15615" max="15615" width="8.7265625" style="114" bestFit="1" customWidth="1"/>
    <col min="15616" max="15616" width="13.26953125" style="114" customWidth="1"/>
    <col min="15617" max="15617" width="16.1796875" style="114" bestFit="1" customWidth="1"/>
    <col min="15618" max="15618" width="23.54296875" style="114" customWidth="1"/>
    <col min="15619" max="15619" width="17.26953125" style="114" customWidth="1"/>
    <col min="15620" max="15620" width="20.54296875" style="114" bestFit="1" customWidth="1"/>
    <col min="15621" max="15621" width="17.1796875" style="114" customWidth="1"/>
    <col min="15622" max="15622" width="21.81640625" style="114" bestFit="1" customWidth="1"/>
    <col min="15623" max="15623" width="17.1796875" style="114" bestFit="1" customWidth="1"/>
    <col min="15624" max="15624" width="18.1796875" style="114" bestFit="1" customWidth="1"/>
    <col min="15625" max="15625" width="26.453125" style="114" customWidth="1"/>
    <col min="15626" max="15870" width="9.1796875" style="114"/>
    <col min="15871" max="15871" width="8.7265625" style="114" bestFit="1" customWidth="1"/>
    <col min="15872" max="15872" width="13.26953125" style="114" customWidth="1"/>
    <col min="15873" max="15873" width="16.1796875" style="114" bestFit="1" customWidth="1"/>
    <col min="15874" max="15874" width="23.54296875" style="114" customWidth="1"/>
    <col min="15875" max="15875" width="17.26953125" style="114" customWidth="1"/>
    <col min="15876" max="15876" width="20.54296875" style="114" bestFit="1" customWidth="1"/>
    <col min="15877" max="15877" width="17.1796875" style="114" customWidth="1"/>
    <col min="15878" max="15878" width="21.81640625" style="114" bestFit="1" customWidth="1"/>
    <col min="15879" max="15879" width="17.1796875" style="114" bestFit="1" customWidth="1"/>
    <col min="15880" max="15880" width="18.1796875" style="114" bestFit="1" customWidth="1"/>
    <col min="15881" max="15881" width="26.453125" style="114" customWidth="1"/>
    <col min="15882" max="16126" width="9.1796875" style="114"/>
    <col min="16127" max="16127" width="8.7265625" style="114" bestFit="1" customWidth="1"/>
    <col min="16128" max="16128" width="13.26953125" style="114" customWidth="1"/>
    <col min="16129" max="16129" width="16.1796875" style="114" bestFit="1" customWidth="1"/>
    <col min="16130" max="16130" width="23.54296875" style="114" customWidth="1"/>
    <col min="16131" max="16131" width="17.26953125" style="114" customWidth="1"/>
    <col min="16132" max="16132" width="20.54296875" style="114" bestFit="1" customWidth="1"/>
    <col min="16133" max="16133" width="17.1796875" style="114" customWidth="1"/>
    <col min="16134" max="16134" width="21.81640625" style="114" bestFit="1" customWidth="1"/>
    <col min="16135" max="16135" width="17.1796875" style="114" bestFit="1" customWidth="1"/>
    <col min="16136" max="16136" width="18.1796875" style="114" bestFit="1" customWidth="1"/>
    <col min="16137" max="16137" width="26.453125" style="114" customWidth="1"/>
    <col min="16138" max="16384" width="9.1796875" style="114"/>
  </cols>
  <sheetData>
    <row r="1" spans="11:12" s="131" customFormat="1">
      <c r="K1" s="470"/>
      <c r="L1" s="469"/>
    </row>
    <row r="2" spans="11:12" s="131" customFormat="1">
      <c r="K2" s="470"/>
      <c r="L2" s="469"/>
    </row>
    <row r="3" spans="11:12" s="131" customFormat="1">
      <c r="K3" s="470"/>
      <c r="L3" s="469"/>
    </row>
    <row r="4" spans="11:12" s="131" customFormat="1">
      <c r="K4" s="470"/>
      <c r="L4" s="469"/>
    </row>
    <row r="5" spans="11:12" s="131" customFormat="1">
      <c r="K5" s="470"/>
      <c r="L5" s="469"/>
    </row>
    <row r="6" spans="11:12" s="131" customFormat="1">
      <c r="K6" s="470"/>
      <c r="L6" s="469"/>
    </row>
    <row r="7" spans="11:12" s="131" customFormat="1">
      <c r="K7" s="470"/>
      <c r="L7" s="469"/>
    </row>
    <row r="8" spans="11:12" s="131" customFormat="1">
      <c r="K8" s="470"/>
      <c r="L8" s="469"/>
    </row>
    <row r="9" spans="11:12" s="131" customFormat="1">
      <c r="K9" s="470"/>
      <c r="L9" s="469"/>
    </row>
    <row r="10" spans="11:12" s="131" customFormat="1">
      <c r="K10" s="470"/>
      <c r="L10" s="469"/>
    </row>
    <row r="11" spans="11:12" s="131" customFormat="1">
      <c r="K11" s="470"/>
      <c r="L11" s="469"/>
    </row>
    <row r="12" spans="11:12" s="131" customFormat="1">
      <c r="K12" s="470"/>
      <c r="L12" s="469"/>
    </row>
    <row r="13" spans="11:12" s="131" customFormat="1">
      <c r="K13" s="470"/>
      <c r="L13" s="469"/>
    </row>
    <row r="14" spans="11:12" s="131" customFormat="1">
      <c r="K14" s="470"/>
      <c r="L14" s="469"/>
    </row>
    <row r="15" spans="11:12" s="131" customFormat="1">
      <c r="K15" s="470"/>
      <c r="L15" s="469"/>
    </row>
    <row r="16" spans="11:12" s="131" customFormat="1">
      <c r="K16" s="470"/>
      <c r="L16" s="469"/>
    </row>
    <row r="17" spans="1:17" s="131" customFormat="1">
      <c r="K17" s="470"/>
      <c r="L17" s="469"/>
    </row>
    <row r="18" spans="1:17" s="131" customFormat="1">
      <c r="K18" s="470"/>
      <c r="L18" s="469"/>
    </row>
    <row r="19" spans="1:17" s="131" customFormat="1">
      <c r="K19" s="470"/>
      <c r="L19" s="469"/>
    </row>
    <row r="20" spans="1:17" s="131" customFormat="1">
      <c r="K20" s="470"/>
      <c r="L20" s="469"/>
    </row>
    <row r="21" spans="1:17" s="131" customFormat="1">
      <c r="K21" s="470"/>
      <c r="L21" s="469"/>
    </row>
    <row r="22" spans="1:17" s="131" customFormat="1">
      <c r="K22" s="470"/>
      <c r="L22" s="469"/>
    </row>
    <row r="23" spans="1:17" s="131" customFormat="1">
      <c r="K23" s="470"/>
      <c r="L23" s="469"/>
    </row>
    <row r="24" spans="1:17" s="131" customFormat="1">
      <c r="K24" s="470"/>
      <c r="L24" s="469"/>
    </row>
    <row r="25" spans="1:17" s="131" customFormat="1">
      <c r="K25" s="470"/>
      <c r="L25" s="469"/>
    </row>
    <row r="26" spans="1:17" s="131" customFormat="1">
      <c r="K26" s="470"/>
      <c r="L26" s="469"/>
    </row>
    <row r="27" spans="1:17" s="131" customFormat="1">
      <c r="K27" s="470"/>
      <c r="L27" s="469"/>
    </row>
    <row r="28" spans="1:17" s="131" customFormat="1" ht="24.75" customHeight="1">
      <c r="A28" s="496" t="str">
        <f>CHOOSE(MODE, 'Variable Mgmt'!K11,'Variable Mgmt'!K12)</f>
        <v>SINGLE Output PSR Flyback Converter, VIN = 28 V, VOUT = 28 V, IOUT = 2.5 A</v>
      </c>
      <c r="K28" s="469"/>
      <c r="L28" s="469"/>
    </row>
    <row r="29" spans="1:17" ht="24.75" customHeight="1" thickBot="1">
      <c r="A29" s="115" t="s">
        <v>937</v>
      </c>
    </row>
    <row r="30" spans="1:17" ht="18" customHeight="1">
      <c r="A30" s="202" t="s">
        <v>123</v>
      </c>
      <c r="B30" s="203" t="s">
        <v>122</v>
      </c>
      <c r="C30" s="203" t="s">
        <v>6</v>
      </c>
      <c r="D30" s="962" t="s">
        <v>41</v>
      </c>
      <c r="E30" s="963"/>
      <c r="F30" s="964"/>
      <c r="G30" s="203" t="s">
        <v>116</v>
      </c>
      <c r="H30" s="203" t="s">
        <v>67</v>
      </c>
      <c r="I30" s="488" t="s">
        <v>117</v>
      </c>
      <c r="J30" s="489" t="s">
        <v>346</v>
      </c>
      <c r="K30" s="490" t="s">
        <v>354</v>
      </c>
      <c r="L30" s="463"/>
      <c r="N30" s="117"/>
      <c r="Q30" s="495"/>
    </row>
    <row r="31" spans="1:17" s="117" customFormat="1" ht="17.149999999999999" customHeight="1">
      <c r="A31" s="116">
        <f>ROUNDUP('Design Converter'!E30/10,0)</f>
        <v>10</v>
      </c>
      <c r="B31" s="127" t="s">
        <v>120</v>
      </c>
      <c r="C31" s="130">
        <f>Cin</f>
        <v>100</v>
      </c>
      <c r="D31" s="954" t="str">
        <f>IF(VIN_max&gt;35, "Capacitor, Ceramic, "&amp;'Variable Mgmt'!B234&amp;", 100V, X7R, 10%", "Capacitor, Ceramic, "&amp;'Variable Mgmt'!B234&amp;", 50V, X7R, 10%")</f>
        <v>Capacitor, Ceramic, 100µF, 100V, X7R, 10%</v>
      </c>
      <c r="E31" s="955"/>
      <c r="F31" s="955"/>
      <c r="G31" s="128"/>
      <c r="H31" s="129" t="s">
        <v>118</v>
      </c>
      <c r="I31" s="475" t="s">
        <v>118</v>
      </c>
      <c r="J31" s="484" t="str">
        <f>CHOOSE(Q31,'Variable Mgmt'!T62,'Variable Mgmt'!T63,'Variable Mgmt'!T64,'Variable Mgmt'!T65,'Variable Mgmt'!T66)</f>
        <v>1.0 x 0.5</v>
      </c>
      <c r="K31" s="482">
        <f>CHOOSE(Q31,'Variable Mgmt'!U62,'Variable Mgmt'!U63,'Variable Mgmt'!U64,'Variable Mgmt'!U65,'Variable Mgmt'!U66)</f>
        <v>0.5</v>
      </c>
      <c r="L31" s="487"/>
      <c r="Q31" s="493">
        <v>1</v>
      </c>
    </row>
    <row r="32" spans="1:17" s="117" customFormat="1" ht="17.149999999999999" customHeight="1">
      <c r="A32" s="116">
        <v>1</v>
      </c>
      <c r="B32" s="127" t="s">
        <v>121</v>
      </c>
      <c r="C32" s="130">
        <f>Cout</f>
        <v>110</v>
      </c>
      <c r="D32" s="967" t="str">
        <f>CHOOSE(Cout_Voltage_Rating, "Capacitor, Ceramic, "&amp;'Variable Mgmt'!B229&amp;", 6.3V, X7R, 10%", "Capacitor, Ceramic, "&amp;'Variable Mgmt'!B229&amp;", 10V, X7R, 10%", "Capacitor, Ceramic, "&amp;'Variable Mgmt'!B229&amp;", 16V, X7R, 10%", "Capacitor, Ceramic, "&amp;'Variable Mgmt'!B229&amp;", 25V, X7R, 10%",  "Capacitor, Ceramic, "&amp;'Variable Mgmt'!B229&amp;", 50V, X7R, 10%")</f>
        <v>Capacitor, Ceramic, 110µF, 50V, X7R, 10%</v>
      </c>
      <c r="E32" s="968"/>
      <c r="F32" s="968"/>
      <c r="G32" s="128"/>
      <c r="H32" s="129" t="s">
        <v>118</v>
      </c>
      <c r="I32" s="475" t="s">
        <v>118</v>
      </c>
      <c r="J32" s="484" t="str">
        <f>CHOOSE(Q32,'Variable Mgmt'!T62,'Variable Mgmt'!T63,'Variable Mgmt'!T64,'Variable Mgmt'!T65,'Variable Mgmt'!T66)</f>
        <v>3.2 x 2.5</v>
      </c>
      <c r="K32" s="482">
        <f>CHOOSE(Q32,'Variable Mgmt'!U62,'Variable Mgmt'!U63,'Variable Mgmt'!U64,'Variable Mgmt'!U65,'Variable Mgmt'!U66)</f>
        <v>8</v>
      </c>
      <c r="L32" s="487"/>
      <c r="Q32" s="493">
        <v>5</v>
      </c>
    </row>
    <row r="33" spans="1:17" s="117" customFormat="1" ht="17.149999999999999" customHeight="1">
      <c r="A33" s="116" t="str">
        <f>CHOOSE(MODE, "-", "1")</f>
        <v>-</v>
      </c>
      <c r="B33" s="127" t="s">
        <v>625</v>
      </c>
      <c r="C33" s="130" t="str">
        <f>CHOOSE(MODE, "-", Cout2)</f>
        <v>-</v>
      </c>
      <c r="D33" s="598" t="str">
        <f>CHOOSE(MODE, "-", CHOOSE(Cout_Voltage_Rating, "Capacitor, Ceramic, "&amp;'Variable Mgmt'!F229&amp;", 6.3V, X7R, 10%", "Capacitor, Ceramic, "&amp;'Variable Mgmt'!F229&amp;", 10V, X7R, 10%", "Capacitor, Ceramic, "&amp;'Variable Mgmt'!F229&amp;", 16V, X7R, 10%", "Capacitor, Ceramic, "&amp;'Variable Mgmt'!F229&amp;", 25V, X7R, 10%",  "Capacitor, Ceramic, "&amp;'Variable Mgmt'!F229&amp;", 50V, X7R, 10%"))</f>
        <v>-</v>
      </c>
      <c r="E33" s="599"/>
      <c r="F33" s="599"/>
      <c r="G33" s="128"/>
      <c r="H33" s="129" t="str">
        <f>CHOOSE(MODE, "-", "Std")</f>
        <v>-</v>
      </c>
      <c r="I33" s="475" t="str">
        <f>CHOOSE(MODE, "-", "Std")</f>
        <v>-</v>
      </c>
      <c r="J33" s="484" t="str">
        <f>CHOOSE(MODE, "-", CHOOSE(Q33,'Variable Mgmt'!T62,'Variable Mgmt'!T63,'Variable Mgmt'!T64,'Variable Mgmt'!T65,'Variable Mgmt'!T66))</f>
        <v>-</v>
      </c>
      <c r="K33" s="482" t="str">
        <f>CHOOSE(MODE, "-", CHOOSE(Q33,'Variable Mgmt'!U62,'Variable Mgmt'!U63,'Variable Mgmt'!U64,'Variable Mgmt'!U65,'Variable Mgmt'!U66))</f>
        <v>-</v>
      </c>
      <c r="L33" s="487"/>
      <c r="Q33" s="493">
        <v>5</v>
      </c>
    </row>
    <row r="34" spans="1:17" s="117" customFormat="1" ht="17.149999999999999" customHeight="1">
      <c r="A34" s="118" t="str">
        <f>CHOOSE(MODE_SS, "1", "-", "1")</f>
        <v>-</v>
      </c>
      <c r="B34" s="119" t="str">
        <f>CHOOSE(MODE_SS, "Css", "-")</f>
        <v>-</v>
      </c>
      <c r="C34" s="620" t="str">
        <f>CHOOSE(MODE_SS, 'Standard Value Calculator'!B4*1000000000&amp;"nF", "-", "100k")</f>
        <v>-</v>
      </c>
      <c r="D34" s="969" t="str">
        <f>CHOOSE(MODE_SS, "Capacitor, Ceramic, "&amp;'Standard Value Calculator'!B4*1000000000&amp;"nF"&amp;", 16V, X7R, 10%", "-")</f>
        <v>-</v>
      </c>
      <c r="E34" s="970"/>
      <c r="F34" s="970"/>
      <c r="G34" s="120"/>
      <c r="H34" s="121" t="str">
        <f>CHOOSE(MODE_SS, "Std", "-")</f>
        <v>-</v>
      </c>
      <c r="I34" s="476" t="str">
        <f>CHOOSE(MODE_SS, "Std", "-")</f>
        <v>-</v>
      </c>
      <c r="J34" s="484" t="str">
        <f>CHOOSE(MODE_SS,CHOOSE(Q34,'Variable Mgmt'!T62,'Variable Mgmt'!T63,'Variable Mgmt'!T64),"-",CHOOSE(Q34,'Variable Mgmt'!T62,'Variable Mgmt'!T63,'Variable Mgmt'!T64))</f>
        <v>-</v>
      </c>
      <c r="K34" s="482" t="str">
        <f>CHOOSE(MODE_SS, CHOOSE(Q34,'Variable Mgmt'!U62,'Variable Mgmt'!U63,'Variable Mgmt'!U64), "-", CHOOSE(Q34,'Variable Mgmt'!U62,'Variable Mgmt'!U63,'Variable Mgmt'!U64))</f>
        <v>-</v>
      </c>
      <c r="L34" s="487"/>
      <c r="Q34" s="493">
        <v>5</v>
      </c>
    </row>
    <row r="35" spans="1:17" s="117" customFormat="1" ht="17.149999999999999" customHeight="1">
      <c r="A35" s="118">
        <v>1</v>
      </c>
      <c r="B35" s="119" t="s">
        <v>929</v>
      </c>
      <c r="C35" s="620" t="str">
        <f>'Design Converter'!E62&amp;"nF"</f>
        <v>10nF</v>
      </c>
      <c r="D35" s="900" t="str">
        <f>"Capacitor, Ceramic, "&amp;C35&amp;", 16V, X7R, 10%"</f>
        <v>Capacitor, Ceramic, 10nF, 16V, X7R, 10%</v>
      </c>
      <c r="E35" s="901"/>
      <c r="F35" s="901"/>
      <c r="G35" s="128"/>
      <c r="H35" s="129" t="str">
        <f>CHOOSE(MODE, "-", "Std")</f>
        <v>-</v>
      </c>
      <c r="I35" s="475" t="str">
        <f>CHOOSE(MODE, "-", "Std")</f>
        <v>-</v>
      </c>
      <c r="J35" s="484" t="str">
        <f>CHOOSE(Q35,'Variable Mgmt'!T62,'Variable Mgmt'!T63,'Variable Mgmt'!T64,'Variable Mgmt'!T65,'Variable Mgmt'!T66)</f>
        <v>2.0 x 1.25</v>
      </c>
      <c r="K35" s="482">
        <f>CHOOSE(Q35,'Variable Mgmt'!U62,'Variable Mgmt'!U63,'Variable Mgmt'!U64,'Variable Mgmt'!U65,'Variable Mgmt'!U66)</f>
        <v>2.5</v>
      </c>
      <c r="L35" s="487"/>
      <c r="Q35" s="493">
        <v>3</v>
      </c>
    </row>
    <row r="36" spans="1:17" s="117" customFormat="1" ht="17.149999999999999" customHeight="1">
      <c r="A36" s="118">
        <v>1</v>
      </c>
      <c r="B36" s="119" t="s">
        <v>930</v>
      </c>
      <c r="C36" s="620" t="str">
        <f>'Design Converter'!E64&amp;"pF"</f>
        <v>150pF</v>
      </c>
      <c r="D36" s="900" t="str">
        <f>"Capacitor, Ceramic, "&amp;C36&amp;", 50V, X7R, 10%"</f>
        <v>Capacitor, Ceramic, 150pF, 50V, X7R, 10%</v>
      </c>
      <c r="E36" s="901"/>
      <c r="F36" s="901"/>
      <c r="G36" s="128"/>
      <c r="H36" s="129" t="str">
        <f>CHOOSE(MODE, "-", "Std")</f>
        <v>-</v>
      </c>
      <c r="I36" s="475" t="str">
        <f>CHOOSE(MODE, "-", "Std")</f>
        <v>-</v>
      </c>
      <c r="J36" s="484" t="str">
        <f>CHOOSE(Q36,'Variable Mgmt'!T62,'Variable Mgmt'!T63,'Variable Mgmt'!T64,'Variable Mgmt'!T65,'Variable Mgmt'!T66)</f>
        <v>3.2 x 1.6</v>
      </c>
      <c r="K36" s="482">
        <f>CHOOSE(Q36,'Variable Mgmt'!U62,'Variable Mgmt'!U63,'Variable Mgmt'!U64,'Variable Mgmt'!U65,'Variable Mgmt'!U66)</f>
        <v>5.0999999999999996</v>
      </c>
      <c r="L36" s="487"/>
      <c r="Q36" s="493">
        <v>4</v>
      </c>
    </row>
    <row r="37" spans="1:17" s="117" customFormat="1" ht="17.149999999999999" customHeight="1">
      <c r="A37" s="118">
        <v>1</v>
      </c>
      <c r="B37" s="119" t="s">
        <v>927</v>
      </c>
      <c r="C37" s="130">
        <v>1</v>
      </c>
      <c r="D37" s="967" t="s">
        <v>928</v>
      </c>
      <c r="E37" s="968"/>
      <c r="F37" s="968"/>
      <c r="G37" s="128"/>
      <c r="H37" s="129" t="s">
        <v>118</v>
      </c>
      <c r="I37" s="475" t="s">
        <v>118</v>
      </c>
      <c r="J37" s="484" t="str">
        <f>CHOOSE(Q37,'Variable Mgmt'!T62,'Variable Mgmt'!T63,'Variable Mgmt'!T64,'Variable Mgmt'!T65,'Variable Mgmt'!T66)</f>
        <v>1.6 x 0.8</v>
      </c>
      <c r="K37" s="482">
        <f>CHOOSE(Q37,'Variable Mgmt'!U62,'Variable Mgmt'!U63,'Variable Mgmt'!U64,'Variable Mgmt'!U65,'Variable Mgmt'!U66)</f>
        <v>1.3</v>
      </c>
      <c r="L37" s="487"/>
      <c r="Q37" s="493">
        <v>2</v>
      </c>
    </row>
    <row r="38" spans="1:17" s="117" customFormat="1" ht="17.149999999999999" customHeight="1">
      <c r="A38" s="118">
        <v>1</v>
      </c>
      <c r="B38" s="119" t="s">
        <v>934</v>
      </c>
      <c r="C38" s="130" t="s">
        <v>869</v>
      </c>
      <c r="D38" s="967" t="s">
        <v>935</v>
      </c>
      <c r="E38" s="968"/>
      <c r="F38" s="968"/>
      <c r="G38" s="128"/>
      <c r="H38" s="129" t="str">
        <f>CHOOSE(MODE, "-", "Std")</f>
        <v>-</v>
      </c>
      <c r="I38" s="475" t="str">
        <f>CHOOSE(MODE, "-", "Std")</f>
        <v>-</v>
      </c>
      <c r="J38" s="484" t="str">
        <f>CHOOSE(Q38,'Variable Mgmt'!T62,'Variable Mgmt'!T63,'Variable Mgmt'!T64,'Variable Mgmt'!T65,'Variable Mgmt'!T66)</f>
        <v>1.0 x 0.5</v>
      </c>
      <c r="K38" s="482">
        <f>CHOOSE(Q38,'Variable Mgmt'!U62,'Variable Mgmt'!U63,'Variable Mgmt'!U64,'Variable Mgmt'!U65,'Variable Mgmt'!U66)</f>
        <v>0.5</v>
      </c>
      <c r="L38" s="487"/>
      <c r="Q38" s="493">
        <v>1</v>
      </c>
    </row>
    <row r="39" spans="1:17" s="117" customFormat="1" ht="17.149999999999999" customHeight="1">
      <c r="A39" s="122">
        <v>1</v>
      </c>
      <c r="B39" s="123" t="s">
        <v>627</v>
      </c>
      <c r="C39" s="124" t="s">
        <v>193</v>
      </c>
      <c r="D39" s="965" t="str">
        <f>"Rectifying Diode, Schottky"</f>
        <v>Rectifying Diode, Schottky</v>
      </c>
      <c r="E39" s="966"/>
      <c r="F39" s="966"/>
      <c r="G39" s="125"/>
      <c r="H39" s="126" t="s">
        <v>118</v>
      </c>
      <c r="I39" s="477" t="s">
        <v>118</v>
      </c>
      <c r="J39" s="613" t="str">
        <f>CHOOSE(Q39,'Variable Mgmt'!Y72,'Variable Mgmt'!Y73,'Variable Mgmt'!Y74,'Variable Mgmt'!Y75)</f>
        <v>3.6 x 1.8</v>
      </c>
      <c r="K39" s="614">
        <f>CHOOSE(Q39,'Variable Mgmt'!Z72,'Variable Mgmt'!Z73,'Variable Mgmt'!Z74,'Variable Mgmt'!Z75)</f>
        <v>6.5</v>
      </c>
      <c r="L39" s="487"/>
      <c r="Q39" s="494">
        <v>3</v>
      </c>
    </row>
    <row r="40" spans="1:17" s="117" customFormat="1" ht="17.149999999999999" customHeight="1">
      <c r="A40" s="122" t="str">
        <f>CHOOSE(MODE, "-", "1")</f>
        <v>-</v>
      </c>
      <c r="B40" s="123" t="s">
        <v>626</v>
      </c>
      <c r="C40" s="124" t="str">
        <f>CHOOSE(MODE, "-", "Diode")</f>
        <v>-</v>
      </c>
      <c r="D40" s="959" t="str">
        <f>CHOOSE(MODE, "-", "Rectifying Diode, Schottky")</f>
        <v>-</v>
      </c>
      <c r="E40" s="960"/>
      <c r="F40" s="960"/>
      <c r="G40" s="125" t="s">
        <v>119</v>
      </c>
      <c r="H40" s="126" t="str">
        <f>CHOOSE(MODE, "-", "Std")</f>
        <v>-</v>
      </c>
      <c r="I40" s="477" t="str">
        <f>CHOOSE(MODE, "-", "Std")</f>
        <v>-</v>
      </c>
      <c r="J40" s="613" t="str">
        <f>CHOOSE(MODE, "-", CHOOSE(Q40,'Variable Mgmt'!Y72,'Variable Mgmt'!Y73,'Variable Mgmt'!Y74,'Variable Mgmt'!Y75))</f>
        <v>-</v>
      </c>
      <c r="K40" s="614" t="str">
        <f>CHOOSE(MODE, "-", CHOOSE(Q40,'Variable Mgmt'!Z72,'Variable Mgmt'!Z73,'Variable Mgmt'!Z74,'Variable Mgmt'!Z75))</f>
        <v>-</v>
      </c>
      <c r="L40" s="487"/>
      <c r="Q40" s="494">
        <v>3</v>
      </c>
    </row>
    <row r="41" spans="1:17" s="117" customFormat="1" ht="17.149999999999999" customHeight="1">
      <c r="A41" s="122">
        <v>1</v>
      </c>
      <c r="B41" s="123" t="s">
        <v>628</v>
      </c>
      <c r="C41" s="124" t="str">
        <f>"Diode"</f>
        <v>Diode</v>
      </c>
      <c r="D41" s="618" t="str">
        <f>"Clamp Circuit Diode, Fast Recovery"</f>
        <v>Clamp Circuit Diode, Fast Recovery</v>
      </c>
      <c r="E41" s="619"/>
      <c r="F41" s="619"/>
      <c r="G41" s="125"/>
      <c r="H41" s="126" t="s">
        <v>118</v>
      </c>
      <c r="I41" s="477" t="s">
        <v>118</v>
      </c>
      <c r="J41" s="613" t="str">
        <f>CHOOSE(Q41,'Variable Mgmt'!Y72,'Variable Mgmt'!Y73,'Variable Mgmt'!Y74,'Variable Mgmt'!Y75)</f>
        <v>1.6 x 0.8</v>
      </c>
      <c r="K41" s="614">
        <f>CHOOSE(Q41,'Variable Mgmt'!Z72,'Variable Mgmt'!Z73,'Variable Mgmt'!Z74,'Variable Mgmt'!Z75)</f>
        <v>1.3</v>
      </c>
      <c r="L41" s="487"/>
      <c r="Q41" s="494">
        <v>1</v>
      </c>
    </row>
    <row r="42" spans="1:17" s="117" customFormat="1" ht="17.149999999999999" customHeight="1">
      <c r="A42" s="122">
        <v>1</v>
      </c>
      <c r="B42" s="123" t="s">
        <v>623</v>
      </c>
      <c r="C42" s="124" t="s">
        <v>624</v>
      </c>
      <c r="D42" s="959" t="str">
        <f>"Clamp Circuit Diode, Zener, 24V"</f>
        <v>Clamp Circuit Diode, Zener, 24V</v>
      </c>
      <c r="E42" s="960"/>
      <c r="F42" s="960"/>
      <c r="G42" s="125" t="s">
        <v>119</v>
      </c>
      <c r="H42" s="126" t="s">
        <v>118</v>
      </c>
      <c r="I42" s="477" t="s">
        <v>118</v>
      </c>
      <c r="J42" s="613" t="str">
        <f>CHOOSE(Q42,'Variable Mgmt'!Y72,'Variable Mgmt'!Y73,'Variable Mgmt'!Y74,'Variable Mgmt'!Y75)</f>
        <v>5.0 x 2.5</v>
      </c>
      <c r="K42" s="614">
        <f>CHOOSE(Q42,'Variable Mgmt'!Z72,'Variable Mgmt'!Z73,'Variable Mgmt'!Z74,'Variable Mgmt'!Z75)</f>
        <v>12.5</v>
      </c>
      <c r="L42" s="487"/>
      <c r="Q42" s="494">
        <v>4</v>
      </c>
    </row>
    <row r="43" spans="1:17" s="117" customFormat="1" ht="17.149999999999999" customHeight="1">
      <c r="A43" s="122">
        <v>1</v>
      </c>
      <c r="B43" s="123" t="s">
        <v>941</v>
      </c>
      <c r="C43" s="124" t="str">
        <f>Vout*1.1&amp;"V"</f>
        <v>30.8V</v>
      </c>
      <c r="D43" s="618" t="str">
        <f>"Output Clamp Diode, Zener, "&amp;ROUND(Vout*1.125,0)&amp;"V"</f>
        <v>Output Clamp Diode, Zener, 32V</v>
      </c>
      <c r="E43" s="619"/>
      <c r="F43" s="619"/>
      <c r="G43" s="125"/>
      <c r="H43" s="126" t="s">
        <v>118</v>
      </c>
      <c r="I43" s="477" t="s">
        <v>118</v>
      </c>
      <c r="J43" s="613" t="str">
        <f>CHOOSE(Q43,'Variable Mgmt'!Y72,'Variable Mgmt'!Y73,'Variable Mgmt'!Y74,'Variable Mgmt'!Y75)</f>
        <v>3.6 x 1.8</v>
      </c>
      <c r="K43" s="614">
        <f>CHOOSE(Q43,'Variable Mgmt'!Z72,'Variable Mgmt'!Z73,'Variable Mgmt'!Z74,'Variable Mgmt'!Z75)</f>
        <v>6.5</v>
      </c>
      <c r="L43" s="487"/>
      <c r="Q43" s="494">
        <v>3</v>
      </c>
    </row>
    <row r="44" spans="1:17" s="117" customFormat="1" ht="17.149999999999999" customHeight="1">
      <c r="A44" s="122" t="str">
        <f>CHOOSE(MODE, "-", "1")</f>
        <v>-</v>
      </c>
      <c r="B44" s="123" t="s">
        <v>942</v>
      </c>
      <c r="C44" s="124" t="str">
        <f>Vout2*1.1&amp;"V"</f>
        <v>33V</v>
      </c>
      <c r="D44" s="959" t="str">
        <f>CHOOSE(MODE, "-", "Output Clamp Diode, Zener, "&amp;ROUND(Vout2*1.125,0)&amp;"V")</f>
        <v>-</v>
      </c>
      <c r="E44" s="960"/>
      <c r="F44" s="960"/>
      <c r="G44" s="125"/>
      <c r="H44" s="126" t="str">
        <f>CHOOSE(MODE, "-", "Std")</f>
        <v>-</v>
      </c>
      <c r="I44" s="477" t="str">
        <f>CHOOSE(MODE, "-", "Std")</f>
        <v>-</v>
      </c>
      <c r="J44" s="613" t="str">
        <f>CHOOSE(MODE, "-", CHOOSE(Q44,'Variable Mgmt'!Y72,'Variable Mgmt'!Y73,'Variable Mgmt'!Y74,'Variable Mgmt'!Y75))</f>
        <v>-</v>
      </c>
      <c r="K44" s="614" t="str">
        <f>CHOOSE(MODE, "-", CHOOSE(Q44,'Variable Mgmt'!Z72,'Variable Mgmt'!Z73,'Variable Mgmt'!Z74,'Variable Mgmt'!Z75))</f>
        <v>-</v>
      </c>
      <c r="L44" s="487"/>
      <c r="Q44" s="494">
        <v>3</v>
      </c>
    </row>
    <row r="45" spans="1:17" s="117" customFormat="1" ht="17.149999999999999" customHeight="1">
      <c r="A45" s="118">
        <v>1</v>
      </c>
      <c r="B45" s="119" t="s">
        <v>949</v>
      </c>
      <c r="C45" s="907" t="str">
        <f>IF(Vds_req&lt;30,30,IF(Vds_req&lt;40,40,IF(Vds_req&lt;50,50,IF(Vds_req&lt;60,60,IF(Vds_req&lt;80,80,IF(Vds_req&lt;100,100,IF(Vds_req&lt;120,120,IF(Vds_req&lt;150,150,IF(Vds_req&lt;200,200,IF(Vds_req&lt;250,250,IF(Vds_req&lt;300,300,500)))))))))))&amp;"V"</f>
        <v>100V</v>
      </c>
      <c r="D45" s="905" t="s">
        <v>950</v>
      </c>
      <c r="E45" s="906"/>
      <c r="F45" s="906"/>
      <c r="G45" s="120" t="s">
        <v>951</v>
      </c>
      <c r="H45" s="121" t="s">
        <v>118</v>
      </c>
      <c r="I45" s="476" t="s">
        <v>118</v>
      </c>
      <c r="J45" s="484" t="s">
        <v>952</v>
      </c>
      <c r="K45" s="482">
        <v>30</v>
      </c>
      <c r="L45" s="487"/>
      <c r="Q45" s="494"/>
    </row>
    <row r="46" spans="1:17" s="117" customFormat="1" ht="17.149999999999999" customHeight="1">
      <c r="A46" s="122">
        <v>1</v>
      </c>
      <c r="B46" s="123" t="s">
        <v>629</v>
      </c>
      <c r="C46" s="124">
        <v>12.1</v>
      </c>
      <c r="D46" s="951">
        <f>C46</f>
        <v>12.1</v>
      </c>
      <c r="E46" s="952"/>
      <c r="F46" s="952"/>
      <c r="G46" s="125" t="s">
        <v>119</v>
      </c>
      <c r="H46" s="126" t="s">
        <v>118</v>
      </c>
      <c r="I46" s="477" t="s">
        <v>118</v>
      </c>
      <c r="J46" s="613" t="str">
        <f>CHOOSE(Q46,'Variable Mgmt'!T62,'Variable Mgmt'!T63,'Variable Mgmt'!T64)</f>
        <v>1.6 x 0.8</v>
      </c>
      <c r="K46" s="614">
        <f>CHOOSE(Q46,'Variable Mgmt'!U62,'Variable Mgmt'!U63,'Variable Mgmt'!U64,'Variable Mgmt'!U65,'Variable Mgmt'!U66)</f>
        <v>1.3</v>
      </c>
      <c r="L46" s="487"/>
      <c r="Q46" s="494">
        <v>2</v>
      </c>
    </row>
    <row r="47" spans="1:17" s="117" customFormat="1" ht="17.149999999999999" customHeight="1">
      <c r="A47" s="122">
        <v>1</v>
      </c>
      <c r="B47" s="123" t="s">
        <v>524</v>
      </c>
      <c r="C47" s="124">
        <f>Rfb/1000</f>
        <v>284</v>
      </c>
      <c r="D47" s="951">
        <f>C47</f>
        <v>284</v>
      </c>
      <c r="E47" s="952"/>
      <c r="F47" s="952"/>
      <c r="G47" s="125" t="s">
        <v>119</v>
      </c>
      <c r="H47" s="126" t="s">
        <v>118</v>
      </c>
      <c r="I47" s="477" t="s">
        <v>118</v>
      </c>
      <c r="J47" s="613" t="str">
        <f>CHOOSE(Q47,'Variable Mgmt'!T62,'Variable Mgmt'!T63,'Variable Mgmt'!T64)</f>
        <v>2.0 x 1.25</v>
      </c>
      <c r="K47" s="614">
        <f>CHOOSE(Q47,'Variable Mgmt'!U62,'Variable Mgmt'!U63,'Variable Mgmt'!U64,'Variable Mgmt'!U65,'Variable Mgmt'!U66)</f>
        <v>2.5</v>
      </c>
      <c r="L47" s="487"/>
      <c r="Q47" s="494">
        <v>3</v>
      </c>
    </row>
    <row r="48" spans="1:17" s="117" customFormat="1" ht="17.149999999999999" customHeight="1">
      <c r="A48" s="122" t="str">
        <f>CHOOSE(MODE_UVLO, "1", "-")</f>
        <v>1</v>
      </c>
      <c r="B48" s="123" t="s">
        <v>126</v>
      </c>
      <c r="C48" s="908" t="str">
        <f>CHOOSE(MODE_UVLO, 'Variable Mgmt'!H253, "-")</f>
        <v>76.8k</v>
      </c>
      <c r="D48" s="959" t="str">
        <f>CHOOSE(MODE_UVLO, "Resistor, Chip, "&amp;'Variable Mgmt'!C253&amp;", 1/16W, 1%", "-")</f>
        <v>Resistor, Chip, 76.8kΩ, 1/16W, 1%</v>
      </c>
      <c r="E48" s="960"/>
      <c r="F48" s="960"/>
      <c r="G48" s="125" t="s">
        <v>119</v>
      </c>
      <c r="H48" s="126" t="str">
        <f>CHOOSE(MODE_UVLO, "Std", "-")</f>
        <v>Std</v>
      </c>
      <c r="I48" s="477" t="str">
        <f>CHOOSE(MODE_UVLO, "Std", "-")</f>
        <v>Std</v>
      </c>
      <c r="J48" s="613" t="str">
        <f>CHOOSE(MODE_UVLO, CHOOSE(Q48,'Variable Mgmt'!T62,'Variable Mgmt'!T63,'Variable Mgmt'!T64), "-")</f>
        <v>1.0 x 0.5</v>
      </c>
      <c r="K48" s="614">
        <f>CHOOSE(MODE_UVLO, CHOOSE(Q48,'Variable Mgmt'!U62,'Variable Mgmt'!U63,'Variable Mgmt'!U64,'Variable Mgmt'!U65,'Variable Mgmt'!U66),"-")</f>
        <v>0.5</v>
      </c>
      <c r="L48" s="487"/>
      <c r="Q48" s="494">
        <v>1</v>
      </c>
    </row>
    <row r="49" spans="1:17" s="117" customFormat="1" ht="17.149999999999999" customHeight="1">
      <c r="A49" s="122" t="str">
        <f>CHOOSE(MODE_UVLO, "1", "-")</f>
        <v>1</v>
      </c>
      <c r="B49" s="123" t="s">
        <v>127</v>
      </c>
      <c r="C49" s="908" t="str">
        <f>CHOOSE(MODE_UVLO, 'Variable Mgmt'!H254, "-")</f>
        <v>6.81k</v>
      </c>
      <c r="D49" s="959" t="str">
        <f>CHOOSE(MODE_UVLO, "Resistor, Chip, "&amp;'Variable Mgmt'!C254&amp;", 1/16W, 1%", "-")</f>
        <v>Resistor, Chip, 6.81kΩ, 1/16W, 1%</v>
      </c>
      <c r="E49" s="960"/>
      <c r="F49" s="960"/>
      <c r="G49" s="125" t="s">
        <v>119</v>
      </c>
      <c r="H49" s="126" t="str">
        <f>CHOOSE(MODE_UVLO, "Std", "-")</f>
        <v>Std</v>
      </c>
      <c r="I49" s="477" t="str">
        <f>CHOOSE(MODE_UVLO, "Std", "-")</f>
        <v>Std</v>
      </c>
      <c r="J49" s="613" t="str">
        <f>CHOOSE(MODE_UVLO, CHOOSE(Q49,'Variable Mgmt'!T62,'Variable Mgmt'!T63,'Variable Mgmt'!T64), "-")</f>
        <v>1.0 x 0.5</v>
      </c>
      <c r="K49" s="614">
        <f>CHOOSE(MODE_UVLO, CHOOSE(Q49,'Variable Mgmt'!U62,'Variable Mgmt'!U63,'Variable Mgmt'!U64,'Variable Mgmt'!U65,'Variable Mgmt'!U66),"-")</f>
        <v>0.5</v>
      </c>
      <c r="L49" s="487"/>
      <c r="Q49" s="494">
        <v>1</v>
      </c>
    </row>
    <row r="50" spans="1:17" s="117" customFormat="1" ht="17.149999999999999" customHeight="1">
      <c r="A50" s="122" t="str">
        <f>CHOOSE(MODE_TC, "1", "-")</f>
        <v>-</v>
      </c>
      <c r="B50" s="123" t="s">
        <v>516</v>
      </c>
      <c r="C50" s="124" t="str">
        <f>CHOOSE(MODE_TC, RTC, "-")</f>
        <v>-</v>
      </c>
      <c r="D50" s="951" t="str">
        <f>CHOOSE(MODE_TC, "Resistor, Chip, "&amp;'Variable Mgmt'!B249&amp;", 1/16W, 1%", "-")</f>
        <v>-</v>
      </c>
      <c r="E50" s="952"/>
      <c r="F50" s="952"/>
      <c r="G50" s="125" t="s">
        <v>119</v>
      </c>
      <c r="H50" s="126" t="str">
        <f>CHOOSE(MODE_TC, "Std", "-")</f>
        <v>-</v>
      </c>
      <c r="I50" s="477" t="str">
        <f>CHOOSE(MODE_TC, "Std", "-")</f>
        <v>-</v>
      </c>
      <c r="J50" s="613" t="str">
        <f>CHOOSE(MODE_TC, CHOOSE(Q50,'Variable Mgmt'!T62,'Variable Mgmt'!T393,'Variable Mgmt'!T64), "-")</f>
        <v>-</v>
      </c>
      <c r="K50" s="614" t="str">
        <f>CHOOSE(MODE_TC, CHOOSE(Q50,'Variable Mgmt'!U62,'Variable Mgmt'!U63,'Variable Mgmt'!U64,'Variable Mgmt'!U65,'Variable Mgmt'!U66),"-")</f>
        <v>-</v>
      </c>
      <c r="L50" s="487"/>
      <c r="Q50" s="494">
        <v>1</v>
      </c>
    </row>
    <row r="51" spans="1:17" s="117" customFormat="1" ht="17.149999999999999" customHeight="1">
      <c r="A51" s="122">
        <v>1</v>
      </c>
      <c r="B51" s="123" t="s">
        <v>932</v>
      </c>
      <c r="C51" s="124" t="str">
        <f>'Variable Mgmt'!D297</f>
        <v>6mΩ</v>
      </c>
      <c r="D51" s="961" t="s">
        <v>933</v>
      </c>
      <c r="E51" s="952"/>
      <c r="F51" s="952"/>
      <c r="G51" s="125" t="s">
        <v>119</v>
      </c>
      <c r="H51" s="126" t="s">
        <v>118</v>
      </c>
      <c r="I51" s="477" t="s">
        <v>118</v>
      </c>
      <c r="J51" s="613" t="str">
        <f>CHOOSE(Q51,'Variable Mgmt'!T63,'Variable Mgmt'!T64,'Variable Mgmt'!T65,'Variable Mgmt'!T66,'Variable Mgmt'!T67,'Variable Mgmt'!T68)</f>
        <v>9.3 x 2.7</v>
      </c>
      <c r="K51" s="614">
        <f>CHOOSE(Q51,'Variable Mgmt'!U63,'Variable Mgmt'!U64,'Variable Mgmt'!U65,'Variable Mgmt'!U66,'Variable Mgmt'!U67,'Variable Mgmt'!U68)</f>
        <v>25.1</v>
      </c>
      <c r="L51" s="487"/>
      <c r="Q51" s="494">
        <v>6</v>
      </c>
    </row>
    <row r="52" spans="1:17" s="117" customFormat="1" ht="17.149999999999999" customHeight="1">
      <c r="A52" s="122">
        <v>1</v>
      </c>
      <c r="B52" s="123" t="s">
        <v>931</v>
      </c>
      <c r="C52" s="124">
        <f>'Design Converter'!E60</f>
        <v>40.200000000000003</v>
      </c>
      <c r="D52" s="904" t="str">
        <f>"Resistor, Chip, "&amp;C52&amp;"kΩ, 1/16W, 1%"</f>
        <v>Resistor, Chip, 40.2kΩ, 1/16W, 1%</v>
      </c>
      <c r="E52" s="909"/>
      <c r="F52" s="909"/>
      <c r="G52" s="125" t="s">
        <v>119</v>
      </c>
      <c r="H52" s="126" t="s">
        <v>118</v>
      </c>
      <c r="I52" s="477" t="s">
        <v>118</v>
      </c>
      <c r="J52" s="613" t="str">
        <f>CHOOSE(Q52,'Variable Mgmt'!T62,'Variable Mgmt'!T63,'Variable Mgmt'!T64)</f>
        <v>1.6 x 0.8</v>
      </c>
      <c r="K52" s="614">
        <f>CHOOSE(Q52,'Variable Mgmt'!U62,'Variable Mgmt'!U63,'Variable Mgmt'!U64,'Variable Mgmt'!U65,'Variable Mgmt'!U66)</f>
        <v>1.3</v>
      </c>
      <c r="L52" s="487"/>
      <c r="Q52" s="494">
        <v>2</v>
      </c>
    </row>
    <row r="53" spans="1:17" s="117" customFormat="1" ht="17.149999999999999" customHeight="1">
      <c r="A53" s="122">
        <v>1</v>
      </c>
      <c r="B53" s="123" t="s">
        <v>936</v>
      </c>
      <c r="C53" s="124" t="str">
        <f>'Variable Mgmt'!D299</f>
        <v>100Ω</v>
      </c>
      <c r="D53" s="951" t="str">
        <f>"Resistor, Chip, "&amp;C53&amp;", 1/16W, 1%"</f>
        <v>Resistor, Chip, 100Ω, 1/16W, 1%</v>
      </c>
      <c r="E53" s="952"/>
      <c r="F53" s="952"/>
      <c r="G53" s="125" t="s">
        <v>119</v>
      </c>
      <c r="H53" s="126" t="s">
        <v>118</v>
      </c>
      <c r="I53" s="477" t="s">
        <v>118</v>
      </c>
      <c r="J53" s="613" t="str">
        <f>CHOOSE(Q53,'Variable Mgmt'!T62,'Variable Mgmt'!T63,'Variable Mgmt'!T64)</f>
        <v>1.0 x 0.5</v>
      </c>
      <c r="K53" s="614">
        <f>CHOOSE(Q53,'Variable Mgmt'!U62,'Variable Mgmt'!U63,'Variable Mgmt'!U64,'Variable Mgmt'!U65,'Variable Mgmt'!U66)</f>
        <v>0.5</v>
      </c>
      <c r="L53" s="487"/>
      <c r="Q53" s="494">
        <v>1</v>
      </c>
    </row>
    <row r="54" spans="1:17" s="616" customFormat="1" ht="16.5" customHeight="1">
      <c r="A54" s="118">
        <v>1</v>
      </c>
      <c r="B54" s="119" t="s">
        <v>523</v>
      </c>
      <c r="C54" s="910" t="str">
        <f>'Design Converter'!L7&amp;"k"</f>
        <v>4.7k</v>
      </c>
      <c r="D54" s="956" t="str">
        <f>"Transformer, "&amp;L*1000000&amp;"µH, "&amp;'Variable Mgmt'!W50&amp;", "&amp;Rdcr_pri*1000&amp;"mΩ Pri DCR"</f>
        <v>Transformer, 4.7µH, 1 : 1, 14mΩ Pri DCR</v>
      </c>
      <c r="E54" s="957"/>
      <c r="F54" s="958"/>
      <c r="G54" s="121" t="s">
        <v>125</v>
      </c>
      <c r="H54" s="121" t="s">
        <v>124</v>
      </c>
      <c r="I54" s="476" t="s">
        <v>124</v>
      </c>
      <c r="J54" s="484" t="str">
        <f>CHOOSE(Q54,'Variable Mgmt'!T73,'Variable Mgmt'!T74,'Variable Mgmt'!T75,'Variable Mgmt'!T76,'Variable Mgmt'!T77,'Variable Mgmt'!T78, 'Variable Mgmt'!T79, 'Variable Mgmt'!T80)</f>
        <v>23 x 17</v>
      </c>
      <c r="K54" s="907">
        <f>CHOOSE(Q54,'Variable Mgmt'!U73,'Variable Mgmt'!U74,'Variable Mgmt'!U75,'Variable Mgmt'!U76,'Variable Mgmt'!U77,'Variable Mgmt'!U78, 'Variable Mgmt'!U79,'Variable Mgmt'!U80)</f>
        <v>391</v>
      </c>
      <c r="L54" s="615"/>
      <c r="Q54" s="617">
        <v>8</v>
      </c>
    </row>
    <row r="55" spans="1:17" ht="17.149999999999999" customHeight="1">
      <c r="A55" s="459">
        <v>1</v>
      </c>
      <c r="B55" s="465" t="s">
        <v>128</v>
      </c>
      <c r="C55" s="486" t="s">
        <v>938</v>
      </c>
      <c r="D55" s="466" t="s">
        <v>939</v>
      </c>
      <c r="E55" s="467"/>
      <c r="F55" s="468"/>
      <c r="G55" s="464" t="s">
        <v>940</v>
      </c>
      <c r="H55" s="464" t="s">
        <v>938</v>
      </c>
      <c r="I55" s="466" t="s">
        <v>355</v>
      </c>
      <c r="J55" s="485" t="s">
        <v>953</v>
      </c>
      <c r="K55" s="483">
        <f>32</f>
        <v>32</v>
      </c>
      <c r="L55" s="463"/>
      <c r="M55" s="463"/>
      <c r="N55" s="117"/>
      <c r="Q55" s="497"/>
    </row>
    <row r="56" spans="1:17" ht="17.149999999999999" customHeight="1">
      <c r="J56" s="117"/>
      <c r="K56" s="473"/>
      <c r="L56" s="463"/>
      <c r="M56" s="463"/>
      <c r="N56" s="117"/>
    </row>
    <row r="57" spans="1:17" ht="17.25" hidden="1" customHeight="1">
      <c r="H57" s="953" t="s">
        <v>357</v>
      </c>
      <c r="I57" s="953"/>
      <c r="J57" s="953"/>
      <c r="K57" s="491">
        <f>SUM(K31:K55)*1.25</f>
        <v>661.75</v>
      </c>
      <c r="L57" s="498" t="s">
        <v>358</v>
      </c>
      <c r="M57" s="492">
        <f>K57/25.4/25.4</f>
        <v>1.0257145514291031</v>
      </c>
      <c r="N57" s="498" t="s">
        <v>356</v>
      </c>
    </row>
    <row r="58" spans="1:17" ht="17.149999999999999" customHeight="1">
      <c r="J58" s="478"/>
      <c r="K58" s="479"/>
      <c r="L58" s="480"/>
      <c r="M58" s="481"/>
      <c r="N58" s="480"/>
    </row>
    <row r="59" spans="1:17" ht="20.25" customHeight="1">
      <c r="A59" s="472" t="s">
        <v>137</v>
      </c>
    </row>
    <row r="60" spans="1:17">
      <c r="A60" s="114" t="s">
        <v>947</v>
      </c>
    </row>
    <row r="61" spans="1:17">
      <c r="A61" s="114" t="s">
        <v>677</v>
      </c>
      <c r="K61" s="471"/>
    </row>
    <row r="62" spans="1:17">
      <c r="A62" s="114" t="s">
        <v>676</v>
      </c>
    </row>
    <row r="63" spans="1:17">
      <c r="A63" s="114" t="s">
        <v>674</v>
      </c>
    </row>
    <row r="64" spans="1:17">
      <c r="A64" s="114" t="s">
        <v>675</v>
      </c>
    </row>
  </sheetData>
  <sheetProtection algorithmName="SHA-512" hashValue="LDB4IK7WyDQAJv8vPYNHmpeIcJchZtvJGk7AGokZ+o84M8XParPHLMtS2RIXTD1m393K8OHh8N2HD1gBIJAsWw==" saltValue="oU8kR652ub4qmJSrMqH4Kg==" spinCount="100000" sheet="1" objects="1" scenarios="1" selectLockedCells="1" selectUnlockedCells="1"/>
  <mergeCells count="19">
    <mergeCell ref="D30:F30"/>
    <mergeCell ref="D46:F46"/>
    <mergeCell ref="D47:F47"/>
    <mergeCell ref="D42:F42"/>
    <mergeCell ref="D40:F40"/>
    <mergeCell ref="D39:F39"/>
    <mergeCell ref="D32:F32"/>
    <mergeCell ref="D34:F34"/>
    <mergeCell ref="D37:F37"/>
    <mergeCell ref="D44:F44"/>
    <mergeCell ref="D38:F38"/>
    <mergeCell ref="D53:F53"/>
    <mergeCell ref="H57:J57"/>
    <mergeCell ref="D31:F31"/>
    <mergeCell ref="D54:F54"/>
    <mergeCell ref="D48:F48"/>
    <mergeCell ref="D49:F49"/>
    <mergeCell ref="D50:F50"/>
    <mergeCell ref="D51:F51"/>
  </mergeCells>
  <phoneticPr fontId="83"/>
  <printOptions horizontalCentered="1"/>
  <pageMargins left="0.23" right="0.23" top="0.7" bottom="0.61" header="0.3" footer="0.5"/>
  <pageSetup scale="84" fitToHeight="2" orientation="landscape" r:id="rId1"/>
  <headerFooter alignWithMargins="0"/>
  <rowBreaks count="1" manualBreakCount="1">
    <brk id="27" max="9" man="1"/>
  </rowBreaks>
  <ignoredErrors>
    <ignoredError sqref="G40 G42 G48:G49 G46" numberStoredAsText="1"/>
    <ignoredError sqref="J40:K40"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674505" r:id="rId4" name="Drop Down 713">
              <controlPr defaultSize="0" autoLine="0" autoPict="0">
                <anchor moveWithCells="1">
                  <from>
                    <xdr:col>6</xdr:col>
                    <xdr:colOff>0</xdr:colOff>
                    <xdr:row>30</xdr:row>
                    <xdr:rowOff>12700</xdr:rowOff>
                  </from>
                  <to>
                    <xdr:col>6</xdr:col>
                    <xdr:colOff>876300</xdr:colOff>
                    <xdr:row>31</xdr:row>
                    <xdr:rowOff>0</xdr:rowOff>
                  </to>
                </anchor>
              </controlPr>
            </control>
          </mc:Choice>
        </mc:AlternateContent>
        <mc:AlternateContent xmlns:mc="http://schemas.openxmlformats.org/markup-compatibility/2006">
          <mc:Choice Requires="x14">
            <control shapeId="674508" r:id="rId5" name="Drop Down 716">
              <controlPr defaultSize="0" autoLine="0" autoPict="0">
                <anchor moveWithCells="1">
                  <from>
                    <xdr:col>6</xdr:col>
                    <xdr:colOff>0</xdr:colOff>
                    <xdr:row>31</xdr:row>
                    <xdr:rowOff>12700</xdr:rowOff>
                  </from>
                  <to>
                    <xdr:col>6</xdr:col>
                    <xdr:colOff>876300</xdr:colOff>
                    <xdr:row>32</xdr:row>
                    <xdr:rowOff>0</xdr:rowOff>
                  </to>
                </anchor>
              </controlPr>
            </control>
          </mc:Choice>
        </mc:AlternateContent>
        <mc:AlternateContent xmlns:mc="http://schemas.openxmlformats.org/markup-compatibility/2006">
          <mc:Choice Requires="x14">
            <control shapeId="674527" r:id="rId6" name="Drop Down 735">
              <controlPr defaultSize="0" autoLine="0" autoPict="0">
                <anchor moveWithCells="1">
                  <from>
                    <xdr:col>6</xdr:col>
                    <xdr:colOff>0</xdr:colOff>
                    <xdr:row>39</xdr:row>
                    <xdr:rowOff>12700</xdr:rowOff>
                  </from>
                  <to>
                    <xdr:col>6</xdr:col>
                    <xdr:colOff>876300</xdr:colOff>
                    <xdr:row>40</xdr:row>
                    <xdr:rowOff>0</xdr:rowOff>
                  </to>
                </anchor>
              </controlPr>
            </control>
          </mc:Choice>
        </mc:AlternateContent>
        <mc:AlternateContent xmlns:mc="http://schemas.openxmlformats.org/markup-compatibility/2006">
          <mc:Choice Requires="x14">
            <control shapeId="674534" r:id="rId7" name="Drop Down 742">
              <controlPr defaultSize="0" autoLine="0" autoPict="0">
                <anchor moveWithCells="1">
                  <from>
                    <xdr:col>6</xdr:col>
                    <xdr:colOff>0</xdr:colOff>
                    <xdr:row>46</xdr:row>
                    <xdr:rowOff>12700</xdr:rowOff>
                  </from>
                  <to>
                    <xdr:col>6</xdr:col>
                    <xdr:colOff>876300</xdr:colOff>
                    <xdr:row>47</xdr:row>
                    <xdr:rowOff>0</xdr:rowOff>
                  </to>
                </anchor>
              </controlPr>
            </control>
          </mc:Choice>
        </mc:AlternateContent>
        <mc:AlternateContent xmlns:mc="http://schemas.openxmlformats.org/markup-compatibility/2006">
          <mc:Choice Requires="x14">
            <control shapeId="674536" r:id="rId8" name="Drop Down 744">
              <controlPr defaultSize="0" autoLine="0" autoPict="0">
                <anchor moveWithCells="1">
                  <from>
                    <xdr:col>6</xdr:col>
                    <xdr:colOff>0</xdr:colOff>
                    <xdr:row>41</xdr:row>
                    <xdr:rowOff>12700</xdr:rowOff>
                  </from>
                  <to>
                    <xdr:col>6</xdr:col>
                    <xdr:colOff>876300</xdr:colOff>
                    <xdr:row>42</xdr:row>
                    <xdr:rowOff>0</xdr:rowOff>
                  </to>
                </anchor>
              </controlPr>
            </control>
          </mc:Choice>
        </mc:AlternateContent>
        <mc:AlternateContent xmlns:mc="http://schemas.openxmlformats.org/markup-compatibility/2006">
          <mc:Choice Requires="x14">
            <control shapeId="674539" r:id="rId9" name="Drop Down 747">
              <controlPr defaultSize="0" autoLine="0" autoPict="0">
                <anchor moveWithCells="1">
                  <from>
                    <xdr:col>6</xdr:col>
                    <xdr:colOff>0</xdr:colOff>
                    <xdr:row>40</xdr:row>
                    <xdr:rowOff>12700</xdr:rowOff>
                  </from>
                  <to>
                    <xdr:col>6</xdr:col>
                    <xdr:colOff>876300</xdr:colOff>
                    <xdr:row>41</xdr:row>
                    <xdr:rowOff>0</xdr:rowOff>
                  </to>
                </anchor>
              </controlPr>
            </control>
          </mc:Choice>
        </mc:AlternateContent>
        <mc:AlternateContent xmlns:mc="http://schemas.openxmlformats.org/markup-compatibility/2006">
          <mc:Choice Requires="x14">
            <control shapeId="674540" r:id="rId10" name="Drop Down 748">
              <controlPr defaultSize="0" autoLine="0" autoPict="0">
                <anchor moveWithCells="1">
                  <from>
                    <xdr:col>6</xdr:col>
                    <xdr:colOff>0</xdr:colOff>
                    <xdr:row>45</xdr:row>
                    <xdr:rowOff>12700</xdr:rowOff>
                  </from>
                  <to>
                    <xdr:col>6</xdr:col>
                    <xdr:colOff>876300</xdr:colOff>
                    <xdr:row>46</xdr:row>
                    <xdr:rowOff>0</xdr:rowOff>
                  </to>
                </anchor>
              </controlPr>
            </control>
          </mc:Choice>
        </mc:AlternateContent>
        <mc:AlternateContent xmlns:mc="http://schemas.openxmlformats.org/markup-compatibility/2006">
          <mc:Choice Requires="x14">
            <control shapeId="674541" r:id="rId11" name="Drop Down 749">
              <controlPr defaultSize="0" autoLine="0" autoPict="0">
                <anchor moveWithCells="1">
                  <from>
                    <xdr:col>6</xdr:col>
                    <xdr:colOff>0</xdr:colOff>
                    <xdr:row>47</xdr:row>
                    <xdr:rowOff>12700</xdr:rowOff>
                  </from>
                  <to>
                    <xdr:col>6</xdr:col>
                    <xdr:colOff>876300</xdr:colOff>
                    <xdr:row>48</xdr:row>
                    <xdr:rowOff>0</xdr:rowOff>
                  </to>
                </anchor>
              </controlPr>
            </control>
          </mc:Choice>
        </mc:AlternateContent>
        <mc:AlternateContent xmlns:mc="http://schemas.openxmlformats.org/markup-compatibility/2006">
          <mc:Choice Requires="x14">
            <control shapeId="674542" r:id="rId12" name="Drop Down 750">
              <controlPr defaultSize="0" autoLine="0" autoPict="0">
                <anchor moveWithCells="1">
                  <from>
                    <xdr:col>6</xdr:col>
                    <xdr:colOff>0</xdr:colOff>
                    <xdr:row>48</xdr:row>
                    <xdr:rowOff>12700</xdr:rowOff>
                  </from>
                  <to>
                    <xdr:col>6</xdr:col>
                    <xdr:colOff>876300</xdr:colOff>
                    <xdr:row>49</xdr:row>
                    <xdr:rowOff>0</xdr:rowOff>
                  </to>
                </anchor>
              </controlPr>
            </control>
          </mc:Choice>
        </mc:AlternateContent>
        <mc:AlternateContent xmlns:mc="http://schemas.openxmlformats.org/markup-compatibility/2006">
          <mc:Choice Requires="x14">
            <control shapeId="674543" r:id="rId13" name="Drop Down 751">
              <controlPr defaultSize="0" autoLine="0" autoPict="0">
                <anchor moveWithCells="1">
                  <from>
                    <xdr:col>6</xdr:col>
                    <xdr:colOff>0</xdr:colOff>
                    <xdr:row>49</xdr:row>
                    <xdr:rowOff>12700</xdr:rowOff>
                  </from>
                  <to>
                    <xdr:col>6</xdr:col>
                    <xdr:colOff>876300</xdr:colOff>
                    <xdr:row>50</xdr:row>
                    <xdr:rowOff>0</xdr:rowOff>
                  </to>
                </anchor>
              </controlPr>
            </control>
          </mc:Choice>
        </mc:AlternateContent>
        <mc:AlternateContent xmlns:mc="http://schemas.openxmlformats.org/markup-compatibility/2006">
          <mc:Choice Requires="x14">
            <control shapeId="674544" r:id="rId14" name="Drop Down 752">
              <controlPr defaultSize="0" autoLine="0" autoPict="0">
                <anchor moveWithCells="1">
                  <from>
                    <xdr:col>6</xdr:col>
                    <xdr:colOff>0</xdr:colOff>
                    <xdr:row>38</xdr:row>
                    <xdr:rowOff>12700</xdr:rowOff>
                  </from>
                  <to>
                    <xdr:col>6</xdr:col>
                    <xdr:colOff>876300</xdr:colOff>
                    <xdr:row>39</xdr:row>
                    <xdr:rowOff>0</xdr:rowOff>
                  </to>
                </anchor>
              </controlPr>
            </control>
          </mc:Choice>
        </mc:AlternateContent>
        <mc:AlternateContent xmlns:mc="http://schemas.openxmlformats.org/markup-compatibility/2006">
          <mc:Choice Requires="x14">
            <control shapeId="674632" r:id="rId15" name="Drop Down 840">
              <controlPr defaultSize="0" autoLine="0" autoPict="0">
                <anchor moveWithCells="1">
                  <from>
                    <xdr:col>6</xdr:col>
                    <xdr:colOff>0</xdr:colOff>
                    <xdr:row>53</xdr:row>
                    <xdr:rowOff>12700</xdr:rowOff>
                  </from>
                  <to>
                    <xdr:col>6</xdr:col>
                    <xdr:colOff>876300</xdr:colOff>
                    <xdr:row>54</xdr:row>
                    <xdr:rowOff>0</xdr:rowOff>
                  </to>
                </anchor>
              </controlPr>
            </control>
          </mc:Choice>
        </mc:AlternateContent>
        <mc:AlternateContent xmlns:mc="http://schemas.openxmlformats.org/markup-compatibility/2006">
          <mc:Choice Requires="x14">
            <control shapeId="706019" r:id="rId16" name="Drop Down 1507">
              <controlPr defaultSize="0" autoLine="0" autoPict="0">
                <anchor moveWithCells="1">
                  <from>
                    <xdr:col>5</xdr:col>
                    <xdr:colOff>895350</xdr:colOff>
                    <xdr:row>32</xdr:row>
                    <xdr:rowOff>12700</xdr:rowOff>
                  </from>
                  <to>
                    <xdr:col>6</xdr:col>
                    <xdr:colOff>869950</xdr:colOff>
                    <xdr:row>33</xdr:row>
                    <xdr:rowOff>0</xdr:rowOff>
                  </to>
                </anchor>
              </controlPr>
            </control>
          </mc:Choice>
        </mc:AlternateContent>
        <mc:AlternateContent xmlns:mc="http://schemas.openxmlformats.org/markup-compatibility/2006">
          <mc:Choice Requires="x14">
            <control shapeId="706028" r:id="rId17" name="Drop Down 1516">
              <controlPr defaultSize="0" autoLine="0" autoPict="0">
                <anchor moveWithCells="1">
                  <from>
                    <xdr:col>6</xdr:col>
                    <xdr:colOff>0</xdr:colOff>
                    <xdr:row>42</xdr:row>
                    <xdr:rowOff>12700</xdr:rowOff>
                  </from>
                  <to>
                    <xdr:col>6</xdr:col>
                    <xdr:colOff>882650</xdr:colOff>
                    <xdr:row>43</xdr:row>
                    <xdr:rowOff>0</xdr:rowOff>
                  </to>
                </anchor>
              </controlPr>
            </control>
          </mc:Choice>
        </mc:AlternateContent>
        <mc:AlternateContent xmlns:mc="http://schemas.openxmlformats.org/markup-compatibility/2006">
          <mc:Choice Requires="x14">
            <control shapeId="764426" r:id="rId18" name="Drop Down 2570">
              <controlPr defaultSize="0" autoLine="0" autoPict="0">
                <anchor moveWithCells="1">
                  <from>
                    <xdr:col>6</xdr:col>
                    <xdr:colOff>0</xdr:colOff>
                    <xdr:row>51</xdr:row>
                    <xdr:rowOff>12700</xdr:rowOff>
                  </from>
                  <to>
                    <xdr:col>6</xdr:col>
                    <xdr:colOff>876300</xdr:colOff>
                    <xdr:row>51</xdr:row>
                    <xdr:rowOff>215900</xdr:rowOff>
                  </to>
                </anchor>
              </controlPr>
            </control>
          </mc:Choice>
        </mc:AlternateContent>
        <mc:AlternateContent xmlns:mc="http://schemas.openxmlformats.org/markup-compatibility/2006">
          <mc:Choice Requires="x14">
            <control shapeId="764430" r:id="rId19" name="Drop Down 2574">
              <controlPr defaultSize="0" autoLine="0" autoPict="0">
                <anchor moveWithCells="1">
                  <from>
                    <xdr:col>6</xdr:col>
                    <xdr:colOff>0</xdr:colOff>
                    <xdr:row>52</xdr:row>
                    <xdr:rowOff>12700</xdr:rowOff>
                  </from>
                  <to>
                    <xdr:col>6</xdr:col>
                    <xdr:colOff>876300</xdr:colOff>
                    <xdr:row>52</xdr:row>
                    <xdr:rowOff>215900</xdr:rowOff>
                  </to>
                </anchor>
              </controlPr>
            </control>
          </mc:Choice>
        </mc:AlternateContent>
        <mc:AlternateContent xmlns:mc="http://schemas.openxmlformats.org/markup-compatibility/2006">
          <mc:Choice Requires="x14">
            <control shapeId="764447" r:id="rId20" name="Drop Down 2591">
              <controlPr defaultSize="0" autoLine="0" autoPict="0">
                <anchor moveWithCells="1">
                  <from>
                    <xdr:col>6</xdr:col>
                    <xdr:colOff>0</xdr:colOff>
                    <xdr:row>34</xdr:row>
                    <xdr:rowOff>12700</xdr:rowOff>
                  </from>
                  <to>
                    <xdr:col>6</xdr:col>
                    <xdr:colOff>882650</xdr:colOff>
                    <xdr:row>35</xdr:row>
                    <xdr:rowOff>0</xdr:rowOff>
                  </to>
                </anchor>
              </controlPr>
            </control>
          </mc:Choice>
        </mc:AlternateContent>
        <mc:AlternateContent xmlns:mc="http://schemas.openxmlformats.org/markup-compatibility/2006">
          <mc:Choice Requires="x14">
            <control shapeId="764451" r:id="rId21" name="Drop Down 2595">
              <controlPr defaultSize="0" autoLine="0" autoPict="0">
                <anchor moveWithCells="1">
                  <from>
                    <xdr:col>6</xdr:col>
                    <xdr:colOff>0</xdr:colOff>
                    <xdr:row>43</xdr:row>
                    <xdr:rowOff>12700</xdr:rowOff>
                  </from>
                  <to>
                    <xdr:col>6</xdr:col>
                    <xdr:colOff>876300</xdr:colOff>
                    <xdr:row>44</xdr:row>
                    <xdr:rowOff>0</xdr:rowOff>
                  </to>
                </anchor>
              </controlPr>
            </control>
          </mc:Choice>
        </mc:AlternateContent>
        <mc:AlternateContent xmlns:mc="http://schemas.openxmlformats.org/markup-compatibility/2006">
          <mc:Choice Requires="x14">
            <control shapeId="764454" r:id="rId22" name="Drop Down 2598">
              <controlPr defaultSize="0" autoLine="0" autoPict="0">
                <anchor moveWithCells="1">
                  <from>
                    <xdr:col>6</xdr:col>
                    <xdr:colOff>0</xdr:colOff>
                    <xdr:row>35</xdr:row>
                    <xdr:rowOff>12700</xdr:rowOff>
                  </from>
                  <to>
                    <xdr:col>6</xdr:col>
                    <xdr:colOff>876300</xdr:colOff>
                    <xdr:row>36</xdr:row>
                    <xdr:rowOff>0</xdr:rowOff>
                  </to>
                </anchor>
              </controlPr>
            </control>
          </mc:Choice>
        </mc:AlternateContent>
        <mc:AlternateContent xmlns:mc="http://schemas.openxmlformats.org/markup-compatibility/2006">
          <mc:Choice Requires="x14">
            <control shapeId="764455" r:id="rId23" name="Drop Down 2599">
              <controlPr defaultSize="0" autoLine="0" autoPict="0">
                <anchor moveWithCells="1">
                  <from>
                    <xdr:col>6</xdr:col>
                    <xdr:colOff>0</xdr:colOff>
                    <xdr:row>36</xdr:row>
                    <xdr:rowOff>12700</xdr:rowOff>
                  </from>
                  <to>
                    <xdr:col>6</xdr:col>
                    <xdr:colOff>876300</xdr:colOff>
                    <xdr:row>37</xdr:row>
                    <xdr:rowOff>0</xdr:rowOff>
                  </to>
                </anchor>
              </controlPr>
            </control>
          </mc:Choice>
        </mc:AlternateContent>
        <mc:AlternateContent xmlns:mc="http://schemas.openxmlformats.org/markup-compatibility/2006">
          <mc:Choice Requires="x14">
            <control shapeId="764456" r:id="rId24" name="Drop Down 2600">
              <controlPr defaultSize="0" autoLine="0" autoPict="0">
                <anchor moveWithCells="1">
                  <from>
                    <xdr:col>6</xdr:col>
                    <xdr:colOff>0</xdr:colOff>
                    <xdr:row>37</xdr:row>
                    <xdr:rowOff>12700</xdr:rowOff>
                  </from>
                  <to>
                    <xdr:col>6</xdr:col>
                    <xdr:colOff>876300</xdr:colOff>
                    <xdr:row>38</xdr:row>
                    <xdr:rowOff>0</xdr:rowOff>
                  </to>
                </anchor>
              </controlPr>
            </control>
          </mc:Choice>
        </mc:AlternateContent>
        <mc:AlternateContent xmlns:mc="http://schemas.openxmlformats.org/markup-compatibility/2006">
          <mc:Choice Requires="x14">
            <control shapeId="764458" r:id="rId25" name="Drop Down 2602">
              <controlPr defaultSize="0" autoLine="0" autoPict="0">
                <anchor moveWithCells="1">
                  <from>
                    <xdr:col>6</xdr:col>
                    <xdr:colOff>0</xdr:colOff>
                    <xdr:row>50</xdr:row>
                    <xdr:rowOff>12700</xdr:rowOff>
                  </from>
                  <to>
                    <xdr:col>6</xdr:col>
                    <xdr:colOff>876300</xdr:colOff>
                    <xdr:row>51</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 id="{4B8E3D35-A815-4471-905F-8419AAA9FC23}">
            <xm:f>'Variable Mgmt'!$B$58=TRUE</xm:f>
            <x14:dxf>
              <font>
                <color theme="0"/>
              </font>
            </x14:dxf>
          </x14:cfRule>
          <xm:sqref>B40</xm:sqref>
        </x14:conditionalFormatting>
        <x14:conditionalFormatting xmlns:xm="http://schemas.microsoft.com/office/excel/2006/main">
          <x14:cfRule type="expression" priority="1" id="{8521D621-BE3D-4AAE-900E-18DA0D0FAC8E}">
            <xm:f>'Variable Mgmt'!$B$58=TRUE</xm:f>
            <x14:dxf>
              <font>
                <color rgb="FFFFFF99"/>
              </font>
            </x14:dxf>
          </x14:cfRule>
          <xm:sqref>B33</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rgb="FF7030A0"/>
    <pageSetUpPr fitToPage="1"/>
  </sheetPr>
  <dimension ref="A1:R6"/>
  <sheetViews>
    <sheetView zoomScaleNormal="100" workbookViewId="0">
      <selection activeCell="M15" sqref="M15"/>
    </sheetView>
  </sheetViews>
  <sheetFormatPr defaultColWidth="9.1796875" defaultRowHeight="12.5"/>
  <cols>
    <col min="1" max="13" width="9.1796875" style="84"/>
    <col min="14" max="14" width="11.81640625" style="84" customWidth="1"/>
    <col min="15" max="16" width="9.1796875" style="84"/>
    <col min="17" max="17" width="15.7265625" style="84" customWidth="1"/>
    <col min="18" max="16384" width="9.1796875" style="84"/>
  </cols>
  <sheetData>
    <row r="1" spans="1:18" s="75" customFormat="1" ht="47.25" customHeight="1">
      <c r="A1" s="971" t="s">
        <v>948</v>
      </c>
      <c r="B1" s="972"/>
      <c r="C1" s="972"/>
      <c r="D1" s="972"/>
      <c r="E1" s="972"/>
      <c r="F1" s="972"/>
      <c r="G1" s="972"/>
      <c r="H1" s="972"/>
      <c r="I1" s="972"/>
      <c r="J1" s="972"/>
      <c r="K1" s="972"/>
      <c r="L1" s="972"/>
      <c r="M1" s="972"/>
      <c r="N1" s="972"/>
      <c r="O1" s="972"/>
      <c r="P1" s="972"/>
      <c r="Q1" s="972"/>
      <c r="R1" s="82"/>
    </row>
    <row r="6" spans="1:18" ht="20">
      <c r="B6" s="85" t="s">
        <v>921</v>
      </c>
      <c r="N6" s="85" t="s">
        <v>946</v>
      </c>
    </row>
  </sheetData>
  <sheetProtection algorithmName="SHA-512" hashValue="tPvl2fh3glKsM+U9wmutkl9ZVBAqXCTdyJPzqtmwYjcUBHnYNN/9332VpUYstDE7h8BljUFt0E7mrD0NWOKCXQ==" saltValue="syN6z4runAzyyZkZejHLoQ==" spinCount="100000" sheet="1" objects="1" scenarios="1" selectLockedCells="1" selectUnlockedCells="1"/>
  <mergeCells count="1">
    <mergeCell ref="A1:Q1"/>
  </mergeCells>
  <phoneticPr fontId="83"/>
  <pageMargins left="0.19" right="0.2" top="0.75" bottom="0.75" header="0.3" footer="0.3"/>
  <pageSetup scale="5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209</vt:i4>
      </vt:variant>
    </vt:vector>
  </HeadingPairs>
  <TitlesOfParts>
    <vt:vector size="222" baseType="lpstr">
      <vt:lpstr>Design Converter</vt:lpstr>
      <vt:lpstr>Stability Calculations</vt:lpstr>
      <vt:lpstr>Variable Mgmt</vt:lpstr>
      <vt:lpstr>Parameters</vt:lpstr>
      <vt:lpstr>Calculations - Single</vt:lpstr>
      <vt:lpstr>Calculations - Dual</vt:lpstr>
      <vt:lpstr>Fsw vs VIN</vt:lpstr>
      <vt:lpstr>BOM &amp; Schematic</vt:lpstr>
      <vt:lpstr>EVMs</vt:lpstr>
      <vt:lpstr>Efficiency Plots</vt:lpstr>
      <vt:lpstr>Fsw Plots</vt:lpstr>
      <vt:lpstr>Schematic Mgmt</vt:lpstr>
      <vt:lpstr>Standard Value Calculator</vt:lpstr>
      <vt:lpstr>_Don1</vt:lpstr>
      <vt:lpstr>Acs</vt:lpstr>
      <vt:lpstr>Adc</vt:lpstr>
      <vt:lpstr>Aea</vt:lpstr>
      <vt:lpstr>Afb</vt:lpstr>
      <vt:lpstr>Am</vt:lpstr>
      <vt:lpstr>BDserR</vt:lpstr>
      <vt:lpstr>BODE_TYPE</vt:lpstr>
      <vt:lpstr>Cb</vt:lpstr>
      <vt:lpstr>Ccomp</vt:lpstr>
      <vt:lpstr>Chf</vt:lpstr>
      <vt:lpstr>Parameters!Cin</vt:lpstr>
      <vt:lpstr>Cin</vt:lpstr>
      <vt:lpstr>CinEsrMax</vt:lpstr>
      <vt:lpstr>Cinmin</vt:lpstr>
      <vt:lpstr>CONFIG</vt:lpstr>
      <vt:lpstr>Coss</vt:lpstr>
      <vt:lpstr>Parameters!Cout</vt:lpstr>
      <vt:lpstr>Cout</vt:lpstr>
      <vt:lpstr>Cout_pri</vt:lpstr>
      <vt:lpstr>Cout_sec</vt:lpstr>
      <vt:lpstr>Cout_Voltage_Rating</vt:lpstr>
      <vt:lpstr>Cout2</vt:lpstr>
      <vt:lpstr>CoutEsr</vt:lpstr>
      <vt:lpstr>CoutEsr2</vt:lpstr>
      <vt:lpstr>Css</vt:lpstr>
      <vt:lpstr>Css_u</vt:lpstr>
      <vt:lpstr>Csw</vt:lpstr>
      <vt:lpstr>Diode_TC</vt:lpstr>
      <vt:lpstr>Don_Vinmax</vt:lpstr>
      <vt:lpstr>Don_Vinmin</vt:lpstr>
      <vt:lpstr>Don_Vinnom</vt:lpstr>
      <vt:lpstr>EFF_DUAL</vt:lpstr>
      <vt:lpstr>EFF_SINGLE</vt:lpstr>
      <vt:lpstr>Efficiency</vt:lpstr>
      <vt:lpstr>Fco_desire</vt:lpstr>
      <vt:lpstr>Parameters!Fsw</vt:lpstr>
      <vt:lpstr>Fsw_DCM</vt:lpstr>
      <vt:lpstr>Fsw_DUAL</vt:lpstr>
      <vt:lpstr>Fsw_max</vt:lpstr>
      <vt:lpstr>Fsw_SINGLE</vt:lpstr>
      <vt:lpstr>gmEA</vt:lpstr>
      <vt:lpstr>Icinrms</vt:lpstr>
      <vt:lpstr>Icoutrms</vt:lpstr>
      <vt:lpstr>Iin_Vinmax</vt:lpstr>
      <vt:lpstr>Iin_Vinmin</vt:lpstr>
      <vt:lpstr>Iin_Vinnom</vt:lpstr>
      <vt:lpstr>ILIM_delay</vt:lpstr>
      <vt:lpstr>Iout</vt:lpstr>
      <vt:lpstr>Iout_eff</vt:lpstr>
      <vt:lpstr>Iout_max</vt:lpstr>
      <vt:lpstr>Iout2</vt:lpstr>
      <vt:lpstr>Iout2_actual</vt:lpstr>
      <vt:lpstr>'Calculations - Dual'!Ioutmax_Vinmax</vt:lpstr>
      <vt:lpstr>Ioutmax_Vinmax</vt:lpstr>
      <vt:lpstr>'Calculations - Dual'!Ioutmax_Vinmin</vt:lpstr>
      <vt:lpstr>Ioutmax_Vinmin</vt:lpstr>
      <vt:lpstr>'Calculations - Dual'!Ioutmax_Vinnom</vt:lpstr>
      <vt:lpstr>Ioutmax_Vinnom</vt:lpstr>
      <vt:lpstr>IpkCAL</vt:lpstr>
      <vt:lpstr>IQ</vt:lpstr>
      <vt:lpstr>Iripple</vt:lpstr>
      <vt:lpstr>Iss</vt:lpstr>
      <vt:lpstr>Isw_max</vt:lpstr>
      <vt:lpstr>Isw_min</vt:lpstr>
      <vt:lpstr>Iuvlo_hys</vt:lpstr>
      <vt:lpstr>Iuvlo1</vt:lpstr>
      <vt:lpstr>Iuvlo2</vt:lpstr>
      <vt:lpstr>k_core</vt:lpstr>
      <vt:lpstr>ktr_rcmd</vt:lpstr>
      <vt:lpstr>L</vt:lpstr>
      <vt:lpstr>Lleak</vt:lpstr>
      <vt:lpstr>Lmag</vt:lpstr>
      <vt:lpstr>Lmin</vt:lpstr>
      <vt:lpstr>Lmin_abs</vt:lpstr>
      <vt:lpstr>Ls1_</vt:lpstr>
      <vt:lpstr>Ls2_</vt:lpstr>
      <vt:lpstr>Ltc</vt:lpstr>
      <vt:lpstr>M</vt:lpstr>
      <vt:lpstr>max_I</vt:lpstr>
      <vt:lpstr>min_I</vt:lpstr>
      <vt:lpstr>MODE</vt:lpstr>
      <vt:lpstr>MODE_SS</vt:lpstr>
      <vt:lpstr>MODE_TC</vt:lpstr>
      <vt:lpstr>MODE_TOP</vt:lpstr>
      <vt:lpstr>MODE_UVLO</vt:lpstr>
      <vt:lpstr>Npri_sec</vt:lpstr>
      <vt:lpstr>Npri_sec1</vt:lpstr>
      <vt:lpstr>Npri_sec2</vt:lpstr>
      <vt:lpstr>Nps</vt:lpstr>
      <vt:lpstr>Nsec1sec2</vt:lpstr>
      <vt:lpstr>OffTime</vt:lpstr>
      <vt:lpstr>OnTime</vt:lpstr>
      <vt:lpstr>Pi</vt:lpstr>
      <vt:lpstr>Pin</vt:lpstr>
      <vt:lpstr>PLOT_TYPE</vt:lpstr>
      <vt:lpstr>pole1</vt:lpstr>
      <vt:lpstr>Pole2</vt:lpstr>
      <vt:lpstr>pole3</vt:lpstr>
      <vt:lpstr>pole4</vt:lpstr>
      <vt:lpstr>Pomax_allowed</vt:lpstr>
      <vt:lpstr>Pout</vt:lpstr>
      <vt:lpstr>Pout_total</vt:lpstr>
      <vt:lpstr>Pout2</vt:lpstr>
      <vt:lpstr>'BOM &amp; Schematic'!Print_Area</vt:lpstr>
      <vt:lpstr>'Design Converter'!Print_Area</vt:lpstr>
      <vt:lpstr>pterm1</vt:lpstr>
      <vt:lpstr>pterm2</vt:lpstr>
      <vt:lpstr>Qg</vt:lpstr>
      <vt:lpstr>radconv</vt:lpstr>
      <vt:lpstr>Parameters!RCinEsr</vt:lpstr>
      <vt:lpstr>RCinEsr</vt:lpstr>
      <vt:lpstr>Rcomp</vt:lpstr>
      <vt:lpstr>Parameters!RCoutEsr</vt:lpstr>
      <vt:lpstr>RCoutEsr</vt:lpstr>
      <vt:lpstr>RCS</vt:lpstr>
      <vt:lpstr>Rcs_gain</vt:lpstr>
      <vt:lpstr>RCSmin</vt:lpstr>
      <vt:lpstr>Rdcr_pri</vt:lpstr>
      <vt:lpstr>Rdcr_sec</vt:lpstr>
      <vt:lpstr>Rdcr_sec2</vt:lpstr>
      <vt:lpstr>Rdson</vt:lpstr>
      <vt:lpstr>RdsonTC</vt:lpstr>
      <vt:lpstr>REAout</vt:lpstr>
      <vt:lpstr>Rfb</vt:lpstr>
      <vt:lpstr>Rfb_recommend</vt:lpstr>
      <vt:lpstr>Rfb2_u</vt:lpstr>
      <vt:lpstr>Rload_pri</vt:lpstr>
      <vt:lpstr>Rload_sec</vt:lpstr>
      <vt:lpstr>RON</vt:lpstr>
      <vt:lpstr>Rout</vt:lpstr>
      <vt:lpstr>Rout2</vt:lpstr>
      <vt:lpstr>rr</vt:lpstr>
      <vt:lpstr>RTC</vt:lpstr>
      <vt:lpstr>RTC_1</vt:lpstr>
      <vt:lpstr>Ruvlo1</vt:lpstr>
      <vt:lpstr>Ruvlo2</vt:lpstr>
      <vt:lpstr>SCH_BIPOLAR_UVLOadj_SSadj_TCno</vt:lpstr>
      <vt:lpstr>SCH_BIPOLAR_UVLOadj_SSadj_TCyes</vt:lpstr>
      <vt:lpstr>SCH_BIPOLAR_UVLOadj_SSint_TCno</vt:lpstr>
      <vt:lpstr>SCH_BIPOLAR_UVLOadj_SSint_TCyes</vt:lpstr>
      <vt:lpstr>SCH_BIPOLAR_UVLOint_SSadj_TCno</vt:lpstr>
      <vt:lpstr>SCH_BIPOLAR_UVLOint_SSadj_TCyes</vt:lpstr>
      <vt:lpstr>SCH_BIPOLAR_UVLOint_SSint_TCno</vt:lpstr>
      <vt:lpstr>SCH_BIPOLAR_UVLOint_SSint_TCyes</vt:lpstr>
      <vt:lpstr>SCH_DUAL_UVLOadj_SSadj_TCno</vt:lpstr>
      <vt:lpstr>SCH_DUAL_UVLOadj_SSadj_TCyes</vt:lpstr>
      <vt:lpstr>SCH_DUAL_UVLOadj_SSint_TCno</vt:lpstr>
      <vt:lpstr>SCH_DUAL_UVLOadj_SSint_TCyes</vt:lpstr>
      <vt:lpstr>SCH_DUAL_UVLOint_SSadj_TCno</vt:lpstr>
      <vt:lpstr>SCH_DUAL_UVLOint_SSadj_TCyes</vt:lpstr>
      <vt:lpstr>SCH_DUAL_UVLOint_SSint_TCno</vt:lpstr>
      <vt:lpstr>SCH_DUAL_UVLOint_SSint_TCyes</vt:lpstr>
      <vt:lpstr>SCH_SINGLE_UVLOadj_SSadj_TCno</vt:lpstr>
      <vt:lpstr>SCH_SINGLE_UVLOadj_SSadj_TCyes</vt:lpstr>
      <vt:lpstr>SCH_SINGLE_UVLOadj_SSint_TCno</vt:lpstr>
      <vt:lpstr>SCH_SINGLE_UVLOadj_SSint_TCyes</vt:lpstr>
      <vt:lpstr>SCH_SINGLE_UVLOint_SSadj_TCno</vt:lpstr>
      <vt:lpstr>SCH_SINGLE_UVLOint_SSadj_TCyes</vt:lpstr>
      <vt:lpstr>SCH_SINGLE_UVLOint_SSint_TCno</vt:lpstr>
      <vt:lpstr>SCH_SINGLE_UVLOint_SSint_TCyes</vt:lpstr>
      <vt:lpstr>Parameters!Ta</vt:lpstr>
      <vt:lpstr>Ta</vt:lpstr>
      <vt:lpstr>TC</vt:lpstr>
      <vt:lpstr>Tfall</vt:lpstr>
      <vt:lpstr>ThetaCa</vt:lpstr>
      <vt:lpstr>ThetaJA</vt:lpstr>
      <vt:lpstr>TL</vt:lpstr>
      <vt:lpstr>toff_max</vt:lpstr>
      <vt:lpstr>Toff_Vinmax</vt:lpstr>
      <vt:lpstr>Ton_Vinmin</vt:lpstr>
      <vt:lpstr>Trise</vt:lpstr>
      <vt:lpstr>TrrBot</vt:lpstr>
      <vt:lpstr>Tss</vt:lpstr>
      <vt:lpstr>Tsw</vt:lpstr>
      <vt:lpstr>Turns_Ratio</vt:lpstr>
      <vt:lpstr>Turns_Ratio2</vt:lpstr>
      <vt:lpstr>Vdd</vt:lpstr>
      <vt:lpstr>Vds_req</vt:lpstr>
      <vt:lpstr>Vfwd1</vt:lpstr>
      <vt:lpstr>Vfwd2</vt:lpstr>
      <vt:lpstr>Vfwd22</vt:lpstr>
      <vt:lpstr>Vin</vt:lpstr>
      <vt:lpstr>Vin_eff</vt:lpstr>
      <vt:lpstr>VIN_max</vt:lpstr>
      <vt:lpstr>VIN_min</vt:lpstr>
      <vt:lpstr>VIN_nom</vt:lpstr>
      <vt:lpstr>Vinripple1</vt:lpstr>
      <vt:lpstr>Vinripple2</vt:lpstr>
      <vt:lpstr>VINuvlo_off</vt:lpstr>
      <vt:lpstr>VINuvlo_on</vt:lpstr>
      <vt:lpstr>Vout</vt:lpstr>
      <vt:lpstr>Vout_eff</vt:lpstr>
      <vt:lpstr>Vout_ripple</vt:lpstr>
      <vt:lpstr>Vout_ripple2</vt:lpstr>
      <vt:lpstr>Vout2</vt:lpstr>
      <vt:lpstr>Vout2_actual</vt:lpstr>
      <vt:lpstr>Vref</vt:lpstr>
      <vt:lpstr>Vripple1_actual</vt:lpstr>
      <vt:lpstr>Vripple1_spec</vt:lpstr>
      <vt:lpstr>Vripple2_actual</vt:lpstr>
      <vt:lpstr>Vripple2_spec</vt:lpstr>
      <vt:lpstr>VRRM_DIODE</vt:lpstr>
      <vt:lpstr>Vuvlo_hys</vt:lpstr>
      <vt:lpstr>Vuvlo_off</vt:lpstr>
      <vt:lpstr>Vuvlo_on</vt:lpstr>
      <vt:lpstr>z_RHP</vt:lpstr>
      <vt:lpstr>Zero1</vt:lpstr>
      <vt:lpstr>Zero2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LM5180 Design Calculator</dc:title>
  <dc:creator>Timothy Hegarty</dc:creator>
  <cp:keywords>LM5180 PSR flyback converter</cp:keywords>
  <cp:lastModifiedBy>Xi, Youhao</cp:lastModifiedBy>
  <cp:lastPrinted>2016-03-02T21:18:53Z</cp:lastPrinted>
  <dcterms:created xsi:type="dcterms:W3CDTF">1996-10-14T23:33:28Z</dcterms:created>
  <dcterms:modified xsi:type="dcterms:W3CDTF">2024-03-19T23:06:09Z</dcterms:modified>
</cp:coreProperties>
</file>